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/>
  <bookViews>
    <workbookView xWindow="0" yWindow="0" windowWidth="22256" windowHeight="12648" tabRatio="729" activeTab="2"/>
  </bookViews>
  <sheets>
    <sheet name="MoM -Report" sheetId="62" r:id="rId1"/>
    <sheet name="YoY - Summary" sheetId="35" state="hidden" r:id="rId2"/>
    <sheet name="T&amp;M" sheetId="36" r:id="rId3"/>
    <sheet name="Managed Servive" sheetId="7" r:id="rId4"/>
    <sheet name="USA" sheetId="33" r:id="rId5"/>
    <sheet name="Japan" sheetId="76" r:id="rId6"/>
    <sheet name="Canada" sheetId="34" r:id="rId7"/>
    <sheet name="Singapre" sheetId="39" r:id="rId8"/>
    <sheet name="FT" sheetId="37" state="hidden" r:id="rId9"/>
    <sheet name="F&amp;F" sheetId="38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xlcn.WorksheetConnection_YoYSummaryCK5CK121" hidden="1">'YoY - Summary'!$CK$6:$CK$13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YoY - Summary!$CK$5:$CK$12"/>
        </x15:modelTables>
      </x15:dataModel>
    </ext>
  </extLst>
</workbook>
</file>

<file path=xl/calcChain.xml><?xml version="1.0" encoding="utf-8"?>
<calcChain xmlns="http://schemas.openxmlformats.org/spreadsheetml/2006/main">
  <c r="EU63" i="38" l="1"/>
  <c r="CG63" i="38"/>
  <c r="CB63" i="38"/>
  <c r="BW63" i="38"/>
  <c r="BR63" i="38"/>
  <c r="BM63" i="38"/>
  <c r="AY63" i="38"/>
  <c r="ER61" i="38"/>
  <c r="EQ61" i="38"/>
  <c r="EP61" i="38"/>
  <c r="EM61" i="38"/>
  <c r="EL61" i="38"/>
  <c r="EK61" i="38"/>
  <c r="EH61" i="38"/>
  <c r="EG61" i="38"/>
  <c r="EF61" i="38"/>
  <c r="EC61" i="38"/>
  <c r="EB61" i="38"/>
  <c r="EA61" i="38"/>
  <c r="DX61" i="38"/>
  <c r="DW61" i="38"/>
  <c r="DV61" i="38"/>
  <c r="DS61" i="38"/>
  <c r="DR61" i="38"/>
  <c r="DQ61" i="38"/>
  <c r="DN61" i="38"/>
  <c r="DM61" i="38"/>
  <c r="DL61" i="38"/>
  <c r="DI61" i="38"/>
  <c r="DH61" i="38"/>
  <c r="DG61" i="38"/>
  <c r="DD61" i="38"/>
  <c r="DC61" i="38"/>
  <c r="DB61" i="38"/>
  <c r="CY61" i="38"/>
  <c r="CX61" i="38"/>
  <c r="CW61" i="38"/>
  <c r="CT61" i="38"/>
  <c r="CS61" i="38"/>
  <c r="CR61" i="38"/>
  <c r="CO61" i="38"/>
  <c r="CM61" i="38"/>
  <c r="BJ61" i="38"/>
  <c r="BI61" i="38"/>
  <c r="BH61" i="38"/>
  <c r="BE61" i="38"/>
  <c r="BD61" i="38"/>
  <c r="BC61" i="38"/>
  <c r="AZ61" i="38"/>
  <c r="AY61" i="38"/>
  <c r="AX61" i="38"/>
  <c r="AU61" i="38"/>
  <c r="AT61" i="38"/>
  <c r="AS61" i="38"/>
  <c r="AP61" i="38"/>
  <c r="AO61" i="38"/>
  <c r="AN61" i="38"/>
  <c r="AK61" i="38"/>
  <c r="AJ61" i="38"/>
  <c r="AI61" i="38"/>
  <c r="AF61" i="38"/>
  <c r="AE61" i="38"/>
  <c r="AD61" i="38"/>
  <c r="AA61" i="38"/>
  <c r="Z61" i="38"/>
  <c r="Y61" i="38"/>
  <c r="V61" i="38"/>
  <c r="U61" i="38"/>
  <c r="T61" i="38"/>
  <c r="Q61" i="38"/>
  <c r="P61" i="38"/>
  <c r="O61" i="38"/>
  <c r="L61" i="38"/>
  <c r="K61" i="38"/>
  <c r="J61" i="38"/>
  <c r="G61" i="38"/>
  <c r="F61" i="38"/>
  <c r="E61" i="38"/>
  <c r="FQ60" i="38"/>
  <c r="FP60" i="38"/>
  <c r="FO60" i="38"/>
  <c r="FL60" i="38"/>
  <c r="FK60" i="38"/>
  <c r="FJ60" i="38"/>
  <c r="FG60" i="38"/>
  <c r="FF60" i="38"/>
  <c r="FE60" i="38"/>
  <c r="FB60" i="38"/>
  <c r="FA60" i="38"/>
  <c r="EZ60" i="38"/>
  <c r="EW60" i="38"/>
  <c r="EV60" i="38"/>
  <c r="ES60" i="38"/>
  <c r="EN60" i="38"/>
  <c r="EO60" i="38" s="1"/>
  <c r="EI60" i="38"/>
  <c r="EJ60" i="38" s="1"/>
  <c r="ED60" i="38"/>
  <c r="EE60" i="38" s="1"/>
  <c r="DY60" i="38"/>
  <c r="DZ60" i="38" s="1"/>
  <c r="DT60" i="38"/>
  <c r="FM60" i="38" s="1"/>
  <c r="DO60" i="38"/>
  <c r="DJ60" i="38"/>
  <c r="DK60" i="38" s="1"/>
  <c r="DE60" i="38"/>
  <c r="CZ60" i="38"/>
  <c r="CU60" i="38"/>
  <c r="CP60" i="38"/>
  <c r="FC60" i="38" s="1"/>
  <c r="CI60" i="38"/>
  <c r="CH60" i="38"/>
  <c r="CG60" i="38"/>
  <c r="CD60" i="38"/>
  <c r="CC60" i="38"/>
  <c r="CB60" i="38"/>
  <c r="BZ60" i="38"/>
  <c r="BY60" i="38"/>
  <c r="BX60" i="38"/>
  <c r="BW60" i="38"/>
  <c r="BT60" i="38"/>
  <c r="BS60" i="38"/>
  <c r="BR60" i="38"/>
  <c r="BO60" i="38"/>
  <c r="BN60" i="38"/>
  <c r="BK60" i="38"/>
  <c r="BF60" i="38"/>
  <c r="CJ60" i="38" s="1"/>
  <c r="BA60" i="38"/>
  <c r="AV60" i="38"/>
  <c r="AQ60" i="38"/>
  <c r="AL60" i="38"/>
  <c r="CE60" i="38" s="1"/>
  <c r="AG60" i="38"/>
  <c r="AB60" i="38"/>
  <c r="W60" i="38"/>
  <c r="R60" i="38"/>
  <c r="BU60" i="38" s="1"/>
  <c r="M60" i="38"/>
  <c r="H60" i="38"/>
  <c r="FQ59" i="38"/>
  <c r="FP59" i="38"/>
  <c r="FO59" i="38"/>
  <c r="FL59" i="38"/>
  <c r="FK59" i="38"/>
  <c r="FJ59" i="38"/>
  <c r="FH59" i="38"/>
  <c r="FG59" i="38"/>
  <c r="FF59" i="38"/>
  <c r="FE59" i="38"/>
  <c r="FB59" i="38"/>
  <c r="FA59" i="38"/>
  <c r="EZ59" i="38"/>
  <c r="EW59" i="38"/>
  <c r="EV59" i="38"/>
  <c r="ES59" i="38"/>
  <c r="ET59" i="38" s="1"/>
  <c r="EN59" i="38"/>
  <c r="EO59" i="38" s="1"/>
  <c r="EI59" i="38"/>
  <c r="ED59" i="38"/>
  <c r="EE59" i="38" s="1"/>
  <c r="DY59" i="38"/>
  <c r="DT59" i="38"/>
  <c r="DO59" i="38"/>
  <c r="DJ59" i="38"/>
  <c r="DK59" i="38" s="1"/>
  <c r="DE59" i="38"/>
  <c r="DF59" i="38" s="1"/>
  <c r="CZ59" i="38"/>
  <c r="CU59" i="38"/>
  <c r="FC59" i="38" s="1"/>
  <c r="CP59" i="38"/>
  <c r="CI59" i="38"/>
  <c r="CH59" i="38"/>
  <c r="CG59" i="38"/>
  <c r="CD59" i="38"/>
  <c r="CC59" i="38"/>
  <c r="CB59" i="38"/>
  <c r="BY59" i="38"/>
  <c r="BX59" i="38"/>
  <c r="BW59" i="38"/>
  <c r="BT59" i="38"/>
  <c r="BS59" i="38"/>
  <c r="BR59" i="38"/>
  <c r="BO59" i="38"/>
  <c r="BN59" i="38"/>
  <c r="BK59" i="38"/>
  <c r="BF59" i="38"/>
  <c r="BA59" i="38"/>
  <c r="CJ59" i="38" s="1"/>
  <c r="AV59" i="38"/>
  <c r="AQ59" i="38"/>
  <c r="AL59" i="38"/>
  <c r="CE59" i="38" s="1"/>
  <c r="CF59" i="38" s="1"/>
  <c r="AG59" i="38"/>
  <c r="AB59" i="38"/>
  <c r="W59" i="38"/>
  <c r="R59" i="38"/>
  <c r="M59" i="38"/>
  <c r="H59" i="38"/>
  <c r="FQ58" i="38"/>
  <c r="FP58" i="38"/>
  <c r="FO58" i="38"/>
  <c r="FL58" i="38"/>
  <c r="FK58" i="38"/>
  <c r="FJ58" i="38"/>
  <c r="FG58" i="38"/>
  <c r="FF58" i="38"/>
  <c r="FE58" i="38"/>
  <c r="FB58" i="38"/>
  <c r="FA58" i="38"/>
  <c r="EZ58" i="38"/>
  <c r="EW58" i="38"/>
  <c r="EV58" i="38"/>
  <c r="ET58" i="38"/>
  <c r="ES58" i="38"/>
  <c r="EO58" i="38"/>
  <c r="EN58" i="38"/>
  <c r="FR58" i="38" s="1"/>
  <c r="EJ58" i="38"/>
  <c r="EI58" i="38"/>
  <c r="EE58" i="38"/>
  <c r="ED58" i="38"/>
  <c r="DZ58" i="38"/>
  <c r="DY58" i="38"/>
  <c r="DT58" i="38"/>
  <c r="FM58" i="38" s="1"/>
  <c r="FN58" i="38" s="1"/>
  <c r="DO58" i="38"/>
  <c r="DK58" i="38"/>
  <c r="DJ58" i="38"/>
  <c r="DF58" i="38"/>
  <c r="DE58" i="38"/>
  <c r="FH58" i="38" s="1"/>
  <c r="CZ58" i="38"/>
  <c r="CU58" i="38"/>
  <c r="CP58" i="38"/>
  <c r="CI58" i="38"/>
  <c r="CH58" i="38"/>
  <c r="CG58" i="38"/>
  <c r="CD58" i="38"/>
  <c r="CC58" i="38"/>
  <c r="CB58" i="38"/>
  <c r="BY58" i="38"/>
  <c r="BX58" i="38"/>
  <c r="BW58" i="38"/>
  <c r="BT58" i="38"/>
  <c r="BS58" i="38"/>
  <c r="BR58" i="38"/>
  <c r="BO58" i="38"/>
  <c r="BN58" i="38"/>
  <c r="BK58" i="38"/>
  <c r="BF58" i="38"/>
  <c r="BA58" i="38"/>
  <c r="CJ58" i="38" s="1"/>
  <c r="AV58" i="38"/>
  <c r="AQ58" i="38"/>
  <c r="AL58" i="38"/>
  <c r="AG58" i="38"/>
  <c r="AB58" i="38"/>
  <c r="BZ58" i="38" s="1"/>
  <c r="W58" i="38"/>
  <c r="R58" i="38"/>
  <c r="M58" i="38"/>
  <c r="H58" i="38"/>
  <c r="FQ57" i="38"/>
  <c r="FP57" i="38"/>
  <c r="FO57" i="38"/>
  <c r="FL57" i="38"/>
  <c r="FK57" i="38"/>
  <c r="FJ57" i="38"/>
  <c r="FG57" i="38"/>
  <c r="FF57" i="38"/>
  <c r="FE57" i="38"/>
  <c r="FB57" i="38"/>
  <c r="FA57" i="38"/>
  <c r="EZ57" i="38"/>
  <c r="EW57" i="38"/>
  <c r="EV57" i="38"/>
  <c r="ET57" i="38"/>
  <c r="ES57" i="38"/>
  <c r="EO57" i="38"/>
  <c r="EN57" i="38"/>
  <c r="EI57" i="38"/>
  <c r="EE57" i="38"/>
  <c r="ED57" i="38"/>
  <c r="DY57" i="38"/>
  <c r="DZ57" i="38" s="1"/>
  <c r="DT57" i="38"/>
  <c r="DO57" i="38"/>
  <c r="DJ57" i="38"/>
  <c r="DK57" i="38" s="1"/>
  <c r="DF57" i="38"/>
  <c r="DE57" i="38"/>
  <c r="CZ57" i="38"/>
  <c r="CU57" i="38"/>
  <c r="FC57" i="38" s="1"/>
  <c r="FD57" i="38" s="1"/>
  <c r="CP57" i="38"/>
  <c r="CI57" i="38"/>
  <c r="CH57" i="38"/>
  <c r="CG57" i="38"/>
  <c r="CD57" i="38"/>
  <c r="CC57" i="38"/>
  <c r="CB57" i="38"/>
  <c r="BY57" i="38"/>
  <c r="BX57" i="38"/>
  <c r="BW57" i="38"/>
  <c r="BT57" i="38"/>
  <c r="BS57" i="38"/>
  <c r="BR57" i="38"/>
  <c r="BO57" i="38"/>
  <c r="BN57" i="38"/>
  <c r="BK57" i="38"/>
  <c r="BF57" i="38"/>
  <c r="BA57" i="38"/>
  <c r="CJ57" i="38" s="1"/>
  <c r="CK57" i="38" s="1"/>
  <c r="AV57" i="38"/>
  <c r="AQ57" i="38"/>
  <c r="AL57" i="38"/>
  <c r="AG57" i="38"/>
  <c r="AB57" i="38"/>
  <c r="W57" i="38"/>
  <c r="BZ57" i="38" s="1"/>
  <c r="R57" i="38"/>
  <c r="M57" i="38"/>
  <c r="H57" i="38"/>
  <c r="FQ56" i="38"/>
  <c r="FP56" i="38"/>
  <c r="FO56" i="38"/>
  <c r="FL56" i="38"/>
  <c r="FK56" i="38"/>
  <c r="FJ56" i="38"/>
  <c r="FG56" i="38"/>
  <c r="FF56" i="38"/>
  <c r="FE56" i="38"/>
  <c r="FB56" i="38"/>
  <c r="FA56" i="38"/>
  <c r="EZ56" i="38"/>
  <c r="EW56" i="38"/>
  <c r="EV56" i="38"/>
  <c r="ES56" i="38"/>
  <c r="ET56" i="38" s="1"/>
  <c r="EN56" i="38"/>
  <c r="EO56" i="38" s="1"/>
  <c r="EI56" i="38"/>
  <c r="ED56" i="38"/>
  <c r="EE56" i="38" s="1"/>
  <c r="DY56" i="38"/>
  <c r="DZ56" i="38" s="1"/>
  <c r="DT56" i="38"/>
  <c r="DP56" i="38"/>
  <c r="DO56" i="38"/>
  <c r="DK56" i="38"/>
  <c r="DJ56" i="38"/>
  <c r="DF56" i="38"/>
  <c r="DE56" i="38"/>
  <c r="FH56" i="38" s="1"/>
  <c r="CZ56" i="38"/>
  <c r="CU56" i="38"/>
  <c r="CP56" i="38"/>
  <c r="CI56" i="38"/>
  <c r="CH56" i="38"/>
  <c r="CG56" i="38"/>
  <c r="CD56" i="38"/>
  <c r="CC56" i="38"/>
  <c r="CB56" i="38"/>
  <c r="BY56" i="38"/>
  <c r="BX56" i="38"/>
  <c r="BW56" i="38"/>
  <c r="BT56" i="38"/>
  <c r="BS56" i="38"/>
  <c r="BR56" i="38"/>
  <c r="BO56" i="38"/>
  <c r="BN56" i="38"/>
  <c r="BK56" i="38"/>
  <c r="BF56" i="38"/>
  <c r="CJ56" i="38" s="1"/>
  <c r="BA56" i="38"/>
  <c r="AV56" i="38"/>
  <c r="AQ56" i="38"/>
  <c r="AL56" i="38"/>
  <c r="AG56" i="38"/>
  <c r="AB56" i="38"/>
  <c r="W56" i="38"/>
  <c r="BZ56" i="38" s="1"/>
  <c r="R56" i="38"/>
  <c r="M56" i="38"/>
  <c r="H56" i="38"/>
  <c r="FQ55" i="38"/>
  <c r="FP55" i="38"/>
  <c r="FO55" i="38"/>
  <c r="FL55" i="38"/>
  <c r="FK55" i="38"/>
  <c r="FJ55" i="38"/>
  <c r="FG55" i="38"/>
  <c r="FF55" i="38"/>
  <c r="FE55" i="38"/>
  <c r="FC55" i="38"/>
  <c r="FD55" i="38" s="1"/>
  <c r="FB55" i="38"/>
  <c r="FA55" i="38"/>
  <c r="EZ55" i="38"/>
  <c r="EW55" i="38"/>
  <c r="EV55" i="38"/>
  <c r="ET55" i="38"/>
  <c r="ES55" i="38"/>
  <c r="EO55" i="38"/>
  <c r="EN55" i="38"/>
  <c r="EJ55" i="38"/>
  <c r="EI55" i="38"/>
  <c r="FR55" i="38" s="1"/>
  <c r="FS55" i="38" s="1"/>
  <c r="EE55" i="38"/>
  <c r="ED55" i="38"/>
  <c r="DZ55" i="38"/>
  <c r="DY55" i="38"/>
  <c r="DT55" i="38"/>
  <c r="FM55" i="38" s="1"/>
  <c r="DO55" i="38"/>
  <c r="DP55" i="38" s="1"/>
  <c r="DJ55" i="38"/>
  <c r="DK55" i="38" s="1"/>
  <c r="DE55" i="38"/>
  <c r="CZ55" i="38"/>
  <c r="CU55" i="38"/>
  <c r="EX55" i="38" s="1"/>
  <c r="EY55" i="38" s="1"/>
  <c r="CP55" i="38"/>
  <c r="CI55" i="38"/>
  <c r="CH55" i="38"/>
  <c r="CG55" i="38"/>
  <c r="CD55" i="38"/>
  <c r="CC55" i="38"/>
  <c r="CB55" i="38"/>
  <c r="BY55" i="38"/>
  <c r="BX55" i="38"/>
  <c r="BW55" i="38"/>
  <c r="BT55" i="38"/>
  <c r="BS55" i="38"/>
  <c r="BR55" i="38"/>
  <c r="BO55" i="38"/>
  <c r="BN55" i="38"/>
  <c r="BK55" i="38"/>
  <c r="BF55" i="38"/>
  <c r="BA55" i="38"/>
  <c r="CJ55" i="38" s="1"/>
  <c r="CK55" i="38" s="1"/>
  <c r="AV55" i="38"/>
  <c r="AQ55" i="38"/>
  <c r="AL55" i="38"/>
  <c r="CE55" i="38" s="1"/>
  <c r="CF55" i="38" s="1"/>
  <c r="AG55" i="38"/>
  <c r="AB55" i="38"/>
  <c r="BZ55" i="38" s="1"/>
  <c r="W55" i="38"/>
  <c r="R55" i="38"/>
  <c r="BP55" i="38" s="1"/>
  <c r="BQ55" i="38" s="1"/>
  <c r="M55" i="38"/>
  <c r="N55" i="38" s="1"/>
  <c r="H55" i="38"/>
  <c r="BU55" i="38" s="1"/>
  <c r="BV55" i="38" s="1"/>
  <c r="FQ54" i="38"/>
  <c r="FP54" i="38"/>
  <c r="FO54" i="38"/>
  <c r="FL54" i="38"/>
  <c r="FK54" i="38"/>
  <c r="FJ54" i="38"/>
  <c r="FG54" i="38"/>
  <c r="FF54" i="38"/>
  <c r="FE54" i="38"/>
  <c r="FB54" i="38"/>
  <c r="FA54" i="38"/>
  <c r="EZ54" i="38"/>
  <c r="EW54" i="38"/>
  <c r="EV54" i="38"/>
  <c r="ES54" i="38"/>
  <c r="ET54" i="38" s="1"/>
  <c r="EN54" i="38"/>
  <c r="EO54" i="38" s="1"/>
  <c r="EI54" i="38"/>
  <c r="ED54" i="38"/>
  <c r="EE54" i="38" s="1"/>
  <c r="DY54" i="38"/>
  <c r="DZ54" i="38" s="1"/>
  <c r="DT54" i="38"/>
  <c r="DP54" i="38"/>
  <c r="DO54" i="38"/>
  <c r="DK54" i="38"/>
  <c r="DJ54" i="38"/>
  <c r="FH54" i="38" s="1"/>
  <c r="DF54" i="38"/>
  <c r="DE54" i="38"/>
  <c r="CZ54" i="38"/>
  <c r="EX54" i="38" s="1"/>
  <c r="EY54" i="38" s="1"/>
  <c r="CU54" i="38"/>
  <c r="CP54" i="38"/>
  <c r="FC54" i="38" s="1"/>
  <c r="FD54" i="38" s="1"/>
  <c r="CJ54" i="38"/>
  <c r="CK54" i="38" s="1"/>
  <c r="CI54" i="38"/>
  <c r="CH54" i="38"/>
  <c r="CG54" i="38"/>
  <c r="CD54" i="38"/>
  <c r="CC54" i="38"/>
  <c r="CB54" i="38"/>
  <c r="BY54" i="38"/>
  <c r="BX54" i="38"/>
  <c r="BW54" i="38"/>
  <c r="BT54" i="38"/>
  <c r="BS54" i="38"/>
  <c r="BR54" i="38"/>
  <c r="BO54" i="38"/>
  <c r="BN54" i="38"/>
  <c r="BK54" i="38"/>
  <c r="BF54" i="38"/>
  <c r="BA54" i="38"/>
  <c r="AV54" i="38"/>
  <c r="AQ54" i="38"/>
  <c r="CE54" i="38" s="1"/>
  <c r="CF54" i="38" s="1"/>
  <c r="AL54" i="38"/>
  <c r="AG54" i="38"/>
  <c r="AB54" i="38"/>
  <c r="W54" i="38"/>
  <c r="BZ54" i="38" s="1"/>
  <c r="R54" i="38"/>
  <c r="N54" i="38"/>
  <c r="M54" i="38"/>
  <c r="H54" i="38"/>
  <c r="BU54" i="38" s="1"/>
  <c r="BV54" i="38" s="1"/>
  <c r="ED53" i="38"/>
  <c r="EE53" i="38" s="1"/>
  <c r="ED52" i="38"/>
  <c r="EE52" i="38" s="1"/>
  <c r="ED51" i="38"/>
  <c r="EE51" i="38" s="1"/>
  <c r="FQ50" i="38"/>
  <c r="FP50" i="38"/>
  <c r="FO50" i="38"/>
  <c r="FL50" i="38"/>
  <c r="FK50" i="38"/>
  <c r="FJ50" i="38"/>
  <c r="FH50" i="38"/>
  <c r="FI50" i="38" s="1"/>
  <c r="FG50" i="38"/>
  <c r="FF50" i="38"/>
  <c r="FE50" i="38"/>
  <c r="FB50" i="38"/>
  <c r="FA50" i="38"/>
  <c r="EZ50" i="38"/>
  <c r="EW50" i="38"/>
  <c r="EV50" i="38"/>
  <c r="ET50" i="38"/>
  <c r="ES50" i="38"/>
  <c r="EO50" i="38"/>
  <c r="EN50" i="38"/>
  <c r="EJ50" i="38"/>
  <c r="EI50" i="38"/>
  <c r="FR50" i="38" s="1"/>
  <c r="FS50" i="38" s="1"/>
  <c r="EE50" i="38"/>
  <c r="ED50" i="38"/>
  <c r="DZ50" i="38"/>
  <c r="DY50" i="38"/>
  <c r="FM50" i="38" s="1"/>
  <c r="FN50" i="38" s="1"/>
  <c r="DP50" i="38"/>
  <c r="DO50" i="38"/>
  <c r="DK50" i="38"/>
  <c r="DJ50" i="38"/>
  <c r="DF50" i="38"/>
  <c r="DE50" i="38"/>
  <c r="CZ50" i="38"/>
  <c r="FC50" i="38" s="1"/>
  <c r="CU50" i="38"/>
  <c r="CP50" i="38"/>
  <c r="EX50" i="38" s="1"/>
  <c r="EY50" i="38" s="1"/>
  <c r="CJ50" i="38"/>
  <c r="CK50" i="38" s="1"/>
  <c r="CI50" i="38"/>
  <c r="CH50" i="38"/>
  <c r="CG50" i="38"/>
  <c r="CD50" i="38"/>
  <c r="CC50" i="38"/>
  <c r="CB50" i="38"/>
  <c r="BY50" i="38"/>
  <c r="BX50" i="38"/>
  <c r="BW50" i="38"/>
  <c r="BT50" i="38"/>
  <c r="BS50" i="38"/>
  <c r="BR50" i="38"/>
  <c r="BO50" i="38"/>
  <c r="BN50" i="38"/>
  <c r="BK50" i="38"/>
  <c r="BF50" i="38"/>
  <c r="BA50" i="38"/>
  <c r="AV50" i="38"/>
  <c r="AQ50" i="38"/>
  <c r="CE50" i="38" s="1"/>
  <c r="CF50" i="38" s="1"/>
  <c r="AG50" i="38"/>
  <c r="AH50" i="38" s="1"/>
  <c r="AB50" i="38"/>
  <c r="W50" i="38"/>
  <c r="BZ50" i="38" s="1"/>
  <c r="CA50" i="38" s="1"/>
  <c r="R50" i="38"/>
  <c r="M50" i="38"/>
  <c r="H50" i="38"/>
  <c r="BU50" i="38" s="1"/>
  <c r="FG49" i="38"/>
  <c r="FF49" i="38"/>
  <c r="FE49" i="38"/>
  <c r="EW49" i="38"/>
  <c r="EV49" i="38"/>
  <c r="ET49" i="38"/>
  <c r="ES49" i="38"/>
  <c r="EN49" i="38"/>
  <c r="EO49" i="38" s="1"/>
  <c r="EJ49" i="38"/>
  <c r="EI49" i="38"/>
  <c r="ED49" i="38"/>
  <c r="EE49" i="38" s="1"/>
  <c r="DZ49" i="38"/>
  <c r="DY49" i="38"/>
  <c r="DT49" i="38"/>
  <c r="DP49" i="38"/>
  <c r="DO49" i="38"/>
  <c r="DK49" i="38"/>
  <c r="DJ49" i="38"/>
  <c r="DF49" i="38"/>
  <c r="DE49" i="38"/>
  <c r="FH49" i="38" s="1"/>
  <c r="CZ49" i="38"/>
  <c r="CU49" i="38"/>
  <c r="CP49" i="38"/>
  <c r="BY49" i="38"/>
  <c r="BX49" i="38"/>
  <c r="BW49" i="38"/>
  <c r="BO49" i="38"/>
  <c r="BN49" i="38"/>
  <c r="BK49" i="38"/>
  <c r="BF49" i="38"/>
  <c r="BA49" i="38"/>
  <c r="AV49" i="38"/>
  <c r="AQ49" i="38"/>
  <c r="AL49" i="38"/>
  <c r="AG49" i="38"/>
  <c r="AB49" i="38"/>
  <c r="W49" i="38"/>
  <c r="BZ49" i="38" s="1"/>
  <c r="R49" i="38"/>
  <c r="M49" i="38"/>
  <c r="H49" i="38"/>
  <c r="FG48" i="38"/>
  <c r="FF48" i="38"/>
  <c r="FE48" i="38"/>
  <c r="EW48" i="38"/>
  <c r="ET48" i="38"/>
  <c r="ES48" i="38"/>
  <c r="EO48" i="38"/>
  <c r="EN48" i="38"/>
  <c r="EJ48" i="38"/>
  <c r="EI48" i="38"/>
  <c r="EE48" i="38"/>
  <c r="ED48" i="38"/>
  <c r="DZ48" i="38"/>
  <c r="DY48" i="38"/>
  <c r="DT48" i="38"/>
  <c r="DO48" i="38"/>
  <c r="DP48" i="38" s="1"/>
  <c r="DJ48" i="38"/>
  <c r="DK48" i="38" s="1"/>
  <c r="DE48" i="38"/>
  <c r="DF48" i="38" s="1"/>
  <c r="CZ48" i="38"/>
  <c r="DA48" i="38" s="1"/>
  <c r="CU48" i="38"/>
  <c r="CN48" i="38"/>
  <c r="CN61" i="38" s="1"/>
  <c r="BY48" i="38"/>
  <c r="BX48" i="38"/>
  <c r="BW48" i="38"/>
  <c r="BO48" i="38"/>
  <c r="BN48" i="38"/>
  <c r="BK48" i="38"/>
  <c r="BL48" i="38" s="1"/>
  <c r="BF48" i="38"/>
  <c r="BB48" i="38"/>
  <c r="BA48" i="38"/>
  <c r="AW48" i="38"/>
  <c r="AV48" i="38"/>
  <c r="AQ48" i="38"/>
  <c r="AL48" i="38"/>
  <c r="AG48" i="38"/>
  <c r="AB48" i="38"/>
  <c r="W48" i="38"/>
  <c r="R48" i="38"/>
  <c r="M48" i="38"/>
  <c r="BP48" i="38" s="1"/>
  <c r="BQ48" i="38" s="1"/>
  <c r="H48" i="38"/>
  <c r="FQ47" i="38"/>
  <c r="FP47" i="38"/>
  <c r="FO47" i="38"/>
  <c r="FL47" i="38"/>
  <c r="FK47" i="38"/>
  <c r="FJ47" i="38"/>
  <c r="FH47" i="38"/>
  <c r="FG47" i="38"/>
  <c r="FF47" i="38"/>
  <c r="FE47" i="38"/>
  <c r="FB47" i="38"/>
  <c r="FA47" i="38"/>
  <c r="EZ47" i="38"/>
  <c r="EW47" i="38"/>
  <c r="EV47" i="38"/>
  <c r="ES47" i="38"/>
  <c r="ET47" i="38" s="1"/>
  <c r="EN47" i="38"/>
  <c r="EO47" i="38" s="1"/>
  <c r="EI47" i="38"/>
  <c r="ED47" i="38"/>
  <c r="EE47" i="38" s="1"/>
  <c r="DY47" i="38"/>
  <c r="DZ47" i="38" s="1"/>
  <c r="DT47" i="38"/>
  <c r="DP47" i="38"/>
  <c r="DO47" i="38"/>
  <c r="DK47" i="38"/>
  <c r="DJ47" i="38"/>
  <c r="DF47" i="38"/>
  <c r="DE47" i="38"/>
  <c r="CZ47" i="38"/>
  <c r="FC47" i="38" s="1"/>
  <c r="CU47" i="38"/>
  <c r="CP47" i="38"/>
  <c r="CI47" i="38"/>
  <c r="CH47" i="38"/>
  <c r="CG47" i="38"/>
  <c r="CD47" i="38"/>
  <c r="CC47" i="38"/>
  <c r="CB47" i="38"/>
  <c r="BY47" i="38"/>
  <c r="BX47" i="38"/>
  <c r="BW47" i="38"/>
  <c r="BT47" i="38"/>
  <c r="BS47" i="38"/>
  <c r="BR47" i="38"/>
  <c r="BO47" i="38"/>
  <c r="BN47" i="38"/>
  <c r="BK47" i="38"/>
  <c r="CJ47" i="38" s="1"/>
  <c r="CK47" i="38" s="1"/>
  <c r="BF47" i="38"/>
  <c r="BA47" i="38"/>
  <c r="AV47" i="38"/>
  <c r="AQ47" i="38"/>
  <c r="AL47" i="38"/>
  <c r="AG47" i="38"/>
  <c r="AB47" i="38"/>
  <c r="W47" i="38"/>
  <c r="BZ47" i="38" s="1"/>
  <c r="R47" i="38"/>
  <c r="M47" i="38"/>
  <c r="BU47" i="38" s="1"/>
  <c r="H47" i="38"/>
  <c r="FQ46" i="38"/>
  <c r="FP46" i="38"/>
  <c r="FO46" i="38"/>
  <c r="FL46" i="38"/>
  <c r="FK46" i="38"/>
  <c r="FJ46" i="38"/>
  <c r="FH46" i="38"/>
  <c r="FG46" i="38"/>
  <c r="FF46" i="38"/>
  <c r="FE46" i="38"/>
  <c r="FB46" i="38"/>
  <c r="FA46" i="38"/>
  <c r="EZ46" i="38"/>
  <c r="EW46" i="38"/>
  <c r="EV46" i="38"/>
  <c r="ES46" i="38"/>
  <c r="ET46" i="38" s="1"/>
  <c r="EN46" i="38"/>
  <c r="EO46" i="38" s="1"/>
  <c r="EI46" i="38"/>
  <c r="ED46" i="38"/>
  <c r="EE46" i="38" s="1"/>
  <c r="DY46" i="38"/>
  <c r="DZ46" i="38" s="1"/>
  <c r="DT46" i="38"/>
  <c r="DP46" i="38"/>
  <c r="DO46" i="38"/>
  <c r="DK46" i="38"/>
  <c r="DJ46" i="38"/>
  <c r="DF46" i="38"/>
  <c r="DE46" i="38"/>
  <c r="CZ46" i="38"/>
  <c r="CU46" i="38"/>
  <c r="CP46" i="38"/>
  <c r="CI46" i="38"/>
  <c r="CH46" i="38"/>
  <c r="CG46" i="38"/>
  <c r="CD46" i="38"/>
  <c r="CC46" i="38"/>
  <c r="CB46" i="38"/>
  <c r="BY46" i="38"/>
  <c r="BX46" i="38"/>
  <c r="BW46" i="38"/>
  <c r="BT46" i="38"/>
  <c r="BS46" i="38"/>
  <c r="BR46" i="38"/>
  <c r="BO46" i="38"/>
  <c r="BN46" i="38"/>
  <c r="BK46" i="38"/>
  <c r="BF46" i="38"/>
  <c r="BA46" i="38"/>
  <c r="AV46" i="38"/>
  <c r="AQ46" i="38"/>
  <c r="AL46" i="38"/>
  <c r="CE46" i="38" s="1"/>
  <c r="CF46" i="38" s="1"/>
  <c r="AG46" i="38"/>
  <c r="AB46" i="38"/>
  <c r="W46" i="38"/>
  <c r="BZ46" i="38" s="1"/>
  <c r="R46" i="38"/>
  <c r="M46" i="38"/>
  <c r="H46" i="38"/>
  <c r="BU46" i="38" s="1"/>
  <c r="FQ45" i="38"/>
  <c r="FP45" i="38"/>
  <c r="FO45" i="38"/>
  <c r="FL45" i="38"/>
  <c r="FK45" i="38"/>
  <c r="FJ45" i="38"/>
  <c r="FG45" i="38"/>
  <c r="FF45" i="38"/>
  <c r="FE45" i="38"/>
  <c r="FB45" i="38"/>
  <c r="FA45" i="38"/>
  <c r="EZ45" i="38"/>
  <c r="EW45" i="38"/>
  <c r="EV45" i="38"/>
  <c r="ET45" i="38"/>
  <c r="ES45" i="38"/>
  <c r="EN45" i="38"/>
  <c r="EO45" i="38" s="1"/>
  <c r="EJ45" i="38"/>
  <c r="EI45" i="38"/>
  <c r="ED45" i="38"/>
  <c r="EE45" i="38" s="1"/>
  <c r="DZ45" i="38"/>
  <c r="DY45" i="38"/>
  <c r="DT45" i="38"/>
  <c r="DP45" i="38"/>
  <c r="DO45" i="38"/>
  <c r="DJ45" i="38"/>
  <c r="DK45" i="38" s="1"/>
  <c r="DE45" i="38"/>
  <c r="CZ45" i="38"/>
  <c r="DA45" i="38" s="1"/>
  <c r="CU45" i="38"/>
  <c r="FC45" i="38" s="1"/>
  <c r="FD45" i="38" s="1"/>
  <c r="CQ45" i="38"/>
  <c r="CP45" i="38"/>
  <c r="CI45" i="38"/>
  <c r="CH45" i="38"/>
  <c r="CG45" i="38"/>
  <c r="CD45" i="38"/>
  <c r="CC45" i="38"/>
  <c r="CB45" i="38"/>
  <c r="BY45" i="38"/>
  <c r="BX45" i="38"/>
  <c r="BW45" i="38"/>
  <c r="BT45" i="38"/>
  <c r="BS45" i="38"/>
  <c r="BR45" i="38"/>
  <c r="BO45" i="38"/>
  <c r="BN45" i="38"/>
  <c r="BK45" i="38"/>
  <c r="BF45" i="38"/>
  <c r="CJ45" i="38" s="1"/>
  <c r="CK45" i="38" s="1"/>
  <c r="BB45" i="38"/>
  <c r="BA45" i="38"/>
  <c r="AV45" i="38"/>
  <c r="AW45" i="38" s="1"/>
  <c r="AR45" i="38"/>
  <c r="AQ45" i="38"/>
  <c r="AL45" i="38"/>
  <c r="CE45" i="38" s="1"/>
  <c r="CF45" i="38" s="1"/>
  <c r="AG45" i="38"/>
  <c r="AC45" i="38"/>
  <c r="AB45" i="38"/>
  <c r="W45" i="38"/>
  <c r="R45" i="38"/>
  <c r="M45" i="38"/>
  <c r="H45" i="38"/>
  <c r="I45" i="38" s="1"/>
  <c r="FR44" i="38"/>
  <c r="FS44" i="38" s="1"/>
  <c r="FQ44" i="38"/>
  <c r="FP44" i="38"/>
  <c r="FO44" i="38"/>
  <c r="FN44" i="38"/>
  <c r="FL44" i="38"/>
  <c r="FK44" i="38"/>
  <c r="FJ44" i="38"/>
  <c r="FH44" i="38"/>
  <c r="FI44" i="38" s="1"/>
  <c r="FG44" i="38"/>
  <c r="FF44" i="38"/>
  <c r="FE44" i="38"/>
  <c r="FC44" i="38"/>
  <c r="FB44" i="38"/>
  <c r="FA44" i="38"/>
  <c r="EZ44" i="38"/>
  <c r="EW44" i="38"/>
  <c r="EV44" i="38"/>
  <c r="ET44" i="38"/>
  <c r="ES44" i="38"/>
  <c r="EO44" i="38"/>
  <c r="EN44" i="38"/>
  <c r="EJ44" i="38"/>
  <c r="EI44" i="38"/>
  <c r="EE44" i="38"/>
  <c r="ED44" i="38"/>
  <c r="DZ44" i="38"/>
  <c r="DY44" i="38"/>
  <c r="DT44" i="38"/>
  <c r="FM44" i="38" s="1"/>
  <c r="DO44" i="38"/>
  <c r="DP44" i="38" s="1"/>
  <c r="DK44" i="38"/>
  <c r="DJ44" i="38"/>
  <c r="DE44" i="38"/>
  <c r="DF44" i="38" s="1"/>
  <c r="CZ44" i="38"/>
  <c r="DA44" i="38" s="1"/>
  <c r="CU44" i="38"/>
  <c r="CV44" i="38" s="1"/>
  <c r="CP44" i="38"/>
  <c r="EX44" i="38" s="1"/>
  <c r="EY44" i="38" s="1"/>
  <c r="CI44" i="38"/>
  <c r="CH44" i="38"/>
  <c r="CG44" i="38"/>
  <c r="CD44" i="38"/>
  <c r="CC44" i="38"/>
  <c r="CB44" i="38"/>
  <c r="BY44" i="38"/>
  <c r="BX44" i="38"/>
  <c r="BW44" i="38"/>
  <c r="BU44" i="38"/>
  <c r="BT44" i="38"/>
  <c r="BS44" i="38"/>
  <c r="BR44" i="38"/>
  <c r="BO44" i="38"/>
  <c r="BN44" i="38"/>
  <c r="BL44" i="38"/>
  <c r="BK44" i="38"/>
  <c r="BF44" i="38"/>
  <c r="BG44" i="38" s="1"/>
  <c r="BA44" i="38"/>
  <c r="AW44" i="38"/>
  <c r="AV44" i="38"/>
  <c r="AQ44" i="38"/>
  <c r="AL44" i="38"/>
  <c r="CE44" i="38" s="1"/>
  <c r="AH44" i="38"/>
  <c r="AG44" i="38"/>
  <c r="AC44" i="38"/>
  <c r="AB44" i="38"/>
  <c r="W44" i="38"/>
  <c r="BZ44" i="38" s="1"/>
  <c r="CA44" i="38" s="1"/>
  <c r="R44" i="38"/>
  <c r="M44" i="38"/>
  <c r="BP44" i="38" s="1"/>
  <c r="BQ44" i="38" s="1"/>
  <c r="H44" i="38"/>
  <c r="FQ43" i="38"/>
  <c r="FP43" i="38"/>
  <c r="FO43" i="38"/>
  <c r="FM43" i="38"/>
  <c r="FN43" i="38" s="1"/>
  <c r="FL43" i="38"/>
  <c r="FK43" i="38"/>
  <c r="FJ43" i="38"/>
  <c r="FH43" i="38"/>
  <c r="FG43" i="38"/>
  <c r="FF43" i="38"/>
  <c r="FE43" i="38"/>
  <c r="FC43" i="38"/>
  <c r="FB43" i="38"/>
  <c r="FA43" i="38"/>
  <c r="EZ43" i="38"/>
  <c r="EX43" i="38"/>
  <c r="EW43" i="38"/>
  <c r="EV43" i="38"/>
  <c r="ES43" i="38"/>
  <c r="ET43" i="38" s="1"/>
  <c r="EO43" i="38"/>
  <c r="EN43" i="38"/>
  <c r="EI43" i="38"/>
  <c r="ED43" i="38"/>
  <c r="EE43" i="38" s="1"/>
  <c r="DY43" i="38"/>
  <c r="DZ43" i="38" s="1"/>
  <c r="DT43" i="38"/>
  <c r="DP43" i="38"/>
  <c r="DO43" i="38"/>
  <c r="DJ43" i="38"/>
  <c r="DK43" i="38" s="1"/>
  <c r="DF43" i="38"/>
  <c r="DE43" i="38"/>
  <c r="CZ43" i="38"/>
  <c r="CU43" i="38"/>
  <c r="CP43" i="38"/>
  <c r="CI43" i="38"/>
  <c r="CH43" i="38"/>
  <c r="CG43" i="38"/>
  <c r="CD43" i="38"/>
  <c r="CC43" i="38"/>
  <c r="CB43" i="38"/>
  <c r="BY43" i="38"/>
  <c r="BX43" i="38"/>
  <c r="BW43" i="38"/>
  <c r="BT43" i="38"/>
  <c r="BS43" i="38"/>
  <c r="BR43" i="38"/>
  <c r="BO43" i="38"/>
  <c r="BN43" i="38"/>
  <c r="BK43" i="38"/>
  <c r="CJ43" i="38" s="1"/>
  <c r="CK43" i="38" s="1"/>
  <c r="BF43" i="38"/>
  <c r="BA43" i="38"/>
  <c r="AV43" i="38"/>
  <c r="AQ43" i="38"/>
  <c r="AL43" i="38"/>
  <c r="AG43" i="38"/>
  <c r="AB43" i="38"/>
  <c r="W43" i="38"/>
  <c r="BZ43" i="38" s="1"/>
  <c r="R43" i="38"/>
  <c r="M43" i="38"/>
  <c r="BU43" i="38" s="1"/>
  <c r="H43" i="38"/>
  <c r="FS42" i="38"/>
  <c r="FQ42" i="38"/>
  <c r="FP42" i="38"/>
  <c r="FO42" i="38"/>
  <c r="FL42" i="38"/>
  <c r="FK42" i="38"/>
  <c r="FJ42" i="38"/>
  <c r="FH42" i="38"/>
  <c r="FG42" i="38"/>
  <c r="FF42" i="38"/>
  <c r="FE42" i="38"/>
  <c r="FB42" i="38"/>
  <c r="FA42" i="38"/>
  <c r="EZ42" i="38"/>
  <c r="EW42" i="38"/>
  <c r="EV42" i="38"/>
  <c r="ES42" i="38"/>
  <c r="ET42" i="38" s="1"/>
  <c r="EN42" i="38"/>
  <c r="EO42" i="38" s="1"/>
  <c r="EI42" i="38"/>
  <c r="FR42" i="38" s="1"/>
  <c r="ED42" i="38"/>
  <c r="EE42" i="38" s="1"/>
  <c r="DY42" i="38"/>
  <c r="DZ42" i="38" s="1"/>
  <c r="DT42" i="38"/>
  <c r="DP42" i="38"/>
  <c r="DO42" i="38"/>
  <c r="DK42" i="38"/>
  <c r="DJ42" i="38"/>
  <c r="DF42" i="38"/>
  <c r="DE42" i="38"/>
  <c r="CZ42" i="38"/>
  <c r="CU42" i="38"/>
  <c r="CP42" i="38"/>
  <c r="CI42" i="38"/>
  <c r="CH42" i="38"/>
  <c r="CG42" i="38"/>
  <c r="CD42" i="38"/>
  <c r="CC42" i="38"/>
  <c r="CB42" i="38"/>
  <c r="BY42" i="38"/>
  <c r="BX42" i="38"/>
  <c r="BW42" i="38"/>
  <c r="BT42" i="38"/>
  <c r="BS42" i="38"/>
  <c r="BR42" i="38"/>
  <c r="BO42" i="38"/>
  <c r="BN42" i="38"/>
  <c r="BK42" i="38"/>
  <c r="BF42" i="38"/>
  <c r="BA42" i="38"/>
  <c r="CJ42" i="38" s="1"/>
  <c r="CK42" i="38" s="1"/>
  <c r="AV42" i="38"/>
  <c r="AQ42" i="38"/>
  <c r="AL42" i="38"/>
  <c r="CE42" i="38" s="1"/>
  <c r="CF42" i="38" s="1"/>
  <c r="AG42" i="38"/>
  <c r="AB42" i="38"/>
  <c r="W42" i="38"/>
  <c r="BZ42" i="38" s="1"/>
  <c r="R42" i="38"/>
  <c r="M42" i="38"/>
  <c r="H42" i="38"/>
  <c r="BU42" i="38" s="1"/>
  <c r="FQ41" i="38"/>
  <c r="FP41" i="38"/>
  <c r="FO41" i="38"/>
  <c r="FM41" i="38"/>
  <c r="FN41" i="38" s="1"/>
  <c r="FL41" i="38"/>
  <c r="FK41" i="38"/>
  <c r="FJ41" i="38"/>
  <c r="FI41" i="38"/>
  <c r="FG41" i="38"/>
  <c r="FF41" i="38"/>
  <c r="FE41" i="38"/>
  <c r="FB41" i="38"/>
  <c r="FA41" i="38"/>
  <c r="EZ41" i="38"/>
  <c r="EW41" i="38"/>
  <c r="EV41" i="38"/>
  <c r="ET41" i="38"/>
  <c r="ES41" i="38"/>
  <c r="EO41" i="38"/>
  <c r="EN41" i="38"/>
  <c r="EJ41" i="38"/>
  <c r="EI41" i="38"/>
  <c r="FR41" i="38" s="1"/>
  <c r="FS41" i="38" s="1"/>
  <c r="EE41" i="38"/>
  <c r="ED41" i="38"/>
  <c r="DZ41" i="38"/>
  <c r="DY41" i="38"/>
  <c r="DT41" i="38"/>
  <c r="DO41" i="38"/>
  <c r="DP41" i="38" s="1"/>
  <c r="DJ41" i="38"/>
  <c r="DK41" i="38" s="1"/>
  <c r="DE41" i="38"/>
  <c r="FH41" i="38" s="1"/>
  <c r="CZ41" i="38"/>
  <c r="CV41" i="38"/>
  <c r="CU41" i="38"/>
  <c r="CP41" i="38"/>
  <c r="FC41" i="38" s="1"/>
  <c r="FD41" i="38" s="1"/>
  <c r="CI41" i="38"/>
  <c r="CH41" i="38"/>
  <c r="CG41" i="38"/>
  <c r="CD41" i="38"/>
  <c r="CC41" i="38"/>
  <c r="CB41" i="38"/>
  <c r="BY41" i="38"/>
  <c r="BX41" i="38"/>
  <c r="BW41" i="38"/>
  <c r="BT41" i="38"/>
  <c r="BS41" i="38"/>
  <c r="BR41" i="38"/>
  <c r="BO41" i="38"/>
  <c r="BN41" i="38"/>
  <c r="BK41" i="38"/>
  <c r="BF41" i="38"/>
  <c r="CJ41" i="38" s="1"/>
  <c r="CK41" i="38" s="1"/>
  <c r="BA41" i="38"/>
  <c r="AV41" i="38"/>
  <c r="AQ41" i="38"/>
  <c r="AL41" i="38"/>
  <c r="CE41" i="38" s="1"/>
  <c r="CF41" i="38" s="1"/>
  <c r="AG41" i="38"/>
  <c r="AH41" i="38" s="1"/>
  <c r="AB41" i="38"/>
  <c r="W41" i="38"/>
  <c r="BZ41" i="38" s="1"/>
  <c r="CA41" i="38" s="1"/>
  <c r="R41" i="38"/>
  <c r="N41" i="38"/>
  <c r="M41" i="38"/>
  <c r="H41" i="38"/>
  <c r="FR40" i="38"/>
  <c r="FS40" i="38" s="1"/>
  <c r="FQ40" i="38"/>
  <c r="FP40" i="38"/>
  <c r="FO40" i="38"/>
  <c r="FL40" i="38"/>
  <c r="FK40" i="38"/>
  <c r="FJ40" i="38"/>
  <c r="FG40" i="38"/>
  <c r="FF40" i="38"/>
  <c r="FE40" i="38"/>
  <c r="FB40" i="38"/>
  <c r="FA40" i="38"/>
  <c r="EZ40" i="38"/>
  <c r="EW40" i="38"/>
  <c r="EV40" i="38"/>
  <c r="ET40" i="38"/>
  <c r="ES40" i="38"/>
  <c r="EO40" i="38"/>
  <c r="EN40" i="38"/>
  <c r="EJ40" i="38"/>
  <c r="EI40" i="38"/>
  <c r="EE40" i="38"/>
  <c r="ED40" i="38"/>
  <c r="DZ40" i="38"/>
  <c r="DY40" i="38"/>
  <c r="DT40" i="38"/>
  <c r="FM40" i="38" s="1"/>
  <c r="FN40" i="38" s="1"/>
  <c r="DO40" i="38"/>
  <c r="DP40" i="38" s="1"/>
  <c r="DJ40" i="38"/>
  <c r="DK40" i="38" s="1"/>
  <c r="DE40" i="38"/>
  <c r="DF40" i="38" s="1"/>
  <c r="CZ40" i="38"/>
  <c r="DA40" i="38" s="1"/>
  <c r="CU40" i="38"/>
  <c r="CV40" i="38" s="1"/>
  <c r="CP40" i="38"/>
  <c r="CI40" i="38"/>
  <c r="CH40" i="38"/>
  <c r="CG40" i="38"/>
  <c r="CD40" i="38"/>
  <c r="CC40" i="38"/>
  <c r="CB40" i="38"/>
  <c r="BY40" i="38"/>
  <c r="BX40" i="38"/>
  <c r="BW40" i="38"/>
  <c r="BT40" i="38"/>
  <c r="BS40" i="38"/>
  <c r="BR40" i="38"/>
  <c r="BO40" i="38"/>
  <c r="BN40" i="38"/>
  <c r="BK40" i="38"/>
  <c r="BF40" i="38"/>
  <c r="BA40" i="38"/>
  <c r="CJ40" i="38" s="1"/>
  <c r="CK40" i="38" s="1"/>
  <c r="AV40" i="38"/>
  <c r="AQ40" i="38"/>
  <c r="AL40" i="38"/>
  <c r="CE40" i="38" s="1"/>
  <c r="CF40" i="38" s="1"/>
  <c r="AG40" i="38"/>
  <c r="AB40" i="38"/>
  <c r="W40" i="38"/>
  <c r="R40" i="38"/>
  <c r="M40" i="38"/>
  <c r="H40" i="38"/>
  <c r="BU40" i="38" s="1"/>
  <c r="FQ39" i="38"/>
  <c r="FP39" i="38"/>
  <c r="FO39" i="38"/>
  <c r="FM39" i="38"/>
  <c r="FN39" i="38" s="1"/>
  <c r="FL39" i="38"/>
  <c r="FK39" i="38"/>
  <c r="FJ39" i="38"/>
  <c r="FG39" i="38"/>
  <c r="FF39" i="38"/>
  <c r="FE39" i="38"/>
  <c r="FB39" i="38"/>
  <c r="FA39" i="38"/>
  <c r="EZ39" i="38"/>
  <c r="EW39" i="38"/>
  <c r="EV39" i="38"/>
  <c r="ET39" i="38"/>
  <c r="ES39" i="38"/>
  <c r="EO39" i="38"/>
  <c r="EN39" i="38"/>
  <c r="EJ39" i="38"/>
  <c r="EI39" i="38"/>
  <c r="EI61" i="38" s="1"/>
  <c r="EE39" i="38"/>
  <c r="ED39" i="38"/>
  <c r="DZ39" i="38"/>
  <c r="DY39" i="38"/>
  <c r="DU39" i="38"/>
  <c r="DT39" i="38"/>
  <c r="DP39" i="38"/>
  <c r="DO39" i="38"/>
  <c r="DK39" i="38"/>
  <c r="DJ39" i="38"/>
  <c r="DF39" i="38"/>
  <c r="DE39" i="38"/>
  <c r="CZ39" i="38"/>
  <c r="CZ61" i="38" s="1"/>
  <c r="CU39" i="38"/>
  <c r="CU61" i="38" s="1"/>
  <c r="CP39" i="38"/>
  <c r="CI39" i="38"/>
  <c r="CH39" i="38"/>
  <c r="CG39" i="38"/>
  <c r="CD39" i="38"/>
  <c r="CC39" i="38"/>
  <c r="CC61" i="38" s="1"/>
  <c r="CB39" i="38"/>
  <c r="BZ39" i="38"/>
  <c r="BY39" i="38"/>
  <c r="BX39" i="38"/>
  <c r="BW39" i="38"/>
  <c r="BT39" i="38"/>
  <c r="BS39" i="38"/>
  <c r="BR39" i="38"/>
  <c r="BP39" i="38"/>
  <c r="BO39" i="38"/>
  <c r="BN39" i="38"/>
  <c r="BN61" i="38" s="1"/>
  <c r="BK39" i="38"/>
  <c r="BG39" i="38"/>
  <c r="BF39" i="38"/>
  <c r="BB39" i="38"/>
  <c r="BA39" i="38"/>
  <c r="CJ39" i="38" s="1"/>
  <c r="AW39" i="38"/>
  <c r="AV39" i="38"/>
  <c r="AR39" i="38"/>
  <c r="AQ39" i="38"/>
  <c r="AM39" i="38"/>
  <c r="AL39" i="38"/>
  <c r="AH39" i="38"/>
  <c r="AG39" i="38"/>
  <c r="AC39" i="38"/>
  <c r="AB39" i="38"/>
  <c r="X39" i="38"/>
  <c r="W39" i="38"/>
  <c r="S39" i="38"/>
  <c r="R39" i="38"/>
  <c r="N39" i="38"/>
  <c r="M39" i="38"/>
  <c r="I39" i="38"/>
  <c r="H39" i="38"/>
  <c r="ER38" i="38"/>
  <c r="EQ38" i="38"/>
  <c r="EP38" i="38"/>
  <c r="EM38" i="38"/>
  <c r="EL38" i="38"/>
  <c r="EK38" i="38"/>
  <c r="EH38" i="38"/>
  <c r="EG38" i="38"/>
  <c r="EF38" i="38"/>
  <c r="EC38" i="38"/>
  <c r="EB38" i="38"/>
  <c r="EA38" i="38"/>
  <c r="DX38" i="38"/>
  <c r="DW38" i="38"/>
  <c r="DV38" i="38"/>
  <c r="DS38" i="38"/>
  <c r="DR38" i="38"/>
  <c r="DQ38" i="38"/>
  <c r="DN38" i="38"/>
  <c r="DM38" i="38"/>
  <c r="DL38" i="38"/>
  <c r="DL63" i="38" s="1"/>
  <c r="DI38" i="38"/>
  <c r="DH38" i="38"/>
  <c r="DG38" i="38"/>
  <c r="DD38" i="38"/>
  <c r="DC38" i="38"/>
  <c r="DB38" i="38"/>
  <c r="CY38" i="38"/>
  <c r="CX38" i="38"/>
  <c r="CW38" i="38"/>
  <c r="CT38" i="38"/>
  <c r="CS38" i="38"/>
  <c r="CR38" i="38"/>
  <c r="CO38" i="38"/>
  <c r="CN38" i="38"/>
  <c r="CM38" i="38"/>
  <c r="BJ38" i="38"/>
  <c r="BI38" i="38"/>
  <c r="BH38" i="38"/>
  <c r="BE38" i="38"/>
  <c r="BC38" i="38"/>
  <c r="AZ38" i="38"/>
  <c r="AY38" i="38"/>
  <c r="AX38" i="38"/>
  <c r="AU38" i="38"/>
  <c r="AT38" i="38"/>
  <c r="AS38" i="38"/>
  <c r="AP38" i="38"/>
  <c r="AO38" i="38"/>
  <c r="AN38" i="38"/>
  <c r="AK38" i="38"/>
  <c r="AJ38" i="38"/>
  <c r="AI38" i="38"/>
  <c r="AF38" i="38"/>
  <c r="AD38" i="38"/>
  <c r="AA38" i="38"/>
  <c r="Z38" i="38"/>
  <c r="Y38" i="38"/>
  <c r="V38" i="38"/>
  <c r="U38" i="38"/>
  <c r="T38" i="38"/>
  <c r="Q38" i="38"/>
  <c r="P38" i="38"/>
  <c r="O38" i="38"/>
  <c r="J38" i="38"/>
  <c r="G38" i="38"/>
  <c r="F38" i="38"/>
  <c r="E38" i="38"/>
  <c r="DF36" i="38"/>
  <c r="DO35" i="38"/>
  <c r="DP35" i="38" s="1"/>
  <c r="DF35" i="38"/>
  <c r="FQ34" i="38"/>
  <c r="FP34" i="38"/>
  <c r="FO34" i="38"/>
  <c r="FG34" i="38"/>
  <c r="FF34" i="38"/>
  <c r="FE34" i="38"/>
  <c r="FB34" i="38"/>
  <c r="FA34" i="38"/>
  <c r="EZ34" i="38"/>
  <c r="EW34" i="38"/>
  <c r="EV34" i="38"/>
  <c r="ES34" i="38"/>
  <c r="ET34" i="38" s="1"/>
  <c r="EN34" i="38"/>
  <c r="EJ34" i="38"/>
  <c r="EI34" i="38"/>
  <c r="FR34" i="38" s="1"/>
  <c r="FS34" i="38" s="1"/>
  <c r="EE34" i="38"/>
  <c r="ED34" i="38"/>
  <c r="DZ34" i="38"/>
  <c r="DY34" i="38"/>
  <c r="DU34" i="38"/>
  <c r="DT34" i="38"/>
  <c r="DP34" i="38"/>
  <c r="DO34" i="38"/>
  <c r="DK34" i="38"/>
  <c r="DJ34" i="38"/>
  <c r="DF34" i="38"/>
  <c r="DE34" i="38"/>
  <c r="FH34" i="38" s="1"/>
  <c r="DA34" i="38"/>
  <c r="CZ34" i="38"/>
  <c r="CU34" i="38"/>
  <c r="EX34" i="38" s="1"/>
  <c r="EY34" i="38" s="1"/>
  <c r="CP34" i="38"/>
  <c r="FC34" i="38" s="1"/>
  <c r="CI34" i="38"/>
  <c r="CH34" i="38"/>
  <c r="CG34" i="38"/>
  <c r="BY34" i="38"/>
  <c r="BX34" i="38"/>
  <c r="BW34" i="38"/>
  <c r="BT34" i="38"/>
  <c r="BS34" i="38"/>
  <c r="BR34" i="38"/>
  <c r="BO34" i="38"/>
  <c r="BN34" i="38"/>
  <c r="BK34" i="38"/>
  <c r="BF34" i="38"/>
  <c r="BA34" i="38"/>
  <c r="AV34" i="38"/>
  <c r="AQ34" i="38"/>
  <c r="AL34" i="38"/>
  <c r="BP34" i="38" s="1"/>
  <c r="BQ34" i="38" s="1"/>
  <c r="AG34" i="38"/>
  <c r="AB34" i="38"/>
  <c r="W34" i="38"/>
  <c r="R34" i="38"/>
  <c r="M34" i="38"/>
  <c r="H34" i="38"/>
  <c r="BU34" i="38" s="1"/>
  <c r="FH33" i="38"/>
  <c r="FG33" i="38"/>
  <c r="FF33" i="38"/>
  <c r="FE33" i="38"/>
  <c r="EW33" i="38"/>
  <c r="EV33" i="38"/>
  <c r="ES33" i="38"/>
  <c r="ET33" i="38" s="1"/>
  <c r="EN33" i="38"/>
  <c r="EJ33" i="38"/>
  <c r="EI33" i="38"/>
  <c r="EE33" i="38"/>
  <c r="ED33" i="38"/>
  <c r="DZ33" i="38"/>
  <c r="DY33" i="38"/>
  <c r="DU33" i="38"/>
  <c r="DT33" i="38"/>
  <c r="DP33" i="38"/>
  <c r="DO33" i="38"/>
  <c r="DK33" i="38"/>
  <c r="DJ33" i="38"/>
  <c r="DF33" i="38"/>
  <c r="DE33" i="38"/>
  <c r="CZ33" i="38"/>
  <c r="EX33" i="38" s="1"/>
  <c r="CU33" i="38"/>
  <c r="CP33" i="38"/>
  <c r="BY33" i="38"/>
  <c r="BX33" i="38"/>
  <c r="BW33" i="38"/>
  <c r="BO33" i="38"/>
  <c r="BN33" i="38"/>
  <c r="BK33" i="38"/>
  <c r="BF33" i="38"/>
  <c r="BA33" i="38"/>
  <c r="AV33" i="38"/>
  <c r="AQ33" i="38"/>
  <c r="AL33" i="38"/>
  <c r="AG33" i="38"/>
  <c r="AB33" i="38"/>
  <c r="W33" i="38"/>
  <c r="R33" i="38"/>
  <c r="M33" i="38"/>
  <c r="H33" i="38"/>
  <c r="FH32" i="38"/>
  <c r="FG32" i="38"/>
  <c r="FF32" i="38"/>
  <c r="FE32" i="38"/>
  <c r="EW32" i="38"/>
  <c r="EV32" i="38"/>
  <c r="ES32" i="38"/>
  <c r="ET32" i="38" s="1"/>
  <c r="EN32" i="38"/>
  <c r="EJ32" i="38"/>
  <c r="EI32" i="38"/>
  <c r="EE32" i="38"/>
  <c r="ED32" i="38"/>
  <c r="DZ32" i="38"/>
  <c r="DY32" i="38"/>
  <c r="DU32" i="38"/>
  <c r="DT32" i="38"/>
  <c r="DP32" i="38"/>
  <c r="DO32" i="38"/>
  <c r="DK32" i="38"/>
  <c r="DJ32" i="38"/>
  <c r="DF32" i="38"/>
  <c r="DE32" i="38"/>
  <c r="CZ32" i="38"/>
  <c r="EX32" i="38" s="1"/>
  <c r="CU32" i="38"/>
  <c r="CQ32" i="38"/>
  <c r="CP32" i="38"/>
  <c r="BY32" i="38"/>
  <c r="BX32" i="38"/>
  <c r="BW32" i="38"/>
  <c r="BO32" i="38"/>
  <c r="BN32" i="38"/>
  <c r="BK32" i="38"/>
  <c r="BF32" i="38"/>
  <c r="BA32" i="38"/>
  <c r="AV32" i="38"/>
  <c r="AQ32" i="38"/>
  <c r="AL32" i="38"/>
  <c r="AG32" i="38"/>
  <c r="AB32" i="38"/>
  <c r="BZ32" i="38" s="1"/>
  <c r="W32" i="38"/>
  <c r="R32" i="38"/>
  <c r="M32" i="38"/>
  <c r="H32" i="38"/>
  <c r="BP32" i="38" s="1"/>
  <c r="FQ31" i="38"/>
  <c r="FP31" i="38"/>
  <c r="FO31" i="38"/>
  <c r="FL31" i="38"/>
  <c r="FK31" i="38"/>
  <c r="FJ31" i="38"/>
  <c r="FG31" i="38"/>
  <c r="FF31" i="38"/>
  <c r="FE31" i="38"/>
  <c r="FB31" i="38"/>
  <c r="FA31" i="38"/>
  <c r="EZ31" i="38"/>
  <c r="EW31" i="38"/>
  <c r="EV31" i="38"/>
  <c r="ET31" i="38"/>
  <c r="ES31" i="38"/>
  <c r="EN31" i="38"/>
  <c r="EI31" i="38"/>
  <c r="ED31" i="38"/>
  <c r="EE31" i="38" s="1"/>
  <c r="DY31" i="38"/>
  <c r="DZ31" i="38" s="1"/>
  <c r="DT31" i="38"/>
  <c r="DO31" i="38"/>
  <c r="DP31" i="38" s="1"/>
  <c r="DJ31" i="38"/>
  <c r="DK31" i="38" s="1"/>
  <c r="DE31" i="38"/>
  <c r="CZ31" i="38"/>
  <c r="CU31" i="38"/>
  <c r="CP31" i="38"/>
  <c r="FC31" i="38" s="1"/>
  <c r="CI31" i="38"/>
  <c r="CH31" i="38"/>
  <c r="CG31" i="38"/>
  <c r="CD31" i="38"/>
  <c r="CC31" i="38"/>
  <c r="CB31" i="38"/>
  <c r="BZ31" i="38"/>
  <c r="BY31" i="38"/>
  <c r="BX31" i="38"/>
  <c r="BW31" i="38"/>
  <c r="BT31" i="38"/>
  <c r="BS31" i="38"/>
  <c r="BR31" i="38"/>
  <c r="BO31" i="38"/>
  <c r="BN31" i="38"/>
  <c r="BK31" i="38"/>
  <c r="BF31" i="38"/>
  <c r="CJ31" i="38" s="1"/>
  <c r="BA31" i="38"/>
  <c r="AV31" i="38"/>
  <c r="AQ31" i="38"/>
  <c r="AL31" i="38"/>
  <c r="CE31" i="38" s="1"/>
  <c r="AG31" i="38"/>
  <c r="AB31" i="38"/>
  <c r="W31" i="38"/>
  <c r="R31" i="38"/>
  <c r="BU31" i="38" s="1"/>
  <c r="M31" i="38"/>
  <c r="H31" i="38"/>
  <c r="FG30" i="38"/>
  <c r="FF30" i="38"/>
  <c r="FE30" i="38"/>
  <c r="EX30" i="38"/>
  <c r="EY30" i="38" s="1"/>
  <c r="EW30" i="38"/>
  <c r="EV30" i="38"/>
  <c r="ES30" i="38"/>
  <c r="ET30" i="38" s="1"/>
  <c r="EN30" i="38"/>
  <c r="EJ30" i="38"/>
  <c r="EI30" i="38"/>
  <c r="EE30" i="38"/>
  <c r="ED30" i="38"/>
  <c r="DZ30" i="38"/>
  <c r="DY30" i="38"/>
  <c r="DU30" i="38"/>
  <c r="DT30" i="38"/>
  <c r="DP30" i="38"/>
  <c r="DO30" i="38"/>
  <c r="DK30" i="38"/>
  <c r="DJ30" i="38"/>
  <c r="DF30" i="38"/>
  <c r="DE30" i="38"/>
  <c r="FH30" i="38" s="1"/>
  <c r="CZ30" i="38"/>
  <c r="CU30" i="38"/>
  <c r="CP30" i="38"/>
  <c r="BY30" i="38"/>
  <c r="BX30" i="38"/>
  <c r="BW30" i="38"/>
  <c r="BO30" i="38"/>
  <c r="BN30" i="38"/>
  <c r="BK30" i="38"/>
  <c r="BF30" i="38"/>
  <c r="BA30" i="38"/>
  <c r="AV30" i="38"/>
  <c r="AQ30" i="38"/>
  <c r="AL30" i="38"/>
  <c r="AG30" i="38"/>
  <c r="AB30" i="38"/>
  <c r="W30" i="38"/>
  <c r="BZ30" i="38" s="1"/>
  <c r="R30" i="38"/>
  <c r="BP30" i="38" s="1"/>
  <c r="BQ30" i="38" s="1"/>
  <c r="M30" i="38"/>
  <c r="H30" i="38"/>
  <c r="FR29" i="38"/>
  <c r="FS29" i="38" s="1"/>
  <c r="FQ29" i="38"/>
  <c r="FP29" i="38"/>
  <c r="FO29" i="38"/>
  <c r="FL29" i="38"/>
  <c r="FK29" i="38"/>
  <c r="FJ29" i="38"/>
  <c r="FG29" i="38"/>
  <c r="FF29" i="38"/>
  <c r="FE29" i="38"/>
  <c r="FB29" i="38"/>
  <c r="FA29" i="38"/>
  <c r="EZ29" i="38"/>
  <c r="EW29" i="38"/>
  <c r="EV29" i="38"/>
  <c r="ET29" i="38"/>
  <c r="ES29" i="38"/>
  <c r="EN29" i="38"/>
  <c r="EI29" i="38"/>
  <c r="EJ29" i="38" s="1"/>
  <c r="ED29" i="38"/>
  <c r="EE29" i="38" s="1"/>
  <c r="DY29" i="38"/>
  <c r="DZ29" i="38" s="1"/>
  <c r="DT29" i="38"/>
  <c r="FM29" i="38" s="1"/>
  <c r="FN29" i="38" s="1"/>
  <c r="DO29" i="38"/>
  <c r="DP29" i="38" s="1"/>
  <c r="DJ29" i="38"/>
  <c r="DK29" i="38" s="1"/>
  <c r="DE29" i="38"/>
  <c r="CZ29" i="38"/>
  <c r="CU29" i="38"/>
  <c r="CP29" i="38"/>
  <c r="FC29" i="38" s="1"/>
  <c r="CI29" i="38"/>
  <c r="CH29" i="38"/>
  <c r="CG29" i="38"/>
  <c r="CD29" i="38"/>
  <c r="CC29" i="38"/>
  <c r="CB29" i="38"/>
  <c r="BY29" i="38"/>
  <c r="BX29" i="38"/>
  <c r="BW29" i="38"/>
  <c r="BT29" i="38"/>
  <c r="BS29" i="38"/>
  <c r="BR29" i="38"/>
  <c r="BO29" i="38"/>
  <c r="BN29" i="38"/>
  <c r="BK29" i="38"/>
  <c r="BF29" i="38"/>
  <c r="BA29" i="38"/>
  <c r="CJ29" i="38" s="1"/>
  <c r="CK29" i="38" s="1"/>
  <c r="AV29" i="38"/>
  <c r="AQ29" i="38"/>
  <c r="AL29" i="38"/>
  <c r="AG29" i="38"/>
  <c r="AB29" i="38"/>
  <c r="BZ29" i="38" s="1"/>
  <c r="W29" i="38"/>
  <c r="R29" i="38"/>
  <c r="M29" i="38"/>
  <c r="H29" i="38"/>
  <c r="FQ28" i="38"/>
  <c r="FP28" i="38"/>
  <c r="FO28" i="38"/>
  <c r="FL28" i="38"/>
  <c r="FK28" i="38"/>
  <c r="FJ28" i="38"/>
  <c r="FG28" i="38"/>
  <c r="FF28" i="38"/>
  <c r="FE28" i="38"/>
  <c r="FB28" i="38"/>
  <c r="FA28" i="38"/>
  <c r="EZ28" i="38"/>
  <c r="EX28" i="38"/>
  <c r="EY28" i="38" s="1"/>
  <c r="EW28" i="38"/>
  <c r="EV28" i="38"/>
  <c r="ES28" i="38"/>
  <c r="EN28" i="38"/>
  <c r="EJ28" i="38"/>
  <c r="EI28" i="38"/>
  <c r="EE28" i="38"/>
  <c r="ED28" i="38"/>
  <c r="DZ28" i="38"/>
  <c r="DY28" i="38"/>
  <c r="DU28" i="38"/>
  <c r="DT28" i="38"/>
  <c r="FM28" i="38" s="1"/>
  <c r="FN28" i="38" s="1"/>
  <c r="DP28" i="38"/>
  <c r="DO28" i="38"/>
  <c r="DK28" i="38"/>
  <c r="DJ28" i="38"/>
  <c r="DF28" i="38"/>
  <c r="DE28" i="38"/>
  <c r="FH28" i="38" s="1"/>
  <c r="DA28" i="38"/>
  <c r="CZ28" i="38"/>
  <c r="CU28" i="38"/>
  <c r="CP28" i="38"/>
  <c r="FC28" i="38" s="1"/>
  <c r="CI28" i="38"/>
  <c r="CH28" i="38"/>
  <c r="CG28" i="38"/>
  <c r="CD28" i="38"/>
  <c r="CC28" i="38"/>
  <c r="CB28" i="38"/>
  <c r="BY28" i="38"/>
  <c r="BX28" i="38"/>
  <c r="BW28" i="38"/>
  <c r="BT28" i="38"/>
  <c r="BS28" i="38"/>
  <c r="BR28" i="38"/>
  <c r="BO28" i="38"/>
  <c r="BN28" i="38"/>
  <c r="BK28" i="38"/>
  <c r="BF28" i="38"/>
  <c r="BA28" i="38"/>
  <c r="CJ28" i="38" s="1"/>
  <c r="CK28" i="38" s="1"/>
  <c r="AV28" i="38"/>
  <c r="AW28" i="38" s="1"/>
  <c r="AQ28" i="38"/>
  <c r="AL28" i="38"/>
  <c r="AG28" i="38"/>
  <c r="AB28" i="38"/>
  <c r="BZ28" i="38" s="1"/>
  <c r="W28" i="38"/>
  <c r="R28" i="38"/>
  <c r="M28" i="38"/>
  <c r="H28" i="38"/>
  <c r="BU28" i="38" s="1"/>
  <c r="FQ27" i="38"/>
  <c r="FP27" i="38"/>
  <c r="FO27" i="38"/>
  <c r="FL27" i="38"/>
  <c r="FK27" i="38"/>
  <c r="FJ27" i="38"/>
  <c r="FG27" i="38"/>
  <c r="FF27" i="38"/>
  <c r="FE27" i="38"/>
  <c r="FB27" i="38"/>
  <c r="FA27" i="38"/>
  <c r="EZ27" i="38"/>
  <c r="EW27" i="38"/>
  <c r="EV27" i="38"/>
  <c r="ET27" i="38"/>
  <c r="ES27" i="38"/>
  <c r="EN27" i="38"/>
  <c r="EI27" i="38"/>
  <c r="ED27" i="38"/>
  <c r="EE27" i="38" s="1"/>
  <c r="DY27" i="38"/>
  <c r="DZ27" i="38" s="1"/>
  <c r="DT27" i="38"/>
  <c r="DO27" i="38"/>
  <c r="DP27" i="38" s="1"/>
  <c r="DJ27" i="38"/>
  <c r="DK27" i="38" s="1"/>
  <c r="DE27" i="38"/>
  <c r="DF27" i="38" s="1"/>
  <c r="CZ27" i="38"/>
  <c r="CU27" i="38"/>
  <c r="FC27" i="38" s="1"/>
  <c r="CP27" i="38"/>
  <c r="CI27" i="38"/>
  <c r="CH27" i="38"/>
  <c r="CG27" i="38"/>
  <c r="CD27" i="38"/>
  <c r="CC27" i="38"/>
  <c r="CB27" i="38"/>
  <c r="BY27" i="38"/>
  <c r="BX27" i="38"/>
  <c r="BW27" i="38"/>
  <c r="BT27" i="38"/>
  <c r="BS27" i="38"/>
  <c r="BR27" i="38"/>
  <c r="BO27" i="38"/>
  <c r="BN27" i="38"/>
  <c r="BL27" i="38"/>
  <c r="BK27" i="38"/>
  <c r="BF27" i="38"/>
  <c r="BA27" i="38"/>
  <c r="CJ27" i="38" s="1"/>
  <c r="CK27" i="38" s="1"/>
  <c r="AV27" i="38"/>
  <c r="CE27" i="38" s="1"/>
  <c r="CF27" i="38" s="1"/>
  <c r="AQ27" i="38"/>
  <c r="AL27" i="38"/>
  <c r="AG27" i="38"/>
  <c r="AH27" i="38" s="1"/>
  <c r="AB27" i="38"/>
  <c r="W27" i="38"/>
  <c r="R27" i="38"/>
  <c r="M27" i="38"/>
  <c r="H27" i="38"/>
  <c r="BU27" i="38" s="1"/>
  <c r="BV27" i="38" s="1"/>
  <c r="FQ26" i="38"/>
  <c r="FP26" i="38"/>
  <c r="FO26" i="38"/>
  <c r="FL26" i="38"/>
  <c r="FK26" i="38"/>
  <c r="FJ26" i="38"/>
  <c r="FG26" i="38"/>
  <c r="FF26" i="38"/>
  <c r="FE26" i="38"/>
  <c r="FB26" i="38"/>
  <c r="FA26" i="38"/>
  <c r="EZ26" i="38"/>
  <c r="EW26" i="38"/>
  <c r="EV26" i="38"/>
  <c r="ES26" i="38"/>
  <c r="ET26" i="38" s="1"/>
  <c r="EN26" i="38"/>
  <c r="EO26" i="38" s="1"/>
  <c r="EI26" i="38"/>
  <c r="ED26" i="38"/>
  <c r="EE26" i="38" s="1"/>
  <c r="DZ26" i="38"/>
  <c r="DY26" i="38"/>
  <c r="DT26" i="38"/>
  <c r="DO26" i="38"/>
  <c r="DP26" i="38" s="1"/>
  <c r="DJ26" i="38"/>
  <c r="DK26" i="38" s="1"/>
  <c r="DF26" i="38"/>
  <c r="DE26" i="38"/>
  <c r="FH26" i="38" s="1"/>
  <c r="FI26" i="38" s="1"/>
  <c r="CZ26" i="38"/>
  <c r="CU26" i="38"/>
  <c r="CV26" i="38" s="1"/>
  <c r="CQ26" i="38"/>
  <c r="CP26" i="38"/>
  <c r="CI26" i="38"/>
  <c r="CH26" i="38"/>
  <c r="CG26" i="38"/>
  <c r="CD26" i="38"/>
  <c r="CC26" i="38"/>
  <c r="CB26" i="38"/>
  <c r="BY26" i="38"/>
  <c r="BX26" i="38"/>
  <c r="BW26" i="38"/>
  <c r="BT26" i="38"/>
  <c r="BS26" i="38"/>
  <c r="BR26" i="38"/>
  <c r="BO26" i="38"/>
  <c r="BN26" i="38"/>
  <c r="BK26" i="38"/>
  <c r="BL26" i="38" s="1"/>
  <c r="BF26" i="38"/>
  <c r="BG26" i="38" s="1"/>
  <c r="BA26" i="38"/>
  <c r="BB26" i="38" s="1"/>
  <c r="AV26" i="38"/>
  <c r="AR26" i="38"/>
  <c r="AQ26" i="38"/>
  <c r="AM26" i="38"/>
  <c r="AL26" i="38"/>
  <c r="CE26" i="38" s="1"/>
  <c r="CF26" i="38" s="1"/>
  <c r="AH26" i="38"/>
  <c r="AG26" i="38"/>
  <c r="AB26" i="38"/>
  <c r="W26" i="38"/>
  <c r="R26" i="38"/>
  <c r="M26" i="38"/>
  <c r="N26" i="38" s="1"/>
  <c r="H26" i="38"/>
  <c r="I26" i="38" s="1"/>
  <c r="FQ25" i="38"/>
  <c r="FP25" i="38"/>
  <c r="FO25" i="38"/>
  <c r="FL25" i="38"/>
  <c r="FK25" i="38"/>
  <c r="FJ25" i="38"/>
  <c r="FG25" i="38"/>
  <c r="FF25" i="38"/>
  <c r="FE25" i="38"/>
  <c r="FB25" i="38"/>
  <c r="FA25" i="38"/>
  <c r="EZ25" i="38"/>
  <c r="EW25" i="38"/>
  <c r="EV25" i="38"/>
  <c r="ET25" i="38"/>
  <c r="ES25" i="38"/>
  <c r="EN25" i="38"/>
  <c r="FR25" i="38" s="1"/>
  <c r="FS25" i="38" s="1"/>
  <c r="EJ25" i="38"/>
  <c r="EI25" i="38"/>
  <c r="ED25" i="38"/>
  <c r="EE25" i="38" s="1"/>
  <c r="DZ25" i="38"/>
  <c r="DY25" i="38"/>
  <c r="DT25" i="38"/>
  <c r="DP25" i="38"/>
  <c r="DO25" i="38"/>
  <c r="DJ25" i="38"/>
  <c r="DK25" i="38" s="1"/>
  <c r="DF25" i="38"/>
  <c r="DE25" i="38"/>
  <c r="FH25" i="38" s="1"/>
  <c r="FI25" i="38" s="1"/>
  <c r="CZ25" i="38"/>
  <c r="CU25" i="38"/>
  <c r="CP25" i="38"/>
  <c r="CI25" i="38"/>
  <c r="CH25" i="38"/>
  <c r="CG25" i="38"/>
  <c r="CD25" i="38"/>
  <c r="CC25" i="38"/>
  <c r="CB25" i="38"/>
  <c r="BY25" i="38"/>
  <c r="BX25" i="38"/>
  <c r="BW25" i="38"/>
  <c r="BT25" i="38"/>
  <c r="BS25" i="38"/>
  <c r="BR25" i="38"/>
  <c r="BO25" i="38"/>
  <c r="BN25" i="38"/>
  <c r="BL25" i="38"/>
  <c r="BK25" i="38"/>
  <c r="BF25" i="38"/>
  <c r="BA25" i="38"/>
  <c r="AV25" i="38"/>
  <c r="AQ25" i="38"/>
  <c r="AL25" i="38"/>
  <c r="CE25" i="38" s="1"/>
  <c r="CF25" i="38" s="1"/>
  <c r="AH25" i="38"/>
  <c r="AG25" i="38"/>
  <c r="AB25" i="38"/>
  <c r="X25" i="38"/>
  <c r="W25" i="38"/>
  <c r="BZ25" i="38" s="1"/>
  <c r="CA25" i="38" s="1"/>
  <c r="S25" i="38"/>
  <c r="R25" i="38"/>
  <c r="M25" i="38"/>
  <c r="I25" i="38"/>
  <c r="H25" i="38"/>
  <c r="BU25" i="38" s="1"/>
  <c r="BV25" i="38" s="1"/>
  <c r="FR24" i="38"/>
  <c r="FS24" i="38" s="1"/>
  <c r="FQ24" i="38"/>
  <c r="FP24" i="38"/>
  <c r="FO24" i="38"/>
  <c r="FN24" i="38"/>
  <c r="FL24" i="38"/>
  <c r="FK24" i="38"/>
  <c r="FJ24" i="38"/>
  <c r="FG24" i="38"/>
  <c r="FF24" i="38"/>
  <c r="FE24" i="38"/>
  <c r="FB24" i="38"/>
  <c r="FA24" i="38"/>
  <c r="EZ24" i="38"/>
  <c r="EW24" i="38"/>
  <c r="EV24" i="38"/>
  <c r="ES24" i="38"/>
  <c r="ET24" i="38" s="1"/>
  <c r="EN24" i="38"/>
  <c r="EJ24" i="38"/>
  <c r="EI24" i="38"/>
  <c r="EE24" i="38"/>
  <c r="ED24" i="38"/>
  <c r="DZ24" i="38"/>
  <c r="DY24" i="38"/>
  <c r="DU24" i="38"/>
  <c r="DT24" i="38"/>
  <c r="FM24" i="38" s="1"/>
  <c r="DP24" i="38"/>
  <c r="DO24" i="38"/>
  <c r="DK24" i="38"/>
  <c r="DJ24" i="38"/>
  <c r="FH24" i="38" s="1"/>
  <c r="FI24" i="38" s="1"/>
  <c r="DF24" i="38"/>
  <c r="DE24" i="38"/>
  <c r="DA24" i="38"/>
  <c r="CZ24" i="38"/>
  <c r="CU24" i="38"/>
  <c r="CP24" i="38"/>
  <c r="FC24" i="38" s="1"/>
  <c r="FD24" i="38" s="1"/>
  <c r="CI24" i="38"/>
  <c r="CH24" i="38"/>
  <c r="CG24" i="38"/>
  <c r="CD24" i="38"/>
  <c r="CC24" i="38"/>
  <c r="CB24" i="38"/>
  <c r="BY24" i="38"/>
  <c r="BX24" i="38"/>
  <c r="BW24" i="38"/>
  <c r="BU24" i="38"/>
  <c r="BV24" i="38" s="1"/>
  <c r="BT24" i="38"/>
  <c r="BS24" i="38"/>
  <c r="BR24" i="38"/>
  <c r="BO24" i="38"/>
  <c r="BN24" i="38"/>
  <c r="BK24" i="38"/>
  <c r="BF24" i="38"/>
  <c r="BA24" i="38"/>
  <c r="CJ24" i="38" s="1"/>
  <c r="CK24" i="38" s="1"/>
  <c r="AV24" i="38"/>
  <c r="AQ24" i="38"/>
  <c r="AL24" i="38"/>
  <c r="CE24" i="38" s="1"/>
  <c r="CF24" i="38" s="1"/>
  <c r="AH24" i="38"/>
  <c r="AG24" i="38"/>
  <c r="AB24" i="38"/>
  <c r="W24" i="38"/>
  <c r="BZ24" i="38" s="1"/>
  <c r="S24" i="38"/>
  <c r="R24" i="38"/>
  <c r="N24" i="38"/>
  <c r="M24" i="38"/>
  <c r="BP24" i="38" s="1"/>
  <c r="BQ24" i="38" s="1"/>
  <c r="I24" i="38"/>
  <c r="H24" i="38"/>
  <c r="FQ23" i="38"/>
  <c r="FP23" i="38"/>
  <c r="FO23" i="38"/>
  <c r="FL23" i="38"/>
  <c r="FK23" i="38"/>
  <c r="FJ23" i="38"/>
  <c r="FG23" i="38"/>
  <c r="FF23" i="38"/>
  <c r="FE23" i="38"/>
  <c r="FC23" i="38"/>
  <c r="FD23" i="38" s="1"/>
  <c r="FB23" i="38"/>
  <c r="FA23" i="38"/>
  <c r="EZ23" i="38"/>
  <c r="EW23" i="38"/>
  <c r="EV23" i="38"/>
  <c r="ET23" i="38"/>
  <c r="ES23" i="38"/>
  <c r="EN23" i="38"/>
  <c r="EI23" i="38"/>
  <c r="ED23" i="38"/>
  <c r="EE23" i="38" s="1"/>
  <c r="DY23" i="38"/>
  <c r="DZ23" i="38" s="1"/>
  <c r="DT23" i="38"/>
  <c r="DU23" i="38" s="1"/>
  <c r="DO23" i="38"/>
  <c r="DP23" i="38" s="1"/>
  <c r="DJ23" i="38"/>
  <c r="DK23" i="38" s="1"/>
  <c r="DE23" i="38"/>
  <c r="CZ23" i="38"/>
  <c r="DA23" i="38" s="1"/>
  <c r="CU23" i="38"/>
  <c r="CP23" i="38"/>
  <c r="CI23" i="38"/>
  <c r="CH23" i="38"/>
  <c r="CG23" i="38"/>
  <c r="CD23" i="38"/>
  <c r="CC23" i="38"/>
  <c r="CB23" i="38"/>
  <c r="BY23" i="38"/>
  <c r="BX23" i="38"/>
  <c r="BW23" i="38"/>
  <c r="BT23" i="38"/>
  <c r="BS23" i="38"/>
  <c r="BR23" i="38"/>
  <c r="BO23" i="38"/>
  <c r="BN23" i="38"/>
  <c r="BK23" i="38"/>
  <c r="BL23" i="38" s="1"/>
  <c r="BF23" i="38"/>
  <c r="BB23" i="38"/>
  <c r="BA23" i="38"/>
  <c r="CJ23" i="38" s="1"/>
  <c r="CK23" i="38" s="1"/>
  <c r="AV23" i="38"/>
  <c r="AQ23" i="38"/>
  <c r="AR23" i="38" s="1"/>
  <c r="AL23" i="38"/>
  <c r="AM23" i="38" s="1"/>
  <c r="AG23" i="38"/>
  <c r="AH23" i="38" s="1"/>
  <c r="AB23" i="38"/>
  <c r="AC23" i="38" s="1"/>
  <c r="W23" i="38"/>
  <c r="X23" i="38" s="1"/>
  <c r="R23" i="38"/>
  <c r="S23" i="38" s="1"/>
  <c r="M23" i="38"/>
  <c r="N23" i="38" s="1"/>
  <c r="H23" i="38"/>
  <c r="BU23" i="38" s="1"/>
  <c r="BV23" i="38" s="1"/>
  <c r="FQ22" i="38"/>
  <c r="FP22" i="38"/>
  <c r="FO22" i="38"/>
  <c r="FL22" i="38"/>
  <c r="FK22" i="38"/>
  <c r="FJ22" i="38"/>
  <c r="FG22" i="38"/>
  <c r="FF22" i="38"/>
  <c r="FE22" i="38"/>
  <c r="FB22" i="38"/>
  <c r="FA22" i="38"/>
  <c r="EZ22" i="38"/>
  <c r="EW22" i="38"/>
  <c r="EV22" i="38"/>
  <c r="ET22" i="38"/>
  <c r="ES22" i="38"/>
  <c r="EN22" i="38"/>
  <c r="FR22" i="38" s="1"/>
  <c r="FS22" i="38" s="1"/>
  <c r="EI22" i="38"/>
  <c r="EJ22" i="38" s="1"/>
  <c r="ED22" i="38"/>
  <c r="EE22" i="38" s="1"/>
  <c r="DY22" i="38"/>
  <c r="DZ22" i="38" s="1"/>
  <c r="DT22" i="38"/>
  <c r="DO22" i="38"/>
  <c r="DP22" i="38" s="1"/>
  <c r="DJ22" i="38"/>
  <c r="DK22" i="38" s="1"/>
  <c r="DE22" i="38"/>
  <c r="CZ22" i="38"/>
  <c r="DA22" i="38" s="1"/>
  <c r="CU22" i="38"/>
  <c r="CP22" i="38"/>
  <c r="CI22" i="38"/>
  <c r="CH22" i="38"/>
  <c r="CG22" i="38"/>
  <c r="CD22" i="38"/>
  <c r="CC22" i="38"/>
  <c r="CB22" i="38"/>
  <c r="BY22" i="38"/>
  <c r="BX22" i="38"/>
  <c r="BW22" i="38"/>
  <c r="BT22" i="38"/>
  <c r="BS22" i="38"/>
  <c r="BR22" i="38"/>
  <c r="BO22" i="38"/>
  <c r="BN22" i="38"/>
  <c r="BK22" i="38"/>
  <c r="BF22" i="38"/>
  <c r="BA22" i="38"/>
  <c r="CJ22" i="38" s="1"/>
  <c r="CK22" i="38" s="1"/>
  <c r="AV22" i="38"/>
  <c r="AQ22" i="38"/>
  <c r="AL22" i="38"/>
  <c r="AG22" i="38"/>
  <c r="AB22" i="38"/>
  <c r="W22" i="38"/>
  <c r="R22" i="38"/>
  <c r="N22" i="38"/>
  <c r="M22" i="38"/>
  <c r="I22" i="38"/>
  <c r="H22" i="38"/>
  <c r="BU22" i="38" s="1"/>
  <c r="BV22" i="38" s="1"/>
  <c r="FQ21" i="38"/>
  <c r="FP21" i="38"/>
  <c r="FO21" i="38"/>
  <c r="FL21" i="38"/>
  <c r="FK21" i="38"/>
  <c r="FJ21" i="38"/>
  <c r="FG21" i="38"/>
  <c r="FF21" i="38"/>
  <c r="FE21" i="38"/>
  <c r="FC21" i="38"/>
  <c r="FB21" i="38"/>
  <c r="FA21" i="38"/>
  <c r="EZ21" i="38"/>
  <c r="EW21" i="38"/>
  <c r="EV21" i="38"/>
  <c r="ET21" i="38"/>
  <c r="ES21" i="38"/>
  <c r="EN21" i="38"/>
  <c r="EI21" i="38"/>
  <c r="ED21" i="38"/>
  <c r="EE21" i="38" s="1"/>
  <c r="DY21" i="38"/>
  <c r="DZ21" i="38" s="1"/>
  <c r="DT21" i="38"/>
  <c r="DU21" i="38" s="1"/>
  <c r="DO21" i="38"/>
  <c r="DP21" i="38" s="1"/>
  <c r="DJ21" i="38"/>
  <c r="DK21" i="38" s="1"/>
  <c r="DE21" i="38"/>
  <c r="DF21" i="38" s="1"/>
  <c r="CZ21" i="38"/>
  <c r="CU21" i="38"/>
  <c r="CP21" i="38"/>
  <c r="CI21" i="38"/>
  <c r="CH21" i="38"/>
  <c r="CG21" i="38"/>
  <c r="CD21" i="38"/>
  <c r="CC21" i="38"/>
  <c r="CB21" i="38"/>
  <c r="BY21" i="38"/>
  <c r="BX21" i="38"/>
  <c r="BW21" i="38"/>
  <c r="BT21" i="38"/>
  <c r="BS21" i="38"/>
  <c r="BR21" i="38"/>
  <c r="BO21" i="38"/>
  <c r="BN21" i="38"/>
  <c r="BK21" i="38"/>
  <c r="BF21" i="38"/>
  <c r="BA21" i="38"/>
  <c r="AV21" i="38"/>
  <c r="AQ21" i="38"/>
  <c r="AL21" i="38"/>
  <c r="CE21" i="38" s="1"/>
  <c r="CF21" i="38" s="1"/>
  <c r="AG21" i="38"/>
  <c r="AB21" i="38"/>
  <c r="BZ21" i="38" s="1"/>
  <c r="W21" i="38"/>
  <c r="S21" i="38"/>
  <c r="R21" i="38"/>
  <c r="M21" i="38"/>
  <c r="H21" i="38"/>
  <c r="BU21" i="38" s="1"/>
  <c r="BV21" i="38" s="1"/>
  <c r="FS20" i="38"/>
  <c r="FQ20" i="38"/>
  <c r="FP20" i="38"/>
  <c r="FO20" i="38"/>
  <c r="FL20" i="38"/>
  <c r="FK20" i="38"/>
  <c r="FJ20" i="38"/>
  <c r="FG20" i="38"/>
  <c r="FF20" i="38"/>
  <c r="FE20" i="38"/>
  <c r="FB20" i="38"/>
  <c r="FA20" i="38"/>
  <c r="EZ20" i="38"/>
  <c r="EW20" i="38"/>
  <c r="EV20" i="38"/>
  <c r="ES20" i="38"/>
  <c r="ET20" i="38" s="1"/>
  <c r="EN20" i="38"/>
  <c r="EJ20" i="38"/>
  <c r="EI20" i="38"/>
  <c r="FR20" i="38" s="1"/>
  <c r="EE20" i="38"/>
  <c r="ED20" i="38"/>
  <c r="DZ20" i="38"/>
  <c r="DY20" i="38"/>
  <c r="FM20" i="38" s="1"/>
  <c r="FN20" i="38" s="1"/>
  <c r="DU20" i="38"/>
  <c r="DT20" i="38"/>
  <c r="DP20" i="38"/>
  <c r="DO20" i="38"/>
  <c r="DK20" i="38"/>
  <c r="DJ20" i="38"/>
  <c r="DF20" i="38"/>
  <c r="DE20" i="38"/>
  <c r="FH20" i="38" s="1"/>
  <c r="DA20" i="38"/>
  <c r="CZ20" i="38"/>
  <c r="CU20" i="38"/>
  <c r="CP20" i="38"/>
  <c r="CI20" i="38"/>
  <c r="CH20" i="38"/>
  <c r="CG20" i="38"/>
  <c r="CD20" i="38"/>
  <c r="CC20" i="38"/>
  <c r="CB20" i="38"/>
  <c r="BZ20" i="38"/>
  <c r="BY20" i="38"/>
  <c r="BX20" i="38"/>
  <c r="BW20" i="38"/>
  <c r="BT20" i="38"/>
  <c r="BS20" i="38"/>
  <c r="BR20" i="38"/>
  <c r="BO20" i="38"/>
  <c r="BN20" i="38"/>
  <c r="BK20" i="38"/>
  <c r="BF20" i="38"/>
  <c r="BA20" i="38"/>
  <c r="CJ20" i="38" s="1"/>
  <c r="CK20" i="38" s="1"/>
  <c r="AV20" i="38"/>
  <c r="AQ20" i="38"/>
  <c r="AL20" i="38"/>
  <c r="CE20" i="38" s="1"/>
  <c r="CF20" i="38" s="1"/>
  <c r="AG20" i="38"/>
  <c r="AB20" i="38"/>
  <c r="W20" i="38"/>
  <c r="R20" i="38"/>
  <c r="BU20" i="38" s="1"/>
  <c r="M20" i="38"/>
  <c r="H20" i="38"/>
  <c r="FQ19" i="38"/>
  <c r="FP19" i="38"/>
  <c r="FO19" i="38"/>
  <c r="FL19" i="38"/>
  <c r="FK19" i="38"/>
  <c r="FJ19" i="38"/>
  <c r="FG19" i="38"/>
  <c r="FF19" i="38"/>
  <c r="FE19" i="38"/>
  <c r="FB19" i="38"/>
  <c r="FA19" i="38"/>
  <c r="EZ19" i="38"/>
  <c r="EW19" i="38"/>
  <c r="EV19" i="38"/>
  <c r="ET19" i="38"/>
  <c r="ES19" i="38"/>
  <c r="EN19" i="38"/>
  <c r="EI19" i="38"/>
  <c r="EJ19" i="38" s="1"/>
  <c r="ED19" i="38"/>
  <c r="EE19" i="38" s="1"/>
  <c r="DY19" i="38"/>
  <c r="DZ19" i="38" s="1"/>
  <c r="DT19" i="38"/>
  <c r="FM19" i="38" s="1"/>
  <c r="FN19" i="38" s="1"/>
  <c r="DO19" i="38"/>
  <c r="DP19" i="38" s="1"/>
  <c r="DJ19" i="38"/>
  <c r="DK19" i="38" s="1"/>
  <c r="DE19" i="38"/>
  <c r="CZ19" i="38"/>
  <c r="CU19" i="38"/>
  <c r="CP19" i="38"/>
  <c r="CI19" i="38"/>
  <c r="CH19" i="38"/>
  <c r="CG19" i="38"/>
  <c r="CD19" i="38"/>
  <c r="CC19" i="38"/>
  <c r="CB19" i="38"/>
  <c r="BY19" i="38"/>
  <c r="BX19" i="38"/>
  <c r="BW19" i="38"/>
  <c r="BT19" i="38"/>
  <c r="BS19" i="38"/>
  <c r="BR19" i="38"/>
  <c r="BO19" i="38"/>
  <c r="BN19" i="38"/>
  <c r="BK19" i="38"/>
  <c r="BF19" i="38"/>
  <c r="BA19" i="38"/>
  <c r="CJ19" i="38" s="1"/>
  <c r="CK19" i="38" s="1"/>
  <c r="AV19" i="38"/>
  <c r="AQ19" i="38"/>
  <c r="AL19" i="38"/>
  <c r="CE19" i="38" s="1"/>
  <c r="CF19" i="38" s="1"/>
  <c r="AG19" i="38"/>
  <c r="AB19" i="38"/>
  <c r="W19" i="38"/>
  <c r="BZ19" i="38" s="1"/>
  <c r="R19" i="38"/>
  <c r="M19" i="38"/>
  <c r="H19" i="38"/>
  <c r="BU19" i="38" s="1"/>
  <c r="FQ18" i="38"/>
  <c r="FP18" i="38"/>
  <c r="FO18" i="38"/>
  <c r="FL18" i="38"/>
  <c r="FK18" i="38"/>
  <c r="FJ18" i="38"/>
  <c r="FG18" i="38"/>
  <c r="FF18" i="38"/>
  <c r="FE18" i="38"/>
  <c r="FC18" i="38"/>
  <c r="FB18" i="38"/>
  <c r="FA18" i="38"/>
  <c r="EZ18" i="38"/>
  <c r="EW18" i="38"/>
  <c r="EV18" i="38"/>
  <c r="ET18" i="38"/>
  <c r="ES18" i="38"/>
  <c r="EN18" i="38"/>
  <c r="EI18" i="38"/>
  <c r="ED18" i="38"/>
  <c r="EE18" i="38" s="1"/>
  <c r="DY18" i="38"/>
  <c r="DZ18" i="38" s="1"/>
  <c r="DT18" i="38"/>
  <c r="DU18" i="38" s="1"/>
  <c r="DO18" i="38"/>
  <c r="DP18" i="38" s="1"/>
  <c r="DJ18" i="38"/>
  <c r="DK18" i="38" s="1"/>
  <c r="DE18" i="38"/>
  <c r="DF18" i="38" s="1"/>
  <c r="CZ18" i="38"/>
  <c r="CU18" i="38"/>
  <c r="CP18" i="38"/>
  <c r="CI18" i="38"/>
  <c r="CH18" i="38"/>
  <c r="CG18" i="38"/>
  <c r="CD18" i="38"/>
  <c r="CC18" i="38"/>
  <c r="CB18" i="38"/>
  <c r="BY18" i="38"/>
  <c r="BX18" i="38"/>
  <c r="BW18" i="38"/>
  <c r="BT18" i="38"/>
  <c r="BS18" i="38"/>
  <c r="BR18" i="38"/>
  <c r="BO18" i="38"/>
  <c r="BN18" i="38"/>
  <c r="BK18" i="38"/>
  <c r="BF18" i="38"/>
  <c r="BA18" i="38"/>
  <c r="AV18" i="38"/>
  <c r="AQ18" i="38"/>
  <c r="AL18" i="38"/>
  <c r="CE18" i="38" s="1"/>
  <c r="CF18" i="38" s="1"/>
  <c r="AG18" i="38"/>
  <c r="AB18" i="38"/>
  <c r="BZ18" i="38" s="1"/>
  <c r="W18" i="38"/>
  <c r="R18" i="38"/>
  <c r="BP18" i="38" s="1"/>
  <c r="BQ18" i="38" s="1"/>
  <c r="M18" i="38"/>
  <c r="N18" i="38" s="1"/>
  <c r="H18" i="38"/>
  <c r="FS17" i="38"/>
  <c r="FQ17" i="38"/>
  <c r="FP17" i="38"/>
  <c r="FO17" i="38"/>
  <c r="FL17" i="38"/>
  <c r="FK17" i="38"/>
  <c r="FJ17" i="38"/>
  <c r="FG17" i="38"/>
  <c r="FF17" i="38"/>
  <c r="FE17" i="38"/>
  <c r="FC17" i="38"/>
  <c r="FD17" i="38" s="1"/>
  <c r="FB17" i="38"/>
  <c r="FA17" i="38"/>
  <c r="EZ17" i="38"/>
  <c r="EW17" i="38"/>
  <c r="EV17" i="38"/>
  <c r="ET17" i="38"/>
  <c r="ES17" i="38"/>
  <c r="EO17" i="38"/>
  <c r="EN17" i="38"/>
  <c r="EJ17" i="38"/>
  <c r="EI17" i="38"/>
  <c r="FR17" i="38" s="1"/>
  <c r="EE17" i="38"/>
  <c r="ED17" i="38"/>
  <c r="DZ17" i="38"/>
  <c r="DY17" i="38"/>
  <c r="FM17" i="38" s="1"/>
  <c r="FN17" i="38" s="1"/>
  <c r="DU17" i="38"/>
  <c r="DT17" i="38"/>
  <c r="DP17" i="38"/>
  <c r="DO17" i="38"/>
  <c r="DK17" i="38"/>
  <c r="DJ17" i="38"/>
  <c r="DF17" i="38"/>
  <c r="DE17" i="38"/>
  <c r="FH17" i="38" s="1"/>
  <c r="DA17" i="38"/>
  <c r="CZ17" i="38"/>
  <c r="CV17" i="38"/>
  <c r="CU17" i="38"/>
  <c r="EX17" i="38" s="1"/>
  <c r="EY17" i="38" s="1"/>
  <c r="CQ17" i="38"/>
  <c r="CP17" i="38"/>
  <c r="CI17" i="38"/>
  <c r="CH17" i="38"/>
  <c r="CG17" i="38"/>
  <c r="CE17" i="38"/>
  <c r="CF17" i="38" s="1"/>
  <c r="CD17" i="38"/>
  <c r="CC17" i="38"/>
  <c r="CB17" i="38"/>
  <c r="BY17" i="38"/>
  <c r="BW17" i="38"/>
  <c r="BT17" i="38"/>
  <c r="BR17" i="38"/>
  <c r="BO17" i="38"/>
  <c r="BL17" i="38"/>
  <c r="BK17" i="38"/>
  <c r="BG17" i="38"/>
  <c r="BF17" i="38"/>
  <c r="BB17" i="38"/>
  <c r="BA17" i="38"/>
  <c r="CJ17" i="38" s="1"/>
  <c r="CK17" i="38" s="1"/>
  <c r="AW17" i="38"/>
  <c r="AV17" i="38"/>
  <c r="AR17" i="38"/>
  <c r="AQ17" i="38"/>
  <c r="AM17" i="38"/>
  <c r="AL17" i="38"/>
  <c r="AE17" i="38"/>
  <c r="AE38" i="38" s="1"/>
  <c r="AB17" i="38"/>
  <c r="AC17" i="38" s="1"/>
  <c r="W17" i="38"/>
  <c r="X17" i="38" s="1"/>
  <c r="R17" i="38"/>
  <c r="S17" i="38" s="1"/>
  <c r="L17" i="38"/>
  <c r="L38" i="38" s="1"/>
  <c r="K17" i="38"/>
  <c r="H17" i="38"/>
  <c r="ED16" i="38"/>
  <c r="EE16" i="38" s="1"/>
  <c r="FQ15" i="38"/>
  <c r="FP15" i="38"/>
  <c r="FO15" i="38"/>
  <c r="FL15" i="38"/>
  <c r="FK15" i="38"/>
  <c r="FJ15" i="38"/>
  <c r="FG15" i="38"/>
  <c r="FF15" i="38"/>
  <c r="FE15" i="38"/>
  <c r="FB15" i="38"/>
  <c r="FA15" i="38"/>
  <c r="EZ15" i="38"/>
  <c r="EW15" i="38"/>
  <c r="EV15" i="38"/>
  <c r="ES15" i="38"/>
  <c r="ET15" i="38" s="1"/>
  <c r="EN15" i="38"/>
  <c r="EO15" i="38" s="1"/>
  <c r="EI15" i="38"/>
  <c r="EJ15" i="38" s="1"/>
  <c r="ED15" i="38"/>
  <c r="EE15" i="38" s="1"/>
  <c r="DY15" i="38"/>
  <c r="DZ15" i="38" s="1"/>
  <c r="DT15" i="38"/>
  <c r="DO15" i="38"/>
  <c r="DP15" i="38" s="1"/>
  <c r="DJ15" i="38"/>
  <c r="DK15" i="38" s="1"/>
  <c r="DE15" i="38"/>
  <c r="DF15" i="38" s="1"/>
  <c r="CZ15" i="38"/>
  <c r="DA15" i="38" s="1"/>
  <c r="CU15" i="38"/>
  <c r="CV15" i="38" s="1"/>
  <c r="CP15" i="38"/>
  <c r="CI15" i="38"/>
  <c r="CG15" i="38"/>
  <c r="CD15" i="38"/>
  <c r="CC15" i="38"/>
  <c r="CB15" i="38"/>
  <c r="BY15" i="38"/>
  <c r="BX15" i="38"/>
  <c r="BW15" i="38"/>
  <c r="BT15" i="38"/>
  <c r="BS15" i="38"/>
  <c r="BR15" i="38"/>
  <c r="BO15" i="38"/>
  <c r="BN15" i="38"/>
  <c r="BK15" i="38"/>
  <c r="BD15" i="38"/>
  <c r="BA15" i="38"/>
  <c r="BB15" i="38" s="1"/>
  <c r="AV15" i="38"/>
  <c r="AW15" i="38" s="1"/>
  <c r="AQ15" i="38"/>
  <c r="AR15" i="38" s="1"/>
  <c r="AL15" i="38"/>
  <c r="AG15" i="38"/>
  <c r="AH15" i="38" s="1"/>
  <c r="AB15" i="38"/>
  <c r="AC15" i="38" s="1"/>
  <c r="W15" i="38"/>
  <c r="X15" i="38" s="1"/>
  <c r="R15" i="38"/>
  <c r="M15" i="38"/>
  <c r="BU15" i="38" s="1"/>
  <c r="BV15" i="38" s="1"/>
  <c r="I15" i="38"/>
  <c r="H15" i="38"/>
  <c r="FQ14" i="38"/>
  <c r="FP14" i="38"/>
  <c r="FO14" i="38"/>
  <c r="FM14" i="38"/>
  <c r="FN14" i="38" s="1"/>
  <c r="FL14" i="38"/>
  <c r="FK14" i="38"/>
  <c r="FJ14" i="38"/>
  <c r="FG14" i="38"/>
  <c r="FF14" i="38"/>
  <c r="FE14" i="38"/>
  <c r="FB14" i="38"/>
  <c r="FA14" i="38"/>
  <c r="EZ14" i="38"/>
  <c r="EX14" i="38"/>
  <c r="EW14" i="38"/>
  <c r="EV14" i="38"/>
  <c r="ES14" i="38"/>
  <c r="EN14" i="38"/>
  <c r="EJ14" i="38"/>
  <c r="EI14" i="38"/>
  <c r="EE14" i="38"/>
  <c r="ED14" i="38"/>
  <c r="ED38" i="38" s="1"/>
  <c r="EE38" i="38" s="1"/>
  <c r="DZ14" i="38"/>
  <c r="DY14" i="38"/>
  <c r="DU14" i="38"/>
  <c r="DT14" i="38"/>
  <c r="DP14" i="38"/>
  <c r="DO14" i="38"/>
  <c r="DK14" i="38"/>
  <c r="DJ14" i="38"/>
  <c r="DJ38" i="38" s="1"/>
  <c r="DK38" i="38" s="1"/>
  <c r="DF14" i="38"/>
  <c r="DE14" i="38"/>
  <c r="CZ14" i="38"/>
  <c r="CZ38" i="38" s="1"/>
  <c r="DA38" i="38" s="1"/>
  <c r="CU14" i="38"/>
  <c r="CQ14" i="38"/>
  <c r="CP14" i="38"/>
  <c r="CI14" i="38"/>
  <c r="CH14" i="38"/>
  <c r="CG14" i="38"/>
  <c r="CD14" i="38"/>
  <c r="CC14" i="38"/>
  <c r="CB14" i="38"/>
  <c r="BY14" i="38"/>
  <c r="BX14" i="38"/>
  <c r="BW14" i="38"/>
  <c r="BT14" i="38"/>
  <c r="BT38" i="38" s="1"/>
  <c r="BS14" i="38"/>
  <c r="BR14" i="38"/>
  <c r="BP14" i="38"/>
  <c r="BO14" i="38"/>
  <c r="BN14" i="38"/>
  <c r="BK14" i="38"/>
  <c r="BF14" i="38"/>
  <c r="BB14" i="38"/>
  <c r="BA14" i="38"/>
  <c r="AW14" i="38"/>
  <c r="AV14" i="38"/>
  <c r="AV38" i="38" s="1"/>
  <c r="AW38" i="38" s="1"/>
  <c r="AR14" i="38"/>
  <c r="AQ14" i="38"/>
  <c r="AL14" i="38"/>
  <c r="AG14" i="38"/>
  <c r="AB14" i="38"/>
  <c r="AB38" i="38" s="1"/>
  <c r="AC38" i="38" s="1"/>
  <c r="W14" i="38"/>
  <c r="R14" i="38"/>
  <c r="M14" i="38"/>
  <c r="H14" i="38"/>
  <c r="BU14" i="38" s="1"/>
  <c r="ER13" i="38"/>
  <c r="EQ13" i="38"/>
  <c r="EP13" i="38"/>
  <c r="EM13" i="38"/>
  <c r="EL13" i="38"/>
  <c r="EK13" i="38"/>
  <c r="EH13" i="38"/>
  <c r="EG13" i="38"/>
  <c r="EF13" i="38"/>
  <c r="EC13" i="38"/>
  <c r="EB13" i="38"/>
  <c r="EB63" i="38" s="1"/>
  <c r="EA13" i="38"/>
  <c r="DX13" i="38"/>
  <c r="DW13" i="38"/>
  <c r="DV13" i="38"/>
  <c r="DS13" i="38"/>
  <c r="DR13" i="38"/>
  <c r="DQ13" i="38"/>
  <c r="DN13" i="38"/>
  <c r="DM13" i="38"/>
  <c r="DL13" i="38"/>
  <c r="DI13" i="38"/>
  <c r="DH13" i="38"/>
  <c r="DG13" i="38"/>
  <c r="DD13" i="38"/>
  <c r="DB13" i="38"/>
  <c r="CY13" i="38"/>
  <c r="CX13" i="38"/>
  <c r="CW13" i="38"/>
  <c r="CT13" i="38"/>
  <c r="CS13" i="38"/>
  <c r="CR13" i="38"/>
  <c r="CO13" i="38"/>
  <c r="CM13" i="38"/>
  <c r="BJ13" i="38"/>
  <c r="BI13" i="38"/>
  <c r="BH13" i="38"/>
  <c r="BE13" i="38"/>
  <c r="BD13" i="38"/>
  <c r="BC13" i="38"/>
  <c r="AZ13" i="38"/>
  <c r="AY13" i="38"/>
  <c r="AX13" i="38"/>
  <c r="AU13" i="38"/>
  <c r="AT13" i="38"/>
  <c r="AS13" i="38"/>
  <c r="AP13" i="38"/>
  <c r="AO13" i="38"/>
  <c r="AN13" i="38"/>
  <c r="AK13" i="38"/>
  <c r="AJ13" i="38"/>
  <c r="AI13" i="38"/>
  <c r="AF13" i="38"/>
  <c r="AD13" i="38"/>
  <c r="AA13" i="38"/>
  <c r="Z13" i="38"/>
  <c r="Y13" i="38"/>
  <c r="V13" i="38"/>
  <c r="U13" i="38"/>
  <c r="T13" i="38"/>
  <c r="Q13" i="38"/>
  <c r="P13" i="38"/>
  <c r="O13" i="38"/>
  <c r="K13" i="38"/>
  <c r="J13" i="38"/>
  <c r="G13" i="38"/>
  <c r="F13" i="38"/>
  <c r="E13" i="38"/>
  <c r="ET12" i="38"/>
  <c r="EO12" i="38"/>
  <c r="FQ11" i="38"/>
  <c r="FP11" i="38"/>
  <c r="FO11" i="38"/>
  <c r="FL11" i="38"/>
  <c r="FK11" i="38"/>
  <c r="FJ11" i="38"/>
  <c r="FG11" i="38"/>
  <c r="FE11" i="38"/>
  <c r="FB11" i="38"/>
  <c r="FA11" i="38"/>
  <c r="EZ11" i="38"/>
  <c r="EW11" i="38"/>
  <c r="EV11" i="38"/>
  <c r="ET11" i="38"/>
  <c r="ES11" i="38"/>
  <c r="EN11" i="38"/>
  <c r="EO11" i="38" s="1"/>
  <c r="EI11" i="38"/>
  <c r="FR11" i="38" s="1"/>
  <c r="FS11" i="38" s="1"/>
  <c r="ED11" i="38"/>
  <c r="EE11" i="38" s="1"/>
  <c r="DY11" i="38"/>
  <c r="DZ11" i="38" s="1"/>
  <c r="DT11" i="38"/>
  <c r="DU11" i="38" s="1"/>
  <c r="DO11" i="38"/>
  <c r="DP11" i="38" s="1"/>
  <c r="DJ11" i="38"/>
  <c r="DK11" i="38" s="1"/>
  <c r="DF11" i="38"/>
  <c r="DE11" i="38"/>
  <c r="FH11" i="38" s="1"/>
  <c r="FI11" i="38" s="1"/>
  <c r="DC11" i="38"/>
  <c r="DC13" i="38" s="1"/>
  <c r="CZ11" i="38"/>
  <c r="DA11" i="38" s="1"/>
  <c r="CV11" i="38"/>
  <c r="CU11" i="38"/>
  <c r="CP11" i="38"/>
  <c r="EX11" i="38" s="1"/>
  <c r="EY11" i="38" s="1"/>
  <c r="CN11" i="38"/>
  <c r="CN13" i="38" s="1"/>
  <c r="CI11" i="38"/>
  <c r="CH11" i="38"/>
  <c r="CG11" i="38"/>
  <c r="CD11" i="38"/>
  <c r="CC11" i="38"/>
  <c r="CB11" i="38"/>
  <c r="BW11" i="38"/>
  <c r="BT11" i="38"/>
  <c r="BS11" i="38"/>
  <c r="BR11" i="38"/>
  <c r="BO11" i="38"/>
  <c r="BK11" i="38"/>
  <c r="BL11" i="38" s="1"/>
  <c r="BF11" i="38"/>
  <c r="CJ11" i="38" s="1"/>
  <c r="CK11" i="38" s="1"/>
  <c r="BA11" i="38"/>
  <c r="AV11" i="38"/>
  <c r="AQ11" i="38"/>
  <c r="AL11" i="38"/>
  <c r="CE11" i="38" s="1"/>
  <c r="CF11" i="38" s="1"/>
  <c r="AF11" i="38"/>
  <c r="BY11" i="38" s="1"/>
  <c r="AE11" i="38"/>
  <c r="AE13" i="38" s="1"/>
  <c r="AB11" i="38"/>
  <c r="W11" i="38"/>
  <c r="X11" i="38" s="1"/>
  <c r="S11" i="38"/>
  <c r="R11" i="38"/>
  <c r="L11" i="38"/>
  <c r="M11" i="38" s="1"/>
  <c r="K11" i="38"/>
  <c r="H11" i="38"/>
  <c r="FQ10" i="38"/>
  <c r="FP10" i="38"/>
  <c r="FO10" i="38"/>
  <c r="FL10" i="38"/>
  <c r="FK10" i="38"/>
  <c r="FJ10" i="38"/>
  <c r="FG10" i="38"/>
  <c r="FF10" i="38"/>
  <c r="FE10" i="38"/>
  <c r="FB10" i="38"/>
  <c r="FA10" i="38"/>
  <c r="EZ10" i="38"/>
  <c r="EW10" i="38"/>
  <c r="EV10" i="38"/>
  <c r="ES10" i="38"/>
  <c r="ET10" i="38" s="1"/>
  <c r="EN10" i="38"/>
  <c r="EO10" i="38" s="1"/>
  <c r="EI10" i="38"/>
  <c r="FR10" i="38" s="1"/>
  <c r="FS10" i="38" s="1"/>
  <c r="EE10" i="38"/>
  <c r="ED10" i="38"/>
  <c r="DY10" i="38"/>
  <c r="DZ10" i="38" s="1"/>
  <c r="DU10" i="38"/>
  <c r="DT10" i="38"/>
  <c r="DO10" i="38"/>
  <c r="DP10" i="38" s="1"/>
  <c r="DK10" i="38"/>
  <c r="DJ10" i="38"/>
  <c r="DE10" i="38"/>
  <c r="FH10" i="38" s="1"/>
  <c r="CZ10" i="38"/>
  <c r="CU10" i="38"/>
  <c r="CP10" i="38"/>
  <c r="CI10" i="38"/>
  <c r="CH10" i="38"/>
  <c r="CG10" i="38"/>
  <c r="CD10" i="38"/>
  <c r="CC10" i="38"/>
  <c r="CB10" i="38"/>
  <c r="BY10" i="38"/>
  <c r="BX10" i="38"/>
  <c r="BW10" i="38"/>
  <c r="BT10" i="38"/>
  <c r="BS10" i="38"/>
  <c r="BR10" i="38"/>
  <c r="BO10" i="38"/>
  <c r="BN10" i="38"/>
  <c r="BK10" i="38"/>
  <c r="CJ10" i="38" s="1"/>
  <c r="CK10" i="38" s="1"/>
  <c r="BF10" i="38"/>
  <c r="BA10" i="38"/>
  <c r="AV10" i="38"/>
  <c r="AQ10" i="38"/>
  <c r="AL10" i="38"/>
  <c r="CE10" i="38" s="1"/>
  <c r="CF10" i="38" s="1"/>
  <c r="AG10" i="38"/>
  <c r="AB10" i="38"/>
  <c r="W10" i="38"/>
  <c r="BZ10" i="38" s="1"/>
  <c r="R10" i="38"/>
  <c r="M10" i="38"/>
  <c r="H10" i="38"/>
  <c r="BU10" i="38" s="1"/>
  <c r="FQ9" i="38"/>
  <c r="FP9" i="38"/>
  <c r="FO9" i="38"/>
  <c r="FL9" i="38"/>
  <c r="FK9" i="38"/>
  <c r="FJ9" i="38"/>
  <c r="FG9" i="38"/>
  <c r="FF9" i="38"/>
  <c r="FE9" i="38"/>
  <c r="FB9" i="38"/>
  <c r="FA9" i="38"/>
  <c r="EZ9" i="38"/>
  <c r="EW9" i="38"/>
  <c r="EV9" i="38"/>
  <c r="ES9" i="38"/>
  <c r="ET9" i="38" s="1"/>
  <c r="EN9" i="38"/>
  <c r="EO9" i="38" s="1"/>
  <c r="EI9" i="38"/>
  <c r="FR9" i="38" s="1"/>
  <c r="FS9" i="38" s="1"/>
  <c r="ED9" i="38"/>
  <c r="EE9" i="38" s="1"/>
  <c r="DZ9" i="38"/>
  <c r="DY9" i="38"/>
  <c r="DT9" i="38"/>
  <c r="FM9" i="38" s="1"/>
  <c r="FN9" i="38" s="1"/>
  <c r="DP9" i="38"/>
  <c r="DO9" i="38"/>
  <c r="DJ9" i="38"/>
  <c r="FH9" i="38" s="1"/>
  <c r="DF9" i="38"/>
  <c r="DE9" i="38"/>
  <c r="CZ9" i="38"/>
  <c r="CU9" i="38"/>
  <c r="CP9" i="38"/>
  <c r="FC9" i="38" s="1"/>
  <c r="CI9" i="38"/>
  <c r="CH9" i="38"/>
  <c r="CG9" i="38"/>
  <c r="CD9" i="38"/>
  <c r="CD13" i="38" s="1"/>
  <c r="CC9" i="38"/>
  <c r="CB9" i="38"/>
  <c r="BY9" i="38"/>
  <c r="BX9" i="38"/>
  <c r="BW9" i="38"/>
  <c r="BT9" i="38"/>
  <c r="BS9" i="38"/>
  <c r="BR9" i="38"/>
  <c r="BO9" i="38"/>
  <c r="BN9" i="38"/>
  <c r="BK9" i="38"/>
  <c r="BF9" i="38"/>
  <c r="BA9" i="38"/>
  <c r="CJ9" i="38" s="1"/>
  <c r="CK9" i="38" s="1"/>
  <c r="AV9" i="38"/>
  <c r="AQ9" i="38"/>
  <c r="AL9" i="38"/>
  <c r="CE9" i="38" s="1"/>
  <c r="CF9" i="38" s="1"/>
  <c r="AG9" i="38"/>
  <c r="BZ9" i="38" s="1"/>
  <c r="AB9" i="38"/>
  <c r="W9" i="38"/>
  <c r="R9" i="38"/>
  <c r="M9" i="38"/>
  <c r="BU9" i="38" s="1"/>
  <c r="H9" i="38"/>
  <c r="FQ8" i="38"/>
  <c r="FP8" i="38"/>
  <c r="FO8" i="38"/>
  <c r="FM8" i="38"/>
  <c r="FN8" i="38" s="1"/>
  <c r="FL8" i="38"/>
  <c r="FK8" i="38"/>
  <c r="FJ8" i="38"/>
  <c r="FG8" i="38"/>
  <c r="FF8" i="38"/>
  <c r="FE8" i="38"/>
  <c r="FB8" i="38"/>
  <c r="FA8" i="38"/>
  <c r="EZ8" i="38"/>
  <c r="EW8" i="38"/>
  <c r="EV8" i="38"/>
  <c r="ES8" i="38"/>
  <c r="ET8" i="38" s="1"/>
  <c r="EO8" i="38"/>
  <c r="EN8" i="38"/>
  <c r="EI8" i="38"/>
  <c r="EJ8" i="38" s="1"/>
  <c r="EE8" i="38"/>
  <c r="ED8" i="38"/>
  <c r="DY8" i="38"/>
  <c r="DZ8" i="38" s="1"/>
  <c r="DU8" i="38"/>
  <c r="DT8" i="38"/>
  <c r="DO8" i="38"/>
  <c r="DP8" i="38" s="1"/>
  <c r="DK8" i="38"/>
  <c r="DJ8" i="38"/>
  <c r="DE8" i="38"/>
  <c r="FH8" i="38" s="1"/>
  <c r="FI8" i="38" s="1"/>
  <c r="DA8" i="38"/>
  <c r="CZ8" i="38"/>
  <c r="CU8" i="38"/>
  <c r="FC8" i="38" s="1"/>
  <c r="FD8" i="38" s="1"/>
  <c r="CQ8" i="38"/>
  <c r="CP8" i="38"/>
  <c r="CI8" i="38"/>
  <c r="CH8" i="38"/>
  <c r="CG8" i="38"/>
  <c r="CE8" i="38"/>
  <c r="CF8" i="38" s="1"/>
  <c r="CD8" i="38"/>
  <c r="CC8" i="38"/>
  <c r="CB8" i="38"/>
  <c r="BY8" i="38"/>
  <c r="BX8" i="38"/>
  <c r="BW8" i="38"/>
  <c r="BT8" i="38"/>
  <c r="BS8" i="38"/>
  <c r="BR8" i="38"/>
  <c r="BO8" i="38"/>
  <c r="BN8" i="38"/>
  <c r="BK8" i="38"/>
  <c r="BL8" i="38" s="1"/>
  <c r="BG8" i="38"/>
  <c r="BF8" i="38"/>
  <c r="BA8" i="38"/>
  <c r="BB8" i="38" s="1"/>
  <c r="AW8" i="38"/>
  <c r="AV8" i="38"/>
  <c r="AQ8" i="38"/>
  <c r="AR8" i="38" s="1"/>
  <c r="AM8" i="38"/>
  <c r="AL8" i="38"/>
  <c r="AG8" i="38"/>
  <c r="AH8" i="38" s="1"/>
  <c r="AC8" i="38"/>
  <c r="AB8" i="38"/>
  <c r="W8" i="38"/>
  <c r="BZ8" i="38" s="1"/>
  <c r="CA8" i="38" s="1"/>
  <c r="S8" i="38"/>
  <c r="R8" i="38"/>
  <c r="M8" i="38"/>
  <c r="N8" i="38" s="1"/>
  <c r="I8" i="38"/>
  <c r="H8" i="38"/>
  <c r="BU8" i="38" s="1"/>
  <c r="BV8" i="38" s="1"/>
  <c r="FR7" i="38"/>
  <c r="FS7" i="38" s="1"/>
  <c r="FQ7" i="38"/>
  <c r="FP7" i="38"/>
  <c r="FO7" i="38"/>
  <c r="FL7" i="38"/>
  <c r="FK7" i="38"/>
  <c r="FJ7" i="38"/>
  <c r="FH7" i="38"/>
  <c r="FG7" i="38"/>
  <c r="FF7" i="38"/>
  <c r="FE7" i="38"/>
  <c r="FB7" i="38"/>
  <c r="FA7" i="38"/>
  <c r="ED7" i="38"/>
  <c r="EE7" i="38" s="1"/>
  <c r="DK7" i="38"/>
  <c r="DF7" i="38"/>
  <c r="CZ7" i="38"/>
  <c r="CU7" i="38"/>
  <c r="FC7" i="38" s="1"/>
  <c r="CP7" i="38"/>
  <c r="CI7" i="38"/>
  <c r="CH7" i="38"/>
  <c r="CG7" i="38"/>
  <c r="CD7" i="38"/>
  <c r="CC7" i="38"/>
  <c r="CB7" i="38"/>
  <c r="BZ7" i="38"/>
  <c r="BY7" i="38"/>
  <c r="BX7" i="38"/>
  <c r="BW7" i="38"/>
  <c r="BT7" i="38"/>
  <c r="BS7" i="38"/>
  <c r="BR7" i="38"/>
  <c r="BO7" i="38"/>
  <c r="BN7" i="38"/>
  <c r="BK7" i="38"/>
  <c r="BL7" i="38" s="1"/>
  <c r="BF7" i="38"/>
  <c r="BA7" i="38"/>
  <c r="CJ7" i="38" s="1"/>
  <c r="CK7" i="38" s="1"/>
  <c r="AV7" i="38"/>
  <c r="AQ7" i="38"/>
  <c r="AL7" i="38"/>
  <c r="CE7" i="38" s="1"/>
  <c r="CF7" i="38" s="1"/>
  <c r="AG7" i="38"/>
  <c r="AB7" i="38"/>
  <c r="W7" i="38"/>
  <c r="S7" i="38"/>
  <c r="R7" i="38"/>
  <c r="M7" i="38"/>
  <c r="H7" i="38"/>
  <c r="BU7" i="38" s="1"/>
  <c r="BV7" i="38" s="1"/>
  <c r="FQ6" i="38"/>
  <c r="FP6" i="38"/>
  <c r="FO6" i="38"/>
  <c r="FL6" i="38"/>
  <c r="FK6" i="38"/>
  <c r="FJ6" i="38"/>
  <c r="FG6" i="38"/>
  <c r="FF6" i="38"/>
  <c r="FE6" i="38"/>
  <c r="FC6" i="38"/>
  <c r="FD6" i="38" s="1"/>
  <c r="FB6" i="38"/>
  <c r="FA6" i="38"/>
  <c r="EZ6" i="38"/>
  <c r="EW6" i="38"/>
  <c r="EV6" i="38"/>
  <c r="ET6" i="38"/>
  <c r="ES6" i="38"/>
  <c r="EN6" i="38"/>
  <c r="EO6" i="38" s="1"/>
  <c r="EJ6" i="38"/>
  <c r="EI6" i="38"/>
  <c r="FR6" i="38" s="1"/>
  <c r="FS6" i="38" s="1"/>
  <c r="ED6" i="38"/>
  <c r="EE6" i="38" s="1"/>
  <c r="DZ6" i="38"/>
  <c r="DY6" i="38"/>
  <c r="DT6" i="38"/>
  <c r="FM6" i="38" s="1"/>
  <c r="FN6" i="38" s="1"/>
  <c r="DP6" i="38"/>
  <c r="DO6" i="38"/>
  <c r="DJ6" i="38"/>
  <c r="DK6" i="38" s="1"/>
  <c r="DF6" i="38"/>
  <c r="DE6" i="38"/>
  <c r="CZ6" i="38"/>
  <c r="DA6" i="38" s="1"/>
  <c r="CV6" i="38"/>
  <c r="CU6" i="38"/>
  <c r="CP6" i="38"/>
  <c r="EX6" i="38" s="1"/>
  <c r="EY6" i="38" s="1"/>
  <c r="CI6" i="38"/>
  <c r="CH6" i="38"/>
  <c r="CG6" i="38"/>
  <c r="CD6" i="38"/>
  <c r="CC6" i="38"/>
  <c r="CB6" i="38"/>
  <c r="BY6" i="38"/>
  <c r="BX6" i="38"/>
  <c r="BW6" i="38"/>
  <c r="BT6" i="38"/>
  <c r="BS6" i="38"/>
  <c r="BR6" i="38"/>
  <c r="BO6" i="38"/>
  <c r="BN6" i="38"/>
  <c r="BL6" i="38"/>
  <c r="BK6" i="38"/>
  <c r="BF6" i="38"/>
  <c r="BG6" i="38" s="1"/>
  <c r="BB6" i="38"/>
  <c r="BA6" i="38"/>
  <c r="CJ6" i="38" s="1"/>
  <c r="CK6" i="38" s="1"/>
  <c r="AV6" i="38"/>
  <c r="AW6" i="38" s="1"/>
  <c r="AR6" i="38"/>
  <c r="AQ6" i="38"/>
  <c r="AL6" i="38"/>
  <c r="CE6" i="38" s="1"/>
  <c r="CF6" i="38" s="1"/>
  <c r="AG6" i="38"/>
  <c r="AH6" i="38" s="1"/>
  <c r="AB6" i="38"/>
  <c r="AC6" i="38" s="1"/>
  <c r="W6" i="38"/>
  <c r="BZ6" i="38" s="1"/>
  <c r="CA6" i="38" s="1"/>
  <c r="R6" i="38"/>
  <c r="S6" i="38" s="1"/>
  <c r="M6" i="38"/>
  <c r="N6" i="38" s="1"/>
  <c r="H6" i="38"/>
  <c r="BP6" i="38" s="1"/>
  <c r="BQ6" i="38" s="1"/>
  <c r="FQ5" i="38"/>
  <c r="FP5" i="38"/>
  <c r="FO5" i="38"/>
  <c r="FL5" i="38"/>
  <c r="FK5" i="38"/>
  <c r="FJ5" i="38"/>
  <c r="FJ63" i="38" s="1"/>
  <c r="FG5" i="38"/>
  <c r="FF5" i="38"/>
  <c r="FE5" i="38"/>
  <c r="FB5" i="38"/>
  <c r="FB63" i="38" s="1"/>
  <c r="FA5" i="38"/>
  <c r="EZ5" i="38"/>
  <c r="EW5" i="38"/>
  <c r="EV5" i="38"/>
  <c r="ES5" i="38"/>
  <c r="ES13" i="38" s="1"/>
  <c r="ET13" i="38" s="1"/>
  <c r="EN5" i="38"/>
  <c r="EI5" i="38"/>
  <c r="EI13" i="38" s="1"/>
  <c r="EJ13" i="38" s="1"/>
  <c r="ED5" i="38"/>
  <c r="EE5" i="38" s="1"/>
  <c r="DY5" i="38"/>
  <c r="DY13" i="38" s="1"/>
  <c r="DZ13" i="38" s="1"/>
  <c r="DT5" i="38"/>
  <c r="DO5" i="38"/>
  <c r="DO13" i="38" s="1"/>
  <c r="DP13" i="38" s="1"/>
  <c r="DJ5" i="38"/>
  <c r="DK5" i="38" s="1"/>
  <c r="DE5" i="38"/>
  <c r="DE13" i="38" s="1"/>
  <c r="DF13" i="38" s="1"/>
  <c r="CZ5" i="38"/>
  <c r="CU5" i="38"/>
  <c r="CU13" i="38" s="1"/>
  <c r="CV13" i="38" s="1"/>
  <c r="CP5" i="38"/>
  <c r="CQ5" i="38" s="1"/>
  <c r="CJ5" i="38"/>
  <c r="CI5" i="38"/>
  <c r="CH5" i="38"/>
  <c r="CG5" i="38"/>
  <c r="CD5" i="38"/>
  <c r="CC5" i="38"/>
  <c r="CB5" i="38"/>
  <c r="BY5" i="38"/>
  <c r="BY13" i="38" s="1"/>
  <c r="BX5" i="38"/>
  <c r="BW5" i="38"/>
  <c r="BT5" i="38"/>
  <c r="BT13" i="38" s="1"/>
  <c r="BS5" i="38"/>
  <c r="BR5" i="38"/>
  <c r="BO5" i="38"/>
  <c r="BO13" i="38" s="1"/>
  <c r="BN5" i="38"/>
  <c r="BK5" i="38"/>
  <c r="BG5" i="38"/>
  <c r="BF5" i="38"/>
  <c r="BF13" i="38" s="1"/>
  <c r="BG13" i="38" s="1"/>
  <c r="BA5" i="38"/>
  <c r="BB5" i="38" s="1"/>
  <c r="AW5" i="38"/>
  <c r="AV5" i="38"/>
  <c r="AV13" i="38" s="1"/>
  <c r="AW13" i="38" s="1"/>
  <c r="AQ5" i="38"/>
  <c r="AL5" i="38"/>
  <c r="CE5" i="38" s="1"/>
  <c r="AG5" i="38"/>
  <c r="AB5" i="38"/>
  <c r="AC5" i="38" s="1"/>
  <c r="W5" i="38"/>
  <c r="BZ5" i="38" s="1"/>
  <c r="R5" i="38"/>
  <c r="R13" i="38" s="1"/>
  <c r="S13" i="38" s="1"/>
  <c r="M5" i="38"/>
  <c r="H5" i="38"/>
  <c r="BU5" i="38" s="1"/>
  <c r="CE13" i="38" l="1"/>
  <c r="CF13" i="38" s="1"/>
  <c r="CF5" i="38"/>
  <c r="N11" i="38"/>
  <c r="CA5" i="38"/>
  <c r="BV5" i="38"/>
  <c r="BU6" i="38"/>
  <c r="BV6" i="38" s="1"/>
  <c r="FM7" i="38"/>
  <c r="FN7" i="38" s="1"/>
  <c r="FM11" i="38"/>
  <c r="FN11" i="38" s="1"/>
  <c r="ED13" i="38"/>
  <c r="EE13" i="38" s="1"/>
  <c r="BP21" i="38"/>
  <c r="BQ21" i="38" s="1"/>
  <c r="S5" i="38"/>
  <c r="BK13" i="38"/>
  <c r="BL13" i="38" s="1"/>
  <c r="CC13" i="38"/>
  <c r="CK5" i="38"/>
  <c r="DP5" i="38"/>
  <c r="ET5" i="38"/>
  <c r="FG63" i="38"/>
  <c r="X6" i="38"/>
  <c r="FH6" i="38"/>
  <c r="FI6" i="38" s="1"/>
  <c r="AM7" i="38"/>
  <c r="BP8" i="38"/>
  <c r="BQ8" i="38" s="1"/>
  <c r="CJ8" i="38"/>
  <c r="CK8" i="38" s="1"/>
  <c r="EX8" i="38"/>
  <c r="EY8" i="38" s="1"/>
  <c r="FR8" i="38"/>
  <c r="FS8" i="38" s="1"/>
  <c r="BP9" i="38"/>
  <c r="BG11" i="38"/>
  <c r="CQ11" i="38"/>
  <c r="L13" i="38"/>
  <c r="L63" i="38" s="1"/>
  <c r="AL13" i="38"/>
  <c r="AM13" i="38" s="1"/>
  <c r="CP13" i="38"/>
  <c r="CQ13" i="38" s="1"/>
  <c r="BQ14" i="38"/>
  <c r="CC38" i="38"/>
  <c r="EY14" i="38"/>
  <c r="FC15" i="38"/>
  <c r="FD15" i="38" s="1"/>
  <c r="EX15" i="38"/>
  <c r="EY15" i="38" s="1"/>
  <c r="CQ15" i="38"/>
  <c r="FH18" i="38"/>
  <c r="FM18" i="38"/>
  <c r="FN18" i="38" s="1"/>
  <c r="FH21" i="38"/>
  <c r="FM21" i="38"/>
  <c r="FN21" i="38" s="1"/>
  <c r="CE22" i="38"/>
  <c r="CF22" i="38" s="1"/>
  <c r="AM22" i="38"/>
  <c r="FM22" i="38"/>
  <c r="FN22" i="38" s="1"/>
  <c r="DU22" i="38"/>
  <c r="EX23" i="38"/>
  <c r="EY23" i="38" s="1"/>
  <c r="CA24" i="38"/>
  <c r="BP31" i="38"/>
  <c r="FH31" i="38"/>
  <c r="DF31" i="38"/>
  <c r="FC40" i="38"/>
  <c r="EX40" i="38"/>
  <c r="CQ40" i="38"/>
  <c r="BU41" i="38"/>
  <c r="BV41" i="38" s="1"/>
  <c r="BP41" i="38"/>
  <c r="BQ41" i="38" s="1"/>
  <c r="BP57" i="38"/>
  <c r="BQ57" i="38" s="1"/>
  <c r="I57" i="38"/>
  <c r="BU57" i="38"/>
  <c r="BV57" i="38" s="1"/>
  <c r="BU58" i="38"/>
  <c r="BP58" i="38"/>
  <c r="DZ59" i="38"/>
  <c r="FM59" i="38"/>
  <c r="FN59" i="38" s="1"/>
  <c r="V63" i="38"/>
  <c r="BJ63" i="38"/>
  <c r="BP5" i="38"/>
  <c r="FH23" i="38"/>
  <c r="FI23" i="38" s="1"/>
  <c r="DF23" i="38"/>
  <c r="AQ13" i="38"/>
  <c r="AR13" i="38" s="1"/>
  <c r="DF5" i="38"/>
  <c r="FK63" i="38"/>
  <c r="M13" i="38"/>
  <c r="N13" i="38" s="1"/>
  <c r="AR5" i="38"/>
  <c r="CH13" i="38"/>
  <c r="CZ13" i="38"/>
  <c r="DA13" i="38" s="1"/>
  <c r="DT13" i="38"/>
  <c r="DU13" i="38" s="1"/>
  <c r="EN13" i="38"/>
  <c r="EO13" i="38" s="1"/>
  <c r="EV13" i="38"/>
  <c r="EZ63" i="38"/>
  <c r="FH5" i="38"/>
  <c r="FL63" i="38"/>
  <c r="FP63" i="38"/>
  <c r="CQ6" i="38"/>
  <c r="DU6" i="38"/>
  <c r="BP7" i="38"/>
  <c r="BQ7" i="38" s="1"/>
  <c r="X8" i="38"/>
  <c r="CV8" i="38"/>
  <c r="DF8" i="38"/>
  <c r="DK9" i="38"/>
  <c r="DU9" i="38"/>
  <c r="EX9" i="38"/>
  <c r="FC10" i="38"/>
  <c r="EX10" i="38"/>
  <c r="DF10" i="38"/>
  <c r="H13" i="38"/>
  <c r="I13" i="38" s="1"/>
  <c r="AB13" i="38"/>
  <c r="AC13" i="38" s="1"/>
  <c r="DJ13" i="38"/>
  <c r="DK13" i="38" s="1"/>
  <c r="AL38" i="38"/>
  <c r="AM38" i="38" s="1"/>
  <c r="CE14" i="38"/>
  <c r="BK38" i="38"/>
  <c r="BL38" i="38" s="1"/>
  <c r="BL14" i="38"/>
  <c r="ES38" i="38"/>
  <c r="ET38" i="38" s="1"/>
  <c r="ET14" i="38"/>
  <c r="BZ15" i="38"/>
  <c r="CA15" i="38" s="1"/>
  <c r="FH15" i="38"/>
  <c r="FI15" i="38" s="1"/>
  <c r="BU18" i="38"/>
  <c r="BV18" i="38" s="1"/>
  <c r="FH19" i="38"/>
  <c r="DF19" i="38"/>
  <c r="BP20" i="38"/>
  <c r="FC20" i="38"/>
  <c r="BZ22" i="38"/>
  <c r="X22" i="38"/>
  <c r="FH22" i="38"/>
  <c r="BZ23" i="38"/>
  <c r="CA23" i="38" s="1"/>
  <c r="FR23" i="38"/>
  <c r="FS23" i="38" s="1"/>
  <c r="EJ23" i="38"/>
  <c r="EX24" i="38"/>
  <c r="EY24" i="38" s="1"/>
  <c r="CJ25" i="38"/>
  <c r="CK25" i="38" s="1"/>
  <c r="FC25" i="38"/>
  <c r="FM25" i="38"/>
  <c r="FN25" i="38" s="1"/>
  <c r="DU25" i="38"/>
  <c r="BZ26" i="38"/>
  <c r="CA26" i="38" s="1"/>
  <c r="CJ26" i="38"/>
  <c r="CK26" i="38" s="1"/>
  <c r="EX5" i="38"/>
  <c r="FF63" i="38"/>
  <c r="FR5" i="38"/>
  <c r="BP26" i="38"/>
  <c r="BQ26" i="38" s="1"/>
  <c r="EJ27" i="38"/>
  <c r="FR27" i="38"/>
  <c r="FS27" i="38" s="1"/>
  <c r="I5" i="38"/>
  <c r="BA13" i="38"/>
  <c r="BB13" i="38" s="1"/>
  <c r="CV5" i="38"/>
  <c r="DZ5" i="38"/>
  <c r="EJ5" i="38"/>
  <c r="FC5" i="38"/>
  <c r="FO63" i="38"/>
  <c r="W13" i="38"/>
  <c r="X13" i="38" s="1"/>
  <c r="N5" i="38"/>
  <c r="X5" i="38"/>
  <c r="AH5" i="38"/>
  <c r="BS13" i="38"/>
  <c r="CI13" i="38"/>
  <c r="DA5" i="38"/>
  <c r="DU5" i="38"/>
  <c r="EO5" i="38"/>
  <c r="EW13" i="38"/>
  <c r="FA63" i="38"/>
  <c r="FE63" i="38"/>
  <c r="FM5" i="38"/>
  <c r="FQ63" i="38"/>
  <c r="I6" i="38"/>
  <c r="BP10" i="38"/>
  <c r="FM10" i="38"/>
  <c r="FN10" i="38" s="1"/>
  <c r="BU11" i="38"/>
  <c r="BV11" i="38" s="1"/>
  <c r="AG11" i="38"/>
  <c r="BN11" i="38"/>
  <c r="BN13" i="38" s="1"/>
  <c r="BX11" i="38"/>
  <c r="BX13" i="38" s="1"/>
  <c r="FC11" i="38"/>
  <c r="FD11" i="38" s="1"/>
  <c r="W38" i="38"/>
  <c r="X38" i="38" s="1"/>
  <c r="BZ14" i="38"/>
  <c r="BY38" i="38"/>
  <c r="CP38" i="38"/>
  <c r="CQ38" i="38" s="1"/>
  <c r="BP15" i="38"/>
  <c r="BQ15" i="38" s="1"/>
  <c r="S15" i="38"/>
  <c r="CE15" i="38"/>
  <c r="CF15" i="38" s="1"/>
  <c r="AM15" i="38"/>
  <c r="BD38" i="38"/>
  <c r="BD63" i="38" s="1"/>
  <c r="BF15" i="38"/>
  <c r="BG15" i="38" s="1"/>
  <c r="CH15" i="38"/>
  <c r="FM15" i="38"/>
  <c r="FN15" i="38" s="1"/>
  <c r="DU15" i="38"/>
  <c r="K38" i="38"/>
  <c r="BS17" i="38"/>
  <c r="M17" i="38"/>
  <c r="BN17" i="38"/>
  <c r="FI17" i="38"/>
  <c r="CJ18" i="38"/>
  <c r="CK18" i="38" s="1"/>
  <c r="EX18" i="38"/>
  <c r="EY18" i="38" s="1"/>
  <c r="FR18" i="38"/>
  <c r="FS18" i="38" s="1"/>
  <c r="EJ18" i="38"/>
  <c r="FC19" i="38"/>
  <c r="EX19" i="38"/>
  <c r="CQ19" i="38"/>
  <c r="FR19" i="38"/>
  <c r="FS19" i="38" s="1"/>
  <c r="CJ21" i="38"/>
  <c r="CK21" i="38" s="1"/>
  <c r="EX21" i="38"/>
  <c r="EY21" i="38" s="1"/>
  <c r="FR21" i="38"/>
  <c r="FS21" i="38" s="1"/>
  <c r="EJ21" i="38"/>
  <c r="FC22" i="38"/>
  <c r="FD22" i="38" s="1"/>
  <c r="FM26" i="38"/>
  <c r="FN26" i="38" s="1"/>
  <c r="DU26" i="38"/>
  <c r="FR26" i="38"/>
  <c r="FS26" i="38" s="1"/>
  <c r="EJ26" i="38"/>
  <c r="H38" i="38"/>
  <c r="I38" i="38" s="1"/>
  <c r="FF11" i="38"/>
  <c r="AQ38" i="38"/>
  <c r="AR38" i="38" s="1"/>
  <c r="BA38" i="38"/>
  <c r="BB38" i="38" s="1"/>
  <c r="CD38" i="38"/>
  <c r="CH38" i="38"/>
  <c r="DE38" i="38"/>
  <c r="DF38" i="38" s="1"/>
  <c r="DO38" i="38"/>
  <c r="DP38" i="38" s="1"/>
  <c r="DY38" i="38"/>
  <c r="DZ38" i="38" s="1"/>
  <c r="EI38" i="38"/>
  <c r="EJ38" i="38" s="1"/>
  <c r="FC14" i="38"/>
  <c r="FH14" i="38"/>
  <c r="FI14" i="38" s="1"/>
  <c r="BZ17" i="38"/>
  <c r="CA17" i="38" s="1"/>
  <c r="BP19" i="38"/>
  <c r="BP22" i="38"/>
  <c r="BQ22" i="38" s="1"/>
  <c r="EX22" i="38"/>
  <c r="EY22" i="38" s="1"/>
  <c r="CE23" i="38"/>
  <c r="CF23" i="38" s="1"/>
  <c r="BP25" i="38"/>
  <c r="BQ25" i="38" s="1"/>
  <c r="EX25" i="38"/>
  <c r="EY25" i="38" s="1"/>
  <c r="BU26" i="38"/>
  <c r="BV26" i="38" s="1"/>
  <c r="FM27" i="38"/>
  <c r="FN27" i="38" s="1"/>
  <c r="DU27" i="38"/>
  <c r="CE28" i="38"/>
  <c r="CF28" i="38" s="1"/>
  <c r="CE29" i="38"/>
  <c r="CF29" i="38" s="1"/>
  <c r="FH29" i="38"/>
  <c r="DF29" i="38"/>
  <c r="BZ34" i="38"/>
  <c r="X34" i="38"/>
  <c r="CD61" i="38"/>
  <c r="CD63" i="38" s="1"/>
  <c r="FC39" i="38"/>
  <c r="FD39" i="38" s="1"/>
  <c r="EX39" i="38"/>
  <c r="CQ39" i="38"/>
  <c r="BZ40" i="38"/>
  <c r="M38" i="38"/>
  <c r="N38" i="38" s="1"/>
  <c r="AG38" i="38"/>
  <c r="AH38" i="38" s="1"/>
  <c r="BN38" i="38"/>
  <c r="CI38" i="38"/>
  <c r="EV38" i="38"/>
  <c r="CJ15" i="38"/>
  <c r="CK15" i="38" s="1"/>
  <c r="FR15" i="38"/>
  <c r="FS15" i="38" s="1"/>
  <c r="EX20" i="38"/>
  <c r="BP23" i="38"/>
  <c r="BQ23" i="38" s="1"/>
  <c r="FM23" i="38"/>
  <c r="FN23" i="38" s="1"/>
  <c r="FC26" i="38"/>
  <c r="FD26" i="38" s="1"/>
  <c r="EX26" i="38"/>
  <c r="EY26" i="38" s="1"/>
  <c r="BZ27" i="38"/>
  <c r="CA27" i="38" s="1"/>
  <c r="FH27" i="38"/>
  <c r="FI27" i="38" s="1"/>
  <c r="FR31" i="38"/>
  <c r="EJ31" i="38"/>
  <c r="BZ33" i="38"/>
  <c r="ER63" i="38"/>
  <c r="CA39" i="38"/>
  <c r="FC42" i="38"/>
  <c r="EX42" i="38"/>
  <c r="BP45" i="38"/>
  <c r="BQ45" i="38" s="1"/>
  <c r="R38" i="38"/>
  <c r="S38" i="38" s="1"/>
  <c r="AH14" i="38"/>
  <c r="BF38" i="38"/>
  <c r="BG38" i="38" s="1"/>
  <c r="BO38" i="38"/>
  <c r="BS38" i="38"/>
  <c r="CJ14" i="38"/>
  <c r="CU38" i="38"/>
  <c r="CV38" i="38" s="1"/>
  <c r="DT38" i="38"/>
  <c r="DU38" i="38" s="1"/>
  <c r="EN38" i="38"/>
  <c r="EO38" i="38" s="1"/>
  <c r="EW38" i="38"/>
  <c r="FR14" i="38"/>
  <c r="FS14" i="38" s="1"/>
  <c r="I17" i="38"/>
  <c r="AG17" i="38"/>
  <c r="AH17" i="38" s="1"/>
  <c r="BX17" i="38"/>
  <c r="BX38" i="38" s="1"/>
  <c r="DU19" i="38"/>
  <c r="DF22" i="38"/>
  <c r="I23" i="38"/>
  <c r="BP27" i="38"/>
  <c r="BQ27" i="38" s="1"/>
  <c r="I27" i="38"/>
  <c r="EX27" i="38"/>
  <c r="EY27" i="38" s="1"/>
  <c r="BP28" i="38"/>
  <c r="BQ28" i="38" s="1"/>
  <c r="FR28" i="38"/>
  <c r="FS28" i="38" s="1"/>
  <c r="ET28" i="38"/>
  <c r="BU29" i="38"/>
  <c r="BP29" i="38"/>
  <c r="FM31" i="38"/>
  <c r="BP33" i="38"/>
  <c r="CJ34" i="38"/>
  <c r="CK34" i="38" s="1"/>
  <c r="CK39" i="38"/>
  <c r="CH61" i="38"/>
  <c r="CH63" i="38" s="1"/>
  <c r="DA61" i="38"/>
  <c r="EW61" i="38"/>
  <c r="EW63" i="38" s="1"/>
  <c r="CE43" i="38"/>
  <c r="CF43" i="38" s="1"/>
  <c r="CF44" i="38"/>
  <c r="EX45" i="38"/>
  <c r="EY45" i="38" s="1"/>
  <c r="FH45" i="38"/>
  <c r="FI45" i="38" s="1"/>
  <c r="DF45" i="38"/>
  <c r="FM45" i="38"/>
  <c r="FN45" i="38" s="1"/>
  <c r="AI63" i="38"/>
  <c r="H61" i="38"/>
  <c r="R61" i="38"/>
  <c r="AB61" i="38"/>
  <c r="AL61" i="38"/>
  <c r="AV61" i="38"/>
  <c r="BF61" i="38"/>
  <c r="BO61" i="38"/>
  <c r="BS61" i="38"/>
  <c r="BS63" i="38" s="1"/>
  <c r="CE39" i="38"/>
  <c r="CI61" i="38"/>
  <c r="CI63" i="38" s="1"/>
  <c r="DE61" i="38"/>
  <c r="DO61" i="38"/>
  <c r="DY61" i="38"/>
  <c r="EI63" i="38"/>
  <c r="EJ61" i="38"/>
  <c r="ES61" i="38"/>
  <c r="FR39" i="38"/>
  <c r="FS39" i="38" s="1"/>
  <c r="BP40" i="38"/>
  <c r="BP61" i="38" s="1"/>
  <c r="FH40" i="38"/>
  <c r="EX41" i="38"/>
  <c r="EY41" i="38" s="1"/>
  <c r="BP42" i="38"/>
  <c r="CJ44" i="38"/>
  <c r="CK44" i="38" s="1"/>
  <c r="BZ45" i="38"/>
  <c r="CA45" i="38" s="1"/>
  <c r="BU45" i="38"/>
  <c r="BV45" i="38" s="1"/>
  <c r="CJ46" i="38"/>
  <c r="CK46" i="38" s="1"/>
  <c r="FR47" i="38"/>
  <c r="FS47" i="38" s="1"/>
  <c r="EJ47" i="38"/>
  <c r="BZ48" i="38"/>
  <c r="FH48" i="38"/>
  <c r="FR54" i="38"/>
  <c r="FS54" i="38" s="1"/>
  <c r="EJ54" i="38"/>
  <c r="BU56" i="38"/>
  <c r="BP56" i="38"/>
  <c r="E63" i="38"/>
  <c r="K63" i="38"/>
  <c r="Q63" i="38"/>
  <c r="AE63" i="38"/>
  <c r="AS63" i="38"/>
  <c r="BE63" i="38"/>
  <c r="DG63" i="38"/>
  <c r="DM63" i="38"/>
  <c r="DS63" i="38"/>
  <c r="CR63" i="38"/>
  <c r="DD63" i="38"/>
  <c r="DH63" i="38"/>
  <c r="DX63" i="38"/>
  <c r="EF63" i="38"/>
  <c r="BT61" i="38"/>
  <c r="BT63" i="38" s="1"/>
  <c r="BX61" i="38"/>
  <c r="CV61" i="38"/>
  <c r="FM42" i="38"/>
  <c r="FN42" i="38" s="1"/>
  <c r="FR43" i="38"/>
  <c r="FS43" i="38" s="1"/>
  <c r="EJ43" i="38"/>
  <c r="FR45" i="38"/>
  <c r="FS45" i="38" s="1"/>
  <c r="FC46" i="38"/>
  <c r="EX46" i="38"/>
  <c r="FR46" i="38"/>
  <c r="FS46" i="38" s="1"/>
  <c r="EX47" i="38"/>
  <c r="FM47" i="38"/>
  <c r="FN47" i="38" s="1"/>
  <c r="CN63" i="38"/>
  <c r="FM54" i="38"/>
  <c r="FN54" i="38" s="1"/>
  <c r="FN55" i="38"/>
  <c r="CE57" i="38"/>
  <c r="CF57" i="38" s="1"/>
  <c r="AN63" i="38"/>
  <c r="DB63" i="38"/>
  <c r="EP63" i="38"/>
  <c r="DU29" i="38"/>
  <c r="EX29" i="38"/>
  <c r="DU31" i="38"/>
  <c r="EX31" i="38"/>
  <c r="M61" i="38"/>
  <c r="W61" i="38"/>
  <c r="AG61" i="38"/>
  <c r="AQ61" i="38"/>
  <c r="BA61" i="38"/>
  <c r="BK61" i="38"/>
  <c r="BQ39" i="38"/>
  <c r="BU39" i="38"/>
  <c r="BY61" i="38"/>
  <c r="BY63" i="38" s="1"/>
  <c r="CC63" i="38"/>
  <c r="CV39" i="38"/>
  <c r="DJ61" i="38"/>
  <c r="DT61" i="38"/>
  <c r="ED61" i="38"/>
  <c r="EN61" i="38"/>
  <c r="FH39" i="38"/>
  <c r="FI39" i="38" s="1"/>
  <c r="DF41" i="38"/>
  <c r="EJ42" i="38"/>
  <c r="BP43" i="38"/>
  <c r="CE47" i="38"/>
  <c r="CF47" i="38" s="1"/>
  <c r="BP49" i="38"/>
  <c r="EX49" i="38"/>
  <c r="FH55" i="38"/>
  <c r="DF55" i="38"/>
  <c r="CE56" i="38"/>
  <c r="CF56" i="38" s="1"/>
  <c r="FC56" i="38"/>
  <c r="EX56" i="38"/>
  <c r="FR56" i="38"/>
  <c r="FR57" i="38"/>
  <c r="FS57" i="38" s="1"/>
  <c r="EJ57" i="38"/>
  <c r="G63" i="38"/>
  <c r="O63" i="38"/>
  <c r="AA63" i="38"/>
  <c r="AU63" i="38"/>
  <c r="BC63" i="38"/>
  <c r="CO63" i="38"/>
  <c r="CW63" i="38"/>
  <c r="EC63" i="38"/>
  <c r="EK63" i="38"/>
  <c r="BP46" i="38"/>
  <c r="EV48" i="38"/>
  <c r="EV61" i="38" s="1"/>
  <c r="EV63" i="38" s="1"/>
  <c r="BP50" i="38"/>
  <c r="BQ50" i="38" s="1"/>
  <c r="BP54" i="38"/>
  <c r="BQ54" i="38" s="1"/>
  <c r="BP60" i="38"/>
  <c r="FH60" i="38"/>
  <c r="DF60" i="38"/>
  <c r="F63" i="38"/>
  <c r="AD63" i="38"/>
  <c r="AJ63" i="38"/>
  <c r="AO63" i="38"/>
  <c r="AT63" i="38"/>
  <c r="AZ63" i="38"/>
  <c r="CX63" i="38"/>
  <c r="DC63" i="38"/>
  <c r="DN63" i="38"/>
  <c r="EL63" i="38"/>
  <c r="EQ63" i="38"/>
  <c r="FM46" i="38"/>
  <c r="FN46" i="38" s="1"/>
  <c r="FM56" i="38"/>
  <c r="FN56" i="38" s="1"/>
  <c r="FH57" i="38"/>
  <c r="CE58" i="38"/>
  <c r="CF58" i="38" s="1"/>
  <c r="FC58" i="38"/>
  <c r="EX58" i="38"/>
  <c r="BZ59" i="38"/>
  <c r="BZ61" i="38" s="1"/>
  <c r="FR59" i="38"/>
  <c r="EJ59" i="38"/>
  <c r="T63" i="38"/>
  <c r="Y63" i="38"/>
  <c r="AK63" i="38"/>
  <c r="AP63" i="38"/>
  <c r="BH63" i="38"/>
  <c r="CS63" i="38"/>
  <c r="CY63" i="38"/>
  <c r="DI63" i="38"/>
  <c r="DQ63" i="38"/>
  <c r="DV63" i="38"/>
  <c r="EA63" i="38"/>
  <c r="EG63" i="38"/>
  <c r="EM63" i="38"/>
  <c r="EJ46" i="38"/>
  <c r="BP47" i="38"/>
  <c r="CP48" i="38"/>
  <c r="EJ56" i="38"/>
  <c r="EX57" i="38"/>
  <c r="EY57" i="38" s="1"/>
  <c r="FM57" i="38"/>
  <c r="FN57" i="38" s="1"/>
  <c r="BU59" i="38"/>
  <c r="EX59" i="38"/>
  <c r="J63" i="38"/>
  <c r="P63" i="38"/>
  <c r="U63" i="38"/>
  <c r="Z63" i="38"/>
  <c r="AF63" i="38"/>
  <c r="AX63" i="38"/>
  <c r="BI63" i="38"/>
  <c r="CM63" i="38"/>
  <c r="CT63" i="38"/>
  <c r="DR63" i="38"/>
  <c r="DW63" i="38"/>
  <c r="EH63" i="38"/>
  <c r="BP59" i="38"/>
  <c r="EX60" i="38"/>
  <c r="FR60" i="38"/>
  <c r="LQ10" i="35"/>
  <c r="LR10" i="35"/>
  <c r="LP15" i="35"/>
  <c r="LO15" i="35"/>
  <c r="LN15" i="35"/>
  <c r="LM15" i="35"/>
  <c r="CS29" i="76"/>
  <c r="CL27" i="76"/>
  <c r="BV27" i="76"/>
  <c r="BF27" i="76"/>
  <c r="AP27" i="76"/>
  <c r="AH27" i="76"/>
  <c r="Z27" i="76"/>
  <c r="I27" i="76"/>
  <c r="DR26" i="76"/>
  <c r="DQ26" i="76"/>
  <c r="DB26" i="76"/>
  <c r="DA26" i="76"/>
  <c r="DR25" i="76"/>
  <c r="DQ25" i="76"/>
  <c r="DJ25" i="76"/>
  <c r="CT25" i="76"/>
  <c r="CL25" i="76"/>
  <c r="CD25" i="76"/>
  <c r="DB25" i="76" s="1"/>
  <c r="BV25" i="76"/>
  <c r="AG25" i="76"/>
  <c r="DA25" i="76" s="1"/>
  <c r="Y25" i="76"/>
  <c r="Q25" i="76"/>
  <c r="H25" i="76"/>
  <c r="DR24" i="76"/>
  <c r="DQ24" i="76"/>
  <c r="DJ24" i="76"/>
  <c r="DI24" i="76"/>
  <c r="DB24" i="76"/>
  <c r="DA24" i="76"/>
  <c r="Q24" i="76"/>
  <c r="H24" i="76"/>
  <c r="P24" i="76" s="1"/>
  <c r="DB23" i="76"/>
  <c r="CS23" i="76"/>
  <c r="CK23" i="76"/>
  <c r="CC23" i="76"/>
  <c r="BU23" i="76"/>
  <c r="BM23" i="76"/>
  <c r="CT22" i="76"/>
  <c r="DA21" i="76"/>
  <c r="CS21" i="76"/>
  <c r="CL21" i="76"/>
  <c r="CD21" i="76"/>
  <c r="BV21" i="76"/>
  <c r="DB21" i="76" s="1"/>
  <c r="DJ20" i="76"/>
  <c r="CT20" i="76"/>
  <c r="CS20" i="76"/>
  <c r="CL20" i="76"/>
  <c r="CK20" i="76"/>
  <c r="CD20" i="76"/>
  <c r="CC20" i="76"/>
  <c r="BV20" i="76"/>
  <c r="BU20" i="76"/>
  <c r="BM20" i="76"/>
  <c r="BF20" i="76"/>
  <c r="DB20" i="76" s="1"/>
  <c r="AX20" i="76"/>
  <c r="AO20" i="76"/>
  <c r="AG20" i="76"/>
  <c r="Y20" i="76"/>
  <c r="DI20" i="76" s="1"/>
  <c r="Q20" i="76"/>
  <c r="P20" i="76"/>
  <c r="H20" i="76"/>
  <c r="DR19" i="76"/>
  <c r="DJ19" i="76"/>
  <c r="DB19" i="76"/>
  <c r="CS19" i="76"/>
  <c r="CK19" i="76"/>
  <c r="CC19" i="76"/>
  <c r="BU19" i="76"/>
  <c r="BM19" i="76"/>
  <c r="DA19" i="76" s="1"/>
  <c r="BE19" i="76"/>
  <c r="AW19" i="76"/>
  <c r="DQ19" i="76" s="1"/>
  <c r="AO19" i="76"/>
  <c r="AG19" i="76"/>
  <c r="Y19" i="76"/>
  <c r="DI19" i="76" s="1"/>
  <c r="Q19" i="76"/>
  <c r="H19" i="76"/>
  <c r="P19" i="76" s="1"/>
  <c r="DR18" i="76"/>
  <c r="DQ18" i="76"/>
  <c r="DJ18" i="76"/>
  <c r="DB18" i="76"/>
  <c r="CS18" i="76"/>
  <c r="CK18" i="76"/>
  <c r="CC18" i="76"/>
  <c r="BU18" i="76"/>
  <c r="BM18" i="76"/>
  <c r="BE18" i="76"/>
  <c r="AW18" i="76"/>
  <c r="AO18" i="76"/>
  <c r="DA18" i="76" s="1"/>
  <c r="AG18" i="76"/>
  <c r="Y18" i="76"/>
  <c r="Q18" i="76"/>
  <c r="P18" i="76"/>
  <c r="H18" i="76"/>
  <c r="DR17" i="76"/>
  <c r="DJ17" i="76"/>
  <c r="DB17" i="76"/>
  <c r="CS17" i="76"/>
  <c r="CK17" i="76"/>
  <c r="CC17" i="76"/>
  <c r="BU17" i="76"/>
  <c r="BM17" i="76"/>
  <c r="BE17" i="76"/>
  <c r="AW17" i="76"/>
  <c r="DQ17" i="76" s="1"/>
  <c r="AO17" i="76"/>
  <c r="AG17" i="76"/>
  <c r="Y17" i="76"/>
  <c r="Q17" i="76"/>
  <c r="H17" i="76"/>
  <c r="P17" i="76" s="1"/>
  <c r="DR16" i="76"/>
  <c r="DJ16" i="76"/>
  <c r="DI16" i="76"/>
  <c r="DB16" i="76"/>
  <c r="CS16" i="76"/>
  <c r="CK16" i="76"/>
  <c r="CC16" i="76"/>
  <c r="BU16" i="76"/>
  <c r="BM16" i="76"/>
  <c r="BE16" i="76"/>
  <c r="AW16" i="76"/>
  <c r="AO16" i="76"/>
  <c r="AG16" i="76"/>
  <c r="Y16" i="76"/>
  <c r="Q16" i="76"/>
  <c r="P16" i="76"/>
  <c r="H16" i="76"/>
  <c r="DR15" i="76"/>
  <c r="DJ15" i="76"/>
  <c r="DB15" i="76"/>
  <c r="CS15" i="76"/>
  <c r="CK15" i="76"/>
  <c r="CC15" i="76"/>
  <c r="BU15" i="76"/>
  <c r="BM15" i="76"/>
  <c r="BE15" i="76"/>
  <c r="AW15" i="76"/>
  <c r="DQ15" i="76" s="1"/>
  <c r="AO15" i="76"/>
  <c r="AG15" i="76"/>
  <c r="Y15" i="76"/>
  <c r="DI15" i="76" s="1"/>
  <c r="Q15" i="76"/>
  <c r="H15" i="76"/>
  <c r="P15" i="76" s="1"/>
  <c r="DR14" i="76"/>
  <c r="DQ14" i="76"/>
  <c r="DJ14" i="76"/>
  <c r="DB14" i="76"/>
  <c r="CS14" i="76"/>
  <c r="CK14" i="76"/>
  <c r="CC14" i="76"/>
  <c r="BU14" i="76"/>
  <c r="BM14" i="76"/>
  <c r="BE14" i="76"/>
  <c r="AW14" i="76"/>
  <c r="AO14" i="76"/>
  <c r="DA14" i="76" s="1"/>
  <c r="AG14" i="76"/>
  <c r="Y14" i="76"/>
  <c r="DI14" i="76" s="1"/>
  <c r="Q14" i="76"/>
  <c r="P14" i="76"/>
  <c r="H14" i="76"/>
  <c r="DJ13" i="76"/>
  <c r="CT13" i="76"/>
  <c r="CL13" i="76"/>
  <c r="CK13" i="76" s="1"/>
  <c r="CD13" i="76"/>
  <c r="BV13" i="76"/>
  <c r="BU13" i="76" s="1"/>
  <c r="BN13" i="76"/>
  <c r="BF13" i="76"/>
  <c r="DR13" i="76" s="1"/>
  <c r="AW13" i="76"/>
  <c r="AO13" i="76"/>
  <c r="AG13" i="76"/>
  <c r="Y13" i="76"/>
  <c r="DI13" i="76" s="1"/>
  <c r="Q13" i="76"/>
  <c r="H13" i="76"/>
  <c r="P13" i="76" s="1"/>
  <c r="DR12" i="76"/>
  <c r="DQ12" i="76"/>
  <c r="DJ12" i="76"/>
  <c r="DB12" i="76"/>
  <c r="CS12" i="76"/>
  <c r="CK12" i="76"/>
  <c r="CC12" i="76"/>
  <c r="BU12" i="76"/>
  <c r="BM12" i="76"/>
  <c r="BE12" i="76"/>
  <c r="AW12" i="76"/>
  <c r="AO12" i="76"/>
  <c r="AO27" i="76" s="1"/>
  <c r="AG12" i="76"/>
  <c r="AG27" i="76" s="1"/>
  <c r="Y12" i="76"/>
  <c r="P12" i="76"/>
  <c r="P27" i="76" s="1"/>
  <c r="I12" i="76"/>
  <c r="Q12" i="76" s="1"/>
  <c r="H12" i="76"/>
  <c r="H27" i="76" s="1"/>
  <c r="DB11" i="76"/>
  <c r="DA11" i="76"/>
  <c r="DL9" i="76"/>
  <c r="DD9" i="76"/>
  <c r="CR9" i="76"/>
  <c r="CT29" i="76" s="1"/>
  <c r="CQ9" i="76"/>
  <c r="CO9" i="76"/>
  <c r="CN9" i="76"/>
  <c r="CJ9" i="76"/>
  <c r="CL29" i="76" s="1"/>
  <c r="CK29" i="76" s="1"/>
  <c r="CI9" i="76"/>
  <c r="CG9" i="76"/>
  <c r="CF9" i="76"/>
  <c r="CB9" i="76"/>
  <c r="CD29" i="76" s="1"/>
  <c r="CC29" i="76" s="1"/>
  <c r="BY9" i="76"/>
  <c r="BX9" i="76"/>
  <c r="BT9" i="76"/>
  <c r="BV29" i="76" s="1"/>
  <c r="BU29" i="76" s="1"/>
  <c r="BQ9" i="76"/>
  <c r="BP9" i="76"/>
  <c r="BL9" i="76"/>
  <c r="BN29" i="76" s="1"/>
  <c r="BI9" i="76"/>
  <c r="BH9" i="76"/>
  <c r="BE9" i="76"/>
  <c r="BD9" i="76"/>
  <c r="BC9" i="76"/>
  <c r="BA9" i="76"/>
  <c r="AZ9" i="76"/>
  <c r="AV9" i="76"/>
  <c r="AS9" i="76"/>
  <c r="AR9" i="76"/>
  <c r="AK9" i="76"/>
  <c r="AJ9" i="76"/>
  <c r="AC9" i="76"/>
  <c r="AB9" i="76"/>
  <c r="X9" i="76"/>
  <c r="V9" i="76"/>
  <c r="U9" i="76"/>
  <c r="T9" i="76"/>
  <c r="N9" i="76"/>
  <c r="M9" i="76"/>
  <c r="L9" i="76"/>
  <c r="H9" i="76"/>
  <c r="H28" i="76" s="1"/>
  <c r="H30" i="76" s="1"/>
  <c r="H32" i="76" s="1"/>
  <c r="F9" i="76"/>
  <c r="D9" i="76"/>
  <c r="C9" i="76"/>
  <c r="DP7" i="76"/>
  <c r="DM7" i="76"/>
  <c r="CZ7" i="76"/>
  <c r="CW7" i="76"/>
  <c r="CT7" i="76"/>
  <c r="CS7" i="76"/>
  <c r="CP7" i="76"/>
  <c r="CK7" i="76"/>
  <c r="CH7" i="76"/>
  <c r="CL7" i="76" s="1"/>
  <c r="CC7" i="76"/>
  <c r="BZ7" i="76"/>
  <c r="CD7" i="76" s="1"/>
  <c r="BK7" i="76"/>
  <c r="CY7" i="76" s="1"/>
  <c r="BJ7" i="76"/>
  <c r="CX7" i="76" s="1"/>
  <c r="DP6" i="76"/>
  <c r="DP9" i="76" s="1"/>
  <c r="DM6" i="76"/>
  <c r="DM9" i="76" s="1"/>
  <c r="DH6" i="76"/>
  <c r="DH9" i="76" s="1"/>
  <c r="DE6" i="76"/>
  <c r="DE9" i="76" s="1"/>
  <c r="CW6" i="76"/>
  <c r="CW9" i="76" s="1"/>
  <c r="CT6" i="76"/>
  <c r="CT9" i="76" s="1"/>
  <c r="CQ6" i="76"/>
  <c r="CS6" i="76" s="1"/>
  <c r="CS9" i="76" s="1"/>
  <c r="CP6" i="76"/>
  <c r="CK6" i="76"/>
  <c r="CI6" i="76"/>
  <c r="CH6" i="76"/>
  <c r="CH9" i="76" s="1"/>
  <c r="CD6" i="76"/>
  <c r="CA6" i="76"/>
  <c r="CA9" i="76" s="1"/>
  <c r="BZ6" i="76"/>
  <c r="BU6" i="76"/>
  <c r="BU9" i="76" s="1"/>
  <c r="BS6" i="76"/>
  <c r="BS9" i="76" s="1"/>
  <c r="BR6" i="76"/>
  <c r="BR9" i="76" s="1"/>
  <c r="BN6" i="76"/>
  <c r="BO6" i="76" s="1"/>
  <c r="BK6" i="76"/>
  <c r="BM6" i="76" s="1"/>
  <c r="BJ6" i="76"/>
  <c r="BE6" i="76"/>
  <c r="BC6" i="76"/>
  <c r="BB6" i="76"/>
  <c r="BB9" i="76" s="1"/>
  <c r="AX6" i="76"/>
  <c r="AX9" i="76" s="1"/>
  <c r="AU6" i="76"/>
  <c r="CY6" i="76" s="1"/>
  <c r="AT6" i="76"/>
  <c r="AT9" i="76" s="1"/>
  <c r="AO6" i="76"/>
  <c r="AO9" i="76" s="1"/>
  <c r="AO28" i="76" s="1"/>
  <c r="AO30" i="76" s="1"/>
  <c r="AO32" i="76" s="1"/>
  <c r="AN6" i="76"/>
  <c r="AN9" i="76" s="1"/>
  <c r="AM6" i="76"/>
  <c r="AM9" i="76" s="1"/>
  <c r="AL6" i="76"/>
  <c r="AL9" i="76" s="1"/>
  <c r="AF6" i="76"/>
  <c r="AF9" i="76" s="1"/>
  <c r="AE6" i="76"/>
  <c r="AE9" i="76" s="1"/>
  <c r="AD6" i="76"/>
  <c r="AD9" i="76" s="1"/>
  <c r="Y6" i="76"/>
  <c r="Y9" i="76" s="1"/>
  <c r="X6" i="76"/>
  <c r="W6" i="76"/>
  <c r="W9" i="76" s="1"/>
  <c r="V6" i="76"/>
  <c r="Z6" i="76" s="1"/>
  <c r="Q6" i="76"/>
  <c r="Q9" i="76" s="1"/>
  <c r="P6" i="76"/>
  <c r="P9" i="76" s="1"/>
  <c r="P28" i="76" s="1"/>
  <c r="P30" i="76" s="1"/>
  <c r="P32" i="76" s="1"/>
  <c r="O6" i="76"/>
  <c r="O9" i="76" s="1"/>
  <c r="M6" i="76"/>
  <c r="I6" i="76"/>
  <c r="I9" i="76" s="1"/>
  <c r="I28" i="76" s="1"/>
  <c r="I30" i="76" s="1"/>
  <c r="I32" i="76" s="1"/>
  <c r="H6" i="76"/>
  <c r="G6" i="76"/>
  <c r="G9" i="76" s="1"/>
  <c r="E6" i="76"/>
  <c r="E9" i="76" s="1"/>
  <c r="CA61" i="38" l="1"/>
  <c r="BQ61" i="38"/>
  <c r="BN63" i="38"/>
  <c r="ED63" i="38"/>
  <c r="EE63" i="38" s="1"/>
  <c r="EE61" i="38"/>
  <c r="EJ63" i="38"/>
  <c r="R63" i="38"/>
  <c r="S63" i="38" s="1"/>
  <c r="S61" i="38"/>
  <c r="DT63" i="38"/>
  <c r="DU63" i="38" s="1"/>
  <c r="DU61" i="38"/>
  <c r="BB61" i="38"/>
  <c r="BA63" i="38"/>
  <c r="BB63" i="38" s="1"/>
  <c r="N61" i="38"/>
  <c r="M63" i="38"/>
  <c r="N63" i="38" s="1"/>
  <c r="DY63" i="38"/>
  <c r="DZ63" i="38" s="1"/>
  <c r="DZ61" i="38"/>
  <c r="CE61" i="38"/>
  <c r="CF39" i="38"/>
  <c r="AW61" i="38"/>
  <c r="AV63" i="38"/>
  <c r="AW63" i="38" s="1"/>
  <c r="I61" i="38"/>
  <c r="H63" i="38"/>
  <c r="I63" i="38" s="1"/>
  <c r="CJ38" i="38"/>
  <c r="CK38" i="38" s="1"/>
  <c r="CK14" i="38"/>
  <c r="EY39" i="38"/>
  <c r="EX61" i="38"/>
  <c r="N17" i="38"/>
  <c r="BU17" i="38"/>
  <c r="FC63" i="38"/>
  <c r="FD63" i="38" s="1"/>
  <c r="FD5" i="38"/>
  <c r="EX13" i="38"/>
  <c r="EY13" i="38" s="1"/>
  <c r="EY5" i="38"/>
  <c r="BP17" i="38"/>
  <c r="BQ17" i="38" s="1"/>
  <c r="BP38" i="38"/>
  <c r="BQ38" i="38" s="1"/>
  <c r="BU13" i="38"/>
  <c r="BV13" i="38" s="1"/>
  <c r="BL61" i="38"/>
  <c r="BK63" i="38"/>
  <c r="BL63" i="38" s="1"/>
  <c r="BX63" i="38"/>
  <c r="BF63" i="38"/>
  <c r="BG63" i="38" s="1"/>
  <c r="BG61" i="38"/>
  <c r="AH11" i="38"/>
  <c r="BZ11" i="38"/>
  <c r="EX48" i="38"/>
  <c r="EY48" i="38" s="1"/>
  <c r="CQ48" i="38"/>
  <c r="DJ63" i="38"/>
  <c r="DK63" i="38" s="1"/>
  <c r="DK61" i="38"/>
  <c r="BU61" i="38"/>
  <c r="BV39" i="38"/>
  <c r="AR61" i="38"/>
  <c r="AQ63" i="38"/>
  <c r="AR63" i="38" s="1"/>
  <c r="ES63" i="38"/>
  <c r="ET63" i="38" s="1"/>
  <c r="ET61" i="38"/>
  <c r="DO63" i="38"/>
  <c r="DP63" i="38" s="1"/>
  <c r="DP61" i="38"/>
  <c r="AL63" i="38"/>
  <c r="AM63" i="38" s="1"/>
  <c r="AM61" i="38"/>
  <c r="CZ63" i="38"/>
  <c r="DA63" i="38" s="1"/>
  <c r="CJ61" i="38"/>
  <c r="FM63" i="38"/>
  <c r="FN63" i="38" s="1"/>
  <c r="FN5" i="38"/>
  <c r="BQ5" i="38"/>
  <c r="EX38" i="38"/>
  <c r="EY38" i="38" s="1"/>
  <c r="X61" i="38"/>
  <c r="W63" i="38"/>
  <c r="X63" i="38" s="1"/>
  <c r="CE38" i="38"/>
  <c r="CF38" i="38" s="1"/>
  <c r="CF14" i="38"/>
  <c r="BP11" i="38"/>
  <c r="BQ11" i="38" s="1"/>
  <c r="EN63" i="38"/>
  <c r="EO63" i="38" s="1"/>
  <c r="EO61" i="38"/>
  <c r="AH61" i="38"/>
  <c r="CU63" i="38"/>
  <c r="CV63" i="38" s="1"/>
  <c r="DE63" i="38"/>
  <c r="DF63" i="38" s="1"/>
  <c r="DF61" i="38"/>
  <c r="BO63" i="38"/>
  <c r="AC61" i="38"/>
  <c r="AB63" i="38"/>
  <c r="AC63" i="38" s="1"/>
  <c r="CP61" i="38"/>
  <c r="BZ38" i="38"/>
  <c r="CA38" i="38" s="1"/>
  <c r="CA14" i="38"/>
  <c r="FR63" i="38"/>
  <c r="FS63" i="38" s="1"/>
  <c r="FS5" i="38"/>
  <c r="FH63" i="38"/>
  <c r="FI63" i="38" s="1"/>
  <c r="FI5" i="38"/>
  <c r="AG13" i="38"/>
  <c r="AH13" i="38" s="1"/>
  <c r="CJ13" i="38"/>
  <c r="CK13" i="38" s="1"/>
  <c r="LQ15" i="35"/>
  <c r="LR15" i="35"/>
  <c r="CS28" i="76"/>
  <c r="CS30" i="76" s="1"/>
  <c r="Z9" i="76"/>
  <c r="AA6" i="76"/>
  <c r="CY9" i="76"/>
  <c r="AU9" i="76"/>
  <c r="BK9" i="76"/>
  <c r="AP6" i="76"/>
  <c r="DJ6" i="76" s="1"/>
  <c r="AW6" i="76"/>
  <c r="BJ9" i="76"/>
  <c r="BV6" i="76"/>
  <c r="CC6" i="76"/>
  <c r="CC9" i="76" s="1"/>
  <c r="CP9" i="76"/>
  <c r="CU6" i="76"/>
  <c r="CZ6" i="76"/>
  <c r="CZ9" i="76" s="1"/>
  <c r="DI6" i="76"/>
  <c r="DI9" i="76" s="1"/>
  <c r="DN6" i="76"/>
  <c r="BM7" i="76"/>
  <c r="DN7" i="76"/>
  <c r="DB29" i="76"/>
  <c r="DA29" i="76" s="1"/>
  <c r="Y27" i="76"/>
  <c r="Y28" i="76" s="1"/>
  <c r="Y30" i="76" s="1"/>
  <c r="Y32" i="76" s="1"/>
  <c r="CK27" i="76"/>
  <c r="DJ27" i="76"/>
  <c r="CC13" i="76"/>
  <c r="CC27" i="76" s="1"/>
  <c r="CD27" i="76"/>
  <c r="DQ16" i="76"/>
  <c r="DA16" i="76"/>
  <c r="DI17" i="76"/>
  <c r="DI18" i="76"/>
  <c r="AW20" i="76"/>
  <c r="AW27" i="76" s="1"/>
  <c r="AX27" i="76"/>
  <c r="DR20" i="76"/>
  <c r="DR27" i="76" s="1"/>
  <c r="DI25" i="76"/>
  <c r="BM29" i="76"/>
  <c r="CT28" i="76"/>
  <c r="AG6" i="76"/>
  <c r="AG9" i="76" s="1"/>
  <c r="AG28" i="76" s="1"/>
  <c r="AG30" i="76" s="1"/>
  <c r="AG32" i="76" s="1"/>
  <c r="AX28" i="76"/>
  <c r="CD9" i="76"/>
  <c r="CK9" i="76"/>
  <c r="CK28" i="76" s="1"/>
  <c r="CK30" i="76" s="1"/>
  <c r="CK32" i="76" s="1"/>
  <c r="DF6" i="76"/>
  <c r="DF9" i="76" s="1"/>
  <c r="DO6" i="76"/>
  <c r="BN7" i="76"/>
  <c r="BN9" i="76" s="1"/>
  <c r="DO7" i="76"/>
  <c r="CU9" i="76"/>
  <c r="CS27" i="76"/>
  <c r="DA15" i="76"/>
  <c r="DA17" i="76"/>
  <c r="DA23" i="76"/>
  <c r="AH6" i="76"/>
  <c r="AY6" i="76"/>
  <c r="BF6" i="76"/>
  <c r="DR6" i="76" s="1"/>
  <c r="BZ9" i="76"/>
  <c r="CE6" i="76"/>
  <c r="CL6" i="76"/>
  <c r="CX6" i="76"/>
  <c r="CX9" i="76" s="1"/>
  <c r="DB6" i="76"/>
  <c r="DG6" i="76"/>
  <c r="DG9" i="76" s="1"/>
  <c r="AY9" i="76"/>
  <c r="Q27" i="76"/>
  <c r="Q28" i="76" s="1"/>
  <c r="Q30" i="76" s="1"/>
  <c r="Q32" i="76" s="1"/>
  <c r="BU27" i="76"/>
  <c r="BU28" i="76" s="1"/>
  <c r="BU30" i="76" s="1"/>
  <c r="DA12" i="76"/>
  <c r="BM13" i="76"/>
  <c r="BN27" i="76"/>
  <c r="DB13" i="76"/>
  <c r="DB27" i="76" s="1"/>
  <c r="CS13" i="76"/>
  <c r="CT27" i="76"/>
  <c r="BE13" i="76"/>
  <c r="DQ13" i="76" s="1"/>
  <c r="BE20" i="76"/>
  <c r="DA20" i="76" s="1"/>
  <c r="DI12" i="76"/>
  <c r="CA11" i="38" l="1"/>
  <c r="BZ13" i="38"/>
  <c r="CA13" i="38" s="1"/>
  <c r="BP13" i="38"/>
  <c r="BQ13" i="38" s="1"/>
  <c r="CF61" i="38"/>
  <c r="CE63" i="38"/>
  <c r="CF63" i="38" s="1"/>
  <c r="BP63" i="38"/>
  <c r="BQ63" i="38" s="1"/>
  <c r="EX63" i="38"/>
  <c r="EY63" i="38" s="1"/>
  <c r="EY61" i="38"/>
  <c r="AG63" i="38"/>
  <c r="AH63" i="38" s="1"/>
  <c r="BV17" i="38"/>
  <c r="BU38" i="38"/>
  <c r="BV38" i="38" s="1"/>
  <c r="CJ63" i="38"/>
  <c r="CK63" i="38" s="1"/>
  <c r="CK61" i="38"/>
  <c r="CP63" i="38"/>
  <c r="CQ63" i="38" s="1"/>
  <c r="CQ61" i="38"/>
  <c r="BU63" i="38"/>
  <c r="BV63" i="38" s="1"/>
  <c r="BV61" i="38"/>
  <c r="BZ63" i="38"/>
  <c r="CA63" i="38" s="1"/>
  <c r="DS6" i="76"/>
  <c r="BN28" i="76"/>
  <c r="BO9" i="76"/>
  <c r="DJ9" i="76"/>
  <c r="DK6" i="76"/>
  <c r="DC6" i="76"/>
  <c r="CC28" i="76"/>
  <c r="CC30" i="76" s="1"/>
  <c r="CT31" i="76"/>
  <c r="CS31" i="76" s="1"/>
  <c r="CS32" i="76" s="1"/>
  <c r="CU28" i="76"/>
  <c r="CT30" i="76"/>
  <c r="DA7" i="76"/>
  <c r="DQ7" i="76"/>
  <c r="AP9" i="76"/>
  <c r="AQ6" i="76"/>
  <c r="BE27" i="76"/>
  <c r="BE28" i="76" s="1"/>
  <c r="BE30" i="76" s="1"/>
  <c r="BE32" i="76" s="1"/>
  <c r="DA6" i="76"/>
  <c r="DA13" i="76"/>
  <c r="DA27" i="76" s="1"/>
  <c r="CL9" i="76"/>
  <c r="CM6" i="76"/>
  <c r="BM27" i="76"/>
  <c r="DO9" i="76"/>
  <c r="AX30" i="76"/>
  <c r="AY28" i="76"/>
  <c r="BM9" i="76"/>
  <c r="BM28" i="76" s="1"/>
  <c r="BM30" i="76" s="1"/>
  <c r="BF9" i="76"/>
  <c r="BG6" i="76"/>
  <c r="BO7" i="76"/>
  <c r="DB7" i="76"/>
  <c r="DC7" i="76" s="1"/>
  <c r="DR7" i="76"/>
  <c r="DS7" i="76" s="1"/>
  <c r="CD28" i="76"/>
  <c r="CE9" i="76"/>
  <c r="BV9" i="76"/>
  <c r="BW6" i="76"/>
  <c r="Z28" i="76"/>
  <c r="AA9" i="76"/>
  <c r="DI27" i="76"/>
  <c r="DI28" i="76" s="1"/>
  <c r="DI30" i="76" s="1"/>
  <c r="DI32" i="76" s="1"/>
  <c r="AH9" i="76"/>
  <c r="AI6" i="76"/>
  <c r="DQ20" i="76"/>
  <c r="DQ27" i="76" s="1"/>
  <c r="DN9" i="76"/>
  <c r="DQ6" i="76"/>
  <c r="DQ9" i="76" s="1"/>
  <c r="AW9" i="76"/>
  <c r="AW28" i="76" s="1"/>
  <c r="AW30" i="76" s="1"/>
  <c r="AW32" i="76" s="1"/>
  <c r="BF28" i="76" l="1"/>
  <c r="BG9" i="76"/>
  <c r="CL28" i="76"/>
  <c r="CM9" i="76"/>
  <c r="CC32" i="76"/>
  <c r="DJ28" i="76"/>
  <c r="DK9" i="76"/>
  <c r="BO28" i="76"/>
  <c r="BN31" i="76"/>
  <c r="BM31" i="76" s="1"/>
  <c r="BM32" i="76" s="1"/>
  <c r="BN30" i="76"/>
  <c r="BW9" i="76"/>
  <c r="BV28" i="76"/>
  <c r="AP28" i="76"/>
  <c r="AQ9" i="76"/>
  <c r="CT32" i="76"/>
  <c r="CU32" i="76" s="1"/>
  <c r="CU30" i="76"/>
  <c r="DQ28" i="76"/>
  <c r="DQ30" i="76" s="1"/>
  <c r="DQ32" i="76" s="1"/>
  <c r="AH28" i="76"/>
  <c r="AI9" i="76"/>
  <c r="AX32" i="76"/>
  <c r="AY32" i="76" s="1"/>
  <c r="AY30" i="76"/>
  <c r="DA9" i="76"/>
  <c r="DA28" i="76" s="1"/>
  <c r="DA30" i="76" s="1"/>
  <c r="DB9" i="76"/>
  <c r="DR9" i="76"/>
  <c r="AA28" i="76"/>
  <c r="Z30" i="76"/>
  <c r="CD30" i="76"/>
  <c r="CE28" i="76"/>
  <c r="CD31" i="76"/>
  <c r="CC31" i="76" s="1"/>
  <c r="AI38" i="62"/>
  <c r="AH38" i="62"/>
  <c r="AG38" i="62"/>
  <c r="AF38" i="62"/>
  <c r="AE38" i="62"/>
  <c r="AD38" i="62"/>
  <c r="AC38" i="62"/>
  <c r="AP38" i="62" s="1"/>
  <c r="AB38" i="62"/>
  <c r="AA38" i="62"/>
  <c r="Z38" i="62"/>
  <c r="AO38" i="62" s="1"/>
  <c r="Y38" i="62"/>
  <c r="X38" i="62"/>
  <c r="W38" i="62"/>
  <c r="V38" i="62"/>
  <c r="AL32" i="62"/>
  <c r="AI32" i="62"/>
  <c r="AH32" i="62"/>
  <c r="AG32" i="62"/>
  <c r="AF32" i="62"/>
  <c r="AE32" i="62"/>
  <c r="AD32" i="62"/>
  <c r="AC32" i="62"/>
  <c r="AP32" i="62" s="1"/>
  <c r="AB32" i="62"/>
  <c r="AA32" i="62"/>
  <c r="Z32" i="62"/>
  <c r="AO32" i="62" s="1"/>
  <c r="Y32" i="62"/>
  <c r="X32" i="62"/>
  <c r="W32" i="62"/>
  <c r="V32" i="62"/>
  <c r="AL20" i="62"/>
  <c r="AI20" i="62"/>
  <c r="AH20" i="62"/>
  <c r="AG20" i="62"/>
  <c r="AF20" i="62"/>
  <c r="AE20" i="62"/>
  <c r="AD20" i="62"/>
  <c r="AC20" i="62"/>
  <c r="AP20" i="62" s="1"/>
  <c r="AB20" i="62"/>
  <c r="AA20" i="62"/>
  <c r="Z20" i="62"/>
  <c r="AO20" i="62" s="1"/>
  <c r="Y20" i="62"/>
  <c r="X20" i="62"/>
  <c r="W20" i="62"/>
  <c r="V20" i="62"/>
  <c r="AL14" i="62"/>
  <c r="AI14" i="62"/>
  <c r="AH14" i="62"/>
  <c r="AG14" i="62"/>
  <c r="AF14" i="62"/>
  <c r="AE14" i="62"/>
  <c r="AD14" i="62"/>
  <c r="AC14" i="62"/>
  <c r="AP14" i="62" s="1"/>
  <c r="AB14" i="62"/>
  <c r="AA14" i="62"/>
  <c r="Z14" i="62"/>
  <c r="AO14" i="62" s="1"/>
  <c r="Y14" i="62"/>
  <c r="X14" i="62"/>
  <c r="W14" i="62"/>
  <c r="V14" i="62"/>
  <c r="AL8" i="62"/>
  <c r="AI8" i="62"/>
  <c r="AH8" i="62"/>
  <c r="AG8" i="62"/>
  <c r="AF8" i="62"/>
  <c r="AE8" i="62"/>
  <c r="AD8" i="62"/>
  <c r="AC8" i="62"/>
  <c r="AP8" i="62" s="1"/>
  <c r="AB8" i="62"/>
  <c r="AA8" i="62"/>
  <c r="AO8" i="62" s="1"/>
  <c r="Z8" i="62"/>
  <c r="Y8" i="62"/>
  <c r="X8" i="62"/>
  <c r="W8" i="62"/>
  <c r="V8" i="62"/>
  <c r="AI44" i="62"/>
  <c r="AH44" i="62"/>
  <c r="TM17" i="36"/>
  <c r="TN17" i="36" s="1"/>
  <c r="TM12" i="36"/>
  <c r="TN12" i="36" s="1"/>
  <c r="TM13" i="36"/>
  <c r="TN13" i="36" s="1"/>
  <c r="TH12" i="36"/>
  <c r="TI12" i="36" s="1"/>
  <c r="TH13" i="36"/>
  <c r="TI13" i="36"/>
  <c r="TL21" i="36"/>
  <c r="TJ98" i="36"/>
  <c r="UH259" i="7"/>
  <c r="DS9" i="76" l="1"/>
  <c r="DR28" i="76"/>
  <c r="BG28" i="76"/>
  <c r="BF30" i="76"/>
  <c r="CD32" i="76"/>
  <c r="CE32" i="76" s="1"/>
  <c r="CE30" i="76"/>
  <c r="BV30" i="76"/>
  <c r="BV31" i="76"/>
  <c r="BU31" i="76" s="1"/>
  <c r="BU32" i="76" s="1"/>
  <c r="BW28" i="76"/>
  <c r="Z32" i="76"/>
  <c r="AA32" i="76" s="1"/>
  <c r="AA30" i="76"/>
  <c r="CM28" i="76"/>
  <c r="CL30" i="76"/>
  <c r="AP30" i="76"/>
  <c r="AQ28" i="76"/>
  <c r="DC9" i="76"/>
  <c r="DB28" i="76"/>
  <c r="AI28" i="76"/>
  <c r="AH30" i="76"/>
  <c r="BN32" i="76"/>
  <c r="BO32" i="76" s="1"/>
  <c r="BO30" i="76"/>
  <c r="DJ30" i="76"/>
  <c r="DK28" i="76"/>
  <c r="TE105" i="36"/>
  <c r="TE104" i="36"/>
  <c r="TE109" i="36"/>
  <c r="TE117" i="36"/>
  <c r="TE113" i="36"/>
  <c r="TE111" i="36"/>
  <c r="TE108" i="36"/>
  <c r="TE29" i="36"/>
  <c r="TE28" i="36"/>
  <c r="TE27" i="36"/>
  <c r="TE26" i="36"/>
  <c r="TD26" i="36"/>
  <c r="TF24" i="36"/>
  <c r="TE24" i="36"/>
  <c r="TD24" i="36"/>
  <c r="TE23" i="36"/>
  <c r="TE22" i="36"/>
  <c r="TE13" i="36"/>
  <c r="TE12" i="36"/>
  <c r="TE11" i="36"/>
  <c r="TD11" i="36"/>
  <c r="TE10" i="36"/>
  <c r="TE9" i="36"/>
  <c r="TE8" i="36"/>
  <c r="AH32" i="76" l="1"/>
  <c r="AI32" i="76" s="1"/>
  <c r="AI30" i="76"/>
  <c r="BF32" i="76"/>
  <c r="BG32" i="76" s="1"/>
  <c r="BG30" i="76"/>
  <c r="DJ32" i="76"/>
  <c r="DK32" i="76" s="1"/>
  <c r="DK30" i="76"/>
  <c r="AQ30" i="76"/>
  <c r="AP32" i="76"/>
  <c r="AQ32" i="76" s="1"/>
  <c r="DB30" i="76"/>
  <c r="DC28" i="76"/>
  <c r="DB31" i="76"/>
  <c r="DA31" i="76" s="1"/>
  <c r="DA32" i="76" s="1"/>
  <c r="CL32" i="76"/>
  <c r="CM32" i="76" s="1"/>
  <c r="CM30" i="76"/>
  <c r="DS28" i="76"/>
  <c r="DR30" i="76"/>
  <c r="BV32" i="76"/>
  <c r="BW32" i="76" s="1"/>
  <c r="BW30" i="76"/>
  <c r="TE103" i="36"/>
  <c r="AI58" i="62"/>
  <c r="DB32" i="76" l="1"/>
  <c r="DC32" i="76" s="1"/>
  <c r="DC30" i="76"/>
  <c r="DR32" i="76"/>
  <c r="DS32" i="76" s="1"/>
  <c r="DS30" i="76"/>
  <c r="TE102" i="36"/>
  <c r="TE96" i="36" s="1"/>
  <c r="TE94" i="36" s="1"/>
  <c r="TJ94" i="36" s="1"/>
  <c r="TE99" i="36"/>
  <c r="TE98" i="36" s="1"/>
  <c r="TH83" i="36"/>
  <c r="TH84" i="36"/>
  <c r="TH85" i="36"/>
  <c r="TH86" i="36"/>
  <c r="TH87" i="36"/>
  <c r="TH88" i="36"/>
  <c r="TH89" i="36"/>
  <c r="TH82" i="36"/>
  <c r="TK8" i="36"/>
  <c r="TJ8" i="36"/>
  <c r="TK6" i="36"/>
  <c r="TK22" i="36"/>
  <c r="TK21" i="36"/>
  <c r="TJ64" i="36"/>
  <c r="TM65" i="36"/>
  <c r="TN65" i="36" s="1"/>
  <c r="TM66" i="36"/>
  <c r="TN66" i="36"/>
  <c r="TM67" i="36"/>
  <c r="TN67" i="36" s="1"/>
  <c r="TM68" i="36"/>
  <c r="TN68" i="36"/>
  <c r="TM69" i="36"/>
  <c r="TN69" i="36" s="1"/>
  <c r="TM70" i="36"/>
  <c r="TN70" i="36"/>
  <c r="TM73" i="36"/>
  <c r="TN73" i="36" s="1"/>
  <c r="TM75" i="36"/>
  <c r="TK65" i="36"/>
  <c r="TJ65" i="36"/>
  <c r="TK62" i="36"/>
  <c r="TH95" i="36" l="1"/>
  <c r="TG95" i="36"/>
  <c r="TF95" i="36"/>
  <c r="TG8" i="36"/>
  <c r="TG5" i="36"/>
  <c r="TG6" i="36"/>
  <c r="TH23" i="36"/>
  <c r="TI23" i="36" s="1"/>
  <c r="TH24" i="36"/>
  <c r="TM24" i="36" s="1"/>
  <c r="TN24" i="36" s="1"/>
  <c r="TH25" i="36"/>
  <c r="TI25" i="36" s="1"/>
  <c r="TH26" i="36"/>
  <c r="TI26" i="36" s="1"/>
  <c r="TM30" i="36"/>
  <c r="TM32" i="36"/>
  <c r="TM33" i="36"/>
  <c r="TM34" i="36"/>
  <c r="TN34" i="36" s="1"/>
  <c r="TM35" i="36"/>
  <c r="TN35" i="36" s="1"/>
  <c r="TM36" i="36"/>
  <c r="TN36" i="36" s="1"/>
  <c r="TH34" i="36"/>
  <c r="TH35" i="36"/>
  <c r="TM23" i="36" l="1"/>
  <c r="TN23" i="36" s="1"/>
  <c r="TM25" i="36"/>
  <c r="TN25" i="36" s="1"/>
  <c r="TM26" i="36"/>
  <c r="TN26" i="36" s="1"/>
  <c r="TI24" i="36"/>
  <c r="TH65" i="36" l="1"/>
  <c r="TI65" i="36"/>
  <c r="TH66" i="36"/>
  <c r="TI66" i="36"/>
  <c r="TH67" i="36"/>
  <c r="TI67" i="36"/>
  <c r="TH68" i="36"/>
  <c r="TI68" i="36"/>
  <c r="TH69" i="36"/>
  <c r="TI69" i="36"/>
  <c r="TH70" i="36"/>
  <c r="TI70" i="36"/>
  <c r="TH71" i="36"/>
  <c r="TM71" i="36" s="1"/>
  <c r="TH72" i="36"/>
  <c r="TM72" i="36" s="1"/>
  <c r="TH73" i="36"/>
  <c r="TI73" i="36"/>
  <c r="TH74" i="36"/>
  <c r="TM74" i="36" s="1"/>
  <c r="SX34" i="36"/>
  <c r="TH17" i="36"/>
  <c r="TL90" i="36"/>
  <c r="TK90" i="36"/>
  <c r="TJ90" i="36"/>
  <c r="TI90" i="36"/>
  <c r="TH90" i="36"/>
  <c r="TG90" i="36"/>
  <c r="TF90" i="36"/>
  <c r="TE90" i="36"/>
  <c r="TD90" i="36"/>
  <c r="TM88" i="36"/>
  <c r="TM87" i="36"/>
  <c r="TM86" i="36"/>
  <c r="TM85" i="36"/>
  <c r="TM84" i="36"/>
  <c r="TM83" i="36"/>
  <c r="TM82" i="36"/>
  <c r="TM81" i="36"/>
  <c r="GS22" i="39"/>
  <c r="GK22" i="39"/>
  <c r="GC22" i="39"/>
  <c r="FU22" i="39"/>
  <c r="FM22" i="39"/>
  <c r="FM23" i="39" s="1"/>
  <c r="FM25" i="39" s="1"/>
  <c r="FM27" i="39" s="1"/>
  <c r="FE22" i="39"/>
  <c r="EW22" i="39"/>
  <c r="EO22" i="39"/>
  <c r="EG22" i="39"/>
  <c r="DY22" i="39"/>
  <c r="DQ22" i="39"/>
  <c r="CR22" i="39"/>
  <c r="CJ22" i="39"/>
  <c r="BT22" i="39"/>
  <c r="BL22" i="39"/>
  <c r="BD22" i="39"/>
  <c r="AV22" i="39"/>
  <c r="AN22" i="39"/>
  <c r="AF22" i="39"/>
  <c r="X22" i="39"/>
  <c r="H22" i="39"/>
  <c r="HB21" i="39"/>
  <c r="HA21" i="39"/>
  <c r="DA21" i="39"/>
  <c r="CZ21" i="39"/>
  <c r="GT20" i="39"/>
  <c r="GL20" i="39"/>
  <c r="GD20" i="39"/>
  <c r="FV20" i="39"/>
  <c r="FN20" i="39"/>
  <c r="FF20" i="39"/>
  <c r="FF22" i="39" s="1"/>
  <c r="EX20" i="39"/>
  <c r="HB20" i="39" s="1"/>
  <c r="EP20" i="39"/>
  <c r="EH20" i="39"/>
  <c r="DZ20" i="39"/>
  <c r="DR20" i="39"/>
  <c r="DJ20" i="39"/>
  <c r="DI20" i="39"/>
  <c r="DI22" i="39" s="1"/>
  <c r="CZ20" i="39"/>
  <c r="CS20" i="39"/>
  <c r="CK20" i="39"/>
  <c r="CC20" i="39"/>
  <c r="BU20" i="39"/>
  <c r="BU22" i="39" s="1"/>
  <c r="BM20" i="39"/>
  <c r="BM22" i="39" s="1"/>
  <c r="BE20" i="39"/>
  <c r="BE22" i="39" s="1"/>
  <c r="AW20" i="39"/>
  <c r="AW22" i="39" s="1"/>
  <c r="AO20" i="39"/>
  <c r="AG20" i="39"/>
  <c r="Y20" i="39"/>
  <c r="Q20" i="39"/>
  <c r="I20" i="39"/>
  <c r="EX19" i="39"/>
  <c r="EP19" i="39"/>
  <c r="HA18" i="39"/>
  <c r="GT18" i="39"/>
  <c r="GT22" i="39" s="1"/>
  <c r="GL18" i="39"/>
  <c r="GL22" i="39" s="1"/>
  <c r="GD18" i="39"/>
  <c r="GD22" i="39" s="1"/>
  <c r="EX18" i="39"/>
  <c r="EP18" i="39"/>
  <c r="EH18" i="39"/>
  <c r="DZ18" i="39"/>
  <c r="HB18" i="39" s="1"/>
  <c r="DR18" i="39"/>
  <c r="DJ18" i="39"/>
  <c r="CZ18" i="39"/>
  <c r="CS18" i="39"/>
  <c r="CS22" i="39" s="1"/>
  <c r="CK18" i="39"/>
  <c r="CK22" i="39" s="1"/>
  <c r="CB18" i="39"/>
  <c r="AO18" i="39"/>
  <c r="AG18" i="39"/>
  <c r="Y18" i="39"/>
  <c r="Q18" i="39"/>
  <c r="I18" i="39"/>
  <c r="HA17" i="39"/>
  <c r="EX17" i="39"/>
  <c r="HB17" i="39" s="1"/>
  <c r="EP17" i="39"/>
  <c r="DR17" i="39"/>
  <c r="CZ17" i="39"/>
  <c r="AO17" i="39"/>
  <c r="DA17" i="39" s="1"/>
  <c r="Q17" i="39"/>
  <c r="HA16" i="39"/>
  <c r="EX16" i="39"/>
  <c r="EP16" i="39"/>
  <c r="EH16" i="39"/>
  <c r="DZ16" i="39"/>
  <c r="DR16" i="39"/>
  <c r="DJ16" i="39"/>
  <c r="CZ16" i="39"/>
  <c r="AO16" i="39"/>
  <c r="AG16" i="39"/>
  <c r="Y16" i="39"/>
  <c r="Q16" i="39"/>
  <c r="I16" i="39"/>
  <c r="HA15" i="39"/>
  <c r="EX15" i="39"/>
  <c r="EP15" i="39"/>
  <c r="EH15" i="39"/>
  <c r="DZ15" i="39"/>
  <c r="DR15" i="39"/>
  <c r="DJ15" i="39"/>
  <c r="CZ15" i="39"/>
  <c r="AO15" i="39"/>
  <c r="AG15" i="39"/>
  <c r="Y15" i="39"/>
  <c r="Q15" i="39"/>
  <c r="I15" i="39"/>
  <c r="HA14" i="39"/>
  <c r="EX14" i="39"/>
  <c r="EP14" i="39"/>
  <c r="EH14" i="39"/>
  <c r="DZ14" i="39"/>
  <c r="DR14" i="39"/>
  <c r="DJ14" i="39"/>
  <c r="CZ14" i="39"/>
  <c r="AO14" i="39"/>
  <c r="AG14" i="39"/>
  <c r="Y14" i="39"/>
  <c r="Q14" i="39"/>
  <c r="I14" i="39"/>
  <c r="HA13" i="39"/>
  <c r="GY13" i="39"/>
  <c r="FV13" i="39"/>
  <c r="FV22" i="39" s="1"/>
  <c r="FN13" i="39"/>
  <c r="FN22" i="39" s="1"/>
  <c r="EP13" i="39"/>
  <c r="EP22" i="39" s="1"/>
  <c r="EH13" i="39"/>
  <c r="DZ13" i="39"/>
  <c r="DZ22" i="39" s="1"/>
  <c r="DR13" i="39"/>
  <c r="DJ13" i="39"/>
  <c r="DJ22" i="39" s="1"/>
  <c r="CZ13" i="39"/>
  <c r="CX13" i="39"/>
  <c r="AO13" i="39"/>
  <c r="AG13" i="39"/>
  <c r="Y13" i="39"/>
  <c r="Y22" i="39" s="1"/>
  <c r="P13" i="39"/>
  <c r="P22" i="39" s="1"/>
  <c r="I13" i="39"/>
  <c r="HB12" i="39"/>
  <c r="HA12" i="39"/>
  <c r="DA12" i="39"/>
  <c r="CZ12" i="39"/>
  <c r="GW10" i="39"/>
  <c r="GV10" i="39"/>
  <c r="GS10" i="39"/>
  <c r="GQ10" i="39"/>
  <c r="GO10" i="39"/>
  <c r="GN10" i="39"/>
  <c r="GI10" i="39"/>
  <c r="GG10" i="39"/>
  <c r="GF10" i="39"/>
  <c r="FY10" i="39"/>
  <c r="FX10" i="39"/>
  <c r="FS10" i="39"/>
  <c r="FQ10" i="39"/>
  <c r="FP10" i="39"/>
  <c r="FM10" i="39"/>
  <c r="FK10" i="39"/>
  <c r="FI10" i="39"/>
  <c r="FH10" i="39"/>
  <c r="FE10" i="39"/>
  <c r="FE23" i="39" s="1"/>
  <c r="FE25" i="39" s="1"/>
  <c r="FE27" i="39" s="1"/>
  <c r="FC10" i="39"/>
  <c r="FA10" i="39"/>
  <c r="EZ10" i="39"/>
  <c r="EW10" i="39"/>
  <c r="EW23" i="39" s="1"/>
  <c r="EW25" i="39" s="1"/>
  <c r="EW27" i="39" s="1"/>
  <c r="EU10" i="39"/>
  <c r="ES10" i="39"/>
  <c r="ER10" i="39"/>
  <c r="EM10" i="39"/>
  <c r="EK10" i="39"/>
  <c r="EJ10" i="39"/>
  <c r="EG10" i="39"/>
  <c r="EE10" i="39"/>
  <c r="EC10" i="39"/>
  <c r="EB10" i="39"/>
  <c r="DU10" i="39"/>
  <c r="DT10" i="39"/>
  <c r="DQ10" i="39"/>
  <c r="DQ23" i="39" s="1"/>
  <c r="DM10" i="39"/>
  <c r="DL10" i="39"/>
  <c r="DE10" i="39"/>
  <c r="DD10" i="39"/>
  <c r="CV10" i="39"/>
  <c r="CU10" i="39"/>
  <c r="CN10" i="39"/>
  <c r="CM10" i="39"/>
  <c r="CF10" i="39"/>
  <c r="CE10" i="39"/>
  <c r="CB10" i="39"/>
  <c r="BX10" i="39"/>
  <c r="BW10" i="39"/>
  <c r="BP10" i="39"/>
  <c r="BO10" i="39"/>
  <c r="BH10" i="39"/>
  <c r="BG10" i="39"/>
  <c r="AZ10" i="39"/>
  <c r="AY10" i="39"/>
  <c r="AV10" i="39"/>
  <c r="AV23" i="39" s="1"/>
  <c r="AV25" i="39" s="1"/>
  <c r="AV27" i="39" s="1"/>
  <c r="AR10" i="39"/>
  <c r="AQ10" i="39"/>
  <c r="AJ10" i="39"/>
  <c r="AI10" i="39"/>
  <c r="AB10" i="39"/>
  <c r="AA10" i="39"/>
  <c r="T10" i="39"/>
  <c r="S10" i="39"/>
  <c r="L10" i="39"/>
  <c r="K10" i="39"/>
  <c r="D10" i="39"/>
  <c r="C10" i="39"/>
  <c r="GW6" i="39"/>
  <c r="GT6" i="39"/>
  <c r="GT10" i="39" s="1"/>
  <c r="GS6" i="39"/>
  <c r="GR6" i="39"/>
  <c r="GR10" i="39" s="1"/>
  <c r="GP6" i="39"/>
  <c r="GU6" i="39" s="1"/>
  <c r="GK6" i="39"/>
  <c r="GL6" i="39" s="1"/>
  <c r="GJ6" i="39"/>
  <c r="GJ10" i="39" s="1"/>
  <c r="GH6" i="39"/>
  <c r="GH10" i="39" s="1"/>
  <c r="GB6" i="39"/>
  <c r="GB10" i="39" s="1"/>
  <c r="GA6" i="39"/>
  <c r="GA10" i="39" s="1"/>
  <c r="FZ6" i="39"/>
  <c r="FZ10" i="39" s="1"/>
  <c r="FY6" i="39"/>
  <c r="GC6" i="39" s="1"/>
  <c r="GC10" i="39" s="1"/>
  <c r="GC23" i="39" s="1"/>
  <c r="GC25" i="39" s="1"/>
  <c r="GC27" i="39" s="1"/>
  <c r="FU6" i="39"/>
  <c r="FV6" i="39" s="1"/>
  <c r="FT6" i="39"/>
  <c r="FT10" i="39" s="1"/>
  <c r="FR6" i="39"/>
  <c r="FR10" i="39" s="1"/>
  <c r="FN6" i="39"/>
  <c r="FM6" i="39"/>
  <c r="FL6" i="39"/>
  <c r="FL10" i="39" s="1"/>
  <c r="FJ6" i="39"/>
  <c r="FJ10" i="39" s="1"/>
  <c r="FF6" i="39"/>
  <c r="FF10" i="39" s="1"/>
  <c r="HE12" i="39" s="1"/>
  <c r="FE6" i="39"/>
  <c r="FD6" i="39"/>
  <c r="FD10" i="39" s="1"/>
  <c r="FB6" i="39"/>
  <c r="FB10" i="39" s="1"/>
  <c r="HE10" i="39" s="1"/>
  <c r="EX6" i="39"/>
  <c r="EX10" i="39" s="1"/>
  <c r="EW6" i="39"/>
  <c r="EV6" i="39"/>
  <c r="ET6" i="39"/>
  <c r="EY6" i="39" s="1"/>
  <c r="EO6" i="39"/>
  <c r="EP6" i="39" s="1"/>
  <c r="EN6" i="39"/>
  <c r="EN10" i="39" s="1"/>
  <c r="EL6" i="39"/>
  <c r="EL10" i="39" s="1"/>
  <c r="EH6" i="39"/>
  <c r="EG6" i="39"/>
  <c r="EF6" i="39"/>
  <c r="EF10" i="39" s="1"/>
  <c r="ED6" i="39"/>
  <c r="ED10" i="39" s="1"/>
  <c r="DW6" i="39"/>
  <c r="DV6" i="39"/>
  <c r="DV10" i="39" s="1"/>
  <c r="DQ6" i="39"/>
  <c r="DR6" i="39" s="1"/>
  <c r="DP6" i="39"/>
  <c r="DP10" i="39" s="1"/>
  <c r="DO6" i="39"/>
  <c r="DO10" i="39" s="1"/>
  <c r="DN6" i="39"/>
  <c r="DN10" i="39" s="1"/>
  <c r="DG6" i="39"/>
  <c r="DF6" i="39"/>
  <c r="DF10" i="39" s="1"/>
  <c r="CV6" i="39"/>
  <c r="CQ6" i="39"/>
  <c r="CQ10" i="39" s="1"/>
  <c r="CP6" i="39"/>
  <c r="CP10" i="39" s="1"/>
  <c r="CO6" i="39"/>
  <c r="CO10" i="39" s="1"/>
  <c r="CN6" i="39"/>
  <c r="CR6" i="39" s="1"/>
  <c r="CS6" i="39" s="1"/>
  <c r="CH6" i="39"/>
  <c r="CG6" i="39"/>
  <c r="CG10" i="39" s="1"/>
  <c r="CB6" i="39"/>
  <c r="CC6" i="39" s="1"/>
  <c r="CA6" i="39"/>
  <c r="CA10" i="39" s="1"/>
  <c r="BZ6" i="39"/>
  <c r="BZ10" i="39" s="1"/>
  <c r="BY6" i="39"/>
  <c r="BY10" i="39" s="1"/>
  <c r="BR6" i="39"/>
  <c r="BQ6" i="39"/>
  <c r="BQ10" i="39" s="1"/>
  <c r="BL6" i="39"/>
  <c r="BM6" i="39" s="1"/>
  <c r="BK6" i="39"/>
  <c r="BK10" i="39" s="1"/>
  <c r="BJ6" i="39"/>
  <c r="BJ10" i="39" s="1"/>
  <c r="BI6" i="39"/>
  <c r="BI10" i="39" s="1"/>
  <c r="BB6" i="39"/>
  <c r="BA6" i="39"/>
  <c r="BA10" i="39" s="1"/>
  <c r="AV6" i="39"/>
  <c r="AW6" i="39" s="1"/>
  <c r="AU6" i="39"/>
  <c r="AT6" i="39"/>
  <c r="AT10" i="39" s="1"/>
  <c r="AS6" i="39"/>
  <c r="AS10" i="39" s="1"/>
  <c r="AL6" i="39"/>
  <c r="AK6" i="39"/>
  <c r="AK10" i="39" s="1"/>
  <c r="AD6" i="39"/>
  <c r="AD10" i="39" s="1"/>
  <c r="AC6" i="39"/>
  <c r="AC10" i="39" s="1"/>
  <c r="X6" i="39"/>
  <c r="X10" i="39" s="1"/>
  <c r="X23" i="39" s="1"/>
  <c r="V6" i="39"/>
  <c r="U6" i="39"/>
  <c r="U10" i="39" s="1"/>
  <c r="P6" i="39"/>
  <c r="Q6" i="39" s="1"/>
  <c r="Q10" i="39" s="1"/>
  <c r="O6" i="39"/>
  <c r="O10" i="39" s="1"/>
  <c r="N6" i="39"/>
  <c r="N10" i="39" s="1"/>
  <c r="M6" i="39"/>
  <c r="M10" i="39" s="1"/>
  <c r="I6" i="39"/>
  <c r="I10" i="39" s="1"/>
  <c r="H6" i="39"/>
  <c r="H10" i="39" s="1"/>
  <c r="H23" i="39" s="1"/>
  <c r="F6" i="39"/>
  <c r="E6" i="39"/>
  <c r="E10" i="39" s="1"/>
  <c r="IP46" i="34"/>
  <c r="IH46" i="34"/>
  <c r="HZ46" i="34"/>
  <c r="HR46" i="34"/>
  <c r="HK46" i="34"/>
  <c r="HJ46" i="34"/>
  <c r="HB46" i="34"/>
  <c r="GT46" i="34"/>
  <c r="GL46" i="34"/>
  <c r="GD46" i="34"/>
  <c r="FV46" i="34"/>
  <c r="FO46" i="34"/>
  <c r="FN46" i="34"/>
  <c r="FF46" i="34"/>
  <c r="EO46" i="34"/>
  <c r="EH46" i="34"/>
  <c r="EG46" i="34"/>
  <c r="DY46" i="34"/>
  <c r="DQ46" i="34"/>
  <c r="DI46" i="34"/>
  <c r="DB46" i="34"/>
  <c r="DA46" i="34"/>
  <c r="CS46" i="34"/>
  <c r="CK46" i="34"/>
  <c r="CC46" i="34"/>
  <c r="BU46" i="34"/>
  <c r="BT46" i="34"/>
  <c r="BM46" i="34"/>
  <c r="BL46" i="34"/>
  <c r="BE46" i="34"/>
  <c r="BD46" i="34"/>
  <c r="AW46" i="34"/>
  <c r="AV46" i="34"/>
  <c r="AO46" i="34"/>
  <c r="AN46" i="34"/>
  <c r="AG46" i="34"/>
  <c r="AF46" i="34"/>
  <c r="Y46" i="34"/>
  <c r="X46" i="34"/>
  <c r="Q46" i="34"/>
  <c r="P46" i="34"/>
  <c r="I46" i="34"/>
  <c r="H46" i="34"/>
  <c r="IY45" i="34"/>
  <c r="EX45" i="34"/>
  <c r="IY44" i="34"/>
  <c r="EX44" i="34"/>
  <c r="IY43" i="34"/>
  <c r="EX43" i="34"/>
  <c r="IY42" i="34"/>
  <c r="EX42" i="34"/>
  <c r="IY41" i="34"/>
  <c r="EX41" i="34"/>
  <c r="IY40" i="34"/>
  <c r="EX40" i="34"/>
  <c r="IY39" i="34"/>
  <c r="EX39" i="34"/>
  <c r="IY38" i="34"/>
  <c r="EX38" i="34"/>
  <c r="IY37" i="34"/>
  <c r="EX37" i="34"/>
  <c r="IY36" i="34"/>
  <c r="EX36" i="34"/>
  <c r="IY35" i="34"/>
  <c r="EX35" i="34"/>
  <c r="IY34" i="34"/>
  <c r="EX34" i="34"/>
  <c r="IY33" i="34"/>
  <c r="EX33" i="34"/>
  <c r="IY32" i="34"/>
  <c r="EX32" i="34"/>
  <c r="IY31" i="34"/>
  <c r="EX31" i="34"/>
  <c r="IY30" i="34"/>
  <c r="EX30" i="34"/>
  <c r="IY29" i="34"/>
  <c r="EX29" i="34"/>
  <c r="IY28" i="34"/>
  <c r="EX28" i="34"/>
  <c r="IY27" i="34"/>
  <c r="EX27" i="34"/>
  <c r="IY26" i="34"/>
  <c r="EX26" i="34"/>
  <c r="IY25" i="34"/>
  <c r="IX25" i="34"/>
  <c r="EX25" i="34"/>
  <c r="EW25" i="34"/>
  <c r="IX24" i="34"/>
  <c r="GU24" i="34"/>
  <c r="IY24" i="34" s="1"/>
  <c r="IX23" i="34"/>
  <c r="IQ23" i="34"/>
  <c r="IQ46" i="34" s="1"/>
  <c r="II23" i="34"/>
  <c r="IA23" i="34"/>
  <c r="HS23" i="34"/>
  <c r="HK23" i="34"/>
  <c r="HC23" i="34"/>
  <c r="GU23" i="34"/>
  <c r="GM23" i="34"/>
  <c r="GM46" i="34" s="1"/>
  <c r="GE23" i="34"/>
  <c r="GE46" i="34" s="1"/>
  <c r="FW23" i="34"/>
  <c r="FO23" i="34"/>
  <c r="FG23" i="34"/>
  <c r="EW23" i="34"/>
  <c r="EP23" i="34"/>
  <c r="EH23" i="34"/>
  <c r="DZ23" i="34"/>
  <c r="DR23" i="34"/>
  <c r="DJ23" i="34"/>
  <c r="DB23" i="34"/>
  <c r="CT23" i="34"/>
  <c r="CL23" i="34"/>
  <c r="EX23" i="34" s="1"/>
  <c r="CD23" i="34"/>
  <c r="BE23" i="34"/>
  <c r="IX22" i="34"/>
  <c r="IX46" i="34" s="1"/>
  <c r="IQ22" i="34"/>
  <c r="II22" i="34"/>
  <c r="IA22" i="34"/>
  <c r="IA46" i="34" s="1"/>
  <c r="HS22" i="34"/>
  <c r="HS46" i="34" s="1"/>
  <c r="HK22" i="34"/>
  <c r="HC22" i="34"/>
  <c r="GU22" i="34"/>
  <c r="GU46" i="34" s="1"/>
  <c r="FW22" i="34"/>
  <c r="FW46" i="34" s="1"/>
  <c r="FO22" i="34"/>
  <c r="FG22" i="34"/>
  <c r="FG46" i="34" s="1"/>
  <c r="EW22" i="34"/>
  <c r="EW46" i="34" s="1"/>
  <c r="EP22" i="34"/>
  <c r="EP46" i="34" s="1"/>
  <c r="EH22" i="34"/>
  <c r="DZ22" i="34"/>
  <c r="DZ46" i="34" s="1"/>
  <c r="DR22" i="34"/>
  <c r="DR46" i="34" s="1"/>
  <c r="DJ22" i="34"/>
  <c r="DJ46" i="34" s="1"/>
  <c r="CT22" i="34"/>
  <c r="CL22" i="34"/>
  <c r="CL46" i="34" s="1"/>
  <c r="CD22" i="34"/>
  <c r="CD46" i="34" s="1"/>
  <c r="IY21" i="34"/>
  <c r="EX21" i="34"/>
  <c r="IY20" i="34"/>
  <c r="EX20" i="34"/>
  <c r="IS18" i="34"/>
  <c r="IN18" i="34"/>
  <c r="IL18" i="34"/>
  <c r="IK18" i="34"/>
  <c r="IF18" i="34"/>
  <c r="IE18" i="34"/>
  <c r="ID18" i="34"/>
  <c r="IC18" i="34"/>
  <c r="HX18" i="34"/>
  <c r="HV18" i="34"/>
  <c r="HU18" i="34"/>
  <c r="HR18" i="34"/>
  <c r="HP18" i="34"/>
  <c r="HN18" i="34"/>
  <c r="HM18" i="34"/>
  <c r="HJ18" i="34"/>
  <c r="HJ47" i="34" s="1"/>
  <c r="HH18" i="34"/>
  <c r="HF18" i="34"/>
  <c r="HE18" i="34"/>
  <c r="GZ18" i="34"/>
  <c r="GX18" i="34"/>
  <c r="GW18" i="34"/>
  <c r="GR18" i="34"/>
  <c r="GP18" i="34"/>
  <c r="GO18" i="34"/>
  <c r="GJ18" i="34"/>
  <c r="GI18" i="34"/>
  <c r="GH18" i="34"/>
  <c r="GG18" i="34"/>
  <c r="GB18" i="34"/>
  <c r="FZ18" i="34"/>
  <c r="FY18" i="34"/>
  <c r="FR18" i="34"/>
  <c r="FQ18" i="34"/>
  <c r="FL18" i="34"/>
  <c r="FK18" i="34"/>
  <c r="FJ18" i="34"/>
  <c r="FI18" i="34"/>
  <c r="FF18" i="34"/>
  <c r="FF47" i="34" s="1"/>
  <c r="FD18" i="34"/>
  <c r="FB18" i="34"/>
  <c r="FA18" i="34"/>
  <c r="ES18" i="34"/>
  <c r="ER18" i="34"/>
  <c r="EJ18" i="34"/>
  <c r="EE18" i="34"/>
  <c r="EC18" i="34"/>
  <c r="EB18" i="34"/>
  <c r="DW18" i="34"/>
  <c r="DV18" i="34"/>
  <c r="DU18" i="34"/>
  <c r="DT18" i="34"/>
  <c r="DQ18" i="34"/>
  <c r="DQ47" i="34" s="1"/>
  <c r="DO18" i="34"/>
  <c r="DM18" i="34"/>
  <c r="DL18" i="34"/>
  <c r="DG18" i="34"/>
  <c r="DF18" i="34"/>
  <c r="DE18" i="34"/>
  <c r="DD18" i="34"/>
  <c r="DA18" i="34"/>
  <c r="DA47" i="34" s="1"/>
  <c r="CY18" i="34"/>
  <c r="CW18" i="34"/>
  <c r="CV18" i="34"/>
  <c r="CO18" i="34"/>
  <c r="CN18" i="34"/>
  <c r="CI18" i="34"/>
  <c r="CG18" i="34"/>
  <c r="CF18" i="34"/>
  <c r="CA18" i="34"/>
  <c r="BZ18" i="34"/>
  <c r="BY18" i="34"/>
  <c r="BX18" i="34"/>
  <c r="BO18" i="34"/>
  <c r="BG18" i="34"/>
  <c r="AY18" i="34"/>
  <c r="AT18" i="34"/>
  <c r="AS18" i="34"/>
  <c r="AR18" i="34"/>
  <c r="AQ18" i="34"/>
  <c r="AN18" i="34"/>
  <c r="AN47" i="34" s="1"/>
  <c r="AL18" i="34"/>
  <c r="AJ18" i="34"/>
  <c r="AI18" i="34"/>
  <c r="AD18" i="34"/>
  <c r="AC18" i="34"/>
  <c r="AB18" i="34"/>
  <c r="AA18" i="34"/>
  <c r="V18" i="34"/>
  <c r="T18" i="34"/>
  <c r="S18" i="34"/>
  <c r="N18" i="34"/>
  <c r="M18" i="34"/>
  <c r="L18" i="34"/>
  <c r="K18" i="34"/>
  <c r="H18" i="34"/>
  <c r="H47" i="34" s="1"/>
  <c r="F18" i="34"/>
  <c r="D18" i="34"/>
  <c r="C18" i="34"/>
  <c r="IP6" i="34"/>
  <c r="IQ6" i="34" s="1"/>
  <c r="IQ18" i="34" s="1"/>
  <c r="IO6" i="34"/>
  <c r="IO18" i="34" s="1"/>
  <c r="IQ48" i="34" s="1"/>
  <c r="IM6" i="34"/>
  <c r="IM18" i="34" s="1"/>
  <c r="IH6" i="34"/>
  <c r="IH18" i="34" s="1"/>
  <c r="IH47" i="34" s="1"/>
  <c r="IG6" i="34"/>
  <c r="IG18" i="34" s="1"/>
  <c r="IE6" i="34"/>
  <c r="HZ6" i="34"/>
  <c r="HZ18" i="34" s="1"/>
  <c r="HZ47" i="34" s="1"/>
  <c r="HY6" i="34"/>
  <c r="HY18" i="34" s="1"/>
  <c r="HW6" i="34"/>
  <c r="HW18" i="34" s="1"/>
  <c r="HS6" i="34"/>
  <c r="HS18" i="34" s="1"/>
  <c r="HR6" i="34"/>
  <c r="HQ6" i="34"/>
  <c r="HQ18" i="34" s="1"/>
  <c r="HO6" i="34"/>
  <c r="HO18" i="34" s="1"/>
  <c r="HL6" i="34"/>
  <c r="HJ6" i="34"/>
  <c r="HK6" i="34" s="1"/>
  <c r="HK18" i="34" s="1"/>
  <c r="HI6" i="34"/>
  <c r="HI18" i="34" s="1"/>
  <c r="HG6" i="34"/>
  <c r="HG18" i="34" s="1"/>
  <c r="HC6" i="34"/>
  <c r="HD6" i="34" s="1"/>
  <c r="HB6" i="34"/>
  <c r="HB18" i="34" s="1"/>
  <c r="HB47" i="34" s="1"/>
  <c r="HA6" i="34"/>
  <c r="HA18" i="34" s="1"/>
  <c r="GY6" i="34"/>
  <c r="GY18" i="34" s="1"/>
  <c r="GT6" i="34"/>
  <c r="GU6" i="34" s="1"/>
  <c r="GS6" i="34"/>
  <c r="GS18" i="34" s="1"/>
  <c r="GQ6" i="34"/>
  <c r="GQ18" i="34" s="1"/>
  <c r="GL6" i="34"/>
  <c r="GL18" i="34" s="1"/>
  <c r="GL47" i="34" s="1"/>
  <c r="GK6" i="34"/>
  <c r="GK18" i="34" s="1"/>
  <c r="GI6" i="34"/>
  <c r="GD6" i="34"/>
  <c r="GD18" i="34" s="1"/>
  <c r="GD47" i="34" s="1"/>
  <c r="GC6" i="34"/>
  <c r="GC18" i="34" s="1"/>
  <c r="GA6" i="34"/>
  <c r="GA18" i="34" s="1"/>
  <c r="FT6" i="34"/>
  <c r="FS6" i="34"/>
  <c r="IU6" i="34" s="1"/>
  <c r="IU18" i="34" s="1"/>
  <c r="FR6" i="34"/>
  <c r="IT6" i="34" s="1"/>
  <c r="IT18" i="34" s="1"/>
  <c r="FN6" i="34"/>
  <c r="FN18" i="34" s="1"/>
  <c r="FN47" i="34" s="1"/>
  <c r="FM6" i="34"/>
  <c r="FM18" i="34" s="1"/>
  <c r="FK6" i="34"/>
  <c r="FG6" i="34"/>
  <c r="FF6" i="34"/>
  <c r="FE6" i="34"/>
  <c r="FE18" i="34" s="1"/>
  <c r="FC6" i="34"/>
  <c r="FC18" i="34" s="1"/>
  <c r="EU6" i="34"/>
  <c r="EU18" i="34" s="1"/>
  <c r="ES6" i="34"/>
  <c r="EM6" i="34"/>
  <c r="EM18" i="34" s="1"/>
  <c r="EL6" i="34"/>
  <c r="EL18" i="34" s="1"/>
  <c r="EK6" i="34"/>
  <c r="EK18" i="34" s="1"/>
  <c r="EG6" i="34"/>
  <c r="EH6" i="34" s="1"/>
  <c r="EF6" i="34"/>
  <c r="EF18" i="34" s="1"/>
  <c r="ED6" i="34"/>
  <c r="ED18" i="34" s="1"/>
  <c r="DZ6" i="34"/>
  <c r="DZ18" i="34" s="1"/>
  <c r="DY6" i="34"/>
  <c r="DY18" i="34" s="1"/>
  <c r="DY47" i="34" s="1"/>
  <c r="DX6" i="34"/>
  <c r="DX18" i="34" s="1"/>
  <c r="DV6" i="34"/>
  <c r="DQ6" i="34"/>
  <c r="DR6" i="34" s="1"/>
  <c r="DP6" i="34"/>
  <c r="DP18" i="34" s="1"/>
  <c r="DN6" i="34"/>
  <c r="DN18" i="34" s="1"/>
  <c r="DI6" i="34"/>
  <c r="DI18" i="34" s="1"/>
  <c r="DI47" i="34" s="1"/>
  <c r="DH6" i="34"/>
  <c r="DH18" i="34" s="1"/>
  <c r="DF6" i="34"/>
  <c r="DA6" i="34"/>
  <c r="DB6" i="34" s="1"/>
  <c r="DB18" i="34" s="1"/>
  <c r="CZ6" i="34"/>
  <c r="CZ18" i="34" s="1"/>
  <c r="DB48" i="34" s="1"/>
  <c r="CX6" i="34"/>
  <c r="CX18" i="34" s="1"/>
  <c r="CS6" i="34"/>
  <c r="CS18" i="34" s="1"/>
  <c r="CS47" i="34" s="1"/>
  <c r="CQ6" i="34"/>
  <c r="CQ18" i="34" s="1"/>
  <c r="CP6" i="34"/>
  <c r="CP18" i="34" s="1"/>
  <c r="CK6" i="34"/>
  <c r="CL6" i="34" s="1"/>
  <c r="CJ6" i="34"/>
  <c r="CJ18" i="34" s="1"/>
  <c r="CH6" i="34"/>
  <c r="CH18" i="34" s="1"/>
  <c r="CC6" i="34"/>
  <c r="CC18" i="34" s="1"/>
  <c r="CC47" i="34" s="1"/>
  <c r="CB6" i="34"/>
  <c r="CB18" i="34" s="1"/>
  <c r="BZ6" i="34"/>
  <c r="ET6" i="34" s="1"/>
  <c r="ET18" i="34" s="1"/>
  <c r="BT6" i="34"/>
  <c r="BT18" i="34" s="1"/>
  <c r="BT47" i="34" s="1"/>
  <c r="BR6" i="34"/>
  <c r="BR18" i="34" s="1"/>
  <c r="BP6" i="34"/>
  <c r="BP18" i="34" s="1"/>
  <c r="BK6" i="34"/>
  <c r="BK18" i="34" s="1"/>
  <c r="BJ6" i="34"/>
  <c r="BJ18" i="34" s="1"/>
  <c r="BH6" i="34"/>
  <c r="BH18" i="34" s="1"/>
  <c r="BB6" i="34"/>
  <c r="BB18" i="34" s="1"/>
  <c r="AZ6" i="34"/>
  <c r="BD6" i="34" s="1"/>
  <c r="AW6" i="34"/>
  <c r="AW18" i="34" s="1"/>
  <c r="AV6" i="34"/>
  <c r="AV18" i="34" s="1"/>
  <c r="AV47" i="34" s="1"/>
  <c r="AU6" i="34"/>
  <c r="AU18" i="34" s="1"/>
  <c r="AS6" i="34"/>
  <c r="BA6" i="34" s="1"/>
  <c r="BA18" i="34" s="1"/>
  <c r="AN6" i="34"/>
  <c r="AO6" i="34" s="1"/>
  <c r="AM6" i="34"/>
  <c r="AM18" i="34" s="1"/>
  <c r="AK6" i="34"/>
  <c r="AK18" i="34" s="1"/>
  <c r="AF6" i="34"/>
  <c r="AF18" i="34" s="1"/>
  <c r="AF47" i="34" s="1"/>
  <c r="AE6" i="34"/>
  <c r="AE18" i="34" s="1"/>
  <c r="AC6" i="34"/>
  <c r="X6" i="34"/>
  <c r="BL6" i="34" s="1"/>
  <c r="BL18" i="34" s="1"/>
  <c r="BL47" i="34" s="1"/>
  <c r="W6" i="34"/>
  <c r="W18" i="34" s="1"/>
  <c r="U6" i="34"/>
  <c r="U18" i="34" s="1"/>
  <c r="Q6" i="34"/>
  <c r="Q18" i="34" s="1"/>
  <c r="P6" i="34"/>
  <c r="P18" i="34" s="1"/>
  <c r="P47" i="34" s="1"/>
  <c r="O6" i="34"/>
  <c r="O18" i="34" s="1"/>
  <c r="M6" i="34"/>
  <c r="H6" i="34"/>
  <c r="I6" i="34" s="1"/>
  <c r="G6" i="34"/>
  <c r="G18" i="34" s="1"/>
  <c r="E6" i="34"/>
  <c r="E18" i="34" s="1"/>
  <c r="GW58" i="33"/>
  <c r="WY51" i="33"/>
  <c r="WX51" i="33" s="1"/>
  <c r="WE51" i="33"/>
  <c r="WD51" i="33" s="1"/>
  <c r="VU51" i="33"/>
  <c r="VT51" i="33"/>
  <c r="DZ51" i="33"/>
  <c r="DR51" i="33"/>
  <c r="DJ51" i="33"/>
  <c r="HR51" i="33" s="1"/>
  <c r="LR49" i="33"/>
  <c r="GH49" i="33"/>
  <c r="AAW48" i="33"/>
  <c r="AAV48" i="33"/>
  <c r="AAO48" i="33"/>
  <c r="AAN48" i="33"/>
  <c r="AAF48" i="33"/>
  <c r="ZX48" i="33"/>
  <c r="VU48" i="33"/>
  <c r="ZY48" i="33" s="1"/>
  <c r="VK48" i="33"/>
  <c r="AAG48" i="33" s="1"/>
  <c r="UR48" i="33"/>
  <c r="UQ48" i="33"/>
  <c r="UJ48" i="33"/>
  <c r="UI48" i="33"/>
  <c r="UA48" i="33"/>
  <c r="TS48" i="33"/>
  <c r="PP48" i="33"/>
  <c r="PF48" i="33"/>
  <c r="UB48" i="33" s="1"/>
  <c r="OL48" i="33"/>
  <c r="OD48" i="33"/>
  <c r="MW48" i="33"/>
  <c r="MM48" i="33"/>
  <c r="MC48" i="33"/>
  <c r="LS48" i="33"/>
  <c r="OM48" i="33" s="1"/>
  <c r="KY48" i="33"/>
  <c r="KO48" i="33"/>
  <c r="OE48" i="33" s="1"/>
  <c r="JK48" i="33"/>
  <c r="JA48" i="33"/>
  <c r="IO48" i="33"/>
  <c r="HY48" i="33"/>
  <c r="HI48" i="33"/>
  <c r="HB48" i="33"/>
  <c r="AAV47" i="33"/>
  <c r="AAN47" i="33"/>
  <c r="AAF47" i="33"/>
  <c r="ZX47" i="33"/>
  <c r="ZG47" i="33"/>
  <c r="YW47" i="33"/>
  <c r="YM47" i="33"/>
  <c r="AAW47" i="33" s="1"/>
  <c r="XI47" i="33"/>
  <c r="AAO47" i="33" s="1"/>
  <c r="VU47" i="33"/>
  <c r="VK47" i="33"/>
  <c r="AAG47" i="33" s="1"/>
  <c r="UR47" i="33"/>
  <c r="UQ47" i="33"/>
  <c r="UJ47" i="33"/>
  <c r="UI47" i="33"/>
  <c r="UA47" i="33"/>
  <c r="TS47" i="33"/>
  <c r="PP47" i="33"/>
  <c r="PF47" i="33"/>
  <c r="UB47" i="33" s="1"/>
  <c r="OL47" i="33"/>
  <c r="OD47" i="33"/>
  <c r="MW47" i="33"/>
  <c r="MM47" i="33"/>
  <c r="MC47" i="33"/>
  <c r="LS47" i="33"/>
  <c r="OM47" i="33" s="1"/>
  <c r="KY47" i="33"/>
  <c r="KO47" i="33"/>
  <c r="OE47" i="33" s="1"/>
  <c r="JK47" i="33"/>
  <c r="JA47" i="33"/>
  <c r="IO47" i="33"/>
  <c r="HY47" i="33"/>
  <c r="HJ47" i="33"/>
  <c r="HI47" i="33"/>
  <c r="HB47" i="33"/>
  <c r="IP47" i="33" s="1"/>
  <c r="ABD46" i="33"/>
  <c r="AAV46" i="33"/>
  <c r="AAN46" i="33"/>
  <c r="AAF46" i="33"/>
  <c r="ZX46" i="33"/>
  <c r="ZQ46" i="33"/>
  <c r="ZG46" i="33"/>
  <c r="YW46" i="33"/>
  <c r="ABE46" i="33" s="1"/>
  <c r="YM46" i="33"/>
  <c r="AAW46" i="33" s="1"/>
  <c r="XI46" i="33"/>
  <c r="AAO46" i="33" s="1"/>
  <c r="WE46" i="33"/>
  <c r="VU46" i="33"/>
  <c r="VK46" i="33"/>
  <c r="AAG46" i="33" s="1"/>
  <c r="UY46" i="33"/>
  <c r="UR46" i="33"/>
  <c r="UQ46" i="33"/>
  <c r="UJ46" i="33"/>
  <c r="UI46" i="33"/>
  <c r="UA46" i="33"/>
  <c r="TS46" i="33"/>
  <c r="TL46" i="33"/>
  <c r="UZ46" i="33" s="1"/>
  <c r="PZ46" i="33"/>
  <c r="PP46" i="33"/>
  <c r="PF46" i="33"/>
  <c r="UB46" i="33" s="1"/>
  <c r="OL46" i="33"/>
  <c r="OD46" i="33"/>
  <c r="NN46" i="33"/>
  <c r="MW46" i="33"/>
  <c r="MM46" i="33"/>
  <c r="MC46" i="33"/>
  <c r="LS46" i="33"/>
  <c r="OM46" i="33" s="1"/>
  <c r="KY46" i="33"/>
  <c r="KO46" i="33"/>
  <c r="OE46" i="33" s="1"/>
  <c r="JK46" i="33"/>
  <c r="JA46" i="33"/>
  <c r="IO46" i="33"/>
  <c r="IG46" i="33"/>
  <c r="HY46" i="33"/>
  <c r="HI46" i="33"/>
  <c r="HB46" i="33"/>
  <c r="GH46" i="33"/>
  <c r="IP46" i="33" s="1"/>
  <c r="FX46" i="33"/>
  <c r="IH46" i="33" s="1"/>
  <c r="EP46" i="33"/>
  <c r="EH46" i="33"/>
  <c r="ABD45" i="33"/>
  <c r="AAW45" i="33"/>
  <c r="AAV45" i="33"/>
  <c r="AAN45" i="33"/>
  <c r="AAG45" i="33"/>
  <c r="AAF45" i="33"/>
  <c r="ZX45" i="33"/>
  <c r="ZQ45" i="33"/>
  <c r="ZG45" i="33"/>
  <c r="YW45" i="33"/>
  <c r="YM45" i="33"/>
  <c r="XI45" i="33"/>
  <c r="AAO45" i="33" s="1"/>
  <c r="WE45" i="33"/>
  <c r="VU45" i="33"/>
  <c r="VK45" i="33"/>
  <c r="UZ45" i="33"/>
  <c r="UY45" i="33"/>
  <c r="UR45" i="33"/>
  <c r="UQ45" i="33"/>
  <c r="UJ45" i="33"/>
  <c r="UI45" i="33"/>
  <c r="UA45" i="33"/>
  <c r="TS45" i="33"/>
  <c r="TL45" i="33"/>
  <c r="PZ45" i="33"/>
  <c r="PP45" i="33"/>
  <c r="TT45" i="33" s="1"/>
  <c r="PF45" i="33"/>
  <c r="OL45" i="33"/>
  <c r="OD45" i="33"/>
  <c r="NN45" i="33"/>
  <c r="MW45" i="33"/>
  <c r="MM45" i="33"/>
  <c r="MC45" i="33"/>
  <c r="LS45" i="33"/>
  <c r="OM45" i="33" s="1"/>
  <c r="KY45" i="33"/>
  <c r="OE45" i="33" s="1"/>
  <c r="KO45" i="33"/>
  <c r="JK45" i="33"/>
  <c r="JA45" i="33"/>
  <c r="IP45" i="33"/>
  <c r="IO45" i="33"/>
  <c r="IH45" i="33"/>
  <c r="IG45" i="33"/>
  <c r="HZ45" i="33"/>
  <c r="HY45" i="33"/>
  <c r="HI45" i="33"/>
  <c r="HB45" i="33"/>
  <c r="HJ45" i="33" s="1"/>
  <c r="EP45" i="33"/>
  <c r="DA45" i="33"/>
  <c r="CT45" i="33"/>
  <c r="CL45" i="33"/>
  <c r="CD45" i="33"/>
  <c r="AX45" i="33"/>
  <c r="R45" i="33"/>
  <c r="J45" i="33"/>
  <c r="ABD44" i="33"/>
  <c r="AAW44" i="33"/>
  <c r="AAV44" i="33"/>
  <c r="AAN44" i="33"/>
  <c r="AAG44" i="33"/>
  <c r="AAF44" i="33"/>
  <c r="ZX44" i="33"/>
  <c r="ZQ44" i="33"/>
  <c r="ZG44" i="33"/>
  <c r="YW44" i="33"/>
  <c r="YM44" i="33"/>
  <c r="XI44" i="33"/>
  <c r="AAO44" i="33" s="1"/>
  <c r="WE44" i="33"/>
  <c r="VU44" i="33"/>
  <c r="VK44" i="33"/>
  <c r="UZ44" i="33"/>
  <c r="UY44" i="33"/>
  <c r="UR44" i="33"/>
  <c r="UQ44" i="33"/>
  <c r="UJ44" i="33"/>
  <c r="UI44" i="33"/>
  <c r="UA44" i="33"/>
  <c r="TS44" i="33"/>
  <c r="TL44" i="33"/>
  <c r="PZ44" i="33"/>
  <c r="PP44" i="33"/>
  <c r="TT44" i="33" s="1"/>
  <c r="PF44" i="33"/>
  <c r="OL44" i="33"/>
  <c r="OE44" i="33"/>
  <c r="OD44" i="33"/>
  <c r="NV44" i="33"/>
  <c r="NN44" i="33"/>
  <c r="MW44" i="33"/>
  <c r="MM44" i="33"/>
  <c r="MC44" i="33"/>
  <c r="NO44" i="33" s="1"/>
  <c r="LS44" i="33"/>
  <c r="KY44" i="33"/>
  <c r="KO44" i="33"/>
  <c r="JK44" i="33"/>
  <c r="JA44" i="33"/>
  <c r="IO44" i="33"/>
  <c r="IH44" i="33"/>
  <c r="IG44" i="33"/>
  <c r="HY44" i="33"/>
  <c r="HJ44" i="33"/>
  <c r="HI44" i="33"/>
  <c r="HB44" i="33"/>
  <c r="IP44" i="33" s="1"/>
  <c r="EP44" i="33"/>
  <c r="HZ44" i="33" s="1"/>
  <c r="DA44" i="33"/>
  <c r="CT44" i="33"/>
  <c r="CL44" i="33"/>
  <c r="CD44" i="33"/>
  <c r="BV44" i="33"/>
  <c r="BN44" i="33"/>
  <c r="BF44" i="33"/>
  <c r="AX44" i="33"/>
  <c r="AP44" i="33"/>
  <c r="AH44" i="33"/>
  <c r="Z44" i="33"/>
  <c r="R44" i="33"/>
  <c r="DB44" i="33" s="1"/>
  <c r="J44" i="33"/>
  <c r="ABD43" i="33"/>
  <c r="AAW43" i="33"/>
  <c r="AAV43" i="33"/>
  <c r="AAN43" i="33"/>
  <c r="AAG43" i="33"/>
  <c r="AAF43" i="33"/>
  <c r="ZX43" i="33"/>
  <c r="ZQ43" i="33"/>
  <c r="ZG43" i="33"/>
  <c r="YW43" i="33"/>
  <c r="YM43" i="33"/>
  <c r="XI43" i="33"/>
  <c r="AAO43" i="33" s="1"/>
  <c r="WE43" i="33"/>
  <c r="VU43" i="33"/>
  <c r="VK43" i="33"/>
  <c r="UZ43" i="33"/>
  <c r="UY43" i="33"/>
  <c r="UR43" i="33"/>
  <c r="UQ43" i="33"/>
  <c r="UJ43" i="33"/>
  <c r="UI43" i="33"/>
  <c r="UA43" i="33"/>
  <c r="TS43" i="33"/>
  <c r="TL43" i="33"/>
  <c r="PZ43" i="33"/>
  <c r="PP43" i="33"/>
  <c r="TT43" i="33" s="1"/>
  <c r="PF43" i="33"/>
  <c r="OL43" i="33"/>
  <c r="OE43" i="33"/>
  <c r="OD43" i="33"/>
  <c r="NV43" i="33"/>
  <c r="NN43" i="33"/>
  <c r="MW43" i="33"/>
  <c r="MM43" i="33"/>
  <c r="MC43" i="33"/>
  <c r="NO43" i="33" s="1"/>
  <c r="LS43" i="33"/>
  <c r="KY43" i="33"/>
  <c r="KO43" i="33"/>
  <c r="JK43" i="33"/>
  <c r="JA43" i="33"/>
  <c r="IO43" i="33"/>
  <c r="IH43" i="33"/>
  <c r="IG43" i="33"/>
  <c r="HY43" i="33"/>
  <c r="HJ43" i="33"/>
  <c r="HI43" i="33"/>
  <c r="HB43" i="33"/>
  <c r="IP43" i="33" s="1"/>
  <c r="EP43" i="33"/>
  <c r="HZ43" i="33" s="1"/>
  <c r="DA43" i="33"/>
  <c r="CT43" i="33"/>
  <c r="CL43" i="33"/>
  <c r="CD43" i="33"/>
  <c r="BV43" i="33"/>
  <c r="BN43" i="33"/>
  <c r="BF43" i="33"/>
  <c r="AX43" i="33"/>
  <c r="AP43" i="33"/>
  <c r="AH43" i="33"/>
  <c r="Z43" i="33"/>
  <c r="R43" i="33"/>
  <c r="DB43" i="33" s="1"/>
  <c r="J43" i="33"/>
  <c r="ABD42" i="33"/>
  <c r="AAW42" i="33"/>
  <c r="AAV42" i="33"/>
  <c r="AAF42" i="33"/>
  <c r="ZX42" i="33"/>
  <c r="ZQ42" i="33"/>
  <c r="ZG42" i="33"/>
  <c r="YW42" i="33"/>
  <c r="ABE42" i="33" s="1"/>
  <c r="YM42" i="33"/>
  <c r="XI42" i="33"/>
  <c r="WE42" i="33"/>
  <c r="VU42" i="33"/>
  <c r="VK42" i="33"/>
  <c r="UY42" i="33"/>
  <c r="UR42" i="33"/>
  <c r="UQ42" i="33"/>
  <c r="UA42" i="33"/>
  <c r="TS42" i="33"/>
  <c r="TL42" i="33"/>
  <c r="UZ42" i="33" s="1"/>
  <c r="SH42" i="33"/>
  <c r="RD42" i="33"/>
  <c r="TT42" i="33" s="1"/>
  <c r="PZ42" i="33"/>
  <c r="PP42" i="33"/>
  <c r="PF42" i="33"/>
  <c r="UB42" i="33" s="1"/>
  <c r="NN42" i="33"/>
  <c r="NG42" i="33"/>
  <c r="MW42" i="33"/>
  <c r="MM42" i="33"/>
  <c r="NO42" i="33" s="1"/>
  <c r="MC42" i="33"/>
  <c r="LS42" i="33"/>
  <c r="KY42" i="33"/>
  <c r="KO42" i="33"/>
  <c r="JK42" i="33"/>
  <c r="ABD41" i="33"/>
  <c r="AAV41" i="33"/>
  <c r="AAN41" i="33"/>
  <c r="AAG41" i="33"/>
  <c r="AAF41" i="33"/>
  <c r="ZX41" i="33"/>
  <c r="ZQ41" i="33"/>
  <c r="ZG41" i="33"/>
  <c r="YW41" i="33"/>
  <c r="YM41" i="33"/>
  <c r="YC41" i="33"/>
  <c r="AAW41" i="33" s="1"/>
  <c r="XS41" i="33"/>
  <c r="XI41" i="33"/>
  <c r="WY41" i="33"/>
  <c r="WO41" i="33"/>
  <c r="AAO41" i="33" s="1"/>
  <c r="WE41" i="33"/>
  <c r="VU41" i="33"/>
  <c r="VK41" i="33"/>
  <c r="UZ41" i="33"/>
  <c r="UY41" i="33"/>
  <c r="UQ41" i="33"/>
  <c r="UJ41" i="33"/>
  <c r="UI41" i="33"/>
  <c r="UA41" i="33"/>
  <c r="TS41" i="33"/>
  <c r="TL41" i="33"/>
  <c r="TB41" i="33"/>
  <c r="SR41" i="33"/>
  <c r="TT41" i="33" s="1"/>
  <c r="SH41" i="33"/>
  <c r="RX41" i="33"/>
  <c r="RN41" i="33"/>
  <c r="UR41" i="33" s="1"/>
  <c r="RD41" i="33"/>
  <c r="QT41" i="33"/>
  <c r="QJ41" i="33"/>
  <c r="PZ41" i="33"/>
  <c r="PP41" i="33"/>
  <c r="PF41" i="33"/>
  <c r="UB41" i="33" s="1"/>
  <c r="OT41" i="33"/>
  <c r="OL41" i="33"/>
  <c r="OD41" i="33"/>
  <c r="NW41" i="33"/>
  <c r="NV41" i="33"/>
  <c r="NN41" i="33"/>
  <c r="NG41" i="33"/>
  <c r="MW41" i="33"/>
  <c r="MM41" i="33"/>
  <c r="MC41" i="33"/>
  <c r="LS41" i="33"/>
  <c r="OM41" i="33" s="1"/>
  <c r="LI41" i="33"/>
  <c r="KY41" i="33"/>
  <c r="KO41" i="33"/>
  <c r="KE41" i="33"/>
  <c r="OE41" i="33" s="1"/>
  <c r="JU41" i="33"/>
  <c r="JK41" i="33"/>
  <c r="JA41" i="33"/>
  <c r="IP41" i="33"/>
  <c r="IO41" i="33"/>
  <c r="IG41" i="33"/>
  <c r="HY41" i="33"/>
  <c r="HQ41" i="33"/>
  <c r="HI41" i="33"/>
  <c r="HB41" i="33"/>
  <c r="GR41" i="33"/>
  <c r="GH41" i="33"/>
  <c r="HJ41" i="33" s="1"/>
  <c r="FX41" i="33"/>
  <c r="FN41" i="33"/>
  <c r="FF41" i="33"/>
  <c r="IH41" i="33" s="1"/>
  <c r="EX41" i="33"/>
  <c r="HZ41" i="33" s="1"/>
  <c r="EP41" i="33"/>
  <c r="EH41" i="33"/>
  <c r="DZ41" i="33"/>
  <c r="DR41" i="33"/>
  <c r="DJ41" i="33"/>
  <c r="DA41" i="33"/>
  <c r="CT41" i="33"/>
  <c r="CL41" i="33"/>
  <c r="CD41" i="33"/>
  <c r="BV41" i="33"/>
  <c r="BN41" i="33"/>
  <c r="BF41" i="33"/>
  <c r="AX41" i="33"/>
  <c r="AP41" i="33"/>
  <c r="AH41" i="33"/>
  <c r="Z41" i="33"/>
  <c r="R41" i="33"/>
  <c r="J41" i="33"/>
  <c r="DB41" i="33" s="1"/>
  <c r="ABE40" i="33"/>
  <c r="ABD40" i="33"/>
  <c r="AAV40" i="33"/>
  <c r="AAO40" i="33"/>
  <c r="AAN40" i="33"/>
  <c r="AAF40" i="33"/>
  <c r="ZX40" i="33"/>
  <c r="ZQ40" i="33"/>
  <c r="ZG40" i="33"/>
  <c r="YW40" i="33"/>
  <c r="ZY40" i="33" s="1"/>
  <c r="YM40" i="33"/>
  <c r="YC40" i="33"/>
  <c r="XS40" i="33"/>
  <c r="AAW40" i="33" s="1"/>
  <c r="XI40" i="33"/>
  <c r="WY40" i="33"/>
  <c r="WO40" i="33"/>
  <c r="WE40" i="33"/>
  <c r="VU40" i="33"/>
  <c r="VK40" i="33"/>
  <c r="AAG40" i="33" s="1"/>
  <c r="UY40" i="33"/>
  <c r="UR40" i="33"/>
  <c r="UQ40" i="33"/>
  <c r="UI40" i="33"/>
  <c r="TL40" i="33"/>
  <c r="SH40" i="33"/>
  <c r="RX40" i="33"/>
  <c r="RN40" i="33"/>
  <c r="RD40" i="33"/>
  <c r="QT40" i="33"/>
  <c r="QJ40" i="33"/>
  <c r="UJ40" i="33" s="1"/>
  <c r="PY40" i="33"/>
  <c r="PP40" i="33"/>
  <c r="PF40" i="33"/>
  <c r="OL40" i="33"/>
  <c r="OD40" i="33"/>
  <c r="NN40" i="33"/>
  <c r="NG40" i="33"/>
  <c r="MW40" i="33"/>
  <c r="MM40" i="33"/>
  <c r="MC40" i="33"/>
  <c r="LS40" i="33"/>
  <c r="OM40" i="33" s="1"/>
  <c r="KY40" i="33"/>
  <c r="OE40" i="33" s="1"/>
  <c r="KO40" i="33"/>
  <c r="JK40" i="33"/>
  <c r="JA40" i="33"/>
  <c r="IO40" i="33"/>
  <c r="IH40" i="33"/>
  <c r="IG40" i="33"/>
  <c r="HZ40" i="33"/>
  <c r="HY40" i="33"/>
  <c r="HI40" i="33"/>
  <c r="HB40" i="33"/>
  <c r="IP40" i="33" s="1"/>
  <c r="EP40" i="33"/>
  <c r="DA40" i="33"/>
  <c r="CT40" i="33"/>
  <c r="CL40" i="33"/>
  <c r="CD40" i="33"/>
  <c r="BV40" i="33"/>
  <c r="BN40" i="33"/>
  <c r="BF40" i="33"/>
  <c r="AX40" i="33"/>
  <c r="AP40" i="33"/>
  <c r="AH40" i="33"/>
  <c r="Z40" i="33"/>
  <c r="R40" i="33"/>
  <c r="J40" i="33"/>
  <c r="DB40" i="33" s="1"/>
  <c r="ABD39" i="33"/>
  <c r="AAV39" i="33"/>
  <c r="AAN39" i="33"/>
  <c r="AAF39" i="33"/>
  <c r="ZX39" i="33"/>
  <c r="ZQ39" i="33"/>
  <c r="ZG39" i="33"/>
  <c r="YW39" i="33"/>
  <c r="ABE39" i="33" s="1"/>
  <c r="YM39" i="33"/>
  <c r="YC39" i="33"/>
  <c r="XS39" i="33"/>
  <c r="AAW39" i="33" s="1"/>
  <c r="XI39" i="33"/>
  <c r="WY39" i="33"/>
  <c r="WO39" i="33"/>
  <c r="AAO39" i="33" s="1"/>
  <c r="WE39" i="33"/>
  <c r="VU39" i="33"/>
  <c r="VK39" i="33"/>
  <c r="AAG39" i="33" s="1"/>
  <c r="UY39" i="33"/>
  <c r="UQ39" i="33"/>
  <c r="UI39" i="33"/>
  <c r="TL39" i="33"/>
  <c r="TB39" i="33"/>
  <c r="UZ39" i="33" s="1"/>
  <c r="SH39" i="33"/>
  <c r="RX39" i="33"/>
  <c r="RN39" i="33"/>
  <c r="UR39" i="33" s="1"/>
  <c r="RD39" i="33"/>
  <c r="QT39" i="33"/>
  <c r="QJ39" i="33"/>
  <c r="UJ39" i="33" s="1"/>
  <c r="QI39" i="33"/>
  <c r="PZ39" i="33"/>
  <c r="PO39" i="33"/>
  <c r="PF39" i="33"/>
  <c r="OT39" i="33"/>
  <c r="OL39" i="33"/>
  <c r="OD39" i="33"/>
  <c r="NV39" i="33"/>
  <c r="NN39" i="33"/>
  <c r="NG39" i="33"/>
  <c r="MW39" i="33"/>
  <c r="MM39" i="33"/>
  <c r="MC39" i="33"/>
  <c r="LS39" i="33"/>
  <c r="OM39" i="33" s="1"/>
  <c r="KY39" i="33"/>
  <c r="KO39" i="33"/>
  <c r="KE39" i="33"/>
  <c r="OE39" i="33" s="1"/>
  <c r="JU39" i="33"/>
  <c r="NW39" i="33" s="1"/>
  <c r="JK39" i="33"/>
  <c r="JA39" i="33"/>
  <c r="IO39" i="33"/>
  <c r="IH39" i="33"/>
  <c r="IG39" i="33"/>
  <c r="HY39" i="33"/>
  <c r="HI39" i="33"/>
  <c r="HB39" i="33"/>
  <c r="HJ39" i="33" s="1"/>
  <c r="GR39" i="33"/>
  <c r="IP39" i="33" s="1"/>
  <c r="EP39" i="33"/>
  <c r="HZ39" i="33" s="1"/>
  <c r="DA39" i="33"/>
  <c r="CT39" i="33"/>
  <c r="CL39" i="33"/>
  <c r="CD39" i="33"/>
  <c r="BV39" i="33"/>
  <c r="BN39" i="33"/>
  <c r="BF39" i="33"/>
  <c r="AX39" i="33"/>
  <c r="AP39" i="33"/>
  <c r="AH39" i="33"/>
  <c r="Z39" i="33"/>
  <c r="R39" i="33"/>
  <c r="J39" i="33"/>
  <c r="DB39" i="33" s="1"/>
  <c r="ABE38" i="33"/>
  <c r="ABD38" i="33"/>
  <c r="AAV38" i="33"/>
  <c r="AAO38" i="33"/>
  <c r="AAN38" i="33"/>
  <c r="AAF38" i="33"/>
  <c r="ZX38" i="33"/>
  <c r="ZQ38" i="33"/>
  <c r="ZG38" i="33"/>
  <c r="YW38" i="33"/>
  <c r="ZY38" i="33" s="1"/>
  <c r="YM38" i="33"/>
  <c r="YC38" i="33"/>
  <c r="XS38" i="33"/>
  <c r="AAW38" i="33" s="1"/>
  <c r="XI38" i="33"/>
  <c r="WY38" i="33"/>
  <c r="WO38" i="33"/>
  <c r="WE38" i="33"/>
  <c r="VU38" i="33"/>
  <c r="VK38" i="33"/>
  <c r="AAG38" i="33" s="1"/>
  <c r="UY38" i="33"/>
  <c r="UQ38" i="33"/>
  <c r="UI38" i="33"/>
  <c r="UB38" i="33"/>
  <c r="UA38" i="33"/>
  <c r="TS38" i="33"/>
  <c r="TL38" i="33"/>
  <c r="TB38" i="33"/>
  <c r="SR38" i="33"/>
  <c r="SH38" i="33"/>
  <c r="RX38" i="33"/>
  <c r="UR38" i="33" s="1"/>
  <c r="RN38" i="33"/>
  <c r="RD38" i="33"/>
  <c r="QT38" i="33"/>
  <c r="QJ38" i="33"/>
  <c r="UJ38" i="33" s="1"/>
  <c r="PZ38" i="33"/>
  <c r="PP38" i="33"/>
  <c r="PF38" i="33"/>
  <c r="OU38" i="33"/>
  <c r="OT38" i="33"/>
  <c r="OL38" i="33"/>
  <c r="OD38" i="33"/>
  <c r="NV38" i="33"/>
  <c r="NN38" i="33"/>
  <c r="NG38" i="33"/>
  <c r="MW38" i="33"/>
  <c r="MM38" i="33"/>
  <c r="NO38" i="33" s="1"/>
  <c r="MC38" i="33"/>
  <c r="LS38" i="33"/>
  <c r="LI38" i="33"/>
  <c r="OM38" i="33" s="1"/>
  <c r="KY38" i="33"/>
  <c r="OE38" i="33" s="1"/>
  <c r="KO38" i="33"/>
  <c r="KE38" i="33"/>
  <c r="JU38" i="33"/>
  <c r="JK38" i="33"/>
  <c r="JA38" i="33"/>
  <c r="IO38" i="33"/>
  <c r="IH38" i="33"/>
  <c r="IG38" i="33"/>
  <c r="HY38" i="33"/>
  <c r="HR38" i="33"/>
  <c r="HQ38" i="33"/>
  <c r="HI38" i="33"/>
  <c r="HB38" i="33"/>
  <c r="GR38" i="33"/>
  <c r="GH38" i="33"/>
  <c r="IP38" i="33" s="1"/>
  <c r="EP38" i="33"/>
  <c r="HZ38" i="33" s="1"/>
  <c r="DR38" i="33"/>
  <c r="DJ38" i="33"/>
  <c r="DA38" i="33"/>
  <c r="CT38" i="33"/>
  <c r="CL38" i="33"/>
  <c r="CD38" i="33"/>
  <c r="BV38" i="33"/>
  <c r="BN38" i="33"/>
  <c r="BF38" i="33"/>
  <c r="AX38" i="33"/>
  <c r="AP38" i="33"/>
  <c r="AH38" i="33"/>
  <c r="Z38" i="33"/>
  <c r="R38" i="33"/>
  <c r="J38" i="33"/>
  <c r="DB38" i="33" s="1"/>
  <c r="ABD37" i="33"/>
  <c r="AAV37" i="33"/>
  <c r="AAO37" i="33"/>
  <c r="AAN37" i="33"/>
  <c r="AAF37" i="33"/>
  <c r="ZX37" i="33"/>
  <c r="ZQ37" i="33"/>
  <c r="ZG37" i="33"/>
  <c r="YW37" i="33"/>
  <c r="ABE37" i="33" s="1"/>
  <c r="YM37" i="33"/>
  <c r="XS37" i="33"/>
  <c r="AAW37" i="33" s="1"/>
  <c r="WE37" i="33"/>
  <c r="VU37" i="33"/>
  <c r="VK37" i="33"/>
  <c r="UY37" i="33"/>
  <c r="UR37" i="33"/>
  <c r="UQ37" i="33"/>
  <c r="UJ37" i="33"/>
  <c r="UI37" i="33"/>
  <c r="UA37" i="33"/>
  <c r="TS37" i="33"/>
  <c r="TL37" i="33"/>
  <c r="TB37" i="33"/>
  <c r="SR37" i="33"/>
  <c r="UZ37" i="33" s="1"/>
  <c r="SH37" i="33"/>
  <c r="PZ37" i="33"/>
  <c r="UB37" i="33" s="1"/>
  <c r="PP37" i="33"/>
  <c r="PF37" i="33"/>
  <c r="OL37" i="33"/>
  <c r="OD37" i="33"/>
  <c r="NV37" i="33"/>
  <c r="NN37" i="33"/>
  <c r="MW37" i="33"/>
  <c r="MM37" i="33"/>
  <c r="MC37" i="33"/>
  <c r="LS37" i="33"/>
  <c r="LI37" i="33"/>
  <c r="OM37" i="33" s="1"/>
  <c r="KY37" i="33"/>
  <c r="KO37" i="33"/>
  <c r="KE37" i="33"/>
  <c r="OE37" i="33" s="1"/>
  <c r="JK37" i="33"/>
  <c r="JA37" i="33"/>
  <c r="NW37" i="33" s="1"/>
  <c r="IO37" i="33"/>
  <c r="IH37" i="33"/>
  <c r="IG37" i="33"/>
  <c r="HZ37" i="33"/>
  <c r="HY37" i="33"/>
  <c r="HI37" i="33"/>
  <c r="HB37" i="33"/>
  <c r="HJ37" i="33" s="1"/>
  <c r="GR37" i="33"/>
  <c r="GH37" i="33"/>
  <c r="EP37" i="33"/>
  <c r="DA37" i="33"/>
  <c r="CT37" i="33"/>
  <c r="CL37" i="33"/>
  <c r="CD37" i="33"/>
  <c r="BV37" i="33"/>
  <c r="BN37" i="33"/>
  <c r="BF37" i="33"/>
  <c r="AX37" i="33"/>
  <c r="AP37" i="33"/>
  <c r="AH37" i="33"/>
  <c r="Z37" i="33"/>
  <c r="R37" i="33"/>
  <c r="DB37" i="33" s="1"/>
  <c r="J37" i="33"/>
  <c r="ABD36" i="33"/>
  <c r="AAW36" i="33"/>
  <c r="AAV36" i="33"/>
  <c r="AAN36" i="33"/>
  <c r="AAG36" i="33"/>
  <c r="AAF36" i="33"/>
  <c r="ZX36" i="33"/>
  <c r="ZQ36" i="33"/>
  <c r="ZG36" i="33"/>
  <c r="YW36" i="33"/>
  <c r="ABE36" i="33" s="1"/>
  <c r="YM36" i="33"/>
  <c r="YC36" i="33"/>
  <c r="XS36" i="33"/>
  <c r="XI36" i="33"/>
  <c r="WY36" i="33"/>
  <c r="WO36" i="33"/>
  <c r="AAO36" i="33" s="1"/>
  <c r="WE36" i="33"/>
  <c r="VU36" i="33"/>
  <c r="VK36" i="33"/>
  <c r="UY36" i="33"/>
  <c r="UQ36" i="33"/>
  <c r="UI36" i="33"/>
  <c r="UA36" i="33"/>
  <c r="TS36" i="33"/>
  <c r="TL36" i="33"/>
  <c r="TB36" i="33"/>
  <c r="SR36" i="33"/>
  <c r="TT36" i="33" s="1"/>
  <c r="SH36" i="33"/>
  <c r="RX36" i="33"/>
  <c r="RN36" i="33"/>
  <c r="UR36" i="33" s="1"/>
  <c r="RD36" i="33"/>
  <c r="UJ36" i="33" s="1"/>
  <c r="QT36" i="33"/>
  <c r="QJ36" i="33"/>
  <c r="PZ36" i="33"/>
  <c r="PP36" i="33"/>
  <c r="PF36" i="33"/>
  <c r="OT36" i="33"/>
  <c r="OD36" i="33"/>
  <c r="NW36" i="33"/>
  <c r="NV36" i="33"/>
  <c r="NG36" i="33"/>
  <c r="MW36" i="33"/>
  <c r="MM36" i="33"/>
  <c r="MB36" i="33"/>
  <c r="LS36" i="33"/>
  <c r="LI36" i="33"/>
  <c r="KY36" i="33"/>
  <c r="KO36" i="33"/>
  <c r="KE36" i="33"/>
  <c r="OE36" i="33" s="1"/>
  <c r="JU36" i="33"/>
  <c r="JK36" i="33"/>
  <c r="JA36" i="33"/>
  <c r="IO36" i="33"/>
  <c r="IH36" i="33"/>
  <c r="IG36" i="33"/>
  <c r="HY36" i="33"/>
  <c r="HQ36" i="33"/>
  <c r="HI36" i="33"/>
  <c r="HB36" i="33"/>
  <c r="IP36" i="33" s="1"/>
  <c r="EP36" i="33"/>
  <c r="DZ36" i="33"/>
  <c r="DR36" i="33"/>
  <c r="DJ36" i="33"/>
  <c r="HR36" i="33" s="1"/>
  <c r="DA36" i="33"/>
  <c r="CT36" i="33"/>
  <c r="CL36" i="33"/>
  <c r="CD36" i="33"/>
  <c r="BV36" i="33"/>
  <c r="BN36" i="33"/>
  <c r="BF36" i="33"/>
  <c r="AX36" i="33"/>
  <c r="AP36" i="33"/>
  <c r="AH36" i="33"/>
  <c r="Z36" i="33"/>
  <c r="R36" i="33"/>
  <c r="DB36" i="33" s="1"/>
  <c r="J36" i="33"/>
  <c r="ABD35" i="33"/>
  <c r="AAW35" i="33"/>
  <c r="AAV35" i="33"/>
  <c r="AAF35" i="33"/>
  <c r="ZX35" i="33"/>
  <c r="ZQ35" i="33"/>
  <c r="ZG35" i="33"/>
  <c r="YW35" i="33"/>
  <c r="ABE35" i="33" s="1"/>
  <c r="YM35" i="33"/>
  <c r="YC35" i="33"/>
  <c r="XS35" i="33"/>
  <c r="XI35" i="33"/>
  <c r="WY35" i="33"/>
  <c r="WO35" i="33"/>
  <c r="WE35" i="33"/>
  <c r="VU35" i="33"/>
  <c r="VK35" i="33"/>
  <c r="AAG35" i="33" s="1"/>
  <c r="UY35" i="33"/>
  <c r="UR35" i="33"/>
  <c r="UQ35" i="33"/>
  <c r="TS35" i="33"/>
  <c r="TL35" i="33"/>
  <c r="TB35" i="33"/>
  <c r="SR35" i="33"/>
  <c r="UZ35" i="33" s="1"/>
  <c r="SH35" i="33"/>
  <c r="RX35" i="33"/>
  <c r="RN35" i="33"/>
  <c r="RD35" i="33"/>
  <c r="QT35" i="33"/>
  <c r="QJ35" i="33"/>
  <c r="PZ35" i="33"/>
  <c r="PP35" i="33"/>
  <c r="PF35" i="33"/>
  <c r="PE35" i="33"/>
  <c r="UA35" i="33" s="1"/>
  <c r="NN35" i="33"/>
  <c r="NG35" i="33"/>
  <c r="MW35" i="33"/>
  <c r="MM35" i="33"/>
  <c r="MC35" i="33"/>
  <c r="LS35" i="33"/>
  <c r="LI35" i="33"/>
  <c r="KY35" i="33"/>
  <c r="KO35" i="33"/>
  <c r="KE35" i="33"/>
  <c r="JK35" i="33"/>
  <c r="JA35" i="33"/>
  <c r="ABD34" i="33"/>
  <c r="AAN34" i="33"/>
  <c r="AAF34" i="33"/>
  <c r="ZX34" i="33"/>
  <c r="ZQ34" i="33"/>
  <c r="ZG34" i="33"/>
  <c r="YW34" i="33"/>
  <c r="ABE34" i="33" s="1"/>
  <c r="YM34" i="33"/>
  <c r="YC34" i="33"/>
  <c r="XS34" i="33"/>
  <c r="XR34" i="33"/>
  <c r="AAV34" i="33" s="1"/>
  <c r="XI34" i="33"/>
  <c r="WY34" i="33"/>
  <c r="WO34" i="33"/>
  <c r="WE34" i="33"/>
  <c r="VU34" i="33"/>
  <c r="VK34" i="33"/>
  <c r="UY34" i="33"/>
  <c r="UI34" i="33"/>
  <c r="UA34" i="33"/>
  <c r="TS34" i="33"/>
  <c r="TL34" i="33"/>
  <c r="TB34" i="33"/>
  <c r="SR34" i="33"/>
  <c r="SH34" i="33"/>
  <c r="RX34" i="33"/>
  <c r="UR34" i="33" s="1"/>
  <c r="RW34" i="33"/>
  <c r="UQ34" i="33" s="1"/>
  <c r="RN34" i="33"/>
  <c r="RD34" i="33"/>
  <c r="QT34" i="33"/>
  <c r="QJ34" i="33"/>
  <c r="PZ34" i="33"/>
  <c r="PP34" i="33"/>
  <c r="PF34" i="33"/>
  <c r="UB34" i="33" s="1"/>
  <c r="OT34" i="33"/>
  <c r="OL34" i="33"/>
  <c r="OD34" i="33"/>
  <c r="NV34" i="33"/>
  <c r="NN34" i="33"/>
  <c r="NG34" i="33"/>
  <c r="NO34" i="33" s="1"/>
  <c r="MW34" i="33"/>
  <c r="MM34" i="33"/>
  <c r="OU34" i="33" s="1"/>
  <c r="MC34" i="33"/>
  <c r="LS34" i="33"/>
  <c r="LI34" i="33"/>
  <c r="OM34" i="33" s="1"/>
  <c r="KY34" i="33"/>
  <c r="KO34" i="33"/>
  <c r="KE34" i="33"/>
  <c r="OE34" i="33" s="1"/>
  <c r="JU34" i="33"/>
  <c r="JK34" i="33"/>
  <c r="JA34" i="33"/>
  <c r="NW34" i="33" s="1"/>
  <c r="IO34" i="33"/>
  <c r="IG34" i="33"/>
  <c r="HY34" i="33"/>
  <c r="HQ34" i="33"/>
  <c r="HI34" i="33"/>
  <c r="HB34" i="33"/>
  <c r="GR34" i="33"/>
  <c r="HJ34" i="33" s="1"/>
  <c r="GH34" i="33"/>
  <c r="IP34" i="33" s="1"/>
  <c r="FX34" i="33"/>
  <c r="FN34" i="33"/>
  <c r="FF34" i="33"/>
  <c r="IH34" i="33" s="1"/>
  <c r="EX34" i="33"/>
  <c r="EP34" i="33"/>
  <c r="EH34" i="33"/>
  <c r="DZ34" i="33"/>
  <c r="DR34" i="33"/>
  <c r="DJ34" i="33"/>
  <c r="HR34" i="33" s="1"/>
  <c r="DA34" i="33"/>
  <c r="CT34" i="33"/>
  <c r="CL34" i="33"/>
  <c r="CD34" i="33"/>
  <c r="BV34" i="33"/>
  <c r="BN34" i="33"/>
  <c r="BF34" i="33"/>
  <c r="AX34" i="33"/>
  <c r="AP34" i="33"/>
  <c r="AH34" i="33"/>
  <c r="Z34" i="33"/>
  <c r="R34" i="33"/>
  <c r="J34" i="33"/>
  <c r="ABD33" i="33"/>
  <c r="AAV33" i="33"/>
  <c r="AAN33" i="33"/>
  <c r="AAF33" i="33"/>
  <c r="ZX33" i="33"/>
  <c r="ZQ33" i="33"/>
  <c r="ZG33" i="33"/>
  <c r="YW33" i="33"/>
  <c r="ABE33" i="33" s="1"/>
  <c r="YM33" i="33"/>
  <c r="YL33" i="33"/>
  <c r="YC33" i="33"/>
  <c r="XS33" i="33"/>
  <c r="XI33" i="33"/>
  <c r="XH33" i="33"/>
  <c r="WY33" i="33"/>
  <c r="WN33" i="33"/>
  <c r="WO33" i="33" s="1"/>
  <c r="WE33" i="33"/>
  <c r="VU33" i="33"/>
  <c r="VK33" i="33"/>
  <c r="AAG33" i="33" s="1"/>
  <c r="UY33" i="33"/>
  <c r="UQ33" i="33"/>
  <c r="UJ33" i="33"/>
  <c r="UA33" i="33"/>
  <c r="TT33" i="33"/>
  <c r="TL33" i="33"/>
  <c r="TB33" i="33"/>
  <c r="SR33" i="33"/>
  <c r="UZ33" i="33" s="1"/>
  <c r="SH33" i="33"/>
  <c r="RX33" i="33"/>
  <c r="UR33" i="33" s="1"/>
  <c r="RN33" i="33"/>
  <c r="RD33" i="33"/>
  <c r="RC33" i="33"/>
  <c r="UI33" i="33" s="1"/>
  <c r="QT33" i="33"/>
  <c r="QJ33" i="33"/>
  <c r="PZ33" i="33"/>
  <c r="PP33" i="33"/>
  <c r="PF33" i="33"/>
  <c r="UB33" i="33" s="1"/>
  <c r="OD33" i="33"/>
  <c r="NN33" i="33"/>
  <c r="NF33" i="33"/>
  <c r="NG33" i="33" s="1"/>
  <c r="MV33" i="33"/>
  <c r="MW33" i="33" s="1"/>
  <c r="ML33" i="33"/>
  <c r="MM33" i="33" s="1"/>
  <c r="MC33" i="33"/>
  <c r="LS33" i="33"/>
  <c r="LH33" i="33"/>
  <c r="LI33" i="33" s="1"/>
  <c r="OM33" i="33" s="1"/>
  <c r="KY33" i="33"/>
  <c r="KO33" i="33"/>
  <c r="KN33" i="33"/>
  <c r="KE33" i="33"/>
  <c r="JU33" i="33"/>
  <c r="JK33" i="33"/>
  <c r="IZ33" i="33"/>
  <c r="JA33" i="33" s="1"/>
  <c r="IO33" i="33"/>
  <c r="IG33" i="33"/>
  <c r="HY33" i="33"/>
  <c r="HQ33" i="33"/>
  <c r="HI33" i="33"/>
  <c r="HB33" i="33"/>
  <c r="GR33" i="33"/>
  <c r="GH33" i="33"/>
  <c r="IP33" i="33" s="1"/>
  <c r="FX33" i="33"/>
  <c r="FN33" i="33"/>
  <c r="FF33" i="33"/>
  <c r="IH33" i="33" s="1"/>
  <c r="EX33" i="33"/>
  <c r="EP33" i="33"/>
  <c r="EG33" i="33"/>
  <c r="EH33" i="33" s="1"/>
  <c r="DZ33" i="33"/>
  <c r="DR33" i="33"/>
  <c r="DJ33" i="33"/>
  <c r="HR33" i="33" s="1"/>
  <c r="DA33" i="33"/>
  <c r="CT33" i="33"/>
  <c r="CL33" i="33"/>
  <c r="CD33" i="33"/>
  <c r="BV33" i="33"/>
  <c r="BN33" i="33"/>
  <c r="BN49" i="33" s="1"/>
  <c r="BF33" i="33"/>
  <c r="AX33" i="33"/>
  <c r="AP33" i="33"/>
  <c r="AH33" i="33"/>
  <c r="Z33" i="33"/>
  <c r="R33" i="33"/>
  <c r="J33" i="33"/>
  <c r="ABE32" i="33"/>
  <c r="ABD32" i="33"/>
  <c r="AAV32" i="33"/>
  <c r="AAN32" i="33"/>
  <c r="AAF32" i="33"/>
  <c r="ZX32" i="33"/>
  <c r="ZQ32" i="33"/>
  <c r="ZG32" i="33"/>
  <c r="YW32" i="33"/>
  <c r="ZY32" i="33" s="1"/>
  <c r="YM32" i="33"/>
  <c r="YC32" i="33"/>
  <c r="AAW32" i="33" s="1"/>
  <c r="XS32" i="33"/>
  <c r="XI32" i="33"/>
  <c r="AAO32" i="33" s="1"/>
  <c r="WY32" i="33"/>
  <c r="WO32" i="33"/>
  <c r="WE32" i="33"/>
  <c r="VU32" i="33"/>
  <c r="AAG32" i="33" s="1"/>
  <c r="VK32" i="33"/>
  <c r="UY32" i="33"/>
  <c r="UQ32" i="33"/>
  <c r="UI32" i="33"/>
  <c r="TL32" i="33"/>
  <c r="TB32" i="33"/>
  <c r="SR32" i="33"/>
  <c r="SH32" i="33"/>
  <c r="RX32" i="33"/>
  <c r="UR32" i="33" s="1"/>
  <c r="RN32" i="33"/>
  <c r="RD32" i="33"/>
  <c r="QT32" i="33"/>
  <c r="QJ32" i="33"/>
  <c r="UJ32" i="33" s="1"/>
  <c r="PZ32" i="33"/>
  <c r="PP32" i="33"/>
  <c r="PE32" i="33"/>
  <c r="OT32" i="33"/>
  <c r="OL32" i="33"/>
  <c r="OD32" i="33"/>
  <c r="NV32" i="33"/>
  <c r="NN32" i="33"/>
  <c r="NG32" i="33"/>
  <c r="NO32" i="33" s="1"/>
  <c r="MW32" i="33"/>
  <c r="MM32" i="33"/>
  <c r="OU32" i="33" s="1"/>
  <c r="MC32" i="33"/>
  <c r="LS32" i="33"/>
  <c r="LI32" i="33"/>
  <c r="OM32" i="33" s="1"/>
  <c r="KY32" i="33"/>
  <c r="KO32" i="33"/>
  <c r="KE32" i="33"/>
  <c r="OE32" i="33" s="1"/>
  <c r="JU32" i="33"/>
  <c r="JK32" i="33"/>
  <c r="JA32" i="33"/>
  <c r="NW32" i="33" s="1"/>
  <c r="IO32" i="33"/>
  <c r="IG32" i="33"/>
  <c r="HY32" i="33"/>
  <c r="HQ32" i="33"/>
  <c r="HI32" i="33"/>
  <c r="HB32" i="33"/>
  <c r="GR32" i="33"/>
  <c r="GH32" i="33"/>
  <c r="IP32" i="33" s="1"/>
  <c r="FX32" i="33"/>
  <c r="FN32" i="33"/>
  <c r="FF32" i="33"/>
  <c r="IH32" i="33" s="1"/>
  <c r="EX32" i="33"/>
  <c r="EP32" i="33"/>
  <c r="EH32" i="33"/>
  <c r="DZ32" i="33"/>
  <c r="DR32" i="33"/>
  <c r="DJ32" i="33"/>
  <c r="HR32" i="33" s="1"/>
  <c r="DA32" i="33"/>
  <c r="CT32" i="33"/>
  <c r="CL32" i="33"/>
  <c r="CD32" i="33"/>
  <c r="BV32" i="33"/>
  <c r="BN32" i="33"/>
  <c r="BF32" i="33"/>
  <c r="AX32" i="33"/>
  <c r="AP32" i="33"/>
  <c r="AH32" i="33"/>
  <c r="Z32" i="33"/>
  <c r="R32" i="33"/>
  <c r="J32" i="33"/>
  <c r="ABD31" i="33"/>
  <c r="AAV31" i="33"/>
  <c r="AAN31" i="33"/>
  <c r="AAF31" i="33"/>
  <c r="ZX31" i="33"/>
  <c r="ZQ31" i="33"/>
  <c r="ZG31" i="33"/>
  <c r="YW31" i="33"/>
  <c r="ABE31" i="33" s="1"/>
  <c r="YM31" i="33"/>
  <c r="YC31" i="33"/>
  <c r="XS31" i="33"/>
  <c r="XI31" i="33"/>
  <c r="WY31" i="33"/>
  <c r="WO31" i="33"/>
  <c r="WE31" i="33"/>
  <c r="VU31" i="33"/>
  <c r="VK31" i="33"/>
  <c r="AAG31" i="33" s="1"/>
  <c r="UY31" i="33"/>
  <c r="UQ31" i="33"/>
  <c r="UI31" i="33"/>
  <c r="UA31" i="33"/>
  <c r="TS31" i="33"/>
  <c r="TL31" i="33"/>
  <c r="TT31" i="33" s="1"/>
  <c r="TB31" i="33"/>
  <c r="SR31" i="33"/>
  <c r="UZ31" i="33" s="1"/>
  <c r="SH31" i="33"/>
  <c r="RX31" i="33"/>
  <c r="RN31" i="33"/>
  <c r="UR31" i="33" s="1"/>
  <c r="RD31" i="33"/>
  <c r="QT31" i="33"/>
  <c r="QJ31" i="33"/>
  <c r="UJ31" i="33" s="1"/>
  <c r="PZ31" i="33"/>
  <c r="PP31" i="33"/>
  <c r="PF31" i="33"/>
  <c r="UB31" i="33" s="1"/>
  <c r="OT31" i="33"/>
  <c r="OD31" i="33"/>
  <c r="NV31" i="33"/>
  <c r="NN31" i="33"/>
  <c r="NG31" i="33"/>
  <c r="NO31" i="33" s="1"/>
  <c r="MW31" i="33"/>
  <c r="MV31" i="33"/>
  <c r="MM31" i="33"/>
  <c r="OU31" i="33" s="1"/>
  <c r="ML31" i="33"/>
  <c r="MC31" i="33"/>
  <c r="LS31" i="33"/>
  <c r="LI31" i="33"/>
  <c r="OM31" i="33" s="1"/>
  <c r="LH31" i="33"/>
  <c r="OL31" i="33" s="1"/>
  <c r="KY31" i="33"/>
  <c r="KO31" i="33"/>
  <c r="KE31" i="33"/>
  <c r="OE31" i="33" s="1"/>
  <c r="JK31" i="33"/>
  <c r="JA31" i="33"/>
  <c r="NW31" i="33" s="1"/>
  <c r="IO31" i="33"/>
  <c r="IG31" i="33"/>
  <c r="HY31" i="33"/>
  <c r="HQ31" i="33"/>
  <c r="HI31" i="33"/>
  <c r="HB31" i="33"/>
  <c r="GR31" i="33"/>
  <c r="GH31" i="33"/>
  <c r="IP31" i="33" s="1"/>
  <c r="FX31" i="33"/>
  <c r="FN31" i="33"/>
  <c r="FF31" i="33"/>
  <c r="EW31" i="33"/>
  <c r="EX31" i="33" s="1"/>
  <c r="EP31" i="33"/>
  <c r="EH31" i="33"/>
  <c r="HZ31" i="33" s="1"/>
  <c r="DZ31" i="33"/>
  <c r="DR31" i="33"/>
  <c r="DJ31" i="33"/>
  <c r="HR31" i="33" s="1"/>
  <c r="DA31" i="33"/>
  <c r="CT31" i="33"/>
  <c r="CL31" i="33"/>
  <c r="CD31" i="33"/>
  <c r="BV31" i="33"/>
  <c r="BN31" i="33"/>
  <c r="BF31" i="33"/>
  <c r="AX31" i="33"/>
  <c r="AP31" i="33"/>
  <c r="AH31" i="33"/>
  <c r="Z31" i="33"/>
  <c r="R31" i="33"/>
  <c r="J31" i="33"/>
  <c r="ABD30" i="33"/>
  <c r="AAV30" i="33"/>
  <c r="AAN30" i="33"/>
  <c r="AAF30" i="33"/>
  <c r="ZX30" i="33"/>
  <c r="ZQ30" i="33"/>
  <c r="ZG30" i="33"/>
  <c r="YW30" i="33"/>
  <c r="ABE30" i="33" s="1"/>
  <c r="YM30" i="33"/>
  <c r="YC30" i="33"/>
  <c r="XS30" i="33"/>
  <c r="AAW30" i="33" s="1"/>
  <c r="XI30" i="33"/>
  <c r="AAO30" i="33" s="1"/>
  <c r="WY30" i="33"/>
  <c r="WO30" i="33"/>
  <c r="WE30" i="33"/>
  <c r="VU30" i="33"/>
  <c r="VK30" i="33"/>
  <c r="UY30" i="33"/>
  <c r="UQ30" i="33"/>
  <c r="UI30" i="33"/>
  <c r="UB30" i="33"/>
  <c r="UA30" i="33"/>
  <c r="TS30" i="33"/>
  <c r="TL30" i="33"/>
  <c r="TB30" i="33"/>
  <c r="SR30" i="33"/>
  <c r="SH30" i="33"/>
  <c r="RX30" i="33"/>
  <c r="UR30" i="33" s="1"/>
  <c r="RN30" i="33"/>
  <c r="RD30" i="33"/>
  <c r="QT30" i="33"/>
  <c r="QJ30" i="33"/>
  <c r="UJ30" i="33" s="1"/>
  <c r="PZ30" i="33"/>
  <c r="PP30" i="33"/>
  <c r="PF30" i="33"/>
  <c r="OU30" i="33"/>
  <c r="OT30" i="33"/>
  <c r="OL30" i="33"/>
  <c r="OE30" i="33"/>
  <c r="OD30" i="33"/>
  <c r="NV30" i="33"/>
  <c r="NN30" i="33"/>
  <c r="NG30" i="33"/>
  <c r="MW30" i="33"/>
  <c r="MM30" i="33"/>
  <c r="NO30" i="33" s="1"/>
  <c r="MC30" i="33"/>
  <c r="LS30" i="33"/>
  <c r="LI30" i="33"/>
  <c r="OM30" i="33" s="1"/>
  <c r="KY30" i="33"/>
  <c r="KO30" i="33"/>
  <c r="KE30" i="33"/>
  <c r="JU30" i="33"/>
  <c r="JK30" i="33"/>
  <c r="JA30" i="33"/>
  <c r="NW30" i="33" s="1"/>
  <c r="IO30" i="33"/>
  <c r="HY30" i="33"/>
  <c r="HR30" i="33"/>
  <c r="HQ30" i="33"/>
  <c r="HB30" i="33"/>
  <c r="GR30" i="33"/>
  <c r="GH30" i="33"/>
  <c r="IP30" i="33" s="1"/>
  <c r="FX30" i="33"/>
  <c r="FN30" i="33"/>
  <c r="IH30" i="33" s="1"/>
  <c r="FM30" i="33"/>
  <c r="IG30" i="33" s="1"/>
  <c r="FF30" i="33"/>
  <c r="EX30" i="33"/>
  <c r="EP30" i="33"/>
  <c r="EH30" i="33"/>
  <c r="DZ30" i="33"/>
  <c r="DR30" i="33"/>
  <c r="DJ30" i="33"/>
  <c r="DA30" i="33"/>
  <c r="CT30" i="33"/>
  <c r="CL30" i="33"/>
  <c r="CD30" i="33"/>
  <c r="BV30" i="33"/>
  <c r="BN30" i="33"/>
  <c r="BF30" i="33"/>
  <c r="AX30" i="33"/>
  <c r="AP30" i="33"/>
  <c r="AH30" i="33"/>
  <c r="Z30" i="33"/>
  <c r="R30" i="33"/>
  <c r="J30" i="33"/>
  <c r="ABD29" i="33"/>
  <c r="AAV29" i="33"/>
  <c r="AAN29" i="33"/>
  <c r="AAF29" i="33"/>
  <c r="ZX29" i="33"/>
  <c r="ZQ29" i="33"/>
  <c r="ZG29" i="33"/>
  <c r="ZG49" i="33" s="1"/>
  <c r="YW29" i="33"/>
  <c r="YM29" i="33"/>
  <c r="YM49" i="33" s="1"/>
  <c r="YC29" i="33"/>
  <c r="XS29" i="33"/>
  <c r="XI29" i="33"/>
  <c r="WY29" i="33"/>
  <c r="WY49" i="33" s="1"/>
  <c r="WO29" i="33"/>
  <c r="WE29" i="33"/>
  <c r="WE49" i="33" s="1"/>
  <c r="VU29" i="33"/>
  <c r="VK29" i="33"/>
  <c r="AAG29" i="33" s="1"/>
  <c r="UY29" i="33"/>
  <c r="UQ29" i="33"/>
  <c r="UI29" i="33"/>
  <c r="UA29" i="33"/>
  <c r="TS29" i="33"/>
  <c r="TL29" i="33"/>
  <c r="TT29" i="33" s="1"/>
  <c r="TB29" i="33"/>
  <c r="SR29" i="33"/>
  <c r="SR49" i="33" s="1"/>
  <c r="SH29" i="33"/>
  <c r="RX29" i="33"/>
  <c r="RN29" i="33"/>
  <c r="UR29" i="33" s="1"/>
  <c r="RD29" i="33"/>
  <c r="RD49" i="33" s="1"/>
  <c r="QT29" i="33"/>
  <c r="QJ29" i="33"/>
  <c r="UJ29" i="33" s="1"/>
  <c r="PZ29" i="33"/>
  <c r="PP29" i="33"/>
  <c r="PF29" i="33"/>
  <c r="UB29" i="33" s="1"/>
  <c r="OT29" i="33"/>
  <c r="OL29" i="33"/>
  <c r="OD29" i="33"/>
  <c r="NV29" i="33"/>
  <c r="NN29" i="33"/>
  <c r="NG29" i="33"/>
  <c r="MW29" i="33"/>
  <c r="MW49" i="33" s="1"/>
  <c r="MM29" i="33"/>
  <c r="MC29" i="33"/>
  <c r="LS29" i="33"/>
  <c r="LI29" i="33"/>
  <c r="OM29" i="33" s="1"/>
  <c r="KY29" i="33"/>
  <c r="KO29" i="33"/>
  <c r="KN29" i="33"/>
  <c r="KE29" i="33"/>
  <c r="OE29" i="33" s="1"/>
  <c r="JU29" i="33"/>
  <c r="JU49" i="33" s="1"/>
  <c r="JK29" i="33"/>
  <c r="JA29" i="33"/>
  <c r="IO29" i="33"/>
  <c r="HB29" i="33"/>
  <c r="GR29" i="33"/>
  <c r="GR49" i="33" s="1"/>
  <c r="GH29" i="33"/>
  <c r="IP29" i="33" s="1"/>
  <c r="FX29" i="33"/>
  <c r="FN29" i="33"/>
  <c r="FM29" i="33"/>
  <c r="HI29" i="33" s="1"/>
  <c r="FE29" i="33"/>
  <c r="IG29" i="33" s="1"/>
  <c r="EX29" i="33"/>
  <c r="EW29" i="33"/>
  <c r="EO29" i="33"/>
  <c r="EP29" i="33" s="1"/>
  <c r="EH29" i="33"/>
  <c r="EG29" i="33"/>
  <c r="HY29" i="33" s="1"/>
  <c r="DY29" i="33"/>
  <c r="DZ29" i="33" s="1"/>
  <c r="DR29" i="33"/>
  <c r="DR49" i="33" s="1"/>
  <c r="DQ29" i="33"/>
  <c r="DI29" i="33"/>
  <c r="HQ29" i="33" s="1"/>
  <c r="CS29" i="33"/>
  <c r="CK29" i="33"/>
  <c r="CC29" i="33"/>
  <c r="BV29" i="33"/>
  <c r="BV49" i="33" s="1"/>
  <c r="BU29" i="33"/>
  <c r="BN29" i="33"/>
  <c r="BM29" i="33"/>
  <c r="BF29" i="33"/>
  <c r="BF49" i="33" s="1"/>
  <c r="BE29" i="33"/>
  <c r="AX29" i="33"/>
  <c r="AW29" i="33"/>
  <c r="AP29" i="33"/>
  <c r="AP49" i="33" s="1"/>
  <c r="AO29" i="33"/>
  <c r="AH29" i="33"/>
  <c r="AG29" i="33"/>
  <c r="Z29" i="33"/>
  <c r="Y29" i="33"/>
  <c r="R29" i="33"/>
  <c r="Q29" i="33"/>
  <c r="J29" i="33"/>
  <c r="I29" i="33"/>
  <c r="DA29" i="33" s="1"/>
  <c r="ABE28" i="33"/>
  <c r="ABD28" i="33"/>
  <c r="AAW28" i="33"/>
  <c r="AAV28" i="33"/>
  <c r="AAO28" i="33"/>
  <c r="AAN28" i="33"/>
  <c r="AAG28" i="33"/>
  <c r="AAF28" i="33"/>
  <c r="ZY28" i="33"/>
  <c r="ZX28" i="33"/>
  <c r="UZ28" i="33"/>
  <c r="UY28" i="33"/>
  <c r="UR28" i="33"/>
  <c r="UQ28" i="33"/>
  <c r="UJ28" i="33"/>
  <c r="UI28" i="33"/>
  <c r="UB28" i="33"/>
  <c r="UA28" i="33"/>
  <c r="TT28" i="33"/>
  <c r="TS28" i="33"/>
  <c r="OU28" i="33"/>
  <c r="OT28" i="33"/>
  <c r="OM28" i="33"/>
  <c r="OL28" i="33"/>
  <c r="OE28" i="33"/>
  <c r="OD28" i="33"/>
  <c r="NW28" i="33"/>
  <c r="NV28" i="33"/>
  <c r="NO28" i="33"/>
  <c r="NN28" i="33"/>
  <c r="IP28" i="33"/>
  <c r="IO28" i="33"/>
  <c r="IH28" i="33"/>
  <c r="IG28" i="33"/>
  <c r="HZ28" i="33"/>
  <c r="HY28" i="33"/>
  <c r="HQ28" i="33"/>
  <c r="HJ28" i="33"/>
  <c r="HI28" i="33"/>
  <c r="DZ28" i="33"/>
  <c r="DA28" i="33"/>
  <c r="AX28" i="33"/>
  <c r="Z28" i="33"/>
  <c r="ABE27" i="33"/>
  <c r="ABD27" i="33"/>
  <c r="AAW27" i="33"/>
  <c r="AAV27" i="33"/>
  <c r="AAO27" i="33"/>
  <c r="AAN27" i="33"/>
  <c r="AAG27" i="33"/>
  <c r="AAF27" i="33"/>
  <c r="ZY27" i="33"/>
  <c r="ZX27" i="33"/>
  <c r="WD27" i="33"/>
  <c r="UZ27" i="33"/>
  <c r="UY27" i="33"/>
  <c r="UR27" i="33"/>
  <c r="UQ27" i="33"/>
  <c r="UJ27" i="33"/>
  <c r="UI27" i="33"/>
  <c r="UB27" i="33"/>
  <c r="UA27" i="33"/>
  <c r="TT27" i="33"/>
  <c r="TS27" i="33"/>
  <c r="OU27" i="33"/>
  <c r="OT27" i="33"/>
  <c r="OM27" i="33"/>
  <c r="OL27" i="33"/>
  <c r="OE27" i="33"/>
  <c r="OD27" i="33"/>
  <c r="NW27" i="33"/>
  <c r="NV27" i="33"/>
  <c r="NO27" i="33"/>
  <c r="NN27" i="33"/>
  <c r="IP27" i="33"/>
  <c r="IO27" i="33"/>
  <c r="IH27" i="33"/>
  <c r="IG27" i="33"/>
  <c r="HZ27" i="33"/>
  <c r="HY27" i="33"/>
  <c r="HR27" i="33"/>
  <c r="HQ27" i="33"/>
  <c r="HJ27" i="33"/>
  <c r="HI27" i="33"/>
  <c r="DB27" i="33"/>
  <c r="DA27" i="33"/>
  <c r="ABE26" i="33"/>
  <c r="AAW26" i="33"/>
  <c r="AAO26" i="33"/>
  <c r="AAG26" i="33"/>
  <c r="ZY26" i="33"/>
  <c r="ZP26" i="33"/>
  <c r="ZX26" i="33" s="1"/>
  <c r="ZF26" i="33"/>
  <c r="YV26" i="33"/>
  <c r="ABD26" i="33" s="1"/>
  <c r="YL26" i="33"/>
  <c r="YB26" i="33"/>
  <c r="XR26" i="33"/>
  <c r="AAV26" i="33" s="1"/>
  <c r="XH26" i="33"/>
  <c r="WX26" i="33"/>
  <c r="WN26" i="33"/>
  <c r="AAN26" i="33" s="1"/>
  <c r="WD26" i="33"/>
  <c r="AAF26" i="33" s="1"/>
  <c r="UZ26" i="33"/>
  <c r="UR26" i="33"/>
  <c r="UJ26" i="33"/>
  <c r="UI26" i="33"/>
  <c r="UB26" i="33"/>
  <c r="UA26" i="33"/>
  <c r="TT26" i="33"/>
  <c r="TK26" i="33"/>
  <c r="TA26" i="33"/>
  <c r="SQ26" i="33"/>
  <c r="UY26" i="33" s="1"/>
  <c r="SG26" i="33"/>
  <c r="RW26" i="33"/>
  <c r="RM26" i="33"/>
  <c r="UQ26" i="33" s="1"/>
  <c r="OU26" i="33"/>
  <c r="OM26" i="33"/>
  <c r="OE26" i="33"/>
  <c r="OD26" i="33"/>
  <c r="NW26" i="33"/>
  <c r="NV26" i="33"/>
  <c r="NO26" i="33"/>
  <c r="MV26" i="33"/>
  <c r="OT26" i="33" s="1"/>
  <c r="ML26" i="33"/>
  <c r="MB26" i="33"/>
  <c r="LR26" i="33"/>
  <c r="LH26" i="33"/>
  <c r="IP26" i="33"/>
  <c r="IO26" i="33"/>
  <c r="IH26" i="33"/>
  <c r="IG26" i="33"/>
  <c r="HZ26" i="33"/>
  <c r="HJ26" i="33"/>
  <c r="EO26" i="33"/>
  <c r="EG26" i="33"/>
  <c r="ABE25" i="33"/>
  <c r="AAO25" i="33"/>
  <c r="AAF25" i="33"/>
  <c r="ZP25" i="33"/>
  <c r="ZF25" i="33"/>
  <c r="YV25" i="33"/>
  <c r="YL25" i="33"/>
  <c r="YC25" i="33"/>
  <c r="YB25" i="33"/>
  <c r="AAV25" i="33" s="1"/>
  <c r="XS25" i="33"/>
  <c r="AAW25" i="33" s="1"/>
  <c r="XR25" i="33"/>
  <c r="XI25" i="33"/>
  <c r="XH25" i="33"/>
  <c r="XH49" i="33" s="1"/>
  <c r="WX25" i="33"/>
  <c r="WN25" i="33"/>
  <c r="AAN25" i="33" s="1"/>
  <c r="WD25" i="33"/>
  <c r="VT25" i="33"/>
  <c r="VK25" i="33"/>
  <c r="AAG25" i="33" s="1"/>
  <c r="VJ25" i="33"/>
  <c r="TK25" i="33"/>
  <c r="TB25" i="33"/>
  <c r="TB49" i="33" s="1"/>
  <c r="SQ25" i="33"/>
  <c r="SH25" i="33"/>
  <c r="SH49" i="33" s="1"/>
  <c r="SG25" i="33"/>
  <c r="RW25" i="33"/>
  <c r="RM25" i="33"/>
  <c r="UQ25" i="33" s="1"/>
  <c r="RC25" i="33"/>
  <c r="QT25" i="33"/>
  <c r="UJ25" i="33" s="1"/>
  <c r="QI25" i="33"/>
  <c r="PY25" i="33"/>
  <c r="PP25" i="33"/>
  <c r="PO25" i="33" s="1"/>
  <c r="PE25" i="33"/>
  <c r="UA25" i="33" s="1"/>
  <c r="OU25" i="33"/>
  <c r="OE25" i="33"/>
  <c r="NF25" i="33"/>
  <c r="MV25" i="33"/>
  <c r="ML25" i="33"/>
  <c r="MC25" i="33"/>
  <c r="MB25" i="33" s="1"/>
  <c r="OL25" i="33" s="1"/>
  <c r="LR25" i="33"/>
  <c r="LI25" i="33"/>
  <c r="LI49" i="33" s="1"/>
  <c r="LH25" i="33"/>
  <c r="KX25" i="33"/>
  <c r="KN25" i="33"/>
  <c r="OD25" i="33" s="1"/>
  <c r="KD25" i="33"/>
  <c r="JT25" i="33"/>
  <c r="JJ25" i="33"/>
  <c r="JA25" i="33"/>
  <c r="IP25" i="33"/>
  <c r="HR25" i="33"/>
  <c r="HA25" i="33"/>
  <c r="GQ25" i="33"/>
  <c r="GG25" i="33"/>
  <c r="FW25" i="33"/>
  <c r="FN25" i="33"/>
  <c r="IH25" i="33" s="1"/>
  <c r="FF25" i="33"/>
  <c r="FE25" i="33" s="1"/>
  <c r="EX25" i="33"/>
  <c r="EO25" i="33"/>
  <c r="EG25" i="33"/>
  <c r="DY25" i="33"/>
  <c r="DQ25" i="33"/>
  <c r="DI25" i="33"/>
  <c r="HQ25" i="33" s="1"/>
  <c r="DB25" i="33"/>
  <c r="CS25" i="33"/>
  <c r="CK25" i="33"/>
  <c r="CC25" i="33"/>
  <c r="BU25" i="33"/>
  <c r="BM25" i="33"/>
  <c r="BE25" i="33"/>
  <c r="AW25" i="33"/>
  <c r="AO25" i="33"/>
  <c r="AG25" i="33"/>
  <c r="Y25" i="33"/>
  <c r="Q25" i="33"/>
  <c r="I25" i="33"/>
  <c r="DA25" i="33" s="1"/>
  <c r="ABE24" i="33"/>
  <c r="AAW24" i="33"/>
  <c r="ZP24" i="33"/>
  <c r="YV24" i="33"/>
  <c r="ABD24" i="33" s="1"/>
  <c r="YL24" i="33"/>
  <c r="YB24" i="33"/>
  <c r="AAV24" i="33" s="1"/>
  <c r="XR24" i="33"/>
  <c r="XH24" i="33"/>
  <c r="WX24" i="33"/>
  <c r="WO24" i="33"/>
  <c r="WD24" i="33"/>
  <c r="VT24" i="33"/>
  <c r="VK24" i="33"/>
  <c r="UZ24" i="33"/>
  <c r="UR24" i="33"/>
  <c r="TT24" i="33"/>
  <c r="TK24" i="33"/>
  <c r="SQ24" i="33"/>
  <c r="UY24" i="33" s="1"/>
  <c r="SG24" i="33"/>
  <c r="RW24" i="33"/>
  <c r="RM24" i="33"/>
  <c r="UQ24" i="33" s="1"/>
  <c r="RC24" i="33"/>
  <c r="QS24" i="33"/>
  <c r="QI24" i="33"/>
  <c r="MV24" i="33"/>
  <c r="ML24" i="33"/>
  <c r="MB24" i="33"/>
  <c r="LR24" i="33"/>
  <c r="LH24" i="33"/>
  <c r="KX24" i="33"/>
  <c r="KN24" i="33"/>
  <c r="KD24" i="33"/>
  <c r="JJ24" i="33"/>
  <c r="IZ24" i="33"/>
  <c r="ABE23" i="33"/>
  <c r="AAW23" i="33"/>
  <c r="AAO23" i="33"/>
  <c r="AAG23" i="33"/>
  <c r="AAF23" i="33"/>
  <c r="ZY23" i="33"/>
  <c r="ZP23" i="33"/>
  <c r="ZF23" i="33"/>
  <c r="YV23" i="33"/>
  <c r="YL23" i="33"/>
  <c r="YB23" i="33"/>
  <c r="XR23" i="33"/>
  <c r="AAV23" i="33" s="1"/>
  <c r="XH23" i="33"/>
  <c r="AAN23" i="33" s="1"/>
  <c r="VT23" i="33"/>
  <c r="UZ23" i="33"/>
  <c r="UR23" i="33"/>
  <c r="UJ23" i="33"/>
  <c r="UB23" i="33"/>
  <c r="UA23" i="33"/>
  <c r="TT23" i="33"/>
  <c r="TK23" i="33"/>
  <c r="TA23" i="33"/>
  <c r="SQ23" i="33"/>
  <c r="UY23" i="33" s="1"/>
  <c r="SG23" i="33"/>
  <c r="RW23" i="33"/>
  <c r="RM23" i="33"/>
  <c r="UQ23" i="33" s="1"/>
  <c r="RC23" i="33"/>
  <c r="UI23" i="33" s="1"/>
  <c r="OU23" i="33"/>
  <c r="OM23" i="33"/>
  <c r="OL23" i="33"/>
  <c r="OE23" i="33"/>
  <c r="NW23" i="33"/>
  <c r="NO23" i="33"/>
  <c r="MV23" i="33"/>
  <c r="ML23" i="33"/>
  <c r="MB23" i="33"/>
  <c r="LR23" i="33"/>
  <c r="LH23" i="33"/>
  <c r="KX23" i="33"/>
  <c r="KN23" i="33"/>
  <c r="KD23" i="33"/>
  <c r="OD23" i="33" s="1"/>
  <c r="JJ23" i="33"/>
  <c r="IZ23" i="33"/>
  <c r="NV23" i="33" s="1"/>
  <c r="IP23" i="33"/>
  <c r="IH23" i="33"/>
  <c r="HR23" i="33"/>
  <c r="HQ23" i="33"/>
  <c r="HA23" i="33"/>
  <c r="GQ23" i="33"/>
  <c r="GG23" i="33"/>
  <c r="FW23" i="33"/>
  <c r="FM23" i="33"/>
  <c r="FE23" i="33"/>
  <c r="IG23" i="33" s="1"/>
  <c r="EX23" i="33"/>
  <c r="EW23" i="33"/>
  <c r="EO23" i="33"/>
  <c r="EG23" i="33"/>
  <c r="HY23" i="33" s="1"/>
  <c r="DY23" i="33"/>
  <c r="DQ23" i="33"/>
  <c r="DI23" i="33"/>
  <c r="DB23" i="33"/>
  <c r="CS23" i="33"/>
  <c r="CK23" i="33"/>
  <c r="CC23" i="33"/>
  <c r="BU23" i="33"/>
  <c r="BM23" i="33"/>
  <c r="BE23" i="33"/>
  <c r="AW23" i="33"/>
  <c r="AO23" i="33"/>
  <c r="AG23" i="33"/>
  <c r="Y23" i="33"/>
  <c r="Q23" i="33"/>
  <c r="I23" i="33"/>
  <c r="ABE22" i="33"/>
  <c r="AAW22" i="33"/>
  <c r="AAO22" i="33"/>
  <c r="AAG22" i="33"/>
  <c r="ZY22" i="33"/>
  <c r="ZP22" i="33"/>
  <c r="ZF22" i="33"/>
  <c r="YV22" i="33"/>
  <c r="YV49" i="33" s="1"/>
  <c r="YL22" i="33"/>
  <c r="YB22" i="33"/>
  <c r="XR22" i="33"/>
  <c r="XR49" i="33" s="1"/>
  <c r="XH22" i="33"/>
  <c r="WX22" i="33"/>
  <c r="WN22" i="33"/>
  <c r="WD22" i="33"/>
  <c r="WD49" i="33" s="1"/>
  <c r="VT22" i="33"/>
  <c r="VT49" i="33" s="1"/>
  <c r="VJ22" i="33"/>
  <c r="UZ22" i="33"/>
  <c r="TK22" i="33"/>
  <c r="TA22" i="33"/>
  <c r="SQ22" i="33"/>
  <c r="SG22" i="33"/>
  <c r="SG49" i="33" s="1"/>
  <c r="RW22" i="33"/>
  <c r="RW49" i="33" s="1"/>
  <c r="RN22" i="33"/>
  <c r="RN49" i="33" s="1"/>
  <c r="RC22" i="33"/>
  <c r="QT22" i="33"/>
  <c r="QS22" i="33" s="1"/>
  <c r="QJ22" i="33"/>
  <c r="PZ22" i="33"/>
  <c r="PY22" i="33" s="1"/>
  <c r="PY49" i="33" s="1"/>
  <c r="PO22" i="33"/>
  <c r="PE22" i="33"/>
  <c r="OU22" i="33"/>
  <c r="OM22" i="33"/>
  <c r="OE22" i="33"/>
  <c r="NW22" i="33"/>
  <c r="NO22" i="33"/>
  <c r="NF22" i="33"/>
  <c r="MV22" i="33"/>
  <c r="ML22" i="33"/>
  <c r="MB22" i="33"/>
  <c r="LR22" i="33"/>
  <c r="LH22" i="33"/>
  <c r="KX22" i="33"/>
  <c r="KN22" i="33"/>
  <c r="KD22" i="33"/>
  <c r="JT22" i="33"/>
  <c r="JT49" i="33" s="1"/>
  <c r="JJ22" i="33"/>
  <c r="IZ22" i="33"/>
  <c r="IP22" i="33"/>
  <c r="IH22" i="33"/>
  <c r="HZ22" i="33"/>
  <c r="HR22" i="33"/>
  <c r="HJ22" i="33"/>
  <c r="HA22" i="33"/>
  <c r="GQ22" i="33"/>
  <c r="GG22" i="33"/>
  <c r="FW22" i="33"/>
  <c r="FW49" i="33" s="1"/>
  <c r="FM22" i="33"/>
  <c r="FE22" i="33"/>
  <c r="EW22" i="33"/>
  <c r="EO22" i="33"/>
  <c r="EO49" i="33" s="1"/>
  <c r="EG22" i="33"/>
  <c r="DY22" i="33"/>
  <c r="DQ22" i="33"/>
  <c r="DQ49" i="33" s="1"/>
  <c r="DI22" i="33"/>
  <c r="DI49" i="33" s="1"/>
  <c r="DB22" i="33"/>
  <c r="CZ22" i="33"/>
  <c r="CY22" i="33"/>
  <c r="CS22" i="33"/>
  <c r="CS49" i="33" s="1"/>
  <c r="CK22" i="33"/>
  <c r="CC22" i="33"/>
  <c r="BU22" i="33"/>
  <c r="BM22" i="33"/>
  <c r="BM49" i="33" s="1"/>
  <c r="BE22" i="33"/>
  <c r="AW22" i="33"/>
  <c r="AO22" i="33"/>
  <c r="AG22" i="33"/>
  <c r="AG49" i="33" s="1"/>
  <c r="Y22" i="33"/>
  <c r="Q22" i="33"/>
  <c r="I22" i="33"/>
  <c r="DA22" i="33" s="1"/>
  <c r="ZY21" i="33"/>
  <c r="ZX21" i="33"/>
  <c r="TT21" i="33"/>
  <c r="TS21" i="33"/>
  <c r="AAO20" i="33"/>
  <c r="AAN20" i="33"/>
  <c r="UJ20" i="33"/>
  <c r="UI20" i="33"/>
  <c r="UA20" i="33"/>
  <c r="OM20" i="33"/>
  <c r="OL20" i="33"/>
  <c r="OE20" i="33"/>
  <c r="OD20" i="33"/>
  <c r="NW20" i="33"/>
  <c r="NV20" i="33"/>
  <c r="IO20" i="33"/>
  <c r="HI20" i="33"/>
  <c r="DR20" i="33"/>
  <c r="AAA19" i="33"/>
  <c r="ZS19" i="33"/>
  <c r="ZO19" i="33"/>
  <c r="ZL19" i="33"/>
  <c r="ZJ19" i="33"/>
  <c r="ZI19" i="33"/>
  <c r="ZE19" i="33"/>
  <c r="ZB19" i="33"/>
  <c r="YZ19" i="33"/>
  <c r="YY19" i="33"/>
  <c r="YU19" i="33"/>
  <c r="YR19" i="33"/>
  <c r="YP19" i="33"/>
  <c r="YO19" i="33"/>
  <c r="YK19" i="33"/>
  <c r="YH19" i="33"/>
  <c r="YF19" i="33"/>
  <c r="YE19" i="33"/>
  <c r="YA19" i="33"/>
  <c r="XX19" i="33"/>
  <c r="XV19" i="33"/>
  <c r="XU19" i="33"/>
  <c r="XQ19" i="33"/>
  <c r="XN19" i="33"/>
  <c r="XL19" i="33"/>
  <c r="XK19" i="33"/>
  <c r="XG19" i="33"/>
  <c r="XD19" i="33"/>
  <c r="XB19" i="33"/>
  <c r="XA19" i="33"/>
  <c r="WW19" i="33"/>
  <c r="WT19" i="33"/>
  <c r="WR19" i="33"/>
  <c r="WQ19" i="33"/>
  <c r="WJ19" i="33"/>
  <c r="WH19" i="33"/>
  <c r="WG19" i="33"/>
  <c r="WC19" i="33"/>
  <c r="VZ19" i="33"/>
  <c r="VX19" i="33"/>
  <c r="VW19" i="33"/>
  <c r="VP19" i="33"/>
  <c r="VN19" i="33"/>
  <c r="VM19" i="33"/>
  <c r="VF19" i="33"/>
  <c r="VD19" i="33"/>
  <c r="VC19" i="33"/>
  <c r="TN19" i="33"/>
  <c r="TJ19" i="33"/>
  <c r="TG19" i="33"/>
  <c r="TE19" i="33"/>
  <c r="TD19" i="33"/>
  <c r="SZ19" i="33"/>
  <c r="SW19" i="33"/>
  <c r="SU19" i="33"/>
  <c r="ST19" i="33"/>
  <c r="SM19" i="33"/>
  <c r="SK19" i="33"/>
  <c r="SJ19" i="33"/>
  <c r="SF19" i="33"/>
  <c r="SC19" i="33"/>
  <c r="SA19" i="33"/>
  <c r="RZ19" i="33"/>
  <c r="RS19" i="33"/>
  <c r="RQ19" i="33"/>
  <c r="RP19" i="33"/>
  <c r="RI19" i="33"/>
  <c r="RG19" i="33"/>
  <c r="RF19" i="33"/>
  <c r="QY19" i="33"/>
  <c r="QW19" i="33"/>
  <c r="QV19" i="33"/>
  <c r="QR19" i="33"/>
  <c r="QL19" i="33"/>
  <c r="QH19" i="33"/>
  <c r="QE19" i="33"/>
  <c r="QC19" i="33"/>
  <c r="QB19" i="33"/>
  <c r="PR19" i="33"/>
  <c r="PK19" i="33"/>
  <c r="PI19" i="33"/>
  <c r="PH19" i="33"/>
  <c r="PA19" i="33"/>
  <c r="OY19" i="33"/>
  <c r="OX19" i="33"/>
  <c r="OO19" i="33"/>
  <c r="NI19" i="33"/>
  <c r="MY19" i="33"/>
  <c r="MR19" i="33"/>
  <c r="MP19" i="33"/>
  <c r="MO19" i="33"/>
  <c r="MH19" i="33"/>
  <c r="MF19" i="33"/>
  <c r="ME19" i="33"/>
  <c r="LX19" i="33"/>
  <c r="LV19" i="33"/>
  <c r="LU19" i="33"/>
  <c r="LN19" i="33"/>
  <c r="LL19" i="33"/>
  <c r="LK19" i="33"/>
  <c r="LD19" i="33"/>
  <c r="LB19" i="33"/>
  <c r="LA19" i="33"/>
  <c r="KT19" i="33"/>
  <c r="KR19" i="33"/>
  <c r="KQ19" i="33"/>
  <c r="KJ19" i="33"/>
  <c r="KH19" i="33"/>
  <c r="KG19" i="33"/>
  <c r="KC19" i="33"/>
  <c r="JZ19" i="33"/>
  <c r="JX19" i="33"/>
  <c r="JW19" i="33"/>
  <c r="JS19" i="33"/>
  <c r="JP19" i="33"/>
  <c r="JN19" i="33"/>
  <c r="JM19" i="33"/>
  <c r="JF19" i="33"/>
  <c r="JD19" i="33"/>
  <c r="JC19" i="33"/>
  <c r="IV19" i="33"/>
  <c r="IT19" i="33"/>
  <c r="IS19" i="33"/>
  <c r="HH19" i="33"/>
  <c r="GW19" i="33"/>
  <c r="GU19" i="33"/>
  <c r="GT19" i="33"/>
  <c r="GP19" i="33"/>
  <c r="GM19" i="33"/>
  <c r="GK19" i="33"/>
  <c r="GJ19" i="33"/>
  <c r="GC19" i="33"/>
  <c r="GA19" i="33"/>
  <c r="FZ19" i="33"/>
  <c r="FS19" i="33"/>
  <c r="FQ19" i="33"/>
  <c r="FP19" i="33"/>
  <c r="FK19" i="33"/>
  <c r="FI19" i="33"/>
  <c r="FH19" i="33"/>
  <c r="FC19" i="33"/>
  <c r="FA19" i="33"/>
  <c r="EZ19" i="33"/>
  <c r="EU19" i="33"/>
  <c r="ES19" i="33"/>
  <c r="ER19" i="33"/>
  <c r="EM19" i="33"/>
  <c r="EK19" i="33"/>
  <c r="EJ19" i="33"/>
  <c r="EE19" i="33"/>
  <c r="EC19" i="33"/>
  <c r="EB19" i="33"/>
  <c r="DW19" i="33"/>
  <c r="DU19" i="33"/>
  <c r="DT19" i="33"/>
  <c r="DO19" i="33"/>
  <c r="DM19" i="33"/>
  <c r="DL19" i="33"/>
  <c r="DG19" i="33"/>
  <c r="DE19" i="33"/>
  <c r="DD19" i="33"/>
  <c r="CQ19" i="33"/>
  <c r="CO19" i="33"/>
  <c r="CN19" i="33"/>
  <c r="CI19" i="33"/>
  <c r="CG19" i="33"/>
  <c r="CF19" i="33"/>
  <c r="CA19" i="33"/>
  <c r="BY19" i="33"/>
  <c r="BX19" i="33"/>
  <c r="BS19" i="33"/>
  <c r="BQ19" i="33"/>
  <c r="BP19" i="33"/>
  <c r="BK19" i="33"/>
  <c r="BI19" i="33"/>
  <c r="BH19" i="33"/>
  <c r="BC19" i="33"/>
  <c r="BA19" i="33"/>
  <c r="AZ19" i="33"/>
  <c r="AU19" i="33"/>
  <c r="AS19" i="33"/>
  <c r="AR19" i="33"/>
  <c r="AM19" i="33"/>
  <c r="AK19" i="33"/>
  <c r="AJ19" i="33"/>
  <c r="AE19" i="33"/>
  <c r="AC19" i="33"/>
  <c r="AB19" i="33"/>
  <c r="W19" i="33"/>
  <c r="U19" i="33"/>
  <c r="T19" i="33"/>
  <c r="O19" i="33"/>
  <c r="M19" i="33"/>
  <c r="L19" i="33"/>
  <c r="G19" i="33"/>
  <c r="E19" i="33"/>
  <c r="D19" i="33"/>
  <c r="ABE18" i="33"/>
  <c r="ABD18" i="33"/>
  <c r="UZ18" i="33"/>
  <c r="UY18" i="33"/>
  <c r="RD18" i="33"/>
  <c r="QS18" i="33"/>
  <c r="QN18" i="33"/>
  <c r="QI18" i="33"/>
  <c r="PY18" i="33"/>
  <c r="PO18" i="33"/>
  <c r="PE18" i="33"/>
  <c r="NN18" i="33"/>
  <c r="NL18" i="33"/>
  <c r="NJ18" i="33"/>
  <c r="MW18" i="33"/>
  <c r="MS18" i="33"/>
  <c r="NM18" i="33" s="1"/>
  <c r="MQ18" i="33"/>
  <c r="NK18" i="33" s="1"/>
  <c r="MM18" i="33"/>
  <c r="NO18" i="33" s="1"/>
  <c r="MI18" i="33"/>
  <c r="MG18" i="33"/>
  <c r="LS18" i="33"/>
  <c r="LO18" i="33"/>
  <c r="LE18" i="33"/>
  <c r="LC18" i="33"/>
  <c r="JU18" i="33"/>
  <c r="IW18" i="33"/>
  <c r="IO18" i="33"/>
  <c r="IP18" i="33" s="1"/>
  <c r="IN18" i="33"/>
  <c r="IL18" i="33"/>
  <c r="IG18" i="33"/>
  <c r="IH18" i="33" s="1"/>
  <c r="IF18" i="33"/>
  <c r="ID18" i="33"/>
  <c r="HY18" i="33"/>
  <c r="HZ18" i="33" s="1"/>
  <c r="HX18" i="33"/>
  <c r="HV18" i="33"/>
  <c r="HO18" i="33"/>
  <c r="HP18" i="33" s="1"/>
  <c r="HM18" i="33"/>
  <c r="HN18" i="33" s="1"/>
  <c r="HJ18" i="33"/>
  <c r="HI18" i="33"/>
  <c r="HK18" i="33" s="1"/>
  <c r="HH18" i="33"/>
  <c r="HF18" i="33"/>
  <c r="HB18" i="33"/>
  <c r="HA18" i="33"/>
  <c r="GX18" i="33"/>
  <c r="GV18" i="33"/>
  <c r="GH18" i="33"/>
  <c r="GG18" i="33"/>
  <c r="GD18" i="33"/>
  <c r="GB18" i="33"/>
  <c r="FX18" i="33"/>
  <c r="FW18" i="33"/>
  <c r="FT18" i="33"/>
  <c r="FR18" i="33"/>
  <c r="FN18" i="33"/>
  <c r="FM18" i="33"/>
  <c r="FL18" i="33"/>
  <c r="FJ18" i="33"/>
  <c r="FF18" i="33"/>
  <c r="FE18" i="33"/>
  <c r="FD18" i="33"/>
  <c r="FB18" i="33"/>
  <c r="EX18" i="33"/>
  <c r="EW18" i="33"/>
  <c r="EV18" i="33"/>
  <c r="ET18" i="33"/>
  <c r="EP18" i="33"/>
  <c r="EO18" i="33"/>
  <c r="EN18" i="33"/>
  <c r="EL18" i="33"/>
  <c r="EH18" i="33"/>
  <c r="EG18" i="33"/>
  <c r="EF18" i="33"/>
  <c r="ED18" i="33"/>
  <c r="DZ18" i="33"/>
  <c r="DY18" i="33"/>
  <c r="DX18" i="33"/>
  <c r="DV18" i="33"/>
  <c r="DR18" i="33"/>
  <c r="DQ18" i="33"/>
  <c r="DP18" i="33"/>
  <c r="DN18" i="33"/>
  <c r="DJ18" i="33"/>
  <c r="DI18" i="33"/>
  <c r="DH18" i="33"/>
  <c r="DF18" i="33"/>
  <c r="DB18" i="33"/>
  <c r="DA18" i="33"/>
  <c r="CZ18" i="33"/>
  <c r="CX18" i="33"/>
  <c r="CT18" i="33"/>
  <c r="CS18" i="33"/>
  <c r="CR18" i="33"/>
  <c r="CP18" i="33"/>
  <c r="CL18" i="33"/>
  <c r="CK18" i="33"/>
  <c r="CJ18" i="33"/>
  <c r="CH18" i="33"/>
  <c r="CD18" i="33"/>
  <c r="CC18" i="33"/>
  <c r="CB18" i="33"/>
  <c r="BZ18" i="33"/>
  <c r="BV18" i="33"/>
  <c r="BU18" i="33"/>
  <c r="BT18" i="33"/>
  <c r="BR18" i="33"/>
  <c r="BN18" i="33"/>
  <c r="BM18" i="33"/>
  <c r="BL18" i="33"/>
  <c r="BJ18" i="33"/>
  <c r="BF18" i="33"/>
  <c r="BE18" i="33"/>
  <c r="BD18" i="33"/>
  <c r="BB18" i="33"/>
  <c r="AX18" i="33"/>
  <c r="AW18" i="33"/>
  <c r="AV18" i="33"/>
  <c r="AT18" i="33"/>
  <c r="AP18" i="33"/>
  <c r="AO18" i="33"/>
  <c r="AN18" i="33"/>
  <c r="AL18" i="33"/>
  <c r="AH18" i="33"/>
  <c r="AG18" i="33"/>
  <c r="AF18" i="33"/>
  <c r="AD18" i="33"/>
  <c r="Z18" i="33"/>
  <c r="Y18" i="33"/>
  <c r="X18" i="33"/>
  <c r="V18" i="33"/>
  <c r="R18" i="33"/>
  <c r="Q18" i="33"/>
  <c r="P18" i="33"/>
  <c r="N18" i="33"/>
  <c r="J18" i="33"/>
  <c r="I18" i="33"/>
  <c r="H18" i="33"/>
  <c r="F18" i="33"/>
  <c r="ABE17" i="33"/>
  <c r="ZP17" i="33"/>
  <c r="ZM17" i="33"/>
  <c r="ZF17" i="33"/>
  <c r="ZC17" i="33"/>
  <c r="YV17" i="33"/>
  <c r="ABD17" i="33" s="1"/>
  <c r="YL17" i="33"/>
  <c r="XH17" i="33"/>
  <c r="XI17" i="33" s="1"/>
  <c r="XE17" i="33"/>
  <c r="XC17" i="33"/>
  <c r="AAK17" i="33" s="1"/>
  <c r="WX17" i="33"/>
  <c r="WN17" i="33"/>
  <c r="WD17" i="33"/>
  <c r="VT17" i="33"/>
  <c r="VL17" i="33"/>
  <c r="VK17" i="33"/>
  <c r="VJ17" i="33"/>
  <c r="VG17" i="33"/>
  <c r="UZ17" i="33"/>
  <c r="UI17" i="33"/>
  <c r="TK17" i="33"/>
  <c r="TH17" i="33"/>
  <c r="TA17" i="33"/>
  <c r="SX17" i="33"/>
  <c r="SQ17" i="33"/>
  <c r="UY17" i="33" s="1"/>
  <c r="SG17" i="33"/>
  <c r="RC17" i="33"/>
  <c r="RD17" i="33" s="1"/>
  <c r="QZ17" i="33"/>
  <c r="QX17" i="33"/>
  <c r="QS17" i="33"/>
  <c r="QP17" i="33"/>
  <c r="QN17" i="33"/>
  <c r="UF17" i="33" s="1"/>
  <c r="QI17" i="33"/>
  <c r="PY17" i="33"/>
  <c r="PO17" i="33"/>
  <c r="PE17" i="33"/>
  <c r="NN17" i="33"/>
  <c r="NL17" i="33"/>
  <c r="NJ17" i="33"/>
  <c r="MW17" i="33"/>
  <c r="MS17" i="33"/>
  <c r="NM17" i="33" s="1"/>
  <c r="MQ17" i="33"/>
  <c r="MM17" i="33"/>
  <c r="MI17" i="33"/>
  <c r="MG17" i="33"/>
  <c r="LS17" i="33"/>
  <c r="NO17" i="33" s="1"/>
  <c r="LO17" i="33"/>
  <c r="LE17" i="33"/>
  <c r="LC17" i="33"/>
  <c r="JU17" i="33"/>
  <c r="IW17" i="33"/>
  <c r="ABD16" i="33"/>
  <c r="ABC16" i="33"/>
  <c r="ABB16" i="33"/>
  <c r="AAZ16" i="33"/>
  <c r="AAY16" i="33"/>
  <c r="AAK16" i="33"/>
  <c r="ZV16" i="33"/>
  <c r="ZU16" i="33"/>
  <c r="ZT16" i="33"/>
  <c r="ZQ16" i="33"/>
  <c r="ZP16" i="33"/>
  <c r="ZM16" i="33"/>
  <c r="ZW16" i="33" s="1"/>
  <c r="ZG16" i="33"/>
  <c r="ZH16" i="33" s="1"/>
  <c r="ZF16" i="33"/>
  <c r="ZC16" i="33"/>
  <c r="YW16" i="33"/>
  <c r="YV16" i="33"/>
  <c r="YQ16" i="33"/>
  <c r="ABA16" i="33" s="1"/>
  <c r="YL16" i="33"/>
  <c r="XI16" i="33"/>
  <c r="AAO16" i="33" s="1"/>
  <c r="XH16" i="33"/>
  <c r="XE16" i="33"/>
  <c r="XC16" i="33"/>
  <c r="WX16" i="33"/>
  <c r="WN16" i="33"/>
  <c r="WD16" i="33"/>
  <c r="VT16" i="33"/>
  <c r="VL16" i="33"/>
  <c r="VK16" i="33"/>
  <c r="VJ16" i="33"/>
  <c r="VG16" i="33"/>
  <c r="UZ16" i="33"/>
  <c r="UY16" i="33"/>
  <c r="UW16" i="33"/>
  <c r="UV16" i="33"/>
  <c r="UU16" i="33"/>
  <c r="UT16" i="33"/>
  <c r="TR16" i="33"/>
  <c r="TQ16" i="33"/>
  <c r="TO16" i="33"/>
  <c r="TM16" i="33"/>
  <c r="TL16" i="33"/>
  <c r="TT16" i="33" s="1"/>
  <c r="TK16" i="33"/>
  <c r="TH16" i="33"/>
  <c r="TC16" i="33"/>
  <c r="TB16" i="33"/>
  <c r="TA16" i="33"/>
  <c r="SX16" i="33"/>
  <c r="UX16" i="33" s="1"/>
  <c r="SS16" i="33"/>
  <c r="SR16" i="33"/>
  <c r="SQ16" i="33"/>
  <c r="SL16" i="33"/>
  <c r="SG16" i="33"/>
  <c r="RD16" i="33"/>
  <c r="UJ16" i="33" s="1"/>
  <c r="RC16" i="33"/>
  <c r="QZ16" i="33"/>
  <c r="QX16" i="33"/>
  <c r="UF16" i="33" s="1"/>
  <c r="QS16" i="33"/>
  <c r="QP16" i="33"/>
  <c r="QN16" i="33"/>
  <c r="QI16" i="33"/>
  <c r="UI16" i="33" s="1"/>
  <c r="PY16" i="33"/>
  <c r="PO16" i="33"/>
  <c r="PE16" i="33"/>
  <c r="OU16" i="33"/>
  <c r="OR16" i="33"/>
  <c r="OQ16" i="33"/>
  <c r="OP16" i="33"/>
  <c r="NM16" i="33"/>
  <c r="NL16" i="33"/>
  <c r="NJ16" i="33"/>
  <c r="MW16" i="33"/>
  <c r="MV16" i="33"/>
  <c r="OT16" i="33" s="1"/>
  <c r="MS16" i="33"/>
  <c r="MQ16" i="33"/>
  <c r="MM16" i="33"/>
  <c r="ML16" i="33"/>
  <c r="MI16" i="33"/>
  <c r="OS16" i="33" s="1"/>
  <c r="MG16" i="33"/>
  <c r="NK16" i="33" s="1"/>
  <c r="MB16" i="33"/>
  <c r="LS16" i="33"/>
  <c r="LR16" i="33"/>
  <c r="LO16" i="33"/>
  <c r="LH16" i="33"/>
  <c r="LE16" i="33"/>
  <c r="LC16" i="33"/>
  <c r="KX16" i="33"/>
  <c r="KN16" i="33"/>
  <c r="KD16" i="33"/>
  <c r="JT16" i="33"/>
  <c r="JU16" i="33" s="1"/>
  <c r="JJ16" i="33"/>
  <c r="IZ16" i="33"/>
  <c r="IW16" i="33"/>
  <c r="HX16" i="33"/>
  <c r="HW16" i="33"/>
  <c r="HV16" i="33"/>
  <c r="HU16" i="33"/>
  <c r="HY16" i="33" s="1"/>
  <c r="HZ16" i="33" s="1"/>
  <c r="HT16" i="33"/>
  <c r="HQ16" i="33"/>
  <c r="HR16" i="33" s="1"/>
  <c r="HO16" i="33"/>
  <c r="HN16" i="33"/>
  <c r="HM16" i="33"/>
  <c r="HJ16" i="33"/>
  <c r="HI16" i="33"/>
  <c r="HF16" i="33"/>
  <c r="HE16" i="33"/>
  <c r="DR16" i="33"/>
  <c r="DQ16" i="33"/>
  <c r="DP16" i="33"/>
  <c r="DN16" i="33"/>
  <c r="DJ16" i="33"/>
  <c r="DI16" i="33"/>
  <c r="DH16" i="33"/>
  <c r="DF16" i="33"/>
  <c r="ABE15" i="33"/>
  <c r="ABB15" i="33"/>
  <c r="ABA15" i="33"/>
  <c r="AAZ15" i="33"/>
  <c r="AAY15" i="33"/>
  <c r="AAK15" i="33"/>
  <c r="ZV15" i="33"/>
  <c r="ZT15" i="33"/>
  <c r="ZP15" i="33"/>
  <c r="ABD15" i="33" s="1"/>
  <c r="ZM15" i="33"/>
  <c r="ZF15" i="33"/>
  <c r="ZC15" i="33"/>
  <c r="YW15" i="33"/>
  <c r="YV15" i="33"/>
  <c r="YL15" i="33"/>
  <c r="YC15" i="33"/>
  <c r="YB15" i="33"/>
  <c r="XW15" i="33"/>
  <c r="ZU15" i="33" s="1"/>
  <c r="XI15" i="33"/>
  <c r="AAO15" i="33" s="1"/>
  <c r="XH15" i="33"/>
  <c r="XE15" i="33"/>
  <c r="XC15" i="33"/>
  <c r="WX15" i="33"/>
  <c r="AAN15" i="33" s="1"/>
  <c r="WN15" i="33"/>
  <c r="WD15" i="33"/>
  <c r="VT15" i="33"/>
  <c r="VL15" i="33"/>
  <c r="VK15" i="33"/>
  <c r="VJ15" i="33"/>
  <c r="VG15" i="33"/>
  <c r="UZ15" i="33"/>
  <c r="UW15" i="33"/>
  <c r="UV15" i="33"/>
  <c r="UU15" i="33"/>
  <c r="UT15" i="33"/>
  <c r="UI15" i="33"/>
  <c r="TR15" i="33"/>
  <c r="TQ15" i="33"/>
  <c r="TO15" i="33"/>
  <c r="TK15" i="33"/>
  <c r="TH15" i="33"/>
  <c r="UX15" i="33" s="1"/>
  <c r="TA15" i="33"/>
  <c r="SX15" i="33"/>
  <c r="SQ15" i="33"/>
  <c r="UY15" i="33" s="1"/>
  <c r="SG15" i="33"/>
  <c r="RD15" i="33"/>
  <c r="TT15" i="33" s="1"/>
  <c r="RC15" i="33"/>
  <c r="QZ15" i="33"/>
  <c r="QX15" i="33"/>
  <c r="TP15" i="33" s="1"/>
  <c r="QS15" i="33"/>
  <c r="QP15" i="33"/>
  <c r="QN15" i="33"/>
  <c r="UF15" i="33" s="1"/>
  <c r="QI15" i="33"/>
  <c r="PY15" i="33"/>
  <c r="PO15" i="33"/>
  <c r="PE15" i="33"/>
  <c r="OT15" i="33"/>
  <c r="OR15" i="33"/>
  <c r="OQ15" i="33"/>
  <c r="OP15" i="33"/>
  <c r="NN15" i="33"/>
  <c r="NL15" i="33"/>
  <c r="NJ15" i="33"/>
  <c r="MW15" i="33"/>
  <c r="MS15" i="33"/>
  <c r="MQ15" i="33"/>
  <c r="NK15" i="33" s="1"/>
  <c r="MM15" i="33"/>
  <c r="OU15" i="33" s="1"/>
  <c r="MI15" i="33"/>
  <c r="MG15" i="33"/>
  <c r="LS15" i="33"/>
  <c r="LO15" i="33"/>
  <c r="LE15" i="33"/>
  <c r="LC15" i="33"/>
  <c r="JU15" i="33"/>
  <c r="IW15" i="33"/>
  <c r="IE15" i="33"/>
  <c r="IF15" i="33" s="1"/>
  <c r="ID15" i="33"/>
  <c r="IC15" i="33"/>
  <c r="IG15" i="33" s="1"/>
  <c r="IH15" i="33" s="1"/>
  <c r="HY15" i="33"/>
  <c r="HZ15" i="33" s="1"/>
  <c r="HX15" i="33"/>
  <c r="HW15" i="33"/>
  <c r="HU15" i="33"/>
  <c r="HV15" i="33" s="1"/>
  <c r="HT15" i="33"/>
  <c r="HO15" i="33"/>
  <c r="HN15" i="33"/>
  <c r="HM15" i="33"/>
  <c r="HQ15" i="33" s="1"/>
  <c r="HR15" i="33" s="1"/>
  <c r="HI15" i="33"/>
  <c r="HJ15" i="33" s="1"/>
  <c r="HF15" i="33"/>
  <c r="HE15" i="33"/>
  <c r="DQ15" i="33"/>
  <c r="DR15" i="33" s="1"/>
  <c r="DP15" i="33"/>
  <c r="DN15" i="33"/>
  <c r="DI15" i="33"/>
  <c r="DJ15" i="33" s="1"/>
  <c r="DH15" i="33"/>
  <c r="DF15" i="33"/>
  <c r="ABB14" i="33"/>
  <c r="ABA14" i="33"/>
  <c r="AAZ14" i="33"/>
  <c r="AAY14" i="33"/>
  <c r="AAK14" i="33"/>
  <c r="ZV14" i="33"/>
  <c r="ZU14" i="33"/>
  <c r="ZT14" i="33"/>
  <c r="ZP14" i="33"/>
  <c r="ZM14" i="33"/>
  <c r="ZF14" i="33"/>
  <c r="ZX14" i="33" s="1"/>
  <c r="ZC14" i="33"/>
  <c r="YV14" i="33"/>
  <c r="YW14" i="33" s="1"/>
  <c r="YN14" i="33"/>
  <c r="YM14" i="33"/>
  <c r="YL14" i="33"/>
  <c r="XI14" i="33"/>
  <c r="AAO14" i="33" s="1"/>
  <c r="XH14" i="33"/>
  <c r="XE14" i="33"/>
  <c r="XC14" i="33"/>
  <c r="WX14" i="33"/>
  <c r="WN14" i="33"/>
  <c r="AAN14" i="33" s="1"/>
  <c r="WD14" i="33"/>
  <c r="VT14" i="33"/>
  <c r="VL14" i="33"/>
  <c r="VK14" i="33"/>
  <c r="VJ14" i="33"/>
  <c r="VG14" i="33"/>
  <c r="UZ14" i="33"/>
  <c r="UW14" i="33"/>
  <c r="UV14" i="33"/>
  <c r="UU14" i="33"/>
  <c r="UT14" i="33"/>
  <c r="UI14" i="33"/>
  <c r="TR14" i="33"/>
  <c r="TQ14" i="33"/>
  <c r="TO14" i="33"/>
  <c r="TK14" i="33"/>
  <c r="TH14" i="33"/>
  <c r="UX14" i="33" s="1"/>
  <c r="TA14" i="33"/>
  <c r="SX14" i="33"/>
  <c r="SQ14" i="33"/>
  <c r="UY14" i="33" s="1"/>
  <c r="SG14" i="33"/>
  <c r="RD14" i="33"/>
  <c r="TT14" i="33" s="1"/>
  <c r="RC14" i="33"/>
  <c r="QZ14" i="33"/>
  <c r="QX14" i="33"/>
  <c r="TP14" i="33" s="1"/>
  <c r="QS14" i="33"/>
  <c r="QP14" i="33"/>
  <c r="QN14" i="33"/>
  <c r="UF14" i="33" s="1"/>
  <c r="QI14" i="33"/>
  <c r="PY14" i="33"/>
  <c r="PO14" i="33"/>
  <c r="PE14" i="33"/>
  <c r="OT14" i="33"/>
  <c r="OR14" i="33"/>
  <c r="OQ14" i="33"/>
  <c r="OP14" i="33"/>
  <c r="NN14" i="33"/>
  <c r="NL14" i="33"/>
  <c r="NJ14" i="33"/>
  <c r="MW14" i="33"/>
  <c r="NO14" i="33" s="1"/>
  <c r="MS14" i="33"/>
  <c r="MQ14" i="33"/>
  <c r="NK14" i="33" s="1"/>
  <c r="MM14" i="33"/>
  <c r="OU14" i="33" s="1"/>
  <c r="MI14" i="33"/>
  <c r="NM14" i="33" s="1"/>
  <c r="MG14" i="33"/>
  <c r="LS14" i="33"/>
  <c r="LO14" i="33"/>
  <c r="LE14" i="33"/>
  <c r="LC14" i="33"/>
  <c r="JU14" i="33"/>
  <c r="IW14" i="33"/>
  <c r="IE14" i="33"/>
  <c r="IF14" i="33" s="1"/>
  <c r="ID14" i="33"/>
  <c r="IC14" i="33"/>
  <c r="HY14" i="33"/>
  <c r="HZ14" i="33" s="1"/>
  <c r="HX14" i="33"/>
  <c r="HW14" i="33"/>
  <c r="HU14" i="33"/>
  <c r="HV14" i="33" s="1"/>
  <c r="HT14" i="33"/>
  <c r="HF14" i="33"/>
  <c r="HE14" i="33"/>
  <c r="HI14" i="33" s="1"/>
  <c r="HJ14" i="33" s="1"/>
  <c r="EP14" i="33"/>
  <c r="EO14" i="33"/>
  <c r="EN14" i="33"/>
  <c r="EL14" i="33"/>
  <c r="EH14" i="33"/>
  <c r="EG14" i="33"/>
  <c r="ED14" i="33"/>
  <c r="ABB13" i="33"/>
  <c r="ABA13" i="33"/>
  <c r="AAZ13" i="33"/>
  <c r="AAY13" i="33"/>
  <c r="AAO13" i="33"/>
  <c r="AAN13" i="33"/>
  <c r="ZV13" i="33"/>
  <c r="ZT13" i="33"/>
  <c r="ZP13" i="33"/>
  <c r="ZM13" i="33"/>
  <c r="ZF13" i="33"/>
  <c r="ZC13" i="33"/>
  <c r="YW13" i="33"/>
  <c r="ABE13" i="33" s="1"/>
  <c r="YV13" i="33"/>
  <c r="ABD13" i="33" s="1"/>
  <c r="YM13" i="33"/>
  <c r="YN13" i="33" s="1"/>
  <c r="YL13" i="33"/>
  <c r="XI13" i="33"/>
  <c r="XH13" i="33"/>
  <c r="XE13" i="33"/>
  <c r="XC13" i="33"/>
  <c r="AAK13" i="33" s="1"/>
  <c r="WX13" i="33"/>
  <c r="WN13" i="33"/>
  <c r="WD13" i="33"/>
  <c r="ZX13" i="33" s="1"/>
  <c r="VT13" i="33"/>
  <c r="VJ13" i="33"/>
  <c r="VK13" i="33" s="1"/>
  <c r="VL13" i="33" s="1"/>
  <c r="VG13" i="33"/>
  <c r="UZ13" i="33"/>
  <c r="UX13" i="33"/>
  <c r="UW13" i="33"/>
  <c r="UV13" i="33"/>
  <c r="UU13" i="33"/>
  <c r="UT13" i="33"/>
  <c r="UT19" i="33" s="1"/>
  <c r="TQ13" i="33"/>
  <c r="TP13" i="33"/>
  <c r="TO13" i="33"/>
  <c r="TK13" i="33"/>
  <c r="TH13" i="33"/>
  <c r="TA13" i="33"/>
  <c r="SX13" i="33"/>
  <c r="TR13" i="33" s="1"/>
  <c r="SQ13" i="33"/>
  <c r="SG13" i="33"/>
  <c r="RD13" i="33"/>
  <c r="UJ13" i="33" s="1"/>
  <c r="RC13" i="33"/>
  <c r="QZ13" i="33"/>
  <c r="QX13" i="33"/>
  <c r="QS13" i="33"/>
  <c r="UI13" i="33" s="1"/>
  <c r="QP13" i="33"/>
  <c r="QN13" i="33"/>
  <c r="UF13" i="33" s="1"/>
  <c r="QI13" i="33"/>
  <c r="PY13" i="33"/>
  <c r="PO13" i="33"/>
  <c r="PE13" i="33"/>
  <c r="OT13" i="33"/>
  <c r="OR13" i="33"/>
  <c r="OP13" i="33"/>
  <c r="NN13" i="33"/>
  <c r="NL13" i="33"/>
  <c r="NJ13" i="33"/>
  <c r="MW13" i="33"/>
  <c r="MS13" i="33"/>
  <c r="MQ13" i="33"/>
  <c r="NK13" i="33" s="1"/>
  <c r="MM13" i="33"/>
  <c r="OU13" i="33" s="1"/>
  <c r="MI13" i="33"/>
  <c r="MG13" i="33"/>
  <c r="OQ13" i="33" s="1"/>
  <c r="LS13" i="33"/>
  <c r="NO13" i="33" s="1"/>
  <c r="LO13" i="33"/>
  <c r="LE13" i="33"/>
  <c r="LC13" i="33"/>
  <c r="JU13" i="33"/>
  <c r="JQ13" i="33"/>
  <c r="JO13" i="33"/>
  <c r="IW13" i="33"/>
  <c r="IE13" i="33"/>
  <c r="IF13" i="33" s="1"/>
  <c r="ID13" i="33"/>
  <c r="IC13" i="33"/>
  <c r="IG13" i="33" s="1"/>
  <c r="IH13" i="33" s="1"/>
  <c r="HX13" i="33"/>
  <c r="HW13" i="33"/>
  <c r="HU13" i="33"/>
  <c r="HT13" i="33"/>
  <c r="HP13" i="33"/>
  <c r="HO13" i="33"/>
  <c r="HN13" i="33"/>
  <c r="HM13" i="33"/>
  <c r="HQ13" i="33" s="1"/>
  <c r="HR13" i="33" s="1"/>
  <c r="CL13" i="33"/>
  <c r="CK13" i="33"/>
  <c r="CJ13" i="33"/>
  <c r="CH13" i="33"/>
  <c r="CD13" i="33"/>
  <c r="CC13" i="33"/>
  <c r="CB13" i="33"/>
  <c r="BZ13" i="33"/>
  <c r="BW13" i="33"/>
  <c r="BV13" i="33"/>
  <c r="BU13" i="33"/>
  <c r="BT13" i="33"/>
  <c r="BR13" i="33"/>
  <c r="BN13" i="33"/>
  <c r="BM13" i="33"/>
  <c r="BL13" i="33"/>
  <c r="BJ13" i="33"/>
  <c r="BF13" i="33"/>
  <c r="BE13" i="33"/>
  <c r="BD13" i="33"/>
  <c r="BB13" i="33"/>
  <c r="AX13" i="33"/>
  <c r="AW13" i="33"/>
  <c r="AV13" i="33"/>
  <c r="AT13" i="33"/>
  <c r="AP13" i="33"/>
  <c r="AO13" i="33"/>
  <c r="AN13" i="33"/>
  <c r="AL13" i="33"/>
  <c r="AH13" i="33"/>
  <c r="AG13" i="33"/>
  <c r="AF13" i="33"/>
  <c r="AD13" i="33"/>
  <c r="Z13" i="33"/>
  <c r="Y13" i="33"/>
  <c r="X13" i="33"/>
  <c r="V13" i="33"/>
  <c r="R13" i="33"/>
  <c r="Q13" i="33"/>
  <c r="P13" i="33"/>
  <c r="N13" i="33"/>
  <c r="J13" i="33"/>
  <c r="I13" i="33"/>
  <c r="H13" i="33"/>
  <c r="F13" i="33"/>
  <c r="ABC12" i="33"/>
  <c r="ABB12" i="33"/>
  <c r="AAZ12" i="33"/>
  <c r="AAX12" i="33"/>
  <c r="AAW12" i="33"/>
  <c r="AAV12" i="33"/>
  <c r="AAT12" i="33"/>
  <c r="AAR12" i="33"/>
  <c r="AAQ12" i="33"/>
  <c r="AAQ19" i="33" s="1"/>
  <c r="AAP12" i="33"/>
  <c r="AAO12" i="33"/>
  <c r="AAN12" i="33"/>
  <c r="AAL12" i="33"/>
  <c r="AAJ12" i="33"/>
  <c r="AAI12" i="33"/>
  <c r="AAD12" i="33"/>
  <c r="AAB12" i="33"/>
  <c r="AAA12" i="33"/>
  <c r="ZV12" i="33"/>
  <c r="ZU12" i="33"/>
  <c r="ZT12" i="33"/>
  <c r="ZP12" i="33"/>
  <c r="ZM12" i="33"/>
  <c r="ZK12" i="33"/>
  <c r="ZG12" i="33"/>
  <c r="ZH12" i="33" s="1"/>
  <c r="ZF12" i="33"/>
  <c r="ZC12" i="33"/>
  <c r="ZA12" i="33"/>
  <c r="YW12" i="33"/>
  <c r="YV12" i="33"/>
  <c r="ABD12" i="33" s="1"/>
  <c r="YS12" i="33"/>
  <c r="YQ12" i="33"/>
  <c r="ABA12" i="33" s="1"/>
  <c r="YM12" i="33"/>
  <c r="YL12" i="33"/>
  <c r="YI12" i="33"/>
  <c r="YG12" i="33"/>
  <c r="YN12" i="33" s="1"/>
  <c r="YC12" i="33"/>
  <c r="YB12" i="33"/>
  <c r="XY12" i="33"/>
  <c r="XW12" i="33"/>
  <c r="XS12" i="33"/>
  <c r="XR12" i="33"/>
  <c r="XO12" i="33"/>
  <c r="AAU12" i="33" s="1"/>
  <c r="XM12" i="33"/>
  <c r="AAS12" i="33" s="1"/>
  <c r="XI12" i="33"/>
  <c r="XH12" i="33"/>
  <c r="XE12" i="33"/>
  <c r="XC12" i="33"/>
  <c r="WY12" i="33"/>
  <c r="WX12" i="33"/>
  <c r="WU12" i="33"/>
  <c r="WS12" i="33"/>
  <c r="WO12" i="33"/>
  <c r="WN12" i="33"/>
  <c r="WK12" i="33"/>
  <c r="AAM12" i="33" s="1"/>
  <c r="WI12" i="33"/>
  <c r="AAK12" i="33" s="1"/>
  <c r="WE12" i="33"/>
  <c r="WD12" i="33"/>
  <c r="WA12" i="33"/>
  <c r="VY12" i="33"/>
  <c r="VU12" i="33"/>
  <c r="VT12" i="33"/>
  <c r="VQ12" i="33"/>
  <c r="VO12" i="33"/>
  <c r="AAC12" i="33" s="1"/>
  <c r="VJ12" i="33"/>
  <c r="VG12" i="33"/>
  <c r="VE12" i="33"/>
  <c r="UW12" i="33"/>
  <c r="UU12" i="33"/>
  <c r="UO12" i="33"/>
  <c r="UM12" i="33"/>
  <c r="UL12" i="33"/>
  <c r="UL19" i="33" s="1"/>
  <c r="UG12" i="33"/>
  <c r="UE12" i="33"/>
  <c r="UD12" i="33"/>
  <c r="TY12" i="33"/>
  <c r="TW12" i="33"/>
  <c r="TV12" i="33"/>
  <c r="TQ12" i="33"/>
  <c r="TO12" i="33"/>
  <c r="TL12" i="33"/>
  <c r="TK12" i="33"/>
  <c r="TH12" i="33"/>
  <c r="TF12" i="33"/>
  <c r="TB12" i="33"/>
  <c r="TA12" i="33"/>
  <c r="SX12" i="33"/>
  <c r="SV12" i="33"/>
  <c r="TC12" i="33" s="1"/>
  <c r="SQ12" i="33"/>
  <c r="SN12" i="33"/>
  <c r="SL12" i="33"/>
  <c r="SG12" i="33"/>
  <c r="SH12" i="33" s="1"/>
  <c r="SD12" i="33"/>
  <c r="SB12" i="33"/>
  <c r="RW12" i="33"/>
  <c r="RX12" i="33" s="1"/>
  <c r="RT12" i="33"/>
  <c r="RR12" i="33"/>
  <c r="RM12" i="33"/>
  <c r="RN12" i="33" s="1"/>
  <c r="RJ12" i="33"/>
  <c r="UP12" i="33" s="1"/>
  <c r="RH12" i="33"/>
  <c r="UN12" i="33" s="1"/>
  <c r="RC12" i="33"/>
  <c r="RD12" i="33" s="1"/>
  <c r="QZ12" i="33"/>
  <c r="QX12" i="33"/>
  <c r="QS12" i="33"/>
  <c r="QT12" i="33" s="1"/>
  <c r="QP12" i="33"/>
  <c r="QN12" i="33"/>
  <c r="QI12" i="33"/>
  <c r="QJ12" i="33" s="1"/>
  <c r="QF12" i="33"/>
  <c r="UH12" i="33" s="1"/>
  <c r="QD12" i="33"/>
  <c r="UF12" i="33" s="1"/>
  <c r="PY12" i="33"/>
  <c r="PZ12" i="33" s="1"/>
  <c r="PV12" i="33"/>
  <c r="PT12" i="33"/>
  <c r="PO12" i="33"/>
  <c r="PP12" i="33" s="1"/>
  <c r="PL12" i="33"/>
  <c r="PJ12" i="33"/>
  <c r="PE12" i="33"/>
  <c r="PB12" i="33"/>
  <c r="OZ12" i="33"/>
  <c r="TX12" i="33" s="1"/>
  <c r="OR12" i="33"/>
  <c r="OP12" i="33"/>
  <c r="OL12" i="33"/>
  <c r="OJ12" i="33"/>
  <c r="OH12" i="33"/>
  <c r="OG12" i="33"/>
  <c r="OB12" i="33"/>
  <c r="NZ12" i="33"/>
  <c r="NY12" i="33"/>
  <c r="NU12" i="33"/>
  <c r="NT12" i="33"/>
  <c r="NR12" i="33"/>
  <c r="NQ12" i="33"/>
  <c r="NL12" i="33"/>
  <c r="NJ12" i="33"/>
  <c r="NI12" i="33"/>
  <c r="NF12" i="33"/>
  <c r="NC12" i="33"/>
  <c r="NA12" i="33"/>
  <c r="MV12" i="33"/>
  <c r="MW12" i="33" s="1"/>
  <c r="MX12" i="33" s="1"/>
  <c r="MS12" i="33"/>
  <c r="OS12" i="33" s="1"/>
  <c r="MQ12" i="33"/>
  <c r="MM12" i="33"/>
  <c r="ML12" i="33"/>
  <c r="MI12" i="33"/>
  <c r="MG12" i="33"/>
  <c r="OQ12" i="33" s="1"/>
  <c r="MC12" i="33"/>
  <c r="MB12" i="33"/>
  <c r="LY12" i="33"/>
  <c r="LW12" i="33"/>
  <c r="MD12" i="33" s="1"/>
  <c r="LR12" i="33"/>
  <c r="LS12" i="33" s="1"/>
  <c r="LT12" i="33" s="1"/>
  <c r="LO12" i="33"/>
  <c r="OK12" i="33" s="1"/>
  <c r="LM12" i="33"/>
  <c r="LI12" i="33"/>
  <c r="LH12" i="33"/>
  <c r="LE12" i="33"/>
  <c r="LC12" i="33"/>
  <c r="KY12" i="33"/>
  <c r="KX12" i="33"/>
  <c r="KU12" i="33"/>
  <c r="KS12" i="33"/>
  <c r="KZ12" i="33" s="1"/>
  <c r="KO12" i="33"/>
  <c r="KN12" i="33"/>
  <c r="KK12" i="33"/>
  <c r="NM12" i="33" s="1"/>
  <c r="KI12" i="33"/>
  <c r="KP12" i="33" s="1"/>
  <c r="KD12" i="33"/>
  <c r="KE12" i="33" s="1"/>
  <c r="KA12" i="33"/>
  <c r="JY12" i="33"/>
  <c r="OA12" i="33" s="1"/>
  <c r="JT12" i="33"/>
  <c r="JU12" i="33" s="1"/>
  <c r="JV12" i="33" s="1"/>
  <c r="JQ12" i="33"/>
  <c r="JO12" i="33"/>
  <c r="JK12" i="33"/>
  <c r="JL12" i="33" s="1"/>
  <c r="JJ12" i="33"/>
  <c r="JG12" i="33"/>
  <c r="JE12" i="33"/>
  <c r="JA12" i="33"/>
  <c r="IZ12" i="33"/>
  <c r="IW12" i="33"/>
  <c r="IU12" i="33"/>
  <c r="NS12" i="33" s="1"/>
  <c r="IN12" i="33"/>
  <c r="IM12" i="33"/>
  <c r="IK12" i="33"/>
  <c r="IL12" i="33" s="1"/>
  <c r="IJ12" i="33"/>
  <c r="IG12" i="33"/>
  <c r="IF12" i="33"/>
  <c r="IE12" i="33"/>
  <c r="IC12" i="33"/>
  <c r="ID12" i="33" s="1"/>
  <c r="IB12" i="33"/>
  <c r="HX12" i="33"/>
  <c r="HW12" i="33"/>
  <c r="HU12" i="33"/>
  <c r="HT12" i="33"/>
  <c r="HQ12" i="33"/>
  <c r="HP12" i="33"/>
  <c r="HO12" i="33"/>
  <c r="HM12" i="33"/>
  <c r="HN12" i="33" s="1"/>
  <c r="HL12" i="33"/>
  <c r="HI12" i="33"/>
  <c r="HH12" i="33"/>
  <c r="HG12" i="33"/>
  <c r="HE12" i="33"/>
  <c r="HF12" i="33" s="1"/>
  <c r="HD12" i="33"/>
  <c r="HA12" i="33"/>
  <c r="HB12" i="33" s="1"/>
  <c r="HC12" i="33" s="1"/>
  <c r="GX12" i="33"/>
  <c r="GV12" i="33"/>
  <c r="GQ12" i="33"/>
  <c r="GN12" i="33"/>
  <c r="GL12" i="33"/>
  <c r="GI12" i="33"/>
  <c r="GH12" i="33"/>
  <c r="GG12" i="33"/>
  <c r="GD12" i="33"/>
  <c r="GB12" i="33"/>
  <c r="FY12" i="33"/>
  <c r="FX12" i="33"/>
  <c r="FW12" i="33"/>
  <c r="FT12" i="33"/>
  <c r="FR12" i="33"/>
  <c r="FM12" i="33"/>
  <c r="FL12" i="33"/>
  <c r="FJ12" i="33"/>
  <c r="FF12" i="33"/>
  <c r="FE12" i="33"/>
  <c r="FG12" i="33" s="1"/>
  <c r="FD12" i="33"/>
  <c r="FB12" i="33"/>
  <c r="EY12" i="33"/>
  <c r="EX12" i="33"/>
  <c r="EW12" i="33"/>
  <c r="EV12" i="33"/>
  <c r="ET12" i="33"/>
  <c r="EQ12" i="33"/>
  <c r="EP12" i="33"/>
  <c r="EO12" i="33"/>
  <c r="EN12" i="33"/>
  <c r="EL12" i="33"/>
  <c r="EG12" i="33"/>
  <c r="EF12" i="33"/>
  <c r="ED12" i="33"/>
  <c r="DY12" i="33"/>
  <c r="EA12" i="33" s="1"/>
  <c r="DX12" i="33"/>
  <c r="DV12" i="33"/>
  <c r="DS12" i="33"/>
  <c r="DR12" i="33"/>
  <c r="DQ12" i="33"/>
  <c r="DP12" i="33"/>
  <c r="DN12" i="33"/>
  <c r="DK12" i="33"/>
  <c r="DJ12" i="33"/>
  <c r="DI12" i="33"/>
  <c r="DH12" i="33"/>
  <c r="DF12" i="33"/>
  <c r="DA12" i="33"/>
  <c r="CZ12" i="33"/>
  <c r="CY12" i="33"/>
  <c r="CW12" i="33"/>
  <c r="CX12" i="33" s="1"/>
  <c r="CV12" i="33"/>
  <c r="CS12" i="33"/>
  <c r="CR12" i="33"/>
  <c r="CP12" i="33"/>
  <c r="CK12" i="33"/>
  <c r="CJ12" i="33"/>
  <c r="CH12" i="33"/>
  <c r="CE12" i="33"/>
  <c r="CD12" i="33"/>
  <c r="CC12" i="33"/>
  <c r="CB12" i="33"/>
  <c r="BZ12" i="33"/>
  <c r="BW12" i="33"/>
  <c r="BV12" i="33"/>
  <c r="BU12" i="33"/>
  <c r="BT12" i="33"/>
  <c r="BR12" i="33"/>
  <c r="BM12" i="33"/>
  <c r="BL12" i="33"/>
  <c r="BJ12" i="33"/>
  <c r="BF12" i="33"/>
  <c r="BE12" i="33"/>
  <c r="BG12" i="33" s="1"/>
  <c r="BD12" i="33"/>
  <c r="BB12" i="33"/>
  <c r="AY12" i="33"/>
  <c r="AX12" i="33"/>
  <c r="AW12" i="33"/>
  <c r="AV12" i="33"/>
  <c r="AT12" i="33"/>
  <c r="AQ12" i="33"/>
  <c r="AP12" i="33"/>
  <c r="AO12" i="33"/>
  <c r="AN12" i="33"/>
  <c r="AL12" i="33"/>
  <c r="AG12" i="33"/>
  <c r="AF12" i="33"/>
  <c r="AD12" i="33"/>
  <c r="Y12" i="33"/>
  <c r="AA12" i="33" s="1"/>
  <c r="X12" i="33"/>
  <c r="V12" i="33"/>
  <c r="S12" i="33"/>
  <c r="R12" i="33"/>
  <c r="Q12" i="33"/>
  <c r="P12" i="33"/>
  <c r="N12" i="33"/>
  <c r="K12" i="33"/>
  <c r="J12" i="33"/>
  <c r="I12" i="33"/>
  <c r="H12" i="33"/>
  <c r="F12" i="33"/>
  <c r="ABC11" i="33"/>
  <c r="ABB11" i="33"/>
  <c r="ABA11" i="33"/>
  <c r="AAZ11" i="33"/>
  <c r="AAW11" i="33"/>
  <c r="AAV11" i="33"/>
  <c r="AAU11" i="33"/>
  <c r="AAT11" i="33"/>
  <c r="AAS11" i="33"/>
  <c r="AAR11" i="33"/>
  <c r="AAM11" i="33"/>
  <c r="AAL11" i="33"/>
  <c r="AAJ11" i="33"/>
  <c r="AAG11" i="33"/>
  <c r="AAF11" i="33"/>
  <c r="AAE11" i="33"/>
  <c r="AAD11" i="33"/>
  <c r="AAC11" i="33"/>
  <c r="AAB11" i="33"/>
  <c r="ZW11" i="33"/>
  <c r="ZV11" i="33"/>
  <c r="ZT11" i="33"/>
  <c r="ZP11" i="33"/>
  <c r="ZM11" i="33"/>
  <c r="ZK11" i="33"/>
  <c r="ZF11" i="33"/>
  <c r="ZG11" i="33" s="1"/>
  <c r="ZC11" i="33"/>
  <c r="ZA11" i="33"/>
  <c r="YV11" i="33"/>
  <c r="ABD11" i="33" s="1"/>
  <c r="YS11" i="33"/>
  <c r="YQ11" i="33"/>
  <c r="YM11" i="33"/>
  <c r="YN11" i="33" s="1"/>
  <c r="YL11" i="33"/>
  <c r="YI11" i="33"/>
  <c r="YG11" i="33"/>
  <c r="YC11" i="33"/>
  <c r="YB11" i="33"/>
  <c r="XY11" i="33"/>
  <c r="XW11" i="33"/>
  <c r="XS11" i="33"/>
  <c r="XR11" i="33"/>
  <c r="XO11" i="33"/>
  <c r="XM11" i="33"/>
  <c r="XI11" i="33"/>
  <c r="XH11" i="33"/>
  <c r="XE11" i="33"/>
  <c r="XC11" i="33"/>
  <c r="WY11" i="33"/>
  <c r="WX11" i="33"/>
  <c r="WU11" i="33"/>
  <c r="WS11" i="33"/>
  <c r="WO11" i="33"/>
  <c r="AAO11" i="33" s="1"/>
  <c r="WN11" i="33"/>
  <c r="AAN11" i="33" s="1"/>
  <c r="WK11" i="33"/>
  <c r="WI11" i="33"/>
  <c r="AAK11" i="33" s="1"/>
  <c r="WE11" i="33"/>
  <c r="WD11" i="33"/>
  <c r="WA11" i="33"/>
  <c r="VY11" i="33"/>
  <c r="VU11" i="33"/>
  <c r="VT11" i="33"/>
  <c r="VQ11" i="33"/>
  <c r="VO11" i="33"/>
  <c r="VK11" i="33"/>
  <c r="VJ11" i="33"/>
  <c r="VG11" i="33"/>
  <c r="VE11" i="33"/>
  <c r="UW11" i="33"/>
  <c r="UV11" i="33"/>
  <c r="UU11" i="33"/>
  <c r="UP11" i="33"/>
  <c r="UO11" i="33"/>
  <c r="UM11" i="33"/>
  <c r="UG11" i="33"/>
  <c r="UF11" i="33"/>
  <c r="UE11" i="33"/>
  <c r="TZ11" i="33"/>
  <c r="TY11" i="33"/>
  <c r="TW11" i="33"/>
  <c r="TV11" i="33"/>
  <c r="TR11" i="33"/>
  <c r="TQ11" i="33"/>
  <c r="TP11" i="33"/>
  <c r="TO11" i="33"/>
  <c r="TK11" i="33"/>
  <c r="TH11" i="33"/>
  <c r="TF11" i="33"/>
  <c r="TA11" i="33"/>
  <c r="TB11" i="33" s="1"/>
  <c r="SX11" i="33"/>
  <c r="SV11" i="33"/>
  <c r="SQ11" i="33"/>
  <c r="SN11" i="33"/>
  <c r="UX11" i="33" s="1"/>
  <c r="SL11" i="33"/>
  <c r="SG11" i="33"/>
  <c r="SH11" i="33" s="1"/>
  <c r="SD11" i="33"/>
  <c r="SB11" i="33"/>
  <c r="RW11" i="33"/>
  <c r="RX11" i="33" s="1"/>
  <c r="RT11" i="33"/>
  <c r="RR11" i="33"/>
  <c r="RM11" i="33"/>
  <c r="RJ11" i="33"/>
  <c r="RH11" i="33"/>
  <c r="UN11" i="33" s="1"/>
  <c r="RC11" i="33"/>
  <c r="RD11" i="33" s="1"/>
  <c r="QZ11" i="33"/>
  <c r="QX11" i="33"/>
  <c r="QS11" i="33"/>
  <c r="QT11" i="33" s="1"/>
  <c r="QP11" i="33"/>
  <c r="QN11" i="33"/>
  <c r="QI11" i="33"/>
  <c r="QF11" i="33"/>
  <c r="UH11" i="33" s="1"/>
  <c r="QD11" i="33"/>
  <c r="PY11" i="33"/>
  <c r="PZ11" i="33" s="1"/>
  <c r="PV11" i="33"/>
  <c r="PT11" i="33"/>
  <c r="PO11" i="33"/>
  <c r="PP11" i="33" s="1"/>
  <c r="PL11" i="33"/>
  <c r="PJ11" i="33"/>
  <c r="PE11" i="33"/>
  <c r="PB11" i="33"/>
  <c r="OZ11" i="33"/>
  <c r="TX11" i="33" s="1"/>
  <c r="OR11" i="33"/>
  <c r="OP11" i="33"/>
  <c r="OJ11" i="33"/>
  <c r="OI11" i="33"/>
  <c r="OH11" i="33"/>
  <c r="OG11" i="33"/>
  <c r="OB11" i="33"/>
  <c r="NZ11" i="33"/>
  <c r="NY11" i="33"/>
  <c r="NT11" i="33"/>
  <c r="NR11" i="33"/>
  <c r="NQ11" i="33"/>
  <c r="NL11" i="33"/>
  <c r="NJ11" i="33"/>
  <c r="NI11" i="33"/>
  <c r="NG11" i="33"/>
  <c r="NF11" i="33"/>
  <c r="NE11" i="33"/>
  <c r="NC11" i="33"/>
  <c r="NA11" i="33"/>
  <c r="MW11" i="33"/>
  <c r="MV11" i="33"/>
  <c r="MS11" i="33"/>
  <c r="MQ11" i="33"/>
  <c r="MX11" i="33" s="1"/>
  <c r="ML11" i="33"/>
  <c r="MI11" i="33"/>
  <c r="MG11" i="33"/>
  <c r="MB11" i="33"/>
  <c r="OL11" i="33" s="1"/>
  <c r="LY11" i="33"/>
  <c r="LW11" i="33"/>
  <c r="LS11" i="33"/>
  <c r="LT11" i="33" s="1"/>
  <c r="LR11" i="33"/>
  <c r="LO11" i="33"/>
  <c r="LM11" i="33"/>
  <c r="LI11" i="33"/>
  <c r="LH11" i="33"/>
  <c r="LE11" i="33"/>
  <c r="OK11" i="33" s="1"/>
  <c r="LC11" i="33"/>
  <c r="LJ11" i="33" s="1"/>
  <c r="KX11" i="33"/>
  <c r="KY11" i="33" s="1"/>
  <c r="KZ11" i="33" s="1"/>
  <c r="KU11" i="33"/>
  <c r="KS11" i="33"/>
  <c r="KN11" i="33"/>
  <c r="KO11" i="33" s="1"/>
  <c r="KP11" i="33" s="1"/>
  <c r="KK11" i="33"/>
  <c r="KI11" i="33"/>
  <c r="KE11" i="33"/>
  <c r="KD11" i="33"/>
  <c r="KA11" i="33"/>
  <c r="JY11" i="33"/>
  <c r="OA11" i="33" s="1"/>
  <c r="JU11" i="33"/>
  <c r="JT11" i="33"/>
  <c r="JQ11" i="33"/>
  <c r="JO11" i="33"/>
  <c r="NS11" i="33" s="1"/>
  <c r="JJ11" i="33"/>
  <c r="JK11" i="33" s="1"/>
  <c r="JL11" i="33" s="1"/>
  <c r="JG11" i="33"/>
  <c r="JE11" i="33"/>
  <c r="IZ11" i="33"/>
  <c r="JA11" i="33" s="1"/>
  <c r="IW11" i="33"/>
  <c r="NU11" i="33" s="1"/>
  <c r="IU11" i="33"/>
  <c r="ABB10" i="33"/>
  <c r="AAZ10" i="33"/>
  <c r="AAV10" i="33"/>
  <c r="AAU10" i="33"/>
  <c r="AAT10" i="33"/>
  <c r="AAR10" i="33"/>
  <c r="AAO10" i="33"/>
  <c r="AAN10" i="33"/>
  <c r="AAL10" i="33"/>
  <c r="AAJ10" i="33"/>
  <c r="AAI10" i="33"/>
  <c r="AAD10" i="33"/>
  <c r="AAC10" i="33"/>
  <c r="AAB10" i="33"/>
  <c r="ZV10" i="33"/>
  <c r="ZT10" i="33"/>
  <c r="ZP10" i="33"/>
  <c r="ZQ10" i="33" s="1"/>
  <c r="ZR10" i="33" s="1"/>
  <c r="ZM10" i="33"/>
  <c r="ZW10" i="33" s="1"/>
  <c r="ZK10" i="33"/>
  <c r="ZF10" i="33"/>
  <c r="ZG10" i="33" s="1"/>
  <c r="ZH10" i="33" s="1"/>
  <c r="ZC10" i="33"/>
  <c r="ZA10" i="33"/>
  <c r="YW10" i="33"/>
  <c r="YV10" i="33"/>
  <c r="YS10" i="33"/>
  <c r="YQ10" i="33"/>
  <c r="ABA10" i="33" s="1"/>
  <c r="YM10" i="33"/>
  <c r="YL10" i="33"/>
  <c r="YI10" i="33"/>
  <c r="YG10" i="33"/>
  <c r="YN10" i="33" s="1"/>
  <c r="YC10" i="33"/>
  <c r="YB10" i="33"/>
  <c r="XY10" i="33"/>
  <c r="XW10" i="33"/>
  <c r="XS10" i="33"/>
  <c r="AAW10" i="33" s="1"/>
  <c r="AAX10" i="33" s="1"/>
  <c r="XR10" i="33"/>
  <c r="XO10" i="33"/>
  <c r="XM10" i="33"/>
  <c r="AAS10" i="33" s="1"/>
  <c r="XI10" i="33"/>
  <c r="XH10" i="33"/>
  <c r="XE10" i="33"/>
  <c r="XC10" i="33"/>
  <c r="WY10" i="33"/>
  <c r="WX10" i="33"/>
  <c r="WU10" i="33"/>
  <c r="WS10" i="33"/>
  <c r="WO10" i="33"/>
  <c r="WN10" i="33"/>
  <c r="WK10" i="33"/>
  <c r="AAM10" i="33" s="1"/>
  <c r="WI10" i="33"/>
  <c r="AAK10" i="33" s="1"/>
  <c r="WD10" i="33"/>
  <c r="WE10" i="33" s="1"/>
  <c r="WF10" i="33" s="1"/>
  <c r="WA10" i="33"/>
  <c r="VY10" i="33"/>
  <c r="VT10" i="33"/>
  <c r="VU10" i="33" s="1"/>
  <c r="VV10" i="33" s="1"/>
  <c r="VQ10" i="33"/>
  <c r="VO10" i="33"/>
  <c r="VK10" i="33"/>
  <c r="VJ10" i="33"/>
  <c r="VG10" i="33"/>
  <c r="AAE10" i="33" s="1"/>
  <c r="VE10" i="33"/>
  <c r="UW10" i="33"/>
  <c r="UU10" i="33"/>
  <c r="UO10" i="33"/>
  <c r="UM10" i="33"/>
  <c r="UG10" i="33"/>
  <c r="UE10" i="33"/>
  <c r="UD10" i="33"/>
  <c r="TW10" i="33"/>
  <c r="TV10" i="33"/>
  <c r="TO10" i="33"/>
  <c r="TK10" i="33"/>
  <c r="TH10" i="33"/>
  <c r="TF10" i="33"/>
  <c r="TA10" i="33"/>
  <c r="TB10" i="33" s="1"/>
  <c r="TC10" i="33" s="1"/>
  <c r="SX10" i="33"/>
  <c r="SV10" i="33"/>
  <c r="SR10" i="33"/>
  <c r="SQ10" i="33"/>
  <c r="SN10" i="33"/>
  <c r="SL10" i="33"/>
  <c r="UV10" i="33" s="1"/>
  <c r="SH10" i="33"/>
  <c r="SG10" i="33"/>
  <c r="SD10" i="33"/>
  <c r="SB10" i="33"/>
  <c r="UN10" i="33" s="1"/>
  <c r="RW10" i="33"/>
  <c r="RX10" i="33" s="1"/>
  <c r="RY10" i="33" s="1"/>
  <c r="RT10" i="33"/>
  <c r="RR10" i="33"/>
  <c r="RN10" i="33"/>
  <c r="RM10" i="33"/>
  <c r="UQ10" i="33" s="1"/>
  <c r="RJ10" i="33"/>
  <c r="RH10" i="33"/>
  <c r="RD10" i="33"/>
  <c r="RC10" i="33"/>
  <c r="QZ10" i="33"/>
  <c r="QX10" i="33"/>
  <c r="UF10" i="33" s="1"/>
  <c r="QT10" i="33"/>
  <c r="QS10" i="33"/>
  <c r="QP10" i="33"/>
  <c r="QN10" i="33"/>
  <c r="QU10" i="33" s="1"/>
  <c r="QI10" i="33"/>
  <c r="QJ10" i="33" s="1"/>
  <c r="QK10" i="33" s="1"/>
  <c r="QF10" i="33"/>
  <c r="QD10" i="33"/>
  <c r="PX10" i="33"/>
  <c r="PX19" i="33" s="1"/>
  <c r="PU10" i="33"/>
  <c r="PT10" i="33"/>
  <c r="PN10" i="33"/>
  <c r="PN19" i="33" s="1"/>
  <c r="PL10" i="33"/>
  <c r="PJ10" i="33"/>
  <c r="PF10" i="33"/>
  <c r="PG10" i="33" s="1"/>
  <c r="PE10" i="33"/>
  <c r="PD10" i="33"/>
  <c r="PD19" i="33" s="1"/>
  <c r="PB10" i="33"/>
  <c r="OZ10" i="33"/>
  <c r="TX10" i="33" s="1"/>
  <c r="OT10" i="33"/>
  <c r="OR10" i="33"/>
  <c r="OP10" i="33"/>
  <c r="OJ10" i="33"/>
  <c r="OH10" i="33"/>
  <c r="OG10" i="33"/>
  <c r="OC10" i="33"/>
  <c r="OB10" i="33"/>
  <c r="NZ10" i="33"/>
  <c r="NY10" i="33"/>
  <c r="NT10" i="33"/>
  <c r="NR10" i="33"/>
  <c r="NQ10" i="33"/>
  <c r="NL10" i="33"/>
  <c r="NJ10" i="33"/>
  <c r="NG10" i="33"/>
  <c r="NF10" i="33"/>
  <c r="NE10" i="33"/>
  <c r="NC10" i="33"/>
  <c r="NA10" i="33"/>
  <c r="MV10" i="33"/>
  <c r="MW10" i="33" s="1"/>
  <c r="MX10" i="33" s="1"/>
  <c r="MS10" i="33"/>
  <c r="OS10" i="33" s="1"/>
  <c r="MQ10" i="33"/>
  <c r="MM10" i="33"/>
  <c r="ML10" i="33"/>
  <c r="MI10" i="33"/>
  <c r="MG10" i="33"/>
  <c r="MC10" i="33"/>
  <c r="MB10" i="33"/>
  <c r="LY10" i="33"/>
  <c r="LW10" i="33"/>
  <c r="MD10" i="33" s="1"/>
  <c r="LS10" i="33"/>
  <c r="LR10" i="33"/>
  <c r="LO10" i="33"/>
  <c r="NM10" i="33" s="1"/>
  <c r="LM10" i="33"/>
  <c r="LT10" i="33" s="1"/>
  <c r="LH10" i="33"/>
  <c r="LE10" i="33"/>
  <c r="LC10" i="33"/>
  <c r="KX10" i="33"/>
  <c r="KY10" i="33" s="1"/>
  <c r="KZ10" i="33" s="1"/>
  <c r="KU10" i="33"/>
  <c r="KS10" i="33"/>
  <c r="KO10" i="33"/>
  <c r="KP10" i="33" s="1"/>
  <c r="KN10" i="33"/>
  <c r="KK10" i="33"/>
  <c r="KI10" i="33"/>
  <c r="KE10" i="33"/>
  <c r="KD10" i="33"/>
  <c r="OD10" i="33" s="1"/>
  <c r="KA10" i="33"/>
  <c r="JY10" i="33"/>
  <c r="OA10" i="33" s="1"/>
  <c r="JT10" i="33"/>
  <c r="JU10" i="33" s="1"/>
  <c r="JV10" i="33" s="1"/>
  <c r="JQ10" i="33"/>
  <c r="NU10" i="33" s="1"/>
  <c r="JO10" i="33"/>
  <c r="JJ10" i="33"/>
  <c r="JK10" i="33" s="1"/>
  <c r="JL10" i="33" s="1"/>
  <c r="JI10" i="33"/>
  <c r="JI19" i="33" s="1"/>
  <c r="JG10" i="33"/>
  <c r="JE10" i="33"/>
  <c r="IY10" i="33"/>
  <c r="IW10" i="33"/>
  <c r="IU10" i="33"/>
  <c r="NS10" i="33" s="1"/>
  <c r="IN10" i="33"/>
  <c r="IM10" i="33"/>
  <c r="IK10" i="33"/>
  <c r="IL10" i="33" s="1"/>
  <c r="IJ10" i="33"/>
  <c r="IF10" i="33"/>
  <c r="IE10" i="33"/>
  <c r="IC10" i="33"/>
  <c r="ID10" i="33" s="1"/>
  <c r="IB10" i="33"/>
  <c r="HX10" i="33"/>
  <c r="HW10" i="33"/>
  <c r="HU10" i="33"/>
  <c r="HV10" i="33" s="1"/>
  <c r="HT10" i="33"/>
  <c r="HP10" i="33"/>
  <c r="HO10" i="33"/>
  <c r="HN10" i="33"/>
  <c r="HM10" i="33"/>
  <c r="HQ10" i="33" s="1"/>
  <c r="HS10" i="33" s="1"/>
  <c r="HL10" i="33"/>
  <c r="HI10" i="33"/>
  <c r="HH10" i="33"/>
  <c r="HG10" i="33"/>
  <c r="HE10" i="33"/>
  <c r="HF10" i="33" s="1"/>
  <c r="HD10" i="33"/>
  <c r="HA10" i="33"/>
  <c r="HB10" i="33" s="1"/>
  <c r="HC10" i="33" s="1"/>
  <c r="GX10" i="33"/>
  <c r="GV10" i="33"/>
  <c r="GS10" i="33"/>
  <c r="GR10" i="33"/>
  <c r="GQ10" i="33"/>
  <c r="GN10" i="33"/>
  <c r="GL10" i="33"/>
  <c r="GI10" i="33"/>
  <c r="GH10" i="33"/>
  <c r="GG10" i="33"/>
  <c r="GD10" i="33"/>
  <c r="GB10" i="33"/>
  <c r="FW10" i="33"/>
  <c r="FT10" i="33"/>
  <c r="FR10" i="33"/>
  <c r="FM10" i="33"/>
  <c r="FL10" i="33"/>
  <c r="FJ10" i="33"/>
  <c r="FG10" i="33"/>
  <c r="FF10" i="33"/>
  <c r="FE10" i="33"/>
  <c r="FD10" i="33"/>
  <c r="FB10" i="33"/>
  <c r="EY10" i="33"/>
  <c r="EX10" i="33"/>
  <c r="EW10" i="33"/>
  <c r="EV10" i="33"/>
  <c r="ET10" i="33"/>
  <c r="EO10" i="33"/>
  <c r="EN10" i="33"/>
  <c r="EL10" i="33"/>
  <c r="EH10" i="33"/>
  <c r="EG10" i="33"/>
  <c r="EI10" i="33" s="1"/>
  <c r="EF10" i="33"/>
  <c r="ED10" i="33"/>
  <c r="EA10" i="33"/>
  <c r="DZ10" i="33"/>
  <c r="DY10" i="33"/>
  <c r="DX10" i="33"/>
  <c r="DV10" i="33"/>
  <c r="DS10" i="33"/>
  <c r="DR10" i="33"/>
  <c r="DQ10" i="33"/>
  <c r="DP10" i="33"/>
  <c r="DN10" i="33"/>
  <c r="DI10" i="33"/>
  <c r="DH10" i="33"/>
  <c r="DF10" i="33"/>
  <c r="CZ10" i="33"/>
  <c r="CY10" i="33"/>
  <c r="CW10" i="33"/>
  <c r="CX10" i="33" s="1"/>
  <c r="CV10" i="33"/>
  <c r="CT10" i="33"/>
  <c r="CS10" i="33"/>
  <c r="CU10" i="33" s="1"/>
  <c r="CR10" i="33"/>
  <c r="CP10" i="33"/>
  <c r="CM10" i="33"/>
  <c r="CL10" i="33"/>
  <c r="CK10" i="33"/>
  <c r="CJ10" i="33"/>
  <c r="CH10" i="33"/>
  <c r="CE10" i="33"/>
  <c r="CD10" i="33"/>
  <c r="CC10" i="33"/>
  <c r="CB10" i="33"/>
  <c r="BZ10" i="33"/>
  <c r="BU10" i="33"/>
  <c r="BT10" i="33"/>
  <c r="BR10" i="33"/>
  <c r="BM10" i="33"/>
  <c r="BO10" i="33" s="1"/>
  <c r="BL10" i="33"/>
  <c r="BJ10" i="33"/>
  <c r="BG10" i="33"/>
  <c r="BF10" i="33"/>
  <c r="BE10" i="33"/>
  <c r="BD10" i="33"/>
  <c r="BB10" i="33"/>
  <c r="AY10" i="33"/>
  <c r="AX10" i="33"/>
  <c r="AW10" i="33"/>
  <c r="AV10" i="33"/>
  <c r="AT10" i="33"/>
  <c r="AO10" i="33"/>
  <c r="AN10" i="33"/>
  <c r="AL10" i="33"/>
  <c r="AG10" i="33"/>
  <c r="AI10" i="33" s="1"/>
  <c r="AF10" i="33"/>
  <c r="AD10" i="33"/>
  <c r="AA10" i="33"/>
  <c r="Z10" i="33"/>
  <c r="Y10" i="33"/>
  <c r="X10" i="33"/>
  <c r="V10" i="33"/>
  <c r="S10" i="33"/>
  <c r="R10" i="33"/>
  <c r="Q10" i="33"/>
  <c r="P10" i="33"/>
  <c r="N10" i="33"/>
  <c r="I10" i="33"/>
  <c r="H10" i="33"/>
  <c r="F10" i="33"/>
  <c r="ABB9" i="33"/>
  <c r="AAZ9" i="33"/>
  <c r="AAU9" i="33"/>
  <c r="AAT9" i="33"/>
  <c r="AAR9" i="33"/>
  <c r="AAO9" i="33"/>
  <c r="AAN9" i="33"/>
  <c r="AAL9" i="33"/>
  <c r="AAJ9" i="33"/>
  <c r="AAE9" i="33"/>
  <c r="AAD9" i="33"/>
  <c r="AAB9" i="33"/>
  <c r="ZX9" i="33"/>
  <c r="ZV9" i="33"/>
  <c r="ZT9" i="33"/>
  <c r="ZP9" i="33"/>
  <c r="ZQ9" i="33" s="1"/>
  <c r="ZM9" i="33"/>
  <c r="ZK9" i="33"/>
  <c r="ZF9" i="33"/>
  <c r="ZG9" i="33" s="1"/>
  <c r="ZH9" i="33" s="1"/>
  <c r="ZC9" i="33"/>
  <c r="ABC9" i="33" s="1"/>
  <c r="ZA9" i="33"/>
  <c r="YW9" i="33"/>
  <c r="YV9" i="33"/>
  <c r="YS9" i="33"/>
  <c r="YQ9" i="33"/>
  <c r="ABA9" i="33" s="1"/>
  <c r="YM9" i="33"/>
  <c r="YL9" i="33"/>
  <c r="YI9" i="33"/>
  <c r="YG9" i="33"/>
  <c r="YN9" i="33" s="1"/>
  <c r="YB9" i="33"/>
  <c r="YC9" i="33" s="1"/>
  <c r="YD9" i="33" s="1"/>
  <c r="XY9" i="33"/>
  <c r="XW9" i="33"/>
  <c r="XS9" i="33"/>
  <c r="XR9" i="33"/>
  <c r="AAV9" i="33" s="1"/>
  <c r="XO9" i="33"/>
  <c r="XM9" i="33"/>
  <c r="XI9" i="33"/>
  <c r="XH9" i="33"/>
  <c r="XE9" i="33"/>
  <c r="XC9" i="33"/>
  <c r="AAK9" i="33" s="1"/>
  <c r="WY9" i="33"/>
  <c r="WX9" i="33"/>
  <c r="WU9" i="33"/>
  <c r="WS9" i="33"/>
  <c r="WZ9" i="33" s="1"/>
  <c r="WN9" i="33"/>
  <c r="WO9" i="33" s="1"/>
  <c r="WP9" i="33" s="1"/>
  <c r="WK9" i="33"/>
  <c r="WI9" i="33"/>
  <c r="WD9" i="33"/>
  <c r="WE9" i="33" s="1"/>
  <c r="WF9" i="33" s="1"/>
  <c r="VY9" i="33"/>
  <c r="VU9" i="33"/>
  <c r="VV9" i="33" s="1"/>
  <c r="VT9" i="33"/>
  <c r="VQ9" i="33"/>
  <c r="VO9" i="33"/>
  <c r="VK9" i="33"/>
  <c r="VJ9" i="33"/>
  <c r="AAF9" i="33" s="1"/>
  <c r="VG9" i="33"/>
  <c r="VE9" i="33"/>
  <c r="AAC9" i="33" s="1"/>
  <c r="UW9" i="33"/>
  <c r="UU9" i="33"/>
  <c r="UR9" i="33"/>
  <c r="UQ9" i="33"/>
  <c r="UP9" i="33"/>
  <c r="UO9" i="33"/>
  <c r="UN9" i="33"/>
  <c r="UM9" i="33"/>
  <c r="UJ9" i="33"/>
  <c r="UI9" i="33"/>
  <c r="UH9" i="33"/>
  <c r="UG9" i="33"/>
  <c r="UF9" i="33"/>
  <c r="UE9" i="33"/>
  <c r="UB9" i="33"/>
  <c r="UA9" i="33"/>
  <c r="TZ9" i="33"/>
  <c r="TY9" i="33"/>
  <c r="TX9" i="33"/>
  <c r="TW9" i="33"/>
  <c r="TV9" i="33"/>
  <c r="TS9" i="33"/>
  <c r="TQ9" i="33"/>
  <c r="TO9" i="33"/>
  <c r="TL9" i="33"/>
  <c r="TK9" i="33"/>
  <c r="TH9" i="33"/>
  <c r="TR9" i="33" s="1"/>
  <c r="TF9" i="33"/>
  <c r="TP9" i="33" s="1"/>
  <c r="TA9" i="33"/>
  <c r="SX9" i="33"/>
  <c r="UX9" i="33" s="1"/>
  <c r="SV9" i="33"/>
  <c r="ABB8" i="33"/>
  <c r="AAZ8" i="33"/>
  <c r="AAT8" i="33"/>
  <c r="AAR8" i="33"/>
  <c r="AAL8" i="33"/>
  <c r="AAJ8" i="33"/>
  <c r="AAI8" i="33"/>
  <c r="AAE8" i="33"/>
  <c r="AAD8" i="33"/>
  <c r="AAB8" i="33"/>
  <c r="ZV8" i="33"/>
  <c r="ZT8" i="33"/>
  <c r="ZP8" i="33"/>
  <c r="ZM8" i="33"/>
  <c r="ABC8" i="33" s="1"/>
  <c r="ZK8" i="33"/>
  <c r="ZG8" i="33"/>
  <c r="ZH8" i="33" s="1"/>
  <c r="ZF8" i="33"/>
  <c r="ZC8" i="33"/>
  <c r="ZA8" i="33"/>
  <c r="YW8" i="33"/>
  <c r="YV8" i="33"/>
  <c r="YS8" i="33"/>
  <c r="YQ8" i="33"/>
  <c r="ABA8" i="33" s="1"/>
  <c r="YM8" i="33"/>
  <c r="YL8" i="33"/>
  <c r="YI8" i="33"/>
  <c r="YG8" i="33"/>
  <c r="YN8" i="33" s="1"/>
  <c r="YB8" i="33"/>
  <c r="YC8" i="33" s="1"/>
  <c r="YD8" i="33" s="1"/>
  <c r="XY8" i="33"/>
  <c r="AAU8" i="33" s="1"/>
  <c r="XW8" i="33"/>
  <c r="XS8" i="33"/>
  <c r="XR8" i="33"/>
  <c r="AAV8" i="33" s="1"/>
  <c r="XO8" i="33"/>
  <c r="XM8" i="33"/>
  <c r="XI8" i="33"/>
  <c r="XH8" i="33"/>
  <c r="XE8" i="33"/>
  <c r="XC8" i="33"/>
  <c r="XJ8" i="33" s="1"/>
  <c r="WY8" i="33"/>
  <c r="WX8" i="33"/>
  <c r="WU8" i="33"/>
  <c r="WS8" i="33"/>
  <c r="WZ8" i="33" s="1"/>
  <c r="WN8" i="33"/>
  <c r="WK8" i="33"/>
  <c r="WI8" i="33"/>
  <c r="WD8" i="33"/>
  <c r="WE8" i="33" s="1"/>
  <c r="WF8" i="33" s="1"/>
  <c r="WA8" i="33"/>
  <c r="VY8" i="33"/>
  <c r="VU8" i="33"/>
  <c r="VV8" i="33" s="1"/>
  <c r="VT8" i="33"/>
  <c r="VQ8" i="33"/>
  <c r="VO8" i="33"/>
  <c r="VK8" i="33"/>
  <c r="VJ8" i="33"/>
  <c r="AAF8" i="33" s="1"/>
  <c r="VG8" i="33"/>
  <c r="VE8" i="33"/>
  <c r="AAC8" i="33" s="1"/>
  <c r="UY8" i="33"/>
  <c r="UW8" i="33"/>
  <c r="UU8" i="33"/>
  <c r="UP8" i="33"/>
  <c r="UO8" i="33"/>
  <c r="UM8" i="33"/>
  <c r="UG8" i="33"/>
  <c r="UE8" i="33"/>
  <c r="UD8" i="33"/>
  <c r="TY8" i="33"/>
  <c r="TX8" i="33"/>
  <c r="TW8" i="33"/>
  <c r="TV8" i="33"/>
  <c r="TQ8" i="33"/>
  <c r="TO8" i="33"/>
  <c r="TL8" i="33"/>
  <c r="TM8" i="33" s="1"/>
  <c r="TK8" i="33"/>
  <c r="TH8" i="33"/>
  <c r="TF8" i="33"/>
  <c r="TB8" i="33"/>
  <c r="TA8" i="33"/>
  <c r="SX8" i="33"/>
  <c r="SV8" i="33"/>
  <c r="TP8" i="33" s="1"/>
  <c r="SR8" i="33"/>
  <c r="SQ8" i="33"/>
  <c r="SN8" i="33"/>
  <c r="UX8" i="33" s="1"/>
  <c r="SL8" i="33"/>
  <c r="SG8" i="33"/>
  <c r="SH8" i="33" s="1"/>
  <c r="SI8" i="33" s="1"/>
  <c r="SD8" i="33"/>
  <c r="SB8" i="33"/>
  <c r="RW8" i="33"/>
  <c r="RX8" i="33" s="1"/>
  <c r="RY8" i="33" s="1"/>
  <c r="RT8" i="33"/>
  <c r="RR8" i="33"/>
  <c r="RN8" i="33"/>
  <c r="RM8" i="33"/>
  <c r="UQ8" i="33" s="1"/>
  <c r="RJ8" i="33"/>
  <c r="RH8" i="33"/>
  <c r="UN8" i="33" s="1"/>
  <c r="RD8" i="33"/>
  <c r="RC8" i="33"/>
  <c r="QZ8" i="33"/>
  <c r="QX8" i="33"/>
  <c r="UF8" i="33" s="1"/>
  <c r="QS8" i="33"/>
  <c r="QT8" i="33" s="1"/>
  <c r="QU8" i="33" s="1"/>
  <c r="QP8" i="33"/>
  <c r="QN8" i="33"/>
  <c r="QI8" i="33"/>
  <c r="UI8" i="33" s="1"/>
  <c r="QF8" i="33"/>
  <c r="UH8" i="33" s="1"/>
  <c r="QD8" i="33"/>
  <c r="PZ8" i="33"/>
  <c r="UB8" i="33" s="1"/>
  <c r="PY8" i="33"/>
  <c r="PV8" i="33"/>
  <c r="PT8" i="33"/>
  <c r="PP8" i="33"/>
  <c r="PO8" i="33"/>
  <c r="PL8" i="33"/>
  <c r="TZ8" i="33" s="1"/>
  <c r="PJ8" i="33"/>
  <c r="PQ8" i="33" s="1"/>
  <c r="PE8" i="33"/>
  <c r="UA8" i="33" s="1"/>
  <c r="NM8" i="33"/>
  <c r="NL8" i="33"/>
  <c r="NJ8" i="33"/>
  <c r="NF8" i="33"/>
  <c r="NN8" i="33" s="1"/>
  <c r="NC8" i="33"/>
  <c r="NA8" i="33"/>
  <c r="NK8" i="33" s="1"/>
  <c r="MW8" i="33"/>
  <c r="MV8" i="33"/>
  <c r="MS8" i="33"/>
  <c r="MQ8" i="33"/>
  <c r="MM8" i="33"/>
  <c r="ML8" i="33"/>
  <c r="MI8" i="33"/>
  <c r="MG8" i="33"/>
  <c r="MC8" i="33"/>
  <c r="MB8" i="33"/>
  <c r="LY8" i="33"/>
  <c r="LW8" i="33"/>
  <c r="LS8" i="33"/>
  <c r="LR8" i="33"/>
  <c r="LO8" i="33"/>
  <c r="LM8" i="33"/>
  <c r="LI8" i="33"/>
  <c r="LH8" i="33"/>
  <c r="LE8" i="33"/>
  <c r="LC8" i="33"/>
  <c r="KY8" i="33"/>
  <c r="KX8" i="33"/>
  <c r="KU8" i="33"/>
  <c r="KS8" i="33"/>
  <c r="KO8" i="33"/>
  <c r="KN8" i="33"/>
  <c r="KK8" i="33"/>
  <c r="KI8" i="33"/>
  <c r="KE8" i="33"/>
  <c r="KD8" i="33"/>
  <c r="KA8" i="33"/>
  <c r="JY8" i="33"/>
  <c r="JU8" i="33"/>
  <c r="JT8" i="33"/>
  <c r="JQ8" i="33"/>
  <c r="JO8" i="33"/>
  <c r="JK8" i="33"/>
  <c r="JJ8" i="33"/>
  <c r="JG8" i="33"/>
  <c r="JE8" i="33"/>
  <c r="JA8" i="33"/>
  <c r="IZ8" i="33"/>
  <c r="IW8" i="33"/>
  <c r="IU8" i="33"/>
  <c r="ABB7" i="33"/>
  <c r="AAZ7" i="33"/>
  <c r="AAT7" i="33"/>
  <c r="AAR7" i="33"/>
  <c r="AAL7" i="33"/>
  <c r="AAJ7" i="33"/>
  <c r="AAI7" i="33"/>
  <c r="AAE7" i="33"/>
  <c r="AAD7" i="33"/>
  <c r="AAB7" i="33"/>
  <c r="ZV7" i="33"/>
  <c r="ZT7" i="33"/>
  <c r="ZQ7" i="33"/>
  <c r="ZP7" i="33"/>
  <c r="ZM7" i="33"/>
  <c r="ZK7" i="33"/>
  <c r="ZG7" i="33"/>
  <c r="ZF7" i="33"/>
  <c r="ZC7" i="33"/>
  <c r="ZA7" i="33"/>
  <c r="ABA7" i="33" s="1"/>
  <c r="YV7" i="33"/>
  <c r="YS7" i="33"/>
  <c r="YQ7" i="33"/>
  <c r="YM7" i="33"/>
  <c r="YN7" i="33" s="1"/>
  <c r="YL7" i="33"/>
  <c r="AAV7" i="33" s="1"/>
  <c r="YI7" i="33"/>
  <c r="YG7" i="33"/>
  <c r="YC7" i="33"/>
  <c r="YB7" i="33"/>
  <c r="XY7" i="33"/>
  <c r="XW7" i="33"/>
  <c r="AAS7" i="33" s="1"/>
  <c r="XS7" i="33"/>
  <c r="XR7" i="33"/>
  <c r="XO7" i="33"/>
  <c r="AAU7" i="33" s="1"/>
  <c r="XM7" i="33"/>
  <c r="XT7" i="33" s="1"/>
  <c r="XH7" i="33"/>
  <c r="XI7" i="33" s="1"/>
  <c r="XJ7" i="33" s="1"/>
  <c r="XE7" i="33"/>
  <c r="XC7" i="33"/>
  <c r="WY7" i="33"/>
  <c r="WZ7" i="33" s="1"/>
  <c r="WX7" i="33"/>
  <c r="WU7" i="33"/>
  <c r="AAM7" i="33" s="1"/>
  <c r="WS7" i="33"/>
  <c r="WN7" i="33"/>
  <c r="AAN7" i="33" s="1"/>
  <c r="WK7" i="33"/>
  <c r="WI7" i="33"/>
  <c r="AAK7" i="33" s="1"/>
  <c r="WE7" i="33"/>
  <c r="WF7" i="33" s="1"/>
  <c r="WD7" i="33"/>
  <c r="WA7" i="33"/>
  <c r="VY7" i="33"/>
  <c r="VT7" i="33"/>
  <c r="VU7" i="33" s="1"/>
  <c r="VV7" i="33" s="1"/>
  <c r="VQ7" i="33"/>
  <c r="VO7" i="33"/>
  <c r="VJ7" i="33"/>
  <c r="VG7" i="33"/>
  <c r="VE7" i="33"/>
  <c r="AAC7" i="33" s="1"/>
  <c r="UZ7" i="33"/>
  <c r="UY7" i="33"/>
  <c r="UW7" i="33"/>
  <c r="UU7" i="33"/>
  <c r="UP7" i="33"/>
  <c r="UO7" i="33"/>
  <c r="UM7" i="33"/>
  <c r="UD7" i="33"/>
  <c r="TZ7" i="33"/>
  <c r="TY7" i="33"/>
  <c r="TW7" i="33"/>
  <c r="TV7" i="33"/>
  <c r="TV19" i="33" s="1"/>
  <c r="TL7" i="33"/>
  <c r="TK7" i="33"/>
  <c r="TH7" i="33"/>
  <c r="TF7" i="33"/>
  <c r="TA7" i="33"/>
  <c r="TB7" i="33" s="1"/>
  <c r="SX7" i="33"/>
  <c r="SV7" i="33"/>
  <c r="SR7" i="33"/>
  <c r="SS7" i="33" s="1"/>
  <c r="SQ7" i="33"/>
  <c r="SN7" i="33"/>
  <c r="UX7" i="33" s="1"/>
  <c r="SL7" i="33"/>
  <c r="SG7" i="33"/>
  <c r="SH7" i="33" s="1"/>
  <c r="SI7" i="33" s="1"/>
  <c r="SD7" i="33"/>
  <c r="SB7" i="33"/>
  <c r="UN7" i="33" s="1"/>
  <c r="RX7" i="33"/>
  <c r="RY7" i="33" s="1"/>
  <c r="RW7" i="33"/>
  <c r="RT7" i="33"/>
  <c r="RR7" i="33"/>
  <c r="RM7" i="33"/>
  <c r="RJ7" i="33"/>
  <c r="RH7" i="33"/>
  <c r="RC7" i="33"/>
  <c r="RD7" i="33" s="1"/>
  <c r="RE7" i="33" s="1"/>
  <c r="QZ7" i="33"/>
  <c r="QX7" i="33"/>
  <c r="QO7" i="33"/>
  <c r="QM7" i="33"/>
  <c r="QJ7" i="33"/>
  <c r="QI7" i="33"/>
  <c r="QF7" i="33"/>
  <c r="QD7" i="33"/>
  <c r="PY7" i="33"/>
  <c r="PZ7" i="33" s="1"/>
  <c r="QA7" i="33" s="1"/>
  <c r="PV7" i="33"/>
  <c r="PT7" i="33"/>
  <c r="PS7" i="33"/>
  <c r="PS19" i="33" s="1"/>
  <c r="PO7" i="33"/>
  <c r="PP7" i="33" s="1"/>
  <c r="PQ7" i="33" s="1"/>
  <c r="PL7" i="33"/>
  <c r="PJ7" i="33"/>
  <c r="PE7" i="33"/>
  <c r="PB7" i="33"/>
  <c r="OZ7" i="33"/>
  <c r="OR7" i="33"/>
  <c r="OQ7" i="33"/>
  <c r="OP7" i="33"/>
  <c r="OJ7" i="33"/>
  <c r="OH7" i="33"/>
  <c r="OG7" i="33"/>
  <c r="OB7" i="33"/>
  <c r="OA7" i="33"/>
  <c r="NZ7" i="33"/>
  <c r="NY7" i="33"/>
  <c r="NV7" i="33"/>
  <c r="NU7" i="33"/>
  <c r="NT7" i="33"/>
  <c r="NR7" i="33"/>
  <c r="NQ7" i="33"/>
  <c r="NL7" i="33"/>
  <c r="NJ7" i="33"/>
  <c r="NH7" i="33"/>
  <c r="NF7" i="33"/>
  <c r="NG7" i="33" s="1"/>
  <c r="NE7" i="33"/>
  <c r="NE19" i="33" s="1"/>
  <c r="NC7" i="33"/>
  <c r="NA7" i="33"/>
  <c r="MV7" i="33"/>
  <c r="MW7" i="33" s="1"/>
  <c r="MX7" i="33" s="1"/>
  <c r="MU7" i="33"/>
  <c r="MS7" i="33"/>
  <c r="MQ7" i="33"/>
  <c r="NK7" i="33" s="1"/>
  <c r="ML7" i="33"/>
  <c r="MK7" i="33"/>
  <c r="MI7" i="33"/>
  <c r="MG7" i="33"/>
  <c r="MD7" i="33"/>
  <c r="MC7" i="33"/>
  <c r="MB7" i="33"/>
  <c r="MA7" i="33"/>
  <c r="LY7" i="33"/>
  <c r="NM7" i="33" s="1"/>
  <c r="LW7" i="33"/>
  <c r="LQ7" i="33"/>
  <c r="LR7" i="33" s="1"/>
  <c r="LS7" i="33" s="1"/>
  <c r="LT7" i="33" s="1"/>
  <c r="LO7" i="33"/>
  <c r="LM7" i="33"/>
  <c r="LI7" i="33"/>
  <c r="LH7" i="33"/>
  <c r="LG7" i="33"/>
  <c r="LE7" i="33"/>
  <c r="OK7" i="33" s="1"/>
  <c r="LC7" i="33"/>
  <c r="OI7" i="33" s="1"/>
  <c r="KW7" i="33"/>
  <c r="KX7" i="33" s="1"/>
  <c r="KY7" i="33" s="1"/>
  <c r="KZ7" i="33" s="1"/>
  <c r="KU7" i="33"/>
  <c r="KS7" i="33"/>
  <c r="KN7" i="33"/>
  <c r="KK7" i="33"/>
  <c r="KI7" i="33"/>
  <c r="KE7" i="33"/>
  <c r="KF7" i="33" s="1"/>
  <c r="KD7" i="33"/>
  <c r="KA7" i="33"/>
  <c r="OC7" i="33" s="1"/>
  <c r="JY7" i="33"/>
  <c r="JV7" i="33"/>
  <c r="JT7" i="33"/>
  <c r="JU7" i="33" s="1"/>
  <c r="JQ7" i="33"/>
  <c r="JO7" i="33"/>
  <c r="JK7" i="33"/>
  <c r="JJ7" i="33"/>
  <c r="JG7" i="33"/>
  <c r="JE7" i="33"/>
  <c r="JA7" i="33"/>
  <c r="IZ7" i="33"/>
  <c r="IW7" i="33"/>
  <c r="IU7" i="33"/>
  <c r="NS7" i="33" s="1"/>
  <c r="IM7" i="33"/>
  <c r="IN7" i="33" s="1"/>
  <c r="IL7" i="33"/>
  <c r="IK7" i="33"/>
  <c r="IJ7" i="33"/>
  <c r="IE7" i="33"/>
  <c r="IF7" i="33" s="1"/>
  <c r="ID7" i="33"/>
  <c r="IC7" i="33"/>
  <c r="IB7" i="33"/>
  <c r="HX7" i="33"/>
  <c r="HW7" i="33"/>
  <c r="HV7" i="33"/>
  <c r="HU7" i="33"/>
  <c r="HY7" i="33" s="1"/>
  <c r="IA7" i="33" s="1"/>
  <c r="HT7" i="33"/>
  <c r="HP7" i="33"/>
  <c r="HO7" i="33"/>
  <c r="HN7" i="33"/>
  <c r="HM7" i="33"/>
  <c r="HQ7" i="33" s="1"/>
  <c r="HS7" i="33" s="1"/>
  <c r="HL7" i="33"/>
  <c r="HG7" i="33"/>
  <c r="HH7" i="33" s="1"/>
  <c r="HF7" i="33"/>
  <c r="HE7" i="33"/>
  <c r="HD7" i="33"/>
  <c r="HB7" i="33"/>
  <c r="HA7" i="33"/>
  <c r="GX7" i="33"/>
  <c r="GV7" i="33"/>
  <c r="HC7" i="33" s="1"/>
  <c r="GS7" i="33"/>
  <c r="GQ7" i="33"/>
  <c r="GR7" i="33" s="1"/>
  <c r="GN7" i="33"/>
  <c r="GL7" i="33"/>
  <c r="GH7" i="33"/>
  <c r="GG7" i="33"/>
  <c r="GI7" i="33" s="1"/>
  <c r="GD7" i="33"/>
  <c r="GB7" i="33"/>
  <c r="FW7" i="33"/>
  <c r="FY7" i="33" s="1"/>
  <c r="FT7" i="33"/>
  <c r="FR7" i="33"/>
  <c r="FO7" i="33"/>
  <c r="FN7" i="33"/>
  <c r="FM7" i="33"/>
  <c r="FL7" i="33"/>
  <c r="FJ7" i="33"/>
  <c r="FE7" i="33"/>
  <c r="FD7" i="33"/>
  <c r="FB7" i="33"/>
  <c r="EW7" i="33"/>
  <c r="EV7" i="33"/>
  <c r="ET7" i="33"/>
  <c r="EQ7" i="33"/>
  <c r="EP7" i="33"/>
  <c r="EO7" i="33"/>
  <c r="EN7" i="33"/>
  <c r="EL7" i="33"/>
  <c r="EI7" i="33"/>
  <c r="EH7" i="33"/>
  <c r="EG7" i="33"/>
  <c r="EF7" i="33"/>
  <c r="ED7" i="33"/>
  <c r="EA7" i="33"/>
  <c r="DY7" i="33"/>
  <c r="DZ7" i="33" s="1"/>
  <c r="DX7" i="33"/>
  <c r="DV7" i="33"/>
  <c r="DR7" i="33"/>
  <c r="DQ7" i="33"/>
  <c r="DS7" i="33" s="1"/>
  <c r="DP7" i="33"/>
  <c r="DN7" i="33"/>
  <c r="DI7" i="33"/>
  <c r="DK7" i="33" s="1"/>
  <c r="DH7" i="33"/>
  <c r="DF7" i="33"/>
  <c r="CZ7" i="33"/>
  <c r="CY7" i="33"/>
  <c r="CX7" i="33"/>
  <c r="CW7" i="33"/>
  <c r="DA7" i="33" s="1"/>
  <c r="DC7" i="33" s="1"/>
  <c r="CV7" i="33"/>
  <c r="CU7" i="33"/>
  <c r="CT7" i="33"/>
  <c r="CS7" i="33"/>
  <c r="CR7" i="33"/>
  <c r="CP7" i="33"/>
  <c r="CK7" i="33"/>
  <c r="CL7" i="33" s="1"/>
  <c r="CJ7" i="33"/>
  <c r="CH7" i="33"/>
  <c r="CC7" i="33"/>
  <c r="CE7" i="33" s="1"/>
  <c r="CB7" i="33"/>
  <c r="BZ7" i="33"/>
  <c r="BU7" i="33"/>
  <c r="BT7" i="33"/>
  <c r="BR7" i="33"/>
  <c r="BO7" i="33"/>
  <c r="BN7" i="33"/>
  <c r="BM7" i="33"/>
  <c r="BL7" i="33"/>
  <c r="BJ7" i="33"/>
  <c r="BG7" i="33"/>
  <c r="BE7" i="33"/>
  <c r="BF7" i="33" s="1"/>
  <c r="BD7" i="33"/>
  <c r="BB7" i="33"/>
  <c r="AX7" i="33"/>
  <c r="AW7" i="33"/>
  <c r="AY7" i="33" s="1"/>
  <c r="AV7" i="33"/>
  <c r="AT7" i="33"/>
  <c r="AP7" i="33"/>
  <c r="AO7" i="33"/>
  <c r="AN7" i="33"/>
  <c r="AL7" i="33"/>
  <c r="AH7" i="33"/>
  <c r="AG7" i="33"/>
  <c r="AF7" i="33"/>
  <c r="AD7" i="33"/>
  <c r="Z7" i="33"/>
  <c r="Y7" i="33"/>
  <c r="X7" i="33"/>
  <c r="V7" i="33"/>
  <c r="R7" i="33"/>
  <c r="Q7" i="33"/>
  <c r="P7" i="33"/>
  <c r="N7" i="33"/>
  <c r="J7" i="33"/>
  <c r="I7" i="33"/>
  <c r="H7" i="33"/>
  <c r="F7" i="33"/>
  <c r="ABB6" i="33"/>
  <c r="AAZ6" i="33"/>
  <c r="AAT6" i="33"/>
  <c r="AAR6" i="33"/>
  <c r="AAL6" i="33"/>
  <c r="AAJ6" i="33"/>
  <c r="AAI6" i="33"/>
  <c r="AAD6" i="33"/>
  <c r="AAB6" i="33"/>
  <c r="ZV6" i="33"/>
  <c r="ZT6" i="33"/>
  <c r="ZQ6" i="33"/>
  <c r="ZP6" i="33"/>
  <c r="ZN6" i="33"/>
  <c r="ZM6" i="33"/>
  <c r="ZK6" i="33"/>
  <c r="ZD6" i="33"/>
  <c r="ZF6" i="33" s="1"/>
  <c r="ZG6" i="33" s="1"/>
  <c r="ZH6" i="33" s="1"/>
  <c r="ZC6" i="33"/>
  <c r="ZA6" i="33"/>
  <c r="YW6" i="33"/>
  <c r="YV6" i="33"/>
  <c r="ABD6" i="33" s="1"/>
  <c r="YT6" i="33"/>
  <c r="YS6" i="33"/>
  <c r="ABC6" i="33" s="1"/>
  <c r="YQ6" i="33"/>
  <c r="ABA6" i="33" s="1"/>
  <c r="YJ6" i="33"/>
  <c r="YL6" i="33" s="1"/>
  <c r="YM6" i="33" s="1"/>
  <c r="YN6" i="33" s="1"/>
  <c r="YI6" i="33"/>
  <c r="YG6" i="33"/>
  <c r="YC6" i="33"/>
  <c r="YB6" i="33"/>
  <c r="XZ6" i="33"/>
  <c r="XY6" i="33"/>
  <c r="XW6" i="33"/>
  <c r="AAS6" i="33" s="1"/>
  <c r="XP6" i="33"/>
  <c r="XR6" i="33" s="1"/>
  <c r="XS6" i="33" s="1"/>
  <c r="XO6" i="33"/>
  <c r="AAU6" i="33" s="1"/>
  <c r="XM6" i="33"/>
  <c r="XI6" i="33"/>
  <c r="XH6" i="33"/>
  <c r="XF6" i="33"/>
  <c r="XE6" i="33"/>
  <c r="XC6" i="33"/>
  <c r="WV6" i="33"/>
  <c r="WX6" i="33" s="1"/>
  <c r="WY6" i="33" s="1"/>
  <c r="WZ6" i="33" s="1"/>
  <c r="WU6" i="33"/>
  <c r="WS6" i="33"/>
  <c r="WO6" i="33"/>
  <c r="WM6" i="33"/>
  <c r="WL6" i="33"/>
  <c r="WN6" i="33" s="1"/>
  <c r="WK6" i="33"/>
  <c r="AAM6" i="33" s="1"/>
  <c r="WI6" i="33"/>
  <c r="AAK6" i="33" s="1"/>
  <c r="WD6" i="33"/>
  <c r="WE6" i="33" s="1"/>
  <c r="WF6" i="33" s="1"/>
  <c r="WB6" i="33"/>
  <c r="WA6" i="33"/>
  <c r="VY6" i="33"/>
  <c r="VV6" i="33"/>
  <c r="VS6" i="33"/>
  <c r="VR6" i="33"/>
  <c r="VT6" i="33" s="1"/>
  <c r="VU6" i="33" s="1"/>
  <c r="VQ6" i="33"/>
  <c r="VO6" i="33"/>
  <c r="VI6" i="33"/>
  <c r="VH6" i="33"/>
  <c r="VJ6" i="33" s="1"/>
  <c r="VG6" i="33"/>
  <c r="AAE6" i="33" s="1"/>
  <c r="VE6" i="33"/>
  <c r="AAC6" i="33" s="1"/>
  <c r="UW6" i="33"/>
  <c r="UU6" i="33"/>
  <c r="UO6" i="33"/>
  <c r="UM6" i="33"/>
  <c r="UG6" i="33"/>
  <c r="UE6" i="33"/>
  <c r="UD6" i="33"/>
  <c r="TY6" i="33"/>
  <c r="TW6" i="33"/>
  <c r="TQ6" i="33"/>
  <c r="TO6" i="33"/>
  <c r="TK6" i="33"/>
  <c r="TI6" i="33"/>
  <c r="TH6" i="33"/>
  <c r="TF6" i="33"/>
  <c r="SY6" i="33"/>
  <c r="TA6" i="33" s="1"/>
  <c r="TB6" i="33" s="1"/>
  <c r="TC6" i="33" s="1"/>
  <c r="SX6" i="33"/>
  <c r="UX6" i="33" s="1"/>
  <c r="SV6" i="33"/>
  <c r="SQ6" i="33"/>
  <c r="SR6" i="33" s="1"/>
  <c r="SO6" i="33"/>
  <c r="SN6" i="33"/>
  <c r="SL6" i="33"/>
  <c r="UV6" i="33" s="1"/>
  <c r="SE6" i="33"/>
  <c r="SG6" i="33" s="1"/>
  <c r="SH6" i="33" s="1"/>
  <c r="SI6" i="33" s="1"/>
  <c r="SD6" i="33"/>
  <c r="SB6" i="33"/>
  <c r="RW6" i="33"/>
  <c r="RX6" i="33" s="1"/>
  <c r="RY6" i="33" s="1"/>
  <c r="RU6" i="33"/>
  <c r="RT6" i="33"/>
  <c r="RR6" i="33"/>
  <c r="RK6" i="33"/>
  <c r="RM6" i="33" s="1"/>
  <c r="RJ6" i="33"/>
  <c r="UP6" i="33" s="1"/>
  <c r="RH6" i="33"/>
  <c r="UN6" i="33" s="1"/>
  <c r="RC6" i="33"/>
  <c r="RD6" i="33" s="1"/>
  <c r="RE6" i="33" s="1"/>
  <c r="RB6" i="33"/>
  <c r="RB19" i="33" s="1"/>
  <c r="RA6" i="33"/>
  <c r="QZ6" i="33"/>
  <c r="QX6" i="33"/>
  <c r="TP6" i="33" s="1"/>
  <c r="QQ6" i="33"/>
  <c r="QS6" i="33" s="1"/>
  <c r="QT6" i="33" s="1"/>
  <c r="QU6" i="33" s="1"/>
  <c r="QP6" i="33"/>
  <c r="QN6" i="33"/>
  <c r="QJ6" i="33"/>
  <c r="QI6" i="33"/>
  <c r="UI6" i="33" s="1"/>
  <c r="QG6" i="33"/>
  <c r="QF6" i="33"/>
  <c r="UH6" i="33" s="1"/>
  <c r="QD6" i="33"/>
  <c r="UF6" i="33" s="1"/>
  <c r="PW6" i="33"/>
  <c r="PY6" i="33" s="1"/>
  <c r="PZ6" i="33" s="1"/>
  <c r="QA6" i="33" s="1"/>
  <c r="PV6" i="33"/>
  <c r="PT6" i="33"/>
  <c r="PP6" i="33"/>
  <c r="PO6" i="33"/>
  <c r="PM6" i="33"/>
  <c r="PL6" i="33"/>
  <c r="TZ6" i="33" s="1"/>
  <c r="PJ6" i="33"/>
  <c r="TX6" i="33" s="1"/>
  <c r="PC6" i="33"/>
  <c r="PE6" i="33" s="1"/>
  <c r="PB6" i="33"/>
  <c r="OZ6" i="33"/>
  <c r="OR6" i="33"/>
  <c r="OJ6" i="33"/>
  <c r="OH6" i="33"/>
  <c r="OG6" i="33"/>
  <c r="OB6" i="33"/>
  <c r="NZ6" i="33"/>
  <c r="NY6" i="33"/>
  <c r="NT6" i="33"/>
  <c r="NR6" i="33"/>
  <c r="NQ6" i="33"/>
  <c r="ND6" i="33"/>
  <c r="NC6" i="33"/>
  <c r="NB6" i="33"/>
  <c r="NB19" i="33" s="1"/>
  <c r="MZ6" i="33"/>
  <c r="MU6" i="33"/>
  <c r="MT6" i="33"/>
  <c r="MS6" i="33"/>
  <c r="MQ6" i="33"/>
  <c r="MK6" i="33"/>
  <c r="MK19" i="33" s="1"/>
  <c r="MJ6" i="33"/>
  <c r="ML6" i="33" s="1"/>
  <c r="MI6" i="33"/>
  <c r="OS6" i="33" s="1"/>
  <c r="MG6" i="33"/>
  <c r="MA6" i="33"/>
  <c r="MA19" i="33" s="1"/>
  <c r="LZ6" i="33"/>
  <c r="MB6" i="33" s="1"/>
  <c r="MC6" i="33" s="1"/>
  <c r="MD6" i="33" s="1"/>
  <c r="LY6" i="33"/>
  <c r="LW6" i="33"/>
  <c r="LR6" i="33"/>
  <c r="LS6" i="33" s="1"/>
  <c r="LQ6" i="33"/>
  <c r="LP6" i="33"/>
  <c r="LO6" i="33"/>
  <c r="LM6" i="33"/>
  <c r="LG6" i="33"/>
  <c r="LF6" i="33"/>
  <c r="LE6" i="33"/>
  <c r="LC6" i="33"/>
  <c r="OI6" i="33" s="1"/>
  <c r="KZ6" i="33"/>
  <c r="KW6" i="33"/>
  <c r="KW19" i="33" s="1"/>
  <c r="KV6" i="33"/>
  <c r="KX6" i="33" s="1"/>
  <c r="KY6" i="33" s="1"/>
  <c r="KU6" i="33"/>
  <c r="KS6" i="33"/>
  <c r="KO6" i="33"/>
  <c r="KP6" i="33" s="1"/>
  <c r="KM6" i="33"/>
  <c r="KM19" i="33" s="1"/>
  <c r="KL6" i="33"/>
  <c r="KN6" i="33" s="1"/>
  <c r="OD6" i="33" s="1"/>
  <c r="KK6" i="33"/>
  <c r="OC6" i="33" s="1"/>
  <c r="KI6" i="33"/>
  <c r="KD6" i="33"/>
  <c r="KE6" i="33" s="1"/>
  <c r="KB6" i="33"/>
  <c r="KA6" i="33"/>
  <c r="JY6" i="33"/>
  <c r="OA6" i="33" s="1"/>
  <c r="JR6" i="33"/>
  <c r="JT6" i="33" s="1"/>
  <c r="JU6" i="33" s="1"/>
  <c r="JV6" i="33" s="1"/>
  <c r="JQ6" i="33"/>
  <c r="JO6" i="33"/>
  <c r="JJ6" i="33"/>
  <c r="JK6" i="33" s="1"/>
  <c r="JL6" i="33" s="1"/>
  <c r="JH6" i="33"/>
  <c r="JG6" i="33"/>
  <c r="JE6" i="33"/>
  <c r="NS6" i="33" s="1"/>
  <c r="IX6" i="33"/>
  <c r="IZ6" i="33" s="1"/>
  <c r="JA6" i="33" s="1"/>
  <c r="NW6" i="33" s="1"/>
  <c r="IW6" i="33"/>
  <c r="NU6" i="33" s="1"/>
  <c r="IU6" i="33"/>
  <c r="IN6" i="33"/>
  <c r="IM6" i="33"/>
  <c r="IK6" i="33"/>
  <c r="IL6" i="33" s="1"/>
  <c r="IJ6" i="33"/>
  <c r="IG6" i="33"/>
  <c r="IF6" i="33"/>
  <c r="IE6" i="33"/>
  <c r="IC6" i="33"/>
  <c r="ID6" i="33" s="1"/>
  <c r="IB6" i="33"/>
  <c r="HY6" i="33"/>
  <c r="HX6" i="33"/>
  <c r="HW6" i="33"/>
  <c r="HU6" i="33"/>
  <c r="HV6" i="33" s="1"/>
  <c r="HT6" i="33"/>
  <c r="HQ6" i="33"/>
  <c r="HP6" i="33"/>
  <c r="HO6" i="33"/>
  <c r="HM6" i="33"/>
  <c r="HN6" i="33" s="1"/>
  <c r="HL6" i="33"/>
  <c r="HH6" i="33"/>
  <c r="HG6" i="33"/>
  <c r="HE6" i="33"/>
  <c r="HF6" i="33" s="1"/>
  <c r="HD6" i="33"/>
  <c r="HA6" i="33"/>
  <c r="HB6" i="33" s="1"/>
  <c r="HC6" i="33" s="1"/>
  <c r="GX6" i="33"/>
  <c r="GV6" i="33"/>
  <c r="GS6" i="33"/>
  <c r="GR6" i="33"/>
  <c r="GQ6" i="33"/>
  <c r="GN6" i="33"/>
  <c r="GL6" i="33"/>
  <c r="GI6" i="33"/>
  <c r="GH6" i="33"/>
  <c r="GG6" i="33"/>
  <c r="GD6" i="33"/>
  <c r="GB6" i="33"/>
  <c r="FW6" i="33"/>
  <c r="FY6" i="33" s="1"/>
  <c r="FT6" i="33"/>
  <c r="FR6" i="33"/>
  <c r="FM6" i="33"/>
  <c r="FL6" i="33"/>
  <c r="FJ6" i="33"/>
  <c r="FG6" i="33"/>
  <c r="FF6" i="33"/>
  <c r="FE6" i="33"/>
  <c r="FD6" i="33"/>
  <c r="FB6" i="33"/>
  <c r="EY6" i="33"/>
  <c r="EX6" i="33"/>
  <c r="EW6" i="33"/>
  <c r="EV6" i="33"/>
  <c r="ET6" i="33"/>
  <c r="EO6" i="33"/>
  <c r="EQ6" i="33" s="1"/>
  <c r="EN6" i="33"/>
  <c r="EL6" i="33"/>
  <c r="EG6" i="33"/>
  <c r="EF6" i="33"/>
  <c r="ED6" i="33"/>
  <c r="EA6" i="33"/>
  <c r="DZ6" i="33"/>
  <c r="DY6" i="33"/>
  <c r="DX6" i="33"/>
  <c r="DV6" i="33"/>
  <c r="DS6" i="33"/>
  <c r="DR6" i="33"/>
  <c r="DQ6" i="33"/>
  <c r="DP6" i="33"/>
  <c r="DN6" i="33"/>
  <c r="DI6" i="33"/>
  <c r="DK6" i="33" s="1"/>
  <c r="DH6" i="33"/>
  <c r="DF6" i="33"/>
  <c r="DA6" i="33"/>
  <c r="CZ6" i="33"/>
  <c r="CY6" i="33"/>
  <c r="CW6" i="33"/>
  <c r="CX6" i="33" s="1"/>
  <c r="CV6" i="33"/>
  <c r="CS6" i="33"/>
  <c r="CR6" i="33"/>
  <c r="CP6" i="33"/>
  <c r="CM6" i="33"/>
  <c r="CL6" i="33"/>
  <c r="CK6" i="33"/>
  <c r="CJ6" i="33"/>
  <c r="CH6" i="33"/>
  <c r="CE6" i="33"/>
  <c r="CD6" i="33"/>
  <c r="CC6" i="33"/>
  <c r="CB6" i="33"/>
  <c r="BZ6" i="33"/>
  <c r="BU6" i="33"/>
  <c r="BW6" i="33" s="1"/>
  <c r="BT6" i="33"/>
  <c r="BR6" i="33"/>
  <c r="BM6" i="33"/>
  <c r="BL6" i="33"/>
  <c r="BJ6" i="33"/>
  <c r="BG6" i="33"/>
  <c r="BF6" i="33"/>
  <c r="BE6" i="33"/>
  <c r="BD6" i="33"/>
  <c r="BB6" i="33"/>
  <c r="AY6" i="33"/>
  <c r="AX6" i="33"/>
  <c r="AW6" i="33"/>
  <c r="AV6" i="33"/>
  <c r="AT6" i="33"/>
  <c r="AO6" i="33"/>
  <c r="AQ6" i="33" s="1"/>
  <c r="AN6" i="33"/>
  <c r="AL6" i="33"/>
  <c r="AG6" i="33"/>
  <c r="AF6" i="33"/>
  <c r="AD6" i="33"/>
  <c r="AA6" i="33"/>
  <c r="Z6" i="33"/>
  <c r="Y6" i="33"/>
  <c r="X6" i="33"/>
  <c r="V6" i="33"/>
  <c r="S6" i="33"/>
  <c r="R6" i="33"/>
  <c r="Q6" i="33"/>
  <c r="P6" i="33"/>
  <c r="N6" i="33"/>
  <c r="I6" i="33"/>
  <c r="H6" i="33"/>
  <c r="F6" i="33"/>
  <c r="ABB5" i="33"/>
  <c r="AAZ5" i="33"/>
  <c r="AAZ19" i="33" s="1"/>
  <c r="AAT5" i="33"/>
  <c r="AAT19" i="33" s="1"/>
  <c r="AAR5" i="33"/>
  <c r="AAR19" i="33" s="1"/>
  <c r="AAL5" i="33"/>
  <c r="AAL19" i="33" s="1"/>
  <c r="AAJ5" i="33"/>
  <c r="AAI5" i="33"/>
  <c r="AAI19" i="33" s="1"/>
  <c r="AAD5" i="33"/>
  <c r="AAD19" i="33" s="1"/>
  <c r="AAB5" i="33"/>
  <c r="ZV5" i="33"/>
  <c r="ZV19" i="33" s="1"/>
  <c r="ZT5" i="33"/>
  <c r="ZP5" i="33"/>
  <c r="ZN5" i="33"/>
  <c r="ZN19" i="33" s="1"/>
  <c r="ZM5" i="33"/>
  <c r="ZK5" i="33"/>
  <c r="ZD5" i="33"/>
  <c r="ZC5" i="33"/>
  <c r="ZA5" i="33"/>
  <c r="YV5" i="33"/>
  <c r="YV19" i="33" s="1"/>
  <c r="YV50" i="33" s="1"/>
  <c r="YV52" i="33" s="1"/>
  <c r="YV54" i="33" s="1"/>
  <c r="YT5" i="33"/>
  <c r="YT19" i="33" s="1"/>
  <c r="YS5" i="33"/>
  <c r="YQ5" i="33"/>
  <c r="YQ19" i="33" s="1"/>
  <c r="YJ5" i="33"/>
  <c r="YI5" i="33"/>
  <c r="YG5" i="33"/>
  <c r="YC5" i="33"/>
  <c r="YB5" i="33"/>
  <c r="YB19" i="33" s="1"/>
  <c r="XZ5" i="33"/>
  <c r="XZ19" i="33" s="1"/>
  <c r="XY5" i="33"/>
  <c r="XW5" i="33"/>
  <c r="XW19" i="33" s="1"/>
  <c r="XP5" i="33"/>
  <c r="XO5" i="33"/>
  <c r="XO19" i="33" s="1"/>
  <c r="XM5" i="33"/>
  <c r="XM19" i="33" s="1"/>
  <c r="XH5" i="33"/>
  <c r="XH19" i="33" s="1"/>
  <c r="XH50" i="33" s="1"/>
  <c r="XF5" i="33"/>
  <c r="XF19" i="33" s="1"/>
  <c r="XE5" i="33"/>
  <c r="XC5" i="33"/>
  <c r="WV5" i="33"/>
  <c r="WU5" i="33"/>
  <c r="WU19" i="33" s="1"/>
  <c r="WS5" i="33"/>
  <c r="WS19" i="33" s="1"/>
  <c r="WN5" i="33"/>
  <c r="WO5" i="33" s="1"/>
  <c r="WM5" i="33"/>
  <c r="WM19" i="33" s="1"/>
  <c r="WL5" i="33"/>
  <c r="WK5" i="33"/>
  <c r="WI5" i="33"/>
  <c r="WD5" i="33"/>
  <c r="WB5" i="33"/>
  <c r="WB19" i="33" s="1"/>
  <c r="WA5" i="33"/>
  <c r="VY5" i="33"/>
  <c r="VS5" i="33"/>
  <c r="VR5" i="33"/>
  <c r="VQ5" i="33"/>
  <c r="VQ19" i="33" s="1"/>
  <c r="VO5" i="33"/>
  <c r="VO19" i="33" s="1"/>
  <c r="VJ5" i="33"/>
  <c r="VK5" i="33" s="1"/>
  <c r="VI5" i="33"/>
  <c r="VI19" i="33" s="1"/>
  <c r="VH5" i="33"/>
  <c r="VG5" i="33"/>
  <c r="VG19" i="33" s="1"/>
  <c r="VE5" i="33"/>
  <c r="UW5" i="33"/>
  <c r="UW19" i="33" s="1"/>
  <c r="UU5" i="33"/>
  <c r="UU19" i="33" s="1"/>
  <c r="UO5" i="33"/>
  <c r="UO19" i="33" s="1"/>
  <c r="UM5" i="33"/>
  <c r="UG5" i="33"/>
  <c r="UF5" i="33"/>
  <c r="UE5" i="33"/>
  <c r="UD5" i="33"/>
  <c r="TY5" i="33"/>
  <c r="TW5" i="33"/>
  <c r="TW19" i="33" s="1"/>
  <c r="TQ5" i="33"/>
  <c r="TO5" i="33"/>
  <c r="TK5" i="33"/>
  <c r="TI5" i="33"/>
  <c r="TI19" i="33" s="1"/>
  <c r="TH5" i="33"/>
  <c r="TF5" i="33"/>
  <c r="TC5" i="33"/>
  <c r="TB5" i="33"/>
  <c r="TA5" i="33"/>
  <c r="SY5" i="33"/>
  <c r="SX5" i="33"/>
  <c r="SX19" i="33" s="1"/>
  <c r="SV5" i="33"/>
  <c r="SV19" i="33" s="1"/>
  <c r="SP5" i="33"/>
  <c r="SP19" i="33" s="1"/>
  <c r="SO5" i="33"/>
  <c r="SO19" i="33" s="1"/>
  <c r="SN5" i="33"/>
  <c r="SL5" i="33"/>
  <c r="UV5" i="33" s="1"/>
  <c r="SE5" i="33"/>
  <c r="SD5" i="33"/>
  <c r="SD19" i="33" s="1"/>
  <c r="SB5" i="33"/>
  <c r="RW5" i="33"/>
  <c r="RW19" i="33" s="1"/>
  <c r="RW50" i="33" s="1"/>
  <c r="RW52" i="33" s="1"/>
  <c r="RW54" i="33" s="1"/>
  <c r="RV5" i="33"/>
  <c r="RV19" i="33" s="1"/>
  <c r="RU5" i="33"/>
  <c r="RU19" i="33" s="1"/>
  <c r="RT5" i="33"/>
  <c r="RT19" i="33" s="1"/>
  <c r="RR5" i="33"/>
  <c r="RR19" i="33" s="1"/>
  <c r="RL5" i="33"/>
  <c r="RL19" i="33" s="1"/>
  <c r="RK5" i="33"/>
  <c r="RJ5" i="33"/>
  <c r="RH5" i="33"/>
  <c r="RA5" i="33"/>
  <c r="QZ5" i="33"/>
  <c r="QZ19" i="33" s="1"/>
  <c r="QX5" i="33"/>
  <c r="QS5" i="33"/>
  <c r="QQ5" i="33"/>
  <c r="QQ19" i="33" s="1"/>
  <c r="QP5" i="33"/>
  <c r="QN5" i="33"/>
  <c r="QG5" i="33"/>
  <c r="QF5" i="33"/>
  <c r="QD5" i="33"/>
  <c r="PY5" i="33"/>
  <c r="PZ5" i="33" s="1"/>
  <c r="PW5" i="33"/>
  <c r="PV5" i="33"/>
  <c r="PT5" i="33"/>
  <c r="PT19" i="33" s="1"/>
  <c r="PM5" i="33"/>
  <c r="PL5" i="33"/>
  <c r="PL19" i="33" s="1"/>
  <c r="PJ5" i="33"/>
  <c r="PF5" i="33"/>
  <c r="PE5" i="33"/>
  <c r="PC5" i="33"/>
  <c r="PB5" i="33"/>
  <c r="PB19" i="33" s="1"/>
  <c r="OZ5" i="33"/>
  <c r="OZ19" i="33" s="1"/>
  <c r="OR5" i="33"/>
  <c r="OR19" i="33" s="1"/>
  <c r="OP5" i="33"/>
  <c r="OJ5" i="33"/>
  <c r="OJ19" i="33" s="1"/>
  <c r="OI5" i="33"/>
  <c r="OH5" i="33"/>
  <c r="OG5" i="33"/>
  <c r="OB5" i="33"/>
  <c r="OB19" i="33" s="1"/>
  <c r="NZ5" i="33"/>
  <c r="NY5" i="33"/>
  <c r="NY19" i="33" s="1"/>
  <c r="NT5" i="33"/>
  <c r="NT19" i="33" s="1"/>
  <c r="NS5" i="33"/>
  <c r="NS19" i="33" s="1"/>
  <c r="NR5" i="33"/>
  <c r="NQ5" i="33"/>
  <c r="NQ19" i="33" s="1"/>
  <c r="NL5" i="33"/>
  <c r="NJ5" i="33"/>
  <c r="NG5" i="33"/>
  <c r="NF5" i="33"/>
  <c r="ND5" i="33"/>
  <c r="NC5" i="33"/>
  <c r="NA5" i="33"/>
  <c r="NK5" i="33" s="1"/>
  <c r="MT5" i="33"/>
  <c r="MS5" i="33"/>
  <c r="MS19" i="33" s="1"/>
  <c r="MQ5" i="33"/>
  <c r="ML5" i="33"/>
  <c r="MJ5" i="33"/>
  <c r="MI5" i="33"/>
  <c r="MI19" i="33" s="1"/>
  <c r="MG5" i="33"/>
  <c r="LZ5" i="33"/>
  <c r="LY5" i="33"/>
  <c r="LY19" i="33" s="1"/>
  <c r="LW5" i="33"/>
  <c r="LR5" i="33"/>
  <c r="LR19" i="33" s="1"/>
  <c r="LR50" i="33" s="1"/>
  <c r="LR52" i="33" s="1"/>
  <c r="LR54" i="33" s="1"/>
  <c r="LP5" i="33"/>
  <c r="LP19" i="33" s="1"/>
  <c r="LO5" i="33"/>
  <c r="LM5" i="33"/>
  <c r="LM19" i="33" s="1"/>
  <c r="LF5" i="33"/>
  <c r="LE5" i="33"/>
  <c r="LC5" i="33"/>
  <c r="KX5" i="33"/>
  <c r="KX19" i="33" s="1"/>
  <c r="KV5" i="33"/>
  <c r="KU5" i="33"/>
  <c r="KS5" i="33"/>
  <c r="KS19" i="33" s="1"/>
  <c r="KL5" i="33"/>
  <c r="KK5" i="33"/>
  <c r="KI5" i="33"/>
  <c r="KI19" i="33" s="1"/>
  <c r="KE5" i="33"/>
  <c r="KD5" i="33"/>
  <c r="KB5" i="33"/>
  <c r="KB19" i="33" s="1"/>
  <c r="KA5" i="33"/>
  <c r="KA19" i="33" s="1"/>
  <c r="JY5" i="33"/>
  <c r="JY19" i="33" s="1"/>
  <c r="JR5" i="33"/>
  <c r="JQ5" i="33"/>
  <c r="JQ19" i="33" s="1"/>
  <c r="JO5" i="33"/>
  <c r="JO19" i="33" s="1"/>
  <c r="JJ5" i="33"/>
  <c r="JJ19" i="33" s="1"/>
  <c r="JH5" i="33"/>
  <c r="JH19" i="33" s="1"/>
  <c r="JG5" i="33"/>
  <c r="JG19" i="33" s="1"/>
  <c r="JE5" i="33"/>
  <c r="JE19" i="33" s="1"/>
  <c r="IX5" i="33"/>
  <c r="IW5" i="33"/>
  <c r="IU5" i="33"/>
  <c r="IN5" i="33"/>
  <c r="IN19" i="33" s="1"/>
  <c r="IM5" i="33"/>
  <c r="IK5" i="33"/>
  <c r="IK19" i="33" s="1"/>
  <c r="IJ5" i="33"/>
  <c r="IJ19" i="33" s="1"/>
  <c r="IF5" i="33"/>
  <c r="IE5" i="33"/>
  <c r="IC5" i="33"/>
  <c r="IC19" i="33" s="1"/>
  <c r="IB5" i="33"/>
  <c r="HX5" i="33"/>
  <c r="HX19" i="33" s="1"/>
  <c r="HW5" i="33"/>
  <c r="HW19" i="33" s="1"/>
  <c r="HV5" i="33"/>
  <c r="HU5" i="33"/>
  <c r="HU19" i="33" s="1"/>
  <c r="HT5" i="33"/>
  <c r="HT19" i="33" s="1"/>
  <c r="HP5" i="33"/>
  <c r="HO5" i="33"/>
  <c r="HO19" i="33" s="1"/>
  <c r="HM5" i="33"/>
  <c r="HM19" i="33" s="1"/>
  <c r="HL5" i="33"/>
  <c r="HH5" i="33"/>
  <c r="HG5" i="33"/>
  <c r="HE5" i="33"/>
  <c r="HE19" i="33" s="1"/>
  <c r="HD5" i="33"/>
  <c r="HD19" i="33" s="1"/>
  <c r="HA5" i="33"/>
  <c r="HA19" i="33" s="1"/>
  <c r="GY5" i="33"/>
  <c r="GY19" i="33" s="1"/>
  <c r="GX5" i="33"/>
  <c r="GV5" i="33"/>
  <c r="GV19" i="33" s="1"/>
  <c r="GS5" i="33"/>
  <c r="GR5" i="33"/>
  <c r="GQ5" i="33"/>
  <c r="GO5" i="33"/>
  <c r="GO19" i="33" s="1"/>
  <c r="GN5" i="33"/>
  <c r="GN19" i="33" s="1"/>
  <c r="GR51" i="33" s="1"/>
  <c r="GL5" i="33"/>
  <c r="GH5" i="33"/>
  <c r="GH19" i="33" s="1"/>
  <c r="GG5" i="33"/>
  <c r="GE5" i="33"/>
  <c r="GD5" i="33"/>
  <c r="GB5" i="33"/>
  <c r="GB19" i="33" s="1"/>
  <c r="FY5" i="33"/>
  <c r="FX5" i="33"/>
  <c r="FW5" i="33"/>
  <c r="FU5" i="33"/>
  <c r="FT5" i="33"/>
  <c r="FR5" i="33"/>
  <c r="FM5" i="33"/>
  <c r="FL5" i="33"/>
  <c r="FL19" i="33" s="1"/>
  <c r="FN51" i="33" s="1"/>
  <c r="FJ5" i="33"/>
  <c r="FJ19" i="33" s="1"/>
  <c r="FG5" i="33"/>
  <c r="FF5" i="33"/>
  <c r="FE5" i="33"/>
  <c r="FD5" i="33"/>
  <c r="FD19" i="33" s="1"/>
  <c r="FF51" i="33" s="1"/>
  <c r="FB5" i="33"/>
  <c r="FB19" i="33" s="1"/>
  <c r="EY5" i="33"/>
  <c r="EX5" i="33"/>
  <c r="EW5" i="33"/>
  <c r="EV5" i="33"/>
  <c r="EV19" i="33" s="1"/>
  <c r="EX51" i="33" s="1"/>
  <c r="ET5" i="33"/>
  <c r="ET19" i="33" s="1"/>
  <c r="EO5" i="33"/>
  <c r="EN5" i="33"/>
  <c r="EL5" i="33"/>
  <c r="EL19" i="33" s="1"/>
  <c r="EH5" i="33"/>
  <c r="EG5" i="33"/>
  <c r="EF5" i="33"/>
  <c r="EF19" i="33" s="1"/>
  <c r="EH51" i="33" s="1"/>
  <c r="ED5" i="33"/>
  <c r="EA5" i="33"/>
  <c r="DZ5" i="33"/>
  <c r="DY5" i="33"/>
  <c r="DY19" i="33" s="1"/>
  <c r="DX5" i="33"/>
  <c r="DV5" i="33"/>
  <c r="DV19" i="33" s="1"/>
  <c r="DS5" i="33"/>
  <c r="DR5" i="33"/>
  <c r="DQ5" i="33"/>
  <c r="DQ19" i="33" s="1"/>
  <c r="DQ50" i="33" s="1"/>
  <c r="DQ52" i="33" s="1"/>
  <c r="DQ54" i="33" s="1"/>
  <c r="DP5" i="33"/>
  <c r="DP19" i="33" s="1"/>
  <c r="DN5" i="33"/>
  <c r="DN19" i="33" s="1"/>
  <c r="DI5" i="33"/>
  <c r="DH5" i="33"/>
  <c r="DH19" i="33" s="1"/>
  <c r="DF5" i="33"/>
  <c r="DF19" i="33" s="1"/>
  <c r="CZ5" i="33"/>
  <c r="CY5" i="33"/>
  <c r="CY19" i="33" s="1"/>
  <c r="CW5" i="33"/>
  <c r="CW19" i="33" s="1"/>
  <c r="CV5" i="33"/>
  <c r="CT5" i="33"/>
  <c r="CS5" i="33"/>
  <c r="CR5" i="33"/>
  <c r="CP5" i="33"/>
  <c r="CM5" i="33"/>
  <c r="CL5" i="33"/>
  <c r="CK5" i="33"/>
  <c r="CJ5" i="33"/>
  <c r="CH5" i="33"/>
  <c r="CE5" i="33"/>
  <c r="CD5" i="33"/>
  <c r="CC5" i="33"/>
  <c r="CB5" i="33"/>
  <c r="CB19" i="33" s="1"/>
  <c r="BZ5" i="33"/>
  <c r="BU5" i="33"/>
  <c r="BT5" i="33"/>
  <c r="BT19" i="33" s="1"/>
  <c r="BR5" i="33"/>
  <c r="BM5" i="33"/>
  <c r="BN5" i="33" s="1"/>
  <c r="BL5" i="33"/>
  <c r="BL19" i="33" s="1"/>
  <c r="BJ5" i="33"/>
  <c r="BE5" i="33"/>
  <c r="BE19" i="33" s="1"/>
  <c r="BD5" i="33"/>
  <c r="BD19" i="33" s="1"/>
  <c r="BB5" i="33"/>
  <c r="BB19" i="33" s="1"/>
  <c r="AY5" i="33"/>
  <c r="AX5" i="33"/>
  <c r="AX19" i="33" s="1"/>
  <c r="AW5" i="33"/>
  <c r="AW19" i="33" s="1"/>
  <c r="AV5" i="33"/>
  <c r="AV19" i="33" s="1"/>
  <c r="AT5" i="33"/>
  <c r="AT19" i="33" s="1"/>
  <c r="AQ5" i="33"/>
  <c r="AO5" i="33"/>
  <c r="AN5" i="33"/>
  <c r="AL5" i="33"/>
  <c r="AL19" i="33" s="1"/>
  <c r="AH5" i="33"/>
  <c r="AG5" i="33"/>
  <c r="AF5" i="33"/>
  <c r="AF19" i="33" s="1"/>
  <c r="AD5" i="33"/>
  <c r="AD19" i="33" s="1"/>
  <c r="AA5" i="33"/>
  <c r="Y5" i="33"/>
  <c r="Y19" i="33" s="1"/>
  <c r="X5" i="33"/>
  <c r="X19" i="33" s="1"/>
  <c r="V5" i="33"/>
  <c r="V19" i="33" s="1"/>
  <c r="S5" i="33"/>
  <c r="R5" i="33"/>
  <c r="R19" i="33" s="1"/>
  <c r="Q5" i="33"/>
  <c r="Q19" i="33" s="1"/>
  <c r="P5" i="33"/>
  <c r="P19" i="33" s="1"/>
  <c r="N5" i="33"/>
  <c r="I5" i="33"/>
  <c r="H5" i="33"/>
  <c r="H19" i="33" s="1"/>
  <c r="F5" i="33"/>
  <c r="F19" i="33" s="1"/>
  <c r="UR22" i="33" l="1"/>
  <c r="RM22" i="33"/>
  <c r="UQ22" i="33" s="1"/>
  <c r="TM90" i="36"/>
  <c r="TI17" i="36"/>
  <c r="H25" i="39"/>
  <c r="H26" i="39"/>
  <c r="X26" i="39"/>
  <c r="X25" i="39"/>
  <c r="X27" i="39" s="1"/>
  <c r="R10" i="39"/>
  <c r="DW10" i="39"/>
  <c r="GY6" i="39"/>
  <c r="DY6" i="39"/>
  <c r="DX6" i="39"/>
  <c r="DX10" i="39" s="1"/>
  <c r="EX23" i="39"/>
  <c r="EY10" i="39"/>
  <c r="GM6" i="39"/>
  <c r="GL10" i="39"/>
  <c r="F10" i="39"/>
  <c r="G6" i="39"/>
  <c r="G10" i="39" s="1"/>
  <c r="R6" i="39"/>
  <c r="Y6" i="39"/>
  <c r="AE6" i="39"/>
  <c r="AE10" i="39" s="1"/>
  <c r="AL10" i="39"/>
  <c r="AN6" i="39"/>
  <c r="AM6" i="39"/>
  <c r="AM10" i="39" s="1"/>
  <c r="BB10" i="39"/>
  <c r="BD6" i="39"/>
  <c r="BC6" i="39"/>
  <c r="BC10" i="39" s="1"/>
  <c r="BR10" i="39"/>
  <c r="BT6" i="39"/>
  <c r="BS6" i="39"/>
  <c r="BS10" i="39" s="1"/>
  <c r="DG10" i="39"/>
  <c r="DI6" i="39"/>
  <c r="DH6" i="39"/>
  <c r="DH10" i="39" s="1"/>
  <c r="EH10" i="39"/>
  <c r="EI6" i="39"/>
  <c r="FG6" i="39"/>
  <c r="FN10" i="39"/>
  <c r="FO6" i="39"/>
  <c r="GD6" i="39"/>
  <c r="GK10" i="39"/>
  <c r="GK23" i="39" s="1"/>
  <c r="GK25" i="39" s="1"/>
  <c r="GK27" i="39" s="1"/>
  <c r="GS23" i="39"/>
  <c r="GS25" i="39" s="1"/>
  <c r="GS27" i="39" s="1"/>
  <c r="CZ22" i="39"/>
  <c r="EX22" i="39"/>
  <c r="HB14" i="39"/>
  <c r="J6" i="39"/>
  <c r="CH10" i="39"/>
  <c r="CJ6" i="39"/>
  <c r="CI6" i="39"/>
  <c r="CI10" i="39" s="1"/>
  <c r="EQ6" i="39"/>
  <c r="EP10" i="39"/>
  <c r="FF23" i="39"/>
  <c r="FG10" i="39"/>
  <c r="FW6" i="39"/>
  <c r="FV10" i="39"/>
  <c r="GT23" i="39"/>
  <c r="P10" i="39"/>
  <c r="P23" i="39" s="1"/>
  <c r="CB23" i="39"/>
  <c r="CB25" i="39" s="1"/>
  <c r="CB27" i="39" s="1"/>
  <c r="AF6" i="39"/>
  <c r="AU10" i="39"/>
  <c r="CD6" i="39"/>
  <c r="CC10" i="39"/>
  <c r="CT6" i="39"/>
  <c r="CS10" i="39"/>
  <c r="DS6" i="39"/>
  <c r="DR10" i="39"/>
  <c r="EV10" i="39"/>
  <c r="GZ6" i="39"/>
  <c r="GZ10" i="39" s="1"/>
  <c r="BL10" i="39"/>
  <c r="BL23" i="39" s="1"/>
  <c r="BL25" i="39" s="1"/>
  <c r="BL27" i="39" s="1"/>
  <c r="CR10" i="39"/>
  <c r="CR23" i="39" s="1"/>
  <c r="CR25" i="39" s="1"/>
  <c r="CR27" i="39" s="1"/>
  <c r="EG23" i="39"/>
  <c r="EO10" i="39"/>
  <c r="EO23" i="39" s="1"/>
  <c r="EO25" i="39" s="1"/>
  <c r="EO27" i="39" s="1"/>
  <c r="FU10" i="39"/>
  <c r="FU23" i="39" s="1"/>
  <c r="FU25" i="39" s="1"/>
  <c r="FU27" i="39" s="1"/>
  <c r="DA14" i="39"/>
  <c r="HB15" i="39"/>
  <c r="HB22" i="39" s="1"/>
  <c r="J10" i="39"/>
  <c r="V10" i="39"/>
  <c r="W6" i="39"/>
  <c r="W10" i="39" s="1"/>
  <c r="AX6" i="39"/>
  <c r="AW10" i="39"/>
  <c r="BN6" i="39"/>
  <c r="BM10" i="39"/>
  <c r="DQ25" i="39"/>
  <c r="DQ27" i="39" s="1"/>
  <c r="DQ26" i="39"/>
  <c r="DA15" i="39"/>
  <c r="CW6" i="39"/>
  <c r="CW10" i="39" s="1"/>
  <c r="GX6" i="39"/>
  <c r="GX10" i="39" s="1"/>
  <c r="ET10" i="39"/>
  <c r="GP10" i="39"/>
  <c r="GU10" i="39" s="1"/>
  <c r="I22" i="39"/>
  <c r="I23" i="39" s="1"/>
  <c r="AG22" i="39"/>
  <c r="EH22" i="39"/>
  <c r="HB16" i="39"/>
  <c r="DA20" i="39"/>
  <c r="CX6" i="39"/>
  <c r="AO22" i="39"/>
  <c r="DA16" i="39"/>
  <c r="Q13" i="39"/>
  <c r="Q22" i="39" s="1"/>
  <c r="Q23" i="39" s="1"/>
  <c r="DR22" i="39"/>
  <c r="HB13" i="39"/>
  <c r="CB22" i="39"/>
  <c r="CC18" i="39"/>
  <c r="CC22" i="39" s="1"/>
  <c r="HA20" i="39"/>
  <c r="HA22" i="39" s="1"/>
  <c r="J6" i="34"/>
  <c r="I18" i="34"/>
  <c r="Q47" i="34"/>
  <c r="R18" i="34"/>
  <c r="AV50" i="34"/>
  <c r="AV49" i="34"/>
  <c r="AV51" i="34" s="1"/>
  <c r="CC50" i="34"/>
  <c r="CC49" i="34"/>
  <c r="DI50" i="34"/>
  <c r="DI49" i="34"/>
  <c r="DI51" i="34" s="1"/>
  <c r="GD50" i="34"/>
  <c r="GD49" i="34"/>
  <c r="IH49" i="34"/>
  <c r="IH50" i="34"/>
  <c r="AP6" i="34"/>
  <c r="AO18" i="34"/>
  <c r="BT50" i="34"/>
  <c r="BT49" i="34"/>
  <c r="BT51" i="34" s="1"/>
  <c r="DC18" i="34"/>
  <c r="DB47" i="34"/>
  <c r="HZ50" i="34"/>
  <c r="HZ49" i="34"/>
  <c r="HZ51" i="34" s="1"/>
  <c r="E53" i="34"/>
  <c r="AF49" i="34"/>
  <c r="AF50" i="34"/>
  <c r="BD18" i="34"/>
  <c r="BD47" i="34" s="1"/>
  <c r="BE6" i="34"/>
  <c r="CS49" i="34"/>
  <c r="CS50" i="34"/>
  <c r="DY49" i="34"/>
  <c r="DY50" i="34"/>
  <c r="EI6" i="34"/>
  <c r="EH18" i="34"/>
  <c r="FN50" i="34"/>
  <c r="FN49" i="34"/>
  <c r="FN51" i="34" s="1"/>
  <c r="GU18" i="34"/>
  <c r="GV6" i="34"/>
  <c r="HS47" i="34"/>
  <c r="HT18" i="34"/>
  <c r="AW47" i="34"/>
  <c r="AX18" i="34"/>
  <c r="HB49" i="34"/>
  <c r="HB50" i="34"/>
  <c r="HK47" i="34"/>
  <c r="HL18" i="34"/>
  <c r="P50" i="34"/>
  <c r="P49" i="34"/>
  <c r="P51" i="34" s="1"/>
  <c r="BL49" i="34"/>
  <c r="BL50" i="34"/>
  <c r="CL18" i="34"/>
  <c r="CM6" i="34"/>
  <c r="DS6" i="34"/>
  <c r="DR18" i="34"/>
  <c r="EA18" i="34"/>
  <c r="DZ47" i="34"/>
  <c r="GL50" i="34"/>
  <c r="GL49" i="34"/>
  <c r="GL51" i="34" s="1"/>
  <c r="IQ47" i="34"/>
  <c r="IR18" i="34"/>
  <c r="X18" i="34"/>
  <c r="X47" i="34" s="1"/>
  <c r="DA50" i="34"/>
  <c r="DA49" i="34"/>
  <c r="EG18" i="34"/>
  <c r="EG47" i="34" s="1"/>
  <c r="R6" i="34"/>
  <c r="Y6" i="34"/>
  <c r="AX6" i="34"/>
  <c r="BC6" i="34"/>
  <c r="BC18" i="34" s="1"/>
  <c r="BQ6" i="34"/>
  <c r="BQ18" i="34" s="1"/>
  <c r="CT6" i="34"/>
  <c r="EA6" i="34"/>
  <c r="FH6" i="34"/>
  <c r="FO6" i="34"/>
  <c r="FT18" i="34"/>
  <c r="IV6" i="34"/>
  <c r="IV18" i="34" s="1"/>
  <c r="GE6" i="34"/>
  <c r="HT6" i="34"/>
  <c r="IA6" i="34"/>
  <c r="AZ18" i="34"/>
  <c r="CK18" i="34"/>
  <c r="CK47" i="34" s="1"/>
  <c r="FG18" i="34"/>
  <c r="GT18" i="34"/>
  <c r="GT47" i="34" s="1"/>
  <c r="HJ50" i="34"/>
  <c r="HJ49" i="34"/>
  <c r="HJ51" i="34" s="1"/>
  <c r="IP18" i="34"/>
  <c r="IP47" i="34" s="1"/>
  <c r="IP49" i="34" s="1"/>
  <c r="IP51" i="34" s="1"/>
  <c r="EX22" i="34"/>
  <c r="EX46" i="34" s="1"/>
  <c r="IY22" i="34"/>
  <c r="IY46" i="34" s="1"/>
  <c r="H50" i="34"/>
  <c r="H49" i="34"/>
  <c r="DQ50" i="34"/>
  <c r="DQ49" i="34"/>
  <c r="DQ51" i="34" s="1"/>
  <c r="HC18" i="34"/>
  <c r="AG6" i="34"/>
  <c r="BI6" i="34"/>
  <c r="BI18" i="34" s="1"/>
  <c r="CD6" i="34"/>
  <c r="DJ6" i="34"/>
  <c r="EN6" i="34"/>
  <c r="EN18" i="34" s="1"/>
  <c r="FU6" i="34"/>
  <c r="GM6" i="34"/>
  <c r="II6" i="34"/>
  <c r="IR6" i="34"/>
  <c r="FS18" i="34"/>
  <c r="CT46" i="34"/>
  <c r="HC46" i="34"/>
  <c r="II46" i="34"/>
  <c r="AN50" i="34"/>
  <c r="AN49" i="34"/>
  <c r="FF49" i="34"/>
  <c r="FF50" i="34"/>
  <c r="BS6" i="34"/>
  <c r="BS18" i="34" s="1"/>
  <c r="CR6" i="34"/>
  <c r="CR18" i="34" s="1"/>
  <c r="EO6" i="34"/>
  <c r="FV6" i="34"/>
  <c r="HR47" i="34"/>
  <c r="IY23" i="34"/>
  <c r="QA5" i="33"/>
  <c r="VL5" i="33"/>
  <c r="WP5" i="33"/>
  <c r="FM19" i="33"/>
  <c r="FO5" i="33"/>
  <c r="GH50" i="33"/>
  <c r="GI19" i="33"/>
  <c r="HQ5" i="33"/>
  <c r="LF19" i="33"/>
  <c r="LH5" i="33"/>
  <c r="TK19" i="33"/>
  <c r="TL5" i="33"/>
  <c r="WD19" i="33"/>
  <c r="WD50" i="33" s="1"/>
  <c r="WE5" i="33"/>
  <c r="I19" i="33"/>
  <c r="J5" i="33"/>
  <c r="BF5" i="33"/>
  <c r="BF19" i="33" s="1"/>
  <c r="BU19" i="33"/>
  <c r="BV5" i="33"/>
  <c r="FN5" i="33"/>
  <c r="LZ19" i="33"/>
  <c r="MB5" i="33"/>
  <c r="RA19" i="33"/>
  <c r="RC5" i="33"/>
  <c r="VE19" i="33"/>
  <c r="AAC5" i="33"/>
  <c r="AAC19" i="33" s="1"/>
  <c r="VR19" i="33"/>
  <c r="VT5" i="33"/>
  <c r="WI19" i="33"/>
  <c r="AAK5" i="33"/>
  <c r="WV19" i="33"/>
  <c r="WX5" i="33"/>
  <c r="YW5" i="33"/>
  <c r="ZP19" i="33"/>
  <c r="AI6" i="33"/>
  <c r="AH6" i="33"/>
  <c r="BO6" i="33"/>
  <c r="BN6" i="33"/>
  <c r="BN19" i="33" s="1"/>
  <c r="MZ19" i="33"/>
  <c r="OP6" i="33"/>
  <c r="NF6" i="33"/>
  <c r="NA6" i="33"/>
  <c r="PQ6" i="33"/>
  <c r="TS6" i="33"/>
  <c r="TL6" i="33"/>
  <c r="AAF6" i="33"/>
  <c r="AAO6" i="33"/>
  <c r="AAP6" i="33" s="1"/>
  <c r="WP6" i="33"/>
  <c r="XJ6" i="33"/>
  <c r="YD6" i="33"/>
  <c r="ABE6" i="33"/>
  <c r="ABF6" i="33" s="1"/>
  <c r="YX6" i="33"/>
  <c r="ZR6" i="33"/>
  <c r="HZ7" i="33"/>
  <c r="OL7" i="33"/>
  <c r="YD7" i="33"/>
  <c r="ZH7" i="33"/>
  <c r="ZR7" i="33"/>
  <c r="AAW8" i="33"/>
  <c r="XT8" i="33"/>
  <c r="TM9" i="33"/>
  <c r="K10" i="33"/>
  <c r="J10" i="33"/>
  <c r="HK10" i="33"/>
  <c r="HJ10" i="33"/>
  <c r="OU10" i="33"/>
  <c r="MN10" i="33"/>
  <c r="NK10" i="33"/>
  <c r="NH10" i="33"/>
  <c r="RE10" i="33"/>
  <c r="RO10" i="33"/>
  <c r="UR10" i="33"/>
  <c r="US10" i="33" s="1"/>
  <c r="SI10" i="33"/>
  <c r="SS10" i="33"/>
  <c r="NK11" i="33"/>
  <c r="OQ11" i="33"/>
  <c r="NH11" i="33"/>
  <c r="UY11" i="33"/>
  <c r="SR11" i="33"/>
  <c r="CM12" i="33"/>
  <c r="CL12" i="33"/>
  <c r="II12" i="33"/>
  <c r="IH12" i="33"/>
  <c r="HI26" i="33"/>
  <c r="HY26" i="33"/>
  <c r="K5" i="33"/>
  <c r="AN19" i="33"/>
  <c r="BG5" i="33"/>
  <c r="BW5" i="33"/>
  <c r="DA5" i="33"/>
  <c r="HF5" i="33"/>
  <c r="HF19" i="33" s="1"/>
  <c r="IG5" i="33"/>
  <c r="IL5" i="33"/>
  <c r="IL19" i="33" s="1"/>
  <c r="JR19" i="33"/>
  <c r="JT5" i="33"/>
  <c r="KK19" i="33"/>
  <c r="LS5" i="33"/>
  <c r="ML19" i="33"/>
  <c r="MT19" i="33"/>
  <c r="MV5" i="33"/>
  <c r="OA5" i="33"/>
  <c r="OA19" i="33" s="1"/>
  <c r="OS5" i="33"/>
  <c r="QT5" i="33"/>
  <c r="SQ5" i="33"/>
  <c r="TP5" i="33"/>
  <c r="WK19" i="33"/>
  <c r="XH53" i="33"/>
  <c r="XP19" i="33"/>
  <c r="XR5" i="33"/>
  <c r="YI19" i="33"/>
  <c r="ZK19" i="33"/>
  <c r="ZQ5" i="33"/>
  <c r="AAE5" i="33"/>
  <c r="ABA5" i="33"/>
  <c r="ABA19" i="33" s="1"/>
  <c r="DC6" i="33"/>
  <c r="DB6" i="33"/>
  <c r="EI6" i="33"/>
  <c r="EH6" i="33"/>
  <c r="EI19" i="33" s="1"/>
  <c r="FO6" i="33"/>
  <c r="FN6" i="33"/>
  <c r="II6" i="33"/>
  <c r="IH6" i="33"/>
  <c r="NX6" i="33"/>
  <c r="LT6" i="33"/>
  <c r="MM6" i="33"/>
  <c r="NV6" i="33"/>
  <c r="UY6" i="33"/>
  <c r="ZW6" i="33"/>
  <c r="AAV6" i="33"/>
  <c r="BW7" i="33"/>
  <c r="BV7" i="33"/>
  <c r="EY7" i="33"/>
  <c r="EX7" i="33"/>
  <c r="OD7" i="33"/>
  <c r="KO7" i="33"/>
  <c r="OM7" i="33"/>
  <c r="ON7" i="33" s="1"/>
  <c r="LJ7" i="33"/>
  <c r="TM7" i="33"/>
  <c r="AAK8" i="33"/>
  <c r="ZU8" i="33"/>
  <c r="VL9" i="33"/>
  <c r="ZR9" i="33"/>
  <c r="ZY9" i="33"/>
  <c r="ABD9" i="33"/>
  <c r="OI10" i="33"/>
  <c r="AAG10" i="33"/>
  <c r="AAH10" i="33" s="1"/>
  <c r="VL10" i="33"/>
  <c r="ABC10" i="33"/>
  <c r="OC11" i="33"/>
  <c r="NM11" i="33"/>
  <c r="UA11" i="33"/>
  <c r="PF11" i="33"/>
  <c r="UB11" i="33" s="1"/>
  <c r="HV12" i="33"/>
  <c r="HY12" i="33"/>
  <c r="OC12" i="33"/>
  <c r="NG12" i="33"/>
  <c r="NN12" i="33"/>
  <c r="HV13" i="33"/>
  <c r="HY13" i="33"/>
  <c r="HZ13" i="33" s="1"/>
  <c r="YM15" i="33"/>
  <c r="ZX15" i="33"/>
  <c r="ZY16" i="33"/>
  <c r="ZR16" i="33"/>
  <c r="TS17" i="33"/>
  <c r="AY19" i="33"/>
  <c r="HV19" i="33"/>
  <c r="IW19" i="33"/>
  <c r="NU5" i="33"/>
  <c r="NU19" i="33" s="1"/>
  <c r="NW51" i="33" s="1"/>
  <c r="KE19" i="33"/>
  <c r="KF5" i="33"/>
  <c r="NH5" i="33"/>
  <c r="PG5" i="33"/>
  <c r="QG19" i="33"/>
  <c r="QI5" i="33"/>
  <c r="BM19" i="33"/>
  <c r="BM50" i="33" s="1"/>
  <c r="BM52" i="33" s="1"/>
  <c r="BM54" i="33" s="1"/>
  <c r="BO5" i="33"/>
  <c r="HI5" i="33"/>
  <c r="HN5" i="33"/>
  <c r="HN19" i="33" s="1"/>
  <c r="IO5" i="33"/>
  <c r="IX19" i="33"/>
  <c r="IZ5" i="33"/>
  <c r="KY5" i="33"/>
  <c r="RX5" i="33"/>
  <c r="VJ19" i="33"/>
  <c r="AAF5" i="33"/>
  <c r="WN19" i="33"/>
  <c r="AAN5" i="33"/>
  <c r="CU6" i="33"/>
  <c r="CT6" i="33"/>
  <c r="CT19" i="33" s="1"/>
  <c r="IA6" i="33"/>
  <c r="HZ6" i="33"/>
  <c r="LG19" i="33"/>
  <c r="LH6" i="33"/>
  <c r="NJ6" i="33"/>
  <c r="UJ6" i="33"/>
  <c r="UK6" i="33" s="1"/>
  <c r="QK6" i="33"/>
  <c r="SS6" i="33"/>
  <c r="UZ6" i="33"/>
  <c r="VA6" i="33" s="1"/>
  <c r="ZU6" i="33"/>
  <c r="FF7" i="33"/>
  <c r="FF19" i="33" s="1"/>
  <c r="FG7" i="33"/>
  <c r="DI19" i="33"/>
  <c r="DK5" i="33"/>
  <c r="DJ5" i="33"/>
  <c r="EN19" i="33"/>
  <c r="EP51" i="33" s="1"/>
  <c r="N19" i="33"/>
  <c r="S19" i="33" s="1"/>
  <c r="Z5" i="33"/>
  <c r="AG19" i="33"/>
  <c r="AG50" i="33" s="1"/>
  <c r="AG52" i="33" s="1"/>
  <c r="AG54" i="33" s="1"/>
  <c r="AI5" i="33"/>
  <c r="AO19" i="33"/>
  <c r="AP5" i="33"/>
  <c r="BR19" i="33"/>
  <c r="CD29" i="33"/>
  <c r="CD49" i="33" s="1"/>
  <c r="BZ19" i="33"/>
  <c r="CL19" i="33"/>
  <c r="CS19" i="33"/>
  <c r="CS50" i="33" s="1"/>
  <c r="CS52" i="33" s="1"/>
  <c r="CS54" i="33" s="1"/>
  <c r="CU5" i="33"/>
  <c r="CX5" i="33"/>
  <c r="CX19" i="33" s="1"/>
  <c r="EG19" i="33"/>
  <c r="EI5" i="33"/>
  <c r="EO19" i="33"/>
  <c r="EO50" i="33" s="1"/>
  <c r="EO52" i="33" s="1"/>
  <c r="EO54" i="33" s="1"/>
  <c r="EQ5" i="33"/>
  <c r="EP5" i="33"/>
  <c r="FT19" i="33"/>
  <c r="FX51" i="33" s="1"/>
  <c r="GG19" i="33"/>
  <c r="GI5" i="33"/>
  <c r="HB5" i="33"/>
  <c r="HY5" i="33"/>
  <c r="ID5" i="33"/>
  <c r="ID19" i="33" s="1"/>
  <c r="JK5" i="33"/>
  <c r="KD19" i="33"/>
  <c r="OD5" i="33"/>
  <c r="KL19" i="33"/>
  <c r="KN5" i="33"/>
  <c r="LE19" i="33"/>
  <c r="OK5" i="33"/>
  <c r="MG19" i="33"/>
  <c r="OQ5" i="33"/>
  <c r="MM5" i="33"/>
  <c r="NF19" i="33"/>
  <c r="NN5" i="33"/>
  <c r="PE19" i="33"/>
  <c r="UA5" i="33"/>
  <c r="PM19" i="33"/>
  <c r="PO5" i="33"/>
  <c r="QF19" i="33"/>
  <c r="UH5" i="33"/>
  <c r="RH19" i="33"/>
  <c r="UN5" i="33"/>
  <c r="UN19" i="33" s="1"/>
  <c r="RM5" i="33"/>
  <c r="TX5" i="33"/>
  <c r="UP5" i="33"/>
  <c r="UX5" i="33"/>
  <c r="XC19" i="33"/>
  <c r="XI5" i="33"/>
  <c r="YJ19" i="33"/>
  <c r="YL5" i="33"/>
  <c r="ZC19" i="33"/>
  <c r="ABC5" i="33"/>
  <c r="AAM5" i="33"/>
  <c r="AAU5" i="33"/>
  <c r="AAU19" i="33" s="1"/>
  <c r="HI6" i="33"/>
  <c r="IO6" i="33"/>
  <c r="JB6" i="33"/>
  <c r="KF6" i="33"/>
  <c r="OE6" i="33"/>
  <c r="OF6" i="33" s="1"/>
  <c r="OK6" i="33"/>
  <c r="NM6" i="33"/>
  <c r="TR6" i="33"/>
  <c r="VK6" i="33"/>
  <c r="AAN6" i="33"/>
  <c r="JB7" i="33"/>
  <c r="JL7" i="33"/>
  <c r="NW7" i="33"/>
  <c r="NX7" i="33" s="1"/>
  <c r="MM7" i="33"/>
  <c r="OT7" i="33"/>
  <c r="NO7" i="33"/>
  <c r="NP7" i="33" s="1"/>
  <c r="UA7" i="33"/>
  <c r="PF7" i="33"/>
  <c r="QM19" i="33"/>
  <c r="QS7" i="33"/>
  <c r="TS7" i="33" s="1"/>
  <c r="UE7" i="33"/>
  <c r="TO7" i="33"/>
  <c r="TO19" i="33" s="1"/>
  <c r="QN7" i="33"/>
  <c r="UF7" i="33" s="1"/>
  <c r="UF19" i="33" s="1"/>
  <c r="RN7" i="33"/>
  <c r="UQ7" i="33"/>
  <c r="TC7" i="33"/>
  <c r="UV7" i="33"/>
  <c r="UV19" i="33" s="1"/>
  <c r="VK7" i="33"/>
  <c r="AAF7" i="33"/>
  <c r="UC8" i="33"/>
  <c r="AAM8" i="33"/>
  <c r="FY10" i="33"/>
  <c r="FX10" i="33"/>
  <c r="HR10" i="33"/>
  <c r="IY19" i="33"/>
  <c r="IZ10" i="33"/>
  <c r="OK10" i="33"/>
  <c r="TL10" i="33"/>
  <c r="UI11" i="33"/>
  <c r="QJ11" i="33"/>
  <c r="UJ11" i="33" s="1"/>
  <c r="TS11" i="33"/>
  <c r="TL11" i="33"/>
  <c r="GS12" i="33"/>
  <c r="IO12" i="33"/>
  <c r="GR12" i="33"/>
  <c r="PF12" i="33"/>
  <c r="UB12" i="33" s="1"/>
  <c r="UC12" i="33" s="1"/>
  <c r="UA12" i="33"/>
  <c r="TP12" i="33"/>
  <c r="UV12" i="33"/>
  <c r="TM12" i="33"/>
  <c r="CL29" i="33"/>
  <c r="CL49" i="33" s="1"/>
  <c r="CH19" i="33"/>
  <c r="NA19" i="33"/>
  <c r="SE19" i="33"/>
  <c r="SG5" i="33"/>
  <c r="TS5" i="33" s="1"/>
  <c r="UE19" i="33"/>
  <c r="YC19" i="33"/>
  <c r="YD5" i="33"/>
  <c r="ZD19" i="33"/>
  <c r="ZF5" i="33"/>
  <c r="ZX5" i="33" s="1"/>
  <c r="ZX19" i="33" s="1"/>
  <c r="ZU5" i="33"/>
  <c r="K6" i="33"/>
  <c r="J6" i="33"/>
  <c r="HS6" i="33"/>
  <c r="HR6" i="33"/>
  <c r="MU19" i="33"/>
  <c r="MV6" i="33"/>
  <c r="MW6" i="33" s="1"/>
  <c r="MX6" i="33" s="1"/>
  <c r="UA6" i="33"/>
  <c r="PF6" i="33"/>
  <c r="PF19" i="33" s="1"/>
  <c r="RN6" i="33"/>
  <c r="UQ6" i="33"/>
  <c r="XT6" i="33"/>
  <c r="AAW6" i="33"/>
  <c r="AAX6" i="33" s="1"/>
  <c r="ZX6" i="33"/>
  <c r="VA7" i="33"/>
  <c r="AAW7" i="33"/>
  <c r="AAX7" i="33" s="1"/>
  <c r="ZW7" i="33"/>
  <c r="NO8" i="33"/>
  <c r="TC8" i="33"/>
  <c r="ZX8" i="33"/>
  <c r="ABD8" i="33"/>
  <c r="ZQ8" i="33"/>
  <c r="XJ9" i="33"/>
  <c r="AAW9" i="33"/>
  <c r="XT9" i="33"/>
  <c r="ABE9" i="33"/>
  <c r="ABF9" i="33" s="1"/>
  <c r="YX9" i="33"/>
  <c r="FO10" i="33"/>
  <c r="FN10" i="33"/>
  <c r="IO10" i="33"/>
  <c r="PU19" i="33"/>
  <c r="TY10" i="33"/>
  <c r="TY19" i="33" s="1"/>
  <c r="TQ10" i="33"/>
  <c r="PV10" i="33"/>
  <c r="PY10" i="33"/>
  <c r="PZ10" i="33" s="1"/>
  <c r="QA10" i="33" s="1"/>
  <c r="ABE10" i="33"/>
  <c r="ABF10" i="33" s="1"/>
  <c r="OE11" i="33"/>
  <c r="OF11" i="33" s="1"/>
  <c r="NW11" i="33"/>
  <c r="NX11" i="33" s="1"/>
  <c r="UQ11" i="33"/>
  <c r="RN11" i="33"/>
  <c r="UR11" i="33" s="1"/>
  <c r="CU12" i="33"/>
  <c r="CT12" i="33"/>
  <c r="OM12" i="33"/>
  <c r="ON12" i="33" s="1"/>
  <c r="LJ12" i="33"/>
  <c r="OU12" i="33"/>
  <c r="OV12" i="33" s="1"/>
  <c r="MN12" i="33"/>
  <c r="OT12" i="33"/>
  <c r="TR12" i="33"/>
  <c r="ZW13" i="33"/>
  <c r="ABC13" i="33"/>
  <c r="SL19" i="33"/>
  <c r="DB7" i="33"/>
  <c r="HR7" i="33"/>
  <c r="AAG8" i="33"/>
  <c r="AAH8" i="33" s="1"/>
  <c r="AAS8" i="33"/>
  <c r="UV9" i="33"/>
  <c r="AAM9" i="33"/>
  <c r="AAS9" i="33"/>
  <c r="AQ10" i="33"/>
  <c r="AP10" i="33"/>
  <c r="IG10" i="33"/>
  <c r="OE10" i="33"/>
  <c r="OF10" i="33" s="1"/>
  <c r="OQ10" i="33"/>
  <c r="UH10" i="33"/>
  <c r="ZX10" i="33"/>
  <c r="ABD10" i="33"/>
  <c r="JV11" i="33"/>
  <c r="OS11" i="33"/>
  <c r="NN11" i="33"/>
  <c r="OD11" i="33"/>
  <c r="DC12" i="33"/>
  <c r="DB12" i="33"/>
  <c r="HK12" i="33"/>
  <c r="HJ12" i="33"/>
  <c r="NW12" i="33"/>
  <c r="NX12" i="33" s="1"/>
  <c r="OI12" i="33"/>
  <c r="OI19" i="33" s="1"/>
  <c r="UJ12" i="33"/>
  <c r="UK12" i="33" s="1"/>
  <c r="AAE12" i="33"/>
  <c r="ZW12" i="33"/>
  <c r="TS13" i="33"/>
  <c r="TS14" i="33"/>
  <c r="ABC14" i="33"/>
  <c r="ZW14" i="33"/>
  <c r="MN16" i="33"/>
  <c r="NO16" i="33"/>
  <c r="TP16" i="33"/>
  <c r="AAN16" i="33"/>
  <c r="NN7" i="33"/>
  <c r="ZU7" i="33"/>
  <c r="BJ19" i="33"/>
  <c r="CC19" i="33"/>
  <c r="CJ19" i="33"/>
  <c r="CT29" i="33"/>
  <c r="CT49" i="33" s="1"/>
  <c r="CP19" i="33"/>
  <c r="DX19" i="33"/>
  <c r="ED19" i="33"/>
  <c r="EW19" i="33"/>
  <c r="IH51" i="33"/>
  <c r="FW19" i="33"/>
  <c r="FW50" i="33" s="1"/>
  <c r="FW52" i="33" s="1"/>
  <c r="FW54" i="33" s="1"/>
  <c r="GD19" i="33"/>
  <c r="GH51" i="33" s="1"/>
  <c r="IP51" i="33" s="1"/>
  <c r="GQ19" i="33"/>
  <c r="GX19" i="33"/>
  <c r="HB51" i="33" s="1"/>
  <c r="HG19" i="33"/>
  <c r="IE19" i="33"/>
  <c r="IM19" i="33"/>
  <c r="KU19" i="33"/>
  <c r="LO19" i="33"/>
  <c r="NC19" i="33"/>
  <c r="NM5" i="33"/>
  <c r="OC5" i="33"/>
  <c r="OC19" i="33" s="1"/>
  <c r="OE51" i="33" s="1"/>
  <c r="OG19" i="33"/>
  <c r="OP19" i="33"/>
  <c r="PV19" i="33"/>
  <c r="RJ19" i="33"/>
  <c r="SN19" i="33"/>
  <c r="SY19" i="33"/>
  <c r="TF19" i="33"/>
  <c r="TZ5" i="33"/>
  <c r="UD19" i="33"/>
  <c r="UM19" i="33"/>
  <c r="VH19" i="33"/>
  <c r="VS19" i="33"/>
  <c r="VY19" i="33"/>
  <c r="WL19" i="33"/>
  <c r="XE19" i="33"/>
  <c r="XY19" i="33"/>
  <c r="YS19" i="33"/>
  <c r="ZM19" i="33"/>
  <c r="ZW5" i="33"/>
  <c r="AAB19" i="33"/>
  <c r="AAJ19" i="33"/>
  <c r="AAS5" i="33"/>
  <c r="AAS19" i="33" s="1"/>
  <c r="ABB19" i="33"/>
  <c r="AP6" i="33"/>
  <c r="BV6" i="33"/>
  <c r="DJ6" i="33"/>
  <c r="EP6" i="33"/>
  <c r="FX6" i="33"/>
  <c r="NL6" i="33"/>
  <c r="NL19" i="33" s="1"/>
  <c r="CD7" i="33"/>
  <c r="CD19" i="33" s="1"/>
  <c r="CM7" i="33"/>
  <c r="DJ7" i="33"/>
  <c r="FX7" i="33"/>
  <c r="HI7" i="33"/>
  <c r="IO7" i="33"/>
  <c r="OS7" i="33"/>
  <c r="TX7" i="33"/>
  <c r="QO19" i="33"/>
  <c r="QP7" i="33"/>
  <c r="UH7" i="33" s="1"/>
  <c r="TQ7" i="33"/>
  <c r="TQ19" i="33" s="1"/>
  <c r="UG7" i="33"/>
  <c r="UG19" i="33" s="1"/>
  <c r="WO7" i="33"/>
  <c r="ABC7" i="33"/>
  <c r="QA8" i="33"/>
  <c r="QJ8" i="33"/>
  <c r="TT8" i="33" s="1"/>
  <c r="TU8" i="33" s="1"/>
  <c r="RE8" i="33"/>
  <c r="UR8" i="33"/>
  <c r="US8" i="33" s="1"/>
  <c r="UZ8" i="33"/>
  <c r="TR8" i="33"/>
  <c r="VL8" i="33"/>
  <c r="AAN8" i="33"/>
  <c r="WO8" i="33"/>
  <c r="ZU9" i="33"/>
  <c r="AH10" i="33"/>
  <c r="AH19" i="33" s="1"/>
  <c r="BW10" i="33"/>
  <c r="BV10" i="33"/>
  <c r="DA10" i="33"/>
  <c r="DK10" i="33"/>
  <c r="DJ10" i="33"/>
  <c r="HY10" i="33"/>
  <c r="KF10" i="33"/>
  <c r="OL10" i="33"/>
  <c r="LI10" i="33"/>
  <c r="TZ10" i="33"/>
  <c r="PO10" i="33"/>
  <c r="UP10" i="33"/>
  <c r="TP10" i="33"/>
  <c r="UI10" i="33"/>
  <c r="YX10" i="33"/>
  <c r="ZY10" i="33"/>
  <c r="KF11" i="33"/>
  <c r="OT11" i="33"/>
  <c r="MM11" i="33"/>
  <c r="ZX11" i="33"/>
  <c r="AI12" i="33"/>
  <c r="AH12" i="33"/>
  <c r="EI12" i="33"/>
  <c r="EH12" i="33"/>
  <c r="HS12" i="33"/>
  <c r="HR12" i="33"/>
  <c r="JB12" i="33"/>
  <c r="KF12" i="33"/>
  <c r="OE12" i="33"/>
  <c r="OF12" i="33" s="1"/>
  <c r="NK12" i="33"/>
  <c r="NV12" i="33"/>
  <c r="UR12" i="33"/>
  <c r="US12" i="33" s="1"/>
  <c r="UX12" i="33"/>
  <c r="TS12" i="33"/>
  <c r="AAF12" i="33"/>
  <c r="VK12" i="33"/>
  <c r="ABE12" i="33"/>
  <c r="ABF12" i="33" s="1"/>
  <c r="ZX12" i="33"/>
  <c r="ZQ12" i="33"/>
  <c r="ZY14" i="33"/>
  <c r="ABE14" i="33"/>
  <c r="ZY15" i="33"/>
  <c r="ZZ15" i="33" s="1"/>
  <c r="TS16" i="33"/>
  <c r="ABE16" i="33"/>
  <c r="YX16" i="33"/>
  <c r="TT17" i="33"/>
  <c r="UJ17" i="33"/>
  <c r="CK19" i="33"/>
  <c r="CR19" i="33"/>
  <c r="CT51" i="33" s="1"/>
  <c r="CV19" i="33"/>
  <c r="CZ19" i="33"/>
  <c r="DB51" i="33" s="1"/>
  <c r="DR19" i="33"/>
  <c r="DR50" i="33" s="1"/>
  <c r="DS19" i="33"/>
  <c r="HZ51" i="33"/>
  <c r="EX19" i="33"/>
  <c r="FE19" i="33"/>
  <c r="FR19" i="33"/>
  <c r="FX19" i="33"/>
  <c r="GL19" i="33"/>
  <c r="GR19" i="33"/>
  <c r="HL19" i="33"/>
  <c r="HP19" i="33"/>
  <c r="IB19" i="33"/>
  <c r="IF19" i="33"/>
  <c r="IU19" i="33"/>
  <c r="KV19" i="33"/>
  <c r="LC19" i="33"/>
  <c r="LW19" i="33"/>
  <c r="MJ19" i="33"/>
  <c r="MQ19" i="33"/>
  <c r="ND19" i="33"/>
  <c r="NJ19" i="33"/>
  <c r="NR19" i="33"/>
  <c r="NZ19" i="33"/>
  <c r="OH19" i="33"/>
  <c r="PC19" i="33"/>
  <c r="PJ19" i="33"/>
  <c r="PW19" i="33"/>
  <c r="QD19" i="33"/>
  <c r="QX19" i="33"/>
  <c r="RK19" i="33"/>
  <c r="SB19" i="33"/>
  <c r="TA19" i="33"/>
  <c r="TH19" i="33"/>
  <c r="TR5" i="33"/>
  <c r="WA19" i="33"/>
  <c r="YG19" i="33"/>
  <c r="ZA19" i="33"/>
  <c r="ZT19" i="33"/>
  <c r="LQ19" i="33"/>
  <c r="IG7" i="33"/>
  <c r="QK7" i="33"/>
  <c r="ABD7" i="33"/>
  <c r="YW7" i="33"/>
  <c r="ZY7" i="33" s="1"/>
  <c r="ZZ7" i="33" s="1"/>
  <c r="ZX7" i="33"/>
  <c r="RO8" i="33"/>
  <c r="UV8" i="33"/>
  <c r="SS8" i="33"/>
  <c r="TS8" i="33"/>
  <c r="UY9" i="33"/>
  <c r="TB9" i="33"/>
  <c r="TT9" i="33"/>
  <c r="AAG9" i="33"/>
  <c r="ZW9" i="33"/>
  <c r="BN10" i="33"/>
  <c r="EQ10" i="33"/>
  <c r="EP10" i="33"/>
  <c r="NN10" i="33"/>
  <c r="UY10" i="33"/>
  <c r="TR10" i="33"/>
  <c r="UJ10" i="33"/>
  <c r="UK10" i="33" s="1"/>
  <c r="UX10" i="33"/>
  <c r="AAF10" i="33"/>
  <c r="ZU10" i="33"/>
  <c r="MC11" i="33"/>
  <c r="NV11" i="33"/>
  <c r="ZU11" i="33"/>
  <c r="YW11" i="33"/>
  <c r="ABE11" i="33" s="1"/>
  <c r="ZQ11" i="33"/>
  <c r="Z12" i="33"/>
  <c r="BO12" i="33"/>
  <c r="BN12" i="33"/>
  <c r="DZ12" i="33"/>
  <c r="DZ19" i="33" s="1"/>
  <c r="FO12" i="33"/>
  <c r="FN12" i="33"/>
  <c r="OD12" i="33"/>
  <c r="TZ12" i="33"/>
  <c r="UY12" i="33"/>
  <c r="SR12" i="33"/>
  <c r="TT12" i="33"/>
  <c r="UI12" i="33"/>
  <c r="UQ12" i="33"/>
  <c r="YX12" i="33"/>
  <c r="OS13" i="33"/>
  <c r="NM13" i="33"/>
  <c r="UY13" i="33"/>
  <c r="TT13" i="33"/>
  <c r="IG14" i="33"/>
  <c r="IH14" i="33" s="1"/>
  <c r="ABD14" i="33"/>
  <c r="NM15" i="33"/>
  <c r="NO15" i="33"/>
  <c r="TS15" i="33"/>
  <c r="ZW15" i="33"/>
  <c r="ABC15" i="33"/>
  <c r="ZX16" i="33"/>
  <c r="NK17" i="33"/>
  <c r="ZW8" i="33"/>
  <c r="ZU13" i="33"/>
  <c r="ZY13" i="33"/>
  <c r="AAY19" i="33"/>
  <c r="OS14" i="33"/>
  <c r="UJ14" i="33"/>
  <c r="OS15" i="33"/>
  <c r="UJ15" i="33"/>
  <c r="NN16" i="33"/>
  <c r="GG49" i="33"/>
  <c r="IO22" i="33"/>
  <c r="QJ49" i="33"/>
  <c r="QI22" i="33"/>
  <c r="UJ22" i="33"/>
  <c r="TT22" i="33"/>
  <c r="AAN17" i="33"/>
  <c r="ZY17" i="33"/>
  <c r="AAO17" i="33"/>
  <c r="ZX17" i="33"/>
  <c r="Z49" i="33"/>
  <c r="DB28" i="33"/>
  <c r="J49" i="33"/>
  <c r="DB29" i="33"/>
  <c r="TT38" i="33"/>
  <c r="UA39" i="33"/>
  <c r="PP39" i="33"/>
  <c r="TS39" i="33"/>
  <c r="HJ48" i="33"/>
  <c r="IP48" i="33"/>
  <c r="Q49" i="33"/>
  <c r="Q50" i="33" s="1"/>
  <c r="Q52" i="33" s="1"/>
  <c r="Q54" i="33" s="1"/>
  <c r="AW49" i="33"/>
  <c r="AW50" i="33" s="1"/>
  <c r="AW52" i="33" s="1"/>
  <c r="AW54" i="33" s="1"/>
  <c r="CC49" i="33"/>
  <c r="DY49" i="33"/>
  <c r="DY50" i="33" s="1"/>
  <c r="DY52" i="33" s="1"/>
  <c r="DY54" i="33" s="1"/>
  <c r="FE49" i="33"/>
  <c r="OT22" i="33"/>
  <c r="UA22" i="33"/>
  <c r="AAN22" i="33"/>
  <c r="AAN49" i="33" s="1"/>
  <c r="YB49" i="33"/>
  <c r="YB50" i="33" s="1"/>
  <c r="ZP49" i="33"/>
  <c r="ZX22" i="33"/>
  <c r="TS23" i="33"/>
  <c r="ABD23" i="33"/>
  <c r="EW25" i="33"/>
  <c r="EW49" i="33" s="1"/>
  <c r="HZ25" i="33"/>
  <c r="IO25" i="33"/>
  <c r="OL26" i="33"/>
  <c r="ZY30" i="33"/>
  <c r="AH49" i="33"/>
  <c r="RM49" i="33"/>
  <c r="HQ18" i="33"/>
  <c r="HR18" i="33" s="1"/>
  <c r="EG49" i="33"/>
  <c r="HY22" i="33"/>
  <c r="HY49" i="33" s="1"/>
  <c r="HA49" i="33"/>
  <c r="HA50" i="33" s="1"/>
  <c r="HA52" i="33" s="1"/>
  <c r="HA54" i="33" s="1"/>
  <c r="HI22" i="33"/>
  <c r="PO49" i="33"/>
  <c r="OT23" i="33"/>
  <c r="NN23" i="33"/>
  <c r="WO49" i="33"/>
  <c r="WO51" i="33"/>
  <c r="WN51" i="33" s="1"/>
  <c r="WN24" i="33"/>
  <c r="WN49" i="33" s="1"/>
  <c r="ZY24" i="33"/>
  <c r="ZY49" i="33" s="1"/>
  <c r="OT25" i="33"/>
  <c r="ABD25" i="33"/>
  <c r="ZX25" i="33"/>
  <c r="TS26" i="33"/>
  <c r="EP49" i="33"/>
  <c r="GS49" i="33"/>
  <c r="TT34" i="33"/>
  <c r="KD49" i="33"/>
  <c r="OD22" i="33"/>
  <c r="OD49" i="33" s="1"/>
  <c r="NF49" i="33"/>
  <c r="NN22" i="33"/>
  <c r="UQ49" i="33"/>
  <c r="SQ49" i="33"/>
  <c r="UY22" i="33"/>
  <c r="DA23" i="33"/>
  <c r="DA49" i="33" s="1"/>
  <c r="IO23" i="33"/>
  <c r="HI23" i="33"/>
  <c r="ZX23" i="33"/>
  <c r="TS24" i="33"/>
  <c r="VK49" i="33"/>
  <c r="AAG24" i="33"/>
  <c r="AAG49" i="33" s="1"/>
  <c r="VJ24" i="33"/>
  <c r="AAF24" i="33" s="1"/>
  <c r="HY25" i="33"/>
  <c r="FN49" i="33"/>
  <c r="FM25" i="33"/>
  <c r="IG25" i="33" s="1"/>
  <c r="HJ25" i="33"/>
  <c r="JA49" i="33"/>
  <c r="IZ25" i="33"/>
  <c r="NV25" i="33" s="1"/>
  <c r="NW25" i="33"/>
  <c r="NW49" i="33" s="1"/>
  <c r="UA32" i="33"/>
  <c r="TS32" i="33"/>
  <c r="PF32" i="33"/>
  <c r="UB32" i="33" s="1"/>
  <c r="ZY37" i="33"/>
  <c r="NO41" i="33"/>
  <c r="GI49" i="33"/>
  <c r="VK51" i="33"/>
  <c r="VJ51" i="33" s="1"/>
  <c r="Y49" i="33"/>
  <c r="Y50" i="33" s="1"/>
  <c r="Y52" i="33" s="1"/>
  <c r="Y54" i="33" s="1"/>
  <c r="BE49" i="33"/>
  <c r="BE50" i="33" s="1"/>
  <c r="BE52" i="33" s="1"/>
  <c r="BE54" i="33" s="1"/>
  <c r="CK49" i="33"/>
  <c r="GQ49" i="33"/>
  <c r="HQ22" i="33"/>
  <c r="HQ49" i="33" s="1"/>
  <c r="IG22" i="33"/>
  <c r="IZ49" i="33"/>
  <c r="KN49" i="33"/>
  <c r="MB49" i="33"/>
  <c r="WX49" i="33"/>
  <c r="YL49" i="33"/>
  <c r="ABD22" i="33"/>
  <c r="ABD49" i="33" s="1"/>
  <c r="OM25" i="33"/>
  <c r="OM49" i="33" s="1"/>
  <c r="QS25" i="33"/>
  <c r="UI25" i="33" s="1"/>
  <c r="TA25" i="33"/>
  <c r="TS25" i="33" s="1"/>
  <c r="TT25" i="33"/>
  <c r="UZ25" i="33"/>
  <c r="UZ49" i="33" s="1"/>
  <c r="XI49" i="33"/>
  <c r="XI51" i="33"/>
  <c r="XH51" i="33" s="1"/>
  <c r="XH52" i="33" s="1"/>
  <c r="XH54" i="33" s="1"/>
  <c r="YC51" i="33"/>
  <c r="YC49" i="33"/>
  <c r="AX49" i="33"/>
  <c r="AX50" i="33" s="1"/>
  <c r="HB49" i="33"/>
  <c r="NW29" i="33"/>
  <c r="DB30" i="33"/>
  <c r="DB49" i="33" s="1"/>
  <c r="DC49" i="33" s="1"/>
  <c r="HZ30" i="33"/>
  <c r="UZ30" i="33"/>
  <c r="DB32" i="33"/>
  <c r="HZ32" i="33"/>
  <c r="HJ32" i="33"/>
  <c r="UZ32" i="33"/>
  <c r="HZ33" i="33"/>
  <c r="HJ33" i="33"/>
  <c r="OU33" i="33"/>
  <c r="AAO33" i="33"/>
  <c r="AAW33" i="33"/>
  <c r="DB34" i="33"/>
  <c r="HZ34" i="33"/>
  <c r="UB35" i="33"/>
  <c r="HZ36" i="33"/>
  <c r="HJ36" i="33"/>
  <c r="OL36" i="33"/>
  <c r="NN36" i="33"/>
  <c r="MC36" i="33"/>
  <c r="OM36" i="33" s="1"/>
  <c r="UZ36" i="33"/>
  <c r="ZY36" i="33"/>
  <c r="IP37" i="33"/>
  <c r="IP49" i="33" s="1"/>
  <c r="HJ38" i="33"/>
  <c r="NW38" i="33"/>
  <c r="OU39" i="33"/>
  <c r="ZY39" i="33"/>
  <c r="HR41" i="33"/>
  <c r="ABE41" i="33"/>
  <c r="AAG42" i="33"/>
  <c r="NW43" i="33"/>
  <c r="OM43" i="33"/>
  <c r="ABE43" i="33"/>
  <c r="NW44" i="33"/>
  <c r="OM44" i="33"/>
  <c r="ABE44" i="33"/>
  <c r="ABE45" i="33"/>
  <c r="ZY46" i="33"/>
  <c r="JJ49" i="33"/>
  <c r="JJ50" i="33" s="1"/>
  <c r="JJ52" i="33" s="1"/>
  <c r="JJ54" i="33" s="1"/>
  <c r="KX49" i="33"/>
  <c r="KX50" i="33" s="1"/>
  <c r="KX52" i="33" s="1"/>
  <c r="KX54" i="33" s="1"/>
  <c r="ML49" i="33"/>
  <c r="QT49" i="33"/>
  <c r="TK49" i="33"/>
  <c r="UB22" i="33"/>
  <c r="MC49" i="33"/>
  <c r="PP49" i="33"/>
  <c r="R49" i="33"/>
  <c r="R50" i="33" s="1"/>
  <c r="JK49" i="33"/>
  <c r="KO49" i="33"/>
  <c r="RX49" i="33"/>
  <c r="AAW29" i="33"/>
  <c r="AAW49" i="33" s="1"/>
  <c r="HJ30" i="33"/>
  <c r="IH31" i="33"/>
  <c r="AAW31" i="33"/>
  <c r="DB33" i="33"/>
  <c r="OE33" i="33"/>
  <c r="OE49" i="33" s="1"/>
  <c r="OT33" i="33"/>
  <c r="UZ34" i="33"/>
  <c r="AAO34" i="33"/>
  <c r="AAW34" i="33"/>
  <c r="TT35" i="33"/>
  <c r="OU36" i="33"/>
  <c r="UB36" i="33"/>
  <c r="TT37" i="33"/>
  <c r="UZ38" i="33"/>
  <c r="TT39" i="33"/>
  <c r="UZ40" i="33"/>
  <c r="OU41" i="33"/>
  <c r="ZY42" i="33"/>
  <c r="NO45" i="33"/>
  <c r="NO46" i="33"/>
  <c r="ZY47" i="33"/>
  <c r="I49" i="33"/>
  <c r="AO49" i="33"/>
  <c r="BU49" i="33"/>
  <c r="LH49" i="33"/>
  <c r="MV49" i="33"/>
  <c r="NV22" i="33"/>
  <c r="OL22" i="33"/>
  <c r="PE49" i="33"/>
  <c r="RC49" i="33"/>
  <c r="TS22" i="33"/>
  <c r="TS49" i="33" s="1"/>
  <c r="ZF49" i="33"/>
  <c r="AAF22" i="33"/>
  <c r="AAF49" i="33" s="1"/>
  <c r="AAV22" i="33"/>
  <c r="AAV49" i="33" s="1"/>
  <c r="EX49" i="33"/>
  <c r="HJ23" i="33"/>
  <c r="HZ23" i="33"/>
  <c r="HZ49" i="33" s="1"/>
  <c r="NO25" i="33"/>
  <c r="UB25" i="33"/>
  <c r="UR25" i="33"/>
  <c r="UR49" i="33" s="1"/>
  <c r="XS51" i="33"/>
  <c r="XR51" i="33" s="1"/>
  <c r="XS49" i="33"/>
  <c r="ZY25" i="33"/>
  <c r="NN26" i="33"/>
  <c r="HZ29" i="33"/>
  <c r="EH49" i="33"/>
  <c r="AAO29" i="33"/>
  <c r="AAO49" i="33" s="1"/>
  <c r="ZY29" i="33"/>
  <c r="TT30" i="33"/>
  <c r="AAG30" i="33"/>
  <c r="DB31" i="33"/>
  <c r="HJ31" i="33"/>
  <c r="AAO31" i="33"/>
  <c r="ZY31" i="33"/>
  <c r="TT32" i="33"/>
  <c r="NW33" i="33"/>
  <c r="NO33" i="33"/>
  <c r="ZY33" i="33"/>
  <c r="UJ34" i="33"/>
  <c r="AAG34" i="33"/>
  <c r="ZY34" i="33"/>
  <c r="ZY35" i="33"/>
  <c r="AAG37" i="33"/>
  <c r="NO39" i="33"/>
  <c r="UB39" i="33"/>
  <c r="UA40" i="33"/>
  <c r="TS40" i="33"/>
  <c r="PZ40" i="33"/>
  <c r="UB40" i="33" s="1"/>
  <c r="ZY41" i="33"/>
  <c r="UB43" i="33"/>
  <c r="ZY43" i="33"/>
  <c r="UB44" i="33"/>
  <c r="ZY44" i="33"/>
  <c r="DB45" i="33"/>
  <c r="UB45" i="33"/>
  <c r="ZY45" i="33"/>
  <c r="HZ46" i="33"/>
  <c r="TT47" i="33"/>
  <c r="FX49" i="33"/>
  <c r="FY49" i="33" s="1"/>
  <c r="KY49" i="33"/>
  <c r="MM49" i="33"/>
  <c r="NO29" i="33"/>
  <c r="OU29" i="33"/>
  <c r="OU49" i="33" s="1"/>
  <c r="VU49" i="33"/>
  <c r="YW49" i="33"/>
  <c r="ABE29" i="33"/>
  <c r="ABE49" i="33" s="1"/>
  <c r="HI30" i="33"/>
  <c r="HJ40" i="33"/>
  <c r="HJ46" i="33"/>
  <c r="TT48" i="33"/>
  <c r="TL49" i="33"/>
  <c r="DZ49" i="33"/>
  <c r="HR28" i="33"/>
  <c r="DJ29" i="33"/>
  <c r="FF29" i="33"/>
  <c r="IH29" i="33" s="1"/>
  <c r="IH49" i="33" s="1"/>
  <c r="KE49" i="33"/>
  <c r="PF49" i="33"/>
  <c r="NV33" i="33"/>
  <c r="OL33" i="33"/>
  <c r="LS49" i="33"/>
  <c r="NG49" i="33"/>
  <c r="UZ29" i="33"/>
  <c r="ZQ49" i="33"/>
  <c r="TS33" i="33"/>
  <c r="TT46" i="33"/>
  <c r="Q25" i="39" l="1"/>
  <c r="R23" i="39"/>
  <c r="Q26" i="39"/>
  <c r="I26" i="39"/>
  <c r="J23" i="39"/>
  <c r="I25" i="39"/>
  <c r="FW10" i="39"/>
  <c r="FV23" i="39"/>
  <c r="GY10" i="39"/>
  <c r="HA6" i="39"/>
  <c r="CS23" i="39"/>
  <c r="CT10" i="39"/>
  <c r="P26" i="39"/>
  <c r="P25" i="39"/>
  <c r="P27" i="39" s="1"/>
  <c r="EG25" i="39"/>
  <c r="EG26" i="39"/>
  <c r="DJ6" i="39"/>
  <c r="DI10" i="39"/>
  <c r="DI23" i="39" s="1"/>
  <c r="Y10" i="39"/>
  <c r="Z6" i="39"/>
  <c r="GL23" i="39"/>
  <c r="GM10" i="39"/>
  <c r="EP23" i="39"/>
  <c r="EQ10" i="39"/>
  <c r="EH23" i="39"/>
  <c r="EI10" i="39"/>
  <c r="BD10" i="39"/>
  <c r="BD23" i="39" s="1"/>
  <c r="BD25" i="39" s="1"/>
  <c r="BD27" i="39" s="1"/>
  <c r="BE6" i="39"/>
  <c r="BM23" i="39"/>
  <c r="BN10" i="39"/>
  <c r="CY6" i="39"/>
  <c r="CY10" i="39" s="1"/>
  <c r="FN23" i="39"/>
  <c r="FO10" i="39"/>
  <c r="BU6" i="39"/>
  <c r="BT10" i="39"/>
  <c r="BT23" i="39" s="1"/>
  <c r="BT25" i="39" s="1"/>
  <c r="BT27" i="39" s="1"/>
  <c r="EX26" i="39"/>
  <c r="EX25" i="39"/>
  <c r="EY23" i="39"/>
  <c r="DA18" i="39"/>
  <c r="CX10" i="39"/>
  <c r="CZ6" i="39"/>
  <c r="AX10" i="39"/>
  <c r="AW23" i="39"/>
  <c r="DA13" i="39"/>
  <c r="DA22" i="39" s="1"/>
  <c r="DR23" i="39"/>
  <c r="DS10" i="39"/>
  <c r="CD10" i="39"/>
  <c r="CC23" i="39"/>
  <c r="AG6" i="39"/>
  <c r="AF10" i="39"/>
  <c r="AF23" i="39" s="1"/>
  <c r="GU23" i="39"/>
  <c r="GT25" i="39"/>
  <c r="GT26" i="39"/>
  <c r="FF26" i="39"/>
  <c r="FG23" i="39"/>
  <c r="FF25" i="39"/>
  <c r="CK6" i="39"/>
  <c r="CJ10" i="39"/>
  <c r="CJ23" i="39" s="1"/>
  <c r="CJ25" i="39" s="1"/>
  <c r="CJ27" i="39" s="1"/>
  <c r="GD10" i="39"/>
  <c r="GE6" i="39"/>
  <c r="AO6" i="39"/>
  <c r="AN10" i="39"/>
  <c r="AN23" i="39" s="1"/>
  <c r="DZ6" i="39"/>
  <c r="DY10" i="39"/>
  <c r="DY23" i="39" s="1"/>
  <c r="H27" i="39"/>
  <c r="GN6" i="34"/>
  <c r="GM18" i="34"/>
  <c r="JC18" i="34"/>
  <c r="HD18" i="34"/>
  <c r="HC47" i="34"/>
  <c r="CT18" i="34"/>
  <c r="CU6" i="34"/>
  <c r="IQ50" i="34"/>
  <c r="IQ49" i="34"/>
  <c r="IR47" i="34"/>
  <c r="BF6" i="34"/>
  <c r="BE18" i="34"/>
  <c r="Q50" i="34"/>
  <c r="Q49" i="34"/>
  <c r="R47" i="34"/>
  <c r="FV18" i="34"/>
  <c r="FV47" i="34" s="1"/>
  <c r="FW6" i="34"/>
  <c r="IX6" i="34"/>
  <c r="IX18" i="34" s="1"/>
  <c r="IX47" i="34" s="1"/>
  <c r="FU18" i="34"/>
  <c r="IW6" i="34"/>
  <c r="IW18" i="34" s="1"/>
  <c r="CE6" i="34"/>
  <c r="CD18" i="34"/>
  <c r="CK50" i="34"/>
  <c r="CK49" i="34"/>
  <c r="GE18" i="34"/>
  <c r="GF6" i="34"/>
  <c r="X50" i="34"/>
  <c r="X49" i="34"/>
  <c r="CL47" i="34"/>
  <c r="CM18" i="34"/>
  <c r="HB51" i="34"/>
  <c r="HT47" i="34"/>
  <c r="HS50" i="34"/>
  <c r="HS49" i="34"/>
  <c r="DY51" i="34"/>
  <c r="BD50" i="34"/>
  <c r="BD49" i="34"/>
  <c r="BD51" i="34" s="1"/>
  <c r="J18" i="34"/>
  <c r="I47" i="34"/>
  <c r="HR50" i="34"/>
  <c r="HR49" i="34"/>
  <c r="HR51" i="34" s="1"/>
  <c r="DJ18" i="34"/>
  <c r="DK6" i="34"/>
  <c r="FG47" i="34"/>
  <c r="FH18" i="34"/>
  <c r="EP6" i="34"/>
  <c r="EO18" i="34"/>
  <c r="EO47" i="34" s="1"/>
  <c r="FF51" i="34"/>
  <c r="EW6" i="34"/>
  <c r="EW18" i="34" s="1"/>
  <c r="EW47" i="34" s="1"/>
  <c r="EV6" i="34"/>
  <c r="EV18" i="34" s="1"/>
  <c r="EG50" i="34"/>
  <c r="EG49" i="34"/>
  <c r="DR47" i="34"/>
  <c r="DS18" i="34"/>
  <c r="EH47" i="34"/>
  <c r="EI18" i="34"/>
  <c r="IH51" i="34"/>
  <c r="FO18" i="34"/>
  <c r="FP6" i="34"/>
  <c r="Z6" i="34"/>
  <c r="Y18" i="34"/>
  <c r="DZ49" i="34"/>
  <c r="DZ50" i="34"/>
  <c r="EA47" i="34"/>
  <c r="AN51" i="34"/>
  <c r="IJ6" i="34"/>
  <c r="II18" i="34"/>
  <c r="AG18" i="34"/>
  <c r="AH6" i="34"/>
  <c r="BU6" i="34"/>
  <c r="H51" i="34"/>
  <c r="GT50" i="34"/>
  <c r="GT49" i="34"/>
  <c r="GT51" i="34" s="1"/>
  <c r="IA18" i="34"/>
  <c r="IB6" i="34"/>
  <c r="DA51" i="34"/>
  <c r="IY6" i="34"/>
  <c r="BL51" i="34"/>
  <c r="HK49" i="34"/>
  <c r="HK50" i="34"/>
  <c r="HL47" i="34"/>
  <c r="AW50" i="34"/>
  <c r="AW49" i="34"/>
  <c r="AX47" i="34"/>
  <c r="GU47" i="34"/>
  <c r="GV18" i="34"/>
  <c r="CS51" i="34"/>
  <c r="AF51" i="34"/>
  <c r="DB49" i="34"/>
  <c r="DB50" i="34"/>
  <c r="AP18" i="34"/>
  <c r="AO47" i="34"/>
  <c r="GD51" i="34"/>
  <c r="CC51" i="34"/>
  <c r="BM6" i="34"/>
  <c r="FG19" i="33"/>
  <c r="DZ50" i="33"/>
  <c r="EA19" i="33"/>
  <c r="S50" i="33"/>
  <c r="R52" i="33"/>
  <c r="AX52" i="33"/>
  <c r="AY50" i="33"/>
  <c r="PF50" i="33"/>
  <c r="PG19" i="33"/>
  <c r="BN50" i="33"/>
  <c r="BO19" i="33"/>
  <c r="AH50" i="33"/>
  <c r="AI19" i="33"/>
  <c r="CD50" i="33"/>
  <c r="CE19" i="33"/>
  <c r="CT50" i="33"/>
  <c r="CU19" i="33"/>
  <c r="VJ49" i="33"/>
  <c r="IG49" i="33"/>
  <c r="NN25" i="33"/>
  <c r="UA49" i="33"/>
  <c r="QI49" i="33"/>
  <c r="UI22" i="33"/>
  <c r="UI49" i="33" s="1"/>
  <c r="SS12" i="33"/>
  <c r="UZ12" i="33"/>
  <c r="VA12" i="33" s="1"/>
  <c r="UZ9" i="33"/>
  <c r="VA9" i="33" s="1"/>
  <c r="TC9" i="33"/>
  <c r="IH7" i="33"/>
  <c r="II7" i="33"/>
  <c r="EX50" i="33"/>
  <c r="DR53" i="33"/>
  <c r="DR52" i="33"/>
  <c r="DS50" i="33"/>
  <c r="CK50" i="33"/>
  <c r="CK52" i="33" s="1"/>
  <c r="CK54" i="33" s="1"/>
  <c r="AAG12" i="33"/>
  <c r="AAH12" i="33" s="1"/>
  <c r="VL12" i="33"/>
  <c r="ZZ10" i="33"/>
  <c r="AAO7" i="33"/>
  <c r="AAP7" i="33" s="1"/>
  <c r="WP7" i="33"/>
  <c r="HK7" i="33"/>
  <c r="HJ7" i="33"/>
  <c r="QP19" i="33"/>
  <c r="HJ51" i="33"/>
  <c r="II10" i="33"/>
  <c r="IH10" i="33"/>
  <c r="UR6" i="33"/>
  <c r="US6" i="33" s="1"/>
  <c r="RO6" i="33"/>
  <c r="TM10" i="33"/>
  <c r="UB7" i="33"/>
  <c r="UC7" i="33" s="1"/>
  <c r="PG7" i="33"/>
  <c r="MN7" i="33"/>
  <c r="OU7" i="33"/>
  <c r="OV7" i="33" s="1"/>
  <c r="IQ6" i="33"/>
  <c r="IP6" i="33"/>
  <c r="ABC19" i="33"/>
  <c r="UP19" i="33"/>
  <c r="PO19" i="33"/>
  <c r="PO50" i="33" s="1"/>
  <c r="PP5" i="33"/>
  <c r="KN19" i="33"/>
  <c r="KN50" i="33" s="1"/>
  <c r="KN52" i="33" s="1"/>
  <c r="KN54" i="33" s="1"/>
  <c r="KO5" i="33"/>
  <c r="JK19" i="33"/>
  <c r="JL5" i="33"/>
  <c r="CL50" i="33"/>
  <c r="CM19" i="33"/>
  <c r="AP19" i="33"/>
  <c r="Z19" i="33"/>
  <c r="LI6" i="33"/>
  <c r="OL6" i="33"/>
  <c r="AAF19" i="33"/>
  <c r="AAF50" i="33" s="1"/>
  <c r="KY19" i="33"/>
  <c r="KZ5" i="33"/>
  <c r="KE50" i="33"/>
  <c r="KF19" i="33"/>
  <c r="OT6" i="33"/>
  <c r="AAE19" i="33"/>
  <c r="XR19" i="33"/>
  <c r="XR50" i="33" s="1"/>
  <c r="XS5" i="33"/>
  <c r="AAV5" i="33"/>
  <c r="AAV19" i="33" s="1"/>
  <c r="AAV50" i="33" s="1"/>
  <c r="AAV52" i="33" s="1"/>
  <c r="AAV54" i="33" s="1"/>
  <c r="ML50" i="33"/>
  <c r="ML52" i="33" s="1"/>
  <c r="ML54" i="33" s="1"/>
  <c r="WX19" i="33"/>
  <c r="WX50" i="33" s="1"/>
  <c r="WY5" i="33"/>
  <c r="VT19" i="33"/>
  <c r="VT50" i="33" s="1"/>
  <c r="VU5" i="33"/>
  <c r="MB19" i="33"/>
  <c r="MB50" i="33" s="1"/>
  <c r="MB52" i="33" s="1"/>
  <c r="MB54" i="33" s="1"/>
  <c r="MC5" i="33"/>
  <c r="BU50" i="33"/>
  <c r="BU52" i="33" s="1"/>
  <c r="BU54" i="33" s="1"/>
  <c r="WE19" i="33"/>
  <c r="WF5" i="33"/>
  <c r="LH19" i="33"/>
  <c r="LH50" i="33" s="1"/>
  <c r="LH52" i="33" s="1"/>
  <c r="LH54" i="33" s="1"/>
  <c r="OL5" i="33"/>
  <c r="LI5" i="33"/>
  <c r="GH52" i="33"/>
  <c r="GI50" i="33"/>
  <c r="EH19" i="33"/>
  <c r="EH50" i="33" s="1"/>
  <c r="DJ49" i="33"/>
  <c r="HR29" i="33"/>
  <c r="HR49" i="33" s="1"/>
  <c r="OL49" i="33"/>
  <c r="PZ49" i="33"/>
  <c r="HJ29" i="33"/>
  <c r="HJ49" i="33" s="1"/>
  <c r="HK49" i="33" s="1"/>
  <c r="ZY51" i="33"/>
  <c r="YB51" i="33"/>
  <c r="ZX51" i="33" s="1"/>
  <c r="HI25" i="33"/>
  <c r="FM49" i="33"/>
  <c r="UY25" i="33"/>
  <c r="UY49" i="33" s="1"/>
  <c r="TA49" i="33"/>
  <c r="TA50" i="33" s="1"/>
  <c r="TA52" i="33" s="1"/>
  <c r="TA54" i="33" s="1"/>
  <c r="FX50" i="33"/>
  <c r="FY19" i="33"/>
  <c r="ZR12" i="33"/>
  <c r="ZY12" i="33"/>
  <c r="MN11" i="33"/>
  <c r="OU11" i="33"/>
  <c r="OV11" i="33" s="1"/>
  <c r="PP10" i="33"/>
  <c r="TT10" i="33" s="1"/>
  <c r="TU10" i="33" s="1"/>
  <c r="UA10" i="33"/>
  <c r="DC10" i="33"/>
  <c r="DB10" i="33"/>
  <c r="QK8" i="33"/>
  <c r="UJ8" i="33"/>
  <c r="UK8" i="33" s="1"/>
  <c r="NM19" i="33"/>
  <c r="GQ50" i="33"/>
  <c r="GQ52" i="33" s="1"/>
  <c r="GQ54" i="33" s="1"/>
  <c r="EW50" i="33"/>
  <c r="EW52" i="33" s="1"/>
  <c r="EW54" i="33" s="1"/>
  <c r="EY19" i="33"/>
  <c r="UB6" i="33"/>
  <c r="UC6" i="33" s="1"/>
  <c r="PG6" i="33"/>
  <c r="ABD5" i="33"/>
  <c r="ABD19" i="33" s="1"/>
  <c r="ABD50" i="33" s="1"/>
  <c r="ABD52" i="33" s="1"/>
  <c r="ABD54" i="33" s="1"/>
  <c r="SG19" i="33"/>
  <c r="SG50" i="33" s="1"/>
  <c r="SG52" i="33" s="1"/>
  <c r="SG54" i="33" s="1"/>
  <c r="SH5" i="33"/>
  <c r="IQ12" i="33"/>
  <c r="IP12" i="33"/>
  <c r="TR7" i="33"/>
  <c r="UR7" i="33"/>
  <c r="US7" i="33" s="1"/>
  <c r="RO7" i="33"/>
  <c r="UI7" i="33"/>
  <c r="QT7" i="33"/>
  <c r="QT19" i="33" s="1"/>
  <c r="AAG6" i="33"/>
  <c r="AAH6" i="33" s="1"/>
  <c r="VL6" i="33"/>
  <c r="HK6" i="33"/>
  <c r="HJ6" i="33"/>
  <c r="XI19" i="33"/>
  <c r="XJ5" i="33"/>
  <c r="TX19" i="33"/>
  <c r="GG50" i="33"/>
  <c r="GG52" i="33" s="1"/>
  <c r="GG54" i="33" s="1"/>
  <c r="AO50" i="33"/>
  <c r="AO52" i="33" s="1"/>
  <c r="AO54" i="33" s="1"/>
  <c r="DI50" i="33"/>
  <c r="DI52" i="33" s="1"/>
  <c r="DI54" i="33" s="1"/>
  <c r="DJ20" i="33"/>
  <c r="HJ20" i="33" s="1"/>
  <c r="VJ50" i="33"/>
  <c r="IZ19" i="33"/>
  <c r="IZ50" i="33" s="1"/>
  <c r="IZ52" i="33" s="1"/>
  <c r="IZ54" i="33" s="1"/>
  <c r="NV5" i="33"/>
  <c r="JA5" i="33"/>
  <c r="HI19" i="33"/>
  <c r="HK5" i="33"/>
  <c r="HJ5" i="33"/>
  <c r="HJ19" i="33" s="1"/>
  <c r="QI19" i="33"/>
  <c r="QI50" i="33" s="1"/>
  <c r="UI5" i="33"/>
  <c r="QJ5" i="33"/>
  <c r="IA12" i="33"/>
  <c r="HZ12" i="33"/>
  <c r="KP7" i="33"/>
  <c r="OE7" i="33"/>
  <c r="OF7" i="33" s="1"/>
  <c r="ZQ19" i="33"/>
  <c r="ZR5" i="33"/>
  <c r="QU5" i="33"/>
  <c r="MV19" i="33"/>
  <c r="MV50" i="33" s="1"/>
  <c r="MV52" i="33" s="1"/>
  <c r="MV54" i="33" s="1"/>
  <c r="MW5" i="33"/>
  <c r="LS19" i="33"/>
  <c r="LT5" i="33"/>
  <c r="NO11" i="33"/>
  <c r="NP11" i="33" s="1"/>
  <c r="NK6" i="33"/>
  <c r="NK19" i="33" s="1"/>
  <c r="OQ6" i="33"/>
  <c r="OQ19" i="33" s="1"/>
  <c r="RC19" i="33"/>
  <c r="RC50" i="33" s="1"/>
  <c r="RD5" i="33"/>
  <c r="BF50" i="33"/>
  <c r="BG19" i="33"/>
  <c r="WD53" i="33"/>
  <c r="WD52" i="33"/>
  <c r="WD54" i="33" s="1"/>
  <c r="VK19" i="33"/>
  <c r="NV49" i="33"/>
  <c r="TT40" i="33"/>
  <c r="TT49" i="33" s="1"/>
  <c r="FF49" i="33"/>
  <c r="FF50" i="33" s="1"/>
  <c r="UB49" i="33"/>
  <c r="OT49" i="33"/>
  <c r="TT51" i="33"/>
  <c r="TS51" i="33" s="1"/>
  <c r="IO49" i="33"/>
  <c r="ZY11" i="33"/>
  <c r="MD11" i="33"/>
  <c r="OM11" i="33"/>
  <c r="ON11" i="33" s="1"/>
  <c r="TR19" i="33"/>
  <c r="IA10" i="33"/>
  <c r="HZ10" i="33"/>
  <c r="AAO8" i="33"/>
  <c r="AAP8" i="33" s="1"/>
  <c r="WP8" i="33"/>
  <c r="VA8" i="33"/>
  <c r="TZ19" i="33"/>
  <c r="ZU19" i="33"/>
  <c r="YC50" i="33"/>
  <c r="YD19" i="33"/>
  <c r="JA10" i="33"/>
  <c r="NV10" i="33"/>
  <c r="YL19" i="33"/>
  <c r="YL50" i="33" s="1"/>
  <c r="YL52" i="33" s="1"/>
  <c r="YL54" i="33" s="1"/>
  <c r="YM5" i="33"/>
  <c r="TB19" i="33"/>
  <c r="UH19" i="33"/>
  <c r="UA19" i="33"/>
  <c r="UA50" i="33" s="1"/>
  <c r="NF50" i="33"/>
  <c r="OK19" i="33"/>
  <c r="OM51" i="33" s="1"/>
  <c r="OD19" i="33"/>
  <c r="OD50" i="33" s="1"/>
  <c r="OD52" i="33" s="1"/>
  <c r="OD54" i="33" s="1"/>
  <c r="HY19" i="33"/>
  <c r="IA5" i="33"/>
  <c r="HZ5" i="33"/>
  <c r="AAN19" i="33"/>
  <c r="AAN50" i="33" s="1"/>
  <c r="AAN52" i="33" s="1"/>
  <c r="AAN54" i="33" s="1"/>
  <c r="TP7" i="33"/>
  <c r="TP19" i="33" s="1"/>
  <c r="QN19" i="33"/>
  <c r="DA19" i="33"/>
  <c r="DA50" i="33" s="1"/>
  <c r="DA52" i="33" s="1"/>
  <c r="DA54" i="33" s="1"/>
  <c r="DC5" i="33"/>
  <c r="DB5" i="33"/>
  <c r="DB19" i="33" s="1"/>
  <c r="UZ10" i="33"/>
  <c r="VA10" i="33" s="1"/>
  <c r="AAX8" i="33"/>
  <c r="ZY6" i="33"/>
  <c r="ZZ6" i="33" s="1"/>
  <c r="TM6" i="33"/>
  <c r="TT6" i="33"/>
  <c r="TU6" i="33" s="1"/>
  <c r="NG6" i="33"/>
  <c r="NN6" i="33"/>
  <c r="NN19" i="33" s="1"/>
  <c r="NN50" i="33" s="1"/>
  <c r="ZP50" i="33"/>
  <c r="ZP52" i="33" s="1"/>
  <c r="ZP54" i="33" s="1"/>
  <c r="AAK19" i="33"/>
  <c r="FN19" i="33"/>
  <c r="J19" i="33"/>
  <c r="TL19" i="33"/>
  <c r="TM5" i="33"/>
  <c r="HQ19" i="33"/>
  <c r="HQ50" i="33" s="1"/>
  <c r="HQ52" i="33" s="1"/>
  <c r="HQ54" i="33" s="1"/>
  <c r="HS5" i="33"/>
  <c r="HR5" i="33"/>
  <c r="FM50" i="33"/>
  <c r="FM52" i="33" s="1"/>
  <c r="FM54" i="33" s="1"/>
  <c r="WO19" i="33"/>
  <c r="PZ19" i="33"/>
  <c r="NN49" i="33"/>
  <c r="ZX24" i="33"/>
  <c r="ZX49" i="33" s="1"/>
  <c r="ZX50" i="33" s="1"/>
  <c r="ZX52" i="33" s="1"/>
  <c r="HI49" i="33"/>
  <c r="NO36" i="33"/>
  <c r="NO49" i="33" s="1"/>
  <c r="QS49" i="33"/>
  <c r="UJ49" i="33"/>
  <c r="YX7" i="33"/>
  <c r="ABE7" i="33"/>
  <c r="ABF7" i="33" s="1"/>
  <c r="GR50" i="33"/>
  <c r="GS19" i="33"/>
  <c r="FE50" i="33"/>
  <c r="FE52" i="33" s="1"/>
  <c r="FE54" i="33" s="1"/>
  <c r="OM10" i="33"/>
  <c r="ON10" i="33" s="1"/>
  <c r="LJ10" i="33"/>
  <c r="IQ7" i="33"/>
  <c r="IP7" i="33"/>
  <c r="ZW19" i="33"/>
  <c r="CC50" i="33"/>
  <c r="CC52" i="33" s="1"/>
  <c r="CC54" i="33" s="1"/>
  <c r="IQ10" i="33"/>
  <c r="IP10" i="33"/>
  <c r="ZR8" i="33"/>
  <c r="ZY8" i="33"/>
  <c r="ZZ8" i="33" s="1"/>
  <c r="ZF19" i="33"/>
  <c r="ZF50" i="33" s="1"/>
  <c r="ZF52" i="33" s="1"/>
  <c r="ZF54" i="33" s="1"/>
  <c r="ZG5" i="33"/>
  <c r="PY19" i="33"/>
  <c r="PY50" i="33" s="1"/>
  <c r="TT11" i="33"/>
  <c r="TS10" i="33"/>
  <c r="TS19" i="33" s="1"/>
  <c r="TS50" i="33" s="1"/>
  <c r="AAG7" i="33"/>
  <c r="AAH7" i="33" s="1"/>
  <c r="VL7" i="33"/>
  <c r="AAM19" i="33"/>
  <c r="UX19" i="33"/>
  <c r="RM19" i="33"/>
  <c r="RM50" i="33" s="1"/>
  <c r="UQ5" i="33"/>
  <c r="UQ19" i="33" s="1"/>
  <c r="UQ50" i="33" s="1"/>
  <c r="UQ52" i="33" s="1"/>
  <c r="UQ54" i="33" s="1"/>
  <c r="RN5" i="33"/>
  <c r="PE50" i="33"/>
  <c r="MM19" i="33"/>
  <c r="OU5" i="33"/>
  <c r="MN5" i="33"/>
  <c r="KD50" i="33"/>
  <c r="KD52" i="33" s="1"/>
  <c r="KD54" i="33" s="1"/>
  <c r="HB19" i="33"/>
  <c r="HC5" i="33"/>
  <c r="EP19" i="33"/>
  <c r="EP50" i="33" s="1"/>
  <c r="EQ19" i="33"/>
  <c r="EG50" i="33"/>
  <c r="EG52" i="33" s="1"/>
  <c r="EG54" i="33" s="1"/>
  <c r="DJ19" i="33"/>
  <c r="WN50" i="33"/>
  <c r="RX19" i="33"/>
  <c r="RY5" i="33"/>
  <c r="IO19" i="33"/>
  <c r="IQ5" i="33"/>
  <c r="IP5" i="33"/>
  <c r="IP19" i="33" s="1"/>
  <c r="NH12" i="33"/>
  <c r="NO12" i="33"/>
  <c r="NP12" i="33" s="1"/>
  <c r="MN6" i="33"/>
  <c r="OU6" i="33"/>
  <c r="OV6" i="33" s="1"/>
  <c r="SQ19" i="33"/>
  <c r="SQ50" i="33" s="1"/>
  <c r="SQ52" i="33" s="1"/>
  <c r="SQ54" i="33" s="1"/>
  <c r="SR5" i="33"/>
  <c r="UY5" i="33"/>
  <c r="UY19" i="33" s="1"/>
  <c r="OS19" i="33"/>
  <c r="OT5" i="33"/>
  <c r="OT19" i="33" s="1"/>
  <c r="OT50" i="33" s="1"/>
  <c r="OT52" i="33" s="1"/>
  <c r="OT54" i="33" s="1"/>
  <c r="JT19" i="33"/>
  <c r="JT50" i="33" s="1"/>
  <c r="JT52" i="33" s="1"/>
  <c r="JT54" i="33" s="1"/>
  <c r="JU5" i="33"/>
  <c r="IG19" i="33"/>
  <c r="II5" i="33"/>
  <c r="IH5" i="33"/>
  <c r="IH19" i="33" s="1"/>
  <c r="IH50" i="33" s="1"/>
  <c r="UZ11" i="33"/>
  <c r="OV10" i="33"/>
  <c r="YW19" i="33"/>
  <c r="YX5" i="33"/>
  <c r="ABE5" i="33"/>
  <c r="QS19" i="33"/>
  <c r="QS50" i="33" s="1"/>
  <c r="BV19" i="33"/>
  <c r="I50" i="33"/>
  <c r="I52" i="33" s="1"/>
  <c r="I54" i="33" s="1"/>
  <c r="TK50" i="33"/>
  <c r="TK52" i="33" s="1"/>
  <c r="TK54" i="33" s="1"/>
  <c r="ABE8" i="33"/>
  <c r="ABF8" i="33" s="1"/>
  <c r="TS52" i="33" l="1"/>
  <c r="TS54" i="33" s="1"/>
  <c r="AF26" i="39"/>
  <c r="AF25" i="39"/>
  <c r="AF27" i="39" s="1"/>
  <c r="DI25" i="39"/>
  <c r="DI27" i="39" s="1"/>
  <c r="HE23" i="39"/>
  <c r="AO10" i="39"/>
  <c r="AP6" i="39"/>
  <c r="CK10" i="39"/>
  <c r="CL6" i="39"/>
  <c r="AG10" i="39"/>
  <c r="AH6" i="39"/>
  <c r="DR25" i="39"/>
  <c r="DR26" i="39"/>
  <c r="DS23" i="39"/>
  <c r="DA6" i="39"/>
  <c r="CZ10" i="39"/>
  <c r="CZ23" i="39" s="1"/>
  <c r="CZ25" i="39" s="1"/>
  <c r="CZ27" i="39" s="1"/>
  <c r="EY25" i="39"/>
  <c r="EX27" i="39"/>
  <c r="EY27" i="39" s="1"/>
  <c r="BN23" i="39"/>
  <c r="BM26" i="39"/>
  <c r="BM25" i="39"/>
  <c r="EI23" i="39"/>
  <c r="EH26" i="39"/>
  <c r="EH25" i="39"/>
  <c r="GL26" i="39"/>
  <c r="GM23" i="39"/>
  <c r="GL25" i="39"/>
  <c r="DJ10" i="39"/>
  <c r="DK6" i="39"/>
  <c r="Q27" i="39"/>
  <c r="R27" i="39" s="1"/>
  <c r="R25" i="39"/>
  <c r="DY26" i="39"/>
  <c r="DY25" i="39"/>
  <c r="DY27" i="39" s="1"/>
  <c r="FG25" i="39"/>
  <c r="FF27" i="39"/>
  <c r="FG27" i="39" s="1"/>
  <c r="GT27" i="39"/>
  <c r="GU27" i="39" s="1"/>
  <c r="GU25" i="39"/>
  <c r="CC26" i="39"/>
  <c r="CC25" i="39"/>
  <c r="CD23" i="39"/>
  <c r="FO23" i="39"/>
  <c r="FN26" i="39"/>
  <c r="FN25" i="39"/>
  <c r="BE10" i="39"/>
  <c r="BF6" i="39"/>
  <c r="FV25" i="39"/>
  <c r="FV26" i="39"/>
  <c r="FW23" i="39"/>
  <c r="DZ10" i="39"/>
  <c r="EA6" i="39"/>
  <c r="GD23" i="39"/>
  <c r="GE10" i="39"/>
  <c r="AW26" i="39"/>
  <c r="AW25" i="39"/>
  <c r="AX23" i="39"/>
  <c r="EP25" i="39"/>
  <c r="EQ23" i="39"/>
  <c r="Y23" i="39"/>
  <c r="Z10" i="39"/>
  <c r="EG27" i="39"/>
  <c r="CT23" i="39"/>
  <c r="CS26" i="39"/>
  <c r="CS25" i="39"/>
  <c r="AN25" i="39"/>
  <c r="AN26" i="39"/>
  <c r="BU10" i="39"/>
  <c r="BV6" i="39"/>
  <c r="HB6" i="39"/>
  <c r="HA10" i="39"/>
  <c r="HA23" i="39" s="1"/>
  <c r="HA25" i="39" s="1"/>
  <c r="HA27" i="39" s="1"/>
  <c r="I27" i="39"/>
  <c r="J27" i="39" s="1"/>
  <c r="J25" i="39"/>
  <c r="BN6" i="34"/>
  <c r="BM18" i="34"/>
  <c r="HL49" i="34"/>
  <c r="HK51" i="34"/>
  <c r="HL51" i="34" s="1"/>
  <c r="EO50" i="34"/>
  <c r="EO49" i="34"/>
  <c r="I49" i="34"/>
  <c r="I50" i="34"/>
  <c r="J47" i="34"/>
  <c r="FV50" i="34"/>
  <c r="FV49" i="34"/>
  <c r="FV51" i="34" s="1"/>
  <c r="IA47" i="34"/>
  <c r="IB18" i="34"/>
  <c r="BU18" i="34"/>
  <c r="BV6" i="34"/>
  <c r="DZ51" i="34"/>
  <c r="EA51" i="34" s="1"/>
  <c r="EA49" i="34"/>
  <c r="FO47" i="34"/>
  <c r="FP18" i="34"/>
  <c r="EP18" i="34"/>
  <c r="EQ6" i="34"/>
  <c r="CD47" i="34"/>
  <c r="CE18" i="34"/>
  <c r="DB51" i="34"/>
  <c r="GV47" i="34"/>
  <c r="GU49" i="34"/>
  <c r="GU50" i="34"/>
  <c r="IZ6" i="34"/>
  <c r="IY18" i="34"/>
  <c r="Y47" i="34"/>
  <c r="Z18" i="34"/>
  <c r="DS47" i="34"/>
  <c r="DR49" i="34"/>
  <c r="DR50" i="34"/>
  <c r="EW50" i="34"/>
  <c r="EW49" i="34"/>
  <c r="EW51" i="34" s="1"/>
  <c r="CM47" i="34"/>
  <c r="CL49" i="34"/>
  <c r="CL50" i="34"/>
  <c r="GE47" i="34"/>
  <c r="GF18" i="34"/>
  <c r="IX49" i="34"/>
  <c r="IX50" i="34"/>
  <c r="R49" i="34"/>
  <c r="Q51" i="34"/>
  <c r="R51" i="34" s="1"/>
  <c r="CT47" i="34"/>
  <c r="CU18" i="34"/>
  <c r="GM47" i="34"/>
  <c r="GN18" i="34"/>
  <c r="AX49" i="34"/>
  <c r="AW51" i="34"/>
  <c r="AX51" i="34" s="1"/>
  <c r="II47" i="34"/>
  <c r="IJ18" i="34"/>
  <c r="EH49" i="34"/>
  <c r="EI47" i="34"/>
  <c r="EH50" i="34"/>
  <c r="BE47" i="34"/>
  <c r="BF18" i="34"/>
  <c r="DJ47" i="34"/>
  <c r="DK18" i="34"/>
  <c r="HT49" i="34"/>
  <c r="HS51" i="34"/>
  <c r="HT51" i="34" s="1"/>
  <c r="AO49" i="34"/>
  <c r="AO50" i="34"/>
  <c r="AP47" i="34"/>
  <c r="AG47" i="34"/>
  <c r="AH18" i="34"/>
  <c r="EG51" i="34"/>
  <c r="FG49" i="34"/>
  <c r="FG50" i="34"/>
  <c r="FH47" i="34"/>
  <c r="X51" i="34"/>
  <c r="CK51" i="34"/>
  <c r="EX6" i="34"/>
  <c r="FW18" i="34"/>
  <c r="FX6" i="34"/>
  <c r="IR49" i="34"/>
  <c r="IQ51" i="34"/>
  <c r="IR51" i="34" s="1"/>
  <c r="HC49" i="34"/>
  <c r="HC50" i="34"/>
  <c r="HD47" i="34"/>
  <c r="NN53" i="33"/>
  <c r="NN52" i="33"/>
  <c r="QT50" i="33"/>
  <c r="QU19" i="33"/>
  <c r="FF53" i="33"/>
  <c r="FF52" i="33"/>
  <c r="FG50" i="33"/>
  <c r="QS53" i="33"/>
  <c r="QS52" i="33"/>
  <c r="IP50" i="33"/>
  <c r="IQ19" i="33"/>
  <c r="PE53" i="33"/>
  <c r="PE52" i="33"/>
  <c r="IG50" i="33"/>
  <c r="IG52" i="33" s="1"/>
  <c r="IG54" i="33" s="1"/>
  <c r="II19" i="33"/>
  <c r="ABE19" i="33"/>
  <c r="ABF5" i="33"/>
  <c r="JU19" i="33"/>
  <c r="JV5" i="33"/>
  <c r="WN53" i="33"/>
  <c r="WN52" i="33"/>
  <c r="GR53" i="33"/>
  <c r="GR52" i="33"/>
  <c r="GS50" i="33"/>
  <c r="ZQ50" i="33"/>
  <c r="ZR19" i="33"/>
  <c r="XR53" i="33"/>
  <c r="XR52" i="33"/>
  <c r="XR54" i="33" s="1"/>
  <c r="KO19" i="33"/>
  <c r="KP5" i="33"/>
  <c r="OE5" i="33"/>
  <c r="AH52" i="33"/>
  <c r="AI50" i="33"/>
  <c r="BN52" i="33"/>
  <c r="BO50" i="33"/>
  <c r="IH53" i="33"/>
  <c r="II50" i="33"/>
  <c r="IH52" i="33"/>
  <c r="SR19" i="33"/>
  <c r="SS5" i="33"/>
  <c r="UZ5" i="33"/>
  <c r="IO50" i="33"/>
  <c r="IO52" i="33" s="1"/>
  <c r="IO54" i="33" s="1"/>
  <c r="DJ50" i="33"/>
  <c r="DK19" i="33"/>
  <c r="OU19" i="33"/>
  <c r="OV5" i="33"/>
  <c r="PY53" i="33"/>
  <c r="PY52" i="33"/>
  <c r="PY54" i="33" s="1"/>
  <c r="HS19" i="33"/>
  <c r="HR19" i="33"/>
  <c r="HR50" i="33" s="1"/>
  <c r="HZ19" i="33"/>
  <c r="HZ50" i="33" s="1"/>
  <c r="TB50" i="33"/>
  <c r="TC19" i="33"/>
  <c r="NW10" i="33"/>
  <c r="NX10" i="33" s="1"/>
  <c r="JB10" i="33"/>
  <c r="LS50" i="33"/>
  <c r="LT19" i="33"/>
  <c r="QJ19" i="33"/>
  <c r="UJ5" i="33"/>
  <c r="QK5" i="33"/>
  <c r="LI19" i="33"/>
  <c r="LJ5" i="33"/>
  <c r="OM5" i="33"/>
  <c r="WE50" i="33"/>
  <c r="WF19" i="33"/>
  <c r="VU19" i="33"/>
  <c r="VV5" i="33"/>
  <c r="AAG5" i="33"/>
  <c r="LJ6" i="33"/>
  <c r="OM6" i="33"/>
  <c r="ON6" i="33" s="1"/>
  <c r="CL52" i="33"/>
  <c r="CM50" i="33"/>
  <c r="YB52" i="33"/>
  <c r="YB54" i="33" s="1"/>
  <c r="WO50" i="33"/>
  <c r="WP19" i="33"/>
  <c r="UA53" i="33"/>
  <c r="UA52" i="33"/>
  <c r="UY50" i="33"/>
  <c r="UY52" i="33" s="1"/>
  <c r="UY54" i="33" s="1"/>
  <c r="EP53" i="33"/>
  <c r="EQ50" i="33"/>
  <c r="EP52" i="33"/>
  <c r="RN19" i="33"/>
  <c r="UR5" i="33"/>
  <c r="RO5" i="33"/>
  <c r="TT5" i="33"/>
  <c r="FN50" i="33"/>
  <c r="FO19" i="33"/>
  <c r="NH6" i="33"/>
  <c r="NO6" i="33"/>
  <c r="NP6" i="33" s="1"/>
  <c r="NG19" i="33"/>
  <c r="RC53" i="33"/>
  <c r="RC52" i="33"/>
  <c r="RC54" i="33" s="1"/>
  <c r="HJ50" i="33"/>
  <c r="HK19" i="33"/>
  <c r="NV19" i="33"/>
  <c r="NV50" i="33" s="1"/>
  <c r="NV52" i="33" s="1"/>
  <c r="NV54" i="33" s="1"/>
  <c r="PQ10" i="33"/>
  <c r="UB10" i="33"/>
  <c r="UC10" i="33" s="1"/>
  <c r="GH54" i="33"/>
  <c r="GI54" i="33" s="1"/>
  <c r="GI52" i="33"/>
  <c r="WX53" i="33"/>
  <c r="WX52" i="33"/>
  <c r="KE53" i="33"/>
  <c r="KF50" i="33"/>
  <c r="KE52" i="33"/>
  <c r="PO53" i="33"/>
  <c r="PO52" i="33"/>
  <c r="PO54" i="33" s="1"/>
  <c r="EX53" i="33"/>
  <c r="EX52" i="33"/>
  <c r="EY50" i="33"/>
  <c r="BV50" i="33"/>
  <c r="BW19" i="33"/>
  <c r="YW50" i="33"/>
  <c r="YX19" i="33"/>
  <c r="HB50" i="33"/>
  <c r="HC19" i="33"/>
  <c r="MM50" i="33"/>
  <c r="MN19" i="33"/>
  <c r="RM53" i="33"/>
  <c r="RM52" i="33"/>
  <c r="ZG19" i="33"/>
  <c r="ZH5" i="33"/>
  <c r="PZ50" i="33"/>
  <c r="QA19" i="33"/>
  <c r="TL50" i="33"/>
  <c r="TM19" i="33"/>
  <c r="DB50" i="33"/>
  <c r="DC19" i="33"/>
  <c r="NF53" i="33"/>
  <c r="NF52" i="33"/>
  <c r="YM19" i="33"/>
  <c r="YN5" i="33"/>
  <c r="VK50" i="33"/>
  <c r="VL19" i="33"/>
  <c r="BF52" i="33"/>
  <c r="BG50" i="33"/>
  <c r="MW19" i="33"/>
  <c r="MX5" i="33"/>
  <c r="NO5" i="33"/>
  <c r="ZY5" i="33"/>
  <c r="UI19" i="33"/>
  <c r="UI50" i="33" s="1"/>
  <c r="UI52" i="33" s="1"/>
  <c r="UI54" i="33" s="1"/>
  <c r="HI50" i="33"/>
  <c r="HI52" i="33" s="1"/>
  <c r="HI54" i="33" s="1"/>
  <c r="VJ53" i="33"/>
  <c r="VJ52" i="33"/>
  <c r="XI50" i="33"/>
  <c r="XJ19" i="33"/>
  <c r="SH19" i="33"/>
  <c r="SI5" i="33"/>
  <c r="FX53" i="33"/>
  <c r="FX52" i="33"/>
  <c r="FY50" i="33"/>
  <c r="EH53" i="33"/>
  <c r="EI50" i="33"/>
  <c r="EH52" i="33"/>
  <c r="OL19" i="33"/>
  <c r="OL50" i="33" s="1"/>
  <c r="OL52" i="33" s="1"/>
  <c r="OL54" i="33" s="1"/>
  <c r="VT52" i="33"/>
  <c r="VT53" i="33"/>
  <c r="KY50" i="33"/>
  <c r="KZ19" i="33"/>
  <c r="Z50" i="33"/>
  <c r="AA19" i="33"/>
  <c r="DR54" i="33"/>
  <c r="DS54" i="33" s="1"/>
  <c r="DS52" i="33"/>
  <c r="CE50" i="33"/>
  <c r="CD52" i="33"/>
  <c r="PF53" i="33"/>
  <c r="PF54" i="33" s="1"/>
  <c r="PG54" i="33" s="1"/>
  <c r="PF52" i="33"/>
  <c r="PG52" i="33" s="1"/>
  <c r="PG50" i="33"/>
  <c r="AX54" i="33"/>
  <c r="AY54" i="33" s="1"/>
  <c r="AY52" i="33"/>
  <c r="RX50" i="33"/>
  <c r="RY19" i="33"/>
  <c r="J50" i="33"/>
  <c r="K19" i="33"/>
  <c r="HY50" i="33"/>
  <c r="HY52" i="33" s="1"/>
  <c r="HY54" i="33" s="1"/>
  <c r="IA19" i="33"/>
  <c r="YC53" i="33"/>
  <c r="YC52" i="33"/>
  <c r="YD50" i="33"/>
  <c r="RD19" i="33"/>
  <c r="RE5" i="33"/>
  <c r="QI53" i="33"/>
  <c r="QI52" i="33"/>
  <c r="JA19" i="33"/>
  <c r="NW5" i="33"/>
  <c r="JB5" i="33"/>
  <c r="QU7" i="33"/>
  <c r="UJ7" i="33"/>
  <c r="UK7" i="33" s="1"/>
  <c r="TT7" i="33"/>
  <c r="TU7" i="33" s="1"/>
  <c r="MC19" i="33"/>
  <c r="MD5" i="33"/>
  <c r="WY19" i="33"/>
  <c r="WZ5" i="33"/>
  <c r="AAO5" i="33"/>
  <c r="XS19" i="33"/>
  <c r="AAW5" i="33"/>
  <c r="XT5" i="33"/>
  <c r="AAF53" i="33"/>
  <c r="AAF52" i="33"/>
  <c r="AP50" i="33"/>
  <c r="AQ19" i="33"/>
  <c r="JK50" i="33"/>
  <c r="JL19" i="33"/>
  <c r="PP19" i="33"/>
  <c r="PQ5" i="33"/>
  <c r="UB5" i="33"/>
  <c r="CT52" i="33"/>
  <c r="CU50" i="33"/>
  <c r="NO10" i="33"/>
  <c r="NP10" i="33" s="1"/>
  <c r="R54" i="33"/>
  <c r="S54" i="33" s="1"/>
  <c r="S52" i="33"/>
  <c r="DZ52" i="33"/>
  <c r="DZ53" i="33"/>
  <c r="EA50" i="33"/>
  <c r="DZ23" i="39" l="1"/>
  <c r="EA10" i="39"/>
  <c r="BN25" i="39"/>
  <c r="BM27" i="39"/>
  <c r="BN27" i="39" s="1"/>
  <c r="HC6" i="39"/>
  <c r="HB10" i="39"/>
  <c r="AN27" i="39"/>
  <c r="EP27" i="39"/>
  <c r="EQ27" i="39" s="1"/>
  <c r="EQ25" i="39"/>
  <c r="BE23" i="39"/>
  <c r="BF10" i="39"/>
  <c r="DJ23" i="39"/>
  <c r="DK10" i="39"/>
  <c r="EH27" i="39"/>
  <c r="EI27" i="39" s="1"/>
  <c r="EI25" i="39"/>
  <c r="DS25" i="39"/>
  <c r="DR27" i="39"/>
  <c r="DS27" i="39" s="1"/>
  <c r="CK23" i="39"/>
  <c r="CL10" i="39"/>
  <c r="CT25" i="39"/>
  <c r="CS27" i="39"/>
  <c r="CT27" i="39" s="1"/>
  <c r="GD26" i="39"/>
  <c r="GD25" i="39"/>
  <c r="GE23" i="39"/>
  <c r="FN27" i="39"/>
  <c r="FO27" i="39" s="1"/>
  <c r="FO25" i="39"/>
  <c r="CC27" i="39"/>
  <c r="CD27" i="39" s="1"/>
  <c r="CD25" i="39"/>
  <c r="GM25" i="39"/>
  <c r="GL27" i="39"/>
  <c r="GM27" i="39" s="1"/>
  <c r="DB6" i="39"/>
  <c r="DA10" i="39"/>
  <c r="BU23" i="39"/>
  <c r="BV10" i="39"/>
  <c r="Y26" i="39"/>
  <c r="Y25" i="39"/>
  <c r="Z23" i="39"/>
  <c r="AW27" i="39"/>
  <c r="AX27" i="39" s="1"/>
  <c r="AX25" i="39"/>
  <c r="FV27" i="39"/>
  <c r="FW27" i="39" s="1"/>
  <c r="FW25" i="39"/>
  <c r="AG23" i="39"/>
  <c r="AH10" i="39"/>
  <c r="AO23" i="39"/>
  <c r="AP10" i="39"/>
  <c r="GM50" i="34"/>
  <c r="GM49" i="34"/>
  <c r="GM51" i="34" s="1"/>
  <c r="GE49" i="34"/>
  <c r="GE50" i="34"/>
  <c r="IB47" i="34"/>
  <c r="IA50" i="34"/>
  <c r="IA49" i="34"/>
  <c r="HC51" i="34"/>
  <c r="HD51" i="34" s="1"/>
  <c r="HD49" i="34"/>
  <c r="AO51" i="34"/>
  <c r="AP51" i="34" s="1"/>
  <c r="AP49" i="34"/>
  <c r="I51" i="34"/>
  <c r="J51" i="34" s="1"/>
  <c r="J49" i="34"/>
  <c r="II49" i="34"/>
  <c r="II50" i="34"/>
  <c r="IJ47" i="34"/>
  <c r="FW47" i="34"/>
  <c r="FX18" i="34"/>
  <c r="DK47" i="34"/>
  <c r="DJ50" i="34"/>
  <c r="DJ49" i="34"/>
  <c r="EX18" i="34"/>
  <c r="EY6" i="34"/>
  <c r="AG50" i="34"/>
  <c r="AH47" i="34"/>
  <c r="AG49" i="34"/>
  <c r="EI49" i="34"/>
  <c r="EH51" i="34"/>
  <c r="EI51" i="34" s="1"/>
  <c r="CT50" i="34"/>
  <c r="CU47" i="34"/>
  <c r="CT49" i="34"/>
  <c r="IX51" i="34"/>
  <c r="CM49" i="34"/>
  <c r="CL51" i="34"/>
  <c r="CM51" i="34" s="1"/>
  <c r="Z47" i="34"/>
  <c r="Y49" i="34"/>
  <c r="Y50" i="34"/>
  <c r="GV49" i="34"/>
  <c r="GU51" i="34"/>
  <c r="GV51" i="34" s="1"/>
  <c r="CD50" i="34"/>
  <c r="CD49" i="34"/>
  <c r="CE47" i="34"/>
  <c r="FO49" i="34"/>
  <c r="FO50" i="34"/>
  <c r="FP47" i="34"/>
  <c r="BU47" i="34"/>
  <c r="BV18" i="34"/>
  <c r="EO51" i="34"/>
  <c r="BN18" i="34"/>
  <c r="BM47" i="34"/>
  <c r="EP47" i="34"/>
  <c r="EQ18" i="34"/>
  <c r="FG51" i="34"/>
  <c r="FH51" i="34" s="1"/>
  <c r="FH49" i="34"/>
  <c r="BF47" i="34"/>
  <c r="BE49" i="34"/>
  <c r="BE50" i="34"/>
  <c r="DS49" i="34"/>
  <c r="DR51" i="34"/>
  <c r="DS51" i="34" s="1"/>
  <c r="IY47" i="34"/>
  <c r="IZ18" i="34"/>
  <c r="DZ54" i="33"/>
  <c r="EA54" i="33" s="1"/>
  <c r="EA52" i="33"/>
  <c r="PP50" i="33"/>
  <c r="PQ19" i="33"/>
  <c r="AAW19" i="33"/>
  <c r="AAX5" i="33"/>
  <c r="RD50" i="33"/>
  <c r="RE19" i="33"/>
  <c r="CD54" i="33"/>
  <c r="CE54" i="33" s="1"/>
  <c r="CE52" i="33"/>
  <c r="VK53" i="33"/>
  <c r="VK54" i="33" s="1"/>
  <c r="VL54" i="33" s="1"/>
  <c r="VL50" i="33"/>
  <c r="VK52" i="33"/>
  <c r="VL52" i="33" s="1"/>
  <c r="TL53" i="33"/>
  <c r="TL52" i="33"/>
  <c r="TM50" i="33"/>
  <c r="MM53" i="33"/>
  <c r="MM52" i="33"/>
  <c r="MN50" i="33"/>
  <c r="YW53" i="33"/>
  <c r="YX50" i="33"/>
  <c r="YW52" i="33"/>
  <c r="EX54" i="33"/>
  <c r="EY54" i="33" s="1"/>
  <c r="EY52" i="33"/>
  <c r="AAG19" i="33"/>
  <c r="AAH5" i="33"/>
  <c r="WE53" i="33"/>
  <c r="WE52" i="33"/>
  <c r="WF50" i="33"/>
  <c r="LS53" i="33"/>
  <c r="LS52" i="33"/>
  <c r="LT50" i="33"/>
  <c r="TB53" i="33"/>
  <c r="TC50" i="33"/>
  <c r="TB52" i="33"/>
  <c r="AH54" i="33"/>
  <c r="AI54" i="33" s="1"/>
  <c r="AI52" i="33"/>
  <c r="ABE50" i="33"/>
  <c r="ABF19" i="33"/>
  <c r="CT54" i="33"/>
  <c r="CU54" i="33" s="1"/>
  <c r="CU52" i="33"/>
  <c r="CT53" i="33"/>
  <c r="AAF54" i="33"/>
  <c r="XS50" i="33"/>
  <c r="XT19" i="33"/>
  <c r="QI54" i="33"/>
  <c r="RX53" i="33"/>
  <c r="RX52" i="33"/>
  <c r="RY50" i="33"/>
  <c r="Z52" i="33"/>
  <c r="AA50" i="33"/>
  <c r="VT54" i="33"/>
  <c r="VJ54" i="33"/>
  <c r="ZY19" i="33"/>
  <c r="ZZ5" i="33"/>
  <c r="RM54" i="33"/>
  <c r="UR19" i="33"/>
  <c r="US5" i="33"/>
  <c r="CL54" i="33"/>
  <c r="CM54" i="33" s="1"/>
  <c r="CM52" i="33"/>
  <c r="OM19" i="33"/>
  <c r="ON5" i="33"/>
  <c r="UJ19" i="33"/>
  <c r="UK5" i="33"/>
  <c r="HZ53" i="33"/>
  <c r="HZ52" i="33"/>
  <c r="IA50" i="33"/>
  <c r="DJ52" i="33"/>
  <c r="DK50" i="33"/>
  <c r="SR50" i="33"/>
  <c r="SS19" i="33"/>
  <c r="OE19" i="33"/>
  <c r="OF5" i="33"/>
  <c r="ZX53" i="33"/>
  <c r="ZX54" i="33" s="1"/>
  <c r="GR54" i="33"/>
  <c r="GS54" i="33" s="1"/>
  <c r="GS52" i="33"/>
  <c r="UB19" i="33"/>
  <c r="UC5" i="33"/>
  <c r="AAO19" i="33"/>
  <c r="AAP5" i="33"/>
  <c r="NO19" i="33"/>
  <c r="NP5" i="33"/>
  <c r="BF54" i="33"/>
  <c r="BG54" i="33" s="1"/>
  <c r="BG52" i="33"/>
  <c r="PZ53" i="33"/>
  <c r="QA50" i="33"/>
  <c r="PZ52" i="33"/>
  <c r="BW50" i="33"/>
  <c r="BV52" i="33"/>
  <c r="NG50" i="33"/>
  <c r="NH19" i="33"/>
  <c r="FN53" i="33"/>
  <c r="FO50" i="33"/>
  <c r="FN52" i="33"/>
  <c r="RN50" i="33"/>
  <c r="RO19" i="33"/>
  <c r="WO53" i="33"/>
  <c r="WO52" i="33"/>
  <c r="WP50" i="33"/>
  <c r="VU50" i="33"/>
  <c r="VV19" i="33"/>
  <c r="JU50" i="33"/>
  <c r="JV19" i="33"/>
  <c r="JK53" i="33"/>
  <c r="JK52" i="33"/>
  <c r="JL50" i="33"/>
  <c r="MC50" i="33"/>
  <c r="MD19" i="33"/>
  <c r="YC54" i="33"/>
  <c r="YD54" i="33" s="1"/>
  <c r="YD52" i="33"/>
  <c r="SH50" i="33"/>
  <c r="SI19" i="33"/>
  <c r="YM50" i="33"/>
  <c r="YN19" i="33"/>
  <c r="DC50" i="33"/>
  <c r="DB52" i="33"/>
  <c r="HB53" i="33"/>
  <c r="HC50" i="33"/>
  <c r="HB52" i="33"/>
  <c r="QJ50" i="33"/>
  <c r="QK19" i="33"/>
  <c r="HR53" i="33"/>
  <c r="HR52" i="33"/>
  <c r="HS50" i="33"/>
  <c r="IH54" i="33"/>
  <c r="II54" i="33" s="1"/>
  <c r="II52" i="33"/>
  <c r="BN54" i="33"/>
  <c r="BO54" i="33" s="1"/>
  <c r="BO52" i="33"/>
  <c r="IP53" i="33"/>
  <c r="IP52" i="33"/>
  <c r="IQ50" i="33"/>
  <c r="FF54" i="33"/>
  <c r="FG54" i="33" s="1"/>
  <c r="FG52" i="33"/>
  <c r="QT53" i="33"/>
  <c r="QT52" i="33"/>
  <c r="QU50" i="33"/>
  <c r="NW19" i="33"/>
  <c r="NX5" i="33"/>
  <c r="K50" i="33"/>
  <c r="J52" i="33"/>
  <c r="KY53" i="33"/>
  <c r="KY52" i="33"/>
  <c r="KZ50" i="33"/>
  <c r="EH54" i="33"/>
  <c r="EI54" i="33" s="1"/>
  <c r="EI52" i="33"/>
  <c r="FX54" i="33"/>
  <c r="FY54" i="33" s="1"/>
  <c r="FY52" i="33"/>
  <c r="NF54" i="33"/>
  <c r="WX54" i="33"/>
  <c r="HJ53" i="33"/>
  <c r="HK50" i="33"/>
  <c r="HJ52" i="33"/>
  <c r="TT19" i="33"/>
  <c r="TU5" i="33"/>
  <c r="EP54" i="33"/>
  <c r="EQ54" i="33" s="1"/>
  <c r="EQ52" i="33"/>
  <c r="UA54" i="33"/>
  <c r="LI50" i="33"/>
  <c r="LJ19" i="33"/>
  <c r="OU50" i="33"/>
  <c r="OV19" i="33"/>
  <c r="UZ19" i="33"/>
  <c r="VA5" i="33"/>
  <c r="KO50" i="33"/>
  <c r="KP19" i="33"/>
  <c r="ZQ52" i="33"/>
  <c r="ZQ53" i="33"/>
  <c r="ZR50" i="33"/>
  <c r="WN54" i="33"/>
  <c r="PE54" i="33"/>
  <c r="QS54" i="33"/>
  <c r="NN54" i="33"/>
  <c r="AQ50" i="33"/>
  <c r="AP52" i="33"/>
  <c r="WY50" i="33"/>
  <c r="WZ19" i="33"/>
  <c r="JA50" i="33"/>
  <c r="JB19" i="33"/>
  <c r="XI53" i="33"/>
  <c r="XI52" i="33"/>
  <c r="XJ50" i="33"/>
  <c r="MW50" i="33"/>
  <c r="MX19" i="33"/>
  <c r="ZG50" i="33"/>
  <c r="ZH19" i="33"/>
  <c r="KE54" i="33"/>
  <c r="KF54" i="33" s="1"/>
  <c r="KF52" i="33"/>
  <c r="UH301" i="7"/>
  <c r="UH300" i="7"/>
  <c r="UC297" i="7"/>
  <c r="UH295" i="7"/>
  <c r="TX295" i="7"/>
  <c r="TX296" i="7" s="1"/>
  <c r="TS295" i="7"/>
  <c r="TS296" i="7" s="1"/>
  <c r="TN295" i="7"/>
  <c r="TN296" i="7" s="1"/>
  <c r="UH293" i="7"/>
  <c r="UC292" i="7"/>
  <c r="UC296" i="7" s="1"/>
  <c r="UH291" i="7"/>
  <c r="TC291" i="7"/>
  <c r="SX290" i="7"/>
  <c r="SS289" i="7"/>
  <c r="UH288" i="7"/>
  <c r="UH296" i="7" s="1"/>
  <c r="UH297" i="7" s="1"/>
  <c r="TI288" i="7"/>
  <c r="TI295" i="7" s="1"/>
  <c r="TJ295" i="7" s="1"/>
  <c r="SX288" i="7"/>
  <c r="TS287" i="7"/>
  <c r="SX287" i="7"/>
  <c r="TC286" i="7"/>
  <c r="TC292" i="7" s="1"/>
  <c r="TD292" i="7" s="1"/>
  <c r="SX286" i="7"/>
  <c r="SS284" i="7"/>
  <c r="SS292" i="7" s="1"/>
  <c r="ST292" i="7" s="1"/>
  <c r="FV267" i="7"/>
  <c r="VQ266" i="7"/>
  <c r="VQ267" i="7" s="1"/>
  <c r="VL265" i="7"/>
  <c r="ST265" i="7"/>
  <c r="SY265" i="7" s="1"/>
  <c r="TD265" i="7" s="1"/>
  <c r="TI265" i="7" s="1"/>
  <c r="TN265" i="7" s="1"/>
  <c r="VQ265" i="7" s="1"/>
  <c r="SO265" i="7"/>
  <c r="PG265" i="7"/>
  <c r="PL265" i="7" s="1"/>
  <c r="PQ265" i="7" s="1"/>
  <c r="PV265" i="7" s="1"/>
  <c r="QA265" i="7" s="1"/>
  <c r="QF265" i="7" s="1"/>
  <c r="RT265" i="7" s="1"/>
  <c r="RY265" i="7" s="1"/>
  <c r="SD265" i="7" s="1"/>
  <c r="SI265" i="7" s="1"/>
  <c r="OV265" i="7"/>
  <c r="OQ265" i="7"/>
  <c r="OL265" i="7"/>
  <c r="NH265" i="7"/>
  <c r="NM265" i="7" s="1"/>
  <c r="NR265" i="7" s="1"/>
  <c r="NW265" i="7" s="1"/>
  <c r="OB265" i="7" s="1"/>
  <c r="OG265" i="7" s="1"/>
  <c r="LZ265" i="7"/>
  <c r="LS265" i="7"/>
  <c r="LO265" i="7"/>
  <c r="NC265" i="7" s="1"/>
  <c r="LK265" i="7"/>
  <c r="LG265" i="7"/>
  <c r="IO265" i="7"/>
  <c r="HT265" i="7"/>
  <c r="HO265" i="7"/>
  <c r="HJ265" i="7"/>
  <c r="HE265" i="7"/>
  <c r="GZ265" i="7"/>
  <c r="IK265" i="7" s="1"/>
  <c r="GU265" i="7"/>
  <c r="GP265" i="7"/>
  <c r="GK265" i="7"/>
  <c r="GF265" i="7"/>
  <c r="GA265" i="7"/>
  <c r="FV265" i="7"/>
  <c r="FQ265" i="7"/>
  <c r="IC265" i="7" s="1"/>
  <c r="UR263" i="7"/>
  <c r="TN263" i="7"/>
  <c r="TI263" i="7"/>
  <c r="VG263" i="7" s="1"/>
  <c r="TD263" i="7"/>
  <c r="SY263" i="7"/>
  <c r="VB263" i="7" s="1"/>
  <c r="ST263" i="7"/>
  <c r="SO263" i="7"/>
  <c r="QF263" i="7"/>
  <c r="QA263" i="7"/>
  <c r="PV263" i="7"/>
  <c r="PQ263" i="7"/>
  <c r="PL263" i="7"/>
  <c r="PG263" i="7"/>
  <c r="NW263" i="7"/>
  <c r="NR263" i="7"/>
  <c r="NM263" i="7"/>
  <c r="NH263" i="7"/>
  <c r="NC263" i="7"/>
  <c r="UR262" i="7"/>
  <c r="UM262" i="7"/>
  <c r="UH260" i="7"/>
  <c r="UC260" i="7"/>
  <c r="TX260" i="7"/>
  <c r="TS260" i="7"/>
  <c r="TN260" i="7"/>
  <c r="TI260" i="7"/>
  <c r="TD260" i="7"/>
  <c r="SY260" i="7"/>
  <c r="ST260" i="7"/>
  <c r="VB260" i="7" s="1"/>
  <c r="SO260" i="7"/>
  <c r="RJ260" i="7"/>
  <c r="RE260" i="7"/>
  <c r="SI260" i="7" s="1"/>
  <c r="QZ260" i="7"/>
  <c r="QU260" i="7"/>
  <c r="SD260" i="7" s="1"/>
  <c r="QP260" i="7"/>
  <c r="RY260" i="7" s="1"/>
  <c r="QK260" i="7"/>
  <c r="QF260" i="7"/>
  <c r="QA260" i="7"/>
  <c r="PV260" i="7"/>
  <c r="PQ260" i="7"/>
  <c r="PL260" i="7"/>
  <c r="PG260" i="7"/>
  <c r="OB260" i="7"/>
  <c r="OG260" i="7" s="1"/>
  <c r="NW260" i="7"/>
  <c r="NR260" i="7"/>
  <c r="NM260" i="7"/>
  <c r="NH260" i="7"/>
  <c r="NC260" i="7"/>
  <c r="MX260" i="7"/>
  <c r="MS260" i="7"/>
  <c r="MN260" i="7"/>
  <c r="MI260" i="7"/>
  <c r="MD260" i="7"/>
  <c r="LY260" i="7"/>
  <c r="KX260" i="7"/>
  <c r="KS260" i="7"/>
  <c r="KN260" i="7"/>
  <c r="KI260" i="7"/>
  <c r="KD260" i="7"/>
  <c r="JY260" i="7"/>
  <c r="JT260" i="7"/>
  <c r="JO260" i="7"/>
  <c r="JJ260" i="7"/>
  <c r="JE260" i="7"/>
  <c r="IZ260" i="7"/>
  <c r="IU260" i="7"/>
  <c r="LC260" i="7" s="1"/>
  <c r="UH262" i="7"/>
  <c r="UC259" i="7"/>
  <c r="UC262" i="7" s="1"/>
  <c r="TX259" i="7"/>
  <c r="TX262" i="7" s="1"/>
  <c r="TS259" i="7"/>
  <c r="TS262" i="7" s="1"/>
  <c r="TN259" i="7"/>
  <c r="TN262" i="7" s="1"/>
  <c r="TI259" i="7"/>
  <c r="TI262" i="7" s="1"/>
  <c r="TD259" i="7"/>
  <c r="TD262" i="7" s="1"/>
  <c r="SY259" i="7"/>
  <c r="SY262" i="7" s="1"/>
  <c r="ST259" i="7"/>
  <c r="ST262" i="7" s="1"/>
  <c r="SO259" i="7"/>
  <c r="SO262" i="7" s="1"/>
  <c r="RJ259" i="7"/>
  <c r="RJ262" i="7" s="1"/>
  <c r="RE259" i="7"/>
  <c r="RE262" i="7" s="1"/>
  <c r="QZ259" i="7"/>
  <c r="QZ262" i="7" s="1"/>
  <c r="QU259" i="7"/>
  <c r="QU262" i="7" s="1"/>
  <c r="QP259" i="7"/>
  <c r="QP262" i="7" s="1"/>
  <c r="QK259" i="7"/>
  <c r="QK262" i="7" s="1"/>
  <c r="QF259" i="7"/>
  <c r="QF262" i="7" s="1"/>
  <c r="QA259" i="7"/>
  <c r="QA262" i="7" s="1"/>
  <c r="PV259" i="7"/>
  <c r="PV262" i="7" s="1"/>
  <c r="PQ259" i="7"/>
  <c r="PQ262" i="7" s="1"/>
  <c r="PL259" i="7"/>
  <c r="PL262" i="7" s="1"/>
  <c r="PG259" i="7"/>
  <c r="PG262" i="7" s="1"/>
  <c r="OB259" i="7"/>
  <c r="OB262" i="7" s="1"/>
  <c r="NW259" i="7"/>
  <c r="NW262" i="7" s="1"/>
  <c r="NR259" i="7"/>
  <c r="NR262" i="7" s="1"/>
  <c r="NM259" i="7"/>
  <c r="NM262" i="7" s="1"/>
  <c r="NH259" i="7"/>
  <c r="NH262" i="7" s="1"/>
  <c r="NC259" i="7"/>
  <c r="NC262" i="7" s="1"/>
  <c r="MX259" i="7"/>
  <c r="MS259" i="7"/>
  <c r="MN259" i="7"/>
  <c r="MI259" i="7"/>
  <c r="MD259" i="7"/>
  <c r="LY259" i="7"/>
  <c r="KX259" i="7"/>
  <c r="KS259" i="7"/>
  <c r="KN259" i="7"/>
  <c r="KI259" i="7"/>
  <c r="KD259" i="7"/>
  <c r="JY259" i="7"/>
  <c r="JT259" i="7"/>
  <c r="JO259" i="7"/>
  <c r="JJ259" i="7"/>
  <c r="JE259" i="7"/>
  <c r="IZ259" i="7"/>
  <c r="IU259" i="7"/>
  <c r="LC259" i="7" s="1"/>
  <c r="LC262" i="7" s="1"/>
  <c r="HY259" i="7"/>
  <c r="VB258" i="7"/>
  <c r="UW258" i="7"/>
  <c r="UW263" i="7" s="1"/>
  <c r="SD258" i="7"/>
  <c r="SD263" i="7" s="1"/>
  <c r="RY258" i="7"/>
  <c r="RY263" i="7" s="1"/>
  <c r="RT258" i="7"/>
  <c r="RT263" i="7" s="1"/>
  <c r="RJ258" i="7"/>
  <c r="RJ263" i="7" s="1"/>
  <c r="OB258" i="7"/>
  <c r="OB263" i="7" s="1"/>
  <c r="LS258" i="7"/>
  <c r="LO258" i="7"/>
  <c r="LK258" i="7"/>
  <c r="LC258" i="7"/>
  <c r="LC263" i="7" s="1"/>
  <c r="KX258" i="7"/>
  <c r="IO258" i="7"/>
  <c r="IK258" i="7"/>
  <c r="IG258" i="7"/>
  <c r="HT258" i="7"/>
  <c r="HY258" i="7" s="1"/>
  <c r="VB257" i="7"/>
  <c r="UW257" i="7"/>
  <c r="SD257" i="7"/>
  <c r="RY257" i="7"/>
  <c r="RT257" i="7"/>
  <c r="RJ257" i="7"/>
  <c r="SI257" i="7" s="1"/>
  <c r="OB257" i="7"/>
  <c r="OG257" i="7" s="1"/>
  <c r="KX257" i="7"/>
  <c r="LC257" i="7" s="1"/>
  <c r="HY257" i="7"/>
  <c r="VB256" i="7"/>
  <c r="UW256" i="7"/>
  <c r="SD256" i="7"/>
  <c r="RY256" i="7"/>
  <c r="RT256" i="7"/>
  <c r="RJ256" i="7"/>
  <c r="SI256" i="7" s="1"/>
  <c r="OG256" i="7"/>
  <c r="OB256" i="7"/>
  <c r="KX256" i="7"/>
  <c r="LC256" i="7" s="1"/>
  <c r="HY256" i="7"/>
  <c r="HT256" i="7"/>
  <c r="VB255" i="7"/>
  <c r="TI255" i="7"/>
  <c r="UW255" i="7" s="1"/>
  <c r="SI255" i="7"/>
  <c r="SD255" i="7"/>
  <c r="RY255" i="7"/>
  <c r="RT255" i="7"/>
  <c r="RO255" i="7"/>
  <c r="OB255" i="7"/>
  <c r="OG255" i="7" s="1"/>
  <c r="LC255" i="7"/>
  <c r="KX255" i="7"/>
  <c r="HT255" i="7"/>
  <c r="HY255" i="7" s="1"/>
  <c r="VB254" i="7"/>
  <c r="UW254" i="7"/>
  <c r="SI254" i="7"/>
  <c r="SD254" i="7"/>
  <c r="RY254" i="7"/>
  <c r="RT254" i="7"/>
  <c r="RO254" i="7"/>
  <c r="OG254" i="7"/>
  <c r="LC254" i="7"/>
  <c r="JE254" i="7"/>
  <c r="IZ254" i="7"/>
  <c r="IU254" i="7"/>
  <c r="HY254" i="7"/>
  <c r="VB253" i="7"/>
  <c r="UW253" i="7"/>
  <c r="SI253" i="7"/>
  <c r="SD253" i="7"/>
  <c r="RY253" i="7"/>
  <c r="RT253" i="7"/>
  <c r="RO253" i="7"/>
  <c r="OG253" i="7"/>
  <c r="LC253" i="7"/>
  <c r="GZ253" i="7"/>
  <c r="GU253" i="7"/>
  <c r="GP253" i="7"/>
  <c r="GK253" i="7"/>
  <c r="GF253" i="7"/>
  <c r="GA253" i="7"/>
  <c r="HY253" i="7" s="1"/>
  <c r="VB252" i="7"/>
  <c r="UW252" i="7"/>
  <c r="SI252" i="7"/>
  <c r="SD252" i="7"/>
  <c r="RY252" i="7"/>
  <c r="RT252" i="7"/>
  <c r="RO252" i="7"/>
  <c r="OG252" i="7"/>
  <c r="LC252" i="7"/>
  <c r="GF252" i="7"/>
  <c r="FV252" i="7"/>
  <c r="HY252" i="7" s="1"/>
  <c r="VB251" i="7"/>
  <c r="UW251" i="7"/>
  <c r="SI251" i="7"/>
  <c r="SD251" i="7"/>
  <c r="RY251" i="7"/>
  <c r="RT251" i="7"/>
  <c r="RO251" i="7"/>
  <c r="OG251" i="7"/>
  <c r="OB251" i="7"/>
  <c r="KX251" i="7"/>
  <c r="LC251" i="7" s="1"/>
  <c r="HY251" i="7"/>
  <c r="VB250" i="7"/>
  <c r="UW250" i="7"/>
  <c r="SI250" i="7"/>
  <c r="SD250" i="7"/>
  <c r="RY250" i="7"/>
  <c r="RT250" i="7"/>
  <c r="RO250" i="7"/>
  <c r="OG250" i="7"/>
  <c r="LC250" i="7"/>
  <c r="GK250" i="7"/>
  <c r="FV250" i="7"/>
  <c r="HY250" i="7" s="1"/>
  <c r="UW249" i="7"/>
  <c r="UH248" i="7"/>
  <c r="UC248" i="7"/>
  <c r="TX248" i="7"/>
  <c r="TS248" i="7"/>
  <c r="TN248" i="7"/>
  <c r="TI248" i="7"/>
  <c r="TD248" i="7"/>
  <c r="ST248" i="7"/>
  <c r="SO248" i="7"/>
  <c r="SI248" i="7"/>
  <c r="SD248" i="7"/>
  <c r="RY248" i="7"/>
  <c r="RT248" i="7"/>
  <c r="VB247" i="7"/>
  <c r="UW247" i="7"/>
  <c r="SI247" i="7"/>
  <c r="SD247" i="7"/>
  <c r="RY247" i="7"/>
  <c r="RT247" i="7"/>
  <c r="RO247" i="7"/>
  <c r="OG247" i="7"/>
  <c r="MN247" i="7"/>
  <c r="LC247" i="7"/>
  <c r="HY247" i="7"/>
  <c r="GF247" i="7"/>
  <c r="FV247" i="7"/>
  <c r="VB246" i="7"/>
  <c r="UW246" i="7"/>
  <c r="SY246" i="7"/>
  <c r="SD246" i="7"/>
  <c r="RY246" i="7"/>
  <c r="RT246" i="7"/>
  <c r="QZ246" i="7"/>
  <c r="SI246" i="7" s="1"/>
  <c r="OG246" i="7"/>
  <c r="HY246" i="7"/>
  <c r="UH245" i="7"/>
  <c r="UW245" i="7" s="1"/>
  <c r="TX245" i="7"/>
  <c r="TS245" i="7"/>
  <c r="TN245" i="7"/>
  <c r="TD245" i="7"/>
  <c r="SY245" i="7"/>
  <c r="VB245" i="7" s="1"/>
  <c r="RY245" i="7"/>
  <c r="RT245" i="7"/>
  <c r="RJ245" i="7"/>
  <c r="RO245" i="7" s="1"/>
  <c r="RE245" i="7"/>
  <c r="RE237" i="7" s="1"/>
  <c r="QZ245" i="7"/>
  <c r="SI245" i="7" s="1"/>
  <c r="QU245" i="7"/>
  <c r="QP245" i="7"/>
  <c r="SD245" i="7" s="1"/>
  <c r="OG245" i="7"/>
  <c r="NH245" i="7"/>
  <c r="LC245" i="7"/>
  <c r="HY245" i="7"/>
  <c r="VB244" i="7"/>
  <c r="UW244" i="7"/>
  <c r="SI244" i="7"/>
  <c r="SD244" i="7"/>
  <c r="RY244" i="7"/>
  <c r="PQ244" i="7"/>
  <c r="RO244" i="7" s="1"/>
  <c r="PL244" i="7"/>
  <c r="RT244" i="7" s="1"/>
  <c r="PG244" i="7"/>
  <c r="OG244" i="7"/>
  <c r="JE244" i="7"/>
  <c r="LC244" i="7" s="1"/>
  <c r="IZ244" i="7"/>
  <c r="IU244" i="7"/>
  <c r="HT244" i="7"/>
  <c r="HT237" i="7" s="1"/>
  <c r="HO244" i="7"/>
  <c r="HJ244" i="7"/>
  <c r="HE244" i="7"/>
  <c r="GZ244" i="7"/>
  <c r="GZ237" i="7" s="1"/>
  <c r="GU244" i="7"/>
  <c r="GP244" i="7"/>
  <c r="GK244" i="7"/>
  <c r="GF244" i="7"/>
  <c r="HY244" i="7" s="1"/>
  <c r="GA244" i="7"/>
  <c r="VB243" i="7"/>
  <c r="UH243" i="7"/>
  <c r="UW243" i="7" s="1"/>
  <c r="UC243" i="7"/>
  <c r="SI243" i="7"/>
  <c r="SD243" i="7"/>
  <c r="RY243" i="7"/>
  <c r="PL243" i="7"/>
  <c r="RO243" i="7" s="1"/>
  <c r="PG243" i="7"/>
  <c r="OG243" i="7"/>
  <c r="LC243" i="7"/>
  <c r="FV243" i="7"/>
  <c r="HY243" i="7" s="1"/>
  <c r="VB242" i="7"/>
  <c r="UW242" i="7"/>
  <c r="SI242" i="7"/>
  <c r="SD242" i="7"/>
  <c r="RY242" i="7"/>
  <c r="RT242" i="7"/>
  <c r="RO242" i="7"/>
  <c r="OG242" i="7"/>
  <c r="LC242" i="7"/>
  <c r="GK242" i="7"/>
  <c r="GA242" i="7"/>
  <c r="GA237" i="7" s="1"/>
  <c r="FV242" i="7"/>
  <c r="HY242" i="7" s="1"/>
  <c r="UH241" i="7"/>
  <c r="UW241" i="7" s="1"/>
  <c r="UC241" i="7"/>
  <c r="TX241" i="7"/>
  <c r="TS241" i="7"/>
  <c r="TN241" i="7"/>
  <c r="TN237" i="7" s="1"/>
  <c r="TI241" i="7"/>
  <c r="TD241" i="7"/>
  <c r="SY241" i="7"/>
  <c r="ST241" i="7"/>
  <c r="VB241" i="7" s="1"/>
  <c r="SI241" i="7"/>
  <c r="SD241" i="7"/>
  <c r="RY241" i="7"/>
  <c r="QA241" i="7"/>
  <c r="RO241" i="7" s="1"/>
  <c r="PV241" i="7"/>
  <c r="PQ241" i="7"/>
  <c r="PQ237" i="7" s="1"/>
  <c r="PL241" i="7"/>
  <c r="PG241" i="7"/>
  <c r="OG241" i="7"/>
  <c r="LC241" i="7"/>
  <c r="JE241" i="7"/>
  <c r="IZ241" i="7"/>
  <c r="IU241" i="7"/>
  <c r="HT241" i="7"/>
  <c r="HO241" i="7"/>
  <c r="HJ241" i="7"/>
  <c r="HE241" i="7"/>
  <c r="GZ241" i="7"/>
  <c r="GU241" i="7"/>
  <c r="GP241" i="7"/>
  <c r="GK241" i="7"/>
  <c r="HY241" i="7" s="1"/>
  <c r="GF241" i="7"/>
  <c r="GA241" i="7"/>
  <c r="FV241" i="7"/>
  <c r="VB240" i="7"/>
  <c r="UH240" i="7"/>
  <c r="UW240" i="7" s="1"/>
  <c r="UC240" i="7"/>
  <c r="TX240" i="7"/>
  <c r="TS240" i="7"/>
  <c r="TN240" i="7"/>
  <c r="TI240" i="7"/>
  <c r="TD240" i="7"/>
  <c r="ST240" i="7"/>
  <c r="SI240" i="7"/>
  <c r="SD240" i="7"/>
  <c r="RY240" i="7"/>
  <c r="RT240" i="7"/>
  <c r="RO240" i="7"/>
  <c r="OG240" i="7"/>
  <c r="LC240" i="7"/>
  <c r="IU240" i="7"/>
  <c r="FV240" i="7"/>
  <c r="HY240" i="7" s="1"/>
  <c r="VB239" i="7"/>
  <c r="UH239" i="7"/>
  <c r="UC239" i="7"/>
  <c r="TX239" i="7"/>
  <c r="TS239" i="7"/>
  <c r="TN239" i="7"/>
  <c r="TI239" i="7"/>
  <c r="TD239" i="7"/>
  <c r="SY239" i="7"/>
  <c r="ST239" i="7"/>
  <c r="SO239" i="7"/>
  <c r="SI239" i="7"/>
  <c r="RT239" i="7"/>
  <c r="RJ239" i="7"/>
  <c r="RE239" i="7"/>
  <c r="QZ239" i="7"/>
  <c r="QU239" i="7"/>
  <c r="SD239" i="7" s="1"/>
  <c r="QP239" i="7"/>
  <c r="RY239" i="7" s="1"/>
  <c r="QK239" i="7"/>
  <c r="QF239" i="7"/>
  <c r="QA239" i="7"/>
  <c r="PV239" i="7"/>
  <c r="PL239" i="7"/>
  <c r="PG239" i="7"/>
  <c r="OG239" i="7"/>
  <c r="OB239" i="7"/>
  <c r="NW239" i="7"/>
  <c r="MN239" i="7"/>
  <c r="LC239" i="7"/>
  <c r="IU239" i="7"/>
  <c r="GK239" i="7"/>
  <c r="GF239" i="7"/>
  <c r="GF237" i="7" s="1"/>
  <c r="GA239" i="7"/>
  <c r="FV239" i="7"/>
  <c r="UH238" i="7"/>
  <c r="UC238" i="7"/>
  <c r="TX238" i="7"/>
  <c r="TS238" i="7"/>
  <c r="TS237" i="7" s="1"/>
  <c r="TN238" i="7"/>
  <c r="TI238" i="7"/>
  <c r="TD238" i="7"/>
  <c r="SY238" i="7"/>
  <c r="ST238" i="7"/>
  <c r="SO238" i="7"/>
  <c r="RJ238" i="7"/>
  <c r="RE238" i="7"/>
  <c r="QZ238" i="7"/>
  <c r="QU238" i="7"/>
  <c r="QP238" i="7"/>
  <c r="QK238" i="7"/>
  <c r="QF238" i="7"/>
  <c r="QA238" i="7"/>
  <c r="PV238" i="7"/>
  <c r="PV237" i="7" s="1"/>
  <c r="PQ238" i="7"/>
  <c r="PL238" i="7"/>
  <c r="RT238" i="7" s="1"/>
  <c r="PG238" i="7"/>
  <c r="PG237" i="7" s="1"/>
  <c r="OB238" i="7"/>
  <c r="NW238" i="7"/>
  <c r="NR238" i="7"/>
  <c r="NR237" i="7" s="1"/>
  <c r="NM238" i="7"/>
  <c r="NM237" i="7" s="1"/>
  <c r="NH238" i="7"/>
  <c r="NC238" i="7"/>
  <c r="MX238" i="7"/>
  <c r="MX237" i="7" s="1"/>
  <c r="MS238" i="7"/>
  <c r="MS237" i="7" s="1"/>
  <c r="OQ237" i="7" s="1"/>
  <c r="MN238" i="7"/>
  <c r="MI238" i="7"/>
  <c r="KX238" i="7"/>
  <c r="KS238" i="7"/>
  <c r="KN238" i="7"/>
  <c r="KI238" i="7"/>
  <c r="KD238" i="7"/>
  <c r="JY238" i="7"/>
  <c r="JT238" i="7"/>
  <c r="JO238" i="7"/>
  <c r="JJ238" i="7"/>
  <c r="JE238" i="7"/>
  <c r="IZ238" i="7"/>
  <c r="IU238" i="7"/>
  <c r="LC238" i="7" s="1"/>
  <c r="LC237" i="7" s="1"/>
  <c r="HY238" i="7"/>
  <c r="UR237" i="7"/>
  <c r="UM237" i="7"/>
  <c r="UC237" i="7"/>
  <c r="TI237" i="7"/>
  <c r="SO237" i="7"/>
  <c r="QZ237" i="7"/>
  <c r="QK237" i="7"/>
  <c r="QF237" i="7"/>
  <c r="PL237" i="7"/>
  <c r="RT237" i="7" s="1"/>
  <c r="OB237" i="7"/>
  <c r="OG237" i="7" s="1"/>
  <c r="NW237" i="7"/>
  <c r="NH237" i="7"/>
  <c r="NC237" i="7"/>
  <c r="MN237" i="7"/>
  <c r="MI237" i="7"/>
  <c r="MD237" i="7"/>
  <c r="LY237" i="7"/>
  <c r="LO237" i="7"/>
  <c r="KX237" i="7"/>
  <c r="KS237" i="7"/>
  <c r="KN237" i="7"/>
  <c r="KI237" i="7"/>
  <c r="KD237" i="7"/>
  <c r="JY237" i="7"/>
  <c r="JT237" i="7"/>
  <c r="JO237" i="7"/>
  <c r="JJ237" i="7"/>
  <c r="LK237" i="7" s="1"/>
  <c r="IZ237" i="7"/>
  <c r="IU237" i="7"/>
  <c r="IO237" i="7"/>
  <c r="HO237" i="7"/>
  <c r="HJ237" i="7"/>
  <c r="HE237" i="7"/>
  <c r="GU237" i="7"/>
  <c r="GP237" i="7"/>
  <c r="GK237" i="7"/>
  <c r="FV237" i="7"/>
  <c r="FQ237" i="7"/>
  <c r="IC237" i="7" s="1"/>
  <c r="EU237" i="7"/>
  <c r="VQ236" i="7"/>
  <c r="VL236" i="7"/>
  <c r="ST236" i="7"/>
  <c r="UW236" i="7" s="1"/>
  <c r="SI236" i="7"/>
  <c r="SD236" i="7"/>
  <c r="RY236" i="7"/>
  <c r="RT236" i="7"/>
  <c r="RO236" i="7"/>
  <c r="PA236" i="7"/>
  <c r="MN236" i="7"/>
  <c r="OG236" i="7" s="1"/>
  <c r="MI236" i="7"/>
  <c r="LS236" i="7"/>
  <c r="LO236" i="7"/>
  <c r="LK236" i="7"/>
  <c r="LG236" i="7"/>
  <c r="LC236" i="7"/>
  <c r="HY236" i="7"/>
  <c r="VL235" i="7"/>
  <c r="UH235" i="7"/>
  <c r="VQ235" i="7" s="1"/>
  <c r="TI235" i="7"/>
  <c r="VG235" i="7" s="1"/>
  <c r="ST235" i="7"/>
  <c r="VB235" i="7" s="1"/>
  <c r="SI235" i="7"/>
  <c r="SD235" i="7"/>
  <c r="RY235" i="7"/>
  <c r="PQ235" i="7"/>
  <c r="PA235" i="7"/>
  <c r="OV235" i="7"/>
  <c r="OQ235" i="7"/>
  <c r="MN235" i="7"/>
  <c r="MI235" i="7"/>
  <c r="MD235" i="7"/>
  <c r="OG235" i="7" s="1"/>
  <c r="LY235" i="7"/>
  <c r="LG235" i="7"/>
  <c r="KX235" i="7"/>
  <c r="KS235" i="7"/>
  <c r="KN235" i="7"/>
  <c r="LS235" i="7" s="1"/>
  <c r="KI235" i="7"/>
  <c r="KD235" i="7"/>
  <c r="JY235" i="7"/>
  <c r="LO235" i="7" s="1"/>
  <c r="JT235" i="7"/>
  <c r="LK235" i="7" s="1"/>
  <c r="JO235" i="7"/>
  <c r="JJ235" i="7"/>
  <c r="JE235" i="7"/>
  <c r="IZ235" i="7"/>
  <c r="IU235" i="7"/>
  <c r="LC235" i="7" s="1"/>
  <c r="HT235" i="7"/>
  <c r="HO235" i="7"/>
  <c r="HJ235" i="7"/>
  <c r="HE235" i="7"/>
  <c r="GZ235" i="7"/>
  <c r="GU235" i="7"/>
  <c r="IK235" i="7" s="1"/>
  <c r="GP235" i="7"/>
  <c r="GK235" i="7"/>
  <c r="GF235" i="7"/>
  <c r="IG235" i="7" s="1"/>
  <c r="GA235" i="7"/>
  <c r="HN232" i="7"/>
  <c r="HL232" i="7"/>
  <c r="HI232" i="7"/>
  <c r="HG232" i="7"/>
  <c r="HD232" i="7"/>
  <c r="HB232" i="7"/>
  <c r="GY232" i="7"/>
  <c r="GX232" i="7"/>
  <c r="GW232" i="7"/>
  <c r="GR232" i="7"/>
  <c r="GO232" i="7"/>
  <c r="GM232" i="7"/>
  <c r="GH232" i="7"/>
  <c r="GE232" i="7"/>
  <c r="GC232" i="7"/>
  <c r="FX232" i="7"/>
  <c r="FS232" i="7"/>
  <c r="FN232" i="7"/>
  <c r="EM232" i="7"/>
  <c r="EH232" i="7"/>
  <c r="EC232" i="7"/>
  <c r="DZ232" i="7"/>
  <c r="DX232" i="7"/>
  <c r="DU232" i="7"/>
  <c r="DS232" i="7"/>
  <c r="DP232" i="7"/>
  <c r="DO232" i="7"/>
  <c r="DN232" i="7"/>
  <c r="DK232" i="7"/>
  <c r="DF232" i="7"/>
  <c r="DA232" i="7"/>
  <c r="CT232" i="7"/>
  <c r="CQ232" i="7"/>
  <c r="CO232" i="7"/>
  <c r="CL232" i="7"/>
  <c r="BM232" i="7"/>
  <c r="BK232" i="7"/>
  <c r="BH232" i="7"/>
  <c r="BG232" i="7"/>
  <c r="BC232" i="7"/>
  <c r="BB232" i="7"/>
  <c r="BA232" i="7"/>
  <c r="AX232" i="7"/>
  <c r="AW232" i="7"/>
  <c r="AV232" i="7"/>
  <c r="AS232" i="7"/>
  <c r="AQ232" i="7"/>
  <c r="AN232" i="7"/>
  <c r="AL232" i="7"/>
  <c r="AH232" i="7"/>
  <c r="AG232" i="7"/>
  <c r="AD232" i="7"/>
  <c r="Y232" i="7"/>
  <c r="X232" i="7"/>
  <c r="T232" i="7"/>
  <c r="R232" i="7"/>
  <c r="O232" i="7"/>
  <c r="N232" i="7"/>
  <c r="M232" i="7"/>
  <c r="J232" i="7"/>
  <c r="UR230" i="7"/>
  <c r="UQ230" i="7"/>
  <c r="UP230" i="7"/>
  <c r="UH230" i="7"/>
  <c r="UC230" i="7"/>
  <c r="UB230" i="7"/>
  <c r="UA230" i="7"/>
  <c r="TZ230" i="7"/>
  <c r="TW230" i="7"/>
  <c r="TV230" i="7"/>
  <c r="TU230" i="7"/>
  <c r="TR230" i="7"/>
  <c r="TQ230" i="7"/>
  <c r="TM230" i="7"/>
  <c r="TL230" i="7"/>
  <c r="TK230" i="7"/>
  <c r="TI230" i="7"/>
  <c r="TH230" i="7"/>
  <c r="TG230" i="7"/>
  <c r="TD230" i="7"/>
  <c r="TC230" i="7"/>
  <c r="TB230" i="7"/>
  <c r="SW230" i="7"/>
  <c r="ST230" i="7"/>
  <c r="SS230" i="7"/>
  <c r="SR230" i="7"/>
  <c r="SN230" i="7"/>
  <c r="SM230" i="7"/>
  <c r="RJ230" i="7"/>
  <c r="RI230" i="7"/>
  <c r="RH230" i="7"/>
  <c r="QZ230" i="7"/>
  <c r="QU230" i="7"/>
  <c r="QT230" i="7"/>
  <c r="QS230" i="7"/>
  <c r="QR230" i="7"/>
  <c r="QO230" i="7"/>
  <c r="QN230" i="7"/>
  <c r="QM230" i="7"/>
  <c r="QJ230" i="7"/>
  <c r="QH230" i="7"/>
  <c r="QE230" i="7"/>
  <c r="QD230" i="7"/>
  <c r="QC230" i="7"/>
  <c r="QA230" i="7"/>
  <c r="PZ230" i="7"/>
  <c r="PY230" i="7"/>
  <c r="PV230" i="7"/>
  <c r="PU230" i="7"/>
  <c r="PT230" i="7"/>
  <c r="PQ230" i="7"/>
  <c r="PP230" i="7"/>
  <c r="PO230" i="7"/>
  <c r="PK230" i="7"/>
  <c r="PJ230" i="7"/>
  <c r="PG230" i="7"/>
  <c r="PF230" i="7"/>
  <c r="PE230" i="7"/>
  <c r="OB230" i="7"/>
  <c r="OC230" i="7" s="1"/>
  <c r="OA230" i="7"/>
  <c r="NZ230" i="7"/>
  <c r="NR230" i="7"/>
  <c r="NM230" i="7"/>
  <c r="NL230" i="7"/>
  <c r="NK230" i="7"/>
  <c r="NJ230" i="7"/>
  <c r="NG230" i="7"/>
  <c r="NE230" i="7"/>
  <c r="NC230" i="7"/>
  <c r="NB230" i="7"/>
  <c r="NA230" i="7"/>
  <c r="MZ230" i="7"/>
  <c r="MW230" i="7"/>
  <c r="MV230" i="7"/>
  <c r="MU230" i="7"/>
  <c r="MS230" i="7"/>
  <c r="MR230" i="7"/>
  <c r="MQ230" i="7"/>
  <c r="MN230" i="7"/>
  <c r="MM230" i="7"/>
  <c r="ML230" i="7"/>
  <c r="MI230" i="7"/>
  <c r="MH230" i="7"/>
  <c r="MG230" i="7"/>
  <c r="MD230" i="7"/>
  <c r="MC230" i="7"/>
  <c r="MB230" i="7"/>
  <c r="LX230" i="7"/>
  <c r="LW230" i="7"/>
  <c r="KW230" i="7"/>
  <c r="KV230" i="7"/>
  <c r="KR230" i="7"/>
  <c r="KQ230" i="7"/>
  <c r="KM230" i="7"/>
  <c r="KL230" i="7"/>
  <c r="KJ230" i="7"/>
  <c r="KI230" i="7"/>
  <c r="KH230" i="7"/>
  <c r="KG230" i="7"/>
  <c r="KC230" i="7"/>
  <c r="KB230" i="7"/>
  <c r="JY230" i="7"/>
  <c r="JX230" i="7"/>
  <c r="LN230" i="7" s="1"/>
  <c r="JW230" i="7"/>
  <c r="JT230" i="7"/>
  <c r="JU230" i="7" s="1"/>
  <c r="JS230" i="7"/>
  <c r="JR230" i="7"/>
  <c r="JN230" i="7"/>
  <c r="JM230" i="7"/>
  <c r="JL230" i="7"/>
  <c r="JJ230" i="7"/>
  <c r="JI230" i="7"/>
  <c r="JH230" i="7"/>
  <c r="JG230" i="7"/>
  <c r="JE230" i="7"/>
  <c r="JD230" i="7"/>
  <c r="JC230" i="7"/>
  <c r="JB230" i="7"/>
  <c r="IZ230" i="7"/>
  <c r="IY230" i="7"/>
  <c r="IX230" i="7"/>
  <c r="IW230" i="7"/>
  <c r="IT230" i="7"/>
  <c r="IS230" i="7"/>
  <c r="IR230" i="7"/>
  <c r="HX230" i="7"/>
  <c r="HW230" i="7"/>
  <c r="HV230" i="7"/>
  <c r="HJ230" i="7"/>
  <c r="HK230" i="7" s="1"/>
  <c r="HE230" i="7"/>
  <c r="HF230" i="7" s="1"/>
  <c r="GZ230" i="7"/>
  <c r="HA230" i="7" s="1"/>
  <c r="GU230" i="7"/>
  <c r="GV230" i="7" s="1"/>
  <c r="GP230" i="7"/>
  <c r="GQ230" i="7" s="1"/>
  <c r="GK230" i="7"/>
  <c r="VQ229" i="7"/>
  <c r="VP229" i="7"/>
  <c r="VO229" i="7"/>
  <c r="VG229" i="7"/>
  <c r="VF229" i="7"/>
  <c r="VE229" i="7"/>
  <c r="VD229" i="7"/>
  <c r="VN229" i="7" s="1"/>
  <c r="VA229" i="7"/>
  <c r="UZ229" i="7"/>
  <c r="UY229" i="7"/>
  <c r="SO229" i="7"/>
  <c r="VB229" i="7" s="1"/>
  <c r="SI229" i="7"/>
  <c r="SH229" i="7"/>
  <c r="SG229" i="7"/>
  <c r="RY229" i="7"/>
  <c r="RX229" i="7"/>
  <c r="RW229" i="7"/>
  <c r="RV229" i="7"/>
  <c r="SF229" i="7" s="1"/>
  <c r="RT229" i="7"/>
  <c r="RS229" i="7"/>
  <c r="RR229" i="7"/>
  <c r="RQ229" i="7"/>
  <c r="RO229" i="7"/>
  <c r="RN229" i="7"/>
  <c r="RM229" i="7"/>
  <c r="RL229" i="7"/>
  <c r="PA229" i="7"/>
  <c r="OZ229" i="7"/>
  <c r="OY229" i="7"/>
  <c r="OX229" i="7"/>
  <c r="OQ229" i="7"/>
  <c r="OP229" i="7"/>
  <c r="OO229" i="7"/>
  <c r="ON229" i="7"/>
  <c r="OL229" i="7"/>
  <c r="OK229" i="7"/>
  <c r="OJ229" i="7"/>
  <c r="OI229" i="7"/>
  <c r="LC229" i="7"/>
  <c r="LB229" i="7"/>
  <c r="LA229" i="7"/>
  <c r="VQ228" i="7"/>
  <c r="VP228" i="7"/>
  <c r="VO228" i="7"/>
  <c r="SO228" i="7"/>
  <c r="SI228" i="7"/>
  <c r="SH228" i="7"/>
  <c r="SG228" i="7"/>
  <c r="VQ227" i="7"/>
  <c r="VP227" i="7"/>
  <c r="VO227" i="7"/>
  <c r="VK227" i="7"/>
  <c r="VJ227" i="7"/>
  <c r="VF227" i="7"/>
  <c r="VE227" i="7"/>
  <c r="VD227" i="7"/>
  <c r="VA227" i="7"/>
  <c r="UZ227" i="7"/>
  <c r="UY227" i="7"/>
  <c r="UV227" i="7"/>
  <c r="UU227" i="7"/>
  <c r="TY227" i="7"/>
  <c r="TX227" i="7"/>
  <c r="TN227" i="7"/>
  <c r="VG227" i="7" s="1"/>
  <c r="SO227" i="7"/>
  <c r="VB227" i="7" s="1"/>
  <c r="SI227" i="7"/>
  <c r="SH227" i="7"/>
  <c r="SG227" i="7"/>
  <c r="SC227" i="7"/>
  <c r="SB227" i="7"/>
  <c r="RY227" i="7"/>
  <c r="RX227" i="7"/>
  <c r="RW227" i="7"/>
  <c r="RV227" i="7"/>
  <c r="RT227" i="7"/>
  <c r="RS227" i="7"/>
  <c r="RR227" i="7"/>
  <c r="RQ227" i="7"/>
  <c r="RN227" i="7"/>
  <c r="RM227" i="7"/>
  <c r="QP227" i="7"/>
  <c r="RO227" i="7" s="1"/>
  <c r="QF227" i="7"/>
  <c r="PA227" i="7"/>
  <c r="OZ227" i="7"/>
  <c r="OY227" i="7"/>
  <c r="OX227" i="7"/>
  <c r="OQ227" i="7"/>
  <c r="OP227" i="7"/>
  <c r="OO227" i="7"/>
  <c r="ON227" i="7"/>
  <c r="OL227" i="7"/>
  <c r="OK227" i="7"/>
  <c r="OJ227" i="7"/>
  <c r="OI227" i="7"/>
  <c r="LC227" i="7"/>
  <c r="LB227" i="7"/>
  <c r="LA227" i="7"/>
  <c r="VQ226" i="7"/>
  <c r="VP226" i="7"/>
  <c r="VO226" i="7"/>
  <c r="VL226" i="7"/>
  <c r="VK226" i="7"/>
  <c r="VJ226" i="7"/>
  <c r="VI226" i="7"/>
  <c r="VN226" i="7" s="1"/>
  <c r="VF226" i="7"/>
  <c r="VE226" i="7"/>
  <c r="VD226" i="7"/>
  <c r="VA226" i="7"/>
  <c r="UZ226" i="7"/>
  <c r="UY226" i="7"/>
  <c r="UV226" i="7"/>
  <c r="UU226" i="7"/>
  <c r="UT226" i="7"/>
  <c r="TN226" i="7"/>
  <c r="VG226" i="7" s="1"/>
  <c r="SO226" i="7"/>
  <c r="VB226" i="7" s="1"/>
  <c r="SI226" i="7"/>
  <c r="SH226" i="7"/>
  <c r="SG226" i="7"/>
  <c r="SD226" i="7"/>
  <c r="SC226" i="7"/>
  <c r="SB226" i="7"/>
  <c r="SA226" i="7"/>
  <c r="SF226" i="7" s="1"/>
  <c r="RX226" i="7"/>
  <c r="RW226" i="7"/>
  <c r="RV226" i="7"/>
  <c r="RT226" i="7"/>
  <c r="RS226" i="7"/>
  <c r="RR226" i="7"/>
  <c r="RQ226" i="7"/>
  <c r="RN226" i="7"/>
  <c r="RM226" i="7"/>
  <c r="RL226" i="7"/>
  <c r="QF226" i="7"/>
  <c r="RY226" i="7" s="1"/>
  <c r="PA226" i="7"/>
  <c r="OZ226" i="7"/>
  <c r="OY226" i="7"/>
  <c r="OX226" i="7"/>
  <c r="OV226" i="7"/>
  <c r="OU226" i="7"/>
  <c r="OT226" i="7"/>
  <c r="OS226" i="7"/>
  <c r="OP226" i="7"/>
  <c r="OO226" i="7"/>
  <c r="ON226" i="7"/>
  <c r="OK226" i="7"/>
  <c r="OJ226" i="7"/>
  <c r="OI226" i="7"/>
  <c r="OF226" i="7"/>
  <c r="OE226" i="7"/>
  <c r="OD226" i="7"/>
  <c r="MX226" i="7"/>
  <c r="LZ226" i="7"/>
  <c r="LY226" i="7"/>
  <c r="LY230" i="7" s="1"/>
  <c r="LZ230" i="7" s="1"/>
  <c r="LN226" i="7"/>
  <c r="LM226" i="7"/>
  <c r="LB226" i="7"/>
  <c r="LA226" i="7"/>
  <c r="KZ226" i="7"/>
  <c r="KS226" i="7"/>
  <c r="KN226" i="7"/>
  <c r="KD226" i="7"/>
  <c r="LO226" i="7" s="1"/>
  <c r="JT226" i="7"/>
  <c r="JO226" i="7"/>
  <c r="HX226" i="7"/>
  <c r="HW226" i="7"/>
  <c r="HV226" i="7"/>
  <c r="HJ226" i="7"/>
  <c r="HK226" i="7" s="1"/>
  <c r="HF226" i="7"/>
  <c r="HE226" i="7"/>
  <c r="GZ226" i="7"/>
  <c r="HA226" i="7" s="1"/>
  <c r="GV226" i="7"/>
  <c r="GU226" i="7"/>
  <c r="GP226" i="7"/>
  <c r="GQ226" i="7" s="1"/>
  <c r="GL226" i="7"/>
  <c r="GK226" i="7"/>
  <c r="VQ225" i="7"/>
  <c r="VP225" i="7"/>
  <c r="VO225" i="7"/>
  <c r="VL225" i="7"/>
  <c r="VK225" i="7"/>
  <c r="VJ225" i="7"/>
  <c r="VI225" i="7"/>
  <c r="VN225" i="7" s="1"/>
  <c r="VF225" i="7"/>
  <c r="VE225" i="7"/>
  <c r="VD225" i="7"/>
  <c r="VA225" i="7"/>
  <c r="UZ225" i="7"/>
  <c r="UY225" i="7"/>
  <c r="UV225" i="7"/>
  <c r="UU225" i="7"/>
  <c r="UT225" i="7"/>
  <c r="TN225" i="7"/>
  <c r="VG225" i="7" s="1"/>
  <c r="SO225" i="7"/>
  <c r="VB225" i="7" s="1"/>
  <c r="SI225" i="7"/>
  <c r="SH225" i="7"/>
  <c r="SG225" i="7"/>
  <c r="SD225" i="7"/>
  <c r="SC225" i="7"/>
  <c r="SB225" i="7"/>
  <c r="SA225" i="7"/>
  <c r="SF225" i="7" s="1"/>
  <c r="RX225" i="7"/>
  <c r="RW225" i="7"/>
  <c r="RV225" i="7"/>
  <c r="RT225" i="7"/>
  <c r="RS225" i="7"/>
  <c r="RR225" i="7"/>
  <c r="RQ225" i="7"/>
  <c r="RN225" i="7"/>
  <c r="RM225" i="7"/>
  <c r="RL225" i="7"/>
  <c r="QF225" i="7"/>
  <c r="RY225" i="7" s="1"/>
  <c r="PA225" i="7"/>
  <c r="OZ225" i="7"/>
  <c r="OY225" i="7"/>
  <c r="OX225" i="7"/>
  <c r="OV225" i="7"/>
  <c r="OU225" i="7"/>
  <c r="OT225" i="7"/>
  <c r="OS225" i="7"/>
  <c r="OQ225" i="7"/>
  <c r="OP225" i="7"/>
  <c r="OO225" i="7"/>
  <c r="ON225" i="7"/>
  <c r="OL225" i="7"/>
  <c r="OK225" i="7"/>
  <c r="OJ225" i="7"/>
  <c r="OI225" i="7"/>
  <c r="OG225" i="7"/>
  <c r="OF225" i="7"/>
  <c r="OE225" i="7"/>
  <c r="OD225" i="7"/>
  <c r="LN225" i="7"/>
  <c r="LM225" i="7"/>
  <c r="LB225" i="7"/>
  <c r="LA225" i="7"/>
  <c r="KZ225" i="7"/>
  <c r="KS225" i="7"/>
  <c r="KN225" i="7"/>
  <c r="KD225" i="7"/>
  <c r="LO225" i="7" s="1"/>
  <c r="JT225" i="7"/>
  <c r="JO225" i="7"/>
  <c r="HX225" i="7"/>
  <c r="HW225" i="7"/>
  <c r="HV225" i="7"/>
  <c r="HJ225" i="7"/>
  <c r="HK225" i="7" s="1"/>
  <c r="HF225" i="7"/>
  <c r="HE225" i="7"/>
  <c r="GZ225" i="7"/>
  <c r="HA225" i="7" s="1"/>
  <c r="GV225" i="7"/>
  <c r="GU225" i="7"/>
  <c r="GP225" i="7"/>
  <c r="GQ225" i="7" s="1"/>
  <c r="GL225" i="7"/>
  <c r="GK225" i="7"/>
  <c r="VQ224" i="7"/>
  <c r="VP224" i="7"/>
  <c r="VO224" i="7"/>
  <c r="VL224" i="7"/>
  <c r="VK224" i="7"/>
  <c r="VJ224" i="7"/>
  <c r="VI224" i="7"/>
  <c r="VN224" i="7" s="1"/>
  <c r="VF224" i="7"/>
  <c r="VE224" i="7"/>
  <c r="VD224" i="7"/>
  <c r="VA224" i="7"/>
  <c r="UZ224" i="7"/>
  <c r="UY224" i="7"/>
  <c r="UV224" i="7"/>
  <c r="UU224" i="7"/>
  <c r="UT224" i="7"/>
  <c r="TN224" i="7"/>
  <c r="VG224" i="7" s="1"/>
  <c r="SO224" i="7"/>
  <c r="VB224" i="7" s="1"/>
  <c r="SI224" i="7"/>
  <c r="SH224" i="7"/>
  <c r="SG224" i="7"/>
  <c r="SD224" i="7"/>
  <c r="SC224" i="7"/>
  <c r="SB224" i="7"/>
  <c r="SA224" i="7"/>
  <c r="SF224" i="7" s="1"/>
  <c r="RX224" i="7"/>
  <c r="RW224" i="7"/>
  <c r="RV224" i="7"/>
  <c r="RT224" i="7"/>
  <c r="RS224" i="7"/>
  <c r="RR224" i="7"/>
  <c r="RQ224" i="7"/>
  <c r="RN224" i="7"/>
  <c r="RM224" i="7"/>
  <c r="RL224" i="7"/>
  <c r="QF224" i="7"/>
  <c r="RY224" i="7" s="1"/>
  <c r="PA224" i="7"/>
  <c r="OZ224" i="7"/>
  <c r="OY224" i="7"/>
  <c r="OX224" i="7"/>
  <c r="OU224" i="7"/>
  <c r="OS224" i="7"/>
  <c r="OQ224" i="7"/>
  <c r="OP224" i="7"/>
  <c r="OO224" i="7"/>
  <c r="ON224" i="7"/>
  <c r="OL224" i="7"/>
  <c r="OK224" i="7"/>
  <c r="OJ224" i="7"/>
  <c r="OI224" i="7"/>
  <c r="OF224" i="7"/>
  <c r="OD224" i="7"/>
  <c r="NH224" i="7"/>
  <c r="OV224" i="7" s="1"/>
  <c r="OW224" i="7" s="1"/>
  <c r="NF224" i="7"/>
  <c r="OT224" i="7" s="1"/>
  <c r="LN224" i="7"/>
  <c r="LM224" i="7"/>
  <c r="LB224" i="7"/>
  <c r="LA224" i="7"/>
  <c r="KZ224" i="7"/>
  <c r="KX224" i="7"/>
  <c r="KS224" i="7"/>
  <c r="KN224" i="7"/>
  <c r="KD224" i="7"/>
  <c r="LO224" i="7" s="1"/>
  <c r="JU224" i="7"/>
  <c r="JO224" i="7"/>
  <c r="HY224" i="7"/>
  <c r="HX224" i="7"/>
  <c r="HW224" i="7"/>
  <c r="HV224" i="7"/>
  <c r="HK224" i="7"/>
  <c r="HJ224" i="7"/>
  <c r="HF224" i="7"/>
  <c r="HE224" i="7"/>
  <c r="HA224" i="7"/>
  <c r="GZ224" i="7"/>
  <c r="GV224" i="7"/>
  <c r="GU224" i="7"/>
  <c r="GQ224" i="7"/>
  <c r="GP224" i="7"/>
  <c r="GL224" i="7"/>
  <c r="GK224" i="7"/>
  <c r="VQ223" i="7"/>
  <c r="VP223" i="7"/>
  <c r="VO223" i="7"/>
  <c r="VL223" i="7"/>
  <c r="VK223" i="7"/>
  <c r="VJ223" i="7"/>
  <c r="VI223" i="7"/>
  <c r="VN223" i="7" s="1"/>
  <c r="VF223" i="7"/>
  <c r="VE223" i="7"/>
  <c r="VD223" i="7"/>
  <c r="VB223" i="7"/>
  <c r="VA223" i="7"/>
  <c r="UZ223" i="7"/>
  <c r="UY223" i="7"/>
  <c r="UV223" i="7"/>
  <c r="UU223" i="7"/>
  <c r="UT223" i="7"/>
  <c r="TN223" i="7"/>
  <c r="VG223" i="7" s="1"/>
  <c r="SO223" i="7"/>
  <c r="SI223" i="7"/>
  <c r="SH223" i="7"/>
  <c r="SG223" i="7"/>
  <c r="SD223" i="7"/>
  <c r="SC223" i="7"/>
  <c r="SB223" i="7"/>
  <c r="SA223" i="7"/>
  <c r="SF223" i="7" s="1"/>
  <c r="RX223" i="7"/>
  <c r="RW223" i="7"/>
  <c r="RV223" i="7"/>
  <c r="RT223" i="7"/>
  <c r="RS223" i="7"/>
  <c r="RR223" i="7"/>
  <c r="RQ223" i="7"/>
  <c r="RN223" i="7"/>
  <c r="RM223" i="7"/>
  <c r="RL223" i="7"/>
  <c r="QF223" i="7"/>
  <c r="RY223" i="7" s="1"/>
  <c r="PA223" i="7"/>
  <c r="OZ223" i="7"/>
  <c r="OY223" i="7"/>
  <c r="OX223" i="7"/>
  <c r="OV223" i="7"/>
  <c r="OU223" i="7"/>
  <c r="OT223" i="7"/>
  <c r="OS223" i="7"/>
  <c r="OQ223" i="7"/>
  <c r="OR223" i="7" s="1"/>
  <c r="OP223" i="7"/>
  <c r="OO223" i="7"/>
  <c r="ON223" i="7"/>
  <c r="OL223" i="7"/>
  <c r="OK223" i="7"/>
  <c r="OJ223" i="7"/>
  <c r="OI223" i="7"/>
  <c r="OF223" i="7"/>
  <c r="OE223" i="7"/>
  <c r="OD223" i="7"/>
  <c r="MX223" i="7"/>
  <c r="MX230" i="7" s="1"/>
  <c r="MY230" i="7" s="1"/>
  <c r="LO223" i="7"/>
  <c r="LN223" i="7"/>
  <c r="LM223" i="7"/>
  <c r="LB223" i="7"/>
  <c r="LA223" i="7"/>
  <c r="KZ223" i="7"/>
  <c r="KX223" i="7"/>
  <c r="KS223" i="7"/>
  <c r="KN223" i="7"/>
  <c r="JT223" i="7"/>
  <c r="HX223" i="7"/>
  <c r="HW223" i="7"/>
  <c r="HV223" i="7"/>
  <c r="HJ223" i="7"/>
  <c r="HK223" i="7" s="1"/>
  <c r="HF223" i="7"/>
  <c r="HE223" i="7"/>
  <c r="GZ223" i="7"/>
  <c r="HA223" i="7" s="1"/>
  <c r="GV223" i="7"/>
  <c r="GU223" i="7"/>
  <c r="GP223" i="7"/>
  <c r="GQ223" i="7" s="1"/>
  <c r="GL223" i="7"/>
  <c r="GK223" i="7"/>
  <c r="VA222" i="7"/>
  <c r="UZ222" i="7"/>
  <c r="UY222" i="7"/>
  <c r="UW222" i="7"/>
  <c r="UU222" i="7"/>
  <c r="TN222" i="7"/>
  <c r="SZ222" i="7"/>
  <c r="SY222" i="7"/>
  <c r="SY230" i="7" s="1"/>
  <c r="SX222" i="7"/>
  <c r="UV222" i="7" s="1"/>
  <c r="VQ221" i="7"/>
  <c r="VP221" i="7"/>
  <c r="VO221" i="7"/>
  <c r="VK221" i="7"/>
  <c r="VJ221" i="7"/>
  <c r="VI221" i="7"/>
  <c r="VB221" i="7"/>
  <c r="VA221" i="7"/>
  <c r="UZ221" i="7"/>
  <c r="UY221" i="7"/>
  <c r="UV221" i="7"/>
  <c r="UU221" i="7"/>
  <c r="TS221" i="7"/>
  <c r="VL221" i="7" s="1"/>
  <c r="TN221" i="7"/>
  <c r="SO221" i="7"/>
  <c r="SI221" i="7"/>
  <c r="SH221" i="7"/>
  <c r="SG221" i="7"/>
  <c r="SC221" i="7"/>
  <c r="SA221" i="7"/>
  <c r="RN221" i="7"/>
  <c r="QK221" i="7"/>
  <c r="RO221" i="7" s="1"/>
  <c r="QI221" i="7"/>
  <c r="SB221" i="7" s="1"/>
  <c r="VQ220" i="7"/>
  <c r="VP220" i="7"/>
  <c r="VO220" i="7"/>
  <c r="VL220" i="7"/>
  <c r="VK220" i="7"/>
  <c r="VJ220" i="7"/>
  <c r="VI220" i="7"/>
  <c r="VG220" i="7"/>
  <c r="VF220" i="7"/>
  <c r="VE220" i="7"/>
  <c r="VA220" i="7"/>
  <c r="UZ220" i="7"/>
  <c r="UY220" i="7"/>
  <c r="UV220" i="7"/>
  <c r="UU220" i="7"/>
  <c r="TN220" i="7"/>
  <c r="SO220" i="7"/>
  <c r="VB220" i="7" s="1"/>
  <c r="SI220" i="7"/>
  <c r="SH220" i="7"/>
  <c r="SG220" i="7"/>
  <c r="SD220" i="7"/>
  <c r="SC220" i="7"/>
  <c r="SB220" i="7"/>
  <c r="SA220" i="7"/>
  <c r="RY220" i="7"/>
  <c r="RX220" i="7"/>
  <c r="RW220" i="7"/>
  <c r="RS220" i="7"/>
  <c r="RR220" i="7"/>
  <c r="RQ220" i="7"/>
  <c r="RN220" i="7"/>
  <c r="RM220" i="7"/>
  <c r="QF220" i="7"/>
  <c r="PL220" i="7"/>
  <c r="PB220" i="7"/>
  <c r="PA220" i="7"/>
  <c r="OZ220" i="7"/>
  <c r="OY220" i="7"/>
  <c r="OX220" i="7"/>
  <c r="OF220" i="7"/>
  <c r="OE220" i="7"/>
  <c r="OC220" i="7"/>
  <c r="OB220" i="7"/>
  <c r="OG220" i="7" s="1"/>
  <c r="VQ219" i="7"/>
  <c r="VP219" i="7"/>
  <c r="VO219" i="7"/>
  <c r="VL219" i="7"/>
  <c r="VK219" i="7"/>
  <c r="VJ219" i="7"/>
  <c r="VI219" i="7"/>
  <c r="VN219" i="7" s="1"/>
  <c r="VF219" i="7"/>
  <c r="VE219" i="7"/>
  <c r="VD219" i="7"/>
  <c r="VB219" i="7"/>
  <c r="VA219" i="7"/>
  <c r="UZ219" i="7"/>
  <c r="UY219" i="7"/>
  <c r="UV219" i="7"/>
  <c r="UU219" i="7"/>
  <c r="UT219" i="7"/>
  <c r="TN219" i="7"/>
  <c r="VG219" i="7" s="1"/>
  <c r="SO219" i="7"/>
  <c r="SI219" i="7"/>
  <c r="SH219" i="7"/>
  <c r="SG219" i="7"/>
  <c r="SD219" i="7"/>
  <c r="SC219" i="7"/>
  <c r="SB219" i="7"/>
  <c r="SA219" i="7"/>
  <c r="SF219" i="7" s="1"/>
  <c r="RX219" i="7"/>
  <c r="RW219" i="7"/>
  <c r="RV219" i="7"/>
  <c r="RT219" i="7"/>
  <c r="RS219" i="7"/>
  <c r="RR219" i="7"/>
  <c r="RQ219" i="7"/>
  <c r="RN219" i="7"/>
  <c r="RM219" i="7"/>
  <c r="RL219" i="7"/>
  <c r="QF219" i="7"/>
  <c r="RY219" i="7" s="1"/>
  <c r="PA219" i="7"/>
  <c r="OZ219" i="7"/>
  <c r="OY219" i="7"/>
  <c r="OX219" i="7"/>
  <c r="OV219" i="7"/>
  <c r="OU219" i="7"/>
  <c r="OT219" i="7"/>
  <c r="OS219" i="7"/>
  <c r="OQ219" i="7"/>
  <c r="OP219" i="7"/>
  <c r="OO219" i="7"/>
  <c r="ON219" i="7"/>
  <c r="OL219" i="7"/>
  <c r="OK219" i="7"/>
  <c r="OJ219" i="7"/>
  <c r="OI219" i="7"/>
  <c r="OG219" i="7"/>
  <c r="OF219" i="7"/>
  <c r="OE219" i="7"/>
  <c r="OD219" i="7"/>
  <c r="LN219" i="7"/>
  <c r="LM219" i="7"/>
  <c r="LB219" i="7"/>
  <c r="LA219" i="7"/>
  <c r="KZ219" i="7"/>
  <c r="KX219" i="7"/>
  <c r="KS219" i="7"/>
  <c r="KN219" i="7"/>
  <c r="KN230" i="7" s="1"/>
  <c r="KO230" i="7" s="1"/>
  <c r="KD219" i="7"/>
  <c r="LO219" i="7" s="1"/>
  <c r="JT219" i="7"/>
  <c r="JO219" i="7"/>
  <c r="HY219" i="7"/>
  <c r="HX219" i="7"/>
  <c r="HW219" i="7"/>
  <c r="HV219" i="7"/>
  <c r="HK219" i="7"/>
  <c r="HJ219" i="7"/>
  <c r="HE219" i="7"/>
  <c r="HF219" i="7" s="1"/>
  <c r="HA219" i="7"/>
  <c r="GZ219" i="7"/>
  <c r="GU219" i="7"/>
  <c r="GV219" i="7" s="1"/>
  <c r="GQ219" i="7"/>
  <c r="GP219" i="7"/>
  <c r="GK219" i="7"/>
  <c r="GL219" i="7" s="1"/>
  <c r="VQ218" i="7"/>
  <c r="VP218" i="7"/>
  <c r="VO218" i="7"/>
  <c r="VL218" i="7"/>
  <c r="VK218" i="7"/>
  <c r="VJ218" i="7"/>
  <c r="VI218" i="7"/>
  <c r="VN218" i="7" s="1"/>
  <c r="VF218" i="7"/>
  <c r="VE218" i="7"/>
  <c r="VD218" i="7"/>
  <c r="VB218" i="7"/>
  <c r="VA218" i="7"/>
  <c r="UZ218" i="7"/>
  <c r="UY218" i="7"/>
  <c r="UV218" i="7"/>
  <c r="UU218" i="7"/>
  <c r="UT218" i="7"/>
  <c r="TN218" i="7"/>
  <c r="VG218" i="7" s="1"/>
  <c r="SO218" i="7"/>
  <c r="SI218" i="7"/>
  <c r="SH218" i="7"/>
  <c r="SG218" i="7"/>
  <c r="SD218" i="7"/>
  <c r="SC218" i="7"/>
  <c r="SB218" i="7"/>
  <c r="SA218" i="7"/>
  <c r="SF218" i="7" s="1"/>
  <c r="RX218" i="7"/>
  <c r="RW218" i="7"/>
  <c r="RV218" i="7"/>
  <c r="RT218" i="7"/>
  <c r="RS218" i="7"/>
  <c r="RR218" i="7"/>
  <c r="RQ218" i="7"/>
  <c r="RN218" i="7"/>
  <c r="RM218" i="7"/>
  <c r="RL218" i="7"/>
  <c r="QF218" i="7"/>
  <c r="RY218" i="7" s="1"/>
  <c r="PA218" i="7"/>
  <c r="OZ218" i="7"/>
  <c r="OY218" i="7"/>
  <c r="OX218" i="7"/>
  <c r="OV218" i="7"/>
  <c r="OU218" i="7"/>
  <c r="OT218" i="7"/>
  <c r="OS218" i="7"/>
  <c r="OQ218" i="7"/>
  <c r="OP218" i="7"/>
  <c r="OO218" i="7"/>
  <c r="ON218" i="7"/>
  <c r="OL218" i="7"/>
  <c r="OK218" i="7"/>
  <c r="OJ218" i="7"/>
  <c r="OI218" i="7"/>
  <c r="OG218" i="7"/>
  <c r="OF218" i="7"/>
  <c r="OE218" i="7"/>
  <c r="OD218" i="7"/>
  <c r="LC218" i="7"/>
  <c r="LD218" i="7" s="1"/>
  <c r="LB218" i="7"/>
  <c r="LA218" i="7"/>
  <c r="KX218" i="7"/>
  <c r="IV218" i="7"/>
  <c r="IU218" i="7"/>
  <c r="IU230" i="7" s="1"/>
  <c r="VQ217" i="7"/>
  <c r="VP217" i="7"/>
  <c r="VO217" i="7"/>
  <c r="VL217" i="7"/>
  <c r="VK217" i="7"/>
  <c r="VJ217" i="7"/>
  <c r="VI217" i="7"/>
  <c r="VN217" i="7" s="1"/>
  <c r="VF217" i="7"/>
  <c r="VE217" i="7"/>
  <c r="VD217" i="7"/>
  <c r="VA217" i="7"/>
  <c r="UZ217" i="7"/>
  <c r="UY217" i="7"/>
  <c r="UV217" i="7"/>
  <c r="UU217" i="7"/>
  <c r="UT217" i="7"/>
  <c r="TN217" i="7"/>
  <c r="VG217" i="7" s="1"/>
  <c r="SO217" i="7"/>
  <c r="VB217" i="7" s="1"/>
  <c r="SI217" i="7"/>
  <c r="SH217" i="7"/>
  <c r="SG217" i="7"/>
  <c r="SD217" i="7"/>
  <c r="SC217" i="7"/>
  <c r="SB217" i="7"/>
  <c r="SA217" i="7"/>
  <c r="SF217" i="7" s="1"/>
  <c r="RX217" i="7"/>
  <c r="RW217" i="7"/>
  <c r="RV217" i="7"/>
  <c r="RT217" i="7"/>
  <c r="RS217" i="7"/>
  <c r="RR217" i="7"/>
  <c r="RQ217" i="7"/>
  <c r="RN217" i="7"/>
  <c r="RM217" i="7"/>
  <c r="RL217" i="7"/>
  <c r="QF217" i="7"/>
  <c r="RY217" i="7" s="1"/>
  <c r="PA217" i="7"/>
  <c r="OZ217" i="7"/>
  <c r="OY217" i="7"/>
  <c r="OX217" i="7"/>
  <c r="OV217" i="7"/>
  <c r="OU217" i="7"/>
  <c r="OT217" i="7"/>
  <c r="OS217" i="7"/>
  <c r="OQ217" i="7"/>
  <c r="OP217" i="7"/>
  <c r="OO217" i="7"/>
  <c r="ON217" i="7"/>
  <c r="OL217" i="7"/>
  <c r="OK217" i="7"/>
  <c r="OJ217" i="7"/>
  <c r="OI217" i="7"/>
  <c r="OG217" i="7"/>
  <c r="OF217" i="7"/>
  <c r="OE217" i="7"/>
  <c r="OD217" i="7"/>
  <c r="LB217" i="7"/>
  <c r="LA217" i="7"/>
  <c r="KY217" i="7"/>
  <c r="KX217" i="7"/>
  <c r="LC217" i="7" s="1"/>
  <c r="LD217" i="7" s="1"/>
  <c r="VQ216" i="7"/>
  <c r="VP216" i="7"/>
  <c r="VO216" i="7"/>
  <c r="VL216" i="7"/>
  <c r="VK216" i="7"/>
  <c r="VJ216" i="7"/>
  <c r="VI216" i="7"/>
  <c r="VN216" i="7" s="1"/>
  <c r="VG216" i="7"/>
  <c r="VF216" i="7"/>
  <c r="VE216" i="7"/>
  <c r="VA216" i="7"/>
  <c r="UZ216" i="7"/>
  <c r="UY216" i="7"/>
  <c r="UV216" i="7"/>
  <c r="UU216" i="7"/>
  <c r="UT216" i="7"/>
  <c r="TN216" i="7"/>
  <c r="UW216" i="7" s="1"/>
  <c r="SO216" i="7"/>
  <c r="VB216" i="7" s="1"/>
  <c r="SI216" i="7"/>
  <c r="SH216" i="7"/>
  <c r="SG216" i="7"/>
  <c r="SD216" i="7"/>
  <c r="SC216" i="7"/>
  <c r="SB216" i="7"/>
  <c r="SA216" i="7"/>
  <c r="SF216" i="7" s="1"/>
  <c r="RY216" i="7"/>
  <c r="RX216" i="7"/>
  <c r="RW216" i="7"/>
  <c r="RT216" i="7"/>
  <c r="RS216" i="7"/>
  <c r="RR216" i="7"/>
  <c r="RQ216" i="7"/>
  <c r="RN216" i="7"/>
  <c r="RM216" i="7"/>
  <c r="RL216" i="7"/>
  <c r="QF216" i="7"/>
  <c r="RO216" i="7" s="1"/>
  <c r="PA216" i="7"/>
  <c r="OZ216" i="7"/>
  <c r="OY216" i="7"/>
  <c r="OX216" i="7"/>
  <c r="OV216" i="7"/>
  <c r="OU216" i="7"/>
  <c r="OT216" i="7"/>
  <c r="OS216" i="7"/>
  <c r="OG216" i="7"/>
  <c r="OF216" i="7"/>
  <c r="OE216" i="7"/>
  <c r="OD216" i="7"/>
  <c r="LD216" i="7"/>
  <c r="LC216" i="7"/>
  <c r="LB216" i="7"/>
  <c r="LA216" i="7"/>
  <c r="VQ215" i="7"/>
  <c r="VP215" i="7"/>
  <c r="VO215" i="7"/>
  <c r="VL215" i="7"/>
  <c r="VK215" i="7"/>
  <c r="VJ215" i="7"/>
  <c r="VI215" i="7"/>
  <c r="VN215" i="7" s="1"/>
  <c r="VF215" i="7"/>
  <c r="VE215" i="7"/>
  <c r="VD215" i="7"/>
  <c r="VA215" i="7"/>
  <c r="UZ215" i="7"/>
  <c r="UY215" i="7"/>
  <c r="UV215" i="7"/>
  <c r="UU215" i="7"/>
  <c r="UT215" i="7"/>
  <c r="TN215" i="7"/>
  <c r="VG215" i="7" s="1"/>
  <c r="SO215" i="7"/>
  <c r="VB215" i="7" s="1"/>
  <c r="SI215" i="7"/>
  <c r="SH215" i="7"/>
  <c r="SG215" i="7"/>
  <c r="SG230" i="7" s="1"/>
  <c r="SD215" i="7"/>
  <c r="SC215" i="7"/>
  <c r="SB215" i="7"/>
  <c r="SB230" i="7" s="1"/>
  <c r="SA215" i="7"/>
  <c r="SF215" i="7" s="1"/>
  <c r="RX215" i="7"/>
  <c r="RW215" i="7"/>
  <c r="RV215" i="7"/>
  <c r="RT215" i="7"/>
  <c r="RS215" i="7"/>
  <c r="RR215" i="7"/>
  <c r="RQ215" i="7"/>
  <c r="RN215" i="7"/>
  <c r="RM215" i="7"/>
  <c r="RL215" i="7"/>
  <c r="QF215" i="7"/>
  <c r="RY215" i="7" s="1"/>
  <c r="PA215" i="7"/>
  <c r="OZ215" i="7"/>
  <c r="OY215" i="7"/>
  <c r="OX215" i="7"/>
  <c r="OV215" i="7"/>
  <c r="OU215" i="7"/>
  <c r="OT215" i="7"/>
  <c r="OS215" i="7"/>
  <c r="OQ215" i="7"/>
  <c r="OP215" i="7"/>
  <c r="OP230" i="7" s="1"/>
  <c r="OO215" i="7"/>
  <c r="ON215" i="7"/>
  <c r="OL215" i="7"/>
  <c r="OK215" i="7"/>
  <c r="OJ215" i="7"/>
  <c r="OI215" i="7"/>
  <c r="OG215" i="7"/>
  <c r="OF215" i="7"/>
  <c r="OE215" i="7"/>
  <c r="OD215" i="7"/>
  <c r="LC215" i="7"/>
  <c r="LB215" i="7"/>
  <c r="LA215" i="7"/>
  <c r="KX215" i="7"/>
  <c r="VQ214" i="7"/>
  <c r="VP214" i="7"/>
  <c r="VO214" i="7"/>
  <c r="VL214" i="7"/>
  <c r="VK214" i="7"/>
  <c r="VJ214" i="7"/>
  <c r="VI214" i="7"/>
  <c r="VN214" i="7" s="1"/>
  <c r="VF214" i="7"/>
  <c r="VE214" i="7"/>
  <c r="VD214" i="7"/>
  <c r="VA214" i="7"/>
  <c r="UZ214" i="7"/>
  <c r="UY214" i="7"/>
  <c r="UV214" i="7"/>
  <c r="UU214" i="7"/>
  <c r="UT214" i="7"/>
  <c r="TN214" i="7"/>
  <c r="VG214" i="7" s="1"/>
  <c r="SO214" i="7"/>
  <c r="VB214" i="7" s="1"/>
  <c r="SI214" i="7"/>
  <c r="SH214" i="7"/>
  <c r="SG214" i="7"/>
  <c r="SD214" i="7"/>
  <c r="SC214" i="7"/>
  <c r="SB214" i="7"/>
  <c r="SA214" i="7"/>
  <c r="SF214" i="7" s="1"/>
  <c r="RX214" i="7"/>
  <c r="RW214" i="7"/>
  <c r="RV214" i="7"/>
  <c r="RT214" i="7"/>
  <c r="RS214" i="7"/>
  <c r="RR214" i="7"/>
  <c r="RQ214" i="7"/>
  <c r="RN214" i="7"/>
  <c r="RM214" i="7"/>
  <c r="RL214" i="7"/>
  <c r="QF214" i="7"/>
  <c r="RY214" i="7" s="1"/>
  <c r="PA214" i="7"/>
  <c r="OZ214" i="7"/>
  <c r="OY214" i="7"/>
  <c r="OX214" i="7"/>
  <c r="OV214" i="7"/>
  <c r="OU214" i="7"/>
  <c r="OT214" i="7"/>
  <c r="OT230" i="7" s="1"/>
  <c r="OS214" i="7"/>
  <c r="OQ214" i="7"/>
  <c r="OP214" i="7"/>
  <c r="OO214" i="7"/>
  <c r="ON214" i="7"/>
  <c r="OL214" i="7"/>
  <c r="OK214" i="7"/>
  <c r="OJ214" i="7"/>
  <c r="OI214" i="7"/>
  <c r="OG214" i="7"/>
  <c r="OF214" i="7"/>
  <c r="OE214" i="7"/>
  <c r="OD214" i="7"/>
  <c r="LB214" i="7"/>
  <c r="LA214" i="7"/>
  <c r="KX214" i="7"/>
  <c r="LC214" i="7" s="1"/>
  <c r="VQ213" i="7"/>
  <c r="VP213" i="7"/>
  <c r="VP230" i="7" s="1"/>
  <c r="VO213" i="7"/>
  <c r="VO230" i="7" s="1"/>
  <c r="VL213" i="7"/>
  <c r="VK213" i="7"/>
  <c r="VJ213" i="7"/>
  <c r="VJ230" i="7" s="1"/>
  <c r="VI213" i="7"/>
  <c r="VN213" i="7" s="1"/>
  <c r="VF213" i="7"/>
  <c r="VE213" i="7"/>
  <c r="VD213" i="7"/>
  <c r="VA213" i="7"/>
  <c r="UZ213" i="7"/>
  <c r="UY213" i="7"/>
  <c r="UV213" i="7"/>
  <c r="UV230" i="7" s="1"/>
  <c r="UU213" i="7"/>
  <c r="UT213" i="7"/>
  <c r="TN213" i="7"/>
  <c r="TN230" i="7" s="1"/>
  <c r="SO213" i="7"/>
  <c r="VB213" i="7" s="1"/>
  <c r="SI213" i="7"/>
  <c r="SH213" i="7"/>
  <c r="SH230" i="7" s="1"/>
  <c r="SG213" i="7"/>
  <c r="SD213" i="7"/>
  <c r="SC213" i="7"/>
  <c r="SC230" i="7" s="1"/>
  <c r="SB213" i="7"/>
  <c r="SA213" i="7"/>
  <c r="SF213" i="7" s="1"/>
  <c r="RX213" i="7"/>
  <c r="RX230" i="7" s="1"/>
  <c r="RW213" i="7"/>
  <c r="RW230" i="7" s="1"/>
  <c r="RV213" i="7"/>
  <c r="RT213" i="7"/>
  <c r="RS213" i="7"/>
  <c r="RS230" i="7" s="1"/>
  <c r="RR213" i="7"/>
  <c r="RR230" i="7" s="1"/>
  <c r="RQ213" i="7"/>
  <c r="RN213" i="7"/>
  <c r="RM213" i="7"/>
  <c r="RL213" i="7"/>
  <c r="QF213" i="7"/>
  <c r="QF230" i="7" s="1"/>
  <c r="PA213" i="7"/>
  <c r="OZ213" i="7"/>
  <c r="OZ230" i="7" s="1"/>
  <c r="OY213" i="7"/>
  <c r="OY230" i="7" s="1"/>
  <c r="OX213" i="7"/>
  <c r="OV213" i="7"/>
  <c r="OU213" i="7"/>
  <c r="OU230" i="7" s="1"/>
  <c r="OT213" i="7"/>
  <c r="OS213" i="7"/>
  <c r="OQ213" i="7"/>
  <c r="OP213" i="7"/>
  <c r="OO213" i="7"/>
  <c r="OO230" i="7" s="1"/>
  <c r="ON213" i="7"/>
  <c r="OL213" i="7"/>
  <c r="OK213" i="7"/>
  <c r="OK230" i="7" s="1"/>
  <c r="OJ213" i="7"/>
  <c r="OJ230" i="7" s="1"/>
  <c r="OI213" i="7"/>
  <c r="OG213" i="7"/>
  <c r="OF213" i="7"/>
  <c r="OF230" i="7" s="1"/>
  <c r="OE213" i="7"/>
  <c r="OD213" i="7"/>
  <c r="LO213" i="7"/>
  <c r="LN213" i="7"/>
  <c r="LM213" i="7"/>
  <c r="LB213" i="7"/>
  <c r="LB230" i="7" s="1"/>
  <c r="LA213" i="7"/>
  <c r="KZ213" i="7"/>
  <c r="KX213" i="7"/>
  <c r="KX230" i="7" s="1"/>
  <c r="KY230" i="7" s="1"/>
  <c r="KS213" i="7"/>
  <c r="KS230" i="7" s="1"/>
  <c r="KT230" i="7" s="1"/>
  <c r="KN213" i="7"/>
  <c r="KD213" i="7"/>
  <c r="KD230" i="7" s="1"/>
  <c r="KE230" i="7" s="1"/>
  <c r="JO213" i="7"/>
  <c r="LC213" i="7" s="1"/>
  <c r="HX213" i="7"/>
  <c r="HW213" i="7"/>
  <c r="HV213" i="7"/>
  <c r="HK213" i="7"/>
  <c r="HJ213" i="7"/>
  <c r="HE213" i="7"/>
  <c r="HF213" i="7" s="1"/>
  <c r="HA213" i="7"/>
  <c r="GZ213" i="7"/>
  <c r="GU213" i="7"/>
  <c r="GV213" i="7" s="1"/>
  <c r="GQ213" i="7"/>
  <c r="GP213" i="7"/>
  <c r="GK213" i="7"/>
  <c r="GL213" i="7" s="1"/>
  <c r="LO212" i="7"/>
  <c r="LN212" i="7"/>
  <c r="LM212" i="7"/>
  <c r="LB212" i="7"/>
  <c r="LA212" i="7"/>
  <c r="KZ212" i="7"/>
  <c r="KX212" i="7"/>
  <c r="KS212" i="7"/>
  <c r="KN212" i="7"/>
  <c r="KD212" i="7"/>
  <c r="JO212" i="7"/>
  <c r="HX212" i="7"/>
  <c r="HW212" i="7"/>
  <c r="HV212" i="7"/>
  <c r="HK212" i="7"/>
  <c r="HJ212" i="7"/>
  <c r="HE212" i="7"/>
  <c r="HF212" i="7" s="1"/>
  <c r="HA212" i="7"/>
  <c r="GZ212" i="7"/>
  <c r="GU212" i="7"/>
  <c r="GV212" i="7" s="1"/>
  <c r="GQ212" i="7"/>
  <c r="GP212" i="7"/>
  <c r="GK212" i="7"/>
  <c r="GL212" i="7" s="1"/>
  <c r="UQ211" i="7"/>
  <c r="UP211" i="7"/>
  <c r="UO211" i="7"/>
  <c r="UL211" i="7"/>
  <c r="UK211" i="7"/>
  <c r="UJ211" i="7"/>
  <c r="UG211" i="7"/>
  <c r="UE211" i="7"/>
  <c r="UB211" i="7"/>
  <c r="TZ211" i="7"/>
  <c r="TW211" i="7"/>
  <c r="TU211" i="7"/>
  <c r="TR211" i="7"/>
  <c r="TP211" i="7"/>
  <c r="TK211" i="7"/>
  <c r="TH211" i="7"/>
  <c r="TF211" i="7"/>
  <c r="TC211" i="7"/>
  <c r="TA211" i="7"/>
  <c r="SV211" i="7"/>
  <c r="SQ211" i="7"/>
  <c r="SL211" i="7"/>
  <c r="RG211" i="7"/>
  <c r="RB211" i="7"/>
  <c r="QW211" i="7"/>
  <c r="QR211" i="7"/>
  <c r="QM211" i="7"/>
  <c r="QH211" i="7"/>
  <c r="QC211" i="7"/>
  <c r="PX211" i="7"/>
  <c r="PN211" i="7"/>
  <c r="PI211" i="7"/>
  <c r="PD211" i="7"/>
  <c r="OA211" i="7"/>
  <c r="NZ211" i="7"/>
  <c r="NY211" i="7"/>
  <c r="NV211" i="7"/>
  <c r="NU211" i="7"/>
  <c r="NT211" i="7"/>
  <c r="NO211" i="7"/>
  <c r="NL211" i="7"/>
  <c r="NK211" i="7"/>
  <c r="NJ211" i="7"/>
  <c r="NG211" i="7"/>
  <c r="NF211" i="7"/>
  <c r="NE211" i="7"/>
  <c r="NB211" i="7"/>
  <c r="NA211" i="7"/>
  <c r="MZ211" i="7"/>
  <c r="MW211" i="7"/>
  <c r="MV211" i="7"/>
  <c r="MU211" i="7"/>
  <c r="MQ211" i="7"/>
  <c r="MP211" i="7"/>
  <c r="ML211" i="7"/>
  <c r="MK211" i="7"/>
  <c r="MH211" i="7"/>
  <c r="MF211" i="7"/>
  <c r="MC211" i="7"/>
  <c r="MB211" i="7"/>
  <c r="MA211" i="7"/>
  <c r="LX211" i="7"/>
  <c r="LW211" i="7"/>
  <c r="LV211" i="7"/>
  <c r="KZ211" i="7"/>
  <c r="KW211" i="7"/>
  <c r="KU211" i="7"/>
  <c r="KR211" i="7"/>
  <c r="KP211" i="7"/>
  <c r="KM211" i="7"/>
  <c r="KL211" i="7"/>
  <c r="KK211" i="7"/>
  <c r="KH211" i="7"/>
  <c r="KG211" i="7"/>
  <c r="KF211" i="7"/>
  <c r="KC211" i="7"/>
  <c r="KB211" i="7"/>
  <c r="KA211" i="7"/>
  <c r="JX211" i="7"/>
  <c r="JW211" i="7"/>
  <c r="JV211" i="7"/>
  <c r="JS211" i="7"/>
  <c r="JR211" i="7"/>
  <c r="JQ211" i="7"/>
  <c r="JN211" i="7"/>
  <c r="JM211" i="7"/>
  <c r="JL211" i="7"/>
  <c r="JI211" i="7"/>
  <c r="JH211" i="7"/>
  <c r="JG211" i="7"/>
  <c r="JD211" i="7"/>
  <c r="JC211" i="7"/>
  <c r="JB211" i="7"/>
  <c r="IY211" i="7"/>
  <c r="IX211" i="7"/>
  <c r="IW211" i="7"/>
  <c r="IT211" i="7"/>
  <c r="IR211" i="7"/>
  <c r="HS211" i="7"/>
  <c r="HR211" i="7"/>
  <c r="HQ211" i="7"/>
  <c r="UR210" i="7"/>
  <c r="RJ210" i="7"/>
  <c r="OF210" i="7"/>
  <c r="OE210" i="7"/>
  <c r="OD210" i="7"/>
  <c r="OB210" i="7"/>
  <c r="OG210" i="7" s="1"/>
  <c r="MS210" i="7"/>
  <c r="KN210" i="7"/>
  <c r="KI210" i="7"/>
  <c r="VQ209" i="7"/>
  <c r="VP209" i="7"/>
  <c r="VO209" i="7"/>
  <c r="VL209" i="7"/>
  <c r="VK209" i="7"/>
  <c r="VJ209" i="7"/>
  <c r="VF209" i="7"/>
  <c r="VE209" i="7"/>
  <c r="UV209" i="7"/>
  <c r="UU209" i="7"/>
  <c r="UH209" i="7"/>
  <c r="UI209" i="7" s="1"/>
  <c r="TN209" i="7"/>
  <c r="VG209" i="7" s="1"/>
  <c r="VH209" i="7" s="1"/>
  <c r="TI209" i="7"/>
  <c r="TJ209" i="7" s="1"/>
  <c r="SO209" i="7"/>
  <c r="SI209" i="7"/>
  <c r="SH209" i="7"/>
  <c r="SG209" i="7"/>
  <c r="RN209" i="7"/>
  <c r="RM209" i="7"/>
  <c r="QZ209" i="7"/>
  <c r="QF209" i="7"/>
  <c r="RO209" i="7" s="1"/>
  <c r="RP209" i="7" s="1"/>
  <c r="QA209" i="7"/>
  <c r="QB209" i="7" s="1"/>
  <c r="PG209" i="7"/>
  <c r="OZ209" i="7"/>
  <c r="OY209" i="7"/>
  <c r="OX209" i="7"/>
  <c r="OF209" i="7"/>
  <c r="OE209" i="7"/>
  <c r="NR209" i="7"/>
  <c r="PA209" i="7" s="1"/>
  <c r="NM209" i="7"/>
  <c r="NH209" i="7"/>
  <c r="NC209" i="7"/>
  <c r="ND209" i="7" s="1"/>
  <c r="MX209" i="7"/>
  <c r="MY209" i="7" s="1"/>
  <c r="MS209" i="7"/>
  <c r="MT209" i="7" s="1"/>
  <c r="KS209" i="7"/>
  <c r="KN209" i="7"/>
  <c r="KI209" i="7"/>
  <c r="HY209" i="7"/>
  <c r="HX209" i="7"/>
  <c r="HW209" i="7"/>
  <c r="HV209" i="7"/>
  <c r="EV209" i="7"/>
  <c r="ET209" i="7"/>
  <c r="ES209" i="7"/>
  <c r="ER209" i="7"/>
  <c r="VQ208" i="7"/>
  <c r="VP208" i="7"/>
  <c r="VO208" i="7"/>
  <c r="VK208" i="7"/>
  <c r="VJ208" i="7"/>
  <c r="VI208" i="7"/>
  <c r="VF208" i="7"/>
  <c r="VE208" i="7"/>
  <c r="VD208" i="7"/>
  <c r="UZ208" i="7"/>
  <c r="UV208" i="7"/>
  <c r="UU208" i="7"/>
  <c r="UH208" i="7"/>
  <c r="UI208" i="7" s="1"/>
  <c r="UC208" i="7"/>
  <c r="VL208" i="7" s="1"/>
  <c r="VM208" i="7" s="1"/>
  <c r="TX208" i="7"/>
  <c r="TN208" i="7"/>
  <c r="TI208" i="7"/>
  <c r="TJ208" i="7" s="1"/>
  <c r="TE208" i="7"/>
  <c r="TD208" i="7"/>
  <c r="VG208" i="7" s="1"/>
  <c r="VH208" i="7" s="1"/>
  <c r="SO208" i="7"/>
  <c r="SI208" i="7"/>
  <c r="SH208" i="7"/>
  <c r="SG208" i="7"/>
  <c r="SD208" i="7"/>
  <c r="SE208" i="7" s="1"/>
  <c r="SC208" i="7"/>
  <c r="SB208" i="7"/>
  <c r="SA208" i="7"/>
  <c r="RX208" i="7"/>
  <c r="RW208" i="7"/>
  <c r="RV208" i="7"/>
  <c r="RR208" i="7"/>
  <c r="RN208" i="7"/>
  <c r="RM208" i="7"/>
  <c r="QP208" i="7"/>
  <c r="QF208" i="7"/>
  <c r="RO208" i="7" s="1"/>
  <c r="RP208" i="7" s="1"/>
  <c r="QB208" i="7"/>
  <c r="QA208" i="7"/>
  <c r="PV208" i="7"/>
  <c r="PW208" i="7" s="1"/>
  <c r="PG208" i="7"/>
  <c r="PA208" i="7"/>
  <c r="OZ208" i="7"/>
  <c r="OY208" i="7"/>
  <c r="OX208" i="7"/>
  <c r="OU208" i="7"/>
  <c r="OT208" i="7"/>
  <c r="OS208" i="7"/>
  <c r="OP208" i="7"/>
  <c r="OO208" i="7"/>
  <c r="ON208" i="7"/>
  <c r="OJ208" i="7"/>
  <c r="OF208" i="7"/>
  <c r="OE208" i="7"/>
  <c r="NH208" i="7"/>
  <c r="OV208" i="7" s="1"/>
  <c r="OW208" i="7" s="1"/>
  <c r="ND208" i="7"/>
  <c r="NC208" i="7"/>
  <c r="MX208" i="7"/>
  <c r="MY208" i="7" s="1"/>
  <c r="MT208" i="7"/>
  <c r="MS208" i="7"/>
  <c r="MN208" i="7"/>
  <c r="OQ208" i="7" s="1"/>
  <c r="OR208" i="7" s="1"/>
  <c r="LQ208" i="7"/>
  <c r="HY208" i="7"/>
  <c r="HX208" i="7"/>
  <c r="HW208" i="7"/>
  <c r="HV208" i="7"/>
  <c r="EU208" i="7"/>
  <c r="EV208" i="7" s="1"/>
  <c r="ET208" i="7"/>
  <c r="ES208" i="7"/>
  <c r="ER208" i="7"/>
  <c r="VQ207" i="7"/>
  <c r="VP207" i="7"/>
  <c r="VO207" i="7"/>
  <c r="VL207" i="7"/>
  <c r="VK207" i="7"/>
  <c r="VJ207" i="7"/>
  <c r="VI207" i="7"/>
  <c r="VF207" i="7"/>
  <c r="VE207" i="7"/>
  <c r="VD207" i="7"/>
  <c r="VA207" i="7"/>
  <c r="UZ207" i="7"/>
  <c r="UY207" i="7"/>
  <c r="UV207" i="7"/>
  <c r="UU207" i="7"/>
  <c r="UI207" i="7"/>
  <c r="UH207" i="7"/>
  <c r="UW207" i="7" s="1"/>
  <c r="UX207" i="7" s="1"/>
  <c r="TI207" i="7"/>
  <c r="TD207" i="7"/>
  <c r="VG207" i="7" s="1"/>
  <c r="VH207" i="7" s="1"/>
  <c r="ST207" i="7"/>
  <c r="VB207" i="7" s="1"/>
  <c r="VC207" i="7" s="1"/>
  <c r="SO207" i="7"/>
  <c r="SI207" i="7"/>
  <c r="SH207" i="7"/>
  <c r="SG207" i="7"/>
  <c r="SD207" i="7"/>
  <c r="SC207" i="7"/>
  <c r="SB207" i="7"/>
  <c r="SA207" i="7"/>
  <c r="RX207" i="7"/>
  <c r="RW207" i="7"/>
  <c r="RV207" i="7"/>
  <c r="RT207" i="7"/>
  <c r="RU207" i="7" s="1"/>
  <c r="RS207" i="7"/>
  <c r="RR207" i="7"/>
  <c r="RQ207" i="7"/>
  <c r="RN207" i="7"/>
  <c r="RM207" i="7"/>
  <c r="QA207" i="7"/>
  <c r="PV207" i="7"/>
  <c r="RY207" i="7" s="1"/>
  <c r="RZ207" i="7" s="1"/>
  <c r="PL207" i="7"/>
  <c r="PG207" i="7"/>
  <c r="PA207" i="7"/>
  <c r="OZ207" i="7"/>
  <c r="OY207" i="7"/>
  <c r="OX207" i="7"/>
  <c r="OV207" i="7"/>
  <c r="OU207" i="7"/>
  <c r="OT207" i="7"/>
  <c r="OS207" i="7"/>
  <c r="OQ207" i="7"/>
  <c r="OR207" i="7" s="1"/>
  <c r="OP207" i="7"/>
  <c r="OO207" i="7"/>
  <c r="ON207" i="7"/>
  <c r="OK207" i="7"/>
  <c r="OJ207" i="7"/>
  <c r="OI207" i="7"/>
  <c r="OF207" i="7"/>
  <c r="OE207" i="7"/>
  <c r="MS207" i="7"/>
  <c r="MN207" i="7"/>
  <c r="OG207" i="7" s="1"/>
  <c r="OH207" i="7" s="1"/>
  <c r="MI207" i="7"/>
  <c r="MJ207" i="7" s="1"/>
  <c r="MD207" i="7"/>
  <c r="ME207" i="7" s="1"/>
  <c r="LY207" i="7"/>
  <c r="LZ207" i="7" s="1"/>
  <c r="LR207" i="7"/>
  <c r="LQ207" i="7"/>
  <c r="LN207" i="7"/>
  <c r="LM207" i="7"/>
  <c r="LJ207" i="7"/>
  <c r="LI207" i="7"/>
  <c r="LF207" i="7"/>
  <c r="LE207" i="7"/>
  <c r="LB207" i="7"/>
  <c r="LA207" i="7"/>
  <c r="KX207" i="7"/>
  <c r="KY207" i="7" s="1"/>
  <c r="KS207" i="7"/>
  <c r="KT207" i="7" s="1"/>
  <c r="KN207" i="7"/>
  <c r="LS207" i="7" s="1"/>
  <c r="LT207" i="7" s="1"/>
  <c r="KI207" i="7"/>
  <c r="KJ207" i="7" s="1"/>
  <c r="KD207" i="7"/>
  <c r="KE207" i="7" s="1"/>
  <c r="JY207" i="7"/>
  <c r="LO207" i="7" s="1"/>
  <c r="LP207" i="7" s="1"/>
  <c r="JT207" i="7"/>
  <c r="JU207" i="7" s="1"/>
  <c r="JO207" i="7"/>
  <c r="JP207" i="7" s="1"/>
  <c r="JJ207" i="7"/>
  <c r="LK207" i="7" s="1"/>
  <c r="LL207" i="7" s="1"/>
  <c r="JE207" i="7"/>
  <c r="JF207" i="7" s="1"/>
  <c r="IZ207" i="7"/>
  <c r="JA207" i="7" s="1"/>
  <c r="IU207" i="7"/>
  <c r="LG207" i="7" s="1"/>
  <c r="LH207" i="7" s="1"/>
  <c r="IN207" i="7"/>
  <c r="IM207" i="7"/>
  <c r="IJ207" i="7"/>
  <c r="II207" i="7"/>
  <c r="IF207" i="7"/>
  <c r="IE207" i="7"/>
  <c r="IB207" i="7"/>
  <c r="IA207" i="7"/>
  <c r="HY207" i="7"/>
  <c r="HX207" i="7"/>
  <c r="HW207" i="7"/>
  <c r="HV207" i="7"/>
  <c r="HU207" i="7"/>
  <c r="HT207" i="7"/>
  <c r="HO207" i="7"/>
  <c r="IO207" i="7" s="1"/>
  <c r="IP207" i="7" s="1"/>
  <c r="HK207" i="7"/>
  <c r="HJ207" i="7"/>
  <c r="HE207" i="7"/>
  <c r="HF207" i="7" s="1"/>
  <c r="HA207" i="7"/>
  <c r="GZ207" i="7"/>
  <c r="GU207" i="7"/>
  <c r="IK207" i="7" s="1"/>
  <c r="IL207" i="7" s="1"/>
  <c r="GQ207" i="7"/>
  <c r="GP207" i="7"/>
  <c r="GK207" i="7"/>
  <c r="IG207" i="7" s="1"/>
  <c r="IH207" i="7" s="1"/>
  <c r="GB207" i="7"/>
  <c r="GA207" i="7"/>
  <c r="IC207" i="7" s="1"/>
  <c r="EU207" i="7"/>
  <c r="EV207" i="7" s="1"/>
  <c r="ET207" i="7"/>
  <c r="ES207" i="7"/>
  <c r="ER207" i="7"/>
  <c r="VQ206" i="7"/>
  <c r="VP206" i="7"/>
  <c r="VO206" i="7"/>
  <c r="VL206" i="7"/>
  <c r="VK206" i="7"/>
  <c r="VJ206" i="7"/>
  <c r="VI206" i="7"/>
  <c r="VF206" i="7"/>
  <c r="VE206" i="7"/>
  <c r="VD206" i="7"/>
  <c r="VA206" i="7"/>
  <c r="UZ206" i="7"/>
  <c r="UY206" i="7"/>
  <c r="UV206" i="7"/>
  <c r="UU206" i="7"/>
  <c r="UI206" i="7"/>
  <c r="UH206" i="7"/>
  <c r="UW206" i="7" s="1"/>
  <c r="UX206" i="7" s="1"/>
  <c r="TI206" i="7"/>
  <c r="TD206" i="7"/>
  <c r="VG206" i="7" s="1"/>
  <c r="VH206" i="7" s="1"/>
  <c r="ST206" i="7"/>
  <c r="VB206" i="7" s="1"/>
  <c r="VC206" i="7" s="1"/>
  <c r="SO206" i="7"/>
  <c r="SI206" i="7"/>
  <c r="SH206" i="7"/>
  <c r="SG206" i="7"/>
  <c r="SD206" i="7"/>
  <c r="SC206" i="7"/>
  <c r="SB206" i="7"/>
  <c r="SA206" i="7"/>
  <c r="RX206" i="7"/>
  <c r="RW206" i="7"/>
  <c r="RV206" i="7"/>
  <c r="RT206" i="7"/>
  <c r="RU206" i="7" s="1"/>
  <c r="RS206" i="7"/>
  <c r="RR206" i="7"/>
  <c r="RQ206" i="7"/>
  <c r="RN206" i="7"/>
  <c r="RM206" i="7"/>
  <c r="QA206" i="7"/>
  <c r="PV206" i="7"/>
  <c r="RY206" i="7" s="1"/>
  <c r="RZ206" i="7" s="1"/>
  <c r="PL206" i="7"/>
  <c r="PG206" i="7"/>
  <c r="PA206" i="7"/>
  <c r="OZ206" i="7"/>
  <c r="OY206" i="7"/>
  <c r="OX206" i="7"/>
  <c r="OV206" i="7"/>
  <c r="OU206" i="7"/>
  <c r="OT206" i="7"/>
  <c r="OS206" i="7"/>
  <c r="OQ206" i="7"/>
  <c r="OR206" i="7" s="1"/>
  <c r="OP206" i="7"/>
  <c r="OO206" i="7"/>
  <c r="ON206" i="7"/>
  <c r="OK206" i="7"/>
  <c r="OJ206" i="7"/>
  <c r="OI206" i="7"/>
  <c r="OF206" i="7"/>
  <c r="OE206" i="7"/>
  <c r="MS206" i="7"/>
  <c r="MN206" i="7"/>
  <c r="MI206" i="7"/>
  <c r="MJ206" i="7" s="1"/>
  <c r="MD206" i="7"/>
  <c r="ME206" i="7" s="1"/>
  <c r="LY206" i="7"/>
  <c r="LR206" i="7"/>
  <c r="LQ206" i="7"/>
  <c r="LN206" i="7"/>
  <c r="LM206" i="7"/>
  <c r="LJ206" i="7"/>
  <c r="LI206" i="7"/>
  <c r="LF206" i="7"/>
  <c r="LE206" i="7"/>
  <c r="LB206" i="7"/>
  <c r="LA206" i="7"/>
  <c r="KX206" i="7"/>
  <c r="KY206" i="7" s="1"/>
  <c r="KS206" i="7"/>
  <c r="KT206" i="7" s="1"/>
  <c r="KN206" i="7"/>
  <c r="KI206" i="7"/>
  <c r="KJ206" i="7" s="1"/>
  <c r="KD206" i="7"/>
  <c r="KE206" i="7" s="1"/>
  <c r="JY206" i="7"/>
  <c r="JT206" i="7"/>
  <c r="JU206" i="7" s="1"/>
  <c r="JO206" i="7"/>
  <c r="JP206" i="7" s="1"/>
  <c r="JJ206" i="7"/>
  <c r="LK206" i="7" s="1"/>
  <c r="LL206" i="7" s="1"/>
  <c r="JE206" i="7"/>
  <c r="JF206" i="7" s="1"/>
  <c r="IZ206" i="7"/>
  <c r="JA206" i="7" s="1"/>
  <c r="IU206" i="7"/>
  <c r="IS206" i="7"/>
  <c r="IS211" i="7" s="1"/>
  <c r="IN206" i="7"/>
  <c r="IM206" i="7"/>
  <c r="IJ206" i="7"/>
  <c r="II206" i="7"/>
  <c r="IF206" i="7"/>
  <c r="IE206" i="7"/>
  <c r="IB206" i="7"/>
  <c r="IA206" i="7"/>
  <c r="HX206" i="7"/>
  <c r="HW206" i="7"/>
  <c r="HV206" i="7"/>
  <c r="HT206" i="7"/>
  <c r="HU206" i="7" s="1"/>
  <c r="HP206" i="7"/>
  <c r="HO206" i="7"/>
  <c r="HJ206" i="7"/>
  <c r="HK206" i="7" s="1"/>
  <c r="HF206" i="7"/>
  <c r="HE206" i="7"/>
  <c r="GZ206" i="7"/>
  <c r="HA206" i="7" s="1"/>
  <c r="GS206" i="7"/>
  <c r="GU206" i="7" s="1"/>
  <c r="IK206" i="7" s="1"/>
  <c r="IL206" i="7" s="1"/>
  <c r="GP206" i="7"/>
  <c r="GQ206" i="7" s="1"/>
  <c r="GK206" i="7"/>
  <c r="GL206" i="7" s="1"/>
  <c r="GF206" i="7"/>
  <c r="GA206" i="7"/>
  <c r="GB206" i="7" s="1"/>
  <c r="FV206" i="7"/>
  <c r="FQ206" i="7"/>
  <c r="FL206" i="7"/>
  <c r="FM206" i="7" s="1"/>
  <c r="FK206" i="7"/>
  <c r="FI206" i="7"/>
  <c r="FF206" i="7"/>
  <c r="FE206" i="7"/>
  <c r="ET206" i="7"/>
  <c r="ES206" i="7"/>
  <c r="ER206" i="7"/>
  <c r="EQ206" i="7"/>
  <c r="EP206" i="7"/>
  <c r="EK206" i="7"/>
  <c r="EL206" i="7" s="1"/>
  <c r="EG206" i="7"/>
  <c r="EF206" i="7"/>
  <c r="EA206" i="7"/>
  <c r="EB206" i="7" s="1"/>
  <c r="DQ206" i="7"/>
  <c r="EU206" i="7" s="1"/>
  <c r="EV206" i="7" s="1"/>
  <c r="BR206" i="7"/>
  <c r="BS206" i="7" s="1"/>
  <c r="BQ206" i="7"/>
  <c r="BP206" i="7"/>
  <c r="VP205" i="7"/>
  <c r="VO205" i="7"/>
  <c r="VL205" i="7"/>
  <c r="VK205" i="7"/>
  <c r="VJ205" i="7"/>
  <c r="VI205" i="7"/>
  <c r="VN205" i="7" s="1"/>
  <c r="VF205" i="7"/>
  <c r="VE205" i="7"/>
  <c r="VD205" i="7"/>
  <c r="VA205" i="7"/>
  <c r="UZ205" i="7"/>
  <c r="UY205" i="7"/>
  <c r="UV205" i="7"/>
  <c r="UU205" i="7"/>
  <c r="UR205" i="7"/>
  <c r="UM205" i="7"/>
  <c r="UI205" i="7"/>
  <c r="UH205" i="7"/>
  <c r="VQ205" i="7" s="1"/>
  <c r="TI205" i="7"/>
  <c r="TD205" i="7"/>
  <c r="VG205" i="7" s="1"/>
  <c r="VH205" i="7" s="1"/>
  <c r="ST205" i="7"/>
  <c r="SO205" i="7"/>
  <c r="SH205" i="7"/>
  <c r="SG205" i="7"/>
  <c r="SD205" i="7"/>
  <c r="SC205" i="7"/>
  <c r="SB205" i="7"/>
  <c r="SA205" i="7"/>
  <c r="SF205" i="7" s="1"/>
  <c r="RX205" i="7"/>
  <c r="RW205" i="7"/>
  <c r="RV205" i="7"/>
  <c r="RS205" i="7"/>
  <c r="RR205" i="7"/>
  <c r="RQ205" i="7"/>
  <c r="RN205" i="7"/>
  <c r="RM205" i="7"/>
  <c r="RL205" i="7"/>
  <c r="RJ205" i="7"/>
  <c r="RE205" i="7"/>
  <c r="SI205" i="7" s="1"/>
  <c r="QA205" i="7"/>
  <c r="PV205" i="7"/>
  <c r="RY205" i="7" s="1"/>
  <c r="PL205" i="7"/>
  <c r="PG205" i="7"/>
  <c r="RT205" i="7" s="1"/>
  <c r="OZ205" i="7"/>
  <c r="OY205" i="7"/>
  <c r="OX205" i="7"/>
  <c r="OV205" i="7"/>
  <c r="OU205" i="7"/>
  <c r="OT205" i="7"/>
  <c r="OS205" i="7"/>
  <c r="OQ205" i="7"/>
  <c r="OP205" i="7"/>
  <c r="OO205" i="7"/>
  <c r="ON205" i="7"/>
  <c r="OK205" i="7"/>
  <c r="OJ205" i="7"/>
  <c r="OI205" i="7"/>
  <c r="OF205" i="7"/>
  <c r="OE205" i="7"/>
  <c r="OD205" i="7"/>
  <c r="OB205" i="7"/>
  <c r="PA205" i="7" s="1"/>
  <c r="NW205" i="7"/>
  <c r="MS205" i="7"/>
  <c r="MN205" i="7"/>
  <c r="MI205" i="7"/>
  <c r="OL205" i="7" s="1"/>
  <c r="MD205" i="7"/>
  <c r="LY205" i="7"/>
  <c r="LR205" i="7"/>
  <c r="LQ205" i="7"/>
  <c r="LN205" i="7"/>
  <c r="LM205" i="7"/>
  <c r="LK205" i="7"/>
  <c r="LL205" i="7" s="1"/>
  <c r="LJ205" i="7"/>
  <c r="LI205" i="7"/>
  <c r="LF205" i="7"/>
  <c r="LE205" i="7"/>
  <c r="LB205" i="7"/>
  <c r="LA205" i="7"/>
  <c r="KX205" i="7"/>
  <c r="KS205" i="7"/>
  <c r="KN205" i="7"/>
  <c r="LS205" i="7" s="1"/>
  <c r="KJ205" i="7"/>
  <c r="KI205" i="7"/>
  <c r="KD205" i="7"/>
  <c r="LO205" i="7" s="1"/>
  <c r="LP205" i="7" s="1"/>
  <c r="JZ205" i="7"/>
  <c r="JY205" i="7"/>
  <c r="JO205" i="7"/>
  <c r="JP205" i="7" s="1"/>
  <c r="JK205" i="7"/>
  <c r="JJ205" i="7"/>
  <c r="JE205" i="7"/>
  <c r="LC205" i="7" s="1"/>
  <c r="LD205" i="7" s="1"/>
  <c r="JA205" i="7"/>
  <c r="IU205" i="7"/>
  <c r="IV205" i="7" s="1"/>
  <c r="IN205" i="7"/>
  <c r="IM205" i="7"/>
  <c r="IJ205" i="7"/>
  <c r="II205" i="7"/>
  <c r="IF205" i="7"/>
  <c r="IE205" i="7"/>
  <c r="IC205" i="7"/>
  <c r="IB205" i="7"/>
  <c r="IA205" i="7"/>
  <c r="HX205" i="7"/>
  <c r="HW205" i="7"/>
  <c r="HV205" i="7"/>
  <c r="HT205" i="7"/>
  <c r="HU205" i="7" s="1"/>
  <c r="HP205" i="7"/>
  <c r="HO205" i="7"/>
  <c r="HJ205" i="7"/>
  <c r="IO205" i="7" s="1"/>
  <c r="IP205" i="7" s="1"/>
  <c r="HF205" i="7"/>
  <c r="HE205" i="7"/>
  <c r="GZ205" i="7"/>
  <c r="HA205" i="7" s="1"/>
  <c r="GV205" i="7"/>
  <c r="GU205" i="7"/>
  <c r="GP205" i="7"/>
  <c r="HY205" i="7" s="1"/>
  <c r="GL205" i="7"/>
  <c r="GK205" i="7"/>
  <c r="EU205" i="7"/>
  <c r="EV205" i="7" s="1"/>
  <c r="ET205" i="7"/>
  <c r="ES205" i="7"/>
  <c r="ER205" i="7"/>
  <c r="VQ204" i="7"/>
  <c r="VP204" i="7"/>
  <c r="VO204" i="7"/>
  <c r="VL204" i="7"/>
  <c r="VK204" i="7"/>
  <c r="VJ204" i="7"/>
  <c r="VI204" i="7"/>
  <c r="VG204" i="7"/>
  <c r="VH204" i="7" s="1"/>
  <c r="VF204" i="7"/>
  <c r="VE204" i="7"/>
  <c r="VD204" i="7"/>
  <c r="VA204" i="7"/>
  <c r="UZ204" i="7"/>
  <c r="UY204" i="7"/>
  <c r="UV204" i="7"/>
  <c r="UU204" i="7"/>
  <c r="UI204" i="7"/>
  <c r="UH204" i="7"/>
  <c r="ST204" i="7"/>
  <c r="SO204" i="7"/>
  <c r="VB204" i="7" s="1"/>
  <c r="VC204" i="7" s="1"/>
  <c r="SI204" i="7"/>
  <c r="SH204" i="7"/>
  <c r="SG204" i="7"/>
  <c r="SD204" i="7"/>
  <c r="SC204" i="7"/>
  <c r="SB204" i="7"/>
  <c r="SA204" i="7"/>
  <c r="RZ204" i="7"/>
  <c r="RY204" i="7"/>
  <c r="RX204" i="7"/>
  <c r="RW204" i="7"/>
  <c r="RV204" i="7"/>
  <c r="RS204" i="7"/>
  <c r="RR204" i="7"/>
  <c r="RQ204" i="7"/>
  <c r="RN204" i="7"/>
  <c r="RM204" i="7"/>
  <c r="PL204" i="7"/>
  <c r="PG204" i="7"/>
  <c r="RT204" i="7" s="1"/>
  <c r="RU204" i="7" s="1"/>
  <c r="PA204" i="7"/>
  <c r="OZ204" i="7"/>
  <c r="OY204" i="7"/>
  <c r="OX204" i="7"/>
  <c r="OV204" i="7"/>
  <c r="OU204" i="7"/>
  <c r="OT204" i="7"/>
  <c r="OS204" i="7"/>
  <c r="OR204" i="7"/>
  <c r="OQ204" i="7"/>
  <c r="OP204" i="7"/>
  <c r="OO204" i="7"/>
  <c r="ON204" i="7"/>
  <c r="OK204" i="7"/>
  <c r="OJ204" i="7"/>
  <c r="OI204" i="7"/>
  <c r="OF204" i="7"/>
  <c r="OE204" i="7"/>
  <c r="MI204" i="7"/>
  <c r="MJ204" i="7" s="1"/>
  <c r="ME204" i="7"/>
  <c r="MD204" i="7"/>
  <c r="LY204" i="7"/>
  <c r="LT204" i="7"/>
  <c r="LR204" i="7"/>
  <c r="LQ204" i="7"/>
  <c r="LN204" i="7"/>
  <c r="LM204" i="7"/>
  <c r="LJ204" i="7"/>
  <c r="LI204" i="7"/>
  <c r="LF204" i="7"/>
  <c r="LE204" i="7"/>
  <c r="LB204" i="7"/>
  <c r="LA204" i="7"/>
  <c r="KY204" i="7"/>
  <c r="KX204" i="7"/>
  <c r="KS204" i="7"/>
  <c r="KT204" i="7" s="1"/>
  <c r="KO204" i="7"/>
  <c r="KN204" i="7"/>
  <c r="LS204" i="7" s="1"/>
  <c r="KI204" i="7"/>
  <c r="KJ204" i="7" s="1"/>
  <c r="KE204" i="7"/>
  <c r="KD204" i="7"/>
  <c r="JY204" i="7"/>
  <c r="JU204" i="7"/>
  <c r="JT204" i="7"/>
  <c r="JO204" i="7"/>
  <c r="JP204" i="7" s="1"/>
  <c r="JK204" i="7"/>
  <c r="JJ204" i="7"/>
  <c r="LK204" i="7" s="1"/>
  <c r="LL204" i="7" s="1"/>
  <c r="JE204" i="7"/>
  <c r="JF204" i="7" s="1"/>
  <c r="JA204" i="7"/>
  <c r="IZ204" i="7"/>
  <c r="IU204" i="7"/>
  <c r="IM204" i="7"/>
  <c r="II204" i="7"/>
  <c r="IE204" i="7"/>
  <c r="IA204" i="7"/>
  <c r="HV204" i="7"/>
  <c r="HU204" i="7"/>
  <c r="HT204" i="7"/>
  <c r="HN204" i="7"/>
  <c r="IN204" i="7" s="1"/>
  <c r="HK204" i="7"/>
  <c r="HJ204" i="7"/>
  <c r="HE204" i="7"/>
  <c r="HF204" i="7" s="1"/>
  <c r="HA204" i="7"/>
  <c r="GZ204" i="7"/>
  <c r="GT204" i="7"/>
  <c r="GP204" i="7"/>
  <c r="GQ204" i="7" s="1"/>
  <c r="GJ204" i="7"/>
  <c r="IF204" i="7" s="1"/>
  <c r="GI204" i="7"/>
  <c r="GK204" i="7" s="1"/>
  <c r="GL204" i="7" s="1"/>
  <c r="GF204" i="7"/>
  <c r="FZ204" i="7"/>
  <c r="GA204" i="7" s="1"/>
  <c r="GB204" i="7" s="1"/>
  <c r="FY204" i="7"/>
  <c r="FU204" i="7"/>
  <c r="FV204" i="7" s="1"/>
  <c r="FW204" i="7" s="1"/>
  <c r="FP204" i="7"/>
  <c r="FO204" i="7"/>
  <c r="FK204" i="7"/>
  <c r="FI204" i="7"/>
  <c r="FG204" i="7"/>
  <c r="FF204" i="7"/>
  <c r="ER204" i="7"/>
  <c r="EO204" i="7"/>
  <c r="EP204" i="7" s="1"/>
  <c r="EQ204" i="7" s="1"/>
  <c r="EN204" i="7"/>
  <c r="EJ204" i="7"/>
  <c r="EJ232" i="7" s="1"/>
  <c r="EI204" i="7"/>
  <c r="EE204" i="7"/>
  <c r="EE232" i="7" s="1"/>
  <c r="ED204" i="7"/>
  <c r="ES204" i="7" s="1"/>
  <c r="VP203" i="7"/>
  <c r="VO203" i="7"/>
  <c r="VL203" i="7"/>
  <c r="VK203" i="7"/>
  <c r="VJ203" i="7"/>
  <c r="VI203" i="7"/>
  <c r="VF203" i="7"/>
  <c r="VE203" i="7"/>
  <c r="VD203" i="7"/>
  <c r="VA203" i="7"/>
  <c r="UZ203" i="7"/>
  <c r="UY203" i="7"/>
  <c r="UV203" i="7"/>
  <c r="UU203" i="7"/>
  <c r="UH203" i="7"/>
  <c r="VQ203" i="7" s="1"/>
  <c r="TI203" i="7"/>
  <c r="TD203" i="7"/>
  <c r="VG203" i="7" s="1"/>
  <c r="VH203" i="7" s="1"/>
  <c r="SY203" i="7"/>
  <c r="ST203" i="7"/>
  <c r="SO203" i="7"/>
  <c r="VB203" i="7" s="1"/>
  <c r="SI203" i="7"/>
  <c r="SH203" i="7"/>
  <c r="SG203" i="7"/>
  <c r="SD203" i="7"/>
  <c r="SC203" i="7"/>
  <c r="SB203" i="7"/>
  <c r="SA203" i="7"/>
  <c r="RX203" i="7"/>
  <c r="RW203" i="7"/>
  <c r="RV203" i="7"/>
  <c r="RT203" i="7"/>
  <c r="RS203" i="7"/>
  <c r="RR203" i="7"/>
  <c r="RQ203" i="7"/>
  <c r="RN203" i="7"/>
  <c r="RM203" i="7"/>
  <c r="QA203" i="7"/>
  <c r="PV203" i="7"/>
  <c r="RY203" i="7" s="1"/>
  <c r="RZ203" i="7" s="1"/>
  <c r="PQ203" i="7"/>
  <c r="PL203" i="7"/>
  <c r="PG203" i="7"/>
  <c r="PA203" i="7"/>
  <c r="OZ203" i="7"/>
  <c r="OY203" i="7"/>
  <c r="OX203" i="7"/>
  <c r="OV203" i="7"/>
  <c r="OU203" i="7"/>
  <c r="OT203" i="7"/>
  <c r="OS203" i="7"/>
  <c r="OP203" i="7"/>
  <c r="OO203" i="7"/>
  <c r="ON203" i="7"/>
  <c r="OK203" i="7"/>
  <c r="OJ203" i="7"/>
  <c r="OI203" i="7"/>
  <c r="OF203" i="7"/>
  <c r="OE203" i="7"/>
  <c r="MS203" i="7"/>
  <c r="OG203" i="7" s="1"/>
  <c r="MN203" i="7"/>
  <c r="OQ203" i="7" s="1"/>
  <c r="OR203" i="7" s="1"/>
  <c r="MI203" i="7"/>
  <c r="MD203" i="7"/>
  <c r="LY203" i="7"/>
  <c r="OL203" i="7" s="1"/>
  <c r="LR203" i="7"/>
  <c r="LQ203" i="7"/>
  <c r="LN203" i="7"/>
  <c r="LM203" i="7"/>
  <c r="LJ203" i="7"/>
  <c r="LI203" i="7"/>
  <c r="LG203" i="7"/>
  <c r="LF203" i="7"/>
  <c r="LE203" i="7"/>
  <c r="LB203" i="7"/>
  <c r="LA203" i="7"/>
  <c r="KY203" i="7"/>
  <c r="KX203" i="7"/>
  <c r="KS203" i="7"/>
  <c r="KT203" i="7" s="1"/>
  <c r="KO203" i="7"/>
  <c r="KN203" i="7"/>
  <c r="LS203" i="7" s="1"/>
  <c r="LT203" i="7" s="1"/>
  <c r="KI203" i="7"/>
  <c r="KJ203" i="7" s="1"/>
  <c r="KE203" i="7"/>
  <c r="KD203" i="7"/>
  <c r="JY203" i="7"/>
  <c r="LO203" i="7" s="1"/>
  <c r="LP203" i="7" s="1"/>
  <c r="JU203" i="7"/>
  <c r="JT203" i="7"/>
  <c r="JO203" i="7"/>
  <c r="JP203" i="7" s="1"/>
  <c r="JK203" i="7"/>
  <c r="JJ203" i="7"/>
  <c r="LC203" i="7" s="1"/>
  <c r="LD203" i="7" s="1"/>
  <c r="HY203" i="7"/>
  <c r="HX203" i="7"/>
  <c r="HW203" i="7"/>
  <c r="HV203" i="7"/>
  <c r="EU203" i="7"/>
  <c r="EV203" i="7" s="1"/>
  <c r="ET203" i="7"/>
  <c r="ES203" i="7"/>
  <c r="ER203" i="7"/>
  <c r="VQ202" i="7"/>
  <c r="VP202" i="7"/>
  <c r="VO202" i="7"/>
  <c r="VL202" i="7"/>
  <c r="VK202" i="7"/>
  <c r="VJ202" i="7"/>
  <c r="VI202" i="7"/>
  <c r="VN202" i="7" s="1"/>
  <c r="VG202" i="7"/>
  <c r="VH202" i="7" s="1"/>
  <c r="VF202" i="7"/>
  <c r="VE202" i="7"/>
  <c r="VD202" i="7"/>
  <c r="VA202" i="7"/>
  <c r="UZ202" i="7"/>
  <c r="UY202" i="7"/>
  <c r="UV202" i="7"/>
  <c r="UU202" i="7"/>
  <c r="UI202" i="7"/>
  <c r="UH202" i="7"/>
  <c r="UW202" i="7" s="1"/>
  <c r="UX202" i="7" s="1"/>
  <c r="SY202" i="7"/>
  <c r="ST202" i="7"/>
  <c r="SO202" i="7"/>
  <c r="VB202" i="7" s="1"/>
  <c r="SI202" i="7"/>
  <c r="SH202" i="7"/>
  <c r="SG202" i="7"/>
  <c r="SD202" i="7"/>
  <c r="SC202" i="7"/>
  <c r="SB202" i="7"/>
  <c r="SA202" i="7"/>
  <c r="SF202" i="7" s="1"/>
  <c r="RY202" i="7"/>
  <c r="RZ202" i="7" s="1"/>
  <c r="RX202" i="7"/>
  <c r="RW202" i="7"/>
  <c r="RV202" i="7"/>
  <c r="RS202" i="7"/>
  <c r="RR202" i="7"/>
  <c r="RQ202" i="7"/>
  <c r="RN202" i="7"/>
  <c r="RM202" i="7"/>
  <c r="RL202" i="7"/>
  <c r="PQ202" i="7"/>
  <c r="RO202" i="7" s="1"/>
  <c r="PL202" i="7"/>
  <c r="PG202" i="7"/>
  <c r="RT202" i="7" s="1"/>
  <c r="PA202" i="7"/>
  <c r="OZ202" i="7"/>
  <c r="OY202" i="7"/>
  <c r="OX202" i="7"/>
  <c r="OV202" i="7"/>
  <c r="OU202" i="7"/>
  <c r="OT202" i="7"/>
  <c r="OS202" i="7"/>
  <c r="OQ202" i="7"/>
  <c r="OR202" i="7" s="1"/>
  <c r="OP202" i="7"/>
  <c r="OO202" i="7"/>
  <c r="ON202" i="7"/>
  <c r="OK202" i="7"/>
  <c r="OJ202" i="7"/>
  <c r="OI202" i="7"/>
  <c r="OF202" i="7"/>
  <c r="OE202" i="7"/>
  <c r="OD202" i="7"/>
  <c r="MI202" i="7"/>
  <c r="OG202" i="7" s="1"/>
  <c r="MD202" i="7"/>
  <c r="LY202" i="7"/>
  <c r="OL202" i="7" s="1"/>
  <c r="LR202" i="7"/>
  <c r="LQ202" i="7"/>
  <c r="LO202" i="7"/>
  <c r="LN202" i="7"/>
  <c r="LM202" i="7"/>
  <c r="LK202" i="7"/>
  <c r="LL202" i="7" s="1"/>
  <c r="LJ202" i="7"/>
  <c r="LI202" i="7"/>
  <c r="LG202" i="7"/>
  <c r="LF202" i="7"/>
  <c r="LE202" i="7"/>
  <c r="LB202" i="7"/>
  <c r="LA202" i="7"/>
  <c r="KX202" i="7"/>
  <c r="KS202" i="7"/>
  <c r="KN202" i="7"/>
  <c r="LS202" i="7" s="1"/>
  <c r="KI202" i="7"/>
  <c r="KD202" i="7"/>
  <c r="JT202" i="7"/>
  <c r="JP202" i="7"/>
  <c r="JO202" i="7"/>
  <c r="JJ202" i="7"/>
  <c r="JK202" i="7" s="1"/>
  <c r="HY202" i="7"/>
  <c r="HX202" i="7"/>
  <c r="HW202" i="7"/>
  <c r="HV202" i="7"/>
  <c r="EV202" i="7"/>
  <c r="EU202" i="7"/>
  <c r="ET202" i="7"/>
  <c r="ES202" i="7"/>
  <c r="ER202" i="7"/>
  <c r="VP201" i="7"/>
  <c r="VO201" i="7"/>
  <c r="VL201" i="7"/>
  <c r="VK201" i="7"/>
  <c r="VJ201" i="7"/>
  <c r="VI201" i="7"/>
  <c r="VN201" i="7" s="1"/>
  <c r="VN211" i="7" s="1"/>
  <c r="VG201" i="7"/>
  <c r="VF201" i="7"/>
  <c r="VH201" i="7" s="1"/>
  <c r="VE201" i="7"/>
  <c r="VD201" i="7"/>
  <c r="VA201" i="7"/>
  <c r="UZ201" i="7"/>
  <c r="UY201" i="7"/>
  <c r="UV201" i="7"/>
  <c r="UU201" i="7"/>
  <c r="UH201" i="7"/>
  <c r="VQ201" i="7" s="1"/>
  <c r="SY201" i="7"/>
  <c r="ST201" i="7"/>
  <c r="SO201" i="7"/>
  <c r="VB201" i="7" s="1"/>
  <c r="SI201" i="7"/>
  <c r="SH201" i="7"/>
  <c r="SG201" i="7"/>
  <c r="SD201" i="7"/>
  <c r="SC201" i="7"/>
  <c r="SB201" i="7"/>
  <c r="SA201" i="7"/>
  <c r="SF201" i="7" s="1"/>
  <c r="SF211" i="7" s="1"/>
  <c r="RY201" i="7"/>
  <c r="RZ201" i="7" s="1"/>
  <c r="RX201" i="7"/>
  <c r="RW201" i="7"/>
  <c r="RV201" i="7"/>
  <c r="RS201" i="7"/>
  <c r="RR201" i="7"/>
  <c r="RQ201" i="7"/>
  <c r="RN201" i="7"/>
  <c r="RM201" i="7"/>
  <c r="RL201" i="7"/>
  <c r="RL211" i="7" s="1"/>
  <c r="PQ201" i="7"/>
  <c r="RT201" i="7" s="1"/>
  <c r="PL201" i="7"/>
  <c r="PG201" i="7"/>
  <c r="PA201" i="7"/>
  <c r="OZ201" i="7"/>
  <c r="OY201" i="7"/>
  <c r="OX201" i="7"/>
  <c r="OV201" i="7"/>
  <c r="OU201" i="7"/>
  <c r="OT201" i="7"/>
  <c r="OS201" i="7"/>
  <c r="OQ201" i="7"/>
  <c r="OR201" i="7" s="1"/>
  <c r="OP201" i="7"/>
  <c r="OO201" i="7"/>
  <c r="ON201" i="7"/>
  <c r="OK201" i="7"/>
  <c r="OJ201" i="7"/>
  <c r="OI201" i="7"/>
  <c r="OF201" i="7"/>
  <c r="OE201" i="7"/>
  <c r="OD201" i="7"/>
  <c r="OD211" i="7" s="1"/>
  <c r="MI201" i="7"/>
  <c r="OL201" i="7" s="1"/>
  <c r="MD201" i="7"/>
  <c r="LY201" i="7"/>
  <c r="LR201" i="7"/>
  <c r="LQ201" i="7"/>
  <c r="LN201" i="7"/>
  <c r="LM201" i="7"/>
  <c r="LJ201" i="7"/>
  <c r="LI201" i="7"/>
  <c r="LF201" i="7"/>
  <c r="LE201" i="7"/>
  <c r="LB201" i="7"/>
  <c r="LA201" i="7"/>
  <c r="KX201" i="7"/>
  <c r="KS201" i="7"/>
  <c r="KN201" i="7"/>
  <c r="LS201" i="7" s="1"/>
  <c r="KI201" i="7"/>
  <c r="KD201" i="7"/>
  <c r="KE201" i="7" s="1"/>
  <c r="JZ201" i="7"/>
  <c r="JY201" i="7"/>
  <c r="JT201" i="7"/>
  <c r="JU201" i="7" s="1"/>
  <c r="JP201" i="7"/>
  <c r="JO201" i="7"/>
  <c r="JJ201" i="7"/>
  <c r="JK201" i="7" s="1"/>
  <c r="JF201" i="7"/>
  <c r="JE201" i="7"/>
  <c r="IZ201" i="7"/>
  <c r="JA201" i="7" s="1"/>
  <c r="IV201" i="7"/>
  <c r="IU201" i="7"/>
  <c r="IN201" i="7"/>
  <c r="IM201" i="7"/>
  <c r="IJ201" i="7"/>
  <c r="II201" i="7"/>
  <c r="IF201" i="7"/>
  <c r="IE201" i="7"/>
  <c r="IB201" i="7"/>
  <c r="IA201" i="7"/>
  <c r="HX201" i="7"/>
  <c r="HW201" i="7"/>
  <c r="HV201" i="7"/>
  <c r="HT201" i="7"/>
  <c r="HU201" i="7" s="1"/>
  <c r="HP201" i="7"/>
  <c r="HO201" i="7"/>
  <c r="HJ201" i="7"/>
  <c r="HK201" i="7" s="1"/>
  <c r="HF201" i="7"/>
  <c r="HE201" i="7"/>
  <c r="GZ201" i="7"/>
  <c r="HA201" i="7" s="1"/>
  <c r="GV201" i="7"/>
  <c r="GU201" i="7"/>
  <c r="GP201" i="7"/>
  <c r="GQ201" i="7" s="1"/>
  <c r="GL201" i="7"/>
  <c r="GK201" i="7"/>
  <c r="GF201" i="7"/>
  <c r="GG201" i="7" s="1"/>
  <c r="GB201" i="7"/>
  <c r="FZ201" i="7"/>
  <c r="FY201" i="7"/>
  <c r="GA201" i="7" s="1"/>
  <c r="IC201" i="7" s="1"/>
  <c r="ID201" i="7" s="1"/>
  <c r="FW201" i="7"/>
  <c r="FV201" i="7"/>
  <c r="HY201" i="7" s="1"/>
  <c r="FL201" i="7"/>
  <c r="FK201" i="7"/>
  <c r="FI201" i="7"/>
  <c r="EU201" i="7"/>
  <c r="EV201" i="7" s="1"/>
  <c r="ET201" i="7"/>
  <c r="ES201" i="7"/>
  <c r="ER201" i="7"/>
  <c r="VQ200" i="7"/>
  <c r="VR200" i="7" s="1"/>
  <c r="VP200" i="7"/>
  <c r="VO200" i="7"/>
  <c r="VL200" i="7"/>
  <c r="VM200" i="7" s="1"/>
  <c r="VK200" i="7"/>
  <c r="VJ200" i="7"/>
  <c r="VI200" i="7"/>
  <c r="VH200" i="7"/>
  <c r="VF200" i="7"/>
  <c r="VE200" i="7"/>
  <c r="VD200" i="7"/>
  <c r="VA200" i="7"/>
  <c r="UZ200" i="7"/>
  <c r="UY200" i="7"/>
  <c r="UV200" i="7"/>
  <c r="UU200" i="7"/>
  <c r="US200" i="7"/>
  <c r="UR200" i="7"/>
  <c r="UM200" i="7"/>
  <c r="UN200" i="7" s="1"/>
  <c r="UI200" i="7"/>
  <c r="UH200" i="7"/>
  <c r="UC200" i="7"/>
  <c r="UD200" i="7" s="1"/>
  <c r="TY200" i="7"/>
  <c r="TX200" i="7"/>
  <c r="TS200" i="7"/>
  <c r="TN200" i="7"/>
  <c r="TD200" i="7"/>
  <c r="VG200" i="7" s="1"/>
  <c r="SY200" i="7"/>
  <c r="ST200" i="7"/>
  <c r="SO200" i="7"/>
  <c r="VB200" i="7" s="1"/>
  <c r="SH200" i="7"/>
  <c r="SG200" i="7"/>
  <c r="SC200" i="7"/>
  <c r="SB200" i="7"/>
  <c r="SA200" i="7"/>
  <c r="RX200" i="7"/>
  <c r="RW200" i="7"/>
  <c r="RV200" i="7"/>
  <c r="RS200" i="7"/>
  <c r="RR200" i="7"/>
  <c r="RQ200" i="7"/>
  <c r="RN200" i="7"/>
  <c r="RM200" i="7"/>
  <c r="RJ200" i="7"/>
  <c r="RK200" i="7" s="1"/>
  <c r="RF200" i="7"/>
  <c r="RE200" i="7"/>
  <c r="QZ200" i="7"/>
  <c r="QV200" i="7"/>
  <c r="QU200" i="7"/>
  <c r="QP200" i="7"/>
  <c r="QQ200" i="7" s="1"/>
  <c r="QK200" i="7"/>
  <c r="QF200" i="7"/>
  <c r="PV200" i="7"/>
  <c r="RY200" i="7" s="1"/>
  <c r="PQ200" i="7"/>
  <c r="RT200" i="7" s="1"/>
  <c r="PL200" i="7"/>
  <c r="PG200" i="7"/>
  <c r="OZ200" i="7"/>
  <c r="OY200" i="7"/>
  <c r="OX200" i="7"/>
  <c r="OU200" i="7"/>
  <c r="OT200" i="7"/>
  <c r="OS200" i="7"/>
  <c r="OP200" i="7"/>
  <c r="OO200" i="7"/>
  <c r="ON200" i="7"/>
  <c r="OK200" i="7"/>
  <c r="OJ200" i="7"/>
  <c r="OI200" i="7"/>
  <c r="OE200" i="7"/>
  <c r="OB200" i="7"/>
  <c r="OC200" i="7" s="1"/>
  <c r="NX200" i="7"/>
  <c r="NW200" i="7"/>
  <c r="NR200" i="7"/>
  <c r="NS200" i="7" s="1"/>
  <c r="NN200" i="7"/>
  <c r="NM200" i="7"/>
  <c r="NH200" i="7"/>
  <c r="NI200" i="7" s="1"/>
  <c r="ND200" i="7"/>
  <c r="NC200" i="7"/>
  <c r="MX200" i="7"/>
  <c r="MY200" i="7" s="1"/>
  <c r="MT200" i="7"/>
  <c r="MS200" i="7"/>
  <c r="MN200" i="7"/>
  <c r="MM200" i="7"/>
  <c r="MM211" i="7" s="1"/>
  <c r="MI200" i="7"/>
  <c r="MJ200" i="7" s="1"/>
  <c r="ME200" i="7"/>
  <c r="MD200" i="7"/>
  <c r="LY200" i="7"/>
  <c r="LZ200" i="7" s="1"/>
  <c r="LR200" i="7"/>
  <c r="LQ200" i="7"/>
  <c r="LO200" i="7"/>
  <c r="LN200" i="7"/>
  <c r="LM200" i="7"/>
  <c r="LK200" i="7"/>
  <c r="LJ200" i="7"/>
  <c r="LI200" i="7"/>
  <c r="LG200" i="7"/>
  <c r="LF200" i="7"/>
  <c r="LE200" i="7"/>
  <c r="LB200" i="7"/>
  <c r="LA200" i="7"/>
  <c r="KY200" i="7"/>
  <c r="KX200" i="7"/>
  <c r="KS200" i="7"/>
  <c r="KT200" i="7" s="1"/>
  <c r="KN200" i="7"/>
  <c r="KI200" i="7"/>
  <c r="HY200" i="7"/>
  <c r="HX200" i="7"/>
  <c r="HW200" i="7"/>
  <c r="HV200" i="7"/>
  <c r="EU200" i="7"/>
  <c r="EV200" i="7" s="1"/>
  <c r="ET200" i="7"/>
  <c r="ES200" i="7"/>
  <c r="ER200" i="7"/>
  <c r="VP199" i="7"/>
  <c r="VO199" i="7"/>
  <c r="VM199" i="7"/>
  <c r="VL199" i="7"/>
  <c r="VK199" i="7"/>
  <c r="VJ199" i="7"/>
  <c r="VI199" i="7"/>
  <c r="VF199" i="7"/>
  <c r="VE199" i="7"/>
  <c r="VA199" i="7"/>
  <c r="UZ199" i="7"/>
  <c r="UY199" i="7"/>
  <c r="UV199" i="7"/>
  <c r="UU199" i="7"/>
  <c r="US199" i="7"/>
  <c r="UR199" i="7"/>
  <c r="UN199" i="7"/>
  <c r="UM199" i="7"/>
  <c r="VQ199" i="7" s="1"/>
  <c r="VR199" i="7" s="1"/>
  <c r="UI199" i="7"/>
  <c r="UH199" i="7"/>
  <c r="TD199" i="7"/>
  <c r="VG199" i="7" s="1"/>
  <c r="VH199" i="7" s="1"/>
  <c r="SY199" i="7"/>
  <c r="ST199" i="7"/>
  <c r="SH199" i="7"/>
  <c r="SG199" i="7"/>
  <c r="SD199" i="7"/>
  <c r="SC199" i="7"/>
  <c r="SB199" i="7"/>
  <c r="SA199" i="7"/>
  <c r="RS199" i="7"/>
  <c r="RR199" i="7"/>
  <c r="RQ199" i="7"/>
  <c r="RN199" i="7"/>
  <c r="RM199" i="7"/>
  <c r="RJ199" i="7"/>
  <c r="RK199" i="7" s="1"/>
  <c r="RF199" i="7"/>
  <c r="RE199" i="7"/>
  <c r="PV199" i="7"/>
  <c r="PQ199" i="7"/>
  <c r="RT199" i="7" s="1"/>
  <c r="PL199" i="7"/>
  <c r="PA199" i="7"/>
  <c r="PB199" i="7" s="1"/>
  <c r="OZ199" i="7"/>
  <c r="OY199" i="7"/>
  <c r="OX199" i="7"/>
  <c r="OF199" i="7"/>
  <c r="OE199" i="7"/>
  <c r="OC199" i="7"/>
  <c r="OB199" i="7"/>
  <c r="OG199" i="7" s="1"/>
  <c r="OH199" i="7" s="1"/>
  <c r="VP198" i="7"/>
  <c r="VO198" i="7"/>
  <c r="VL198" i="7"/>
  <c r="VM198" i="7" s="1"/>
  <c r="VK198" i="7"/>
  <c r="VJ198" i="7"/>
  <c r="VI198" i="7"/>
  <c r="VG198" i="7"/>
  <c r="VH198" i="7" s="1"/>
  <c r="VF198" i="7"/>
  <c r="VE198" i="7"/>
  <c r="VA198" i="7"/>
  <c r="UZ198" i="7"/>
  <c r="UY198" i="7"/>
  <c r="UV198" i="7"/>
  <c r="UU198" i="7"/>
  <c r="UR198" i="7"/>
  <c r="US198" i="7" s="1"/>
  <c r="UN198" i="7"/>
  <c r="UM198" i="7"/>
  <c r="UH198" i="7"/>
  <c r="UW198" i="7" s="1"/>
  <c r="UX198" i="7" s="1"/>
  <c r="TD198" i="7"/>
  <c r="SY198" i="7"/>
  <c r="ST198" i="7"/>
  <c r="SO198" i="7"/>
  <c r="VB198" i="7" s="1"/>
  <c r="SH198" i="7"/>
  <c r="SG198" i="7"/>
  <c r="SE198" i="7"/>
  <c r="SD198" i="7"/>
  <c r="SC198" i="7"/>
  <c r="SB198" i="7"/>
  <c r="SA198" i="7"/>
  <c r="RS198" i="7"/>
  <c r="RR198" i="7"/>
  <c r="RQ198" i="7"/>
  <c r="RN198" i="7"/>
  <c r="RM198" i="7"/>
  <c r="RK198" i="7"/>
  <c r="RJ198" i="7"/>
  <c r="RO198" i="7" s="1"/>
  <c r="RP198" i="7" s="1"/>
  <c r="RF198" i="7"/>
  <c r="RE198" i="7"/>
  <c r="RA198" i="7"/>
  <c r="QZ198" i="7"/>
  <c r="SI198" i="7" s="1"/>
  <c r="SJ198" i="7" s="1"/>
  <c r="PV198" i="7"/>
  <c r="PQ198" i="7"/>
  <c r="PL198" i="7"/>
  <c r="PG198" i="7"/>
  <c r="RT198" i="7" s="1"/>
  <c r="OZ198" i="7"/>
  <c r="OY198" i="7"/>
  <c r="OX198" i="7"/>
  <c r="OF198" i="7"/>
  <c r="OE198" i="7"/>
  <c r="OC198" i="7"/>
  <c r="OB198" i="7"/>
  <c r="NW198" i="7"/>
  <c r="NX198" i="7" s="1"/>
  <c r="NS198" i="7"/>
  <c r="NR198" i="7"/>
  <c r="HY198" i="7"/>
  <c r="HX198" i="7"/>
  <c r="HW198" i="7"/>
  <c r="HV198" i="7"/>
  <c r="EU198" i="7"/>
  <c r="ET198" i="7"/>
  <c r="ES198" i="7"/>
  <c r="ER198" i="7"/>
  <c r="VL197" i="7"/>
  <c r="VM197" i="7" s="1"/>
  <c r="VK197" i="7"/>
  <c r="VJ197" i="7"/>
  <c r="VI197" i="7"/>
  <c r="VF197" i="7"/>
  <c r="VE197" i="7"/>
  <c r="VA197" i="7"/>
  <c r="UZ197" i="7"/>
  <c r="UY197" i="7"/>
  <c r="UV197" i="7"/>
  <c r="UU197" i="7"/>
  <c r="UM197" i="7"/>
  <c r="UN197" i="7" s="1"/>
  <c r="UI197" i="7"/>
  <c r="UH197" i="7"/>
  <c r="TD197" i="7"/>
  <c r="VG197" i="7" s="1"/>
  <c r="VH197" i="7" s="1"/>
  <c r="SY197" i="7"/>
  <c r="VB197" i="7" s="1"/>
  <c r="VC197" i="7" s="1"/>
  <c r="SE197" i="7"/>
  <c r="SD197" i="7"/>
  <c r="SC197" i="7"/>
  <c r="SB197" i="7"/>
  <c r="SA197" i="7"/>
  <c r="RS197" i="7"/>
  <c r="RR197" i="7"/>
  <c r="RQ197" i="7"/>
  <c r="RN197" i="7"/>
  <c r="RM197" i="7"/>
  <c r="RE197" i="7"/>
  <c r="RF197" i="7" s="1"/>
  <c r="PV197" i="7"/>
  <c r="PQ197" i="7"/>
  <c r="RT197" i="7" s="1"/>
  <c r="RU197" i="7" s="1"/>
  <c r="PA197" i="7"/>
  <c r="OZ197" i="7"/>
  <c r="OY197" i="7"/>
  <c r="OX197" i="7"/>
  <c r="VP196" i="7"/>
  <c r="VO196" i="7"/>
  <c r="VL196" i="7"/>
  <c r="VK196" i="7"/>
  <c r="VJ196" i="7"/>
  <c r="VI196" i="7"/>
  <c r="VF196" i="7"/>
  <c r="VE196" i="7"/>
  <c r="VD196" i="7"/>
  <c r="VA196" i="7"/>
  <c r="UZ196" i="7"/>
  <c r="UY196" i="7"/>
  <c r="UV196" i="7"/>
  <c r="UU196" i="7"/>
  <c r="UR196" i="7"/>
  <c r="UM196" i="7"/>
  <c r="UW196" i="7" s="1"/>
  <c r="UX196" i="7" s="1"/>
  <c r="UI196" i="7"/>
  <c r="UH196" i="7"/>
  <c r="TS196" i="7"/>
  <c r="TN196" i="7"/>
  <c r="TJ196" i="7"/>
  <c r="TI196" i="7"/>
  <c r="TD196" i="7"/>
  <c r="SO196" i="7"/>
  <c r="VB196" i="7" s="1"/>
  <c r="VC196" i="7" s="1"/>
  <c r="SH196" i="7"/>
  <c r="SG196" i="7"/>
  <c r="SD196" i="7"/>
  <c r="SC196" i="7"/>
  <c r="SB196" i="7"/>
  <c r="SA196" i="7"/>
  <c r="RX196" i="7"/>
  <c r="RW196" i="7"/>
  <c r="RV196" i="7"/>
  <c r="RS196" i="7"/>
  <c r="RR196" i="7"/>
  <c r="RQ196" i="7"/>
  <c r="RN196" i="7"/>
  <c r="RM196" i="7"/>
  <c r="RJ196" i="7"/>
  <c r="RE196" i="7"/>
  <c r="RO196" i="7" s="1"/>
  <c r="RP196" i="7" s="1"/>
  <c r="QZ196" i="7"/>
  <c r="QU196" i="7"/>
  <c r="QK196" i="7"/>
  <c r="QF196" i="7"/>
  <c r="QB196" i="7"/>
  <c r="QA196" i="7"/>
  <c r="PV196" i="7"/>
  <c r="PG196" i="7"/>
  <c r="RT196" i="7" s="1"/>
  <c r="RU196" i="7" s="1"/>
  <c r="OZ196" i="7"/>
  <c r="OY196" i="7"/>
  <c r="OX196" i="7"/>
  <c r="OU196" i="7"/>
  <c r="OT196" i="7"/>
  <c r="OS196" i="7"/>
  <c r="OP196" i="7"/>
  <c r="OO196" i="7"/>
  <c r="ON196" i="7"/>
  <c r="OL196" i="7"/>
  <c r="OM196" i="7" s="1"/>
  <c r="OK196" i="7"/>
  <c r="OJ196" i="7"/>
  <c r="OI196" i="7"/>
  <c r="OF196" i="7"/>
  <c r="OE196" i="7"/>
  <c r="OB196" i="7"/>
  <c r="OG196" i="7" s="1"/>
  <c r="OH196" i="7" s="1"/>
  <c r="NW196" i="7"/>
  <c r="NR196" i="7"/>
  <c r="NM196" i="7"/>
  <c r="NH196" i="7"/>
  <c r="NC196" i="7"/>
  <c r="MX196" i="7"/>
  <c r="MS196" i="7"/>
  <c r="MT196" i="7" s="1"/>
  <c r="MO196" i="7"/>
  <c r="MN196" i="7"/>
  <c r="OQ196" i="7" s="1"/>
  <c r="OR196" i="7" s="1"/>
  <c r="MJ196" i="7"/>
  <c r="LQ196" i="7"/>
  <c r="HY196" i="7"/>
  <c r="HX196" i="7"/>
  <c r="HW196" i="7"/>
  <c r="HV196" i="7"/>
  <c r="EV196" i="7"/>
  <c r="EU196" i="7"/>
  <c r="ET196" i="7"/>
  <c r="ES196" i="7"/>
  <c r="ER196" i="7"/>
  <c r="VP195" i="7"/>
  <c r="VO195" i="7"/>
  <c r="VM195" i="7"/>
  <c r="VL195" i="7"/>
  <c r="VK195" i="7"/>
  <c r="VJ195" i="7"/>
  <c r="VI195" i="7"/>
  <c r="VF195" i="7"/>
  <c r="VE195" i="7"/>
  <c r="VD195" i="7"/>
  <c r="VA195" i="7"/>
  <c r="UZ195" i="7"/>
  <c r="UY195" i="7"/>
  <c r="UV195" i="7"/>
  <c r="UU195" i="7"/>
  <c r="UR195" i="7"/>
  <c r="UM195" i="7"/>
  <c r="UW195" i="7" s="1"/>
  <c r="UX195" i="7" s="1"/>
  <c r="UI195" i="7"/>
  <c r="UH195" i="7"/>
  <c r="TN195" i="7"/>
  <c r="TJ195" i="7"/>
  <c r="TI195" i="7"/>
  <c r="TD195" i="7"/>
  <c r="ST195" i="7"/>
  <c r="VB195" i="7" s="1"/>
  <c r="VC195" i="7" s="1"/>
  <c r="SO195" i="7"/>
  <c r="SH195" i="7"/>
  <c r="SG195" i="7"/>
  <c r="SC195" i="7"/>
  <c r="SB195" i="7"/>
  <c r="SA195" i="7"/>
  <c r="RX195" i="7"/>
  <c r="RW195" i="7"/>
  <c r="RV195" i="7"/>
  <c r="RT195" i="7"/>
  <c r="RU195" i="7" s="1"/>
  <c r="RS195" i="7"/>
  <c r="RR195" i="7"/>
  <c r="RQ195" i="7"/>
  <c r="RN195" i="7"/>
  <c r="RM195" i="7"/>
  <c r="RJ195" i="7"/>
  <c r="RE195" i="7"/>
  <c r="QZ195" i="7"/>
  <c r="SI195" i="7" s="1"/>
  <c r="QU195" i="7"/>
  <c r="SD195" i="7" s="1"/>
  <c r="QF195" i="7"/>
  <c r="RY195" i="7" s="1"/>
  <c r="RZ195" i="7" s="1"/>
  <c r="QA195" i="7"/>
  <c r="QB195" i="7" s="1"/>
  <c r="PW195" i="7"/>
  <c r="PV195" i="7"/>
  <c r="PL195" i="7"/>
  <c r="PG195" i="7"/>
  <c r="OZ195" i="7"/>
  <c r="OY195" i="7"/>
  <c r="OX195" i="7"/>
  <c r="OU195" i="7"/>
  <c r="OT195" i="7"/>
  <c r="OS195" i="7"/>
  <c r="OO195" i="7"/>
  <c r="ON195" i="7"/>
  <c r="OK195" i="7"/>
  <c r="OJ195" i="7"/>
  <c r="OI195" i="7"/>
  <c r="OF195" i="7"/>
  <c r="OE195" i="7"/>
  <c r="OB195" i="7"/>
  <c r="NW195" i="7"/>
  <c r="OG195" i="7" s="1"/>
  <c r="OH195" i="7" s="1"/>
  <c r="NR195" i="7"/>
  <c r="PA195" i="7" s="1"/>
  <c r="NM195" i="7"/>
  <c r="NH195" i="7"/>
  <c r="NI195" i="7" s="1"/>
  <c r="ND195" i="7"/>
  <c r="NC195" i="7"/>
  <c r="MX195" i="7"/>
  <c r="MY195" i="7" s="1"/>
  <c r="MT195" i="7"/>
  <c r="MS195" i="7"/>
  <c r="MR195" i="7"/>
  <c r="MR211" i="7" s="1"/>
  <c r="MN195" i="7"/>
  <c r="OQ195" i="7" s="1"/>
  <c r="MI195" i="7"/>
  <c r="MJ195" i="7" s="1"/>
  <c r="ME195" i="7"/>
  <c r="MD195" i="7"/>
  <c r="LY195" i="7"/>
  <c r="LZ195" i="7" s="1"/>
  <c r="LQ195" i="7"/>
  <c r="KX195" i="7"/>
  <c r="HY195" i="7"/>
  <c r="HX195" i="7"/>
  <c r="HW195" i="7"/>
  <c r="HV195" i="7"/>
  <c r="EU195" i="7"/>
  <c r="ET195" i="7"/>
  <c r="ES195" i="7"/>
  <c r="ER195" i="7"/>
  <c r="VP194" i="7"/>
  <c r="VO194" i="7"/>
  <c r="VL194" i="7"/>
  <c r="VM194" i="7" s="1"/>
  <c r="VK194" i="7"/>
  <c r="VJ194" i="7"/>
  <c r="VI194" i="7"/>
  <c r="VH194" i="7"/>
  <c r="VG194" i="7"/>
  <c r="VF194" i="7"/>
  <c r="VE194" i="7"/>
  <c r="VB194" i="7"/>
  <c r="VA194" i="7"/>
  <c r="UZ194" i="7"/>
  <c r="UY194" i="7"/>
  <c r="UV194" i="7"/>
  <c r="UU194" i="7"/>
  <c r="US194" i="7"/>
  <c r="UR194" i="7"/>
  <c r="UW194" i="7" s="1"/>
  <c r="UX194" i="7" s="1"/>
  <c r="UM194" i="7"/>
  <c r="UN194" i="7" s="1"/>
  <c r="UH194" i="7"/>
  <c r="VQ194" i="7" s="1"/>
  <c r="VR194" i="7" s="1"/>
  <c r="TD194" i="7"/>
  <c r="ST194" i="7"/>
  <c r="SO194" i="7"/>
  <c r="SJ194" i="7"/>
  <c r="SH194" i="7"/>
  <c r="SG194" i="7"/>
  <c r="SE194" i="7"/>
  <c r="SD194" i="7"/>
  <c r="SC194" i="7"/>
  <c r="SB194" i="7"/>
  <c r="SA194" i="7"/>
  <c r="RS194" i="7"/>
  <c r="RR194" i="7"/>
  <c r="RQ194" i="7"/>
  <c r="RN194" i="7"/>
  <c r="RM194" i="7"/>
  <c r="RJ194" i="7"/>
  <c r="RK194" i="7" s="1"/>
  <c r="RF194" i="7"/>
  <c r="RE194" i="7"/>
  <c r="SI194" i="7" s="1"/>
  <c r="PV194" i="7"/>
  <c r="PL194" i="7"/>
  <c r="PG194" i="7"/>
  <c r="RT194" i="7" s="1"/>
  <c r="OZ194" i="7"/>
  <c r="OY194" i="7"/>
  <c r="OX194" i="7"/>
  <c r="OS194" i="7"/>
  <c r="OG194" i="7"/>
  <c r="OH194" i="7" s="1"/>
  <c r="OF194" i="7"/>
  <c r="OE194" i="7"/>
  <c r="OB194" i="7"/>
  <c r="OC194" i="7" s="1"/>
  <c r="NX194" i="7"/>
  <c r="NW194" i="7"/>
  <c r="VQ193" i="7"/>
  <c r="VR193" i="7" s="1"/>
  <c r="VP193" i="7"/>
  <c r="VO193" i="7"/>
  <c r="VK193" i="7"/>
  <c r="VJ193" i="7"/>
  <c r="VI193" i="7"/>
  <c r="VG193" i="7"/>
  <c r="VH193" i="7" s="1"/>
  <c r="VF193" i="7"/>
  <c r="VE193" i="7"/>
  <c r="VA193" i="7"/>
  <c r="UZ193" i="7"/>
  <c r="UY193" i="7"/>
  <c r="UV193" i="7"/>
  <c r="UU193" i="7"/>
  <c r="US193" i="7"/>
  <c r="UR193" i="7"/>
  <c r="UM193" i="7"/>
  <c r="UN193" i="7" s="1"/>
  <c r="UI193" i="7"/>
  <c r="UH193" i="7"/>
  <c r="UC193" i="7"/>
  <c r="UD193" i="7" s="1"/>
  <c r="TY193" i="7"/>
  <c r="TX193" i="7"/>
  <c r="TD193" i="7"/>
  <c r="ST193" i="7"/>
  <c r="VB193" i="7" s="1"/>
  <c r="VC193" i="7" s="1"/>
  <c r="SH193" i="7"/>
  <c r="SG193" i="7"/>
  <c r="SC193" i="7"/>
  <c r="SB193" i="7"/>
  <c r="SA193" i="7"/>
  <c r="RS193" i="7"/>
  <c r="RR193" i="7"/>
  <c r="RQ193" i="7"/>
  <c r="RN193" i="7"/>
  <c r="RM193" i="7"/>
  <c r="RJ193" i="7"/>
  <c r="RK193" i="7" s="1"/>
  <c r="RF193" i="7"/>
  <c r="RE193" i="7"/>
  <c r="QZ193" i="7"/>
  <c r="QV193" i="7"/>
  <c r="QU193" i="7"/>
  <c r="QP193" i="7"/>
  <c r="QQ193" i="7" s="1"/>
  <c r="PV193" i="7"/>
  <c r="PL193" i="7"/>
  <c r="RT193" i="7" s="1"/>
  <c r="RU193" i="7" s="1"/>
  <c r="OZ193" i="7"/>
  <c r="OY193" i="7"/>
  <c r="OX193" i="7"/>
  <c r="OU193" i="7"/>
  <c r="OT193" i="7"/>
  <c r="OS193" i="7"/>
  <c r="OF193" i="7"/>
  <c r="OE193" i="7"/>
  <c r="OC193" i="7"/>
  <c r="OB193" i="7"/>
  <c r="NW193" i="7"/>
  <c r="NX193" i="7" s="1"/>
  <c r="NS193" i="7"/>
  <c r="NR193" i="7"/>
  <c r="NM193" i="7"/>
  <c r="NN193" i="7" s="1"/>
  <c r="NI193" i="7"/>
  <c r="NH193" i="7"/>
  <c r="HY193" i="7"/>
  <c r="HX193" i="7"/>
  <c r="HW193" i="7"/>
  <c r="HV193" i="7"/>
  <c r="EU193" i="7"/>
  <c r="ET193" i="7"/>
  <c r="ES193" i="7"/>
  <c r="ER193" i="7"/>
  <c r="VL192" i="7"/>
  <c r="VM192" i="7" s="1"/>
  <c r="VK192" i="7"/>
  <c r="VJ192" i="7"/>
  <c r="VI192" i="7"/>
  <c r="VF192" i="7"/>
  <c r="VE192" i="7"/>
  <c r="VA192" i="7"/>
  <c r="UZ192" i="7"/>
  <c r="UY192" i="7"/>
  <c r="UV192" i="7"/>
  <c r="UU192" i="7"/>
  <c r="UM192" i="7"/>
  <c r="UN192" i="7" s="1"/>
  <c r="UI192" i="7"/>
  <c r="UH192" i="7"/>
  <c r="TD192" i="7"/>
  <c r="VG192" i="7" s="1"/>
  <c r="VH192" i="7" s="1"/>
  <c r="ST192" i="7"/>
  <c r="VB192" i="7" s="1"/>
  <c r="VC192" i="7" s="1"/>
  <c r="SE192" i="7"/>
  <c r="SD192" i="7"/>
  <c r="SC192" i="7"/>
  <c r="SB192" i="7"/>
  <c r="SA192" i="7"/>
  <c r="RS192" i="7"/>
  <c r="RR192" i="7"/>
  <c r="RQ192" i="7"/>
  <c r="RN192" i="7"/>
  <c r="RM192" i="7"/>
  <c r="RE192" i="7"/>
  <c r="RF192" i="7" s="1"/>
  <c r="PV192" i="7"/>
  <c r="PL192" i="7"/>
  <c r="RT192" i="7" s="1"/>
  <c r="RU192" i="7" s="1"/>
  <c r="PA192" i="7"/>
  <c r="OZ192" i="7"/>
  <c r="OY192" i="7"/>
  <c r="OX192" i="7"/>
  <c r="VL191" i="7"/>
  <c r="VM191" i="7" s="1"/>
  <c r="VK191" i="7"/>
  <c r="VJ191" i="7"/>
  <c r="VI191" i="7"/>
  <c r="VG191" i="7"/>
  <c r="VH191" i="7" s="1"/>
  <c r="VF191" i="7"/>
  <c r="VE191" i="7"/>
  <c r="VA191" i="7"/>
  <c r="UZ191" i="7"/>
  <c r="UY191" i="7"/>
  <c r="UW191" i="7"/>
  <c r="UX191" i="7" s="1"/>
  <c r="UV191" i="7"/>
  <c r="UU191" i="7"/>
  <c r="UM191" i="7"/>
  <c r="UN191" i="7" s="1"/>
  <c r="UI191" i="7"/>
  <c r="UH191" i="7"/>
  <c r="TD191" i="7"/>
  <c r="SY191" i="7"/>
  <c r="VB191" i="7" s="1"/>
  <c r="SE191" i="7"/>
  <c r="SD191" i="7"/>
  <c r="SC191" i="7"/>
  <c r="SB191" i="7"/>
  <c r="SA191" i="7"/>
  <c r="RS191" i="7"/>
  <c r="RR191" i="7"/>
  <c r="RQ191" i="7"/>
  <c r="RN191" i="7"/>
  <c r="RM191" i="7"/>
  <c r="RF191" i="7"/>
  <c r="RE191" i="7"/>
  <c r="PV191" i="7"/>
  <c r="PQ191" i="7"/>
  <c r="RT191" i="7" s="1"/>
  <c r="PA191" i="7"/>
  <c r="OZ191" i="7"/>
  <c r="OY191" i="7"/>
  <c r="OX191" i="7"/>
  <c r="VP190" i="7"/>
  <c r="VO190" i="7"/>
  <c r="VL190" i="7"/>
  <c r="VK190" i="7"/>
  <c r="VM190" i="7" s="1"/>
  <c r="VJ190" i="7"/>
  <c r="VI190" i="7"/>
  <c r="VG190" i="7"/>
  <c r="VH190" i="7" s="1"/>
  <c r="VF190" i="7"/>
  <c r="VE190" i="7"/>
  <c r="VA190" i="7"/>
  <c r="UZ190" i="7"/>
  <c r="UY190" i="7"/>
  <c r="UV190" i="7"/>
  <c r="UU190" i="7"/>
  <c r="UR190" i="7"/>
  <c r="US190" i="7" s="1"/>
  <c r="UN190" i="7"/>
  <c r="UM190" i="7"/>
  <c r="UH190" i="7"/>
  <c r="UW190" i="7" s="1"/>
  <c r="UX190" i="7" s="1"/>
  <c r="TD190" i="7"/>
  <c r="SY190" i="7"/>
  <c r="SO190" i="7"/>
  <c r="VB190" i="7" s="1"/>
  <c r="SH190" i="7"/>
  <c r="SG190" i="7"/>
  <c r="SE190" i="7"/>
  <c r="SD190" i="7"/>
  <c r="SC190" i="7"/>
  <c r="SB190" i="7"/>
  <c r="SA190" i="7"/>
  <c r="RT190" i="7"/>
  <c r="RS190" i="7"/>
  <c r="RR190" i="7"/>
  <c r="RQ190" i="7"/>
  <c r="RN190" i="7"/>
  <c r="RM190" i="7"/>
  <c r="RK190" i="7"/>
  <c r="RJ190" i="7"/>
  <c r="RE190" i="7"/>
  <c r="RF190" i="7" s="1"/>
  <c r="PV190" i="7"/>
  <c r="PQ190" i="7"/>
  <c r="PG190" i="7"/>
  <c r="PB190" i="7"/>
  <c r="PA190" i="7"/>
  <c r="OZ190" i="7"/>
  <c r="OY190" i="7"/>
  <c r="OX190" i="7"/>
  <c r="OS190" i="7"/>
  <c r="OF190" i="7"/>
  <c r="OE190" i="7"/>
  <c r="OC190" i="7"/>
  <c r="OB190" i="7"/>
  <c r="OG190" i="7" s="1"/>
  <c r="VP189" i="7"/>
  <c r="VO189" i="7"/>
  <c r="VM189" i="7"/>
  <c r="VL189" i="7"/>
  <c r="VK189" i="7"/>
  <c r="VJ189" i="7"/>
  <c r="VI189" i="7"/>
  <c r="VF189" i="7"/>
  <c r="VE189" i="7"/>
  <c r="VB189" i="7"/>
  <c r="VA189" i="7"/>
  <c r="UZ189" i="7"/>
  <c r="UY189" i="7"/>
  <c r="UV189" i="7"/>
  <c r="UU189" i="7"/>
  <c r="US189" i="7"/>
  <c r="UR189" i="7"/>
  <c r="UW189" i="7" s="1"/>
  <c r="UX189" i="7" s="1"/>
  <c r="UM189" i="7"/>
  <c r="UN189" i="7" s="1"/>
  <c r="UI189" i="7"/>
  <c r="UH189" i="7"/>
  <c r="TD189" i="7"/>
  <c r="VG189" i="7" s="1"/>
  <c r="VH189" i="7" s="1"/>
  <c r="SY189" i="7"/>
  <c r="SO189" i="7"/>
  <c r="SH189" i="7"/>
  <c r="SG189" i="7"/>
  <c r="SD189" i="7"/>
  <c r="SC189" i="7"/>
  <c r="SB189" i="7"/>
  <c r="SA189" i="7"/>
  <c r="RS189" i="7"/>
  <c r="RR189" i="7"/>
  <c r="RQ189" i="7"/>
  <c r="RN189" i="7"/>
  <c r="RM189" i="7"/>
  <c r="RJ189" i="7"/>
  <c r="RK189" i="7" s="1"/>
  <c r="RF189" i="7"/>
  <c r="RE189" i="7"/>
  <c r="SI189" i="7" s="1"/>
  <c r="SJ189" i="7" s="1"/>
  <c r="PV189" i="7"/>
  <c r="PQ189" i="7"/>
  <c r="PG189" i="7"/>
  <c r="RT189" i="7" s="1"/>
  <c r="OZ189" i="7"/>
  <c r="OY189" i="7"/>
  <c r="OX189" i="7"/>
  <c r="OS189" i="7"/>
  <c r="OF189" i="7"/>
  <c r="OE189" i="7"/>
  <c r="OB189" i="7"/>
  <c r="OC189" i="7" s="1"/>
  <c r="NX189" i="7"/>
  <c r="NW189" i="7"/>
  <c r="PA189" i="7" s="1"/>
  <c r="PB189" i="7" s="1"/>
  <c r="VP188" i="7"/>
  <c r="VO188" i="7"/>
  <c r="VL188" i="7"/>
  <c r="VM188" i="7" s="1"/>
  <c r="VK188" i="7"/>
  <c r="VJ188" i="7"/>
  <c r="VI188" i="7"/>
  <c r="VH188" i="7"/>
  <c r="VF188" i="7"/>
  <c r="VE188" i="7"/>
  <c r="VA188" i="7"/>
  <c r="UZ188" i="7"/>
  <c r="UY188" i="7"/>
  <c r="UV188" i="7"/>
  <c r="UU188" i="7"/>
  <c r="US188" i="7"/>
  <c r="UR188" i="7"/>
  <c r="UM188" i="7"/>
  <c r="UN188" i="7" s="1"/>
  <c r="UI188" i="7"/>
  <c r="UH188" i="7"/>
  <c r="TD188" i="7"/>
  <c r="VG188" i="7" s="1"/>
  <c r="SY188" i="7"/>
  <c r="VB188" i="7" s="1"/>
  <c r="SO188" i="7"/>
  <c r="SH188" i="7"/>
  <c r="SG188" i="7"/>
  <c r="SD188" i="7"/>
  <c r="SE188" i="7" s="1"/>
  <c r="SC188" i="7"/>
  <c r="SB188" i="7"/>
  <c r="SA188" i="7"/>
  <c r="RS188" i="7"/>
  <c r="RR188" i="7"/>
  <c r="RQ188" i="7"/>
  <c r="RN188" i="7"/>
  <c r="RM188" i="7"/>
  <c r="RJ188" i="7"/>
  <c r="RK188" i="7" s="1"/>
  <c r="RF188" i="7"/>
  <c r="RE188" i="7"/>
  <c r="QZ188" i="7"/>
  <c r="PV188" i="7"/>
  <c r="PQ188" i="7"/>
  <c r="PG188" i="7"/>
  <c r="RT188" i="7" s="1"/>
  <c r="PA188" i="7"/>
  <c r="PB188" i="7" s="1"/>
  <c r="OZ188" i="7"/>
  <c r="OY188" i="7"/>
  <c r="OX188" i="7"/>
  <c r="OS188" i="7"/>
  <c r="OF188" i="7"/>
  <c r="OE188" i="7"/>
  <c r="OC188" i="7"/>
  <c r="OB188" i="7"/>
  <c r="OG188" i="7" s="1"/>
  <c r="OH188" i="7" s="1"/>
  <c r="NW188" i="7"/>
  <c r="NX188" i="7" s="1"/>
  <c r="NS188" i="7"/>
  <c r="NR188" i="7"/>
  <c r="HY188" i="7"/>
  <c r="HX188" i="7"/>
  <c r="HW188" i="7"/>
  <c r="HV188" i="7"/>
  <c r="EU188" i="7"/>
  <c r="EV188" i="7" s="1"/>
  <c r="ET188" i="7"/>
  <c r="ES188" i="7"/>
  <c r="ER188" i="7"/>
  <c r="VQ187" i="7"/>
  <c r="VP187" i="7"/>
  <c r="VO187" i="7"/>
  <c r="VK187" i="7"/>
  <c r="VJ187" i="7"/>
  <c r="VF187" i="7"/>
  <c r="VE187" i="7"/>
  <c r="VB187" i="7"/>
  <c r="VC187" i="7" s="1"/>
  <c r="VA187" i="7"/>
  <c r="UZ187" i="7"/>
  <c r="UY187" i="7"/>
  <c r="UV187" i="7"/>
  <c r="UU187" i="7"/>
  <c r="UM187" i="7"/>
  <c r="UH187" i="7"/>
  <c r="UI187" i="7" s="1"/>
  <c r="UC187" i="7"/>
  <c r="VL187" i="7" s="1"/>
  <c r="VM187" i="7" s="1"/>
  <c r="TX187" i="7"/>
  <c r="TY187" i="7" s="1"/>
  <c r="TT187" i="7"/>
  <c r="TS187" i="7"/>
  <c r="TN187" i="7"/>
  <c r="TO187" i="7" s="1"/>
  <c r="TI187" i="7"/>
  <c r="TJ187" i="7" s="1"/>
  <c r="TD187" i="7"/>
  <c r="TE187" i="7" s="1"/>
  <c r="SZ187" i="7"/>
  <c r="SY187" i="7"/>
  <c r="SH187" i="7"/>
  <c r="SG187" i="7"/>
  <c r="SE187" i="7"/>
  <c r="SC187" i="7"/>
  <c r="SB187" i="7"/>
  <c r="RW187" i="7"/>
  <c r="RS187" i="7"/>
  <c r="RR187" i="7"/>
  <c r="RQ187" i="7"/>
  <c r="RE187" i="7"/>
  <c r="QZ187" i="7"/>
  <c r="SI187" i="7" s="1"/>
  <c r="QU187" i="7"/>
  <c r="SD187" i="7" s="1"/>
  <c r="QP187" i="7"/>
  <c r="QQ187" i="7" s="1"/>
  <c r="QL187" i="7"/>
  <c r="QK187" i="7"/>
  <c r="QF187" i="7"/>
  <c r="QG187" i="7" s="1"/>
  <c r="QA187" i="7"/>
  <c r="QB187" i="7" s="1"/>
  <c r="PU187" i="7"/>
  <c r="PT187" i="7"/>
  <c r="RM187" i="7" s="1"/>
  <c r="PQ187" i="7"/>
  <c r="PR187" i="7" s="1"/>
  <c r="PM187" i="7"/>
  <c r="PL187" i="7"/>
  <c r="PJ187" i="7"/>
  <c r="PG187" i="7"/>
  <c r="PB187" i="7"/>
  <c r="OZ187" i="7"/>
  <c r="OY187" i="7"/>
  <c r="OX187" i="7"/>
  <c r="OF187" i="7"/>
  <c r="OE187" i="7"/>
  <c r="OB187" i="7"/>
  <c r="PA187" i="7" s="1"/>
  <c r="VP186" i="7"/>
  <c r="VO186" i="7"/>
  <c r="VK186" i="7"/>
  <c r="VJ186" i="7"/>
  <c r="VF186" i="7"/>
  <c r="VE186" i="7"/>
  <c r="VB186" i="7"/>
  <c r="VC186" i="7" s="1"/>
  <c r="VA186" i="7"/>
  <c r="UZ186" i="7"/>
  <c r="UY186" i="7"/>
  <c r="UV186" i="7"/>
  <c r="UU186" i="7"/>
  <c r="UR186" i="7"/>
  <c r="UW186" i="7" s="1"/>
  <c r="UX186" i="7" s="1"/>
  <c r="UM186" i="7"/>
  <c r="VQ186" i="7" s="1"/>
  <c r="UH186" i="7"/>
  <c r="UI186" i="7" s="1"/>
  <c r="UC186" i="7"/>
  <c r="VL186" i="7" s="1"/>
  <c r="VM186" i="7" s="1"/>
  <c r="TX186" i="7"/>
  <c r="TY186" i="7" s="1"/>
  <c r="TT186" i="7"/>
  <c r="TS186" i="7"/>
  <c r="TN186" i="7"/>
  <c r="TO186" i="7" s="1"/>
  <c r="TI186" i="7"/>
  <c r="VG186" i="7" s="1"/>
  <c r="VH186" i="7" s="1"/>
  <c r="TD186" i="7"/>
  <c r="TE186" i="7" s="1"/>
  <c r="SZ186" i="7"/>
  <c r="SY186" i="7"/>
  <c r="SH186" i="7"/>
  <c r="SG186" i="7"/>
  <c r="SC186" i="7"/>
  <c r="SB186" i="7"/>
  <c r="RX186" i="7"/>
  <c r="RW186" i="7"/>
  <c r="RQ186" i="7"/>
  <c r="RN186" i="7"/>
  <c r="RJ186" i="7"/>
  <c r="RE186" i="7"/>
  <c r="QZ186" i="7"/>
  <c r="SI186" i="7" s="1"/>
  <c r="QV186" i="7"/>
  <c r="QU186" i="7"/>
  <c r="QP186" i="7"/>
  <c r="QQ186" i="7" s="1"/>
  <c r="QK186" i="7"/>
  <c r="QL186" i="7" s="1"/>
  <c r="QF186" i="7"/>
  <c r="QG186" i="7" s="1"/>
  <c r="QA186" i="7"/>
  <c r="QB186" i="7" s="1"/>
  <c r="PV186" i="7"/>
  <c r="RY186" i="7" s="1"/>
  <c r="RZ186" i="7" s="1"/>
  <c r="PQ186" i="7"/>
  <c r="PR186" i="7" s="1"/>
  <c r="PL186" i="7"/>
  <c r="PM186" i="7" s="1"/>
  <c r="PF186" i="7"/>
  <c r="RS186" i="7" s="1"/>
  <c r="PE186" i="7"/>
  <c r="RM186" i="7" s="1"/>
  <c r="PA186" i="7"/>
  <c r="PB186" i="7" s="1"/>
  <c r="OZ186" i="7"/>
  <c r="OY186" i="7"/>
  <c r="OX186" i="7"/>
  <c r="OF186" i="7"/>
  <c r="OE186" i="7"/>
  <c r="OC186" i="7"/>
  <c r="OB186" i="7"/>
  <c r="OG186" i="7" s="1"/>
  <c r="OH186" i="7" s="1"/>
  <c r="NX186" i="7"/>
  <c r="NW186" i="7"/>
  <c r="NS186" i="7"/>
  <c r="NR186" i="7"/>
  <c r="NM186" i="7"/>
  <c r="NH186" i="7"/>
  <c r="KT186" i="7"/>
  <c r="KS186" i="7"/>
  <c r="KN186" i="7"/>
  <c r="KI186" i="7"/>
  <c r="VP185" i="7"/>
  <c r="VO185" i="7"/>
  <c r="VK185" i="7"/>
  <c r="VJ185" i="7"/>
  <c r="VG185" i="7"/>
  <c r="VH185" i="7" s="1"/>
  <c r="VF185" i="7"/>
  <c r="VE185" i="7"/>
  <c r="VB185" i="7"/>
  <c r="VC185" i="7" s="1"/>
  <c r="VA185" i="7"/>
  <c r="UZ185" i="7"/>
  <c r="UY185" i="7"/>
  <c r="UV185" i="7"/>
  <c r="UU185" i="7"/>
  <c r="UR185" i="7"/>
  <c r="VQ185" i="7" s="1"/>
  <c r="UM185" i="7"/>
  <c r="UI185" i="7"/>
  <c r="UH185" i="7"/>
  <c r="UC185" i="7"/>
  <c r="VL185" i="7" s="1"/>
  <c r="VM185" i="7" s="1"/>
  <c r="TX185" i="7"/>
  <c r="TT185" i="7"/>
  <c r="TS185" i="7"/>
  <c r="TO185" i="7"/>
  <c r="TN185" i="7"/>
  <c r="TJ185" i="7"/>
  <c r="TI185" i="7"/>
  <c r="TE185" i="7"/>
  <c r="TD185" i="7"/>
  <c r="SZ185" i="7"/>
  <c r="SY185" i="7"/>
  <c r="SH185" i="7"/>
  <c r="SG185" i="7"/>
  <c r="SC185" i="7"/>
  <c r="SB185" i="7"/>
  <c r="RX185" i="7"/>
  <c r="RW185" i="7"/>
  <c r="RQ185" i="7"/>
  <c r="RN185" i="7"/>
  <c r="RJ185" i="7"/>
  <c r="RE185" i="7"/>
  <c r="QZ185" i="7"/>
  <c r="SI185" i="7" s="1"/>
  <c r="QU185" i="7"/>
  <c r="QP185" i="7"/>
  <c r="SD185" i="7" s="1"/>
  <c r="SE185" i="7" s="1"/>
  <c r="QK185" i="7"/>
  <c r="QL185" i="7" s="1"/>
  <c r="QF185" i="7"/>
  <c r="QG185" i="7" s="1"/>
  <c r="QA185" i="7"/>
  <c r="QB185" i="7" s="1"/>
  <c r="PV185" i="7"/>
  <c r="PW185" i="7" s="1"/>
  <c r="PQ185" i="7"/>
  <c r="PR185" i="7" s="1"/>
  <c r="PK185" i="7"/>
  <c r="RS185" i="7" s="1"/>
  <c r="PJ185" i="7"/>
  <c r="RR185" i="7" s="1"/>
  <c r="PG185" i="7"/>
  <c r="PH185" i="7" s="1"/>
  <c r="OX185" i="7"/>
  <c r="OU185" i="7"/>
  <c r="OT185" i="7"/>
  <c r="OS185" i="7"/>
  <c r="OP185" i="7"/>
  <c r="OO185" i="7"/>
  <c r="ON185" i="7"/>
  <c r="OK185" i="7"/>
  <c r="OI185" i="7"/>
  <c r="OB185" i="7"/>
  <c r="OG185" i="7" s="1"/>
  <c r="NW185" i="7"/>
  <c r="NX185" i="7" s="1"/>
  <c r="NR185" i="7"/>
  <c r="PA185" i="7" s="1"/>
  <c r="NQ185" i="7"/>
  <c r="NQ211" i="7" s="1"/>
  <c r="NP185" i="7"/>
  <c r="NP211" i="7" s="1"/>
  <c r="NM185" i="7"/>
  <c r="OV185" i="7" s="1"/>
  <c r="OW185" i="7" s="1"/>
  <c r="NH185" i="7"/>
  <c r="NI185" i="7" s="1"/>
  <c r="NC185" i="7"/>
  <c r="ND185" i="7" s="1"/>
  <c r="MX185" i="7"/>
  <c r="MY185" i="7" s="1"/>
  <c r="MS185" i="7"/>
  <c r="MT185" i="7" s="1"/>
  <c r="MN185" i="7"/>
  <c r="MO185" i="7" s="1"/>
  <c r="MI185" i="7"/>
  <c r="MJ185" i="7" s="1"/>
  <c r="MG185" i="7"/>
  <c r="MG211" i="7" s="1"/>
  <c r="ME185" i="7"/>
  <c r="MD185" i="7"/>
  <c r="OL185" i="7" s="1"/>
  <c r="OM185" i="7" s="1"/>
  <c r="KS185" i="7"/>
  <c r="KN185" i="7"/>
  <c r="KI185" i="7"/>
  <c r="HY185" i="7"/>
  <c r="HX185" i="7"/>
  <c r="HW185" i="7"/>
  <c r="HV185" i="7"/>
  <c r="EU185" i="7"/>
  <c r="EV185" i="7" s="1"/>
  <c r="ET185" i="7"/>
  <c r="ES185" i="7"/>
  <c r="ER185" i="7"/>
  <c r="VP184" i="7"/>
  <c r="VO184" i="7"/>
  <c r="VK184" i="7"/>
  <c r="VJ184" i="7"/>
  <c r="VG184" i="7"/>
  <c r="VH184" i="7" s="1"/>
  <c r="VF184" i="7"/>
  <c r="VE184" i="7"/>
  <c r="VB184" i="7"/>
  <c r="VC184" i="7" s="1"/>
  <c r="VA184" i="7"/>
  <c r="UZ184" i="7"/>
  <c r="UY184" i="7"/>
  <c r="UV184" i="7"/>
  <c r="UU184" i="7"/>
  <c r="UR184" i="7"/>
  <c r="VQ184" i="7" s="1"/>
  <c r="UM184" i="7"/>
  <c r="UI184" i="7"/>
  <c r="UH184" i="7"/>
  <c r="UC184" i="7"/>
  <c r="VL184" i="7" s="1"/>
  <c r="VM184" i="7" s="1"/>
  <c r="TX184" i="7"/>
  <c r="TT184" i="7"/>
  <c r="TS184" i="7"/>
  <c r="TO184" i="7"/>
  <c r="TN184" i="7"/>
  <c r="TJ184" i="7"/>
  <c r="TI184" i="7"/>
  <c r="TE184" i="7"/>
  <c r="TD184" i="7"/>
  <c r="SZ184" i="7"/>
  <c r="SY184" i="7"/>
  <c r="SH184" i="7"/>
  <c r="SG184" i="7"/>
  <c r="SC184" i="7"/>
  <c r="SB184" i="7"/>
  <c r="RX184" i="7"/>
  <c r="RW184" i="7"/>
  <c r="RS184" i="7"/>
  <c r="RR184" i="7"/>
  <c r="RQ184" i="7"/>
  <c r="RN184" i="7"/>
  <c r="RM184" i="7"/>
  <c r="RJ184" i="7"/>
  <c r="SI184" i="7" s="1"/>
  <c r="RE184" i="7"/>
  <c r="QZ184" i="7"/>
  <c r="QU184" i="7"/>
  <c r="QP184" i="7"/>
  <c r="SD184" i="7" s="1"/>
  <c r="SE184" i="7" s="1"/>
  <c r="QK184" i="7"/>
  <c r="QL184" i="7" s="1"/>
  <c r="QF184" i="7"/>
  <c r="QG184" i="7" s="1"/>
  <c r="QA184" i="7"/>
  <c r="QB184" i="7" s="1"/>
  <c r="PV184" i="7"/>
  <c r="RY184" i="7" s="1"/>
  <c r="RZ184" i="7" s="1"/>
  <c r="PQ184" i="7"/>
  <c r="PR184" i="7" s="1"/>
  <c r="PL184" i="7"/>
  <c r="RT184" i="7" s="1"/>
  <c r="RU184" i="7" s="1"/>
  <c r="PG184" i="7"/>
  <c r="PH184" i="7" s="1"/>
  <c r="OZ184" i="7"/>
  <c r="OY184" i="7"/>
  <c r="OX184" i="7"/>
  <c r="OU184" i="7"/>
  <c r="OT184" i="7"/>
  <c r="OS184" i="7"/>
  <c r="OP184" i="7"/>
  <c r="OO184" i="7"/>
  <c r="ON184" i="7"/>
  <c r="OK184" i="7"/>
  <c r="OJ184" i="7"/>
  <c r="OI184" i="7"/>
  <c r="OF184" i="7"/>
  <c r="OE184" i="7"/>
  <c r="OB184" i="7"/>
  <c r="OG184" i="7" s="1"/>
  <c r="OH184" i="7" s="1"/>
  <c r="NW184" i="7"/>
  <c r="NX184" i="7" s="1"/>
  <c r="NR184" i="7"/>
  <c r="PA184" i="7" s="1"/>
  <c r="PB184" i="7" s="1"/>
  <c r="NM184" i="7"/>
  <c r="OV184" i="7" s="1"/>
  <c r="OW184" i="7" s="1"/>
  <c r="NH184" i="7"/>
  <c r="NI184" i="7" s="1"/>
  <c r="NC184" i="7"/>
  <c r="ND184" i="7" s="1"/>
  <c r="MX184" i="7"/>
  <c r="MY184" i="7" s="1"/>
  <c r="MS184" i="7"/>
  <c r="MT184" i="7" s="1"/>
  <c r="MN184" i="7"/>
  <c r="OQ184" i="7" s="1"/>
  <c r="OR184" i="7" s="1"/>
  <c r="MI184" i="7"/>
  <c r="MJ184" i="7" s="1"/>
  <c r="MD184" i="7"/>
  <c r="ME184" i="7" s="1"/>
  <c r="LY184" i="7"/>
  <c r="LZ184" i="7" s="1"/>
  <c r="LS184" i="7"/>
  <c r="LT184" i="7" s="1"/>
  <c r="LR184" i="7"/>
  <c r="LQ184" i="7"/>
  <c r="LO184" i="7"/>
  <c r="LP184" i="7" s="1"/>
  <c r="LN184" i="7"/>
  <c r="LM184" i="7"/>
  <c r="LK184" i="7"/>
  <c r="LL184" i="7" s="1"/>
  <c r="LJ184" i="7"/>
  <c r="LI184" i="7"/>
  <c r="LG184" i="7"/>
  <c r="LF184" i="7"/>
  <c r="LE184" i="7"/>
  <c r="LB184" i="7"/>
  <c r="LA184" i="7"/>
  <c r="KY184" i="7"/>
  <c r="KX184" i="7"/>
  <c r="KT184" i="7"/>
  <c r="KS184" i="7"/>
  <c r="KO184" i="7"/>
  <c r="KN184" i="7"/>
  <c r="KJ184" i="7"/>
  <c r="KI184" i="7"/>
  <c r="KE184" i="7"/>
  <c r="KD184" i="7"/>
  <c r="JZ184" i="7"/>
  <c r="JY184" i="7"/>
  <c r="JU184" i="7"/>
  <c r="JT184" i="7"/>
  <c r="JP184" i="7"/>
  <c r="JO184" i="7"/>
  <c r="LC184" i="7" s="1"/>
  <c r="LD184" i="7" s="1"/>
  <c r="HY184" i="7"/>
  <c r="HX184" i="7"/>
  <c r="HW184" i="7"/>
  <c r="HV184" i="7"/>
  <c r="EU184" i="7"/>
  <c r="ET184" i="7"/>
  <c r="EV184" i="7" s="1"/>
  <c r="ES184" i="7"/>
  <c r="ER184" i="7"/>
  <c r="VP183" i="7"/>
  <c r="VO183" i="7"/>
  <c r="VK183" i="7"/>
  <c r="VJ183" i="7"/>
  <c r="VF183" i="7"/>
  <c r="VE183" i="7"/>
  <c r="VB183" i="7"/>
  <c r="VC183" i="7" s="1"/>
  <c r="VA183" i="7"/>
  <c r="UZ183" i="7"/>
  <c r="UY183" i="7"/>
  <c r="UV183" i="7"/>
  <c r="UU183" i="7"/>
  <c r="UR183" i="7"/>
  <c r="UW183" i="7" s="1"/>
  <c r="UX183" i="7" s="1"/>
  <c r="UM183" i="7"/>
  <c r="UN183" i="7" s="1"/>
  <c r="UH183" i="7"/>
  <c r="VQ183" i="7" s="1"/>
  <c r="VR183" i="7" s="1"/>
  <c r="UC183" i="7"/>
  <c r="UD183" i="7" s="1"/>
  <c r="TX183" i="7"/>
  <c r="VL183" i="7" s="1"/>
  <c r="VM183" i="7" s="1"/>
  <c r="TS183" i="7"/>
  <c r="TT183" i="7" s="1"/>
  <c r="TN183" i="7"/>
  <c r="TO183" i="7" s="1"/>
  <c r="TI183" i="7"/>
  <c r="TJ183" i="7" s="1"/>
  <c r="TD183" i="7"/>
  <c r="VG183" i="7" s="1"/>
  <c r="VH183" i="7" s="1"/>
  <c r="SY183" i="7"/>
  <c r="SZ183" i="7" s="1"/>
  <c r="SH183" i="7"/>
  <c r="SG183" i="7"/>
  <c r="SC183" i="7"/>
  <c r="SB183" i="7"/>
  <c r="RX183" i="7"/>
  <c r="RW183" i="7"/>
  <c r="RS183" i="7"/>
  <c r="RR183" i="7"/>
  <c r="RQ183" i="7"/>
  <c r="RN183" i="7"/>
  <c r="RM183" i="7"/>
  <c r="RJ183" i="7"/>
  <c r="RO183" i="7" s="1"/>
  <c r="RP183" i="7" s="1"/>
  <c r="RE183" i="7"/>
  <c r="RF183" i="7" s="1"/>
  <c r="QZ183" i="7"/>
  <c r="SI183" i="7" s="1"/>
  <c r="SJ183" i="7" s="1"/>
  <c r="QU183" i="7"/>
  <c r="QV183" i="7" s="1"/>
  <c r="QP183" i="7"/>
  <c r="SD183" i="7" s="1"/>
  <c r="SE183" i="7" s="1"/>
  <c r="QK183" i="7"/>
  <c r="QL183" i="7" s="1"/>
  <c r="QF183" i="7"/>
  <c r="QG183" i="7" s="1"/>
  <c r="QA183" i="7"/>
  <c r="QB183" i="7" s="1"/>
  <c r="PV183" i="7"/>
  <c r="RY183" i="7" s="1"/>
  <c r="RZ183" i="7" s="1"/>
  <c r="PQ183" i="7"/>
  <c r="PR183" i="7" s="1"/>
  <c r="PL183" i="7"/>
  <c r="RT183" i="7" s="1"/>
  <c r="RU183" i="7" s="1"/>
  <c r="PG183" i="7"/>
  <c r="PH183" i="7" s="1"/>
  <c r="OZ183" i="7"/>
  <c r="OY183" i="7"/>
  <c r="OX183" i="7"/>
  <c r="OU183" i="7"/>
  <c r="OT183" i="7"/>
  <c r="OS183" i="7"/>
  <c r="OP183" i="7"/>
  <c r="OO183" i="7"/>
  <c r="ON183" i="7"/>
  <c r="OK183" i="7"/>
  <c r="OJ183" i="7"/>
  <c r="OI183" i="7"/>
  <c r="OF183" i="7"/>
  <c r="OE183" i="7"/>
  <c r="OB183" i="7"/>
  <c r="OG183" i="7" s="1"/>
  <c r="OH183" i="7" s="1"/>
  <c r="NW183" i="7"/>
  <c r="NX183" i="7" s="1"/>
  <c r="NR183" i="7"/>
  <c r="PA183" i="7" s="1"/>
  <c r="PB183" i="7" s="1"/>
  <c r="NM183" i="7"/>
  <c r="OV183" i="7" s="1"/>
  <c r="OW183" i="7" s="1"/>
  <c r="NH183" i="7"/>
  <c r="NI183" i="7" s="1"/>
  <c r="NC183" i="7"/>
  <c r="ND183" i="7" s="1"/>
  <c r="MX183" i="7"/>
  <c r="MY183" i="7" s="1"/>
  <c r="MS183" i="7"/>
  <c r="MT183" i="7" s="1"/>
  <c r="MN183" i="7"/>
  <c r="OQ183" i="7" s="1"/>
  <c r="OR183" i="7" s="1"/>
  <c r="MI183" i="7"/>
  <c r="MJ183" i="7" s="1"/>
  <c r="MD183" i="7"/>
  <c r="ME183" i="7" s="1"/>
  <c r="LY183" i="7"/>
  <c r="LZ183" i="7" s="1"/>
  <c r="LR183" i="7"/>
  <c r="LQ183" i="7"/>
  <c r="LN183" i="7"/>
  <c r="LM183" i="7"/>
  <c r="LJ183" i="7"/>
  <c r="LI183" i="7"/>
  <c r="LG183" i="7"/>
  <c r="LF183" i="7"/>
  <c r="LE183" i="7"/>
  <c r="LB183" i="7"/>
  <c r="LA183" i="7"/>
  <c r="KX183" i="7"/>
  <c r="KY183" i="7" s="1"/>
  <c r="KS183" i="7"/>
  <c r="LS183" i="7" s="1"/>
  <c r="LT183" i="7" s="1"/>
  <c r="KN183" i="7"/>
  <c r="KO183" i="7" s="1"/>
  <c r="KI183" i="7"/>
  <c r="LO183" i="7" s="1"/>
  <c r="LP183" i="7" s="1"/>
  <c r="KD183" i="7"/>
  <c r="JT183" i="7"/>
  <c r="LC183" i="7" s="1"/>
  <c r="LD183" i="7" s="1"/>
  <c r="JO183" i="7"/>
  <c r="LK183" i="7" s="1"/>
  <c r="HY183" i="7"/>
  <c r="HX183" i="7"/>
  <c r="HW183" i="7"/>
  <c r="HV183" i="7"/>
  <c r="HK183" i="7"/>
  <c r="HJ183" i="7"/>
  <c r="HF183" i="7"/>
  <c r="HE183" i="7"/>
  <c r="HA183" i="7"/>
  <c r="GZ183" i="7"/>
  <c r="GV183" i="7"/>
  <c r="GU183" i="7"/>
  <c r="GQ183" i="7"/>
  <c r="GP183" i="7"/>
  <c r="GL183" i="7"/>
  <c r="GK183" i="7"/>
  <c r="EV183" i="7"/>
  <c r="EU183" i="7"/>
  <c r="ET183" i="7"/>
  <c r="ES183" i="7"/>
  <c r="ER183" i="7"/>
  <c r="VP182" i="7"/>
  <c r="VO182" i="7"/>
  <c r="VM182" i="7"/>
  <c r="VL182" i="7"/>
  <c r="VK182" i="7"/>
  <c r="VJ182" i="7"/>
  <c r="VH182" i="7"/>
  <c r="VG182" i="7"/>
  <c r="VF182" i="7"/>
  <c r="VE182" i="7"/>
  <c r="VC182" i="7"/>
  <c r="VB182" i="7"/>
  <c r="VA182" i="7"/>
  <c r="UZ182" i="7"/>
  <c r="UY182" i="7"/>
  <c r="UW182" i="7"/>
  <c r="UX182" i="7" s="1"/>
  <c r="UV182" i="7"/>
  <c r="UU182" i="7"/>
  <c r="UR182" i="7"/>
  <c r="VQ182" i="7" s="1"/>
  <c r="UI182" i="7"/>
  <c r="UH182" i="7"/>
  <c r="SI182" i="7"/>
  <c r="SH182" i="7"/>
  <c r="SG182" i="7"/>
  <c r="SD182" i="7"/>
  <c r="SE182" i="7" s="1"/>
  <c r="SC182" i="7"/>
  <c r="SB182" i="7"/>
  <c r="RY182" i="7"/>
  <c r="RZ182" i="7" s="1"/>
  <c r="RX182" i="7"/>
  <c r="RW182" i="7"/>
  <c r="RV182" i="7"/>
  <c r="RV211" i="7" s="1"/>
  <c r="RU182" i="7"/>
  <c r="RT182" i="7"/>
  <c r="RS182" i="7"/>
  <c r="RR182" i="7"/>
  <c r="RQ182" i="7"/>
  <c r="RN182" i="7"/>
  <c r="RM182" i="7"/>
  <c r="RJ182" i="7"/>
  <c r="RO182" i="7" s="1"/>
  <c r="OZ182" i="7"/>
  <c r="OY182" i="7"/>
  <c r="OX182" i="7"/>
  <c r="OU182" i="7"/>
  <c r="OT182" i="7"/>
  <c r="OS182" i="7"/>
  <c r="OF182" i="7"/>
  <c r="OE182" i="7"/>
  <c r="OB182" i="7"/>
  <c r="OC182" i="7" s="1"/>
  <c r="NW182" i="7"/>
  <c r="NX182" i="7" s="1"/>
  <c r="NR182" i="7"/>
  <c r="NM182" i="7"/>
  <c r="HY182" i="7"/>
  <c r="HX182" i="7"/>
  <c r="HW182" i="7"/>
  <c r="HV182" i="7"/>
  <c r="EU182" i="7"/>
  <c r="EV182" i="7" s="1"/>
  <c r="ET182" i="7"/>
  <c r="ES182" i="7"/>
  <c r="ER182" i="7"/>
  <c r="VP181" i="7"/>
  <c r="VO181" i="7"/>
  <c r="VL181" i="7"/>
  <c r="VM181" i="7" s="1"/>
  <c r="VK181" i="7"/>
  <c r="VJ181" i="7"/>
  <c r="VG181" i="7"/>
  <c r="VH181" i="7" s="1"/>
  <c r="VF181" i="7"/>
  <c r="VE181" i="7"/>
  <c r="VB181" i="7"/>
  <c r="VC181" i="7" s="1"/>
  <c r="VA181" i="7"/>
  <c r="UZ181" i="7"/>
  <c r="UY181" i="7"/>
  <c r="UV181" i="7"/>
  <c r="UU181" i="7"/>
  <c r="UR181" i="7"/>
  <c r="UH181" i="7"/>
  <c r="UI181" i="7" s="1"/>
  <c r="SH181" i="7"/>
  <c r="SG181" i="7"/>
  <c r="SE181" i="7"/>
  <c r="SD181" i="7"/>
  <c r="SC181" i="7"/>
  <c r="SB181" i="7"/>
  <c r="RZ181" i="7"/>
  <c r="RY181" i="7"/>
  <c r="RX181" i="7"/>
  <c r="RW181" i="7"/>
  <c r="RU181" i="7"/>
  <c r="RT181" i="7"/>
  <c r="RS181" i="7"/>
  <c r="RR181" i="7"/>
  <c r="RQ181" i="7"/>
  <c r="RN181" i="7"/>
  <c r="RM181" i="7"/>
  <c r="RJ181" i="7"/>
  <c r="RO181" i="7" s="1"/>
  <c r="QZ181" i="7"/>
  <c r="SI181" i="7" s="1"/>
  <c r="PB181" i="7"/>
  <c r="OZ181" i="7"/>
  <c r="OY181" i="7"/>
  <c r="OX181" i="7"/>
  <c r="OV181" i="7"/>
  <c r="OW181" i="7" s="1"/>
  <c r="OU181" i="7"/>
  <c r="OT181" i="7"/>
  <c r="OS181" i="7"/>
  <c r="OR181" i="7"/>
  <c r="OP181" i="7"/>
  <c r="OO181" i="7"/>
  <c r="ON181" i="7"/>
  <c r="OJ181" i="7"/>
  <c r="OF181" i="7"/>
  <c r="OE181" i="7"/>
  <c r="OC181" i="7"/>
  <c r="OB181" i="7"/>
  <c r="OG181" i="7" s="1"/>
  <c r="OH181" i="7" s="1"/>
  <c r="NX181" i="7"/>
  <c r="NW181" i="7"/>
  <c r="NS181" i="7"/>
  <c r="NR181" i="7"/>
  <c r="PA181" i="7" s="1"/>
  <c r="NN181" i="7"/>
  <c r="NM181" i="7"/>
  <c r="NI181" i="7"/>
  <c r="NH181" i="7"/>
  <c r="ND181" i="7"/>
  <c r="NC181" i="7"/>
  <c r="MY181" i="7"/>
  <c r="MX181" i="7"/>
  <c r="OQ181" i="7" s="1"/>
  <c r="HY181" i="7"/>
  <c r="HX181" i="7"/>
  <c r="HW181" i="7"/>
  <c r="HV181" i="7"/>
  <c r="EU181" i="7"/>
  <c r="ET181" i="7"/>
  <c r="EV181" i="7" s="1"/>
  <c r="ES181" i="7"/>
  <c r="ER181" i="7"/>
  <c r="VL180" i="7"/>
  <c r="VK180" i="7"/>
  <c r="VJ180" i="7"/>
  <c r="VG180" i="7"/>
  <c r="VF180" i="7"/>
  <c r="VH180" i="7" s="1"/>
  <c r="VE180" i="7"/>
  <c r="UV180" i="7"/>
  <c r="UU180" i="7"/>
  <c r="UI180" i="7"/>
  <c r="UH180" i="7"/>
  <c r="UW180" i="7" s="1"/>
  <c r="UX180" i="7" s="1"/>
  <c r="UW179" i="7"/>
  <c r="UV179" i="7"/>
  <c r="UU179" i="7"/>
  <c r="VL178" i="7"/>
  <c r="VK178" i="7"/>
  <c r="VJ178" i="7"/>
  <c r="VF178" i="7"/>
  <c r="VC178" i="7"/>
  <c r="VB178" i="7"/>
  <c r="VA178" i="7"/>
  <c r="UZ178" i="7"/>
  <c r="UY178" i="7"/>
  <c r="UW178" i="7"/>
  <c r="UX178" i="7" s="1"/>
  <c r="UV178" i="7"/>
  <c r="UU178" i="7"/>
  <c r="TD178" i="7"/>
  <c r="TB178" i="7"/>
  <c r="VE178" i="7" s="1"/>
  <c r="RO178" i="7"/>
  <c r="RN178" i="7"/>
  <c r="RM178" i="7"/>
  <c r="VK177" i="7"/>
  <c r="UV177" i="7"/>
  <c r="UU177" i="7"/>
  <c r="UI177" i="7"/>
  <c r="UH177" i="7"/>
  <c r="UW177" i="7" s="1"/>
  <c r="UX177" i="7" s="1"/>
  <c r="UD177" i="7"/>
  <c r="UC177" i="7"/>
  <c r="TY177" i="7"/>
  <c r="TX177" i="7"/>
  <c r="TT177" i="7"/>
  <c r="TS177" i="7"/>
  <c r="VL176" i="7"/>
  <c r="VK176" i="7"/>
  <c r="VJ176" i="7"/>
  <c r="VG176" i="7"/>
  <c r="VH176" i="7" s="1"/>
  <c r="VF176" i="7"/>
  <c r="VE176" i="7"/>
  <c r="UW176" i="7"/>
  <c r="UX176" i="7" s="1"/>
  <c r="UV176" i="7"/>
  <c r="UU176" i="7"/>
  <c r="UH176" i="7"/>
  <c r="UD176" i="7"/>
  <c r="UC176" i="7"/>
  <c r="TY176" i="7"/>
  <c r="TX176" i="7"/>
  <c r="TT176" i="7"/>
  <c r="TS176" i="7"/>
  <c r="TO176" i="7"/>
  <c r="TN176" i="7"/>
  <c r="TJ176" i="7"/>
  <c r="TI176" i="7"/>
  <c r="VR175" i="7"/>
  <c r="VP175" i="7"/>
  <c r="VO175" i="7"/>
  <c r="VK175" i="7"/>
  <c r="VJ175" i="7"/>
  <c r="VF175" i="7"/>
  <c r="VE175" i="7"/>
  <c r="UY175" i="7"/>
  <c r="US175" i="7"/>
  <c r="UR175" i="7"/>
  <c r="UN175" i="7"/>
  <c r="UM175" i="7"/>
  <c r="UH175" i="7"/>
  <c r="VQ175" i="7" s="1"/>
  <c r="UC175" i="7"/>
  <c r="TX175" i="7"/>
  <c r="TS175" i="7"/>
  <c r="TN175" i="7"/>
  <c r="TI175" i="7"/>
  <c r="TD175" i="7"/>
  <c r="VG175" i="7" s="1"/>
  <c r="SX175" i="7"/>
  <c r="SW175" i="7"/>
  <c r="UU175" i="7" s="1"/>
  <c r="ST175" i="7"/>
  <c r="SU175" i="7" s="1"/>
  <c r="SS175" i="7"/>
  <c r="SS211" i="7" s="1"/>
  <c r="SN175" i="7"/>
  <c r="SM175" i="7"/>
  <c r="SC175" i="7"/>
  <c r="RX175" i="7"/>
  <c r="RS175" i="7"/>
  <c r="RQ175" i="7"/>
  <c r="RM175" i="7"/>
  <c r="RJ175" i="7"/>
  <c r="RK175" i="7" s="1"/>
  <c r="RI175" i="7"/>
  <c r="RI211" i="7" s="1"/>
  <c r="RH175" i="7"/>
  <c r="RH211" i="7" s="1"/>
  <c r="RE175" i="7"/>
  <c r="RF175" i="7" s="1"/>
  <c r="RD175" i="7"/>
  <c r="RA175" i="7"/>
  <c r="QY175" i="7"/>
  <c r="QZ175" i="7" s="1"/>
  <c r="QX175" i="7"/>
  <c r="SG175" i="7" s="1"/>
  <c r="QS175" i="7"/>
  <c r="QP175" i="7"/>
  <c r="QQ175" i="7" s="1"/>
  <c r="QN175" i="7"/>
  <c r="QL175" i="7"/>
  <c r="QI175" i="7"/>
  <c r="QK175" i="7" s="1"/>
  <c r="QF175" i="7"/>
  <c r="QG175" i="7" s="1"/>
  <c r="QD175" i="7"/>
  <c r="QB175" i="7"/>
  <c r="PY175" i="7"/>
  <c r="QA175" i="7" s="1"/>
  <c r="PV175" i="7"/>
  <c r="PT175" i="7"/>
  <c r="RW175" i="7" s="1"/>
  <c r="PR175" i="7"/>
  <c r="PO175" i="7"/>
  <c r="PQ175" i="7" s="1"/>
  <c r="PJ175" i="7"/>
  <c r="PG175" i="7"/>
  <c r="PA175" i="7"/>
  <c r="OZ175" i="7"/>
  <c r="OY175" i="7"/>
  <c r="OX175" i="7"/>
  <c r="OG175" i="7"/>
  <c r="OF175" i="7"/>
  <c r="OE175" i="7"/>
  <c r="OB175" i="7"/>
  <c r="VS174" i="7"/>
  <c r="VK174" i="7"/>
  <c r="VJ174" i="7"/>
  <c r="VF174" i="7"/>
  <c r="VE174" i="7"/>
  <c r="VA174" i="7"/>
  <c r="UZ174" i="7"/>
  <c r="UY174" i="7"/>
  <c r="UV174" i="7"/>
  <c r="UU174" i="7"/>
  <c r="UH174" i="7"/>
  <c r="UI174" i="7" s="1"/>
  <c r="UC174" i="7"/>
  <c r="TX174" i="7"/>
  <c r="TY174" i="7" s="1"/>
  <c r="TS174" i="7"/>
  <c r="TT174" i="7" s="1"/>
  <c r="TQ174" i="7"/>
  <c r="TO174" i="7"/>
  <c r="TN174" i="7"/>
  <c r="TJ174" i="7"/>
  <c r="TI174" i="7"/>
  <c r="TE174" i="7"/>
  <c r="TD174" i="7"/>
  <c r="VG174" i="7" s="1"/>
  <c r="VH174" i="7" s="1"/>
  <c r="SZ174" i="7"/>
  <c r="SY174" i="7"/>
  <c r="SU174" i="7"/>
  <c r="ST174" i="7"/>
  <c r="VB174" i="7" s="1"/>
  <c r="VC174" i="7" s="1"/>
  <c r="VS173" i="7"/>
  <c r="VP173" i="7"/>
  <c r="VK173" i="7"/>
  <c r="VF173" i="7"/>
  <c r="VA173" i="7"/>
  <c r="UY173" i="7"/>
  <c r="UU173" i="7"/>
  <c r="UR173" i="7"/>
  <c r="US173" i="7" s="1"/>
  <c r="UM173" i="7"/>
  <c r="UN173" i="7" s="1"/>
  <c r="UH173" i="7"/>
  <c r="UF173" i="7"/>
  <c r="UF211" i="7" s="1"/>
  <c r="UA173" i="7"/>
  <c r="TX173" i="7"/>
  <c r="TY173" i="7" s="1"/>
  <c r="TV173" i="7"/>
  <c r="TQ173" i="7"/>
  <c r="TN173" i="7"/>
  <c r="TO173" i="7" s="1"/>
  <c r="TM173" i="7"/>
  <c r="UV173" i="7" s="1"/>
  <c r="TL173" i="7"/>
  <c r="TI173" i="7"/>
  <c r="TJ173" i="7" s="1"/>
  <c r="TG173" i="7"/>
  <c r="TB173" i="7"/>
  <c r="SY173" i="7"/>
  <c r="SZ173" i="7" s="1"/>
  <c r="SW173" i="7"/>
  <c r="SR173" i="7"/>
  <c r="SO173" i="7"/>
  <c r="SM173" i="7"/>
  <c r="SM211" i="7" s="1"/>
  <c r="SH173" i="7"/>
  <c r="SC173" i="7"/>
  <c r="RQ173" i="7"/>
  <c r="RJ173" i="7"/>
  <c r="RK173" i="7" s="1"/>
  <c r="RE173" i="7"/>
  <c r="RF173" i="7" s="1"/>
  <c r="RD173" i="7"/>
  <c r="RC173" i="7"/>
  <c r="RM173" i="7" s="1"/>
  <c r="QZ173" i="7"/>
  <c r="QY173" i="7"/>
  <c r="QX173" i="7"/>
  <c r="SG173" i="7" s="1"/>
  <c r="QT173" i="7"/>
  <c r="QS173" i="7"/>
  <c r="SB173" i="7" s="1"/>
  <c r="QO173" i="7"/>
  <c r="QN173" i="7"/>
  <c r="QP173" i="7" s="1"/>
  <c r="QQ173" i="7" s="1"/>
  <c r="QK173" i="7"/>
  <c r="QL173" i="7" s="1"/>
  <c r="QJ173" i="7"/>
  <c r="QI173" i="7"/>
  <c r="QF173" i="7"/>
  <c r="QG173" i="7" s="1"/>
  <c r="QE173" i="7"/>
  <c r="QD173" i="7"/>
  <c r="PZ173" i="7"/>
  <c r="QA173" i="7" s="1"/>
  <c r="QB173" i="7" s="1"/>
  <c r="PY173" i="7"/>
  <c r="PU173" i="7"/>
  <c r="RX173" i="7" s="1"/>
  <c r="PT173" i="7"/>
  <c r="RW173" i="7" s="1"/>
  <c r="PS173" i="7"/>
  <c r="PS211" i="7" s="1"/>
  <c r="PP173" i="7"/>
  <c r="PQ173" i="7" s="1"/>
  <c r="PR173" i="7" s="1"/>
  <c r="PO173" i="7"/>
  <c r="PK173" i="7"/>
  <c r="PL173" i="7" s="1"/>
  <c r="PM173" i="7" s="1"/>
  <c r="PJ173" i="7"/>
  <c r="PF173" i="7"/>
  <c r="RS173" i="7" s="1"/>
  <c r="PE173" i="7"/>
  <c r="RR173" i="7" s="1"/>
  <c r="OZ173" i="7"/>
  <c r="OY173" i="7"/>
  <c r="OX173" i="7"/>
  <c r="OV173" i="7"/>
  <c r="OW173" i="7" s="1"/>
  <c r="OU173" i="7"/>
  <c r="OT173" i="7"/>
  <c r="OS173" i="7"/>
  <c r="OP173" i="7"/>
  <c r="OO173" i="7"/>
  <c r="ON173" i="7"/>
  <c r="OK173" i="7"/>
  <c r="OJ173" i="7"/>
  <c r="OI173" i="7"/>
  <c r="OF173" i="7"/>
  <c r="OE173" i="7"/>
  <c r="OB173" i="7"/>
  <c r="OC173" i="7" s="1"/>
  <c r="NX173" i="7"/>
  <c r="NW173" i="7"/>
  <c r="NR173" i="7"/>
  <c r="NS173" i="7" s="1"/>
  <c r="NN173" i="7"/>
  <c r="NM173" i="7"/>
  <c r="NH173" i="7"/>
  <c r="NI173" i="7" s="1"/>
  <c r="ND173" i="7"/>
  <c r="NC173" i="7"/>
  <c r="MX173" i="7"/>
  <c r="MY173" i="7" s="1"/>
  <c r="MT173" i="7"/>
  <c r="MS173" i="7"/>
  <c r="MN173" i="7"/>
  <c r="OQ173" i="7" s="1"/>
  <c r="OR173" i="7" s="1"/>
  <c r="MJ173" i="7"/>
  <c r="MI173" i="7"/>
  <c r="MD173" i="7"/>
  <c r="ME173" i="7" s="1"/>
  <c r="LZ173" i="7"/>
  <c r="LY173" i="7"/>
  <c r="OL173" i="7" s="1"/>
  <c r="OM173" i="7" s="1"/>
  <c r="LR173" i="7"/>
  <c r="LQ173" i="7"/>
  <c r="LN173" i="7"/>
  <c r="LM173" i="7"/>
  <c r="LJ173" i="7"/>
  <c r="LI173" i="7"/>
  <c r="LF173" i="7"/>
  <c r="LE173" i="7"/>
  <c r="LB173" i="7"/>
  <c r="LA173" i="7"/>
  <c r="KX173" i="7"/>
  <c r="KY173" i="7" s="1"/>
  <c r="KT173" i="7"/>
  <c r="KS173" i="7"/>
  <c r="KN173" i="7"/>
  <c r="KN211" i="7" s="1"/>
  <c r="KJ173" i="7"/>
  <c r="KI173" i="7"/>
  <c r="KI211" i="7" s="1"/>
  <c r="KD173" i="7"/>
  <c r="KD211" i="7" s="1"/>
  <c r="JZ173" i="7"/>
  <c r="JY173" i="7"/>
  <c r="JY211" i="7" s="1"/>
  <c r="JT173" i="7"/>
  <c r="JT211" i="7" s="1"/>
  <c r="JP173" i="7"/>
  <c r="JO173" i="7"/>
  <c r="JO211" i="7" s="1"/>
  <c r="JJ173" i="7"/>
  <c r="JJ211" i="7" s="1"/>
  <c r="JF173" i="7"/>
  <c r="JE173" i="7"/>
  <c r="JE211" i="7" s="1"/>
  <c r="IZ173" i="7"/>
  <c r="IZ211" i="7" s="1"/>
  <c r="IV173" i="7"/>
  <c r="IU173" i="7"/>
  <c r="IU211" i="7" s="1"/>
  <c r="IN173" i="7"/>
  <c r="IM173" i="7"/>
  <c r="IJ173" i="7"/>
  <c r="II173" i="7"/>
  <c r="IF173" i="7"/>
  <c r="IE173" i="7"/>
  <c r="IB173" i="7"/>
  <c r="IA173" i="7"/>
  <c r="HW173" i="7"/>
  <c r="HV173" i="7"/>
  <c r="HT173" i="7"/>
  <c r="HT211" i="7" s="1"/>
  <c r="HP173" i="7"/>
  <c r="HO173" i="7"/>
  <c r="HJ173" i="7"/>
  <c r="HK173" i="7" s="1"/>
  <c r="HF173" i="7"/>
  <c r="HE173" i="7"/>
  <c r="GZ173" i="7"/>
  <c r="HA173" i="7" s="1"/>
  <c r="GV173" i="7"/>
  <c r="GU173" i="7"/>
  <c r="GP173" i="7"/>
  <c r="GQ173" i="7" s="1"/>
  <c r="GL173" i="7"/>
  <c r="GK173" i="7"/>
  <c r="GI173" i="7"/>
  <c r="GF173" i="7"/>
  <c r="IG173" i="7" s="1"/>
  <c r="IH173" i="7" s="1"/>
  <c r="FZ173" i="7"/>
  <c r="GA173" i="7" s="1"/>
  <c r="GB173" i="7" s="1"/>
  <c r="FU173" i="7"/>
  <c r="FU232" i="7" s="1"/>
  <c r="FT173" i="7"/>
  <c r="FT232" i="7" s="1"/>
  <c r="EV173" i="7"/>
  <c r="EU173" i="7"/>
  <c r="ET173" i="7"/>
  <c r="ES173" i="7"/>
  <c r="ER173" i="7"/>
  <c r="VP172" i="7"/>
  <c r="VO172" i="7"/>
  <c r="VK172" i="7"/>
  <c r="VJ172" i="7"/>
  <c r="VE172" i="7"/>
  <c r="UZ172" i="7"/>
  <c r="UU172" i="7"/>
  <c r="US172" i="7"/>
  <c r="UR172" i="7"/>
  <c r="UM172" i="7"/>
  <c r="UN172" i="7" s="1"/>
  <c r="UI172" i="7"/>
  <c r="UH172" i="7"/>
  <c r="VQ172" i="7" s="1"/>
  <c r="VR172" i="7" s="1"/>
  <c r="UC172" i="7"/>
  <c r="TV172" i="7"/>
  <c r="TV211" i="7" s="1"/>
  <c r="TT172" i="7"/>
  <c r="TS172" i="7"/>
  <c r="TM172" i="7"/>
  <c r="TM211" i="7" s="1"/>
  <c r="TL172" i="7"/>
  <c r="TL211" i="7" s="1"/>
  <c r="TI172" i="7"/>
  <c r="TJ172" i="7" s="1"/>
  <c r="TE172" i="7"/>
  <c r="TD172" i="7"/>
  <c r="SX172" i="7"/>
  <c r="SX211" i="7" s="1"/>
  <c r="SW172" i="7"/>
  <c r="SW211" i="7" s="1"/>
  <c r="ST172" i="7"/>
  <c r="SU172" i="7" s="1"/>
  <c r="SP172" i="7"/>
  <c r="SO172" i="7"/>
  <c r="SH172" i="7"/>
  <c r="SC172" i="7"/>
  <c r="RX172" i="7"/>
  <c r="RS172" i="7"/>
  <c r="RN172" i="7"/>
  <c r="RJ172" i="7"/>
  <c r="RK172" i="7" s="1"/>
  <c r="RD172" i="7"/>
  <c r="RD211" i="7" s="1"/>
  <c r="RC172" i="7"/>
  <c r="RC211" i="7" s="1"/>
  <c r="QY172" i="7"/>
  <c r="QY211" i="7" s="1"/>
  <c r="QX172" i="7"/>
  <c r="QX211" i="7" s="1"/>
  <c r="QT172" i="7"/>
  <c r="QT211" i="7" s="1"/>
  <c r="QS172" i="7"/>
  <c r="QS211" i="7" s="1"/>
  <c r="QO172" i="7"/>
  <c r="QO211" i="7" s="1"/>
  <c r="QN172" i="7"/>
  <c r="QN211" i="7" s="1"/>
  <c r="QJ172" i="7"/>
  <c r="QJ211" i="7" s="1"/>
  <c r="QI172" i="7"/>
  <c r="QI211" i="7" s="1"/>
  <c r="QE172" i="7"/>
  <c r="QE211" i="7" s="1"/>
  <c r="QD172" i="7"/>
  <c r="QD211" i="7" s="1"/>
  <c r="PZ172" i="7"/>
  <c r="PY172" i="7"/>
  <c r="PY211" i="7" s="1"/>
  <c r="PU172" i="7"/>
  <c r="PT172" i="7"/>
  <c r="PT211" i="7" s="1"/>
  <c r="PP172" i="7"/>
  <c r="PO172" i="7"/>
  <c r="PO211" i="7" s="1"/>
  <c r="PK172" i="7"/>
  <c r="PJ172" i="7"/>
  <c r="PJ211" i="7" s="1"/>
  <c r="PF172" i="7"/>
  <c r="PE172" i="7"/>
  <c r="PE211" i="7" s="1"/>
  <c r="OZ172" i="7"/>
  <c r="OY172" i="7"/>
  <c r="OX172" i="7"/>
  <c r="OU172" i="7"/>
  <c r="OT172" i="7"/>
  <c r="OS172" i="7"/>
  <c r="OF172" i="7"/>
  <c r="OE172" i="7"/>
  <c r="OB172" i="7"/>
  <c r="OC172" i="7" s="1"/>
  <c r="NX172" i="7"/>
  <c r="NW172" i="7"/>
  <c r="NR172" i="7"/>
  <c r="PA172" i="7" s="1"/>
  <c r="PB172" i="7" s="1"/>
  <c r="NN172" i="7"/>
  <c r="NM172" i="7"/>
  <c r="OV172" i="7" s="1"/>
  <c r="OW172" i="7" s="1"/>
  <c r="HY172" i="7"/>
  <c r="HX172" i="7"/>
  <c r="HW172" i="7"/>
  <c r="HV172" i="7"/>
  <c r="EU172" i="7"/>
  <c r="EV172" i="7" s="1"/>
  <c r="ET172" i="7"/>
  <c r="ES172" i="7"/>
  <c r="ER172" i="7"/>
  <c r="UV171" i="7"/>
  <c r="UU171" i="7"/>
  <c r="UH171" i="7"/>
  <c r="UI171" i="7" s="1"/>
  <c r="UD171" i="7"/>
  <c r="UC171" i="7"/>
  <c r="VP170" i="7"/>
  <c r="VO170" i="7"/>
  <c r="VK170" i="7"/>
  <c r="VJ170" i="7"/>
  <c r="VF170" i="7"/>
  <c r="VE170" i="7"/>
  <c r="VA170" i="7"/>
  <c r="UZ170" i="7"/>
  <c r="UV170" i="7"/>
  <c r="UU170" i="7"/>
  <c r="UR170" i="7"/>
  <c r="US170" i="7" s="1"/>
  <c r="UN170" i="7"/>
  <c r="UM170" i="7"/>
  <c r="UH170" i="7"/>
  <c r="UI170" i="7" s="1"/>
  <c r="UD170" i="7"/>
  <c r="UC170" i="7"/>
  <c r="TX170" i="7"/>
  <c r="TY170" i="7" s="1"/>
  <c r="TT170" i="7"/>
  <c r="TS170" i="7"/>
  <c r="TN170" i="7"/>
  <c r="TO170" i="7" s="1"/>
  <c r="TJ170" i="7"/>
  <c r="TI170" i="7"/>
  <c r="TD170" i="7"/>
  <c r="TE170" i="7" s="1"/>
  <c r="SZ170" i="7"/>
  <c r="SY170" i="7"/>
  <c r="ST170" i="7"/>
  <c r="SU170" i="7" s="1"/>
  <c r="SP170" i="7"/>
  <c r="SO170" i="7"/>
  <c r="SH170" i="7"/>
  <c r="SG170" i="7"/>
  <c r="SC170" i="7"/>
  <c r="SB170" i="7"/>
  <c r="RX170" i="7"/>
  <c r="RW170" i="7"/>
  <c r="RS170" i="7"/>
  <c r="RR170" i="7"/>
  <c r="RN170" i="7"/>
  <c r="RM170" i="7"/>
  <c r="RJ170" i="7"/>
  <c r="RK170" i="7" s="1"/>
  <c r="RF170" i="7"/>
  <c r="RE170" i="7"/>
  <c r="QZ170" i="7"/>
  <c r="RA170" i="7" s="1"/>
  <c r="QV170" i="7"/>
  <c r="QU170" i="7"/>
  <c r="QP170" i="7"/>
  <c r="QQ170" i="7" s="1"/>
  <c r="QL170" i="7"/>
  <c r="QK170" i="7"/>
  <c r="QF170" i="7"/>
  <c r="QG170" i="7" s="1"/>
  <c r="QB170" i="7"/>
  <c r="QA170" i="7"/>
  <c r="PV170" i="7"/>
  <c r="PW170" i="7" s="1"/>
  <c r="PR170" i="7"/>
  <c r="PQ170" i="7"/>
  <c r="PL170" i="7"/>
  <c r="PM170" i="7" s="1"/>
  <c r="PH170" i="7"/>
  <c r="PG170" i="7"/>
  <c r="OZ170" i="7"/>
  <c r="OY170" i="7"/>
  <c r="OX170" i="7"/>
  <c r="OU170" i="7"/>
  <c r="OT170" i="7"/>
  <c r="OS170" i="7"/>
  <c r="OP170" i="7"/>
  <c r="OO170" i="7"/>
  <c r="ON170" i="7"/>
  <c r="OK170" i="7"/>
  <c r="OJ170" i="7"/>
  <c r="OI170" i="7"/>
  <c r="OF170" i="7"/>
  <c r="OE170" i="7"/>
  <c r="OB170" i="7"/>
  <c r="OC170" i="7" s="1"/>
  <c r="NX170" i="7"/>
  <c r="NW170" i="7"/>
  <c r="NR170" i="7"/>
  <c r="NS170" i="7" s="1"/>
  <c r="NN170" i="7"/>
  <c r="NM170" i="7"/>
  <c r="OV170" i="7" s="1"/>
  <c r="OW170" i="7" s="1"/>
  <c r="NH170" i="7"/>
  <c r="NI170" i="7" s="1"/>
  <c r="ND170" i="7"/>
  <c r="NC170" i="7"/>
  <c r="MX170" i="7"/>
  <c r="MY170" i="7" s="1"/>
  <c r="MT170" i="7"/>
  <c r="MS170" i="7"/>
  <c r="MN170" i="7"/>
  <c r="OQ170" i="7" s="1"/>
  <c r="OR170" i="7" s="1"/>
  <c r="MJ170" i="7"/>
  <c r="MI170" i="7"/>
  <c r="MD170" i="7"/>
  <c r="OL170" i="7" s="1"/>
  <c r="OM170" i="7" s="1"/>
  <c r="LZ170" i="7"/>
  <c r="LY170" i="7"/>
  <c r="LQ170" i="7"/>
  <c r="HY170" i="7"/>
  <c r="HX170" i="7"/>
  <c r="HW170" i="7"/>
  <c r="HV170" i="7"/>
  <c r="EV170" i="7"/>
  <c r="EU170" i="7"/>
  <c r="ET170" i="7"/>
  <c r="ES170" i="7"/>
  <c r="ER170" i="7"/>
  <c r="VP169" i="7"/>
  <c r="VP211" i="7" s="1"/>
  <c r="VO169" i="7"/>
  <c r="VK169" i="7"/>
  <c r="VK211" i="7" s="1"/>
  <c r="VJ169" i="7"/>
  <c r="VF169" i="7"/>
  <c r="VE169" i="7"/>
  <c r="VA169" i="7"/>
  <c r="UZ169" i="7"/>
  <c r="UY169" i="7"/>
  <c r="UY211" i="7" s="1"/>
  <c r="UV169" i="7"/>
  <c r="UU169" i="7"/>
  <c r="UR169" i="7"/>
  <c r="UN169" i="7"/>
  <c r="UM169" i="7"/>
  <c r="UH169" i="7"/>
  <c r="UD169" i="7"/>
  <c r="UC169" i="7"/>
  <c r="VL169" i="7" s="1"/>
  <c r="TX169" i="7"/>
  <c r="TT169" i="7"/>
  <c r="TS169" i="7"/>
  <c r="TN169" i="7"/>
  <c r="TJ169" i="7"/>
  <c r="TI169" i="7"/>
  <c r="TG169" i="7"/>
  <c r="TG211" i="7" s="1"/>
  <c r="TD169" i="7"/>
  <c r="SZ169" i="7"/>
  <c r="SY169" i="7"/>
  <c r="ST169" i="7"/>
  <c r="SP169" i="7"/>
  <c r="SO169" i="7"/>
  <c r="SI169" i="7"/>
  <c r="SH169" i="7"/>
  <c r="SG169" i="7"/>
  <c r="SD169" i="7"/>
  <c r="SC169" i="7"/>
  <c r="SB169" i="7"/>
  <c r="RY169" i="7"/>
  <c r="RX169" i="7"/>
  <c r="RW169" i="7"/>
  <c r="RT169" i="7"/>
  <c r="RS169" i="7"/>
  <c r="RR169" i="7"/>
  <c r="RQ169" i="7"/>
  <c r="RQ211" i="7" s="1"/>
  <c r="RN169" i="7"/>
  <c r="RM169" i="7"/>
  <c r="RK169" i="7"/>
  <c r="RJ169" i="7"/>
  <c r="RE169" i="7"/>
  <c r="RA169" i="7"/>
  <c r="QZ169" i="7"/>
  <c r="QU169" i="7"/>
  <c r="QQ169" i="7"/>
  <c r="QP169" i="7"/>
  <c r="QK169" i="7"/>
  <c r="QG169" i="7"/>
  <c r="QF169" i="7"/>
  <c r="QA169" i="7"/>
  <c r="PW169" i="7"/>
  <c r="PV169" i="7"/>
  <c r="PQ169" i="7"/>
  <c r="PM169" i="7"/>
  <c r="PL169" i="7"/>
  <c r="PG169" i="7"/>
  <c r="OZ169" i="7"/>
  <c r="OY169" i="7"/>
  <c r="OX169" i="7"/>
  <c r="OX211" i="7" s="1"/>
  <c r="OU169" i="7"/>
  <c r="OU211" i="7" s="1"/>
  <c r="OT169" i="7"/>
  <c r="OT211" i="7" s="1"/>
  <c r="OS169" i="7"/>
  <c r="OP169" i="7"/>
  <c r="OO169" i="7"/>
  <c r="ON169" i="7"/>
  <c r="OL169" i="7"/>
  <c r="OK169" i="7"/>
  <c r="OJ169" i="7"/>
  <c r="OI169" i="7"/>
  <c r="OI211" i="7" s="1"/>
  <c r="OF169" i="7"/>
  <c r="OE169" i="7"/>
  <c r="OC169" i="7"/>
  <c r="OB169" i="7"/>
  <c r="NW169" i="7"/>
  <c r="NW211" i="7" s="1"/>
  <c r="NS169" i="7"/>
  <c r="NR169" i="7"/>
  <c r="NM169" i="7"/>
  <c r="NM211" i="7" s="1"/>
  <c r="NI169" i="7"/>
  <c r="NH169" i="7"/>
  <c r="NC169" i="7"/>
  <c r="NC211" i="7" s="1"/>
  <c r="MY169" i="7"/>
  <c r="MX169" i="7"/>
  <c r="MS169" i="7"/>
  <c r="MS211" i="7" s="1"/>
  <c r="MO169" i="7"/>
  <c r="MN169" i="7"/>
  <c r="MI169" i="7"/>
  <c r="MI211" i="7" s="1"/>
  <c r="ME169" i="7"/>
  <c r="MD169" i="7"/>
  <c r="LY169" i="7"/>
  <c r="LY211" i="7" s="1"/>
  <c r="LR169" i="7"/>
  <c r="LQ169" i="7"/>
  <c r="LQ211" i="7" s="1"/>
  <c r="LO169" i="7"/>
  <c r="LN169" i="7"/>
  <c r="LM169" i="7"/>
  <c r="LM211" i="7" s="1"/>
  <c r="LK169" i="7"/>
  <c r="LJ169" i="7"/>
  <c r="LJ211" i="7" s="1"/>
  <c r="LI169" i="7"/>
  <c r="LI211" i="7" s="1"/>
  <c r="LG169" i="7"/>
  <c r="LF169" i="7"/>
  <c r="LF211" i="7" s="1"/>
  <c r="LE169" i="7"/>
  <c r="LE211" i="7" s="1"/>
  <c r="LB169" i="7"/>
  <c r="LB211" i="7" s="1"/>
  <c r="LA169" i="7"/>
  <c r="LA211" i="7" s="1"/>
  <c r="KV169" i="7"/>
  <c r="KV211" i="7" s="1"/>
  <c r="KT169" i="7"/>
  <c r="KS169" i="7"/>
  <c r="KS211" i="7" s="1"/>
  <c r="KQ169" i="7"/>
  <c r="KQ211" i="7" s="1"/>
  <c r="HY169" i="7"/>
  <c r="HX169" i="7"/>
  <c r="HW169" i="7"/>
  <c r="HV169" i="7"/>
  <c r="EU169" i="7"/>
  <c r="ET169" i="7"/>
  <c r="ES169" i="7"/>
  <c r="ER169" i="7"/>
  <c r="ER211" i="7" s="1"/>
  <c r="VN168" i="7"/>
  <c r="RO168" i="7"/>
  <c r="RN168" i="7"/>
  <c r="RM168" i="7"/>
  <c r="RL168" i="7"/>
  <c r="SF168" i="7" s="1"/>
  <c r="OG168" i="7"/>
  <c r="OF168" i="7"/>
  <c r="OE168" i="7"/>
  <c r="OD168" i="7"/>
  <c r="KH167" i="7"/>
  <c r="KF167" i="7"/>
  <c r="KA167" i="7"/>
  <c r="JX167" i="7"/>
  <c r="JV167" i="7"/>
  <c r="JQ167" i="7"/>
  <c r="JN167" i="7"/>
  <c r="JL167" i="7"/>
  <c r="JI167" i="7"/>
  <c r="JG167" i="7"/>
  <c r="JD167" i="7"/>
  <c r="JB167" i="7"/>
  <c r="IY167" i="7"/>
  <c r="IW167" i="7"/>
  <c r="IR167" i="7"/>
  <c r="HS167" i="7"/>
  <c r="HR167" i="7"/>
  <c r="HQ167" i="7"/>
  <c r="VF165" i="7"/>
  <c r="VE165" i="7"/>
  <c r="UV165" i="7"/>
  <c r="UU165" i="7"/>
  <c r="UT165" i="7"/>
  <c r="VN165" i="7" s="1"/>
  <c r="UH165" i="7"/>
  <c r="UW165" i="7" s="1"/>
  <c r="UC165" i="7"/>
  <c r="TX165" i="7"/>
  <c r="TS165" i="7"/>
  <c r="TN165" i="7"/>
  <c r="VG165" i="7" s="1"/>
  <c r="TI165" i="7"/>
  <c r="TD165" i="7"/>
  <c r="SY165" i="7"/>
  <c r="SO165" i="7"/>
  <c r="VB165" i="7" s="1"/>
  <c r="RX165" i="7"/>
  <c r="RW165" i="7"/>
  <c r="RN165" i="7"/>
  <c r="RM165" i="7"/>
  <c r="RL165" i="7"/>
  <c r="SF165" i="7" s="1"/>
  <c r="QZ165" i="7"/>
  <c r="RO165" i="7" s="1"/>
  <c r="QU165" i="7"/>
  <c r="QP165" i="7"/>
  <c r="QK165" i="7"/>
  <c r="QF165" i="7"/>
  <c r="QA165" i="7"/>
  <c r="PV165" i="7"/>
  <c r="RY165" i="7" s="1"/>
  <c r="PQ165" i="7"/>
  <c r="PG165" i="7"/>
  <c r="RT165" i="7" s="1"/>
  <c r="OP165" i="7"/>
  <c r="OO165" i="7"/>
  <c r="OF165" i="7"/>
  <c r="OE165" i="7"/>
  <c r="OD165" i="7"/>
  <c r="NR165" i="7"/>
  <c r="OG165" i="7" s="1"/>
  <c r="NM165" i="7"/>
  <c r="NH165" i="7"/>
  <c r="NC165" i="7"/>
  <c r="MX165" i="7"/>
  <c r="MS165" i="7"/>
  <c r="OQ165" i="7" s="1"/>
  <c r="MN165" i="7"/>
  <c r="MI165" i="7"/>
  <c r="LY165" i="7"/>
  <c r="OL165" i="7" s="1"/>
  <c r="LR165" i="7"/>
  <c r="LN165" i="7"/>
  <c r="LM165" i="7"/>
  <c r="LB165" i="7"/>
  <c r="LA165" i="7"/>
  <c r="KZ165" i="7"/>
  <c r="KX165" i="7"/>
  <c r="KS165" i="7"/>
  <c r="KN165" i="7"/>
  <c r="LS165" i="7" s="1"/>
  <c r="KI165" i="7"/>
  <c r="LC165" i="7" s="1"/>
  <c r="UT164" i="7"/>
  <c r="UQ164" i="7"/>
  <c r="UP164" i="7"/>
  <c r="UO164" i="7"/>
  <c r="UL164" i="7"/>
  <c r="UK164" i="7"/>
  <c r="UJ164" i="7"/>
  <c r="UG164" i="7"/>
  <c r="UF164" i="7"/>
  <c r="UE164" i="7"/>
  <c r="UB164" i="7"/>
  <c r="UA164" i="7"/>
  <c r="TZ164" i="7"/>
  <c r="TW164" i="7"/>
  <c r="TU164" i="7"/>
  <c r="TR164" i="7"/>
  <c r="TP164" i="7"/>
  <c r="TM164" i="7"/>
  <c r="TK164" i="7"/>
  <c r="TH164" i="7"/>
  <c r="TF164" i="7"/>
  <c r="TC164" i="7"/>
  <c r="TA164" i="7"/>
  <c r="SX164" i="7"/>
  <c r="SV164" i="7"/>
  <c r="SS164" i="7"/>
  <c r="SQ164" i="7"/>
  <c r="SN164" i="7"/>
  <c r="SL164" i="7"/>
  <c r="RI164" i="7"/>
  <c r="RH164" i="7"/>
  <c r="RG164" i="7"/>
  <c r="RD164" i="7"/>
  <c r="RB164" i="7"/>
  <c r="QY164" i="7"/>
  <c r="QX164" i="7"/>
  <c r="QW164" i="7"/>
  <c r="QT164" i="7"/>
  <c r="QS164" i="7"/>
  <c r="QR164" i="7"/>
  <c r="QO164" i="7"/>
  <c r="QN164" i="7"/>
  <c r="QM164" i="7"/>
  <c r="QJ164" i="7"/>
  <c r="QH164" i="7"/>
  <c r="QE164" i="7"/>
  <c r="QC164" i="7"/>
  <c r="PZ164" i="7"/>
  <c r="PX164" i="7"/>
  <c r="PU164" i="7"/>
  <c r="PS164" i="7"/>
  <c r="PP164" i="7"/>
  <c r="PN164" i="7"/>
  <c r="PK164" i="7"/>
  <c r="PJ164" i="7"/>
  <c r="PI164" i="7"/>
  <c r="PF164" i="7"/>
  <c r="PE164" i="7"/>
  <c r="PD164" i="7"/>
  <c r="OX164" i="7"/>
  <c r="OA164" i="7"/>
  <c r="NY164" i="7"/>
  <c r="NV164" i="7"/>
  <c r="NT164" i="7"/>
  <c r="NQ164" i="7"/>
  <c r="NP164" i="7"/>
  <c r="NO164" i="7"/>
  <c r="NL164" i="7"/>
  <c r="NK164" i="7"/>
  <c r="NJ164" i="7"/>
  <c r="NG164" i="7"/>
  <c r="NF164" i="7"/>
  <c r="NE164" i="7"/>
  <c r="NB164" i="7"/>
  <c r="NA164" i="7"/>
  <c r="MZ164" i="7"/>
  <c r="MW164" i="7"/>
  <c r="MV164" i="7"/>
  <c r="MU164" i="7"/>
  <c r="MR164" i="7"/>
  <c r="MP164" i="7"/>
  <c r="MM164" i="7"/>
  <c r="MK164" i="7"/>
  <c r="MH164" i="7"/>
  <c r="MG164" i="7"/>
  <c r="MF164" i="7"/>
  <c r="MC164" i="7"/>
  <c r="MB164" i="7"/>
  <c r="MA164" i="7"/>
  <c r="LX164" i="7"/>
  <c r="LV164" i="7"/>
  <c r="KW164" i="7"/>
  <c r="KV164" i="7"/>
  <c r="KU164" i="7"/>
  <c r="KR164" i="7"/>
  <c r="KP164" i="7"/>
  <c r="KM164" i="7"/>
  <c r="KL164" i="7"/>
  <c r="KK164" i="7"/>
  <c r="VL163" i="7"/>
  <c r="VK163" i="7"/>
  <c r="VJ163" i="7"/>
  <c r="VI163" i="7"/>
  <c r="VI164" i="7" s="1"/>
  <c r="VG163" i="7"/>
  <c r="VF163" i="7"/>
  <c r="VE163" i="7"/>
  <c r="VD163" i="7"/>
  <c r="UZ163" i="7"/>
  <c r="SD163" i="7"/>
  <c r="SC163" i="7"/>
  <c r="SB163" i="7"/>
  <c r="SA163" i="7"/>
  <c r="RY163" i="7"/>
  <c r="RX163" i="7"/>
  <c r="RW163" i="7"/>
  <c r="RV163" i="7"/>
  <c r="RR163" i="7"/>
  <c r="RO163" i="7"/>
  <c r="RN163" i="7"/>
  <c r="RM163" i="7"/>
  <c r="OV163" i="7"/>
  <c r="OU163" i="7"/>
  <c r="OT163" i="7"/>
  <c r="OS163" i="7"/>
  <c r="OQ163" i="7"/>
  <c r="OP163" i="7"/>
  <c r="OO163" i="7"/>
  <c r="ON163" i="7"/>
  <c r="OJ163" i="7"/>
  <c r="OG163" i="7"/>
  <c r="OF163" i="7"/>
  <c r="OE163" i="7"/>
  <c r="LS163" i="7"/>
  <c r="LR163" i="7"/>
  <c r="LQ163" i="7"/>
  <c r="LO163" i="7"/>
  <c r="LN163" i="7"/>
  <c r="LM163" i="7"/>
  <c r="LC163" i="7"/>
  <c r="LB163" i="7"/>
  <c r="LA163" i="7"/>
  <c r="KZ163" i="7"/>
  <c r="VP162" i="7"/>
  <c r="VO162" i="7"/>
  <c r="VK162" i="7"/>
  <c r="VJ162" i="7"/>
  <c r="VG162" i="7"/>
  <c r="VH162" i="7" s="1"/>
  <c r="VF162" i="7"/>
  <c r="VE162" i="7"/>
  <c r="VB162" i="7"/>
  <c r="VA162" i="7"/>
  <c r="UZ162" i="7"/>
  <c r="UV162" i="7"/>
  <c r="UU162" i="7"/>
  <c r="UR162" i="7"/>
  <c r="UH162" i="7"/>
  <c r="VQ162" i="7" s="1"/>
  <c r="UC162" i="7"/>
  <c r="TX162" i="7"/>
  <c r="TS162" i="7"/>
  <c r="TN162" i="7"/>
  <c r="SI162" i="7"/>
  <c r="SH162" i="7"/>
  <c r="SG162" i="7"/>
  <c r="SD162" i="7"/>
  <c r="SC162" i="7"/>
  <c r="SB162" i="7"/>
  <c r="SA162" i="7"/>
  <c r="RT162" i="7"/>
  <c r="RS162" i="7"/>
  <c r="RR162" i="7"/>
  <c r="RQ162" i="7"/>
  <c r="RO162" i="7"/>
  <c r="RN162" i="7"/>
  <c r="RM162" i="7"/>
  <c r="VK161" i="7"/>
  <c r="VJ161" i="7"/>
  <c r="VF161" i="7"/>
  <c r="VE161" i="7"/>
  <c r="VA161" i="7"/>
  <c r="UZ161" i="7"/>
  <c r="UY161" i="7"/>
  <c r="UV161" i="7"/>
  <c r="UU161" i="7"/>
  <c r="UH161" i="7"/>
  <c r="UI161" i="7" s="1"/>
  <c r="UC161" i="7"/>
  <c r="VL161" i="7" s="1"/>
  <c r="TX161" i="7"/>
  <c r="TY161" i="7" s="1"/>
  <c r="TT161" i="7"/>
  <c r="TS161" i="7"/>
  <c r="TN161" i="7"/>
  <c r="TO161" i="7" s="1"/>
  <c r="TJ161" i="7"/>
  <c r="TI161" i="7"/>
  <c r="TD161" i="7"/>
  <c r="SY161" i="7"/>
  <c r="SZ161" i="7" s="1"/>
  <c r="ST161" i="7"/>
  <c r="VK160" i="7"/>
  <c r="VJ160" i="7"/>
  <c r="UV160" i="7"/>
  <c r="UU160" i="7"/>
  <c r="UH160" i="7"/>
  <c r="UI160" i="7" s="1"/>
  <c r="UD160" i="7"/>
  <c r="UC160" i="7"/>
  <c r="TX160" i="7"/>
  <c r="TY160" i="7" s="1"/>
  <c r="TT160" i="7"/>
  <c r="TS160" i="7"/>
  <c r="TN160" i="7"/>
  <c r="TO160" i="7" s="1"/>
  <c r="TJ160" i="7"/>
  <c r="TI160" i="7"/>
  <c r="VK159" i="7"/>
  <c r="VJ159" i="7"/>
  <c r="VF159" i="7"/>
  <c r="VE159" i="7"/>
  <c r="UV159" i="7"/>
  <c r="UU159" i="7"/>
  <c r="UI159" i="7"/>
  <c r="UH159" i="7"/>
  <c r="UW159" i="7" s="1"/>
  <c r="UX159" i="7" s="1"/>
  <c r="UD159" i="7"/>
  <c r="UC159" i="7"/>
  <c r="TY159" i="7"/>
  <c r="TX159" i="7"/>
  <c r="TT159" i="7"/>
  <c r="TS159" i="7"/>
  <c r="TO159" i="7"/>
  <c r="TN159" i="7"/>
  <c r="TJ159" i="7"/>
  <c r="TI159" i="7"/>
  <c r="VG159" i="7" s="1"/>
  <c r="VH159" i="7" s="1"/>
  <c r="VP158" i="7"/>
  <c r="VO158" i="7"/>
  <c r="VK158" i="7"/>
  <c r="VJ158" i="7"/>
  <c r="VF158" i="7"/>
  <c r="VE158" i="7"/>
  <c r="VB158" i="7"/>
  <c r="VA158" i="7"/>
  <c r="UZ158" i="7"/>
  <c r="UV158" i="7"/>
  <c r="UU158" i="7"/>
  <c r="UR158" i="7"/>
  <c r="UH158" i="7"/>
  <c r="VQ158" i="7" s="1"/>
  <c r="UD158" i="7"/>
  <c r="UC158" i="7"/>
  <c r="TX158" i="7"/>
  <c r="TY158" i="7" s="1"/>
  <c r="TT158" i="7"/>
  <c r="TS158" i="7"/>
  <c r="TN158" i="7"/>
  <c r="TO158" i="7" s="1"/>
  <c r="TJ158" i="7"/>
  <c r="TI158" i="7"/>
  <c r="TD158" i="7"/>
  <c r="TE158" i="7" s="1"/>
  <c r="SZ158" i="7"/>
  <c r="SY158" i="7"/>
  <c r="SO158" i="7"/>
  <c r="SI158" i="7"/>
  <c r="SH158" i="7"/>
  <c r="SG158" i="7"/>
  <c r="RO158" i="7"/>
  <c r="RN158" i="7"/>
  <c r="RM158" i="7"/>
  <c r="VP157" i="7"/>
  <c r="VO157" i="7"/>
  <c r="VK157" i="7"/>
  <c r="VJ157" i="7"/>
  <c r="VF157" i="7"/>
  <c r="VE157" i="7"/>
  <c r="VA157" i="7"/>
  <c r="UZ157" i="7"/>
  <c r="UY157" i="7"/>
  <c r="UV157" i="7"/>
  <c r="UU157" i="7"/>
  <c r="UR157" i="7"/>
  <c r="US157" i="7" s="1"/>
  <c r="UN157" i="7"/>
  <c r="UM157" i="7"/>
  <c r="UH157" i="7"/>
  <c r="UI157" i="7" s="1"/>
  <c r="UD157" i="7"/>
  <c r="UC157" i="7"/>
  <c r="TX157" i="7"/>
  <c r="TY157" i="7" s="1"/>
  <c r="TT157" i="7"/>
  <c r="TS157" i="7"/>
  <c r="TN157" i="7"/>
  <c r="TO157" i="7" s="1"/>
  <c r="TJ157" i="7"/>
  <c r="TI157" i="7"/>
  <c r="TD157" i="7"/>
  <c r="TE157" i="7" s="1"/>
  <c r="SZ157" i="7"/>
  <c r="SY157" i="7"/>
  <c r="ST157" i="7"/>
  <c r="VB157" i="7" s="1"/>
  <c r="VC157" i="7" s="1"/>
  <c r="SP157" i="7"/>
  <c r="SO157" i="7"/>
  <c r="SH157" i="7"/>
  <c r="SG157" i="7"/>
  <c r="SD157" i="7"/>
  <c r="SE157" i="7" s="1"/>
  <c r="SC157" i="7"/>
  <c r="SB157" i="7"/>
  <c r="RY157" i="7"/>
  <c r="RX157" i="7"/>
  <c r="RW157" i="7"/>
  <c r="RT157" i="7"/>
  <c r="RS157" i="7"/>
  <c r="RR157" i="7"/>
  <c r="RQ157" i="7"/>
  <c r="RN157" i="7"/>
  <c r="RM157" i="7"/>
  <c r="RJ157" i="7"/>
  <c r="RK157" i="7" s="1"/>
  <c r="RF157" i="7"/>
  <c r="RE157" i="7"/>
  <c r="QZ157" i="7"/>
  <c r="RA157" i="7" s="1"/>
  <c r="QV157" i="7"/>
  <c r="QU157" i="7"/>
  <c r="QP157" i="7"/>
  <c r="QQ157" i="7" s="1"/>
  <c r="VP156" i="7"/>
  <c r="VO156" i="7"/>
  <c r="VK156" i="7"/>
  <c r="VJ156" i="7"/>
  <c r="VF156" i="7"/>
  <c r="VE156" i="7"/>
  <c r="VA156" i="7"/>
  <c r="UZ156" i="7"/>
  <c r="UY156" i="7"/>
  <c r="UV156" i="7"/>
  <c r="UU156" i="7"/>
  <c r="UR156" i="7"/>
  <c r="UM156" i="7"/>
  <c r="VQ156" i="7" s="1"/>
  <c r="UI156" i="7"/>
  <c r="UH156" i="7"/>
  <c r="UC156" i="7"/>
  <c r="UD156" i="7" s="1"/>
  <c r="TY156" i="7"/>
  <c r="TX156" i="7"/>
  <c r="TS156" i="7"/>
  <c r="TT156" i="7" s="1"/>
  <c r="TO156" i="7"/>
  <c r="TN156" i="7"/>
  <c r="TI156" i="7"/>
  <c r="TJ156" i="7" s="1"/>
  <c r="TE156" i="7"/>
  <c r="TD156" i="7"/>
  <c r="SY156" i="7"/>
  <c r="ST156" i="7"/>
  <c r="VB156" i="7" s="1"/>
  <c r="SO156" i="7"/>
  <c r="SH156" i="7"/>
  <c r="SG156" i="7"/>
  <c r="SC156" i="7"/>
  <c r="SB156" i="7"/>
  <c r="RN156" i="7"/>
  <c r="RM156" i="7"/>
  <c r="RJ156" i="7"/>
  <c r="RO156" i="7" s="1"/>
  <c r="RP156" i="7" s="1"/>
  <c r="RE156" i="7"/>
  <c r="QZ156" i="7"/>
  <c r="SI156" i="7" s="1"/>
  <c r="QV156" i="7"/>
  <c r="QU156" i="7"/>
  <c r="SD156" i="7" s="1"/>
  <c r="SE156" i="7" s="1"/>
  <c r="QP156" i="7"/>
  <c r="QQ156" i="7" s="1"/>
  <c r="VP155" i="7"/>
  <c r="VO155" i="7"/>
  <c r="VK155" i="7"/>
  <c r="VJ155" i="7"/>
  <c r="VF155" i="7"/>
  <c r="VE155" i="7"/>
  <c r="VA155" i="7"/>
  <c r="UZ155" i="7"/>
  <c r="UY155" i="7"/>
  <c r="UV155" i="7"/>
  <c r="UU155" i="7"/>
  <c r="US155" i="7"/>
  <c r="UR155" i="7"/>
  <c r="UM155" i="7"/>
  <c r="VQ155" i="7" s="1"/>
  <c r="VR155" i="7" s="1"/>
  <c r="UI155" i="7"/>
  <c r="UH155" i="7"/>
  <c r="UC155" i="7"/>
  <c r="TY155" i="7"/>
  <c r="TX155" i="7"/>
  <c r="TS155" i="7"/>
  <c r="TT155" i="7" s="1"/>
  <c r="TO155" i="7"/>
  <c r="TN155" i="7"/>
  <c r="TI155" i="7"/>
  <c r="VG155" i="7" s="1"/>
  <c r="VH155" i="7" s="1"/>
  <c r="TE155" i="7"/>
  <c r="TD155" i="7"/>
  <c r="SY155" i="7"/>
  <c r="SZ155" i="7" s="1"/>
  <c r="SU155" i="7"/>
  <c r="ST155" i="7"/>
  <c r="SO155" i="7"/>
  <c r="VB155" i="7" s="1"/>
  <c r="VC155" i="7" s="1"/>
  <c r="SH155" i="7"/>
  <c r="SG155" i="7"/>
  <c r="SC155" i="7"/>
  <c r="SB155" i="7"/>
  <c r="RX155" i="7"/>
  <c r="RW155" i="7"/>
  <c r="RT155" i="7"/>
  <c r="RS155" i="7"/>
  <c r="RR155" i="7"/>
  <c r="RQ155" i="7"/>
  <c r="RN155" i="7"/>
  <c r="RM155" i="7"/>
  <c r="RK155" i="7"/>
  <c r="RJ155" i="7"/>
  <c r="RE155" i="7"/>
  <c r="RF155" i="7" s="1"/>
  <c r="RA155" i="7"/>
  <c r="QZ155" i="7"/>
  <c r="QU155" i="7"/>
  <c r="QQ155" i="7"/>
  <c r="QP155" i="7"/>
  <c r="QK155" i="7"/>
  <c r="QL155" i="7" s="1"/>
  <c r="QG155" i="7"/>
  <c r="QF155" i="7"/>
  <c r="QA155" i="7"/>
  <c r="RY155" i="7" s="1"/>
  <c r="RZ155" i="7" s="1"/>
  <c r="VP154" i="7"/>
  <c r="VO154" i="7"/>
  <c r="VK154" i="7"/>
  <c r="VJ154" i="7"/>
  <c r="VF154" i="7"/>
  <c r="VE154" i="7"/>
  <c r="VA154" i="7"/>
  <c r="UZ154" i="7"/>
  <c r="UY154" i="7"/>
  <c r="UV154" i="7"/>
  <c r="UU154" i="7"/>
  <c r="UR154" i="7"/>
  <c r="US154" i="7" s="1"/>
  <c r="UN154" i="7"/>
  <c r="UM154" i="7"/>
  <c r="UH154" i="7"/>
  <c r="UW154" i="7" s="1"/>
  <c r="UX154" i="7" s="1"/>
  <c r="UD154" i="7"/>
  <c r="UC154" i="7"/>
  <c r="TX154" i="7"/>
  <c r="TY154" i="7" s="1"/>
  <c r="TT154" i="7"/>
  <c r="TS154" i="7"/>
  <c r="TN154" i="7"/>
  <c r="TO154" i="7" s="1"/>
  <c r="TJ154" i="7"/>
  <c r="TI154" i="7"/>
  <c r="TD154" i="7"/>
  <c r="SZ154" i="7"/>
  <c r="SY154" i="7"/>
  <c r="ST154" i="7"/>
  <c r="SU154" i="7" s="1"/>
  <c r="SP154" i="7"/>
  <c r="SO154" i="7"/>
  <c r="SI154" i="7"/>
  <c r="SH154" i="7"/>
  <c r="SG154" i="7"/>
  <c r="SD154" i="7"/>
  <c r="SC154" i="7"/>
  <c r="SB154" i="7"/>
  <c r="RX154" i="7"/>
  <c r="RW154" i="7"/>
  <c r="RT154" i="7"/>
  <c r="RU154" i="7" s="1"/>
  <c r="RS154" i="7"/>
  <c r="RR154" i="7"/>
  <c r="RQ154" i="7"/>
  <c r="RN154" i="7"/>
  <c r="RM154" i="7"/>
  <c r="RK154" i="7"/>
  <c r="RJ154" i="7"/>
  <c r="RO154" i="7" s="1"/>
  <c r="RP154" i="7" s="1"/>
  <c r="RF154" i="7"/>
  <c r="RE154" i="7"/>
  <c r="RA154" i="7"/>
  <c r="QZ154" i="7"/>
  <c r="QV154" i="7"/>
  <c r="QU154" i="7"/>
  <c r="QQ154" i="7"/>
  <c r="QP154" i="7"/>
  <c r="QL154" i="7"/>
  <c r="QK154" i="7"/>
  <c r="QG154" i="7"/>
  <c r="QF154" i="7"/>
  <c r="RY154" i="7" s="1"/>
  <c r="RZ154" i="7" s="1"/>
  <c r="QB154" i="7"/>
  <c r="QA154" i="7"/>
  <c r="PW154" i="7"/>
  <c r="PR154" i="7"/>
  <c r="PQ154" i="7"/>
  <c r="PL154" i="7"/>
  <c r="PM154" i="7" s="1"/>
  <c r="PH154" i="7"/>
  <c r="PG154" i="7"/>
  <c r="OZ154" i="7"/>
  <c r="OY154" i="7"/>
  <c r="OU154" i="7"/>
  <c r="OT154" i="7"/>
  <c r="OS154" i="7"/>
  <c r="OP154" i="7"/>
  <c r="OO154" i="7"/>
  <c r="ON154" i="7"/>
  <c r="OK154" i="7"/>
  <c r="OJ154" i="7"/>
  <c r="OI154" i="7"/>
  <c r="OF154" i="7"/>
  <c r="OE154" i="7"/>
  <c r="OC154" i="7"/>
  <c r="OB154" i="7"/>
  <c r="NW154" i="7"/>
  <c r="NX154" i="7" s="1"/>
  <c r="NS154" i="7"/>
  <c r="NR154" i="7"/>
  <c r="NM154" i="7"/>
  <c r="NN154" i="7" s="1"/>
  <c r="NI154" i="7"/>
  <c r="NH154" i="7"/>
  <c r="NC154" i="7"/>
  <c r="ND154" i="7" s="1"/>
  <c r="MY154" i="7"/>
  <c r="MX154" i="7"/>
  <c r="MS154" i="7"/>
  <c r="MT154" i="7" s="1"/>
  <c r="MO154" i="7"/>
  <c r="MN154" i="7"/>
  <c r="MI154" i="7"/>
  <c r="MJ154" i="7" s="1"/>
  <c r="ME154" i="7"/>
  <c r="MD154" i="7"/>
  <c r="LY154" i="7"/>
  <c r="LZ154" i="7" s="1"/>
  <c r="LS154" i="7"/>
  <c r="LR154" i="7"/>
  <c r="LQ154" i="7"/>
  <c r="LO154" i="7"/>
  <c r="LN154" i="7"/>
  <c r="LM154" i="7"/>
  <c r="LK154" i="7"/>
  <c r="LJ154" i="7"/>
  <c r="LI154" i="7"/>
  <c r="LG154" i="7"/>
  <c r="LF154" i="7"/>
  <c r="LH154" i="7" s="1"/>
  <c r="LE154" i="7"/>
  <c r="LB154" i="7"/>
  <c r="LA154" i="7"/>
  <c r="KZ154" i="7"/>
  <c r="KX154" i="7"/>
  <c r="LC154" i="7" s="1"/>
  <c r="HY154" i="7"/>
  <c r="HX154" i="7"/>
  <c r="HW154" i="7"/>
  <c r="HV154" i="7"/>
  <c r="EU154" i="7"/>
  <c r="ET154" i="7"/>
  <c r="ES154" i="7"/>
  <c r="ER154" i="7"/>
  <c r="VQ153" i="7"/>
  <c r="VR153" i="7" s="1"/>
  <c r="VP153" i="7"/>
  <c r="VO153" i="7"/>
  <c r="VK153" i="7"/>
  <c r="VJ153" i="7"/>
  <c r="VF153" i="7"/>
  <c r="VE153" i="7"/>
  <c r="VB153" i="7"/>
  <c r="VC153" i="7" s="1"/>
  <c r="VA153" i="7"/>
  <c r="UZ153" i="7"/>
  <c r="UY153" i="7"/>
  <c r="UV153" i="7"/>
  <c r="UU153" i="7"/>
  <c r="US153" i="7"/>
  <c r="UR153" i="7"/>
  <c r="UM153" i="7"/>
  <c r="UN153" i="7" s="1"/>
  <c r="UI153" i="7"/>
  <c r="UH153" i="7"/>
  <c r="UC153" i="7"/>
  <c r="UD153" i="7" s="1"/>
  <c r="TY153" i="7"/>
  <c r="TX153" i="7"/>
  <c r="TS153" i="7"/>
  <c r="TT153" i="7" s="1"/>
  <c r="TO153" i="7"/>
  <c r="TN153" i="7"/>
  <c r="TI153" i="7"/>
  <c r="TD153" i="7"/>
  <c r="TE153" i="7" s="1"/>
  <c r="SY153" i="7"/>
  <c r="SZ153" i="7" s="1"/>
  <c r="ST153" i="7"/>
  <c r="SU153" i="7" s="1"/>
  <c r="SO153" i="7"/>
  <c r="SP153" i="7" s="1"/>
  <c r="SH153" i="7"/>
  <c r="SG153" i="7"/>
  <c r="SC153" i="7"/>
  <c r="SB153" i="7"/>
  <c r="RX153" i="7"/>
  <c r="RW153" i="7"/>
  <c r="RS153" i="7"/>
  <c r="RR153" i="7"/>
  <c r="RQ153" i="7"/>
  <c r="RN153" i="7"/>
  <c r="RM153" i="7"/>
  <c r="RK153" i="7"/>
  <c r="RJ153" i="7"/>
  <c r="RE153" i="7"/>
  <c r="RF153" i="7" s="1"/>
  <c r="RA153" i="7"/>
  <c r="QZ153" i="7"/>
  <c r="QU153" i="7"/>
  <c r="QV153" i="7" s="1"/>
  <c r="QQ153" i="7"/>
  <c r="QP153" i="7"/>
  <c r="QK153" i="7"/>
  <c r="QL153" i="7" s="1"/>
  <c r="QG153" i="7"/>
  <c r="QF153" i="7"/>
  <c r="QA153" i="7"/>
  <c r="QB153" i="7" s="1"/>
  <c r="PW153" i="7"/>
  <c r="PV153" i="7"/>
  <c r="PQ153" i="7"/>
  <c r="PR153" i="7" s="1"/>
  <c r="PM153" i="7"/>
  <c r="PL153" i="7"/>
  <c r="PG153" i="7"/>
  <c r="PH153" i="7" s="1"/>
  <c r="OZ153" i="7"/>
  <c r="OY153" i="7"/>
  <c r="OU153" i="7"/>
  <c r="OT153" i="7"/>
  <c r="OS153" i="7"/>
  <c r="OP153" i="7"/>
  <c r="OO153" i="7"/>
  <c r="ON153" i="7"/>
  <c r="OL153" i="7"/>
  <c r="OK153" i="7"/>
  <c r="OJ153" i="7"/>
  <c r="OI153" i="7"/>
  <c r="OF153" i="7"/>
  <c r="OE153" i="7"/>
  <c r="OB153" i="7"/>
  <c r="OC153" i="7" s="1"/>
  <c r="NW153" i="7"/>
  <c r="NX153" i="7" s="1"/>
  <c r="NS153" i="7"/>
  <c r="NR153" i="7"/>
  <c r="NM153" i="7"/>
  <c r="NH153" i="7"/>
  <c r="NI153" i="7" s="1"/>
  <c r="NC153" i="7"/>
  <c r="ND153" i="7" s="1"/>
  <c r="MX153" i="7"/>
  <c r="MY153" i="7" s="1"/>
  <c r="MS153" i="7"/>
  <c r="MT153" i="7" s="1"/>
  <c r="MN153" i="7"/>
  <c r="MI153" i="7"/>
  <c r="MJ153" i="7" s="1"/>
  <c r="LS153" i="7"/>
  <c r="LR153" i="7"/>
  <c r="LQ153" i="7"/>
  <c r="LK153" i="7"/>
  <c r="LJ153" i="7"/>
  <c r="LI153" i="7"/>
  <c r="LG153" i="7"/>
  <c r="LF153" i="7"/>
  <c r="LE153" i="7"/>
  <c r="LC153" i="7"/>
  <c r="LB153" i="7"/>
  <c r="LA153" i="7"/>
  <c r="KZ153" i="7"/>
  <c r="HY153" i="7"/>
  <c r="HX153" i="7"/>
  <c r="HW153" i="7"/>
  <c r="HV153" i="7"/>
  <c r="EU153" i="7"/>
  <c r="ET153" i="7"/>
  <c r="ES153" i="7"/>
  <c r="ER153" i="7"/>
  <c r="VP152" i="7"/>
  <c r="VO152" i="7"/>
  <c r="VL152" i="7"/>
  <c r="VM152" i="7" s="1"/>
  <c r="VK152" i="7"/>
  <c r="VJ152" i="7"/>
  <c r="VF152" i="7"/>
  <c r="VE152" i="7"/>
  <c r="VA152" i="7"/>
  <c r="UZ152" i="7"/>
  <c r="UY152" i="7"/>
  <c r="UV152" i="7"/>
  <c r="UU152" i="7"/>
  <c r="UR152" i="7"/>
  <c r="UW152" i="7" s="1"/>
  <c r="UX152" i="7" s="1"/>
  <c r="UM152" i="7"/>
  <c r="UN152" i="7" s="1"/>
  <c r="UH152" i="7"/>
  <c r="VQ152" i="7" s="1"/>
  <c r="VR152" i="7" s="1"/>
  <c r="UC152" i="7"/>
  <c r="UD152" i="7" s="1"/>
  <c r="TY152" i="7"/>
  <c r="TX152" i="7"/>
  <c r="TS152" i="7"/>
  <c r="TN152" i="7"/>
  <c r="TO152" i="7" s="1"/>
  <c r="TJ152" i="7"/>
  <c r="TI152" i="7"/>
  <c r="TD152" i="7"/>
  <c r="TE152" i="7" s="1"/>
  <c r="SZ152" i="7"/>
  <c r="SY152" i="7"/>
  <c r="ST152" i="7"/>
  <c r="SU152" i="7" s="1"/>
  <c r="SP152" i="7"/>
  <c r="SO152" i="7"/>
  <c r="SI152" i="7"/>
  <c r="SJ152" i="7" s="1"/>
  <c r="SH152" i="7"/>
  <c r="SG152" i="7"/>
  <c r="SC152" i="7"/>
  <c r="SB152" i="7"/>
  <c r="RX152" i="7"/>
  <c r="RW152" i="7"/>
  <c r="RN152" i="7"/>
  <c r="RM152" i="7"/>
  <c r="RK152" i="7"/>
  <c r="RJ152" i="7"/>
  <c r="RO152" i="7" s="1"/>
  <c r="RP152" i="7" s="1"/>
  <c r="RE152" i="7"/>
  <c r="RF152" i="7" s="1"/>
  <c r="RA152" i="7"/>
  <c r="QZ152" i="7"/>
  <c r="QU152" i="7"/>
  <c r="SD152" i="7" s="1"/>
  <c r="SE152" i="7" s="1"/>
  <c r="QQ152" i="7"/>
  <c r="QP152" i="7"/>
  <c r="QK152" i="7"/>
  <c r="QL152" i="7" s="1"/>
  <c r="QG152" i="7"/>
  <c r="QF152" i="7"/>
  <c r="RY152" i="7" s="1"/>
  <c r="RZ152" i="7" s="1"/>
  <c r="VP151" i="7"/>
  <c r="VO151" i="7"/>
  <c r="VK151" i="7"/>
  <c r="VJ151" i="7"/>
  <c r="VF151" i="7"/>
  <c r="VE151" i="7"/>
  <c r="VA151" i="7"/>
  <c r="UZ151" i="7"/>
  <c r="UY151" i="7"/>
  <c r="UV151" i="7"/>
  <c r="UU151" i="7"/>
  <c r="UR151" i="7"/>
  <c r="US151" i="7" s="1"/>
  <c r="UM151" i="7"/>
  <c r="UN151" i="7" s="1"/>
  <c r="UH151" i="7"/>
  <c r="VQ151" i="7" s="1"/>
  <c r="VR151" i="7" s="1"/>
  <c r="UC151" i="7"/>
  <c r="UD151" i="7" s="1"/>
  <c r="TX151" i="7"/>
  <c r="VL151" i="7" s="1"/>
  <c r="VM151" i="7" s="1"/>
  <c r="TS151" i="7"/>
  <c r="TT151" i="7" s="1"/>
  <c r="TN151" i="7"/>
  <c r="TO151" i="7" s="1"/>
  <c r="TI151" i="7"/>
  <c r="TJ151" i="7" s="1"/>
  <c r="TD151" i="7"/>
  <c r="VG151" i="7" s="1"/>
  <c r="VH151" i="7" s="1"/>
  <c r="SY151" i="7"/>
  <c r="SZ151" i="7" s="1"/>
  <c r="ST151" i="7"/>
  <c r="VB151" i="7" s="1"/>
  <c r="VC151" i="7" s="1"/>
  <c r="SO151" i="7"/>
  <c r="SP151" i="7" s="1"/>
  <c r="SI151" i="7"/>
  <c r="SJ151" i="7" s="1"/>
  <c r="SH151" i="7"/>
  <c r="SG151" i="7"/>
  <c r="SD151" i="7"/>
  <c r="SE151" i="7" s="1"/>
  <c r="SC151" i="7"/>
  <c r="SB151" i="7"/>
  <c r="RY151" i="7"/>
  <c r="RZ151" i="7" s="1"/>
  <c r="RX151" i="7"/>
  <c r="RW151" i="7"/>
  <c r="RT151" i="7"/>
  <c r="RU151" i="7" s="1"/>
  <c r="RS151" i="7"/>
  <c r="RR151" i="7"/>
  <c r="RQ151" i="7"/>
  <c r="RN151" i="7"/>
  <c r="RM151" i="7"/>
  <c r="RK151" i="7"/>
  <c r="RJ151" i="7"/>
  <c r="RO151" i="7" s="1"/>
  <c r="RP151" i="7" s="1"/>
  <c r="RE151" i="7"/>
  <c r="RF151" i="7" s="1"/>
  <c r="RA151" i="7"/>
  <c r="QZ151" i="7"/>
  <c r="QU151" i="7"/>
  <c r="QV151" i="7" s="1"/>
  <c r="QQ151" i="7"/>
  <c r="QP151" i="7"/>
  <c r="QK151" i="7"/>
  <c r="QL151" i="7" s="1"/>
  <c r="QG151" i="7"/>
  <c r="QF151" i="7"/>
  <c r="QA151" i="7"/>
  <c r="QB151" i="7" s="1"/>
  <c r="PW151" i="7"/>
  <c r="PV151" i="7"/>
  <c r="PQ151" i="7"/>
  <c r="PR151" i="7" s="1"/>
  <c r="PM151" i="7"/>
  <c r="PL151" i="7"/>
  <c r="PG151" i="7"/>
  <c r="PH151" i="7" s="1"/>
  <c r="OZ151" i="7"/>
  <c r="OY151" i="7"/>
  <c r="OU151" i="7"/>
  <c r="OT151" i="7"/>
  <c r="OS151" i="7"/>
  <c r="OP151" i="7"/>
  <c r="OO151" i="7"/>
  <c r="ON151" i="7"/>
  <c r="OK151" i="7"/>
  <c r="OJ151" i="7"/>
  <c r="OI151" i="7"/>
  <c r="OF151" i="7"/>
  <c r="OE151" i="7"/>
  <c r="OB151" i="7"/>
  <c r="OC151" i="7" s="1"/>
  <c r="NW151" i="7"/>
  <c r="NX151" i="7" s="1"/>
  <c r="NR151" i="7"/>
  <c r="NS151" i="7" s="1"/>
  <c r="NM151" i="7"/>
  <c r="OV151" i="7" s="1"/>
  <c r="OW151" i="7" s="1"/>
  <c r="NH151" i="7"/>
  <c r="NI151" i="7" s="1"/>
  <c r="NC151" i="7"/>
  <c r="ND151" i="7" s="1"/>
  <c r="MX151" i="7"/>
  <c r="MY151" i="7" s="1"/>
  <c r="MS151" i="7"/>
  <c r="MT151" i="7" s="1"/>
  <c r="MN151" i="7"/>
  <c r="MO151" i="7" s="1"/>
  <c r="MI151" i="7"/>
  <c r="MJ151" i="7" s="1"/>
  <c r="MD151" i="7"/>
  <c r="OL151" i="7" s="1"/>
  <c r="OM151" i="7" s="1"/>
  <c r="LY151" i="7"/>
  <c r="LZ151" i="7" s="1"/>
  <c r="LR151" i="7"/>
  <c r="LQ151" i="7"/>
  <c r="LN151" i="7"/>
  <c r="LM151" i="7"/>
  <c r="LJ151" i="7"/>
  <c r="LI151" i="7"/>
  <c r="LG151" i="7"/>
  <c r="LH151" i="7" s="1"/>
  <c r="LF151" i="7"/>
  <c r="LE151" i="7"/>
  <c r="LB151" i="7"/>
  <c r="LA151" i="7"/>
  <c r="KX151" i="7"/>
  <c r="KY151" i="7" s="1"/>
  <c r="KS151" i="7"/>
  <c r="KT151" i="7" s="1"/>
  <c r="KN151" i="7"/>
  <c r="KI151" i="7"/>
  <c r="KJ151" i="7" s="1"/>
  <c r="KD151" i="7"/>
  <c r="JY151" i="7"/>
  <c r="JZ151" i="7" s="1"/>
  <c r="JT151" i="7"/>
  <c r="HY151" i="7"/>
  <c r="HX151" i="7"/>
  <c r="HW151" i="7"/>
  <c r="HV151" i="7"/>
  <c r="EU151" i="7"/>
  <c r="EV151" i="7" s="1"/>
  <c r="ET151" i="7"/>
  <c r="ES151" i="7"/>
  <c r="ER151" i="7"/>
  <c r="VP150" i="7"/>
  <c r="VO150" i="7"/>
  <c r="VK150" i="7"/>
  <c r="VF150" i="7"/>
  <c r="VA150" i="7"/>
  <c r="UY150" i="7"/>
  <c r="UV150" i="7"/>
  <c r="UR150" i="7"/>
  <c r="US150" i="7" s="1"/>
  <c r="UN150" i="7"/>
  <c r="UM150" i="7"/>
  <c r="UH150" i="7"/>
  <c r="UD150" i="7"/>
  <c r="UC150" i="7"/>
  <c r="TX150" i="7"/>
  <c r="TV150" i="7"/>
  <c r="TQ150" i="7"/>
  <c r="TS150" i="7" s="1"/>
  <c r="TT150" i="7" s="1"/>
  <c r="TL150" i="7"/>
  <c r="TN150" i="7" s="1"/>
  <c r="TO150" i="7" s="1"/>
  <c r="TJ150" i="7"/>
  <c r="TI150" i="7"/>
  <c r="TG150" i="7"/>
  <c r="TD150" i="7"/>
  <c r="TB150" i="7"/>
  <c r="VE150" i="7" s="1"/>
  <c r="SW150" i="7"/>
  <c r="SY150" i="7" s="1"/>
  <c r="SZ150" i="7" s="1"/>
  <c r="SR150" i="7"/>
  <c r="ST150" i="7" s="1"/>
  <c r="SU150" i="7" s="1"/>
  <c r="SM150" i="7"/>
  <c r="SI150" i="7"/>
  <c r="SJ150" i="7" s="1"/>
  <c r="SH150" i="7"/>
  <c r="SG150" i="7"/>
  <c r="SD150" i="7"/>
  <c r="SE150" i="7" s="1"/>
  <c r="SC150" i="7"/>
  <c r="SB150" i="7"/>
  <c r="RX150" i="7"/>
  <c r="RS150" i="7"/>
  <c r="RQ150" i="7"/>
  <c r="RN150" i="7"/>
  <c r="RK150" i="7"/>
  <c r="RJ150" i="7"/>
  <c r="RE150" i="7"/>
  <c r="RF150" i="7" s="1"/>
  <c r="RA150" i="7"/>
  <c r="QZ150" i="7"/>
  <c r="QU150" i="7"/>
  <c r="QV150" i="7" s="1"/>
  <c r="QQ150" i="7"/>
  <c r="QP150" i="7"/>
  <c r="QK150" i="7"/>
  <c r="QL150" i="7" s="1"/>
  <c r="QD150" i="7"/>
  <c r="QD164" i="7" s="1"/>
  <c r="QA150" i="7"/>
  <c r="QB150" i="7" s="1"/>
  <c r="PY150" i="7"/>
  <c r="PT150" i="7"/>
  <c r="PO150" i="7"/>
  <c r="PO164" i="7" s="1"/>
  <c r="PM150" i="7"/>
  <c r="PL150" i="7"/>
  <c r="PG150" i="7"/>
  <c r="PH150" i="7" s="1"/>
  <c r="OZ150" i="7"/>
  <c r="OW150" i="7"/>
  <c r="OU150" i="7"/>
  <c r="OT150" i="7"/>
  <c r="OS150" i="7"/>
  <c r="OP150" i="7"/>
  <c r="ON150" i="7"/>
  <c r="OK150" i="7"/>
  <c r="OI150" i="7"/>
  <c r="OF150" i="7"/>
  <c r="OB150" i="7"/>
  <c r="OC150" i="7" s="1"/>
  <c r="NU150" i="7"/>
  <c r="NU164" i="7" s="1"/>
  <c r="NS150" i="7"/>
  <c r="NR150" i="7"/>
  <c r="NM150" i="7"/>
  <c r="OV150" i="7" s="1"/>
  <c r="NI150" i="7"/>
  <c r="NH150" i="7"/>
  <c r="NC150" i="7"/>
  <c r="ND150" i="7" s="1"/>
  <c r="MY150" i="7"/>
  <c r="MX150" i="7"/>
  <c r="MQ150" i="7"/>
  <c r="MN150" i="7"/>
  <c r="MO150" i="7" s="1"/>
  <c r="MI150" i="7"/>
  <c r="MJ150" i="7" s="1"/>
  <c r="MD150" i="7"/>
  <c r="ME150" i="7" s="1"/>
  <c r="LY150" i="7"/>
  <c r="LW150" i="7"/>
  <c r="LW164" i="7" s="1"/>
  <c r="LR150" i="7"/>
  <c r="LQ150" i="7"/>
  <c r="LN150" i="7"/>
  <c r="LM150" i="7"/>
  <c r="LJ150" i="7"/>
  <c r="LI150" i="7"/>
  <c r="LF150" i="7"/>
  <c r="LE150" i="7"/>
  <c r="LB150" i="7"/>
  <c r="KX150" i="7"/>
  <c r="KY150" i="7" s="1"/>
  <c r="KT150" i="7"/>
  <c r="KS150" i="7"/>
  <c r="KN150" i="7"/>
  <c r="LS150" i="7" s="1"/>
  <c r="LT150" i="7" s="1"/>
  <c r="KJ150" i="7"/>
  <c r="KI150" i="7"/>
  <c r="KD150" i="7"/>
  <c r="LO150" i="7" s="1"/>
  <c r="JZ150" i="7"/>
  <c r="JY150" i="7"/>
  <c r="JT150" i="7"/>
  <c r="JU150" i="7" s="1"/>
  <c r="JP150" i="7"/>
  <c r="JO150" i="7"/>
  <c r="JM150" i="7"/>
  <c r="JJ150" i="7"/>
  <c r="JH150" i="7"/>
  <c r="JC150" i="7"/>
  <c r="JE150" i="7" s="1"/>
  <c r="JF150" i="7" s="1"/>
  <c r="IX150" i="7"/>
  <c r="LA150" i="7" s="1"/>
  <c r="IV150" i="7"/>
  <c r="IU150" i="7"/>
  <c r="IS150" i="7"/>
  <c r="IS167" i="7" s="1"/>
  <c r="IN150" i="7"/>
  <c r="IM150" i="7"/>
  <c r="IJ150" i="7"/>
  <c r="II150" i="7"/>
  <c r="IG150" i="7"/>
  <c r="IF150" i="7"/>
  <c r="IE150" i="7"/>
  <c r="HX150" i="7"/>
  <c r="HV150" i="7"/>
  <c r="HT150" i="7"/>
  <c r="HU150" i="7" s="1"/>
  <c r="HO150" i="7"/>
  <c r="HP150" i="7" s="1"/>
  <c r="HH150" i="7"/>
  <c r="HH232" i="7" s="1"/>
  <c r="HF150" i="7"/>
  <c r="HC150" i="7"/>
  <c r="HE150" i="7" s="1"/>
  <c r="GZ150" i="7"/>
  <c r="IK150" i="7" s="1"/>
  <c r="GG150" i="7"/>
  <c r="EU150" i="7"/>
  <c r="EV150" i="7" s="1"/>
  <c r="ET150" i="7"/>
  <c r="ES150" i="7"/>
  <c r="ER150" i="7"/>
  <c r="VP149" i="7"/>
  <c r="VO149" i="7"/>
  <c r="VK149" i="7"/>
  <c r="VJ149" i="7"/>
  <c r="VF149" i="7"/>
  <c r="VE149" i="7"/>
  <c r="VA149" i="7"/>
  <c r="UZ149" i="7"/>
  <c r="UY149" i="7"/>
  <c r="UV149" i="7"/>
  <c r="UU149" i="7"/>
  <c r="UR149" i="7"/>
  <c r="US149" i="7" s="1"/>
  <c r="UM149" i="7"/>
  <c r="UN149" i="7" s="1"/>
  <c r="UH149" i="7"/>
  <c r="UC149" i="7"/>
  <c r="UD149" i="7" s="1"/>
  <c r="TX149" i="7"/>
  <c r="TS149" i="7"/>
  <c r="TT149" i="7" s="1"/>
  <c r="TN149" i="7"/>
  <c r="TO149" i="7" s="1"/>
  <c r="TI149" i="7"/>
  <c r="TJ149" i="7" s="1"/>
  <c r="TD149" i="7"/>
  <c r="SY149" i="7"/>
  <c r="SZ149" i="7" s="1"/>
  <c r="ST149" i="7"/>
  <c r="SO149" i="7"/>
  <c r="SP149" i="7" s="1"/>
  <c r="SI149" i="7"/>
  <c r="SJ149" i="7" s="1"/>
  <c r="SH149" i="7"/>
  <c r="SG149" i="7"/>
  <c r="SD149" i="7"/>
  <c r="SE149" i="7" s="1"/>
  <c r="SC149" i="7"/>
  <c r="SB149" i="7"/>
  <c r="RY149" i="7"/>
  <c r="RZ149" i="7" s="1"/>
  <c r="RX149" i="7"/>
  <c r="RW149" i="7"/>
  <c r="RT149" i="7"/>
  <c r="RU149" i="7" s="1"/>
  <c r="RS149" i="7"/>
  <c r="RR149" i="7"/>
  <c r="RQ149" i="7"/>
  <c r="RN149" i="7"/>
  <c r="RM149" i="7"/>
  <c r="RK149" i="7"/>
  <c r="RJ149" i="7"/>
  <c r="RO149" i="7" s="1"/>
  <c r="RP149" i="7" s="1"/>
  <c r="RE149" i="7"/>
  <c r="RF149" i="7" s="1"/>
  <c r="RA149" i="7"/>
  <c r="QZ149" i="7"/>
  <c r="QU149" i="7"/>
  <c r="QV149" i="7" s="1"/>
  <c r="QQ149" i="7"/>
  <c r="QP149" i="7"/>
  <c r="QK149" i="7"/>
  <c r="QL149" i="7" s="1"/>
  <c r="QG149" i="7"/>
  <c r="QF149" i="7"/>
  <c r="QA149" i="7"/>
  <c r="QB149" i="7" s="1"/>
  <c r="PW149" i="7"/>
  <c r="PV149" i="7"/>
  <c r="PQ149" i="7"/>
  <c r="PR149" i="7" s="1"/>
  <c r="PM149" i="7"/>
  <c r="PL149" i="7"/>
  <c r="PG149" i="7"/>
  <c r="PH149" i="7" s="1"/>
  <c r="OZ149" i="7"/>
  <c r="OY149" i="7"/>
  <c r="OU149" i="7"/>
  <c r="OT149" i="7"/>
  <c r="OS149" i="7"/>
  <c r="OP149" i="7"/>
  <c r="OO149" i="7"/>
  <c r="ON149" i="7"/>
  <c r="OK149" i="7"/>
  <c r="OJ149" i="7"/>
  <c r="OI149" i="7"/>
  <c r="OG149" i="7"/>
  <c r="OH149" i="7" s="1"/>
  <c r="OF149" i="7"/>
  <c r="OE149" i="7"/>
  <c r="OB149" i="7"/>
  <c r="OC149" i="7" s="1"/>
  <c r="NW149" i="7"/>
  <c r="NX149" i="7" s="1"/>
  <c r="NR149" i="7"/>
  <c r="NM149" i="7"/>
  <c r="NH149" i="7"/>
  <c r="NI149" i="7" s="1"/>
  <c r="NC149" i="7"/>
  <c r="ND149" i="7" s="1"/>
  <c r="MX149" i="7"/>
  <c r="MY149" i="7" s="1"/>
  <c r="MS149" i="7"/>
  <c r="MT149" i="7" s="1"/>
  <c r="MN149" i="7"/>
  <c r="ML149" i="7"/>
  <c r="ML164" i="7" s="1"/>
  <c r="MI149" i="7"/>
  <c r="MJ149" i="7" s="1"/>
  <c r="ME149" i="7"/>
  <c r="MD149" i="7"/>
  <c r="LY149" i="7"/>
  <c r="OL149" i="7" s="1"/>
  <c r="OM149" i="7" s="1"/>
  <c r="LR149" i="7"/>
  <c r="LQ149" i="7"/>
  <c r="LN149" i="7"/>
  <c r="LM149" i="7"/>
  <c r="LJ149" i="7"/>
  <c r="LI149" i="7"/>
  <c r="LH149" i="7"/>
  <c r="LG149" i="7"/>
  <c r="LF149" i="7"/>
  <c r="LE149" i="7"/>
  <c r="LB149" i="7"/>
  <c r="LA149" i="7"/>
  <c r="KY149" i="7"/>
  <c r="KX149" i="7"/>
  <c r="KS149" i="7"/>
  <c r="KT149" i="7" s="1"/>
  <c r="KO149" i="7"/>
  <c r="KN149" i="7"/>
  <c r="LS149" i="7" s="1"/>
  <c r="LT149" i="7" s="1"/>
  <c r="KI149" i="7"/>
  <c r="KJ149" i="7" s="1"/>
  <c r="KB149" i="7"/>
  <c r="KD149" i="7" s="1"/>
  <c r="KE149" i="7" s="1"/>
  <c r="JY149" i="7"/>
  <c r="JT149" i="7"/>
  <c r="JU149" i="7" s="1"/>
  <c r="JO149" i="7"/>
  <c r="JP149" i="7" s="1"/>
  <c r="JJ149" i="7"/>
  <c r="LK149" i="7" s="1"/>
  <c r="LL149" i="7" s="1"/>
  <c r="JF149" i="7"/>
  <c r="HY149" i="7"/>
  <c r="HX149" i="7"/>
  <c r="HW149" i="7"/>
  <c r="HV149" i="7"/>
  <c r="EV149" i="7"/>
  <c r="EU149" i="7"/>
  <c r="ET149" i="7"/>
  <c r="ES149" i="7"/>
  <c r="ER149" i="7"/>
  <c r="VP148" i="7"/>
  <c r="VO148" i="7"/>
  <c r="VK148" i="7"/>
  <c r="VF148" i="7"/>
  <c r="VE148" i="7"/>
  <c r="VA148" i="7"/>
  <c r="UZ148" i="7"/>
  <c r="UY148" i="7"/>
  <c r="UV148" i="7"/>
  <c r="UR148" i="7"/>
  <c r="UN148" i="7"/>
  <c r="UM148" i="7"/>
  <c r="UH148" i="7"/>
  <c r="VQ148" i="7" s="1"/>
  <c r="VR148" i="7" s="1"/>
  <c r="UD148" i="7"/>
  <c r="UC148" i="7"/>
  <c r="TV148" i="7"/>
  <c r="TQ148" i="7"/>
  <c r="TS148" i="7" s="1"/>
  <c r="TT148" i="7" s="1"/>
  <c r="TO148" i="7"/>
  <c r="TL148" i="7"/>
  <c r="TN148" i="7" s="1"/>
  <c r="TI148" i="7"/>
  <c r="TJ148" i="7" s="1"/>
  <c r="TG148" i="7"/>
  <c r="TG164" i="7" s="1"/>
  <c r="TB148" i="7"/>
  <c r="TD148" i="7" s="1"/>
  <c r="SW148" i="7"/>
  <c r="SY148" i="7" s="1"/>
  <c r="SZ148" i="7" s="1"/>
  <c r="SR148" i="7"/>
  <c r="ST148" i="7" s="1"/>
  <c r="SU148" i="7" s="1"/>
  <c r="SO148" i="7"/>
  <c r="SM148" i="7"/>
  <c r="SM164" i="7" s="1"/>
  <c r="SH148" i="7"/>
  <c r="SG148" i="7"/>
  <c r="SC148" i="7"/>
  <c r="SB148" i="7"/>
  <c r="RX148" i="7"/>
  <c r="RW148" i="7"/>
  <c r="RS148" i="7"/>
  <c r="RR148" i="7"/>
  <c r="RQ148" i="7"/>
  <c r="RN148" i="7"/>
  <c r="RM148" i="7"/>
  <c r="RJ148" i="7"/>
  <c r="RK148" i="7" s="1"/>
  <c r="RF148" i="7"/>
  <c r="RE148" i="7"/>
  <c r="QZ148" i="7"/>
  <c r="QV148" i="7"/>
  <c r="QU148" i="7"/>
  <c r="QP148" i="7"/>
  <c r="QL148" i="7"/>
  <c r="QK148" i="7"/>
  <c r="QF148" i="7"/>
  <c r="QG148" i="7" s="1"/>
  <c r="QB148" i="7"/>
  <c r="QA148" i="7"/>
  <c r="PV148" i="7"/>
  <c r="PR148" i="7"/>
  <c r="PQ148" i="7"/>
  <c r="PL148" i="7"/>
  <c r="PH148" i="7"/>
  <c r="PG148" i="7"/>
  <c r="OZ148" i="7"/>
  <c r="OU148" i="7"/>
  <c r="OT148" i="7"/>
  <c r="OS148" i="7"/>
  <c r="OP148" i="7"/>
  <c r="OO148" i="7"/>
  <c r="ON148" i="7"/>
  <c r="OK148" i="7"/>
  <c r="OJ148" i="7"/>
  <c r="OI148" i="7"/>
  <c r="OF148" i="7"/>
  <c r="NZ148" i="7"/>
  <c r="NX148" i="7"/>
  <c r="NW148" i="7"/>
  <c r="NR148" i="7"/>
  <c r="NS148" i="7" s="1"/>
  <c r="NN148" i="7"/>
  <c r="NM148" i="7"/>
  <c r="NH148" i="7"/>
  <c r="NI148" i="7" s="1"/>
  <c r="ND148" i="7"/>
  <c r="NC148" i="7"/>
  <c r="MX148" i="7"/>
  <c r="MY148" i="7" s="1"/>
  <c r="MT148" i="7"/>
  <c r="MS148" i="7"/>
  <c r="MN148" i="7"/>
  <c r="MJ148" i="7"/>
  <c r="MI148" i="7"/>
  <c r="MD148" i="7"/>
  <c r="ME148" i="7" s="1"/>
  <c r="LZ148" i="7"/>
  <c r="LY148" i="7"/>
  <c r="OL148" i="7" s="1"/>
  <c r="OM148" i="7" s="1"/>
  <c r="LS148" i="7"/>
  <c r="LT148" i="7" s="1"/>
  <c r="LR148" i="7"/>
  <c r="LQ148" i="7"/>
  <c r="LO148" i="7"/>
  <c r="LP148" i="7" s="1"/>
  <c r="LN148" i="7"/>
  <c r="LM148" i="7"/>
  <c r="LJ148" i="7"/>
  <c r="LI148" i="7"/>
  <c r="LG148" i="7"/>
  <c r="LH148" i="7" s="1"/>
  <c r="LF148" i="7"/>
  <c r="LE148" i="7"/>
  <c r="LB148" i="7"/>
  <c r="KX148" i="7"/>
  <c r="KY148" i="7" s="1"/>
  <c r="KT148" i="7"/>
  <c r="KS148" i="7"/>
  <c r="KN148" i="7"/>
  <c r="KO148" i="7" s="1"/>
  <c r="KJ148" i="7"/>
  <c r="KI148" i="7"/>
  <c r="KD148" i="7"/>
  <c r="KE148" i="7" s="1"/>
  <c r="JZ148" i="7"/>
  <c r="JY148" i="7"/>
  <c r="JT148" i="7"/>
  <c r="JU148" i="7" s="1"/>
  <c r="JR148" i="7"/>
  <c r="LA148" i="7" s="1"/>
  <c r="JO148" i="7"/>
  <c r="JP148" i="7" s="1"/>
  <c r="JK148" i="7"/>
  <c r="JJ148" i="7"/>
  <c r="JE148" i="7"/>
  <c r="JF148" i="7" s="1"/>
  <c r="JA148" i="7"/>
  <c r="IZ148" i="7"/>
  <c r="IU148" i="7"/>
  <c r="IV148" i="7" s="1"/>
  <c r="IN148" i="7"/>
  <c r="IM148" i="7"/>
  <c r="IL148" i="7"/>
  <c r="IJ148" i="7"/>
  <c r="II148" i="7"/>
  <c r="IH148" i="7"/>
  <c r="IF148" i="7"/>
  <c r="IE148" i="7"/>
  <c r="IB148" i="7"/>
  <c r="IA148" i="7"/>
  <c r="HY148" i="7"/>
  <c r="HX148" i="7"/>
  <c r="HW148" i="7"/>
  <c r="HV148" i="7"/>
  <c r="HU148" i="7"/>
  <c r="HT148" i="7"/>
  <c r="HO148" i="7"/>
  <c r="HP148" i="7" s="1"/>
  <c r="HK148" i="7"/>
  <c r="HJ148" i="7"/>
  <c r="IO148" i="7" s="1"/>
  <c r="IP148" i="7" s="1"/>
  <c r="HE148" i="7"/>
  <c r="HF148" i="7" s="1"/>
  <c r="HA148" i="7"/>
  <c r="GZ148" i="7"/>
  <c r="GU148" i="7"/>
  <c r="IK148" i="7" s="1"/>
  <c r="GQ148" i="7"/>
  <c r="GP148" i="7"/>
  <c r="GK148" i="7"/>
  <c r="GL148" i="7" s="1"/>
  <c r="GG148" i="7"/>
  <c r="GF148" i="7"/>
  <c r="IG148" i="7" s="1"/>
  <c r="GA148" i="7"/>
  <c r="GB148" i="7" s="1"/>
  <c r="FW148" i="7"/>
  <c r="FV148" i="7"/>
  <c r="FQ148" i="7"/>
  <c r="IC148" i="7" s="1"/>
  <c r="ID148" i="7" s="1"/>
  <c r="FK148" i="7"/>
  <c r="FI148" i="7"/>
  <c r="FF148" i="7"/>
  <c r="FE148" i="7"/>
  <c r="FB148" i="7"/>
  <c r="FA148" i="7"/>
  <c r="EX148" i="7"/>
  <c r="ET148" i="7"/>
  <c r="ER148" i="7"/>
  <c r="EP148" i="7"/>
  <c r="EQ148" i="7" s="1"/>
  <c r="EK148" i="7"/>
  <c r="EL148" i="7" s="1"/>
  <c r="EF148" i="7"/>
  <c r="FL148" i="7" s="1"/>
  <c r="FM148" i="7" s="1"/>
  <c r="EA148" i="7"/>
  <c r="EB148" i="7" s="1"/>
  <c r="DY148" i="7"/>
  <c r="DT148" i="7"/>
  <c r="DV148" i="7" s="1"/>
  <c r="DW148" i="7" s="1"/>
  <c r="DQ148" i="7"/>
  <c r="DL148" i="7"/>
  <c r="DJ148" i="7"/>
  <c r="DI148" i="7"/>
  <c r="DG148" i="7"/>
  <c r="DH148" i="7" s="1"/>
  <c r="DE148" i="7"/>
  <c r="DD148" i="7"/>
  <c r="DB148" i="7"/>
  <c r="DC148" i="7" s="1"/>
  <c r="CZ148" i="7"/>
  <c r="CY148" i="7"/>
  <c r="CW148" i="7"/>
  <c r="CX148" i="7" s="1"/>
  <c r="CU148" i="7"/>
  <c r="CP148" i="7"/>
  <c r="CR148" i="7" s="1"/>
  <c r="CS148" i="7" s="1"/>
  <c r="CK148" i="7"/>
  <c r="ES148" i="7" s="1"/>
  <c r="CJ148" i="7"/>
  <c r="EW148" i="7" s="1"/>
  <c r="CG148" i="7"/>
  <c r="CF148" i="7"/>
  <c r="CC148" i="7"/>
  <c r="CB148" i="7"/>
  <c r="BY148" i="7"/>
  <c r="BX148" i="7"/>
  <c r="BU148" i="7"/>
  <c r="BT148" i="7"/>
  <c r="BR148" i="7"/>
  <c r="BP148" i="7"/>
  <c r="BL148" i="7"/>
  <c r="BN148" i="7" s="1"/>
  <c r="BO148" i="7" s="1"/>
  <c r="BJ148" i="7"/>
  <c r="BI148" i="7"/>
  <c r="BD148" i="7"/>
  <c r="CH148" i="7" s="1"/>
  <c r="AZ148" i="7"/>
  <c r="AY148" i="7"/>
  <c r="AR148" i="7"/>
  <c r="AM148" i="7"/>
  <c r="AO148" i="7" s="1"/>
  <c r="AP148" i="7" s="1"/>
  <c r="AK148" i="7"/>
  <c r="AJ148" i="7"/>
  <c r="AE148" i="7"/>
  <c r="BZ148" i="7" s="1"/>
  <c r="AA148" i="7"/>
  <c r="Z148" i="7"/>
  <c r="U148" i="7"/>
  <c r="P148" i="7"/>
  <c r="K148" i="7"/>
  <c r="BV148" i="7" s="1"/>
  <c r="VP147" i="7"/>
  <c r="VO147" i="7"/>
  <c r="VK147" i="7"/>
  <c r="VJ147" i="7"/>
  <c r="VF147" i="7"/>
  <c r="VA147" i="7"/>
  <c r="UY147" i="7"/>
  <c r="UV147" i="7"/>
  <c r="UR147" i="7"/>
  <c r="UN147" i="7"/>
  <c r="UM147" i="7"/>
  <c r="UH147" i="7"/>
  <c r="VQ147" i="7" s="1"/>
  <c r="VR147" i="7" s="1"/>
  <c r="UD147" i="7"/>
  <c r="UC147" i="7"/>
  <c r="VL147" i="7" s="1"/>
  <c r="VM147" i="7" s="1"/>
  <c r="TX147" i="7"/>
  <c r="TY147" i="7" s="1"/>
  <c r="TT147" i="7"/>
  <c r="TS147" i="7"/>
  <c r="TL147" i="7"/>
  <c r="TI147" i="7"/>
  <c r="TJ147" i="7" s="1"/>
  <c r="TD147" i="7"/>
  <c r="TB147" i="7"/>
  <c r="SW147" i="7"/>
  <c r="SR147" i="7"/>
  <c r="SR164" i="7" s="1"/>
  <c r="SP147" i="7"/>
  <c r="SO147" i="7"/>
  <c r="SH147" i="7"/>
  <c r="SG147" i="7"/>
  <c r="SC147" i="7"/>
  <c r="RX147" i="7"/>
  <c r="RS147" i="7"/>
  <c r="RR147" i="7"/>
  <c r="RQ147" i="7"/>
  <c r="RN147" i="7"/>
  <c r="RJ147" i="7"/>
  <c r="RK147" i="7" s="1"/>
  <c r="RF147" i="7"/>
  <c r="RE147" i="7"/>
  <c r="QZ147" i="7"/>
  <c r="QV147" i="7"/>
  <c r="QU147" i="7"/>
  <c r="QP147" i="7"/>
  <c r="QI147" i="7"/>
  <c r="QI164" i="7" s="1"/>
  <c r="QG147" i="7"/>
  <c r="QF147" i="7"/>
  <c r="PY147" i="7"/>
  <c r="PW147" i="7"/>
  <c r="PV147" i="7"/>
  <c r="PQ147" i="7"/>
  <c r="PR147" i="7" s="1"/>
  <c r="PM147" i="7"/>
  <c r="PL147" i="7"/>
  <c r="PG147" i="7"/>
  <c r="OZ147" i="7"/>
  <c r="OY147" i="7"/>
  <c r="OU147" i="7"/>
  <c r="OT147" i="7"/>
  <c r="OS147" i="7"/>
  <c r="OP147" i="7"/>
  <c r="OO147" i="7"/>
  <c r="ON147" i="7"/>
  <c r="OL147" i="7"/>
  <c r="OM147" i="7" s="1"/>
  <c r="OK147" i="7"/>
  <c r="OJ147" i="7"/>
  <c r="OI147" i="7"/>
  <c r="OI164" i="7" s="1"/>
  <c r="OF147" i="7"/>
  <c r="OE147" i="7"/>
  <c r="OC147" i="7"/>
  <c r="OB147" i="7"/>
  <c r="OG147" i="7" s="1"/>
  <c r="OH147" i="7" s="1"/>
  <c r="NW147" i="7"/>
  <c r="NX147" i="7" s="1"/>
  <c r="NS147" i="7"/>
  <c r="NR147" i="7"/>
  <c r="PA147" i="7" s="1"/>
  <c r="PB147" i="7" s="1"/>
  <c r="NM147" i="7"/>
  <c r="OV147" i="7" s="1"/>
  <c r="OW147" i="7" s="1"/>
  <c r="NI147" i="7"/>
  <c r="NH147" i="7"/>
  <c r="NC147" i="7"/>
  <c r="ND147" i="7" s="1"/>
  <c r="MY147" i="7"/>
  <c r="MX147" i="7"/>
  <c r="MS147" i="7"/>
  <c r="OQ147" i="7" s="1"/>
  <c r="OR147" i="7" s="1"/>
  <c r="MO147" i="7"/>
  <c r="MN147" i="7"/>
  <c r="MI147" i="7"/>
  <c r="MJ147" i="7" s="1"/>
  <c r="ME147" i="7"/>
  <c r="MD147" i="7"/>
  <c r="LY147" i="7"/>
  <c r="LZ147" i="7" s="1"/>
  <c r="LR147" i="7"/>
  <c r="LQ147" i="7"/>
  <c r="LN147" i="7"/>
  <c r="LM147" i="7"/>
  <c r="LJ147" i="7"/>
  <c r="LI147" i="7"/>
  <c r="LF147" i="7"/>
  <c r="LE147" i="7"/>
  <c r="LB147" i="7"/>
  <c r="KY147" i="7"/>
  <c r="KX147" i="7"/>
  <c r="KS147" i="7"/>
  <c r="KT147" i="7" s="1"/>
  <c r="KO147" i="7"/>
  <c r="KN147" i="7"/>
  <c r="LS147" i="7" s="1"/>
  <c r="LT147" i="7" s="1"/>
  <c r="KG147" i="7"/>
  <c r="KD147" i="7"/>
  <c r="KE147" i="7" s="1"/>
  <c r="JY147" i="7"/>
  <c r="JT147" i="7"/>
  <c r="JU147" i="7" s="1"/>
  <c r="JO147" i="7"/>
  <c r="JP147" i="7" s="1"/>
  <c r="JJ147" i="7"/>
  <c r="JE147" i="7"/>
  <c r="JF147" i="7" s="1"/>
  <c r="IZ147" i="7"/>
  <c r="JA147" i="7" s="1"/>
  <c r="IU147" i="7"/>
  <c r="IN147" i="7"/>
  <c r="IM147" i="7"/>
  <c r="IJ147" i="7"/>
  <c r="II147" i="7"/>
  <c r="IF147" i="7"/>
  <c r="IE147" i="7"/>
  <c r="IB147" i="7"/>
  <c r="IA147" i="7"/>
  <c r="HW147" i="7"/>
  <c r="HV147" i="7"/>
  <c r="HT147" i="7"/>
  <c r="HU147" i="7" s="1"/>
  <c r="HO147" i="7"/>
  <c r="HP147" i="7" s="1"/>
  <c r="HJ147" i="7"/>
  <c r="HK147" i="7" s="1"/>
  <c r="HE147" i="7"/>
  <c r="HF147" i="7" s="1"/>
  <c r="HC147" i="7"/>
  <c r="GZ147" i="7"/>
  <c r="HA147" i="7" s="1"/>
  <c r="GV147" i="7"/>
  <c r="GU147" i="7"/>
  <c r="IK147" i="7" s="1"/>
  <c r="IL147" i="7" s="1"/>
  <c r="GP147" i="7"/>
  <c r="GQ147" i="7" s="1"/>
  <c r="GL147" i="7"/>
  <c r="GK147" i="7"/>
  <c r="GF147" i="7"/>
  <c r="IG147" i="7" s="1"/>
  <c r="IH147" i="7" s="1"/>
  <c r="GB147" i="7"/>
  <c r="GA147" i="7"/>
  <c r="FV147" i="7"/>
  <c r="FW147" i="7" s="1"/>
  <c r="FR147" i="7"/>
  <c r="FP147" i="7"/>
  <c r="FQ147" i="7" s="1"/>
  <c r="FI147" i="7"/>
  <c r="FF147" i="7"/>
  <c r="FE147" i="7"/>
  <c r="FB147" i="7"/>
  <c r="EX147" i="7"/>
  <c r="EO147" i="7"/>
  <c r="EO232" i="7" s="1"/>
  <c r="EN147" i="7"/>
  <c r="EN232" i="7" s="1"/>
  <c r="EL147" i="7"/>
  <c r="EK147" i="7"/>
  <c r="EF147" i="7"/>
  <c r="EG147" i="7" s="1"/>
  <c r="DY147" i="7"/>
  <c r="DY232" i="7" s="1"/>
  <c r="DV147" i="7"/>
  <c r="DW147" i="7" s="1"/>
  <c r="DT147" i="7"/>
  <c r="DQ147" i="7"/>
  <c r="DR147" i="7" s="1"/>
  <c r="DJ147" i="7"/>
  <c r="DL147" i="7" s="1"/>
  <c r="FC147" i="7" s="1"/>
  <c r="FD147" i="7" s="1"/>
  <c r="DG147" i="7"/>
  <c r="DH147" i="7" s="1"/>
  <c r="DE147" i="7"/>
  <c r="DD147" i="7"/>
  <c r="DB147" i="7"/>
  <c r="DC147" i="7" s="1"/>
  <c r="CZ147" i="7"/>
  <c r="CY147" i="7"/>
  <c r="FA147" i="7" s="1"/>
  <c r="CW147" i="7"/>
  <c r="CX147" i="7" s="1"/>
  <c r="CU147" i="7"/>
  <c r="CP147" i="7"/>
  <c r="CK147" i="7"/>
  <c r="CJ147" i="7"/>
  <c r="CG147" i="7"/>
  <c r="CC147" i="7"/>
  <c r="CB147" i="7"/>
  <c r="BZ147" i="7"/>
  <c r="BY147" i="7"/>
  <c r="BX147" i="7"/>
  <c r="BU147" i="7"/>
  <c r="BT147" i="7"/>
  <c r="BR147" i="7"/>
  <c r="BL147" i="7"/>
  <c r="BN147" i="7" s="1"/>
  <c r="BO147" i="7" s="1"/>
  <c r="BJ147" i="7"/>
  <c r="BI147" i="7"/>
  <c r="BF147" i="7"/>
  <c r="BF232" i="7" s="1"/>
  <c r="BD147" i="7"/>
  <c r="AY147" i="7"/>
  <c r="AZ147" i="7" s="1"/>
  <c r="AT147" i="7"/>
  <c r="AU147" i="7" s="1"/>
  <c r="AR147" i="7"/>
  <c r="AM147" i="7"/>
  <c r="AJ147" i="7"/>
  <c r="AK147" i="7" s="1"/>
  <c r="U147" i="7"/>
  <c r="P147" i="7"/>
  <c r="BV147" i="7" s="1"/>
  <c r="K147" i="7"/>
  <c r="VP146" i="7"/>
  <c r="VO146" i="7"/>
  <c r="VK146" i="7"/>
  <c r="VJ146" i="7"/>
  <c r="VF146" i="7"/>
  <c r="VE146" i="7"/>
  <c r="VA146" i="7"/>
  <c r="UZ146" i="7"/>
  <c r="UY146" i="7"/>
  <c r="UV146" i="7"/>
  <c r="UU146" i="7"/>
  <c r="UR146" i="7"/>
  <c r="US146" i="7" s="1"/>
  <c r="UM146" i="7"/>
  <c r="UN146" i="7" s="1"/>
  <c r="UH146" i="7"/>
  <c r="UC146" i="7"/>
  <c r="UD146" i="7" s="1"/>
  <c r="TX146" i="7"/>
  <c r="TS146" i="7"/>
  <c r="TT146" i="7" s="1"/>
  <c r="TN146" i="7"/>
  <c r="TO146" i="7" s="1"/>
  <c r="TI146" i="7"/>
  <c r="TJ146" i="7" s="1"/>
  <c r="TD146" i="7"/>
  <c r="SY146" i="7"/>
  <c r="SZ146" i="7" s="1"/>
  <c r="ST146" i="7"/>
  <c r="SO146" i="7"/>
  <c r="SP146" i="7" s="1"/>
  <c r="SI146" i="7"/>
  <c r="SJ146" i="7" s="1"/>
  <c r="SH146" i="7"/>
  <c r="SG146" i="7"/>
  <c r="SD146" i="7"/>
  <c r="SE146" i="7" s="1"/>
  <c r="SC146" i="7"/>
  <c r="SB146" i="7"/>
  <c r="RY146" i="7"/>
  <c r="RZ146" i="7" s="1"/>
  <c r="RX146" i="7"/>
  <c r="RW146" i="7"/>
  <c r="RT146" i="7"/>
  <c r="RU146" i="7" s="1"/>
  <c r="RS146" i="7"/>
  <c r="RR146" i="7"/>
  <c r="RQ146" i="7"/>
  <c r="RN146" i="7"/>
  <c r="RM146" i="7"/>
  <c r="RK146" i="7"/>
  <c r="RJ146" i="7"/>
  <c r="RO146" i="7" s="1"/>
  <c r="RP146" i="7" s="1"/>
  <c r="RE146" i="7"/>
  <c r="RF146" i="7" s="1"/>
  <c r="RA146" i="7"/>
  <c r="QZ146" i="7"/>
  <c r="QU146" i="7"/>
  <c r="QV146" i="7" s="1"/>
  <c r="QQ146" i="7"/>
  <c r="QP146" i="7"/>
  <c r="QK146" i="7"/>
  <c r="QL146" i="7" s="1"/>
  <c r="QG146" i="7"/>
  <c r="QF146" i="7"/>
  <c r="QA146" i="7"/>
  <c r="QB146" i="7" s="1"/>
  <c r="PW146" i="7"/>
  <c r="PV146" i="7"/>
  <c r="PQ146" i="7"/>
  <c r="PR146" i="7" s="1"/>
  <c r="PM146" i="7"/>
  <c r="PL146" i="7"/>
  <c r="PG146" i="7"/>
  <c r="PH146" i="7" s="1"/>
  <c r="OZ146" i="7"/>
  <c r="OY146" i="7"/>
  <c r="OU146" i="7"/>
  <c r="OT146" i="7"/>
  <c r="OS146" i="7"/>
  <c r="OP146" i="7"/>
  <c r="OO146" i="7"/>
  <c r="ON146" i="7"/>
  <c r="OK146" i="7"/>
  <c r="OJ146" i="7"/>
  <c r="OI146" i="7"/>
  <c r="OG146" i="7"/>
  <c r="OH146" i="7" s="1"/>
  <c r="OF146" i="7"/>
  <c r="OE146" i="7"/>
  <c r="OB146" i="7"/>
  <c r="OC146" i="7" s="1"/>
  <c r="NW146" i="7"/>
  <c r="NX146" i="7" s="1"/>
  <c r="NR146" i="7"/>
  <c r="NM146" i="7"/>
  <c r="OV146" i="7" s="1"/>
  <c r="OW146" i="7" s="1"/>
  <c r="NH146" i="7"/>
  <c r="NI146" i="7" s="1"/>
  <c r="NC146" i="7"/>
  <c r="ND146" i="7" s="1"/>
  <c r="MX146" i="7"/>
  <c r="MY146" i="7" s="1"/>
  <c r="MS146" i="7"/>
  <c r="MT146" i="7" s="1"/>
  <c r="MN146" i="7"/>
  <c r="MI146" i="7"/>
  <c r="MJ146" i="7" s="1"/>
  <c r="MD146" i="7"/>
  <c r="LY146" i="7"/>
  <c r="LZ146" i="7" s="1"/>
  <c r="LR146" i="7"/>
  <c r="LQ146" i="7"/>
  <c r="LO146" i="7"/>
  <c r="LN146" i="7"/>
  <c r="LM146" i="7"/>
  <c r="LK146" i="7"/>
  <c r="LJ146" i="7"/>
  <c r="LI146" i="7"/>
  <c r="LG146" i="7"/>
  <c r="LH146" i="7" s="1"/>
  <c r="LF146" i="7"/>
  <c r="LE146" i="7"/>
  <c r="LB146" i="7"/>
  <c r="LA146" i="7"/>
  <c r="KX146" i="7"/>
  <c r="KY146" i="7" s="1"/>
  <c r="KS146" i="7"/>
  <c r="KN146" i="7"/>
  <c r="LC146" i="7" s="1"/>
  <c r="LD146" i="7" s="1"/>
  <c r="HY146" i="7"/>
  <c r="HX146" i="7"/>
  <c r="HW146" i="7"/>
  <c r="HV146" i="7"/>
  <c r="EU146" i="7"/>
  <c r="EV146" i="7" s="1"/>
  <c r="ET146" i="7"/>
  <c r="ES146" i="7"/>
  <c r="ER146" i="7"/>
  <c r="VP145" i="7"/>
  <c r="VO145" i="7"/>
  <c r="VK145" i="7"/>
  <c r="VJ145" i="7"/>
  <c r="VF145" i="7"/>
  <c r="VE145" i="7"/>
  <c r="VA145" i="7"/>
  <c r="UZ145" i="7"/>
  <c r="UY145" i="7"/>
  <c r="UV145" i="7"/>
  <c r="UU145" i="7"/>
  <c r="UR145" i="7"/>
  <c r="US145" i="7" s="1"/>
  <c r="UM145" i="7"/>
  <c r="UN145" i="7" s="1"/>
  <c r="UH145" i="7"/>
  <c r="UC145" i="7"/>
  <c r="VL145" i="7" s="1"/>
  <c r="VM145" i="7" s="1"/>
  <c r="TX145" i="7"/>
  <c r="TI145" i="7"/>
  <c r="TD145" i="7"/>
  <c r="VG145" i="7" s="1"/>
  <c r="SY145" i="7"/>
  <c r="ST145" i="7"/>
  <c r="SO145" i="7"/>
  <c r="VB145" i="7" s="1"/>
  <c r="VC145" i="7" s="1"/>
  <c r="SH145" i="7"/>
  <c r="SG145" i="7"/>
  <c r="SC145" i="7"/>
  <c r="SB145" i="7"/>
  <c r="RX145" i="7"/>
  <c r="RW145" i="7"/>
  <c r="RS145" i="7"/>
  <c r="RR145" i="7"/>
  <c r="RQ145" i="7"/>
  <c r="RN145" i="7"/>
  <c r="RM145" i="7"/>
  <c r="RJ145" i="7"/>
  <c r="RK145" i="7" s="1"/>
  <c r="RE145" i="7"/>
  <c r="RF145" i="7" s="1"/>
  <c r="QZ145" i="7"/>
  <c r="SI145" i="7" s="1"/>
  <c r="SJ145" i="7" s="1"/>
  <c r="QU145" i="7"/>
  <c r="QP145" i="7"/>
  <c r="QQ145" i="7" s="1"/>
  <c r="QK145" i="7"/>
  <c r="QL145" i="7" s="1"/>
  <c r="QF145" i="7"/>
  <c r="QG145" i="7" s="1"/>
  <c r="QA145" i="7"/>
  <c r="QB145" i="7" s="1"/>
  <c r="PV145" i="7"/>
  <c r="PQ145" i="7"/>
  <c r="PR145" i="7" s="1"/>
  <c r="PL145" i="7"/>
  <c r="RT145" i="7" s="1"/>
  <c r="RU145" i="7" s="1"/>
  <c r="VQ144" i="7"/>
  <c r="VR144" i="7" s="1"/>
  <c r="VP144" i="7"/>
  <c r="VO144" i="7"/>
  <c r="VL144" i="7"/>
  <c r="VM144" i="7" s="1"/>
  <c r="VK144" i="7"/>
  <c r="VJ144" i="7"/>
  <c r="VG144" i="7"/>
  <c r="VH144" i="7" s="1"/>
  <c r="VF144" i="7"/>
  <c r="VE144" i="7"/>
  <c r="VB144" i="7"/>
  <c r="VC144" i="7" s="1"/>
  <c r="VA144" i="7"/>
  <c r="UZ144" i="7"/>
  <c r="UY144" i="7"/>
  <c r="UV144" i="7"/>
  <c r="UU144" i="7"/>
  <c r="US144" i="7"/>
  <c r="UR144" i="7"/>
  <c r="UW144" i="7" s="1"/>
  <c r="UX144" i="7" s="1"/>
  <c r="UM144" i="7"/>
  <c r="UN144" i="7" s="1"/>
  <c r="UH144" i="7"/>
  <c r="UC144" i="7"/>
  <c r="TX144" i="7"/>
  <c r="TS144" i="7"/>
  <c r="TO144" i="7"/>
  <c r="TN144" i="7"/>
  <c r="TI144" i="7"/>
  <c r="TJ144" i="7" s="1"/>
  <c r="TE144" i="7"/>
  <c r="TD144" i="7"/>
  <c r="SY144" i="7"/>
  <c r="SZ144" i="7" s="1"/>
  <c r="SU144" i="7"/>
  <c r="ST144" i="7"/>
  <c r="SO144" i="7"/>
  <c r="SP144" i="7" s="1"/>
  <c r="SH144" i="7"/>
  <c r="SG144" i="7"/>
  <c r="SC144" i="7"/>
  <c r="SB144" i="7"/>
  <c r="RX144" i="7"/>
  <c r="RW144" i="7"/>
  <c r="RS144" i="7"/>
  <c r="RR144" i="7"/>
  <c r="RQ144" i="7"/>
  <c r="RN144" i="7"/>
  <c r="RM144" i="7"/>
  <c r="RJ144" i="7"/>
  <c r="RK144" i="7" s="1"/>
  <c r="RE144" i="7"/>
  <c r="RF144" i="7" s="1"/>
  <c r="QZ144" i="7"/>
  <c r="QU144" i="7"/>
  <c r="QP144" i="7"/>
  <c r="QQ144" i="7" s="1"/>
  <c r="QK144" i="7"/>
  <c r="QL144" i="7" s="1"/>
  <c r="QF144" i="7"/>
  <c r="QG144" i="7" s="1"/>
  <c r="QA144" i="7"/>
  <c r="QB144" i="7" s="1"/>
  <c r="PV144" i="7"/>
  <c r="PQ144" i="7"/>
  <c r="PR144" i="7" s="1"/>
  <c r="PL144" i="7"/>
  <c r="PM144" i="7" s="1"/>
  <c r="PG144" i="7"/>
  <c r="VP143" i="7"/>
  <c r="VO143" i="7"/>
  <c r="VK143" i="7"/>
  <c r="VJ143" i="7"/>
  <c r="VF143" i="7"/>
  <c r="VE143" i="7"/>
  <c r="VA143" i="7"/>
  <c r="UZ143" i="7"/>
  <c r="UY143" i="7"/>
  <c r="UV143" i="7"/>
  <c r="UU143" i="7"/>
  <c r="UR143" i="7"/>
  <c r="UW143" i="7" s="1"/>
  <c r="UN143" i="7"/>
  <c r="UM143" i="7"/>
  <c r="UH143" i="7"/>
  <c r="VQ143" i="7" s="1"/>
  <c r="VR143" i="7" s="1"/>
  <c r="UC143" i="7"/>
  <c r="VL143" i="7" s="1"/>
  <c r="VM143" i="7" s="1"/>
  <c r="TX143" i="7"/>
  <c r="TS143" i="7"/>
  <c r="TN143" i="7"/>
  <c r="TI143" i="7"/>
  <c r="VG143" i="7" s="1"/>
  <c r="VH143" i="7" s="1"/>
  <c r="TE143" i="7"/>
  <c r="TD143" i="7"/>
  <c r="SY143" i="7"/>
  <c r="SZ143" i="7" s="1"/>
  <c r="SU143" i="7"/>
  <c r="ST143" i="7"/>
  <c r="SO143" i="7"/>
  <c r="VB143" i="7" s="1"/>
  <c r="VC143" i="7" s="1"/>
  <c r="SH143" i="7"/>
  <c r="SG143" i="7"/>
  <c r="SC143" i="7"/>
  <c r="SB143" i="7"/>
  <c r="RX143" i="7"/>
  <c r="RW143" i="7"/>
  <c r="RS143" i="7"/>
  <c r="RR143" i="7"/>
  <c r="RQ143" i="7"/>
  <c r="RN143" i="7"/>
  <c r="RM143" i="7"/>
  <c r="RJ143" i="7"/>
  <c r="RK143" i="7" s="1"/>
  <c r="RE143" i="7"/>
  <c r="RF143" i="7" s="1"/>
  <c r="QZ143" i="7"/>
  <c r="QU143" i="7"/>
  <c r="QP143" i="7"/>
  <c r="QQ143" i="7" s="1"/>
  <c r="QK143" i="7"/>
  <c r="QL143" i="7" s="1"/>
  <c r="QF143" i="7"/>
  <c r="QG143" i="7" s="1"/>
  <c r="QA143" i="7"/>
  <c r="QB143" i="7" s="1"/>
  <c r="PV143" i="7"/>
  <c r="RY143" i="7" s="1"/>
  <c r="RZ143" i="7" s="1"/>
  <c r="PQ143" i="7"/>
  <c r="PR143" i="7" s="1"/>
  <c r="PL143" i="7"/>
  <c r="PM143" i="7" s="1"/>
  <c r="PG143" i="7"/>
  <c r="OZ143" i="7"/>
  <c r="OY143" i="7"/>
  <c r="OU143" i="7"/>
  <c r="OT143" i="7"/>
  <c r="OS143" i="7"/>
  <c r="OP143" i="7"/>
  <c r="OO143" i="7"/>
  <c r="ON143" i="7"/>
  <c r="OJ143" i="7"/>
  <c r="OF143" i="7"/>
  <c r="OE143" i="7"/>
  <c r="OC143" i="7"/>
  <c r="OB143" i="7"/>
  <c r="OG143" i="7" s="1"/>
  <c r="OH143" i="7" s="1"/>
  <c r="NW143" i="7"/>
  <c r="PA143" i="7" s="1"/>
  <c r="PB143" i="7" s="1"/>
  <c r="NS143" i="7"/>
  <c r="NR143" i="7"/>
  <c r="NM143" i="7"/>
  <c r="OV143" i="7" s="1"/>
  <c r="OW143" i="7" s="1"/>
  <c r="NI143" i="7"/>
  <c r="NH143" i="7"/>
  <c r="NC143" i="7"/>
  <c r="ND143" i="7" s="1"/>
  <c r="MY143" i="7"/>
  <c r="MX143" i="7"/>
  <c r="MS143" i="7"/>
  <c r="OQ143" i="7" s="1"/>
  <c r="LS143" i="7"/>
  <c r="LR143" i="7"/>
  <c r="LQ143" i="7"/>
  <c r="LO143" i="7"/>
  <c r="LN143" i="7"/>
  <c r="LM143" i="7"/>
  <c r="LK143" i="7"/>
  <c r="LJ143" i="7"/>
  <c r="LI143" i="7"/>
  <c r="LG143" i="7"/>
  <c r="LH143" i="7" s="1"/>
  <c r="LF143" i="7"/>
  <c r="LE143" i="7"/>
  <c r="LB143" i="7"/>
  <c r="LA143" i="7"/>
  <c r="KZ143" i="7"/>
  <c r="KX143" i="7"/>
  <c r="LC143" i="7" s="1"/>
  <c r="HY143" i="7"/>
  <c r="HX143" i="7"/>
  <c r="HW143" i="7"/>
  <c r="HV143" i="7"/>
  <c r="EU143" i="7"/>
  <c r="EV143" i="7" s="1"/>
  <c r="ET143" i="7"/>
  <c r="ES143" i="7"/>
  <c r="ER143" i="7"/>
  <c r="VQ142" i="7"/>
  <c r="VR142" i="7" s="1"/>
  <c r="VP142" i="7"/>
  <c r="VO142" i="7"/>
  <c r="VL142" i="7"/>
  <c r="VM142" i="7" s="1"/>
  <c r="VK142" i="7"/>
  <c r="VJ142" i="7"/>
  <c r="VG142" i="7"/>
  <c r="VH142" i="7" s="1"/>
  <c r="VF142" i="7"/>
  <c r="VE142" i="7"/>
  <c r="VB142" i="7"/>
  <c r="VC142" i="7" s="1"/>
  <c r="VA142" i="7"/>
  <c r="UZ142" i="7"/>
  <c r="UY142" i="7"/>
  <c r="UV142" i="7"/>
  <c r="UU142" i="7"/>
  <c r="US142" i="7"/>
  <c r="UR142" i="7"/>
  <c r="UW142" i="7" s="1"/>
  <c r="UX142" i="7" s="1"/>
  <c r="UM142" i="7"/>
  <c r="UN142" i="7" s="1"/>
  <c r="UH142" i="7"/>
  <c r="UC142" i="7"/>
  <c r="TX142" i="7"/>
  <c r="TS142" i="7"/>
  <c r="TN142" i="7"/>
  <c r="TI142" i="7"/>
  <c r="TD142" i="7"/>
  <c r="TE142" i="7" s="1"/>
  <c r="SZ142" i="7"/>
  <c r="SY142" i="7"/>
  <c r="ST142" i="7"/>
  <c r="SU142" i="7" s="1"/>
  <c r="SP142" i="7"/>
  <c r="SO142" i="7"/>
  <c r="SH142" i="7"/>
  <c r="SG142" i="7"/>
  <c r="SC142" i="7"/>
  <c r="SB142" i="7"/>
  <c r="RX142" i="7"/>
  <c r="RW142" i="7"/>
  <c r="RS142" i="7"/>
  <c r="RR142" i="7"/>
  <c r="RQ142" i="7"/>
  <c r="RO142" i="7"/>
  <c r="RP142" i="7" s="1"/>
  <c r="RN142" i="7"/>
  <c r="RM142" i="7"/>
  <c r="RJ142" i="7"/>
  <c r="RK142" i="7" s="1"/>
  <c r="RE142" i="7"/>
  <c r="RF142" i="7" s="1"/>
  <c r="QZ142" i="7"/>
  <c r="QU142" i="7"/>
  <c r="QV142" i="7" s="1"/>
  <c r="QP142" i="7"/>
  <c r="QK142" i="7"/>
  <c r="QL142" i="7" s="1"/>
  <c r="QF142" i="7"/>
  <c r="QG142" i="7" s="1"/>
  <c r="QA142" i="7"/>
  <c r="QB142" i="7" s="1"/>
  <c r="PV142" i="7"/>
  <c r="PQ142" i="7"/>
  <c r="PR142" i="7" s="1"/>
  <c r="PL142" i="7"/>
  <c r="PG142" i="7"/>
  <c r="PH142" i="7" s="1"/>
  <c r="PA142" i="7"/>
  <c r="PB142" i="7" s="1"/>
  <c r="OZ142" i="7"/>
  <c r="OY142" i="7"/>
  <c r="OV142" i="7"/>
  <c r="OW142" i="7" s="1"/>
  <c r="OU142" i="7"/>
  <c r="OT142" i="7"/>
  <c r="OS142" i="7"/>
  <c r="OP142" i="7"/>
  <c r="OO142" i="7"/>
  <c r="ON142" i="7"/>
  <c r="OJ142" i="7"/>
  <c r="OF142" i="7"/>
  <c r="OE142" i="7"/>
  <c r="OB142" i="7"/>
  <c r="OG142" i="7" s="1"/>
  <c r="OH142" i="7" s="1"/>
  <c r="NX142" i="7"/>
  <c r="NW142" i="7"/>
  <c r="NR142" i="7"/>
  <c r="NS142" i="7" s="1"/>
  <c r="NN142" i="7"/>
  <c r="NM142" i="7"/>
  <c r="NH142" i="7"/>
  <c r="NI142" i="7" s="1"/>
  <c r="ND142" i="7"/>
  <c r="NC142" i="7"/>
  <c r="MX142" i="7"/>
  <c r="MY142" i="7" s="1"/>
  <c r="MT142" i="7"/>
  <c r="MS142" i="7"/>
  <c r="MN142" i="7"/>
  <c r="OQ142" i="7" s="1"/>
  <c r="OR142" i="7" s="1"/>
  <c r="LS142" i="7"/>
  <c r="LR142" i="7"/>
  <c r="LQ142" i="7"/>
  <c r="LO142" i="7"/>
  <c r="LN142" i="7"/>
  <c r="LM142" i="7"/>
  <c r="LK142" i="7"/>
  <c r="LJ142" i="7"/>
  <c r="LI142" i="7"/>
  <c r="LG142" i="7"/>
  <c r="LH142" i="7" s="1"/>
  <c r="LF142" i="7"/>
  <c r="LE142" i="7"/>
  <c r="LB142" i="7"/>
  <c r="LA142" i="7"/>
  <c r="KZ142" i="7"/>
  <c r="KX142" i="7"/>
  <c r="LC142" i="7" s="1"/>
  <c r="HY142" i="7"/>
  <c r="HX142" i="7"/>
  <c r="HW142" i="7"/>
  <c r="HV142" i="7"/>
  <c r="EU142" i="7"/>
  <c r="ET142" i="7"/>
  <c r="ES142" i="7"/>
  <c r="ER142" i="7"/>
  <c r="VP141" i="7"/>
  <c r="VO141" i="7"/>
  <c r="VL141" i="7"/>
  <c r="VM141" i="7" s="1"/>
  <c r="VK141" i="7"/>
  <c r="VJ141" i="7"/>
  <c r="VG141" i="7"/>
  <c r="VH141" i="7" s="1"/>
  <c r="VF141" i="7"/>
  <c r="VE141" i="7"/>
  <c r="VA141" i="7"/>
  <c r="UZ141" i="7"/>
  <c r="UY141" i="7"/>
  <c r="UV141" i="7"/>
  <c r="UU141" i="7"/>
  <c r="US141" i="7"/>
  <c r="UR141" i="7"/>
  <c r="UM141" i="7"/>
  <c r="UN141" i="7" s="1"/>
  <c r="UH141" i="7"/>
  <c r="VQ141" i="7" s="1"/>
  <c r="VR141" i="7" s="1"/>
  <c r="UC141" i="7"/>
  <c r="TX141" i="7"/>
  <c r="TS141" i="7"/>
  <c r="TN141" i="7"/>
  <c r="TI141" i="7"/>
  <c r="TD141" i="7"/>
  <c r="SY141" i="7"/>
  <c r="SZ141" i="7" s="1"/>
  <c r="ST141" i="7"/>
  <c r="SU141" i="7" s="1"/>
  <c r="SO141" i="7"/>
  <c r="SP141" i="7" s="1"/>
  <c r="SH141" i="7"/>
  <c r="SG141" i="7"/>
  <c r="SC141" i="7"/>
  <c r="SB141" i="7"/>
  <c r="RX141" i="7"/>
  <c r="RW141" i="7"/>
  <c r="RS141" i="7"/>
  <c r="RR141" i="7"/>
  <c r="RQ141" i="7"/>
  <c r="RN141" i="7"/>
  <c r="RJ141" i="7"/>
  <c r="RC141" i="7"/>
  <c r="RC164" i="7" s="1"/>
  <c r="QZ141" i="7"/>
  <c r="QU141" i="7"/>
  <c r="QV141" i="7" s="1"/>
  <c r="QP141" i="7"/>
  <c r="QQ141" i="7" s="1"/>
  <c r="QK141" i="7"/>
  <c r="QL141" i="7" s="1"/>
  <c r="QF141" i="7"/>
  <c r="QG141" i="7" s="1"/>
  <c r="QA141" i="7"/>
  <c r="QB141" i="7" s="1"/>
  <c r="PV141" i="7"/>
  <c r="PQ141" i="7"/>
  <c r="PR141" i="7" s="1"/>
  <c r="PL141" i="7"/>
  <c r="PM141" i="7" s="1"/>
  <c r="PG141" i="7"/>
  <c r="PH141" i="7" s="1"/>
  <c r="PA141" i="7"/>
  <c r="PB141" i="7" s="1"/>
  <c r="OZ141" i="7"/>
  <c r="OY141" i="7"/>
  <c r="OV141" i="7"/>
  <c r="OW141" i="7" s="1"/>
  <c r="OU141" i="7"/>
  <c r="OT141" i="7"/>
  <c r="OS141" i="7"/>
  <c r="OR141" i="7"/>
  <c r="OP141" i="7"/>
  <c r="OO141" i="7"/>
  <c r="ON141" i="7"/>
  <c r="OK141" i="7"/>
  <c r="OJ141" i="7"/>
  <c r="OI141" i="7"/>
  <c r="OF141" i="7"/>
  <c r="OE141" i="7"/>
  <c r="OB141" i="7"/>
  <c r="OG141" i="7" s="1"/>
  <c r="NX141" i="7"/>
  <c r="NW141" i="7"/>
  <c r="NR141" i="7"/>
  <c r="NS141" i="7" s="1"/>
  <c r="NN141" i="7"/>
  <c r="NM141" i="7"/>
  <c r="NH141" i="7"/>
  <c r="NI141" i="7" s="1"/>
  <c r="ND141" i="7"/>
  <c r="NC141" i="7"/>
  <c r="MX141" i="7"/>
  <c r="MY141" i="7" s="1"/>
  <c r="MT141" i="7"/>
  <c r="MS141" i="7"/>
  <c r="MN141" i="7"/>
  <c r="OQ141" i="7" s="1"/>
  <c r="MJ141" i="7"/>
  <c r="MI141" i="7"/>
  <c r="MD141" i="7"/>
  <c r="OL141" i="7" s="1"/>
  <c r="OM141" i="7" s="1"/>
  <c r="LZ141" i="7"/>
  <c r="LY141" i="7"/>
  <c r="LR141" i="7"/>
  <c r="LQ141" i="7"/>
  <c r="LN141" i="7"/>
  <c r="LM141" i="7"/>
  <c r="LJ141" i="7"/>
  <c r="LI141" i="7"/>
  <c r="LF141" i="7"/>
  <c r="LE141" i="7"/>
  <c r="LB141" i="7"/>
  <c r="KX141" i="7"/>
  <c r="KY141" i="7" s="1"/>
  <c r="KT141" i="7"/>
  <c r="KQ141" i="7"/>
  <c r="KS141" i="7" s="1"/>
  <c r="KO141" i="7"/>
  <c r="KN141" i="7"/>
  <c r="LS141" i="7" s="1"/>
  <c r="KI141" i="7"/>
  <c r="KJ141" i="7" s="1"/>
  <c r="KD141" i="7"/>
  <c r="LO141" i="7" s="1"/>
  <c r="LP141" i="7" s="1"/>
  <c r="JY141" i="7"/>
  <c r="JZ141" i="7" s="1"/>
  <c r="JU141" i="7"/>
  <c r="JT141" i="7"/>
  <c r="JO141" i="7"/>
  <c r="JP141" i="7" s="1"/>
  <c r="JK141" i="7"/>
  <c r="JJ141" i="7"/>
  <c r="LK141" i="7" s="1"/>
  <c r="JH141" i="7"/>
  <c r="JE141" i="7"/>
  <c r="JC141" i="7"/>
  <c r="LA141" i="7" s="1"/>
  <c r="IZ141" i="7"/>
  <c r="HY141" i="7"/>
  <c r="HX141" i="7"/>
  <c r="HW141" i="7"/>
  <c r="HV141" i="7"/>
  <c r="EU141" i="7"/>
  <c r="ET141" i="7"/>
  <c r="ES141" i="7"/>
  <c r="ER141" i="7"/>
  <c r="VQ140" i="7"/>
  <c r="VR140" i="7" s="1"/>
  <c r="VP140" i="7"/>
  <c r="VO140" i="7"/>
  <c r="VL140" i="7"/>
  <c r="VM140" i="7" s="1"/>
  <c r="VK140" i="7"/>
  <c r="VJ140" i="7"/>
  <c r="VG140" i="7"/>
  <c r="VH140" i="7" s="1"/>
  <c r="VF140" i="7"/>
  <c r="VE140" i="7"/>
  <c r="VA140" i="7"/>
  <c r="UZ140" i="7"/>
  <c r="UY140" i="7"/>
  <c r="UV140" i="7"/>
  <c r="UU140" i="7"/>
  <c r="US140" i="7"/>
  <c r="UR140" i="7"/>
  <c r="UM140" i="7"/>
  <c r="UH140" i="7"/>
  <c r="UC140" i="7"/>
  <c r="TX140" i="7"/>
  <c r="TS140" i="7"/>
  <c r="TN140" i="7"/>
  <c r="TI140" i="7"/>
  <c r="TJ140" i="7" s="1"/>
  <c r="TE140" i="7"/>
  <c r="TD140" i="7"/>
  <c r="SY140" i="7"/>
  <c r="SZ140" i="7" s="1"/>
  <c r="ST140" i="7"/>
  <c r="SU140" i="7" s="1"/>
  <c r="SO140" i="7"/>
  <c r="SP140" i="7" s="1"/>
  <c r="SH140" i="7"/>
  <c r="SG140" i="7"/>
  <c r="SC140" i="7"/>
  <c r="SB140" i="7"/>
  <c r="RX140" i="7"/>
  <c r="RW140" i="7"/>
  <c r="RS140" i="7"/>
  <c r="RR140" i="7"/>
  <c r="RQ140" i="7"/>
  <c r="RN140" i="7"/>
  <c r="RM140" i="7"/>
  <c r="RK140" i="7"/>
  <c r="RJ140" i="7"/>
  <c r="RE140" i="7"/>
  <c r="RF140" i="7" s="1"/>
  <c r="RA140" i="7"/>
  <c r="QZ140" i="7"/>
  <c r="QU140" i="7"/>
  <c r="QV140" i="7" s="1"/>
  <c r="QQ140" i="7"/>
  <c r="QP140" i="7"/>
  <c r="QK140" i="7"/>
  <c r="QL140" i="7" s="1"/>
  <c r="QG140" i="7"/>
  <c r="QF140" i="7"/>
  <c r="QA140" i="7"/>
  <c r="QB140" i="7" s="1"/>
  <c r="PW140" i="7"/>
  <c r="PV140" i="7"/>
  <c r="PQ140" i="7"/>
  <c r="PR140" i="7" s="1"/>
  <c r="PM140" i="7"/>
  <c r="PL140" i="7"/>
  <c r="PG140" i="7"/>
  <c r="PH140" i="7" s="1"/>
  <c r="PB140" i="7"/>
  <c r="OZ140" i="7"/>
  <c r="OY140" i="7"/>
  <c r="OU140" i="7"/>
  <c r="OT140" i="7"/>
  <c r="OS140" i="7"/>
  <c r="OP140" i="7"/>
  <c r="OO140" i="7"/>
  <c r="ON140" i="7"/>
  <c r="OK140" i="7"/>
  <c r="OJ140" i="7"/>
  <c r="OI140" i="7"/>
  <c r="OF140" i="7"/>
  <c r="OE140" i="7"/>
  <c r="OC140" i="7"/>
  <c r="OB140" i="7"/>
  <c r="OG140" i="7" s="1"/>
  <c r="OH140" i="7" s="1"/>
  <c r="NW140" i="7"/>
  <c r="NX140" i="7" s="1"/>
  <c r="NS140" i="7"/>
  <c r="NR140" i="7"/>
  <c r="PA140" i="7" s="1"/>
  <c r="NM140" i="7"/>
  <c r="NI140" i="7"/>
  <c r="NH140" i="7"/>
  <c r="NC140" i="7"/>
  <c r="ND140" i="7" s="1"/>
  <c r="MX140" i="7"/>
  <c r="MY140" i="7" s="1"/>
  <c r="MS140" i="7"/>
  <c r="MT140" i="7" s="1"/>
  <c r="MO140" i="7"/>
  <c r="MN140" i="7"/>
  <c r="MI140" i="7"/>
  <c r="MJ140" i="7" s="1"/>
  <c r="ME140" i="7"/>
  <c r="MD140" i="7"/>
  <c r="OL140" i="7" s="1"/>
  <c r="OM140" i="7" s="1"/>
  <c r="LY140" i="7"/>
  <c r="LZ140" i="7" s="1"/>
  <c r="LR140" i="7"/>
  <c r="LQ140" i="7"/>
  <c r="LP140" i="7"/>
  <c r="LO140" i="7"/>
  <c r="LN140" i="7"/>
  <c r="LM140" i="7"/>
  <c r="LJ140" i="7"/>
  <c r="LI140" i="7"/>
  <c r="LH140" i="7"/>
  <c r="LG140" i="7"/>
  <c r="LF140" i="7"/>
  <c r="LE140" i="7"/>
  <c r="LB140" i="7"/>
  <c r="LA140" i="7"/>
  <c r="KY140" i="7"/>
  <c r="KX140" i="7"/>
  <c r="KS140" i="7"/>
  <c r="KT140" i="7" s="1"/>
  <c r="KN140" i="7"/>
  <c r="LS140" i="7" s="1"/>
  <c r="LT140" i="7" s="1"/>
  <c r="KI140" i="7"/>
  <c r="KJ140" i="7" s="1"/>
  <c r="KD140" i="7"/>
  <c r="JZ140" i="7"/>
  <c r="JY140" i="7"/>
  <c r="JT140" i="7"/>
  <c r="JU140" i="7" s="1"/>
  <c r="HY140" i="7"/>
  <c r="HX140" i="7"/>
  <c r="HW140" i="7"/>
  <c r="HV140" i="7"/>
  <c r="EV140" i="7"/>
  <c r="EU140" i="7"/>
  <c r="ET140" i="7"/>
  <c r="ES140" i="7"/>
  <c r="ER140" i="7"/>
  <c r="TI139" i="7"/>
  <c r="VQ138" i="7"/>
  <c r="VR138" i="7" s="1"/>
  <c r="VP138" i="7"/>
  <c r="VO138" i="7"/>
  <c r="VL138" i="7"/>
  <c r="VK138" i="7"/>
  <c r="VJ138" i="7"/>
  <c r="VF138" i="7"/>
  <c r="VE138" i="7"/>
  <c r="VA138" i="7"/>
  <c r="UZ138" i="7"/>
  <c r="UY138" i="7"/>
  <c r="TS138" i="7"/>
  <c r="TN138" i="7"/>
  <c r="TI138" i="7"/>
  <c r="VG138" i="7" s="1"/>
  <c r="VH138" i="7" s="1"/>
  <c r="TD138" i="7"/>
  <c r="TE138" i="7" s="1"/>
  <c r="ST138" i="7"/>
  <c r="SO138" i="7"/>
  <c r="SH138" i="7"/>
  <c r="SG138" i="7"/>
  <c r="SC138" i="7"/>
  <c r="SB138" i="7"/>
  <c r="RX138" i="7"/>
  <c r="RW138" i="7"/>
  <c r="RT138" i="7"/>
  <c r="RS138" i="7"/>
  <c r="RR138" i="7"/>
  <c r="RQ138" i="7"/>
  <c r="RN138" i="7"/>
  <c r="RM138" i="7"/>
  <c r="RJ138" i="7"/>
  <c r="RK138" i="7" s="1"/>
  <c r="RE138" i="7"/>
  <c r="RF138" i="7" s="1"/>
  <c r="QZ138" i="7"/>
  <c r="RA138" i="7" s="1"/>
  <c r="QV138" i="7"/>
  <c r="QU138" i="7"/>
  <c r="QP138" i="7"/>
  <c r="QQ138" i="7" s="1"/>
  <c r="QL138" i="7"/>
  <c r="QK138" i="7"/>
  <c r="QF138" i="7"/>
  <c r="QG138" i="7" s="1"/>
  <c r="QB138" i="7"/>
  <c r="QA138" i="7"/>
  <c r="PV138" i="7"/>
  <c r="PW138" i="7" s="1"/>
  <c r="VQ137" i="7"/>
  <c r="VP137" i="7"/>
  <c r="VO137" i="7"/>
  <c r="VL137" i="7"/>
  <c r="VK137" i="7"/>
  <c r="VJ137" i="7"/>
  <c r="VF137" i="7"/>
  <c r="VE137" i="7"/>
  <c r="VA137" i="7"/>
  <c r="UZ137" i="7"/>
  <c r="UY137" i="7"/>
  <c r="TN137" i="7"/>
  <c r="TI137" i="7"/>
  <c r="TD137" i="7"/>
  <c r="VG137" i="7" s="1"/>
  <c r="SZ137" i="7"/>
  <c r="SY137" i="7"/>
  <c r="ST137" i="7"/>
  <c r="SU137" i="7" s="1"/>
  <c r="SO137" i="7"/>
  <c r="SH137" i="7"/>
  <c r="SG137" i="7"/>
  <c r="SD137" i="7"/>
  <c r="SC137" i="7"/>
  <c r="SB137" i="7"/>
  <c r="RX137" i="7"/>
  <c r="RW137" i="7"/>
  <c r="RS137" i="7"/>
  <c r="RR137" i="7"/>
  <c r="RQ137" i="7"/>
  <c r="RN137" i="7"/>
  <c r="RM137" i="7"/>
  <c r="RJ137" i="7"/>
  <c r="RO137" i="7" s="1"/>
  <c r="RP137" i="7" s="1"/>
  <c r="RE137" i="7"/>
  <c r="QZ137" i="7"/>
  <c r="SI137" i="7" s="1"/>
  <c r="QU137" i="7"/>
  <c r="QP137" i="7"/>
  <c r="QF137" i="7"/>
  <c r="RY137" i="7" s="1"/>
  <c r="QA137" i="7"/>
  <c r="PV137" i="7"/>
  <c r="PR137" i="7"/>
  <c r="PQ137" i="7"/>
  <c r="PL137" i="7"/>
  <c r="PM137" i="7" s="1"/>
  <c r="PH137" i="7"/>
  <c r="PG137" i="7"/>
  <c r="RT137" i="7" s="1"/>
  <c r="RU137" i="7" s="1"/>
  <c r="OZ137" i="7"/>
  <c r="OY137" i="7"/>
  <c r="OU137" i="7"/>
  <c r="OT137" i="7"/>
  <c r="OS137" i="7"/>
  <c r="OQ137" i="7"/>
  <c r="OR137" i="7" s="1"/>
  <c r="OP137" i="7"/>
  <c r="OO137" i="7"/>
  <c r="ON137" i="7"/>
  <c r="OL137" i="7"/>
  <c r="OK137" i="7"/>
  <c r="OJ137" i="7"/>
  <c r="OI137" i="7"/>
  <c r="OF137" i="7"/>
  <c r="OE137" i="7"/>
  <c r="OC137" i="7"/>
  <c r="OB137" i="7"/>
  <c r="OG137" i="7" s="1"/>
  <c r="OH137" i="7" s="1"/>
  <c r="NW137" i="7"/>
  <c r="NX137" i="7" s="1"/>
  <c r="NR137" i="7"/>
  <c r="PA137" i="7" s="1"/>
  <c r="PB137" i="7" s="1"/>
  <c r="NM137" i="7"/>
  <c r="NN137" i="7" s="1"/>
  <c r="NI137" i="7"/>
  <c r="NH137" i="7"/>
  <c r="NC137" i="7"/>
  <c r="ND137" i="7" s="1"/>
  <c r="MY137" i="7"/>
  <c r="MX137" i="7"/>
  <c r="MS137" i="7"/>
  <c r="MT137" i="7" s="1"/>
  <c r="MO137" i="7"/>
  <c r="MN137" i="7"/>
  <c r="LR137" i="7"/>
  <c r="LQ137" i="7"/>
  <c r="LO137" i="7"/>
  <c r="LN137" i="7"/>
  <c r="LM137" i="7"/>
  <c r="LK137" i="7"/>
  <c r="LJ137" i="7"/>
  <c r="LI137" i="7"/>
  <c r="LG137" i="7"/>
  <c r="LH137" i="7" s="1"/>
  <c r="LF137" i="7"/>
  <c r="LE137" i="7"/>
  <c r="LB137" i="7"/>
  <c r="LA137" i="7"/>
  <c r="KZ137" i="7"/>
  <c r="KX137" i="7"/>
  <c r="LS137" i="7" s="1"/>
  <c r="HY137" i="7"/>
  <c r="HX137" i="7"/>
  <c r="HW137" i="7"/>
  <c r="HV137" i="7"/>
  <c r="EV137" i="7"/>
  <c r="EU137" i="7"/>
  <c r="ET137" i="7"/>
  <c r="ES137" i="7"/>
  <c r="ER137" i="7"/>
  <c r="VQ136" i="7"/>
  <c r="VP136" i="7"/>
  <c r="VO136" i="7"/>
  <c r="VL136" i="7"/>
  <c r="VK136" i="7"/>
  <c r="VJ136" i="7"/>
  <c r="VF136" i="7"/>
  <c r="VE136" i="7"/>
  <c r="VA136" i="7"/>
  <c r="UZ136" i="7"/>
  <c r="UY136" i="7"/>
  <c r="TN136" i="7"/>
  <c r="TI136" i="7"/>
  <c r="TD136" i="7"/>
  <c r="SY136" i="7"/>
  <c r="ST136" i="7"/>
  <c r="SU136" i="7" s="1"/>
  <c r="SO136" i="7"/>
  <c r="SH136" i="7"/>
  <c r="SG136" i="7"/>
  <c r="SD136" i="7"/>
  <c r="SC136" i="7"/>
  <c r="SB136" i="7"/>
  <c r="RX136" i="7"/>
  <c r="RW136" i="7"/>
  <c r="RS136" i="7"/>
  <c r="RR136" i="7"/>
  <c r="RQ136" i="7"/>
  <c r="RN136" i="7"/>
  <c r="RM136" i="7"/>
  <c r="RJ136" i="7"/>
  <c r="RE136" i="7"/>
  <c r="RO136" i="7" s="1"/>
  <c r="RP136" i="7" s="1"/>
  <c r="QZ136" i="7"/>
  <c r="QU136" i="7"/>
  <c r="QP136" i="7"/>
  <c r="QF136" i="7"/>
  <c r="RY136" i="7" s="1"/>
  <c r="QA136" i="7"/>
  <c r="PQ136" i="7"/>
  <c r="PL136" i="7"/>
  <c r="RT136" i="7" s="1"/>
  <c r="RU136" i="7" s="1"/>
  <c r="PG136" i="7"/>
  <c r="PH136" i="7" s="1"/>
  <c r="OZ136" i="7"/>
  <c r="OY136" i="7"/>
  <c r="OU136" i="7"/>
  <c r="OT136" i="7"/>
  <c r="OS136" i="7"/>
  <c r="OP136" i="7"/>
  <c r="OO136" i="7"/>
  <c r="ON136" i="7"/>
  <c r="OL136" i="7"/>
  <c r="OK136" i="7"/>
  <c r="OJ136" i="7"/>
  <c r="OI136" i="7"/>
  <c r="OF136" i="7"/>
  <c r="OE136" i="7"/>
  <c r="OB136" i="7"/>
  <c r="OC136" i="7" s="1"/>
  <c r="NX136" i="7"/>
  <c r="NW136" i="7"/>
  <c r="PA136" i="7" s="1"/>
  <c r="PB136" i="7" s="1"/>
  <c r="NR136" i="7"/>
  <c r="NS136" i="7" s="1"/>
  <c r="NN136" i="7"/>
  <c r="NM136" i="7"/>
  <c r="OV136" i="7" s="1"/>
  <c r="OW136" i="7" s="1"/>
  <c r="NH136" i="7"/>
  <c r="NI136" i="7" s="1"/>
  <c r="ND136" i="7"/>
  <c r="NC136" i="7"/>
  <c r="MX136" i="7"/>
  <c r="MY136" i="7" s="1"/>
  <c r="MS136" i="7"/>
  <c r="MT136" i="7" s="1"/>
  <c r="MN136" i="7"/>
  <c r="LS136" i="7"/>
  <c r="LR136" i="7"/>
  <c r="LQ136" i="7"/>
  <c r="LO136" i="7"/>
  <c r="LN136" i="7"/>
  <c r="LM136" i="7"/>
  <c r="LK136" i="7"/>
  <c r="LJ136" i="7"/>
  <c r="LI136" i="7"/>
  <c r="LH136" i="7"/>
  <c r="LG136" i="7"/>
  <c r="LF136" i="7"/>
  <c r="LE136" i="7"/>
  <c r="LB136" i="7"/>
  <c r="LA136" i="7"/>
  <c r="KZ136" i="7"/>
  <c r="KX136" i="7"/>
  <c r="LC136" i="7" s="1"/>
  <c r="HY136" i="7"/>
  <c r="HX136" i="7"/>
  <c r="HW136" i="7"/>
  <c r="HV136" i="7"/>
  <c r="EU136" i="7"/>
  <c r="EV136" i="7" s="1"/>
  <c r="ET136" i="7"/>
  <c r="ES136" i="7"/>
  <c r="ER136" i="7"/>
  <c r="VQ135" i="7"/>
  <c r="VP135" i="7"/>
  <c r="VO135" i="7"/>
  <c r="VL135" i="7"/>
  <c r="VK135" i="7"/>
  <c r="VJ135" i="7"/>
  <c r="VF135" i="7"/>
  <c r="VE135" i="7"/>
  <c r="VA135" i="7"/>
  <c r="UZ135" i="7"/>
  <c r="UY135" i="7"/>
  <c r="TN135" i="7"/>
  <c r="TI135" i="7"/>
  <c r="TD135" i="7"/>
  <c r="VG135" i="7" s="1"/>
  <c r="VH135" i="7" s="1"/>
  <c r="SY135" i="7"/>
  <c r="SZ135" i="7" s="1"/>
  <c r="ST135" i="7"/>
  <c r="SO135" i="7"/>
  <c r="SH135" i="7"/>
  <c r="SG135" i="7"/>
  <c r="SD135" i="7"/>
  <c r="SC135" i="7"/>
  <c r="SB135" i="7"/>
  <c r="RX135" i="7"/>
  <c r="RW135" i="7"/>
  <c r="RS135" i="7"/>
  <c r="RR135" i="7"/>
  <c r="RQ135" i="7"/>
  <c r="RN135" i="7"/>
  <c r="RM135" i="7"/>
  <c r="RJ135" i="7"/>
  <c r="RE135" i="7"/>
  <c r="QP135" i="7"/>
  <c r="QF135" i="7"/>
  <c r="RY135" i="7" s="1"/>
  <c r="RZ135" i="7" s="1"/>
  <c r="PW135" i="7"/>
  <c r="PQ135" i="7"/>
  <c r="PR135" i="7" s="1"/>
  <c r="PL135" i="7"/>
  <c r="RT135" i="7" s="1"/>
  <c r="RU135" i="7" s="1"/>
  <c r="PG135" i="7"/>
  <c r="PH135" i="7" s="1"/>
  <c r="VQ134" i="7"/>
  <c r="VP134" i="7"/>
  <c r="VO134" i="7"/>
  <c r="VL134" i="7"/>
  <c r="VM134" i="7" s="1"/>
  <c r="VK134" i="7"/>
  <c r="VJ134" i="7"/>
  <c r="VF134" i="7"/>
  <c r="VE134" i="7"/>
  <c r="VA134" i="7"/>
  <c r="UZ134" i="7"/>
  <c r="UY134" i="7"/>
  <c r="TS134" i="7"/>
  <c r="TN134" i="7"/>
  <c r="VG134" i="7" s="1"/>
  <c r="VH134" i="7" s="1"/>
  <c r="TI134" i="7"/>
  <c r="TD134" i="7"/>
  <c r="TE134" i="7" s="1"/>
  <c r="SZ134" i="7"/>
  <c r="SY134" i="7"/>
  <c r="ST134" i="7"/>
  <c r="SU134" i="7" s="1"/>
  <c r="SO134" i="7"/>
  <c r="VB134" i="7" s="1"/>
  <c r="VC134" i="7" s="1"/>
  <c r="SH134" i="7"/>
  <c r="SG134" i="7"/>
  <c r="SE134" i="7"/>
  <c r="SC134" i="7"/>
  <c r="SB134" i="7"/>
  <c r="RX134" i="7"/>
  <c r="RW134" i="7"/>
  <c r="RS134" i="7"/>
  <c r="RR134" i="7"/>
  <c r="RQ134" i="7"/>
  <c r="RN134" i="7"/>
  <c r="RM134" i="7"/>
  <c r="RJ134" i="7"/>
  <c r="RE134" i="7"/>
  <c r="SI134" i="7" s="1"/>
  <c r="QP134" i="7"/>
  <c r="SD134" i="7" s="1"/>
  <c r="QL134" i="7"/>
  <c r="QK134" i="7"/>
  <c r="QF134" i="7"/>
  <c r="QG134" i="7" s="1"/>
  <c r="QB134" i="7"/>
  <c r="QA134" i="7"/>
  <c r="PV134" i="7"/>
  <c r="PR134" i="7"/>
  <c r="PQ134" i="7"/>
  <c r="PL134" i="7"/>
  <c r="PM134" i="7" s="1"/>
  <c r="PH134" i="7"/>
  <c r="PG134" i="7"/>
  <c r="OZ134" i="7"/>
  <c r="OY134" i="7"/>
  <c r="OU134" i="7"/>
  <c r="OT134" i="7"/>
  <c r="OS134" i="7"/>
  <c r="OP134" i="7"/>
  <c r="OO134" i="7"/>
  <c r="ON134" i="7"/>
  <c r="OK134" i="7"/>
  <c r="OJ134" i="7"/>
  <c r="OI134" i="7"/>
  <c r="OF134" i="7"/>
  <c r="OE134" i="7"/>
  <c r="OB134" i="7"/>
  <c r="OC134" i="7" s="1"/>
  <c r="NX134" i="7"/>
  <c r="NW134" i="7"/>
  <c r="PA134" i="7" s="1"/>
  <c r="PB134" i="7" s="1"/>
  <c r="NR134" i="7"/>
  <c r="NS134" i="7" s="1"/>
  <c r="NN134" i="7"/>
  <c r="NM134" i="7"/>
  <c r="OV134" i="7" s="1"/>
  <c r="OW134" i="7" s="1"/>
  <c r="NH134" i="7"/>
  <c r="NI134" i="7" s="1"/>
  <c r="ND134" i="7"/>
  <c r="NC134" i="7"/>
  <c r="MX134" i="7"/>
  <c r="MY134" i="7" s="1"/>
  <c r="MS134" i="7"/>
  <c r="OQ134" i="7" s="1"/>
  <c r="OR134" i="7" s="1"/>
  <c r="MN134" i="7"/>
  <c r="MO134" i="7" s="1"/>
  <c r="MJ134" i="7"/>
  <c r="MI134" i="7"/>
  <c r="MD134" i="7"/>
  <c r="ME134" i="7" s="1"/>
  <c r="LZ134" i="7"/>
  <c r="LY134" i="7"/>
  <c r="OL134" i="7" s="1"/>
  <c r="OM134" i="7" s="1"/>
  <c r="LR134" i="7"/>
  <c r="LQ134" i="7"/>
  <c r="LN134" i="7"/>
  <c r="LM134" i="7"/>
  <c r="LJ134" i="7"/>
  <c r="LI134" i="7"/>
  <c r="LF134" i="7"/>
  <c r="LE134" i="7"/>
  <c r="LB134" i="7"/>
  <c r="KX134" i="7"/>
  <c r="KY134" i="7" s="1"/>
  <c r="KT134" i="7"/>
  <c r="KS134" i="7"/>
  <c r="KQ134" i="7"/>
  <c r="KQ164" i="7" s="1"/>
  <c r="KN134" i="7"/>
  <c r="KJ134" i="7"/>
  <c r="KI134" i="7"/>
  <c r="KD134" i="7"/>
  <c r="KE134" i="7" s="1"/>
  <c r="JZ134" i="7"/>
  <c r="JY134" i="7"/>
  <c r="JT134" i="7"/>
  <c r="JU134" i="7" s="1"/>
  <c r="JP134" i="7"/>
  <c r="JO134" i="7"/>
  <c r="JJ134" i="7"/>
  <c r="JH134" i="7"/>
  <c r="JC134" i="7"/>
  <c r="JE134" i="7" s="1"/>
  <c r="JF134" i="7" s="1"/>
  <c r="JA134" i="7"/>
  <c r="IZ134" i="7"/>
  <c r="HY134" i="7"/>
  <c r="HX134" i="7"/>
  <c r="HW134" i="7"/>
  <c r="HV134" i="7"/>
  <c r="EU134" i="7"/>
  <c r="ET134" i="7"/>
  <c r="ES134" i="7"/>
  <c r="ER134" i="7"/>
  <c r="VQ133" i="7"/>
  <c r="VR133" i="7" s="1"/>
  <c r="VP133" i="7"/>
  <c r="VO133" i="7"/>
  <c r="VK133" i="7"/>
  <c r="VJ133" i="7"/>
  <c r="VF133" i="7"/>
  <c r="VE133" i="7"/>
  <c r="VB133" i="7"/>
  <c r="VC133" i="7" s="1"/>
  <c r="VA133" i="7"/>
  <c r="UZ133" i="7"/>
  <c r="UY133" i="7"/>
  <c r="TS133" i="7"/>
  <c r="VL133" i="7" s="1"/>
  <c r="VM133" i="7" s="1"/>
  <c r="TN133" i="7"/>
  <c r="TI133" i="7"/>
  <c r="TD133" i="7"/>
  <c r="TE133" i="7" s="1"/>
  <c r="SY133" i="7"/>
  <c r="SZ133" i="7" s="1"/>
  <c r="SU133" i="7"/>
  <c r="ST133" i="7"/>
  <c r="SO133" i="7"/>
  <c r="SI133" i="7"/>
  <c r="SJ133" i="7" s="1"/>
  <c r="SH133" i="7"/>
  <c r="SG133" i="7"/>
  <c r="SD133" i="7"/>
  <c r="SE133" i="7" s="1"/>
  <c r="SC133" i="7"/>
  <c r="SB133" i="7"/>
  <c r="RX133" i="7"/>
  <c r="RW133" i="7"/>
  <c r="RS133" i="7"/>
  <c r="RR133" i="7"/>
  <c r="RQ133" i="7"/>
  <c r="RN133" i="7"/>
  <c r="RM133" i="7"/>
  <c r="RK133" i="7"/>
  <c r="RJ133" i="7"/>
  <c r="RO133" i="7" s="1"/>
  <c r="RP133" i="7" s="1"/>
  <c r="RF133" i="7"/>
  <c r="RE133" i="7"/>
  <c r="RA133" i="7"/>
  <c r="QZ133" i="7"/>
  <c r="QU133" i="7"/>
  <c r="QV133" i="7" s="1"/>
  <c r="QQ133" i="7"/>
  <c r="QP133" i="7"/>
  <c r="QK133" i="7"/>
  <c r="QL133" i="7" s="1"/>
  <c r="QG133" i="7"/>
  <c r="QF133" i="7"/>
  <c r="QA133" i="7"/>
  <c r="QB133" i="7" s="1"/>
  <c r="PV133" i="7"/>
  <c r="RY133" i="7" s="1"/>
  <c r="RZ133" i="7" s="1"/>
  <c r="PQ133" i="7"/>
  <c r="PR133" i="7" s="1"/>
  <c r="PM133" i="7"/>
  <c r="PL133" i="7"/>
  <c r="PG133" i="7"/>
  <c r="PH133" i="7" s="1"/>
  <c r="OZ133" i="7"/>
  <c r="OY133" i="7"/>
  <c r="OU133" i="7"/>
  <c r="OT133" i="7"/>
  <c r="OS133" i="7"/>
  <c r="OP133" i="7"/>
  <c r="OO133" i="7"/>
  <c r="ON133" i="7"/>
  <c r="OK133" i="7"/>
  <c r="OJ133" i="7"/>
  <c r="OI133" i="7"/>
  <c r="OF133" i="7"/>
  <c r="OE133" i="7"/>
  <c r="OB133" i="7"/>
  <c r="OC133" i="7" s="1"/>
  <c r="NX133" i="7"/>
  <c r="NW133" i="7"/>
  <c r="NR133" i="7"/>
  <c r="PA133" i="7" s="1"/>
  <c r="PB133" i="7" s="1"/>
  <c r="NN133" i="7"/>
  <c r="NM133" i="7"/>
  <c r="OV133" i="7" s="1"/>
  <c r="OW133" i="7" s="1"/>
  <c r="NH133" i="7"/>
  <c r="NI133" i="7" s="1"/>
  <c r="ND133" i="7"/>
  <c r="NC133" i="7"/>
  <c r="MX133" i="7"/>
  <c r="MY133" i="7" s="1"/>
  <c r="MT133" i="7"/>
  <c r="MS133" i="7"/>
  <c r="MN133" i="7"/>
  <c r="OQ133" i="7" s="1"/>
  <c r="OR133" i="7" s="1"/>
  <c r="MJ133" i="7"/>
  <c r="MI133" i="7"/>
  <c r="MD133" i="7"/>
  <c r="ME133" i="7" s="1"/>
  <c r="LZ133" i="7"/>
  <c r="LY133" i="7"/>
  <c r="OL133" i="7" s="1"/>
  <c r="OM133" i="7" s="1"/>
  <c r="LR133" i="7"/>
  <c r="LQ133" i="7"/>
  <c r="LN133" i="7"/>
  <c r="LM133" i="7"/>
  <c r="LK133" i="7"/>
  <c r="LL133" i="7" s="1"/>
  <c r="LJ133" i="7"/>
  <c r="LI133" i="7"/>
  <c r="LG133" i="7"/>
  <c r="LH133" i="7" s="1"/>
  <c r="LF133" i="7"/>
  <c r="LE133" i="7"/>
  <c r="LB133" i="7"/>
  <c r="KX133" i="7"/>
  <c r="KY133" i="7" s="1"/>
  <c r="KT133" i="7"/>
  <c r="KS133" i="7"/>
  <c r="KN133" i="7"/>
  <c r="KO133" i="7" s="1"/>
  <c r="KJ133" i="7"/>
  <c r="KI133" i="7"/>
  <c r="KD133" i="7"/>
  <c r="KE133" i="7" s="1"/>
  <c r="KB133" i="7"/>
  <c r="LA133" i="7" s="1"/>
  <c r="JZ133" i="7"/>
  <c r="JY133" i="7"/>
  <c r="JU133" i="7"/>
  <c r="JT133" i="7"/>
  <c r="JP133" i="7"/>
  <c r="JO133" i="7"/>
  <c r="JK133" i="7"/>
  <c r="JJ133" i="7"/>
  <c r="JF133" i="7"/>
  <c r="JE133" i="7"/>
  <c r="JA133" i="7"/>
  <c r="IZ133" i="7"/>
  <c r="IV133" i="7"/>
  <c r="IU133" i="7"/>
  <c r="IN133" i="7"/>
  <c r="IM133" i="7"/>
  <c r="IJ133" i="7"/>
  <c r="II133" i="7"/>
  <c r="IF133" i="7"/>
  <c r="IE133" i="7"/>
  <c r="IB133" i="7"/>
  <c r="IA133" i="7"/>
  <c r="HY133" i="7"/>
  <c r="HX133" i="7"/>
  <c r="HW133" i="7"/>
  <c r="HV133" i="7"/>
  <c r="HU133" i="7"/>
  <c r="HT133" i="7"/>
  <c r="HP133" i="7"/>
  <c r="HO133" i="7"/>
  <c r="HK133" i="7"/>
  <c r="HJ133" i="7"/>
  <c r="IO133" i="7" s="1"/>
  <c r="IP133" i="7" s="1"/>
  <c r="HF133" i="7"/>
  <c r="HE133" i="7"/>
  <c r="HA133" i="7"/>
  <c r="GZ133" i="7"/>
  <c r="IK133" i="7" s="1"/>
  <c r="IL133" i="7" s="1"/>
  <c r="GV133" i="7"/>
  <c r="GU133" i="7"/>
  <c r="GQ133" i="7"/>
  <c r="GP133" i="7"/>
  <c r="GL133" i="7"/>
  <c r="GK133" i="7"/>
  <c r="GG133" i="7"/>
  <c r="GF133" i="7"/>
  <c r="IG133" i="7" s="1"/>
  <c r="IH133" i="7" s="1"/>
  <c r="GB133" i="7"/>
  <c r="GA133" i="7"/>
  <c r="FW133" i="7"/>
  <c r="FV133" i="7"/>
  <c r="IC133" i="7" s="1"/>
  <c r="ID133" i="7" s="1"/>
  <c r="FR133" i="7"/>
  <c r="FQ133" i="7"/>
  <c r="FK133" i="7"/>
  <c r="FI133" i="7"/>
  <c r="FF133" i="7"/>
  <c r="FE133" i="7"/>
  <c r="FB133" i="7"/>
  <c r="FA133" i="7"/>
  <c r="EX133" i="7"/>
  <c r="EW133" i="7"/>
  <c r="ET133" i="7"/>
  <c r="ES133" i="7"/>
  <c r="ER133" i="7"/>
  <c r="EP133" i="7"/>
  <c r="EQ133" i="7" s="1"/>
  <c r="EL133" i="7"/>
  <c r="EK133" i="7"/>
  <c r="EF133" i="7"/>
  <c r="FL133" i="7" s="1"/>
  <c r="FM133" i="7" s="1"/>
  <c r="EB133" i="7"/>
  <c r="EA133" i="7"/>
  <c r="DV133" i="7"/>
  <c r="DW133" i="7" s="1"/>
  <c r="DQ133" i="7"/>
  <c r="FG133" i="7" s="1"/>
  <c r="FH133" i="7" s="1"/>
  <c r="DL133" i="7"/>
  <c r="DG133" i="7"/>
  <c r="DB133" i="7"/>
  <c r="FC133" i="7" s="1"/>
  <c r="CW133" i="7"/>
  <c r="EY133" i="7" s="1"/>
  <c r="BR133" i="7"/>
  <c r="BQ133" i="7"/>
  <c r="BS133" i="7" s="1"/>
  <c r="BP133" i="7"/>
  <c r="VQ132" i="7"/>
  <c r="VP132" i="7"/>
  <c r="VR132" i="7" s="1"/>
  <c r="VO132" i="7"/>
  <c r="VK132" i="7"/>
  <c r="VJ132" i="7"/>
  <c r="VF132" i="7"/>
  <c r="VE132" i="7"/>
  <c r="VA132" i="7"/>
  <c r="UZ132" i="7"/>
  <c r="UY132" i="7"/>
  <c r="TS132" i="7"/>
  <c r="VL132" i="7" s="1"/>
  <c r="VM132" i="7" s="1"/>
  <c r="TN132" i="7"/>
  <c r="TI132" i="7"/>
  <c r="TE132" i="7"/>
  <c r="TD132" i="7"/>
  <c r="VG132" i="7" s="1"/>
  <c r="VH132" i="7" s="1"/>
  <c r="SZ132" i="7"/>
  <c r="SY132" i="7"/>
  <c r="SU132" i="7"/>
  <c r="ST132" i="7"/>
  <c r="SO132" i="7"/>
  <c r="VB132" i="7" s="1"/>
  <c r="VC132" i="7" s="1"/>
  <c r="SH132" i="7"/>
  <c r="SG132" i="7"/>
  <c r="SC132" i="7"/>
  <c r="SB132" i="7"/>
  <c r="RX132" i="7"/>
  <c r="RW132" i="7"/>
  <c r="RS132" i="7"/>
  <c r="RR132" i="7"/>
  <c r="RQ132" i="7"/>
  <c r="RN132" i="7"/>
  <c r="RM132" i="7"/>
  <c r="RK132" i="7"/>
  <c r="RJ132" i="7"/>
  <c r="RO132" i="7" s="1"/>
  <c r="RP132" i="7" s="1"/>
  <c r="RF132" i="7"/>
  <c r="RE132" i="7"/>
  <c r="SI132" i="7" s="1"/>
  <c r="SJ132" i="7" s="1"/>
  <c r="RA132" i="7"/>
  <c r="QZ132" i="7"/>
  <c r="QV132" i="7"/>
  <c r="QU132" i="7"/>
  <c r="SD132" i="7" s="1"/>
  <c r="SE132" i="7" s="1"/>
  <c r="QQ132" i="7"/>
  <c r="QP132" i="7"/>
  <c r="QL132" i="7"/>
  <c r="QK132" i="7"/>
  <c r="QG132" i="7"/>
  <c r="QF132" i="7"/>
  <c r="QB132" i="7"/>
  <c r="QA132" i="7"/>
  <c r="RY132" i="7" s="1"/>
  <c r="RZ132" i="7" s="1"/>
  <c r="PW132" i="7"/>
  <c r="PV132" i="7"/>
  <c r="PR132" i="7"/>
  <c r="PQ132" i="7"/>
  <c r="PM132" i="7"/>
  <c r="PL132" i="7"/>
  <c r="PH132" i="7"/>
  <c r="PG132" i="7"/>
  <c r="RT132" i="7" s="1"/>
  <c r="RU132" i="7" s="1"/>
  <c r="OZ132" i="7"/>
  <c r="OY132" i="7"/>
  <c r="OS132" i="7"/>
  <c r="OF132" i="7"/>
  <c r="OE132" i="7"/>
  <c r="OB132" i="7"/>
  <c r="PA132" i="7" s="1"/>
  <c r="PB132" i="7" s="1"/>
  <c r="VR131" i="7"/>
  <c r="VQ131" i="7"/>
  <c r="VP131" i="7"/>
  <c r="VO131" i="7"/>
  <c r="VK131" i="7"/>
  <c r="VJ131" i="7"/>
  <c r="VF131" i="7"/>
  <c r="VE131" i="7"/>
  <c r="VA131" i="7"/>
  <c r="UZ131" i="7"/>
  <c r="UY131" i="7"/>
  <c r="UY164" i="7" s="1"/>
  <c r="TS131" i="7"/>
  <c r="TN131" i="7"/>
  <c r="TI131" i="7"/>
  <c r="TE131" i="7"/>
  <c r="TD131" i="7"/>
  <c r="SY131" i="7"/>
  <c r="SU131" i="7"/>
  <c r="ST131" i="7"/>
  <c r="VB131" i="7" s="1"/>
  <c r="SO131" i="7"/>
  <c r="SH131" i="7"/>
  <c r="SG131" i="7"/>
  <c r="SC131" i="7"/>
  <c r="SB131" i="7"/>
  <c r="RX131" i="7"/>
  <c r="RW131" i="7"/>
  <c r="RS131" i="7"/>
  <c r="RS164" i="7" s="1"/>
  <c r="RR131" i="7"/>
  <c r="RQ131" i="7"/>
  <c r="RQ164" i="7" s="1"/>
  <c r="RN131" i="7"/>
  <c r="RM131" i="7"/>
  <c r="RK131" i="7"/>
  <c r="RJ131" i="7"/>
  <c r="RJ164" i="7" s="1"/>
  <c r="RK164" i="7" s="1"/>
  <c r="RE131" i="7"/>
  <c r="RA131" i="7"/>
  <c r="QZ131" i="7"/>
  <c r="QZ164" i="7" s="1"/>
  <c r="RA164" i="7" s="1"/>
  <c r="QU131" i="7"/>
  <c r="QU164" i="7" s="1"/>
  <c r="QV164" i="7" s="1"/>
  <c r="QQ131" i="7"/>
  <c r="QP131" i="7"/>
  <c r="QP164" i="7" s="1"/>
  <c r="QQ164" i="7" s="1"/>
  <c r="QK131" i="7"/>
  <c r="QG131" i="7"/>
  <c r="QF131" i="7"/>
  <c r="QA131" i="7"/>
  <c r="PW131" i="7"/>
  <c r="PV131" i="7"/>
  <c r="PQ131" i="7"/>
  <c r="PM131" i="7"/>
  <c r="PL131" i="7"/>
  <c r="PG131" i="7"/>
  <c r="PG164" i="7" s="1"/>
  <c r="PH164" i="7" s="1"/>
  <c r="OZ131" i="7"/>
  <c r="OY131" i="7"/>
  <c r="OU131" i="7"/>
  <c r="OT131" i="7"/>
  <c r="OS131" i="7"/>
  <c r="OP131" i="7"/>
  <c r="OO131" i="7"/>
  <c r="ON131" i="7"/>
  <c r="OK131" i="7"/>
  <c r="OK164" i="7" s="1"/>
  <c r="OJ131" i="7"/>
  <c r="OI131" i="7"/>
  <c r="OF131" i="7"/>
  <c r="OE131" i="7"/>
  <c r="OC131" i="7"/>
  <c r="OB131" i="7"/>
  <c r="NX131" i="7"/>
  <c r="NW131" i="7"/>
  <c r="NS131" i="7"/>
  <c r="NR131" i="7"/>
  <c r="NR164" i="7" s="1"/>
  <c r="NS164" i="7" s="1"/>
  <c r="NN131" i="7"/>
  <c r="NM131" i="7"/>
  <c r="NM164" i="7" s="1"/>
  <c r="NN164" i="7" s="1"/>
  <c r="NI131" i="7"/>
  <c r="NH131" i="7"/>
  <c r="NH164" i="7" s="1"/>
  <c r="NI164" i="7" s="1"/>
  <c r="ND131" i="7"/>
  <c r="NC131" i="7"/>
  <c r="NC164" i="7" s="1"/>
  <c r="ND164" i="7" s="1"/>
  <c r="MY131" i="7"/>
  <c r="MX131" i="7"/>
  <c r="MX164" i="7" s="1"/>
  <c r="MY164" i="7" s="1"/>
  <c r="MT131" i="7"/>
  <c r="MS131" i="7"/>
  <c r="MO131" i="7"/>
  <c r="MN131" i="7"/>
  <c r="MN164" i="7" s="1"/>
  <c r="MO164" i="7" s="1"/>
  <c r="MJ131" i="7"/>
  <c r="MI131" i="7"/>
  <c r="MI164" i="7" s="1"/>
  <c r="MJ164" i="7" s="1"/>
  <c r="MD131" i="7"/>
  <c r="OL131" i="7" s="1"/>
  <c r="LY131" i="7"/>
  <c r="LZ131" i="7" s="1"/>
  <c r="LR131" i="7"/>
  <c r="LQ131" i="7"/>
  <c r="LN131" i="7"/>
  <c r="LM131" i="7"/>
  <c r="LJ131" i="7"/>
  <c r="LI131" i="7"/>
  <c r="LF131" i="7"/>
  <c r="LE131" i="7"/>
  <c r="LB131" i="7"/>
  <c r="LA131" i="7"/>
  <c r="KX131" i="7"/>
  <c r="KX164" i="7" s="1"/>
  <c r="KY164" i="7" s="1"/>
  <c r="KS131" i="7"/>
  <c r="KT131" i="7" s="1"/>
  <c r="KN131" i="7"/>
  <c r="LS131" i="7" s="1"/>
  <c r="LT131" i="7" s="1"/>
  <c r="KI131" i="7"/>
  <c r="KJ131" i="7" s="1"/>
  <c r="KD131" i="7"/>
  <c r="LO131" i="7" s="1"/>
  <c r="LP131" i="7" s="1"/>
  <c r="JY131" i="7"/>
  <c r="JZ131" i="7" s="1"/>
  <c r="JT131" i="7"/>
  <c r="JU131" i="7" s="1"/>
  <c r="JO131" i="7"/>
  <c r="JP131" i="7" s="1"/>
  <c r="JJ131" i="7"/>
  <c r="LK131" i="7" s="1"/>
  <c r="LL131" i="7" s="1"/>
  <c r="JE131" i="7"/>
  <c r="JF131" i="7" s="1"/>
  <c r="IZ131" i="7"/>
  <c r="LG131" i="7" s="1"/>
  <c r="LH131" i="7" s="1"/>
  <c r="IU131" i="7"/>
  <c r="IV131" i="7" s="1"/>
  <c r="IO131" i="7"/>
  <c r="IP131" i="7" s="1"/>
  <c r="IN131" i="7"/>
  <c r="IM131" i="7"/>
  <c r="IK131" i="7"/>
  <c r="IL131" i="7" s="1"/>
  <c r="IJ131" i="7"/>
  <c r="II131" i="7"/>
  <c r="IG131" i="7"/>
  <c r="IH131" i="7" s="1"/>
  <c r="IF131" i="7"/>
  <c r="IE131" i="7"/>
  <c r="IC131" i="7"/>
  <c r="IB131" i="7"/>
  <c r="IA131" i="7"/>
  <c r="HX131" i="7"/>
  <c r="HW131" i="7"/>
  <c r="HV131" i="7"/>
  <c r="HT131" i="7"/>
  <c r="HU131" i="7" s="1"/>
  <c r="HP131" i="7"/>
  <c r="HO131" i="7"/>
  <c r="HJ131" i="7"/>
  <c r="HK131" i="7" s="1"/>
  <c r="HF131" i="7"/>
  <c r="HE131" i="7"/>
  <c r="GZ131" i="7"/>
  <c r="HA131" i="7" s="1"/>
  <c r="GV131" i="7"/>
  <c r="GU131" i="7"/>
  <c r="GP131" i="7"/>
  <c r="GQ131" i="7" s="1"/>
  <c r="GL131" i="7"/>
  <c r="GK131" i="7"/>
  <c r="HY131" i="7" s="1"/>
  <c r="EU131" i="7"/>
  <c r="EV131" i="7" s="1"/>
  <c r="ET131" i="7"/>
  <c r="ES131" i="7"/>
  <c r="ER131" i="7"/>
  <c r="VQ130" i="7"/>
  <c r="VP130" i="7"/>
  <c r="VP164" i="7" s="1"/>
  <c r="VO130" i="7"/>
  <c r="VL130" i="7"/>
  <c r="VK130" i="7"/>
  <c r="VK164" i="7" s="1"/>
  <c r="VJ130" i="7"/>
  <c r="VF130" i="7"/>
  <c r="VF164" i="7" s="1"/>
  <c r="VE130" i="7"/>
  <c r="VD130" i="7"/>
  <c r="VD164" i="7" s="1"/>
  <c r="TI130" i="7"/>
  <c r="ST130" i="7"/>
  <c r="SI130" i="7"/>
  <c r="SH130" i="7"/>
  <c r="SH164" i="7" s="1"/>
  <c r="SG130" i="7"/>
  <c r="SD130" i="7"/>
  <c r="SC130" i="7"/>
  <c r="SC164" i="7" s="1"/>
  <c r="SB130" i="7"/>
  <c r="SA130" i="7"/>
  <c r="SA164" i="7" s="1"/>
  <c r="RY130" i="7"/>
  <c r="RX130" i="7"/>
  <c r="RX164" i="7" s="1"/>
  <c r="RW130" i="7"/>
  <c r="RV130" i="7"/>
  <c r="RV164" i="7" s="1"/>
  <c r="RN130" i="7"/>
  <c r="RN164" i="7" s="1"/>
  <c r="RM130" i="7"/>
  <c r="RL130" i="7"/>
  <c r="RL164" i="7" s="1"/>
  <c r="PL130" i="7"/>
  <c r="PL164" i="7" s="1"/>
  <c r="PM164" i="7" s="1"/>
  <c r="PA130" i="7"/>
  <c r="OZ130" i="7"/>
  <c r="OY130" i="7"/>
  <c r="OX130" i="7"/>
  <c r="OV130" i="7"/>
  <c r="OU130" i="7"/>
  <c r="OU164" i="7" s="1"/>
  <c r="OT130" i="7"/>
  <c r="OT164" i="7" s="1"/>
  <c r="OS130" i="7"/>
  <c r="OQ130" i="7"/>
  <c r="OP130" i="7"/>
  <c r="OP164" i="7" s="1"/>
  <c r="OO130" i="7"/>
  <c r="ON130" i="7"/>
  <c r="OF130" i="7"/>
  <c r="OE130" i="7"/>
  <c r="OD130" i="7"/>
  <c r="OD164" i="7" s="1"/>
  <c r="MD130" i="7"/>
  <c r="LY130" i="7"/>
  <c r="LY164" i="7" s="1"/>
  <c r="LZ164" i="7" s="1"/>
  <c r="LR130" i="7"/>
  <c r="LR164" i="7" s="1"/>
  <c r="LQ130" i="7"/>
  <c r="LQ164" i="7" s="1"/>
  <c r="LN130" i="7"/>
  <c r="LM130" i="7"/>
  <c r="LJ130" i="7"/>
  <c r="LI130" i="7"/>
  <c r="LF130" i="7"/>
  <c r="LE130" i="7"/>
  <c r="LB130" i="7"/>
  <c r="LA130" i="7"/>
  <c r="KS130" i="7"/>
  <c r="KS164" i="7" s="1"/>
  <c r="KT164" i="7" s="1"/>
  <c r="KO130" i="7"/>
  <c r="KN130" i="7"/>
  <c r="KJ130" i="7"/>
  <c r="KI130" i="7"/>
  <c r="KE130" i="7"/>
  <c r="KD130" i="7"/>
  <c r="JZ130" i="7"/>
  <c r="JY130" i="7"/>
  <c r="LO130" i="7" s="1"/>
  <c r="LP130" i="7" s="1"/>
  <c r="JU130" i="7"/>
  <c r="JT130" i="7"/>
  <c r="JP130" i="7"/>
  <c r="JO130" i="7"/>
  <c r="JK130" i="7"/>
  <c r="JJ130" i="7"/>
  <c r="LK130" i="7" s="1"/>
  <c r="LL130" i="7" s="1"/>
  <c r="JF130" i="7"/>
  <c r="JE130" i="7"/>
  <c r="JA130" i="7"/>
  <c r="IZ130" i="7"/>
  <c r="IV130" i="7"/>
  <c r="IU130" i="7"/>
  <c r="LG130" i="7" s="1"/>
  <c r="LH130" i="7" s="1"/>
  <c r="IN130" i="7"/>
  <c r="IM130" i="7"/>
  <c r="IJ130" i="7"/>
  <c r="II130" i="7"/>
  <c r="IF130" i="7"/>
  <c r="IE130" i="7"/>
  <c r="IC130" i="7"/>
  <c r="IB130" i="7"/>
  <c r="IA130" i="7"/>
  <c r="HX130" i="7"/>
  <c r="HW130" i="7"/>
  <c r="HV130" i="7"/>
  <c r="HU130" i="7"/>
  <c r="HT130" i="7"/>
  <c r="HO130" i="7"/>
  <c r="HP130" i="7" s="1"/>
  <c r="HK130" i="7"/>
  <c r="HJ130" i="7"/>
  <c r="IO130" i="7" s="1"/>
  <c r="IP130" i="7" s="1"/>
  <c r="HE130" i="7"/>
  <c r="HF130" i="7" s="1"/>
  <c r="HA130" i="7"/>
  <c r="GZ130" i="7"/>
  <c r="GU130" i="7"/>
  <c r="IK130" i="7" s="1"/>
  <c r="IL130" i="7" s="1"/>
  <c r="GQ130" i="7"/>
  <c r="GP130" i="7"/>
  <c r="GK130" i="7"/>
  <c r="HY130" i="7" s="1"/>
  <c r="EV130" i="7"/>
  <c r="EU130" i="7"/>
  <c r="ET130" i="7"/>
  <c r="ES130" i="7"/>
  <c r="ER130" i="7"/>
  <c r="VQ129" i="7"/>
  <c r="VP129" i="7"/>
  <c r="VO129" i="7"/>
  <c r="VK129" i="7"/>
  <c r="VJ129" i="7"/>
  <c r="VI129" i="7"/>
  <c r="VF129" i="7"/>
  <c r="VE129" i="7"/>
  <c r="VD129" i="7"/>
  <c r="VA129" i="7"/>
  <c r="UZ129" i="7"/>
  <c r="UY129" i="7"/>
  <c r="TS129" i="7"/>
  <c r="VL129" i="7" s="1"/>
  <c r="TN129" i="7"/>
  <c r="TI129" i="7"/>
  <c r="TD129" i="7"/>
  <c r="VG129" i="7" s="1"/>
  <c r="SY129" i="7"/>
  <c r="VB129" i="7" s="1"/>
  <c r="ST129" i="7"/>
  <c r="SH129" i="7"/>
  <c r="SG129" i="7"/>
  <c r="SC129" i="7"/>
  <c r="SB129" i="7"/>
  <c r="SA129" i="7"/>
  <c r="RX129" i="7"/>
  <c r="RW129" i="7"/>
  <c r="RV129" i="7"/>
  <c r="RS129" i="7"/>
  <c r="RR129" i="7"/>
  <c r="RQ129" i="7"/>
  <c r="RN129" i="7"/>
  <c r="RM129" i="7"/>
  <c r="RJ129" i="7"/>
  <c r="RO129" i="7" s="1"/>
  <c r="RE129" i="7"/>
  <c r="SI129" i="7" s="1"/>
  <c r="QK129" i="7"/>
  <c r="SD129" i="7" s="1"/>
  <c r="QF129" i="7"/>
  <c r="QA129" i="7"/>
  <c r="PV129" i="7"/>
  <c r="RY129" i="7" s="1"/>
  <c r="PQ129" i="7"/>
  <c r="PL129" i="7"/>
  <c r="RT129" i="7" s="1"/>
  <c r="PA129" i="7"/>
  <c r="OZ129" i="7"/>
  <c r="OY129" i="7"/>
  <c r="OX129" i="7"/>
  <c r="OU129" i="7"/>
  <c r="OT129" i="7"/>
  <c r="OS129" i="7"/>
  <c r="OP129" i="7"/>
  <c r="OO129" i="7"/>
  <c r="ON129" i="7"/>
  <c r="OK129" i="7"/>
  <c r="OJ129" i="7"/>
  <c r="OI129" i="7"/>
  <c r="OF129" i="7"/>
  <c r="OF164" i="7" s="1"/>
  <c r="OE129" i="7"/>
  <c r="OB129" i="7"/>
  <c r="OG129" i="7" s="1"/>
  <c r="NW129" i="7"/>
  <c r="NC129" i="7"/>
  <c r="OV129" i="7" s="1"/>
  <c r="MX129" i="7"/>
  <c r="OQ129" i="7" s="1"/>
  <c r="MS129" i="7"/>
  <c r="MN129" i="7"/>
  <c r="MI129" i="7"/>
  <c r="ME129" i="7"/>
  <c r="MD129" i="7"/>
  <c r="OL129" i="7" s="1"/>
  <c r="OM129" i="7" s="1"/>
  <c r="LR129" i="7"/>
  <c r="LQ129" i="7"/>
  <c r="LN129" i="7"/>
  <c r="LM129" i="7"/>
  <c r="LJ129" i="7"/>
  <c r="LI129" i="7"/>
  <c r="LG129" i="7"/>
  <c r="LH129" i="7" s="1"/>
  <c r="LF129" i="7"/>
  <c r="LE129" i="7"/>
  <c r="LB129" i="7"/>
  <c r="KX129" i="7"/>
  <c r="KS129" i="7"/>
  <c r="KN129" i="7"/>
  <c r="LS129" i="7" s="1"/>
  <c r="KI129" i="7"/>
  <c r="KB129" i="7"/>
  <c r="KD129" i="7" s="1"/>
  <c r="KE129" i="7" s="1"/>
  <c r="JY129" i="7"/>
  <c r="LO129" i="7" s="1"/>
  <c r="LP129" i="7" s="1"/>
  <c r="JR129" i="7"/>
  <c r="LA129" i="7" s="1"/>
  <c r="HY129" i="7"/>
  <c r="HX129" i="7"/>
  <c r="HW129" i="7"/>
  <c r="HV129" i="7"/>
  <c r="EV129" i="7"/>
  <c r="EU129" i="7"/>
  <c r="ET129" i="7"/>
  <c r="ES129" i="7"/>
  <c r="ER129" i="7"/>
  <c r="VL128" i="7"/>
  <c r="VK128" i="7"/>
  <c r="VJ128" i="7"/>
  <c r="VI128" i="7"/>
  <c r="SD128" i="7"/>
  <c r="SC128" i="7"/>
  <c r="SB128" i="7"/>
  <c r="SA128" i="7"/>
  <c r="OV128" i="7"/>
  <c r="OU128" i="7"/>
  <c r="OT128" i="7"/>
  <c r="OS128" i="7"/>
  <c r="LS128" i="7"/>
  <c r="LR128" i="7"/>
  <c r="LQ128" i="7"/>
  <c r="LO128" i="7"/>
  <c r="LN128" i="7"/>
  <c r="LM128" i="7"/>
  <c r="LK128" i="7"/>
  <c r="LJ128" i="7"/>
  <c r="LI128" i="7"/>
  <c r="LG128" i="7"/>
  <c r="LF128" i="7"/>
  <c r="LE128" i="7"/>
  <c r="UQ127" i="7"/>
  <c r="UQ167" i="7" s="1"/>
  <c r="UP127" i="7"/>
  <c r="UP167" i="7" s="1"/>
  <c r="UO127" i="7"/>
  <c r="UO167" i="7" s="1"/>
  <c r="UL127" i="7"/>
  <c r="UL167" i="7" s="1"/>
  <c r="UK127" i="7"/>
  <c r="UK167" i="7" s="1"/>
  <c r="UJ127" i="7"/>
  <c r="UJ167" i="7" s="1"/>
  <c r="UE127" i="7"/>
  <c r="UE167" i="7" s="1"/>
  <c r="TZ127" i="7"/>
  <c r="TZ167" i="7" s="1"/>
  <c r="TR127" i="7"/>
  <c r="TR167" i="7" s="1"/>
  <c r="TA127" i="7"/>
  <c r="TA167" i="7" s="1"/>
  <c r="RG127" i="7"/>
  <c r="RG167" i="7" s="1"/>
  <c r="RC127" i="7"/>
  <c r="RC167" i="7" s="1"/>
  <c r="RB127" i="7"/>
  <c r="RB167" i="7" s="1"/>
  <c r="QY127" i="7"/>
  <c r="QY167" i="7" s="1"/>
  <c r="QX127" i="7"/>
  <c r="QX167" i="7" s="1"/>
  <c r="QW127" i="7"/>
  <c r="QW167" i="7" s="1"/>
  <c r="QT127" i="7"/>
  <c r="QT167" i="7" s="1"/>
  <c r="QS127" i="7"/>
  <c r="QS167" i="7" s="1"/>
  <c r="QR127" i="7"/>
  <c r="QR167" i="7" s="1"/>
  <c r="QO127" i="7"/>
  <c r="QO167" i="7" s="1"/>
  <c r="QN127" i="7"/>
  <c r="QN167" i="7" s="1"/>
  <c r="QM127" i="7"/>
  <c r="QM167" i="7" s="1"/>
  <c r="QJ127" i="7"/>
  <c r="QJ167" i="7" s="1"/>
  <c r="QI127" i="7"/>
  <c r="QI167" i="7" s="1"/>
  <c r="QH127" i="7"/>
  <c r="QH167" i="7" s="1"/>
  <c r="QE127" i="7"/>
  <c r="QE167" i="7" s="1"/>
  <c r="QC127" i="7"/>
  <c r="QC167" i="7" s="1"/>
  <c r="PZ127" i="7"/>
  <c r="PZ167" i="7" s="1"/>
  <c r="PX127" i="7"/>
  <c r="PX167" i="7" s="1"/>
  <c r="PU127" i="7"/>
  <c r="PU167" i="7" s="1"/>
  <c r="PT127" i="7"/>
  <c r="PS127" i="7"/>
  <c r="PS167" i="7" s="1"/>
  <c r="PP127" i="7"/>
  <c r="PP167" i="7" s="1"/>
  <c r="PN127" i="7"/>
  <c r="PN167" i="7" s="1"/>
  <c r="PK127" i="7"/>
  <c r="PK167" i="7" s="1"/>
  <c r="PJ127" i="7"/>
  <c r="PJ167" i="7" s="1"/>
  <c r="PI127" i="7"/>
  <c r="PI167" i="7" s="1"/>
  <c r="PD127" i="7"/>
  <c r="PD167" i="7" s="1"/>
  <c r="OA127" i="7"/>
  <c r="OA167" i="7" s="1"/>
  <c r="NZ127" i="7"/>
  <c r="NY127" i="7"/>
  <c r="NY167" i="7" s="1"/>
  <c r="NV127" i="7"/>
  <c r="NV167" i="7" s="1"/>
  <c r="NU127" i="7"/>
  <c r="NU167" i="7" s="1"/>
  <c r="NT127" i="7"/>
  <c r="NT167" i="7" s="1"/>
  <c r="NP127" i="7"/>
  <c r="NP167" i="7" s="1"/>
  <c r="NO127" i="7"/>
  <c r="NO167" i="7" s="1"/>
  <c r="NL127" i="7"/>
  <c r="NL167" i="7" s="1"/>
  <c r="NK127" i="7"/>
  <c r="NK167" i="7" s="1"/>
  <c r="NJ127" i="7"/>
  <c r="NJ167" i="7" s="1"/>
  <c r="NG127" i="7"/>
  <c r="NG167" i="7" s="1"/>
  <c r="NE127" i="7"/>
  <c r="NE167" i="7" s="1"/>
  <c r="NB127" i="7"/>
  <c r="NB167" i="7" s="1"/>
  <c r="NA127" i="7"/>
  <c r="NA167" i="7" s="1"/>
  <c r="MZ127" i="7"/>
  <c r="MZ167" i="7" s="1"/>
  <c r="MW127" i="7"/>
  <c r="MW167" i="7" s="1"/>
  <c r="MV127" i="7"/>
  <c r="MV167" i="7" s="1"/>
  <c r="MU127" i="7"/>
  <c r="MU167" i="7" s="1"/>
  <c r="MR127" i="7"/>
  <c r="MR167" i="7" s="1"/>
  <c r="MQ127" i="7"/>
  <c r="MP127" i="7"/>
  <c r="MP167" i="7" s="1"/>
  <c r="MM127" i="7"/>
  <c r="MM167" i="7" s="1"/>
  <c r="ML127" i="7"/>
  <c r="ML167" i="7" s="1"/>
  <c r="MK127" i="7"/>
  <c r="MK167" i="7" s="1"/>
  <c r="MH127" i="7"/>
  <c r="MH167" i="7" s="1"/>
  <c r="MG127" i="7"/>
  <c r="MG167" i="7" s="1"/>
  <c r="MF127" i="7"/>
  <c r="MF167" i="7" s="1"/>
  <c r="MC127" i="7"/>
  <c r="MC167" i="7" s="1"/>
  <c r="MA127" i="7"/>
  <c r="MA167" i="7" s="1"/>
  <c r="LX127" i="7"/>
  <c r="LX167" i="7" s="1"/>
  <c r="LV127" i="7"/>
  <c r="LV167" i="7" s="1"/>
  <c r="KU127" i="7"/>
  <c r="KU167" i="7" s="1"/>
  <c r="KR127" i="7"/>
  <c r="KR167" i="7" s="1"/>
  <c r="KQ127" i="7"/>
  <c r="KQ167" i="7" s="1"/>
  <c r="KP127" i="7"/>
  <c r="KP167" i="7" s="1"/>
  <c r="KM127" i="7"/>
  <c r="KM167" i="7" s="1"/>
  <c r="KL127" i="7"/>
  <c r="KL167" i="7" s="1"/>
  <c r="KK127" i="7"/>
  <c r="KK167" i="7" s="1"/>
  <c r="VQ126" i="7"/>
  <c r="VP126" i="7"/>
  <c r="VO126" i="7"/>
  <c r="VL126" i="7"/>
  <c r="VK126" i="7"/>
  <c r="VJ126" i="7"/>
  <c r="VI126" i="7"/>
  <c r="VG126" i="7"/>
  <c r="VF126" i="7"/>
  <c r="VE126" i="7"/>
  <c r="SI126" i="7"/>
  <c r="SH126" i="7"/>
  <c r="SG126" i="7"/>
  <c r="SD126" i="7"/>
  <c r="SC126" i="7"/>
  <c r="SB126" i="7"/>
  <c r="SA126" i="7"/>
  <c r="RY126" i="7"/>
  <c r="RX126" i="7"/>
  <c r="RW126" i="7"/>
  <c r="RO126" i="7"/>
  <c r="RN126" i="7"/>
  <c r="RM126" i="7"/>
  <c r="PG126" i="7"/>
  <c r="PA126" i="7"/>
  <c r="OZ126" i="7"/>
  <c r="OY126" i="7"/>
  <c r="OX126" i="7"/>
  <c r="OV126" i="7"/>
  <c r="OU126" i="7"/>
  <c r="OT126" i="7"/>
  <c r="OS126" i="7"/>
  <c r="OQ126" i="7"/>
  <c r="OP126" i="7"/>
  <c r="OO126" i="7"/>
  <c r="OG126" i="7"/>
  <c r="OF126" i="7"/>
  <c r="OE126" i="7"/>
  <c r="LC126" i="7"/>
  <c r="LB126" i="7"/>
  <c r="LA126" i="7"/>
  <c r="KZ126" i="7"/>
  <c r="HY126" i="7"/>
  <c r="HX126" i="7"/>
  <c r="HW126" i="7"/>
  <c r="HV126" i="7"/>
  <c r="VP125" i="7"/>
  <c r="VO125" i="7"/>
  <c r="VL125" i="7"/>
  <c r="VK125" i="7"/>
  <c r="VJ125" i="7"/>
  <c r="VG125" i="7"/>
  <c r="VH125" i="7" s="1"/>
  <c r="VF125" i="7"/>
  <c r="VE125" i="7"/>
  <c r="UV125" i="7"/>
  <c r="UU125" i="7"/>
  <c r="UR125" i="7"/>
  <c r="UH125" i="7"/>
  <c r="VQ125" i="7" s="1"/>
  <c r="SH125" i="7"/>
  <c r="SG125" i="7"/>
  <c r="SD125" i="7"/>
  <c r="SC125" i="7"/>
  <c r="SB125" i="7"/>
  <c r="SA125" i="7"/>
  <c r="RY125" i="7"/>
  <c r="RX125" i="7"/>
  <c r="RW125" i="7"/>
  <c r="RR125" i="7"/>
  <c r="RN125" i="7"/>
  <c r="RM125" i="7"/>
  <c r="RJ125" i="7"/>
  <c r="RO125" i="7" s="1"/>
  <c r="RE125" i="7"/>
  <c r="SI125" i="7" s="1"/>
  <c r="PG125" i="7"/>
  <c r="OZ125" i="7"/>
  <c r="OY125" i="7"/>
  <c r="OX125" i="7"/>
  <c r="OV125" i="7"/>
  <c r="OU125" i="7"/>
  <c r="OT125" i="7"/>
  <c r="OS125" i="7"/>
  <c r="OQ125" i="7"/>
  <c r="OP125" i="7"/>
  <c r="OO125" i="7"/>
  <c r="OJ125" i="7"/>
  <c r="OF125" i="7"/>
  <c r="OE125" i="7"/>
  <c r="OB125" i="7"/>
  <c r="PA125" i="7" s="1"/>
  <c r="HY125" i="7"/>
  <c r="HX125" i="7"/>
  <c r="HW125" i="7"/>
  <c r="HV125" i="7"/>
  <c r="EU125" i="7"/>
  <c r="EV125" i="7" s="1"/>
  <c r="ET125" i="7"/>
  <c r="ES125" i="7"/>
  <c r="ER125" i="7"/>
  <c r="VL124" i="7"/>
  <c r="VK124" i="7"/>
  <c r="VJ124" i="7"/>
  <c r="VG124" i="7"/>
  <c r="VH124" i="7" s="1"/>
  <c r="VF124" i="7"/>
  <c r="VE124" i="7"/>
  <c r="UV124" i="7"/>
  <c r="UU124" i="7"/>
  <c r="UH124" i="7"/>
  <c r="UI124" i="7" s="1"/>
  <c r="RE124" i="7"/>
  <c r="VL123" i="7"/>
  <c r="VK123" i="7"/>
  <c r="VJ123" i="7"/>
  <c r="VG123" i="7"/>
  <c r="VH123" i="7" s="1"/>
  <c r="VF123" i="7"/>
  <c r="VE123" i="7"/>
  <c r="VB123" i="7"/>
  <c r="VC123" i="7" s="1"/>
  <c r="VA123" i="7"/>
  <c r="UZ123" i="7"/>
  <c r="UY123" i="7"/>
  <c r="UV123" i="7"/>
  <c r="UU123" i="7"/>
  <c r="UI123" i="7"/>
  <c r="UH123" i="7"/>
  <c r="UW123" i="7" s="1"/>
  <c r="RO123" i="7"/>
  <c r="RN123" i="7"/>
  <c r="RM123" i="7"/>
  <c r="VL122" i="7"/>
  <c r="VK122" i="7"/>
  <c r="VJ122" i="7"/>
  <c r="UV122" i="7"/>
  <c r="UU122" i="7"/>
  <c r="UH122" i="7"/>
  <c r="UI122" i="7" s="1"/>
  <c r="RO122" i="7"/>
  <c r="RN122" i="7"/>
  <c r="RM122" i="7"/>
  <c r="VK121" i="7"/>
  <c r="VJ121" i="7"/>
  <c r="UV121" i="7"/>
  <c r="UH121" i="7"/>
  <c r="UW121" i="7" s="1"/>
  <c r="UF121" i="7"/>
  <c r="UC121" i="7"/>
  <c r="VL121" i="7" s="1"/>
  <c r="UA121" i="7"/>
  <c r="UU121" i="7" s="1"/>
  <c r="TX121" i="7"/>
  <c r="TV121" i="7"/>
  <c r="TS121" i="7"/>
  <c r="TQ121" i="7"/>
  <c r="TN121" i="7"/>
  <c r="TL121" i="7"/>
  <c r="TI121" i="7"/>
  <c r="TG121" i="7"/>
  <c r="TD121" i="7"/>
  <c r="TB121" i="7"/>
  <c r="SY121" i="7"/>
  <c r="ST121" i="7"/>
  <c r="SO121" i="7"/>
  <c r="RO121" i="7"/>
  <c r="RN121" i="7"/>
  <c r="RM121" i="7"/>
  <c r="UV120" i="7"/>
  <c r="UU120" i="7"/>
  <c r="UI120" i="7"/>
  <c r="UH120" i="7"/>
  <c r="UW120" i="7" s="1"/>
  <c r="UX120" i="7" s="1"/>
  <c r="UC120" i="7"/>
  <c r="UD120" i="7" s="1"/>
  <c r="TY120" i="7"/>
  <c r="TX120" i="7"/>
  <c r="RO120" i="7"/>
  <c r="RN120" i="7"/>
  <c r="RM120" i="7"/>
  <c r="VO119" i="7"/>
  <c r="VK119" i="7"/>
  <c r="VF119" i="7"/>
  <c r="VE119" i="7"/>
  <c r="VA119" i="7"/>
  <c r="UR119" i="7"/>
  <c r="UM119" i="7"/>
  <c r="UG119" i="7"/>
  <c r="UH119" i="7" s="1"/>
  <c r="UC119" i="7"/>
  <c r="UD119" i="7" s="1"/>
  <c r="UA119" i="7"/>
  <c r="UU119" i="7" s="1"/>
  <c r="TV119" i="7"/>
  <c r="TX119" i="7" s="1"/>
  <c r="TS119" i="7"/>
  <c r="TT119" i="7" s="1"/>
  <c r="TQ119" i="7"/>
  <c r="TQ127" i="7" s="1"/>
  <c r="TP119" i="7"/>
  <c r="TP127" i="7" s="1"/>
  <c r="TP167" i="7" s="1"/>
  <c r="TN119" i="7"/>
  <c r="TO119" i="7" s="1"/>
  <c r="TL119" i="7"/>
  <c r="TK119" i="7"/>
  <c r="TK127" i="7" s="1"/>
  <c r="TK167" i="7" s="1"/>
  <c r="TI119" i="7"/>
  <c r="TJ119" i="7" s="1"/>
  <c r="TG119" i="7"/>
  <c r="TG127" i="7" s="1"/>
  <c r="TG167" i="7" s="1"/>
  <c r="TF119" i="7"/>
  <c r="TF127" i="7" s="1"/>
  <c r="TF167" i="7" s="1"/>
  <c r="TD119" i="7"/>
  <c r="TE119" i="7" s="1"/>
  <c r="TB119" i="7"/>
  <c r="SW119" i="7"/>
  <c r="SY119" i="7" s="1"/>
  <c r="ST119" i="7"/>
  <c r="SU119" i="7" s="1"/>
  <c r="SR119" i="7"/>
  <c r="SQ119" i="7"/>
  <c r="SQ118" i="7" s="1"/>
  <c r="SO119" i="7"/>
  <c r="SP119" i="7" s="1"/>
  <c r="SM119" i="7"/>
  <c r="UZ119" i="7" s="1"/>
  <c r="SL119" i="7"/>
  <c r="UY119" i="7" s="1"/>
  <c r="SH119" i="7"/>
  <c r="RN119" i="7"/>
  <c r="RH119" i="7"/>
  <c r="SG119" i="7" s="1"/>
  <c r="RE119" i="7"/>
  <c r="VK118" i="7"/>
  <c r="VF118" i="7"/>
  <c r="VA118" i="7"/>
  <c r="UR118" i="7"/>
  <c r="UM118" i="7"/>
  <c r="UG118" i="7"/>
  <c r="UG127" i="7" s="1"/>
  <c r="UG167" i="7" s="1"/>
  <c r="UF118" i="7"/>
  <c r="VO118" i="7" s="1"/>
  <c r="UC118" i="7"/>
  <c r="VL118" i="7" s="1"/>
  <c r="UA118" i="7"/>
  <c r="VJ118" i="7" s="1"/>
  <c r="TY118" i="7"/>
  <c r="TX118" i="7"/>
  <c r="TT118" i="7"/>
  <c r="TS118" i="7"/>
  <c r="TO118" i="7"/>
  <c r="TN118" i="7"/>
  <c r="TJ118" i="7"/>
  <c r="TI118" i="7"/>
  <c r="TB118" i="7"/>
  <c r="TB127" i="7" s="1"/>
  <c r="SY118" i="7"/>
  <c r="SZ118" i="7" s="1"/>
  <c r="SW118" i="7"/>
  <c r="SW127" i="7" s="1"/>
  <c r="SV118" i="7"/>
  <c r="SV127" i="7" s="1"/>
  <c r="SV167" i="7" s="1"/>
  <c r="ST118" i="7"/>
  <c r="SU118" i="7" s="1"/>
  <c r="SR118" i="7"/>
  <c r="UZ118" i="7" s="1"/>
  <c r="SO118" i="7"/>
  <c r="VB118" i="7" s="1"/>
  <c r="VC118" i="7" s="1"/>
  <c r="SN118" i="7"/>
  <c r="SH118" i="7"/>
  <c r="SG118" i="7"/>
  <c r="RN118" i="7"/>
  <c r="RM118" i="7"/>
  <c r="RJ118" i="7"/>
  <c r="RO118" i="7" s="1"/>
  <c r="RE118" i="7"/>
  <c r="VK117" i="7"/>
  <c r="VJ117" i="7"/>
  <c r="VF117" i="7"/>
  <c r="VE117" i="7"/>
  <c r="VB117" i="7"/>
  <c r="VC117" i="7" s="1"/>
  <c r="VA117" i="7"/>
  <c r="UZ117" i="7"/>
  <c r="UY117" i="7"/>
  <c r="UV117" i="7"/>
  <c r="UU117" i="7"/>
  <c r="UI117" i="7"/>
  <c r="UH117" i="7"/>
  <c r="UW117" i="7" s="1"/>
  <c r="UX117" i="7" s="1"/>
  <c r="UD117" i="7"/>
  <c r="UC117" i="7"/>
  <c r="TY117" i="7"/>
  <c r="TX117" i="7"/>
  <c r="VL117" i="7" s="1"/>
  <c r="TT117" i="7"/>
  <c r="TS117" i="7"/>
  <c r="TO117" i="7"/>
  <c r="TN117" i="7"/>
  <c r="TJ117" i="7"/>
  <c r="TI117" i="7"/>
  <c r="TE117" i="7"/>
  <c r="TD117" i="7"/>
  <c r="VG117" i="7" s="1"/>
  <c r="VH117" i="7" s="1"/>
  <c r="SZ117" i="7"/>
  <c r="SY117" i="7"/>
  <c r="RO117" i="7"/>
  <c r="RN117" i="7"/>
  <c r="RM117" i="7"/>
  <c r="VP116" i="7"/>
  <c r="VO116" i="7"/>
  <c r="VL116" i="7"/>
  <c r="VK116" i="7"/>
  <c r="VJ116" i="7"/>
  <c r="VG116" i="7"/>
  <c r="VH116" i="7" s="1"/>
  <c r="VF116" i="7"/>
  <c r="VE116" i="7"/>
  <c r="VB116" i="7"/>
  <c r="VC116" i="7" s="1"/>
  <c r="VA116" i="7"/>
  <c r="UZ116" i="7"/>
  <c r="UY116" i="7"/>
  <c r="UV116" i="7"/>
  <c r="UU116" i="7"/>
  <c r="UR116" i="7"/>
  <c r="UW116" i="7" s="1"/>
  <c r="UX116" i="7" s="1"/>
  <c r="UM116" i="7"/>
  <c r="UI116" i="7"/>
  <c r="UH116" i="7"/>
  <c r="VQ116" i="7" s="1"/>
  <c r="UD116" i="7"/>
  <c r="UC116" i="7"/>
  <c r="TY116" i="7"/>
  <c r="TX116" i="7"/>
  <c r="TT116" i="7"/>
  <c r="TS116" i="7"/>
  <c r="TO116" i="7"/>
  <c r="TN116" i="7"/>
  <c r="TJ116" i="7"/>
  <c r="TI116" i="7"/>
  <c r="TE116" i="7"/>
  <c r="TD116" i="7"/>
  <c r="SZ116" i="7"/>
  <c r="SY116" i="7"/>
  <c r="SU116" i="7"/>
  <c r="ST116" i="7"/>
  <c r="SP116" i="7"/>
  <c r="SO116" i="7"/>
  <c r="SH116" i="7"/>
  <c r="SG116" i="7"/>
  <c r="RN116" i="7"/>
  <c r="RM116" i="7"/>
  <c r="RJ116" i="7"/>
  <c r="RO116" i="7" s="1"/>
  <c r="RE116" i="7"/>
  <c r="VP115" i="7"/>
  <c r="VO115" i="7"/>
  <c r="VK115" i="7"/>
  <c r="VJ115" i="7"/>
  <c r="VF115" i="7"/>
  <c r="VE115" i="7"/>
  <c r="UY115" i="7"/>
  <c r="UU115" i="7"/>
  <c r="UR115" i="7"/>
  <c r="UM115" i="7"/>
  <c r="UH115" i="7"/>
  <c r="UI115" i="7" s="1"/>
  <c r="UC115" i="7"/>
  <c r="VL115" i="7" s="1"/>
  <c r="TX115" i="7"/>
  <c r="TY115" i="7" s="1"/>
  <c r="TS115" i="7"/>
  <c r="TT115" i="7" s="1"/>
  <c r="TN115" i="7"/>
  <c r="TO115" i="7" s="1"/>
  <c r="TI115" i="7"/>
  <c r="TJ115" i="7" s="1"/>
  <c r="TD115" i="7"/>
  <c r="TE115" i="7" s="1"/>
  <c r="SY115" i="7"/>
  <c r="SZ115" i="7" s="1"/>
  <c r="ST115" i="7"/>
  <c r="SN115" i="7"/>
  <c r="UV115" i="7" s="1"/>
  <c r="SM115" i="7"/>
  <c r="UZ115" i="7" s="1"/>
  <c r="SI115" i="7"/>
  <c r="SH115" i="7"/>
  <c r="SG115" i="7"/>
  <c r="RN115" i="7"/>
  <c r="RM115" i="7"/>
  <c r="RJ115" i="7"/>
  <c r="RO115" i="7" s="1"/>
  <c r="RE115" i="7"/>
  <c r="UV114" i="7"/>
  <c r="UH114" i="7"/>
  <c r="UI114" i="7" s="1"/>
  <c r="UA114" i="7"/>
  <c r="TX114" i="7"/>
  <c r="TV114" i="7"/>
  <c r="UU114" i="7" s="1"/>
  <c r="RO114" i="7"/>
  <c r="RN114" i="7"/>
  <c r="RM114" i="7"/>
  <c r="VK113" i="7"/>
  <c r="VJ113" i="7"/>
  <c r="VF113" i="7"/>
  <c r="VE113" i="7"/>
  <c r="VA113" i="7"/>
  <c r="UZ113" i="7"/>
  <c r="UY113" i="7"/>
  <c r="UV113" i="7"/>
  <c r="UU113" i="7"/>
  <c r="UH113" i="7"/>
  <c r="UI113" i="7" s="1"/>
  <c r="UC113" i="7"/>
  <c r="VL113" i="7" s="1"/>
  <c r="TX113" i="7"/>
  <c r="TY113" i="7" s="1"/>
  <c r="TS113" i="7"/>
  <c r="TT113" i="7" s="1"/>
  <c r="TN113" i="7"/>
  <c r="TO113" i="7" s="1"/>
  <c r="TI113" i="7"/>
  <c r="TJ113" i="7" s="1"/>
  <c r="TD113" i="7"/>
  <c r="VG113" i="7" s="1"/>
  <c r="VH113" i="7" s="1"/>
  <c r="SY113" i="7"/>
  <c r="VB113" i="7" s="1"/>
  <c r="VC113" i="7" s="1"/>
  <c r="RO113" i="7"/>
  <c r="RN113" i="7"/>
  <c r="RM113" i="7"/>
  <c r="VP112" i="7"/>
  <c r="VO112" i="7"/>
  <c r="VK112" i="7"/>
  <c r="VJ112" i="7"/>
  <c r="VE112" i="7"/>
  <c r="UZ112" i="7"/>
  <c r="UY112" i="7"/>
  <c r="UU112" i="7"/>
  <c r="UR112" i="7"/>
  <c r="UM112" i="7"/>
  <c r="UN112" i="7" s="1"/>
  <c r="UH112" i="7"/>
  <c r="VQ112" i="7" s="1"/>
  <c r="VR112" i="7" s="1"/>
  <c r="UC112" i="7"/>
  <c r="UD112" i="7" s="1"/>
  <c r="TX112" i="7"/>
  <c r="TY112" i="7" s="1"/>
  <c r="TS112" i="7"/>
  <c r="TT112" i="7" s="1"/>
  <c r="TN112" i="7"/>
  <c r="TO112" i="7" s="1"/>
  <c r="TM112" i="7"/>
  <c r="TH112" i="7"/>
  <c r="VF112" i="7" s="1"/>
  <c r="TD112" i="7"/>
  <c r="TE112" i="7" s="1"/>
  <c r="TC112" i="7"/>
  <c r="TC127" i="7" s="1"/>
  <c r="TC167" i="7" s="1"/>
  <c r="SX112" i="7"/>
  <c r="SY112" i="7" s="1"/>
  <c r="SZ112" i="7" s="1"/>
  <c r="ST112" i="7"/>
  <c r="SU112" i="7" s="1"/>
  <c r="SS112" i="7"/>
  <c r="SS127" i="7" s="1"/>
  <c r="SS167" i="7" s="1"/>
  <c r="SN112" i="7"/>
  <c r="VA112" i="7" s="1"/>
  <c r="SG112" i="7"/>
  <c r="RM112" i="7"/>
  <c r="RJ112" i="7"/>
  <c r="RK112" i="7" s="1"/>
  <c r="RI112" i="7"/>
  <c r="RI127" i="7" s="1"/>
  <c r="RI167" i="7" s="1"/>
  <c r="RE112" i="7"/>
  <c r="RD112" i="7"/>
  <c r="RD127" i="7" s="1"/>
  <c r="RD167" i="7" s="1"/>
  <c r="VP111" i="7"/>
  <c r="VO111" i="7"/>
  <c r="VK111" i="7"/>
  <c r="VJ111" i="7"/>
  <c r="VG111" i="7"/>
  <c r="VH111" i="7" s="1"/>
  <c r="VF111" i="7"/>
  <c r="VE111" i="7"/>
  <c r="VB111" i="7"/>
  <c r="VC111" i="7" s="1"/>
  <c r="VA111" i="7"/>
  <c r="UZ111" i="7"/>
  <c r="UY111" i="7"/>
  <c r="UV111" i="7"/>
  <c r="UU111" i="7"/>
  <c r="UH111" i="7"/>
  <c r="UW111" i="7" s="1"/>
  <c r="UX111" i="7" s="1"/>
  <c r="UC111" i="7"/>
  <c r="TX111" i="7"/>
  <c r="VL111" i="7" s="1"/>
  <c r="TS111" i="7"/>
  <c r="TO111" i="7"/>
  <c r="TN111" i="7"/>
  <c r="TJ111" i="7"/>
  <c r="TI111" i="7"/>
  <c r="TE111" i="7"/>
  <c r="TD111" i="7"/>
  <c r="RO111" i="7"/>
  <c r="RN111" i="7"/>
  <c r="RM111" i="7"/>
  <c r="VQ110" i="7"/>
  <c r="VR110" i="7" s="1"/>
  <c r="VP110" i="7"/>
  <c r="VO110" i="7"/>
  <c r="VK110" i="7"/>
  <c r="VJ110" i="7"/>
  <c r="VF110" i="7"/>
  <c r="VE110" i="7"/>
  <c r="VA110" i="7"/>
  <c r="UZ110" i="7"/>
  <c r="UY110" i="7"/>
  <c r="UV110" i="7"/>
  <c r="UU110" i="7"/>
  <c r="UR110" i="7"/>
  <c r="UN110" i="7"/>
  <c r="UM110" i="7"/>
  <c r="UH110" i="7"/>
  <c r="UC110" i="7"/>
  <c r="VL110" i="7" s="1"/>
  <c r="TX110" i="7"/>
  <c r="UW110" i="7" s="1"/>
  <c r="UX110" i="7" s="1"/>
  <c r="TS110" i="7"/>
  <c r="TI110" i="7"/>
  <c r="VG110" i="7" s="1"/>
  <c r="VH110" i="7" s="1"/>
  <c r="ST110" i="7"/>
  <c r="VB110" i="7" s="1"/>
  <c r="VC110" i="7" s="1"/>
  <c r="SP110" i="7"/>
  <c r="SO110" i="7"/>
  <c r="SH110" i="7"/>
  <c r="SG110" i="7"/>
  <c r="RN110" i="7"/>
  <c r="RM110" i="7"/>
  <c r="RK110" i="7"/>
  <c r="RJ110" i="7"/>
  <c r="RO110" i="7" s="1"/>
  <c r="RP110" i="7" s="1"/>
  <c r="RF110" i="7"/>
  <c r="RE110" i="7"/>
  <c r="RA110" i="7"/>
  <c r="QZ110" i="7"/>
  <c r="SI110" i="7" s="1"/>
  <c r="SJ110" i="7" s="1"/>
  <c r="VP109" i="7"/>
  <c r="VO109" i="7"/>
  <c r="VK109" i="7"/>
  <c r="VJ109" i="7"/>
  <c r="VG109" i="7"/>
  <c r="VF109" i="7"/>
  <c r="VH109" i="7" s="1"/>
  <c r="VE109" i="7"/>
  <c r="VB109" i="7"/>
  <c r="VA109" i="7"/>
  <c r="VC109" i="7" s="1"/>
  <c r="UZ109" i="7"/>
  <c r="UY109" i="7"/>
  <c r="UV109" i="7"/>
  <c r="UU109" i="7"/>
  <c r="UR109" i="7"/>
  <c r="UM109" i="7"/>
  <c r="UH109" i="7"/>
  <c r="VQ109" i="7" s="1"/>
  <c r="UC109" i="7"/>
  <c r="TX109" i="7"/>
  <c r="VL109" i="7" s="1"/>
  <c r="TS109" i="7"/>
  <c r="SI109" i="7"/>
  <c r="SH109" i="7"/>
  <c r="SG109" i="7"/>
  <c r="RN109" i="7"/>
  <c r="RM109" i="7"/>
  <c r="RJ109" i="7"/>
  <c r="RO109" i="7" s="1"/>
  <c r="RE109" i="7"/>
  <c r="G109" i="7"/>
  <c r="UW108" i="7"/>
  <c r="UV108" i="7"/>
  <c r="UU108" i="7"/>
  <c r="VQ107" i="7"/>
  <c r="VP107" i="7"/>
  <c r="VO107" i="7"/>
  <c r="VL107" i="7"/>
  <c r="VM107" i="7" s="1"/>
  <c r="VK107" i="7"/>
  <c r="VJ107" i="7"/>
  <c r="VG107" i="7"/>
  <c r="VH107" i="7" s="1"/>
  <c r="VF107" i="7"/>
  <c r="VE107" i="7"/>
  <c r="VB107" i="7"/>
  <c r="VC107" i="7" s="1"/>
  <c r="VA107" i="7"/>
  <c r="UZ107" i="7"/>
  <c r="UY107" i="7"/>
  <c r="UV107" i="7"/>
  <c r="UU107" i="7"/>
  <c r="UR107" i="7"/>
  <c r="UM107" i="7"/>
  <c r="UW107" i="7" s="1"/>
  <c r="UC107" i="7"/>
  <c r="TX107" i="7"/>
  <c r="TS107" i="7"/>
  <c r="SH107" i="7"/>
  <c r="SG107" i="7"/>
  <c r="SD107" i="7"/>
  <c r="SE107" i="7" s="1"/>
  <c r="SC107" i="7"/>
  <c r="SB107" i="7"/>
  <c r="RY107" i="7"/>
  <c r="RZ107" i="7" s="1"/>
  <c r="RX107" i="7"/>
  <c r="RW107" i="7"/>
  <c r="RT107" i="7"/>
  <c r="RU107" i="7" s="1"/>
  <c r="RS107" i="7"/>
  <c r="RR107" i="7"/>
  <c r="RQ107" i="7"/>
  <c r="RN107" i="7"/>
  <c r="RM107" i="7"/>
  <c r="RJ107" i="7"/>
  <c r="RO107" i="7" s="1"/>
  <c r="RP107" i="7" s="1"/>
  <c r="RE107" i="7"/>
  <c r="QU107" i="7"/>
  <c r="QP107" i="7"/>
  <c r="QL107" i="7"/>
  <c r="QK107" i="7"/>
  <c r="QG107" i="7"/>
  <c r="QF107" i="7"/>
  <c r="QB107" i="7"/>
  <c r="QA107" i="7"/>
  <c r="PW107" i="7"/>
  <c r="PV107" i="7"/>
  <c r="PR107" i="7"/>
  <c r="PQ107" i="7"/>
  <c r="PM107" i="7"/>
  <c r="PL107" i="7"/>
  <c r="PH107" i="7"/>
  <c r="PG107" i="7"/>
  <c r="OZ107" i="7"/>
  <c r="OY107" i="7"/>
  <c r="OU107" i="7"/>
  <c r="OT107" i="7"/>
  <c r="OS107" i="7"/>
  <c r="OP107" i="7"/>
  <c r="OO107" i="7"/>
  <c r="ON107" i="7"/>
  <c r="OK107" i="7"/>
  <c r="OJ107" i="7"/>
  <c r="OI107" i="7"/>
  <c r="OH107" i="7"/>
  <c r="OC107" i="7"/>
  <c r="OB107" i="7"/>
  <c r="NW107" i="7"/>
  <c r="PA107" i="7" s="1"/>
  <c r="PB107" i="7" s="1"/>
  <c r="NR107" i="7"/>
  <c r="NN107" i="7"/>
  <c r="NH107" i="7"/>
  <c r="NC107" i="7"/>
  <c r="MX107" i="7"/>
  <c r="MS107" i="7"/>
  <c r="MT107" i="7" s="1"/>
  <c r="MN107" i="7"/>
  <c r="MI107" i="7"/>
  <c r="MD107" i="7"/>
  <c r="ME107" i="7" s="1"/>
  <c r="MB107" i="7"/>
  <c r="LY107" i="7"/>
  <c r="LQ107" i="7"/>
  <c r="LO107" i="7"/>
  <c r="LP107" i="7" s="1"/>
  <c r="LN107" i="7"/>
  <c r="LM107" i="7"/>
  <c r="LJ107" i="7"/>
  <c r="LI107" i="7"/>
  <c r="LF107" i="7"/>
  <c r="LE107" i="7"/>
  <c r="KX107" i="7"/>
  <c r="KY107" i="7" s="1"/>
  <c r="KW107" i="7"/>
  <c r="LR107" i="7" s="1"/>
  <c r="KV107" i="7"/>
  <c r="KS107" i="7"/>
  <c r="KN107" i="7"/>
  <c r="LS107" i="7" s="1"/>
  <c r="LT107" i="7" s="1"/>
  <c r="KD107" i="7"/>
  <c r="KE107" i="7" s="1"/>
  <c r="KB107" i="7"/>
  <c r="JY107" i="7"/>
  <c r="JT107" i="7"/>
  <c r="JM107" i="7"/>
  <c r="JJ107" i="7"/>
  <c r="JE107" i="7"/>
  <c r="IZ107" i="7"/>
  <c r="JA107" i="7" s="1"/>
  <c r="IX107" i="7"/>
  <c r="IU107" i="7"/>
  <c r="IN107" i="7"/>
  <c r="IM107" i="7"/>
  <c r="IJ107" i="7"/>
  <c r="HX107" i="7"/>
  <c r="HW107" i="7"/>
  <c r="HV107" i="7"/>
  <c r="HT107" i="7"/>
  <c r="HP107" i="7"/>
  <c r="HO107" i="7"/>
  <c r="HM107" i="7"/>
  <c r="HM232" i="7" s="1"/>
  <c r="HJ107" i="7"/>
  <c r="IO107" i="7" s="1"/>
  <c r="IP107" i="7" s="1"/>
  <c r="HE107" i="7"/>
  <c r="EU107" i="7"/>
  <c r="ET107" i="7"/>
  <c r="ES107" i="7"/>
  <c r="ER107" i="7"/>
  <c r="G107" i="7"/>
  <c r="VR106" i="7"/>
  <c r="VP106" i="7"/>
  <c r="VO106" i="7"/>
  <c r="VL106" i="7"/>
  <c r="VK106" i="7"/>
  <c r="VF106" i="7"/>
  <c r="VE106" i="7"/>
  <c r="VA106" i="7"/>
  <c r="UZ106" i="7"/>
  <c r="UY106" i="7"/>
  <c r="US106" i="7"/>
  <c r="UR106" i="7"/>
  <c r="UM106" i="7"/>
  <c r="UN106" i="7" s="1"/>
  <c r="UI106" i="7"/>
  <c r="UH106" i="7"/>
  <c r="VQ106" i="7" s="1"/>
  <c r="UC106" i="7"/>
  <c r="UD106" i="7" s="1"/>
  <c r="TY106" i="7"/>
  <c r="TX106" i="7"/>
  <c r="TW106" i="7"/>
  <c r="TW127" i="7" s="1"/>
  <c r="TW167" i="7" s="1"/>
  <c r="TV106" i="7"/>
  <c r="UU106" i="7" s="1"/>
  <c r="TU106" i="7"/>
  <c r="TU127" i="7" s="1"/>
  <c r="TU167" i="7" s="1"/>
  <c r="TT106" i="7"/>
  <c r="TS106" i="7"/>
  <c r="TN106" i="7"/>
  <c r="TO106" i="7" s="1"/>
  <c r="TJ106" i="7"/>
  <c r="TI106" i="7"/>
  <c r="TD106" i="7"/>
  <c r="TE106" i="7" s="1"/>
  <c r="SZ106" i="7"/>
  <c r="SY106" i="7"/>
  <c r="ST106" i="7"/>
  <c r="SU106" i="7" s="1"/>
  <c r="SP106" i="7"/>
  <c r="SO106" i="7"/>
  <c r="SI106" i="7"/>
  <c r="SJ106" i="7" s="1"/>
  <c r="SH106" i="7"/>
  <c r="SG106" i="7"/>
  <c r="RN106" i="7"/>
  <c r="RM106" i="7"/>
  <c r="RJ106" i="7"/>
  <c r="RK106" i="7" s="1"/>
  <c r="RF106" i="7"/>
  <c r="RE106" i="7"/>
  <c r="QZ106" i="7"/>
  <c r="RA106" i="7" s="1"/>
  <c r="VP105" i="7"/>
  <c r="VO105" i="7"/>
  <c r="VK105" i="7"/>
  <c r="VJ105" i="7"/>
  <c r="VF105" i="7"/>
  <c r="VE105" i="7"/>
  <c r="VA105" i="7"/>
  <c r="UZ105" i="7"/>
  <c r="UY105" i="7"/>
  <c r="UV105" i="7"/>
  <c r="UU105" i="7"/>
  <c r="UR105" i="7"/>
  <c r="UW105" i="7" s="1"/>
  <c r="UX105" i="7" s="1"/>
  <c r="UN105" i="7"/>
  <c r="UM105" i="7"/>
  <c r="UH105" i="7"/>
  <c r="VQ105" i="7" s="1"/>
  <c r="VR105" i="7" s="1"/>
  <c r="UD105" i="7"/>
  <c r="UC105" i="7"/>
  <c r="VL105" i="7" s="1"/>
  <c r="VM105" i="7" s="1"/>
  <c r="TX105" i="7"/>
  <c r="TY105" i="7" s="1"/>
  <c r="TT105" i="7"/>
  <c r="TS105" i="7"/>
  <c r="TN105" i="7"/>
  <c r="TO105" i="7" s="1"/>
  <c r="TJ105" i="7"/>
  <c r="TI105" i="7"/>
  <c r="TD105" i="7"/>
  <c r="VG105" i="7" s="1"/>
  <c r="VH105" i="7" s="1"/>
  <c r="SZ105" i="7"/>
  <c r="SY105" i="7"/>
  <c r="ST105" i="7"/>
  <c r="SU105" i="7" s="1"/>
  <c r="SP105" i="7"/>
  <c r="SO105" i="7"/>
  <c r="VB105" i="7" s="1"/>
  <c r="VC105" i="7" s="1"/>
  <c r="SH105" i="7"/>
  <c r="SG105" i="7"/>
  <c r="SC105" i="7"/>
  <c r="SB105" i="7"/>
  <c r="RX105" i="7"/>
  <c r="RW105" i="7"/>
  <c r="RN105" i="7"/>
  <c r="RM105" i="7"/>
  <c r="RJ105" i="7"/>
  <c r="RO105" i="7" s="1"/>
  <c r="RF105" i="7"/>
  <c r="RE105" i="7"/>
  <c r="QZ105" i="7"/>
  <c r="SI105" i="7" s="1"/>
  <c r="SJ105" i="7" s="1"/>
  <c r="QV105" i="7"/>
  <c r="QU105" i="7"/>
  <c r="SD105" i="7" s="1"/>
  <c r="QP105" i="7"/>
  <c r="QQ105" i="7" s="1"/>
  <c r="QL105" i="7"/>
  <c r="QK105" i="7"/>
  <c r="QF105" i="7"/>
  <c r="QG105" i="7" s="1"/>
  <c r="QB105" i="7"/>
  <c r="QA105" i="7"/>
  <c r="PV105" i="7"/>
  <c r="RY105" i="7" s="1"/>
  <c r="RZ105" i="7" s="1"/>
  <c r="PA105" i="7"/>
  <c r="OZ105" i="7"/>
  <c r="OY105" i="7"/>
  <c r="OX105" i="7"/>
  <c r="VQ104" i="7"/>
  <c r="VR104" i="7" s="1"/>
  <c r="VP104" i="7"/>
  <c r="VO104" i="7"/>
  <c r="VL104" i="7"/>
  <c r="VM104" i="7" s="1"/>
  <c r="VK104" i="7"/>
  <c r="VJ104" i="7"/>
  <c r="VG104" i="7"/>
  <c r="VH104" i="7" s="1"/>
  <c r="VF104" i="7"/>
  <c r="VE104" i="7"/>
  <c r="VB104" i="7"/>
  <c r="VC104" i="7" s="1"/>
  <c r="VA104" i="7"/>
  <c r="UZ104" i="7"/>
  <c r="UY104" i="7"/>
  <c r="UV104" i="7"/>
  <c r="UU104" i="7"/>
  <c r="US104" i="7"/>
  <c r="UR104" i="7"/>
  <c r="UW104" i="7" s="1"/>
  <c r="UX104" i="7" s="1"/>
  <c r="UM104" i="7"/>
  <c r="UN104" i="7" s="1"/>
  <c r="UI104" i="7"/>
  <c r="UH104" i="7"/>
  <c r="UC104" i="7"/>
  <c r="UD104" i="7" s="1"/>
  <c r="TY104" i="7"/>
  <c r="TX104" i="7"/>
  <c r="TS104" i="7"/>
  <c r="TT104" i="7" s="1"/>
  <c r="TO104" i="7"/>
  <c r="TN104" i="7"/>
  <c r="TI104" i="7"/>
  <c r="TJ104" i="7" s="1"/>
  <c r="TE104" i="7"/>
  <c r="TD104" i="7"/>
  <c r="SY104" i="7"/>
  <c r="SZ104" i="7" s="1"/>
  <c r="SU104" i="7"/>
  <c r="ST104" i="7"/>
  <c r="SO104" i="7"/>
  <c r="SP104" i="7" s="1"/>
  <c r="SH104" i="7"/>
  <c r="SG104" i="7"/>
  <c r="SC104" i="7"/>
  <c r="SB104" i="7"/>
  <c r="RX104" i="7"/>
  <c r="RW104" i="7"/>
  <c r="RS104" i="7"/>
  <c r="RR104" i="7"/>
  <c r="RQ104" i="7"/>
  <c r="RN104" i="7"/>
  <c r="RM104" i="7"/>
  <c r="RK104" i="7"/>
  <c r="RJ104" i="7"/>
  <c r="RE104" i="7"/>
  <c r="RA104" i="7"/>
  <c r="QZ104" i="7"/>
  <c r="QU104" i="7"/>
  <c r="QQ104" i="7"/>
  <c r="QP104" i="7"/>
  <c r="QK104" i="7"/>
  <c r="QL104" i="7" s="1"/>
  <c r="QG104" i="7"/>
  <c r="QF104" i="7"/>
  <c r="QA104" i="7"/>
  <c r="PW104" i="7"/>
  <c r="PV104" i="7"/>
  <c r="PQ104" i="7"/>
  <c r="PR104" i="7" s="1"/>
  <c r="PM104" i="7"/>
  <c r="PL104" i="7"/>
  <c r="PG104" i="7"/>
  <c r="OZ104" i="7"/>
  <c r="OY104" i="7"/>
  <c r="OU104" i="7"/>
  <c r="OT104" i="7"/>
  <c r="OS104" i="7"/>
  <c r="OP104" i="7"/>
  <c r="OO104" i="7"/>
  <c r="ON104" i="7"/>
  <c r="OK104" i="7"/>
  <c r="OJ104" i="7"/>
  <c r="OI104" i="7"/>
  <c r="OH104" i="7"/>
  <c r="OC104" i="7"/>
  <c r="OB104" i="7"/>
  <c r="NW104" i="7"/>
  <c r="NR104" i="7"/>
  <c r="PA104" i="7" s="1"/>
  <c r="PB104" i="7" s="1"/>
  <c r="NN104" i="7"/>
  <c r="NF104" i="7"/>
  <c r="NH104" i="7" s="1"/>
  <c r="NC104" i="7"/>
  <c r="MT104" i="7"/>
  <c r="MS104" i="7"/>
  <c r="MN104" i="7"/>
  <c r="MI104" i="7"/>
  <c r="LY104" i="7"/>
  <c r="OL104" i="7" s="1"/>
  <c r="LS104" i="7"/>
  <c r="LT104" i="7" s="1"/>
  <c r="LR104" i="7"/>
  <c r="LQ104" i="7"/>
  <c r="LN104" i="7"/>
  <c r="LM104" i="7"/>
  <c r="LK104" i="7"/>
  <c r="LJ104" i="7"/>
  <c r="LI104" i="7"/>
  <c r="LG104" i="7"/>
  <c r="LF104" i="7"/>
  <c r="LE104" i="7"/>
  <c r="KY104" i="7"/>
  <c r="KX104" i="7"/>
  <c r="KW104" i="7"/>
  <c r="LB104" i="7" s="1"/>
  <c r="KV104" i="7"/>
  <c r="LA104" i="7" s="1"/>
  <c r="KT104" i="7"/>
  <c r="KS104" i="7"/>
  <c r="LC104" i="7" s="1"/>
  <c r="LD104" i="7" s="1"/>
  <c r="KN104" i="7"/>
  <c r="KI104" i="7"/>
  <c r="LO104" i="7" s="1"/>
  <c r="HY104" i="7"/>
  <c r="HX104" i="7"/>
  <c r="HW104" i="7"/>
  <c r="HV104" i="7"/>
  <c r="EV104" i="7"/>
  <c r="EU104" i="7"/>
  <c r="ET104" i="7"/>
  <c r="ES104" i="7"/>
  <c r="ER104" i="7"/>
  <c r="VP103" i="7"/>
  <c r="VO103" i="7"/>
  <c r="VK103" i="7"/>
  <c r="VJ103" i="7"/>
  <c r="VF103" i="7"/>
  <c r="VE103" i="7"/>
  <c r="VA103" i="7"/>
  <c r="UZ103" i="7"/>
  <c r="UY103" i="7"/>
  <c r="UV103" i="7"/>
  <c r="UU103" i="7"/>
  <c r="UR103" i="7"/>
  <c r="UW103" i="7" s="1"/>
  <c r="UN103" i="7"/>
  <c r="UM103" i="7"/>
  <c r="UH103" i="7"/>
  <c r="VQ103" i="7" s="1"/>
  <c r="VR103" i="7" s="1"/>
  <c r="UD103" i="7"/>
  <c r="UC103" i="7"/>
  <c r="VL103" i="7" s="1"/>
  <c r="VM103" i="7" s="1"/>
  <c r="TX103" i="7"/>
  <c r="TY103" i="7" s="1"/>
  <c r="TT103" i="7"/>
  <c r="TS103" i="7"/>
  <c r="TN103" i="7"/>
  <c r="TO103" i="7" s="1"/>
  <c r="TJ103" i="7"/>
  <c r="TI103" i="7"/>
  <c r="TD103" i="7"/>
  <c r="VG103" i="7" s="1"/>
  <c r="VH103" i="7" s="1"/>
  <c r="SZ103" i="7"/>
  <c r="SY103" i="7"/>
  <c r="ST103" i="7"/>
  <c r="SU103" i="7" s="1"/>
  <c r="SP103" i="7"/>
  <c r="SO103" i="7"/>
  <c r="VB103" i="7" s="1"/>
  <c r="VC103" i="7" s="1"/>
  <c r="SH103" i="7"/>
  <c r="SG103" i="7"/>
  <c r="SC103" i="7"/>
  <c r="SB103" i="7"/>
  <c r="RX103" i="7"/>
  <c r="RW103" i="7"/>
  <c r="RS103" i="7"/>
  <c r="RR103" i="7"/>
  <c r="RQ103" i="7"/>
  <c r="RN103" i="7"/>
  <c r="RM103" i="7"/>
  <c r="RJ103" i="7"/>
  <c r="RK103" i="7" s="1"/>
  <c r="RF103" i="7"/>
  <c r="RE103" i="7"/>
  <c r="QZ103" i="7"/>
  <c r="QV103" i="7"/>
  <c r="QU103" i="7"/>
  <c r="QP103" i="7"/>
  <c r="QQ103" i="7" s="1"/>
  <c r="QL103" i="7"/>
  <c r="QK103" i="7"/>
  <c r="QF103" i="7"/>
  <c r="QG103" i="7" s="1"/>
  <c r="QB103" i="7"/>
  <c r="QA103" i="7"/>
  <c r="PV103" i="7"/>
  <c r="PR103" i="7"/>
  <c r="PQ103" i="7"/>
  <c r="PL103" i="7"/>
  <c r="PM103" i="7" s="1"/>
  <c r="PH103" i="7"/>
  <c r="PG103" i="7"/>
  <c r="PA103" i="7"/>
  <c r="PB103" i="7" s="1"/>
  <c r="OZ103" i="7"/>
  <c r="OY103" i="7"/>
  <c r="OU103" i="7"/>
  <c r="OT103" i="7"/>
  <c r="OS103" i="7"/>
  <c r="OP103" i="7"/>
  <c r="OO103" i="7"/>
  <c r="ON103" i="7"/>
  <c r="OK103" i="7"/>
  <c r="OJ103" i="7"/>
  <c r="OI103" i="7"/>
  <c r="OH103" i="7"/>
  <c r="OB103" i="7"/>
  <c r="OC103" i="7" s="1"/>
  <c r="NW103" i="7"/>
  <c r="NR103" i="7"/>
  <c r="NN103" i="7"/>
  <c r="NH103" i="7"/>
  <c r="OV103" i="7" s="1"/>
  <c r="OW103" i="7" s="1"/>
  <c r="NC103" i="7"/>
  <c r="MY103" i="7"/>
  <c r="MX103" i="7"/>
  <c r="MS103" i="7"/>
  <c r="MN103" i="7"/>
  <c r="OQ103" i="7" s="1"/>
  <c r="OR103" i="7" s="1"/>
  <c r="MJ103" i="7"/>
  <c r="MI103" i="7"/>
  <c r="MD103" i="7"/>
  <c r="LY103" i="7"/>
  <c r="OL103" i="7" s="1"/>
  <c r="OM103" i="7" s="1"/>
  <c r="LR103" i="7"/>
  <c r="LQ103" i="7"/>
  <c r="LN103" i="7"/>
  <c r="LM103" i="7"/>
  <c r="LJ103" i="7"/>
  <c r="LI103" i="7"/>
  <c r="LG103" i="7"/>
  <c r="LF103" i="7"/>
  <c r="LE103" i="7"/>
  <c r="LA103" i="7"/>
  <c r="KW103" i="7"/>
  <c r="KV103" i="7"/>
  <c r="KS103" i="7"/>
  <c r="KN103" i="7"/>
  <c r="KI103" i="7"/>
  <c r="KJ103" i="7" s="1"/>
  <c r="KG103" i="7"/>
  <c r="KD103" i="7"/>
  <c r="JY103" i="7"/>
  <c r="LO103" i="7" s="1"/>
  <c r="LP103" i="7" s="1"/>
  <c r="JU103" i="7"/>
  <c r="JT103" i="7"/>
  <c r="LK103" i="7" s="1"/>
  <c r="JS103" i="7"/>
  <c r="JS167" i="7" s="1"/>
  <c r="JR103" i="7"/>
  <c r="JR167" i="7" s="1"/>
  <c r="HY103" i="7"/>
  <c r="HX103" i="7"/>
  <c r="HW103" i="7"/>
  <c r="HV103" i="7"/>
  <c r="EV103" i="7"/>
  <c r="EU103" i="7"/>
  <c r="ET103" i="7"/>
  <c r="ES103" i="7"/>
  <c r="ER103" i="7"/>
  <c r="VP102" i="7"/>
  <c r="VO102" i="7"/>
  <c r="VK102" i="7"/>
  <c r="VJ102" i="7"/>
  <c r="VF102" i="7"/>
  <c r="VE102" i="7"/>
  <c r="VA102" i="7"/>
  <c r="UZ102" i="7"/>
  <c r="UY102" i="7"/>
  <c r="UV102" i="7"/>
  <c r="UU102" i="7"/>
  <c r="UR102" i="7"/>
  <c r="UW102" i="7" s="1"/>
  <c r="UN102" i="7"/>
  <c r="UM102" i="7"/>
  <c r="UH102" i="7"/>
  <c r="VQ102" i="7" s="1"/>
  <c r="VR102" i="7" s="1"/>
  <c r="UD102" i="7"/>
  <c r="UC102" i="7"/>
  <c r="VL102" i="7" s="1"/>
  <c r="VM102" i="7" s="1"/>
  <c r="TX102" i="7"/>
  <c r="TY102" i="7" s="1"/>
  <c r="TT102" i="7"/>
  <c r="TS102" i="7"/>
  <c r="TN102" i="7"/>
  <c r="TO102" i="7" s="1"/>
  <c r="TJ102" i="7"/>
  <c r="TI102" i="7"/>
  <c r="TD102" i="7"/>
  <c r="VG102" i="7" s="1"/>
  <c r="VH102" i="7" s="1"/>
  <c r="SZ102" i="7"/>
  <c r="SY102" i="7"/>
  <c r="ST102" i="7"/>
  <c r="SU102" i="7" s="1"/>
  <c r="SP102" i="7"/>
  <c r="SO102" i="7"/>
  <c r="VB102" i="7" s="1"/>
  <c r="VC102" i="7" s="1"/>
  <c r="SH102" i="7"/>
  <c r="SG102" i="7"/>
  <c r="SC102" i="7"/>
  <c r="SB102" i="7"/>
  <c r="RX102" i="7"/>
  <c r="RW102" i="7"/>
  <c r="RS102" i="7"/>
  <c r="RR102" i="7"/>
  <c r="RQ102" i="7"/>
  <c r="RN102" i="7"/>
  <c r="RM102" i="7"/>
  <c r="RJ102" i="7"/>
  <c r="RK102" i="7" s="1"/>
  <c r="RF102" i="7"/>
  <c r="RE102" i="7"/>
  <c r="QZ102" i="7"/>
  <c r="QV102" i="7"/>
  <c r="QU102" i="7"/>
  <c r="SD102" i="7" s="1"/>
  <c r="SE102" i="7" s="1"/>
  <c r="QP102" i="7"/>
  <c r="QQ102" i="7" s="1"/>
  <c r="QL102" i="7"/>
  <c r="QK102" i="7"/>
  <c r="QF102" i="7"/>
  <c r="QG102" i="7" s="1"/>
  <c r="QB102" i="7"/>
  <c r="QA102" i="7"/>
  <c r="PV102" i="7"/>
  <c r="PR102" i="7"/>
  <c r="PQ102" i="7"/>
  <c r="PL102" i="7"/>
  <c r="PM102" i="7" s="1"/>
  <c r="PH102" i="7"/>
  <c r="PG102" i="7"/>
  <c r="RT102" i="7" s="1"/>
  <c r="RU102" i="7" s="1"/>
  <c r="OZ102" i="7"/>
  <c r="OY102" i="7"/>
  <c r="OV102" i="7"/>
  <c r="OW102" i="7" s="1"/>
  <c r="OU102" i="7"/>
  <c r="OT102" i="7"/>
  <c r="OS102" i="7"/>
  <c r="OR102" i="7"/>
  <c r="OP102" i="7"/>
  <c r="OO102" i="7"/>
  <c r="ON102" i="7"/>
  <c r="OK102" i="7"/>
  <c r="OJ102" i="7"/>
  <c r="OI102" i="7"/>
  <c r="OH102" i="7"/>
  <c r="OB102" i="7"/>
  <c r="OC102" i="7" s="1"/>
  <c r="NW102" i="7"/>
  <c r="NR102" i="7"/>
  <c r="NN102" i="7"/>
  <c r="MY102" i="7"/>
  <c r="MX102" i="7"/>
  <c r="OQ102" i="7" s="1"/>
  <c r="MS102" i="7"/>
  <c r="MN102" i="7"/>
  <c r="MJ102" i="7"/>
  <c r="MI102" i="7"/>
  <c r="MB102" i="7"/>
  <c r="LZ102" i="7"/>
  <c r="LY102" i="7"/>
  <c r="LW102" i="7"/>
  <c r="LW127" i="7" s="1"/>
  <c r="LW167" i="7" s="1"/>
  <c r="LR102" i="7"/>
  <c r="LQ102" i="7"/>
  <c r="LN102" i="7"/>
  <c r="LM102" i="7"/>
  <c r="LJ102" i="7"/>
  <c r="LI102" i="7"/>
  <c r="LF102" i="7"/>
  <c r="LE102" i="7"/>
  <c r="LB102" i="7"/>
  <c r="LA102" i="7"/>
  <c r="KT102" i="7"/>
  <c r="KS102" i="7"/>
  <c r="LS102" i="7" s="1"/>
  <c r="LT102" i="7" s="1"/>
  <c r="KI102" i="7"/>
  <c r="KD102" i="7"/>
  <c r="KE102" i="7" s="1"/>
  <c r="JY102" i="7"/>
  <c r="JT102" i="7"/>
  <c r="JO102" i="7"/>
  <c r="JP102" i="7" s="1"/>
  <c r="JJ102" i="7"/>
  <c r="LK102" i="7" s="1"/>
  <c r="LL102" i="7" s="1"/>
  <c r="JA102" i="7"/>
  <c r="IZ102" i="7"/>
  <c r="IV102" i="7"/>
  <c r="IU102" i="7"/>
  <c r="LG102" i="7" s="1"/>
  <c r="LH102" i="7" s="1"/>
  <c r="IN102" i="7"/>
  <c r="IM102" i="7"/>
  <c r="IJ102" i="7"/>
  <c r="II102" i="7"/>
  <c r="IF102" i="7"/>
  <c r="IE102" i="7"/>
  <c r="IB102" i="7"/>
  <c r="IA102" i="7"/>
  <c r="HX102" i="7"/>
  <c r="HW102" i="7"/>
  <c r="HV102" i="7"/>
  <c r="HT102" i="7"/>
  <c r="HU102" i="7" s="1"/>
  <c r="HP102" i="7"/>
  <c r="HO102" i="7"/>
  <c r="HJ102" i="7"/>
  <c r="IO102" i="7" s="1"/>
  <c r="IP102" i="7" s="1"/>
  <c r="HF102" i="7"/>
  <c r="HE102" i="7"/>
  <c r="GZ102" i="7"/>
  <c r="HA102" i="7" s="1"/>
  <c r="GU102" i="7"/>
  <c r="IK102" i="7" s="1"/>
  <c r="IL102" i="7" s="1"/>
  <c r="GP102" i="7"/>
  <c r="GQ102" i="7" s="1"/>
  <c r="GK102" i="7"/>
  <c r="GL102" i="7" s="1"/>
  <c r="GF102" i="7"/>
  <c r="IG102" i="7" s="1"/>
  <c r="IH102" i="7" s="1"/>
  <c r="GB102" i="7"/>
  <c r="GA102" i="7"/>
  <c r="FV102" i="7"/>
  <c r="FW102" i="7" s="1"/>
  <c r="FR102" i="7"/>
  <c r="FQ102" i="7"/>
  <c r="FK102" i="7"/>
  <c r="FI102" i="7"/>
  <c r="FF102" i="7"/>
  <c r="FE102" i="7"/>
  <c r="FB102" i="7"/>
  <c r="FA102" i="7"/>
  <c r="EX102" i="7"/>
  <c r="EW102" i="7"/>
  <c r="ET102" i="7"/>
  <c r="EP102" i="7"/>
  <c r="EQ102" i="7" s="1"/>
  <c r="EL102" i="7"/>
  <c r="EK102" i="7"/>
  <c r="EF102" i="7"/>
  <c r="EB102" i="7"/>
  <c r="EA102" i="7"/>
  <c r="DV102" i="7"/>
  <c r="DW102" i="7" s="1"/>
  <c r="DR102" i="7"/>
  <c r="DQ102" i="7"/>
  <c r="FG102" i="7" s="1"/>
  <c r="FH102" i="7" s="1"/>
  <c r="DL102" i="7"/>
  <c r="DJ102" i="7"/>
  <c r="DJ232" i="7" s="1"/>
  <c r="DI102" i="7"/>
  <c r="DI232" i="7" s="1"/>
  <c r="DG102" i="7"/>
  <c r="DH102" i="7" s="1"/>
  <c r="DE102" i="7"/>
  <c r="DE232" i="7" s="1"/>
  <c r="DD102" i="7"/>
  <c r="DD232" i="7" s="1"/>
  <c r="CZ102" i="7"/>
  <c r="DB102" i="7" s="1"/>
  <c r="DC102" i="7" s="1"/>
  <c r="CY102" i="7"/>
  <c r="CY232" i="7" s="1"/>
  <c r="CU102" i="7"/>
  <c r="CW102" i="7" s="1"/>
  <c r="CX102" i="7" s="1"/>
  <c r="CS102" i="7"/>
  <c r="CR102" i="7"/>
  <c r="CM102" i="7"/>
  <c r="CK102" i="7"/>
  <c r="CK232" i="7" s="1"/>
  <c r="CG102" i="7"/>
  <c r="CF102" i="7"/>
  <c r="CC102" i="7"/>
  <c r="CB102" i="7"/>
  <c r="BY102" i="7"/>
  <c r="BV102" i="7"/>
  <c r="BW102" i="7" s="1"/>
  <c r="BU102" i="7"/>
  <c r="BT102" i="7"/>
  <c r="BR102" i="7"/>
  <c r="BO102" i="7"/>
  <c r="BN102" i="7"/>
  <c r="BL102" i="7"/>
  <c r="BL232" i="7" s="1"/>
  <c r="BI102" i="7"/>
  <c r="BJ102" i="7" s="1"/>
  <c r="BE102" i="7"/>
  <c r="BD102" i="7"/>
  <c r="AY102" i="7"/>
  <c r="AZ102" i="7" s="1"/>
  <c r="AU102" i="7"/>
  <c r="AT102" i="7"/>
  <c r="AO102" i="7"/>
  <c r="AK102" i="7"/>
  <c r="AJ102" i="7"/>
  <c r="AE102" i="7"/>
  <c r="AF102" i="7" s="1"/>
  <c r="AC102" i="7"/>
  <c r="AB102" i="7"/>
  <c r="AB232" i="7" s="1"/>
  <c r="Z102" i="7"/>
  <c r="AA102" i="7" s="1"/>
  <c r="W102" i="7"/>
  <c r="S102" i="7"/>
  <c r="U102" i="7" s="1"/>
  <c r="V102" i="7" s="1"/>
  <c r="Q102" i="7"/>
  <c r="P102" i="7"/>
  <c r="VP101" i="7"/>
  <c r="VO101" i="7"/>
  <c r="VL101" i="7"/>
  <c r="VK101" i="7"/>
  <c r="VJ101" i="7"/>
  <c r="VH101" i="7"/>
  <c r="VG101" i="7"/>
  <c r="VF101" i="7"/>
  <c r="VE101" i="7"/>
  <c r="VB101" i="7"/>
  <c r="VC101" i="7" s="1"/>
  <c r="VA101" i="7"/>
  <c r="UZ101" i="7"/>
  <c r="UY101" i="7"/>
  <c r="UV101" i="7"/>
  <c r="UU101" i="7"/>
  <c r="UR101" i="7"/>
  <c r="UM101" i="7"/>
  <c r="VQ101" i="7" s="1"/>
  <c r="SO101" i="7"/>
  <c r="SH101" i="7"/>
  <c r="SG101" i="7"/>
  <c r="SC101" i="7"/>
  <c r="SB101" i="7"/>
  <c r="RY101" i="7"/>
  <c r="RX101" i="7"/>
  <c r="RW101" i="7"/>
  <c r="RT101" i="7"/>
  <c r="RS101" i="7"/>
  <c r="RR101" i="7"/>
  <c r="RN101" i="7"/>
  <c r="RM101" i="7"/>
  <c r="RJ101" i="7"/>
  <c r="RE101" i="7"/>
  <c r="RO101" i="7" s="1"/>
  <c r="QK101" i="7"/>
  <c r="SD101" i="7" s="1"/>
  <c r="PL101" i="7"/>
  <c r="PA101" i="7"/>
  <c r="OZ101" i="7"/>
  <c r="OY101" i="7"/>
  <c r="OX101" i="7"/>
  <c r="VL98" i="7"/>
  <c r="VK98" i="7"/>
  <c r="VJ98" i="7"/>
  <c r="VG98" i="7"/>
  <c r="VF98" i="7"/>
  <c r="VH98" i="7" s="1"/>
  <c r="VE98" i="7"/>
  <c r="VB98" i="7"/>
  <c r="VA98" i="7"/>
  <c r="VC98" i="7" s="1"/>
  <c r="UZ98" i="7"/>
  <c r="UY98" i="7"/>
  <c r="UW98" i="7"/>
  <c r="UV98" i="7"/>
  <c r="UU98" i="7"/>
  <c r="VK97" i="7"/>
  <c r="VJ97" i="7"/>
  <c r="UV97" i="7"/>
  <c r="UU97" i="7"/>
  <c r="UI97" i="7"/>
  <c r="UH97" i="7"/>
  <c r="UW97" i="7" s="1"/>
  <c r="TX97" i="7"/>
  <c r="VL97" i="7" s="1"/>
  <c r="VK96" i="7"/>
  <c r="VJ96" i="7"/>
  <c r="UV96" i="7"/>
  <c r="UU96" i="7"/>
  <c r="UF96" i="7"/>
  <c r="UC96" i="7"/>
  <c r="UB96" i="7"/>
  <c r="UB127" i="7" s="1"/>
  <c r="UB167" i="7" s="1"/>
  <c r="UA96" i="7"/>
  <c r="UA127" i="7" s="1"/>
  <c r="UA167" i="7" s="1"/>
  <c r="TX96" i="7"/>
  <c r="TY96" i="7" s="1"/>
  <c r="TV96" i="7"/>
  <c r="TV127" i="7" s="1"/>
  <c r="TT96" i="7"/>
  <c r="TS96" i="7"/>
  <c r="VK95" i="7"/>
  <c r="VJ95" i="7"/>
  <c r="VF95" i="7"/>
  <c r="VE95" i="7"/>
  <c r="VB95" i="7"/>
  <c r="VC95" i="7" s="1"/>
  <c r="VA95" i="7"/>
  <c r="UZ95" i="7"/>
  <c r="UY95" i="7"/>
  <c r="UV95" i="7"/>
  <c r="UU95" i="7"/>
  <c r="UI95" i="7"/>
  <c r="UH95" i="7"/>
  <c r="UD95" i="7"/>
  <c r="UC95" i="7"/>
  <c r="VL95" i="7" s="1"/>
  <c r="TY95" i="7"/>
  <c r="TX95" i="7"/>
  <c r="TT95" i="7"/>
  <c r="TS95" i="7"/>
  <c r="TO95" i="7"/>
  <c r="TN95" i="7"/>
  <c r="TJ95" i="7"/>
  <c r="TI95" i="7"/>
  <c r="VG95" i="7" s="1"/>
  <c r="VH95" i="7" s="1"/>
  <c r="TE95" i="7"/>
  <c r="TD95" i="7"/>
  <c r="VL94" i="7"/>
  <c r="VK94" i="7"/>
  <c r="VJ94" i="7"/>
  <c r="VF94" i="7"/>
  <c r="VE94" i="7"/>
  <c r="VB94" i="7"/>
  <c r="VA94" i="7"/>
  <c r="UZ94" i="7"/>
  <c r="UY94" i="7"/>
  <c r="UV94" i="7"/>
  <c r="UI94" i="7"/>
  <c r="UH94" i="7"/>
  <c r="UD94" i="7"/>
  <c r="UC94" i="7"/>
  <c r="TY94" i="7"/>
  <c r="TX94" i="7"/>
  <c r="TT94" i="7"/>
  <c r="TS94" i="7"/>
  <c r="TM94" i="7"/>
  <c r="TM127" i="7" s="1"/>
  <c r="TM167" i="7" s="1"/>
  <c r="TL94" i="7"/>
  <c r="UU94" i="7" s="1"/>
  <c r="TJ94" i="7"/>
  <c r="TI94" i="7"/>
  <c r="TE94" i="7"/>
  <c r="TD94" i="7"/>
  <c r="VK93" i="7"/>
  <c r="VJ93" i="7"/>
  <c r="VF93" i="7"/>
  <c r="VE93" i="7"/>
  <c r="VB93" i="7"/>
  <c r="VA93" i="7"/>
  <c r="UZ93" i="7"/>
  <c r="UY93" i="7"/>
  <c r="UV93" i="7"/>
  <c r="UU93" i="7"/>
  <c r="UH93" i="7"/>
  <c r="UI93" i="7" s="1"/>
  <c r="UD93" i="7"/>
  <c r="UC93" i="7"/>
  <c r="TX93" i="7"/>
  <c r="TY93" i="7" s="1"/>
  <c r="TT93" i="7"/>
  <c r="TS93" i="7"/>
  <c r="TN93" i="7"/>
  <c r="TO93" i="7" s="1"/>
  <c r="TJ93" i="7"/>
  <c r="TI93" i="7"/>
  <c r="TD93" i="7"/>
  <c r="TE93" i="7" s="1"/>
  <c r="VK92" i="7"/>
  <c r="VJ92" i="7"/>
  <c r="VF92" i="7"/>
  <c r="VE92" i="7"/>
  <c r="VA92" i="7"/>
  <c r="UZ92" i="7"/>
  <c r="UY92" i="7"/>
  <c r="UV92" i="7"/>
  <c r="UU92" i="7"/>
  <c r="UI92" i="7"/>
  <c r="UH92" i="7"/>
  <c r="UC92" i="7"/>
  <c r="UD92" i="7" s="1"/>
  <c r="TY92" i="7"/>
  <c r="TX92" i="7"/>
  <c r="TS92" i="7"/>
  <c r="TT92" i="7" s="1"/>
  <c r="TO92" i="7"/>
  <c r="TN92" i="7"/>
  <c r="TI92" i="7"/>
  <c r="TJ92" i="7" s="1"/>
  <c r="TE92" i="7"/>
  <c r="TD92" i="7"/>
  <c r="SY92" i="7"/>
  <c r="SZ92" i="7" s="1"/>
  <c r="SU92" i="7"/>
  <c r="ST92" i="7"/>
  <c r="VK91" i="7"/>
  <c r="VJ91" i="7"/>
  <c r="VF91" i="7"/>
  <c r="VE91" i="7"/>
  <c r="VB91" i="7"/>
  <c r="VC91" i="7" s="1"/>
  <c r="VA91" i="7"/>
  <c r="UZ91" i="7"/>
  <c r="UY91" i="7"/>
  <c r="UV91" i="7"/>
  <c r="UU91" i="7"/>
  <c r="UI91" i="7"/>
  <c r="UH91" i="7"/>
  <c r="UW91" i="7" s="1"/>
  <c r="UX91" i="7" s="1"/>
  <c r="UD91" i="7"/>
  <c r="UC91" i="7"/>
  <c r="TY91" i="7"/>
  <c r="TX91" i="7"/>
  <c r="VL91" i="7" s="1"/>
  <c r="TT91" i="7"/>
  <c r="TS91" i="7"/>
  <c r="TO91" i="7"/>
  <c r="TN91" i="7"/>
  <c r="TJ91" i="7"/>
  <c r="TI91" i="7"/>
  <c r="TE91" i="7"/>
  <c r="TD91" i="7"/>
  <c r="VG91" i="7" s="1"/>
  <c r="VH91" i="7" s="1"/>
  <c r="SZ91" i="7"/>
  <c r="SY91" i="7"/>
  <c r="SU91" i="7"/>
  <c r="ST91" i="7"/>
  <c r="VP90" i="7"/>
  <c r="VO90" i="7"/>
  <c r="VK90" i="7"/>
  <c r="VJ90" i="7"/>
  <c r="VF90" i="7"/>
  <c r="VE90" i="7"/>
  <c r="VA90" i="7"/>
  <c r="UZ90" i="7"/>
  <c r="UY90" i="7"/>
  <c r="UV90" i="7"/>
  <c r="UU90" i="7"/>
  <c r="UR90" i="7"/>
  <c r="UH90" i="7"/>
  <c r="UC90" i="7"/>
  <c r="UD90" i="7" s="1"/>
  <c r="TX90" i="7"/>
  <c r="TY90" i="7" s="1"/>
  <c r="TT90" i="7"/>
  <c r="TS90" i="7"/>
  <c r="TN90" i="7"/>
  <c r="TO90" i="7" s="1"/>
  <c r="TJ90" i="7"/>
  <c r="TI90" i="7"/>
  <c r="TD90" i="7"/>
  <c r="TE90" i="7" s="1"/>
  <c r="SZ90" i="7"/>
  <c r="SY90" i="7"/>
  <c r="ST90" i="7"/>
  <c r="SU90" i="7" s="1"/>
  <c r="SP90" i="7"/>
  <c r="SO90" i="7"/>
  <c r="VB90" i="7" s="1"/>
  <c r="VC90" i="7" s="1"/>
  <c r="SI90" i="7"/>
  <c r="SJ90" i="7" s="1"/>
  <c r="SH90" i="7"/>
  <c r="SG90" i="7"/>
  <c r="RO90" i="7"/>
  <c r="RP90" i="7" s="1"/>
  <c r="RN90" i="7"/>
  <c r="RM90" i="7"/>
  <c r="RJ90" i="7"/>
  <c r="VQ89" i="7"/>
  <c r="VR89" i="7" s="1"/>
  <c r="VP89" i="7"/>
  <c r="VO89" i="7"/>
  <c r="VL89" i="7"/>
  <c r="VM89" i="7" s="1"/>
  <c r="VK89" i="7"/>
  <c r="VJ89" i="7"/>
  <c r="VG89" i="7"/>
  <c r="VH89" i="7" s="1"/>
  <c r="VF89" i="7"/>
  <c r="VE89" i="7"/>
  <c r="VB89" i="7"/>
  <c r="VC89" i="7" s="1"/>
  <c r="VA89" i="7"/>
  <c r="UZ89" i="7"/>
  <c r="UY89" i="7"/>
  <c r="UV89" i="7"/>
  <c r="UU89" i="7"/>
  <c r="US89" i="7"/>
  <c r="UR89" i="7"/>
  <c r="UW89" i="7" s="1"/>
  <c r="UX89" i="7" s="1"/>
  <c r="UM89" i="7"/>
  <c r="UN89" i="7" s="1"/>
  <c r="UI89" i="7"/>
  <c r="UH89" i="7"/>
  <c r="UC89" i="7"/>
  <c r="UD89" i="7" s="1"/>
  <c r="TY89" i="7"/>
  <c r="TX89" i="7"/>
  <c r="TS89" i="7"/>
  <c r="TT89" i="7" s="1"/>
  <c r="TO89" i="7"/>
  <c r="TN89" i="7"/>
  <c r="TI89" i="7"/>
  <c r="TJ89" i="7" s="1"/>
  <c r="TE89" i="7"/>
  <c r="TD89" i="7"/>
  <c r="SY89" i="7"/>
  <c r="SZ89" i="7" s="1"/>
  <c r="SU89" i="7"/>
  <c r="ST89" i="7"/>
  <c r="SO89" i="7"/>
  <c r="SP89" i="7" s="1"/>
  <c r="SH89" i="7"/>
  <c r="SG89" i="7"/>
  <c r="SC89" i="7"/>
  <c r="SB89" i="7"/>
  <c r="RX89" i="7"/>
  <c r="RW89" i="7"/>
  <c r="RS89" i="7"/>
  <c r="RR89" i="7"/>
  <c r="RQ89" i="7"/>
  <c r="RN89" i="7"/>
  <c r="RM89" i="7"/>
  <c r="RK89" i="7"/>
  <c r="RJ89" i="7"/>
  <c r="RO89" i="7" s="1"/>
  <c r="RP89" i="7" s="1"/>
  <c r="RE89" i="7"/>
  <c r="RF89" i="7" s="1"/>
  <c r="RA89" i="7"/>
  <c r="QZ89" i="7"/>
  <c r="QU89" i="7"/>
  <c r="QV89" i="7" s="1"/>
  <c r="QQ89" i="7"/>
  <c r="QP89" i="7"/>
  <c r="QK89" i="7"/>
  <c r="QL89" i="7" s="1"/>
  <c r="QG89" i="7"/>
  <c r="QF89" i="7"/>
  <c r="QA89" i="7"/>
  <c r="QB89" i="7" s="1"/>
  <c r="PW89" i="7"/>
  <c r="PV89" i="7"/>
  <c r="PQ89" i="7"/>
  <c r="PR89" i="7" s="1"/>
  <c r="PM89" i="7"/>
  <c r="PL89" i="7"/>
  <c r="PG89" i="7"/>
  <c r="PH89" i="7" s="1"/>
  <c r="PA89" i="7"/>
  <c r="OZ89" i="7"/>
  <c r="OY89" i="7"/>
  <c r="OX89" i="7"/>
  <c r="VP88" i="7"/>
  <c r="VO88" i="7"/>
  <c r="VK88" i="7"/>
  <c r="VJ88" i="7"/>
  <c r="VF88" i="7"/>
  <c r="VE88" i="7"/>
  <c r="VA88" i="7"/>
  <c r="UZ88" i="7"/>
  <c r="UY88" i="7"/>
  <c r="UV88" i="7"/>
  <c r="UU88" i="7"/>
  <c r="UR88" i="7"/>
  <c r="US88" i="7" s="1"/>
  <c r="UN88" i="7"/>
  <c r="UM88" i="7"/>
  <c r="UH88" i="7"/>
  <c r="VQ88" i="7" s="1"/>
  <c r="VR88" i="7" s="1"/>
  <c r="UD88" i="7"/>
  <c r="UC88" i="7"/>
  <c r="VL88" i="7" s="1"/>
  <c r="VM88" i="7" s="1"/>
  <c r="TX88" i="7"/>
  <c r="TY88" i="7" s="1"/>
  <c r="TT88" i="7"/>
  <c r="TS88" i="7"/>
  <c r="TN88" i="7"/>
  <c r="TO88" i="7" s="1"/>
  <c r="TJ88" i="7"/>
  <c r="TI88" i="7"/>
  <c r="TD88" i="7"/>
  <c r="VG88" i="7" s="1"/>
  <c r="VH88" i="7" s="1"/>
  <c r="SZ88" i="7"/>
  <c r="SY88" i="7"/>
  <c r="ST88" i="7"/>
  <c r="SU88" i="7" s="1"/>
  <c r="SP88" i="7"/>
  <c r="SO88" i="7"/>
  <c r="VB88" i="7" s="1"/>
  <c r="VC88" i="7" s="1"/>
  <c r="SH88" i="7"/>
  <c r="SG88" i="7"/>
  <c r="SC88" i="7"/>
  <c r="SB88" i="7"/>
  <c r="RX88" i="7"/>
  <c r="RW88" i="7"/>
  <c r="RS88" i="7"/>
  <c r="RR88" i="7"/>
  <c r="RQ88" i="7"/>
  <c r="RN88" i="7"/>
  <c r="RM88" i="7"/>
  <c r="RJ88" i="7"/>
  <c r="RK88" i="7" s="1"/>
  <c r="RF88" i="7"/>
  <c r="RE88" i="7"/>
  <c r="QZ88" i="7"/>
  <c r="SI88" i="7" s="1"/>
  <c r="SJ88" i="7" s="1"/>
  <c r="QV88" i="7"/>
  <c r="QU88" i="7"/>
  <c r="QP88" i="7"/>
  <c r="SD88" i="7" s="1"/>
  <c r="SE88" i="7" s="1"/>
  <c r="QL88" i="7"/>
  <c r="QK88" i="7"/>
  <c r="QF88" i="7"/>
  <c r="QG88" i="7" s="1"/>
  <c r="QB88" i="7"/>
  <c r="QA88" i="7"/>
  <c r="PV88" i="7"/>
  <c r="RY88" i="7" s="1"/>
  <c r="RZ88" i="7" s="1"/>
  <c r="PR88" i="7"/>
  <c r="PQ88" i="7"/>
  <c r="PL88" i="7"/>
  <c r="RT88" i="7" s="1"/>
  <c r="RU88" i="7" s="1"/>
  <c r="PH88" i="7"/>
  <c r="PG88" i="7"/>
  <c r="PA88" i="7"/>
  <c r="OZ88" i="7"/>
  <c r="OY88" i="7"/>
  <c r="OX88" i="7"/>
  <c r="VQ87" i="7"/>
  <c r="VR87" i="7" s="1"/>
  <c r="VP87" i="7"/>
  <c r="VO87" i="7"/>
  <c r="VL87" i="7"/>
  <c r="VM87" i="7" s="1"/>
  <c r="VK87" i="7"/>
  <c r="VJ87" i="7"/>
  <c r="VG87" i="7"/>
  <c r="VH87" i="7" s="1"/>
  <c r="VF87" i="7"/>
  <c r="VE87" i="7"/>
  <c r="VB87" i="7"/>
  <c r="VC87" i="7" s="1"/>
  <c r="VA87" i="7"/>
  <c r="UZ87" i="7"/>
  <c r="UY87" i="7"/>
  <c r="UV87" i="7"/>
  <c r="UU87" i="7"/>
  <c r="US87" i="7"/>
  <c r="UR87" i="7"/>
  <c r="UW87" i="7" s="1"/>
  <c r="UX87" i="7" s="1"/>
  <c r="UM87" i="7"/>
  <c r="UN87" i="7" s="1"/>
  <c r="UI87" i="7"/>
  <c r="UH87" i="7"/>
  <c r="UC87" i="7"/>
  <c r="UD87" i="7" s="1"/>
  <c r="TY87" i="7"/>
  <c r="TX87" i="7"/>
  <c r="TS87" i="7"/>
  <c r="TT87" i="7" s="1"/>
  <c r="TO87" i="7"/>
  <c r="TN87" i="7"/>
  <c r="TI87" i="7"/>
  <c r="TJ87" i="7" s="1"/>
  <c r="TE87" i="7"/>
  <c r="TD87" i="7"/>
  <c r="SY87" i="7"/>
  <c r="SZ87" i="7" s="1"/>
  <c r="SU87" i="7"/>
  <c r="ST87" i="7"/>
  <c r="SO87" i="7"/>
  <c r="SP87" i="7" s="1"/>
  <c r="SH87" i="7"/>
  <c r="SG87" i="7"/>
  <c r="SC87" i="7"/>
  <c r="SB87" i="7"/>
  <c r="RX87" i="7"/>
  <c r="RS87" i="7"/>
  <c r="RR87" i="7"/>
  <c r="RQ87" i="7"/>
  <c r="RN87" i="7"/>
  <c r="RM87" i="7"/>
  <c r="RK87" i="7"/>
  <c r="RJ87" i="7"/>
  <c r="RE87" i="7"/>
  <c r="RF87" i="7" s="1"/>
  <c r="RA87" i="7"/>
  <c r="QZ87" i="7"/>
  <c r="QU87" i="7"/>
  <c r="QV87" i="7" s="1"/>
  <c r="QQ87" i="7"/>
  <c r="QP87" i="7"/>
  <c r="QK87" i="7"/>
  <c r="QL87" i="7" s="1"/>
  <c r="QD87" i="7"/>
  <c r="QF87" i="7" s="1"/>
  <c r="QG87" i="7" s="1"/>
  <c r="QB87" i="7"/>
  <c r="QA87" i="7"/>
  <c r="PV87" i="7"/>
  <c r="PW87" i="7" s="1"/>
  <c r="PR87" i="7"/>
  <c r="PQ87" i="7"/>
  <c r="PL87" i="7"/>
  <c r="PM87" i="7" s="1"/>
  <c r="PH87" i="7"/>
  <c r="PG87" i="7"/>
  <c r="RT87" i="7" s="1"/>
  <c r="RU87" i="7" s="1"/>
  <c r="OZ87" i="7"/>
  <c r="OY87" i="7"/>
  <c r="OU87" i="7"/>
  <c r="OT87" i="7"/>
  <c r="OS87" i="7"/>
  <c r="OP87" i="7"/>
  <c r="OO87" i="7"/>
  <c r="ON87" i="7"/>
  <c r="OL87" i="7"/>
  <c r="OM87" i="7" s="1"/>
  <c r="OK87" i="7"/>
  <c r="OJ87" i="7"/>
  <c r="OI87" i="7"/>
  <c r="OB87" i="7"/>
  <c r="OC87" i="7" s="1"/>
  <c r="NX87" i="7"/>
  <c r="NW87" i="7"/>
  <c r="NR87" i="7"/>
  <c r="NM87" i="7"/>
  <c r="OV87" i="7" s="1"/>
  <c r="NH87" i="7"/>
  <c r="NF87" i="7"/>
  <c r="NF127" i="7" s="1"/>
  <c r="NF167" i="7" s="1"/>
  <c r="NC87" i="7"/>
  <c r="MY87" i="7"/>
  <c r="MX87" i="7"/>
  <c r="MS87" i="7"/>
  <c r="MT87" i="7" s="1"/>
  <c r="MO87" i="7"/>
  <c r="MN87" i="7"/>
  <c r="MI87" i="7"/>
  <c r="MJ87" i="7" s="1"/>
  <c r="ME87" i="7"/>
  <c r="MD87" i="7"/>
  <c r="LY87" i="7"/>
  <c r="LZ87" i="7" s="1"/>
  <c r="LQ87" i="7"/>
  <c r="LN87" i="7"/>
  <c r="LM87" i="7"/>
  <c r="LJ87" i="7"/>
  <c r="LI87" i="7"/>
  <c r="LF87" i="7"/>
  <c r="LE87" i="7"/>
  <c r="KW87" i="7"/>
  <c r="KW127" i="7" s="1"/>
  <c r="KW167" i="7" s="1"/>
  <c r="KV87" i="7"/>
  <c r="KV127" i="7" s="1"/>
  <c r="KV167" i="7" s="1"/>
  <c r="KT87" i="7"/>
  <c r="KS87" i="7"/>
  <c r="KN87" i="7"/>
  <c r="KI87" i="7"/>
  <c r="KB87" i="7"/>
  <c r="KB167" i="7" s="1"/>
  <c r="JY87" i="7"/>
  <c r="JT87" i="7"/>
  <c r="JO87" i="7"/>
  <c r="JP87" i="7" s="1"/>
  <c r="JJ87" i="7"/>
  <c r="LK87" i="7" s="1"/>
  <c r="LL87" i="7" s="1"/>
  <c r="JE87" i="7"/>
  <c r="IX87" i="7"/>
  <c r="IZ87" i="7" s="1"/>
  <c r="IK87" i="7"/>
  <c r="IJ87" i="7"/>
  <c r="II87" i="7"/>
  <c r="HY87" i="7"/>
  <c r="HX87" i="7"/>
  <c r="HW87" i="7"/>
  <c r="HV87" i="7"/>
  <c r="EU87" i="7"/>
  <c r="EV87" i="7" s="1"/>
  <c r="ET87" i="7"/>
  <c r="ES87" i="7"/>
  <c r="ER87" i="7"/>
  <c r="VP86" i="7"/>
  <c r="VO86" i="7"/>
  <c r="VK86" i="7"/>
  <c r="VJ86" i="7"/>
  <c r="VF86" i="7"/>
  <c r="VE86" i="7"/>
  <c r="VA86" i="7"/>
  <c r="UZ86" i="7"/>
  <c r="UY86" i="7"/>
  <c r="UV86" i="7"/>
  <c r="UU86" i="7"/>
  <c r="UR86" i="7"/>
  <c r="UW86" i="7" s="1"/>
  <c r="UX86" i="7" s="1"/>
  <c r="UM86" i="7"/>
  <c r="UN86" i="7" s="1"/>
  <c r="UH86" i="7"/>
  <c r="VQ86" i="7" s="1"/>
  <c r="VR86" i="7" s="1"/>
  <c r="UC86" i="7"/>
  <c r="UD86" i="7" s="1"/>
  <c r="TX86" i="7"/>
  <c r="TY86" i="7" s="1"/>
  <c r="TS86" i="7"/>
  <c r="TT86" i="7" s="1"/>
  <c r="TN86" i="7"/>
  <c r="TO86" i="7" s="1"/>
  <c r="TI86" i="7"/>
  <c r="TJ86" i="7" s="1"/>
  <c r="TD86" i="7"/>
  <c r="VG86" i="7" s="1"/>
  <c r="VH86" i="7" s="1"/>
  <c r="SY86" i="7"/>
  <c r="SZ86" i="7" s="1"/>
  <c r="ST86" i="7"/>
  <c r="SU86" i="7" s="1"/>
  <c r="SO86" i="7"/>
  <c r="SP86" i="7" s="1"/>
  <c r="SH86" i="7"/>
  <c r="SG86" i="7"/>
  <c r="SC86" i="7"/>
  <c r="SB86" i="7"/>
  <c r="RX86" i="7"/>
  <c r="RW86" i="7"/>
  <c r="RS86" i="7"/>
  <c r="RR86" i="7"/>
  <c r="RQ86" i="7"/>
  <c r="RN86" i="7"/>
  <c r="RM86" i="7"/>
  <c r="RJ86" i="7"/>
  <c r="RK86" i="7" s="1"/>
  <c r="RF86" i="7"/>
  <c r="RE86" i="7"/>
  <c r="QZ86" i="7"/>
  <c r="SI86" i="7" s="1"/>
  <c r="SJ86" i="7" s="1"/>
  <c r="QV86" i="7"/>
  <c r="QU86" i="7"/>
  <c r="QP86" i="7"/>
  <c r="SD86" i="7" s="1"/>
  <c r="SE86" i="7" s="1"/>
  <c r="QL86" i="7"/>
  <c r="QK86" i="7"/>
  <c r="QF86" i="7"/>
  <c r="QG86" i="7" s="1"/>
  <c r="QB86" i="7"/>
  <c r="QA86" i="7"/>
  <c r="PV86" i="7"/>
  <c r="RY86" i="7" s="1"/>
  <c r="RZ86" i="7" s="1"/>
  <c r="PR86" i="7"/>
  <c r="PQ86" i="7"/>
  <c r="PL86" i="7"/>
  <c r="RT86" i="7" s="1"/>
  <c r="RU86" i="7" s="1"/>
  <c r="PH86" i="7"/>
  <c r="PG86" i="7"/>
  <c r="OZ86" i="7"/>
  <c r="OY86" i="7"/>
  <c r="OU86" i="7"/>
  <c r="OT86" i="7"/>
  <c r="OS86" i="7"/>
  <c r="OP86" i="7"/>
  <c r="OO86" i="7"/>
  <c r="ON86" i="7"/>
  <c r="OK86" i="7"/>
  <c r="OJ86" i="7"/>
  <c r="OI86" i="7"/>
  <c r="OF86" i="7"/>
  <c r="OE86" i="7"/>
  <c r="OB86" i="7"/>
  <c r="OG86" i="7" s="1"/>
  <c r="OH86" i="7" s="1"/>
  <c r="NW86" i="7"/>
  <c r="PA86" i="7" s="1"/>
  <c r="PB86" i="7" s="1"/>
  <c r="NR86" i="7"/>
  <c r="NS86" i="7" s="1"/>
  <c r="NM86" i="7"/>
  <c r="OV86" i="7" s="1"/>
  <c r="OW86" i="7" s="1"/>
  <c r="NH86" i="7"/>
  <c r="NI86" i="7" s="1"/>
  <c r="NC86" i="7"/>
  <c r="ND86" i="7" s="1"/>
  <c r="MX86" i="7"/>
  <c r="MY86" i="7" s="1"/>
  <c r="MS86" i="7"/>
  <c r="MT86" i="7" s="1"/>
  <c r="MN86" i="7"/>
  <c r="MO86" i="7" s="1"/>
  <c r="MI86" i="7"/>
  <c r="MJ86" i="7" s="1"/>
  <c r="MD86" i="7"/>
  <c r="ME86" i="7" s="1"/>
  <c r="LY86" i="7"/>
  <c r="LZ86" i="7" s="1"/>
  <c r="LR86" i="7"/>
  <c r="LQ86" i="7"/>
  <c r="LN86" i="7"/>
  <c r="LM86" i="7"/>
  <c r="LJ86" i="7"/>
  <c r="LI86" i="7"/>
  <c r="LG86" i="7"/>
  <c r="LH86" i="7" s="1"/>
  <c r="LF86" i="7"/>
  <c r="LE86" i="7"/>
  <c r="LB86" i="7"/>
  <c r="LA86" i="7"/>
  <c r="KX86" i="7"/>
  <c r="KY86" i="7" s="1"/>
  <c r="KS86" i="7"/>
  <c r="KT86" i="7" s="1"/>
  <c r="KN86" i="7"/>
  <c r="LS86" i="7" s="1"/>
  <c r="LT86" i="7" s="1"/>
  <c r="KI86" i="7"/>
  <c r="KJ86" i="7" s="1"/>
  <c r="KD86" i="7"/>
  <c r="KE86" i="7" s="1"/>
  <c r="JY86" i="7"/>
  <c r="LO86" i="7" s="1"/>
  <c r="LP86" i="7" s="1"/>
  <c r="JW86" i="7"/>
  <c r="JW167" i="7" s="1"/>
  <c r="JT86" i="7"/>
  <c r="LK86" i="7" s="1"/>
  <c r="LL86" i="7" s="1"/>
  <c r="HY86" i="7"/>
  <c r="HX86" i="7"/>
  <c r="HW86" i="7"/>
  <c r="HV86" i="7"/>
  <c r="EV86" i="7"/>
  <c r="EU86" i="7"/>
  <c r="ET86" i="7"/>
  <c r="ES86" i="7"/>
  <c r="ER86" i="7"/>
  <c r="VP85" i="7"/>
  <c r="VO85" i="7"/>
  <c r="VK85" i="7"/>
  <c r="VJ85" i="7"/>
  <c r="VF85" i="7"/>
  <c r="VE85" i="7"/>
  <c r="VA85" i="7"/>
  <c r="UZ85" i="7"/>
  <c r="UY85" i="7"/>
  <c r="UV85" i="7"/>
  <c r="UU85" i="7"/>
  <c r="UR85" i="7"/>
  <c r="US85" i="7" s="1"/>
  <c r="UN85" i="7"/>
  <c r="UM85" i="7"/>
  <c r="UH85" i="7"/>
  <c r="VQ85" i="7" s="1"/>
  <c r="VR85" i="7" s="1"/>
  <c r="UD85" i="7"/>
  <c r="UC85" i="7"/>
  <c r="TX85" i="7"/>
  <c r="VL85" i="7" s="1"/>
  <c r="VM85" i="7" s="1"/>
  <c r="TT85" i="7"/>
  <c r="TS85" i="7"/>
  <c r="TN85" i="7"/>
  <c r="TO85" i="7" s="1"/>
  <c r="TJ85" i="7"/>
  <c r="TI85" i="7"/>
  <c r="TD85" i="7"/>
  <c r="VG85" i="7" s="1"/>
  <c r="VH85" i="7" s="1"/>
  <c r="SZ85" i="7"/>
  <c r="SY85" i="7"/>
  <c r="ST85" i="7"/>
  <c r="SU85" i="7" s="1"/>
  <c r="SP85" i="7"/>
  <c r="SO85" i="7"/>
  <c r="VB85" i="7" s="1"/>
  <c r="VC85" i="7" s="1"/>
  <c r="SH85" i="7"/>
  <c r="SG85" i="7"/>
  <c r="SC85" i="7"/>
  <c r="SB85" i="7"/>
  <c r="RX85" i="7"/>
  <c r="RW85" i="7"/>
  <c r="RS85" i="7"/>
  <c r="RR85" i="7"/>
  <c r="RQ85" i="7"/>
  <c r="RN85" i="7"/>
  <c r="RM85" i="7"/>
  <c r="RJ85" i="7"/>
  <c r="RK85" i="7" s="1"/>
  <c r="RE85" i="7"/>
  <c r="RF85" i="7" s="1"/>
  <c r="QZ85" i="7"/>
  <c r="SI85" i="7" s="1"/>
  <c r="SJ85" i="7" s="1"/>
  <c r="QU85" i="7"/>
  <c r="QV85" i="7" s="1"/>
  <c r="QP85" i="7"/>
  <c r="SD85" i="7" s="1"/>
  <c r="SE85" i="7" s="1"/>
  <c r="QK85" i="7"/>
  <c r="QL85" i="7" s="1"/>
  <c r="QF85" i="7"/>
  <c r="QG85" i="7" s="1"/>
  <c r="QA85" i="7"/>
  <c r="QB85" i="7" s="1"/>
  <c r="PV85" i="7"/>
  <c r="RY85" i="7" s="1"/>
  <c r="RZ85" i="7" s="1"/>
  <c r="PQ85" i="7"/>
  <c r="PR85" i="7" s="1"/>
  <c r="PL85" i="7"/>
  <c r="RT85" i="7" s="1"/>
  <c r="RU85" i="7" s="1"/>
  <c r="PG85" i="7"/>
  <c r="PH85" i="7" s="1"/>
  <c r="PA85" i="7"/>
  <c r="OZ85" i="7"/>
  <c r="OY85" i="7"/>
  <c r="OX85" i="7"/>
  <c r="VQ84" i="7"/>
  <c r="VR84" i="7" s="1"/>
  <c r="VP84" i="7"/>
  <c r="VO84" i="7"/>
  <c r="VL84" i="7"/>
  <c r="VM84" i="7" s="1"/>
  <c r="VK84" i="7"/>
  <c r="VJ84" i="7"/>
  <c r="VG84" i="7"/>
  <c r="VH84" i="7" s="1"/>
  <c r="VF84" i="7"/>
  <c r="VE84" i="7"/>
  <c r="VB84" i="7"/>
  <c r="VC84" i="7" s="1"/>
  <c r="VA84" i="7"/>
  <c r="UZ84" i="7"/>
  <c r="UY84" i="7"/>
  <c r="UV84" i="7"/>
  <c r="UU84" i="7"/>
  <c r="US84" i="7"/>
  <c r="UR84" i="7"/>
  <c r="UW84" i="7" s="1"/>
  <c r="UX84" i="7" s="1"/>
  <c r="UM84" i="7"/>
  <c r="UN84" i="7" s="1"/>
  <c r="UI84" i="7"/>
  <c r="UH84" i="7"/>
  <c r="UC84" i="7"/>
  <c r="UD84" i="7" s="1"/>
  <c r="TY84" i="7"/>
  <c r="TX84" i="7"/>
  <c r="TS84" i="7"/>
  <c r="TT84" i="7" s="1"/>
  <c r="TO84" i="7"/>
  <c r="TN84" i="7"/>
  <c r="TI84" i="7"/>
  <c r="TJ84" i="7" s="1"/>
  <c r="TE84" i="7"/>
  <c r="TD84" i="7"/>
  <c r="SY84" i="7"/>
  <c r="SZ84" i="7" s="1"/>
  <c r="SU84" i="7"/>
  <c r="ST84" i="7"/>
  <c r="SO84" i="7"/>
  <c r="SP84" i="7" s="1"/>
  <c r="SH84" i="7"/>
  <c r="SG84" i="7"/>
  <c r="SC84" i="7"/>
  <c r="SB84" i="7"/>
  <c r="RX84" i="7"/>
  <c r="RW84" i="7"/>
  <c r="RR84" i="7"/>
  <c r="RQ84" i="7"/>
  <c r="RN84" i="7"/>
  <c r="RM84" i="7"/>
  <c r="RJ84" i="7"/>
  <c r="RO84" i="7" s="1"/>
  <c r="RP84" i="7" s="1"/>
  <c r="RE84" i="7"/>
  <c r="RF84" i="7" s="1"/>
  <c r="QZ84" i="7"/>
  <c r="SI84" i="7" s="1"/>
  <c r="SJ84" i="7" s="1"/>
  <c r="QU84" i="7"/>
  <c r="QV84" i="7" s="1"/>
  <c r="QP84" i="7"/>
  <c r="QQ84" i="7" s="1"/>
  <c r="QK84" i="7"/>
  <c r="QL84" i="7" s="1"/>
  <c r="QF84" i="7"/>
  <c r="QG84" i="7" s="1"/>
  <c r="QA84" i="7"/>
  <c r="QB84" i="7" s="1"/>
  <c r="PV84" i="7"/>
  <c r="RY84" i="7" s="1"/>
  <c r="RZ84" i="7" s="1"/>
  <c r="PQ84" i="7"/>
  <c r="PR84" i="7" s="1"/>
  <c r="PL84" i="7"/>
  <c r="PM84" i="7" s="1"/>
  <c r="PG84" i="7"/>
  <c r="PH84" i="7" s="1"/>
  <c r="PF84" i="7"/>
  <c r="PF127" i="7" s="1"/>
  <c r="PF167" i="7" s="1"/>
  <c r="PE84" i="7"/>
  <c r="PE127" i="7" s="1"/>
  <c r="PE167" i="7" s="1"/>
  <c r="PA84" i="7"/>
  <c r="OZ84" i="7"/>
  <c r="OY84" i="7"/>
  <c r="OX84" i="7"/>
  <c r="OS84" i="7"/>
  <c r="OL84" i="7"/>
  <c r="OK84" i="7"/>
  <c r="OJ84" i="7"/>
  <c r="OI84" i="7"/>
  <c r="OG84" i="7"/>
  <c r="OF84" i="7"/>
  <c r="OE84" i="7"/>
  <c r="LC84" i="7"/>
  <c r="LB84" i="7"/>
  <c r="LA84" i="7"/>
  <c r="KZ84" i="7"/>
  <c r="VK83" i="7"/>
  <c r="VJ83" i="7"/>
  <c r="VF83" i="7"/>
  <c r="VE83" i="7"/>
  <c r="VB83" i="7"/>
  <c r="VC83" i="7" s="1"/>
  <c r="VA83" i="7"/>
  <c r="UZ83" i="7"/>
  <c r="UY83" i="7"/>
  <c r="UV83" i="7"/>
  <c r="UU83" i="7"/>
  <c r="UH83" i="7"/>
  <c r="UI83" i="7" s="1"/>
  <c r="UC83" i="7"/>
  <c r="UD83" i="7" s="1"/>
  <c r="TX83" i="7"/>
  <c r="VL83" i="7" s="1"/>
  <c r="TS83" i="7"/>
  <c r="TT83" i="7" s="1"/>
  <c r="TN83" i="7"/>
  <c r="TO83" i="7" s="1"/>
  <c r="TI83" i="7"/>
  <c r="TJ83" i="7" s="1"/>
  <c r="TD83" i="7"/>
  <c r="VG83" i="7" s="1"/>
  <c r="VH83" i="7" s="1"/>
  <c r="SY83" i="7"/>
  <c r="SZ83" i="7" s="1"/>
  <c r="VQ82" i="7"/>
  <c r="VR82" i="7" s="1"/>
  <c r="VP82" i="7"/>
  <c r="VO82" i="7"/>
  <c r="VL82" i="7"/>
  <c r="VM82" i="7" s="1"/>
  <c r="VK82" i="7"/>
  <c r="VJ82" i="7"/>
  <c r="VG82" i="7"/>
  <c r="VH82" i="7" s="1"/>
  <c r="VF82" i="7"/>
  <c r="VE82" i="7"/>
  <c r="VB82" i="7"/>
  <c r="VC82" i="7" s="1"/>
  <c r="VA82" i="7"/>
  <c r="UZ82" i="7"/>
  <c r="UY82" i="7"/>
  <c r="UV82" i="7"/>
  <c r="UU82" i="7"/>
  <c r="US82" i="7"/>
  <c r="UR82" i="7"/>
  <c r="UW82" i="7" s="1"/>
  <c r="UX82" i="7" s="1"/>
  <c r="UM82" i="7"/>
  <c r="UN82" i="7" s="1"/>
  <c r="UI82" i="7"/>
  <c r="UH82" i="7"/>
  <c r="UC82" i="7"/>
  <c r="UD82" i="7" s="1"/>
  <c r="TY82" i="7"/>
  <c r="TX82" i="7"/>
  <c r="TS82" i="7"/>
  <c r="TT82" i="7" s="1"/>
  <c r="TO82" i="7"/>
  <c r="TN82" i="7"/>
  <c r="TI82" i="7"/>
  <c r="TJ82" i="7" s="1"/>
  <c r="TE82" i="7"/>
  <c r="TD82" i="7"/>
  <c r="SY82" i="7"/>
  <c r="SZ82" i="7" s="1"/>
  <c r="SU82" i="7"/>
  <c r="ST82" i="7"/>
  <c r="SO82" i="7"/>
  <c r="SP82" i="7" s="1"/>
  <c r="SH82" i="7"/>
  <c r="SG82" i="7"/>
  <c r="SC82" i="7"/>
  <c r="SB82" i="7"/>
  <c r="RX82" i="7"/>
  <c r="RW82" i="7"/>
  <c r="RS82" i="7"/>
  <c r="RR82" i="7"/>
  <c r="RQ82" i="7"/>
  <c r="RN82" i="7"/>
  <c r="RM82" i="7"/>
  <c r="RJ82" i="7"/>
  <c r="RO82" i="7" s="1"/>
  <c r="RP82" i="7" s="1"/>
  <c r="RE82" i="7"/>
  <c r="RF82" i="7" s="1"/>
  <c r="QZ82" i="7"/>
  <c r="SI82" i="7" s="1"/>
  <c r="SJ82" i="7" s="1"/>
  <c r="QU82" i="7"/>
  <c r="QV82" i="7" s="1"/>
  <c r="QP82" i="7"/>
  <c r="QQ82" i="7" s="1"/>
  <c r="QK82" i="7"/>
  <c r="QL82" i="7" s="1"/>
  <c r="QF82" i="7"/>
  <c r="QG82" i="7" s="1"/>
  <c r="QA82" i="7"/>
  <c r="QB82" i="7" s="1"/>
  <c r="PV82" i="7"/>
  <c r="RY82" i="7" s="1"/>
  <c r="RZ82" i="7" s="1"/>
  <c r="PQ82" i="7"/>
  <c r="PR82" i="7" s="1"/>
  <c r="PO82" i="7"/>
  <c r="PO127" i="7" s="1"/>
  <c r="PO167" i="7" s="1"/>
  <c r="PL82" i="7"/>
  <c r="PM82" i="7" s="1"/>
  <c r="PH82" i="7"/>
  <c r="PG82" i="7"/>
  <c r="RT82" i="7" s="1"/>
  <c r="RU82" i="7" s="1"/>
  <c r="OZ82" i="7"/>
  <c r="OY82" i="7"/>
  <c r="OU82" i="7"/>
  <c r="OT82" i="7"/>
  <c r="OS82" i="7"/>
  <c r="OQ82" i="7"/>
  <c r="OR82" i="7" s="1"/>
  <c r="OP82" i="7"/>
  <c r="OO82" i="7"/>
  <c r="ON82" i="7"/>
  <c r="OL82" i="7"/>
  <c r="OK82" i="7"/>
  <c r="OJ82" i="7"/>
  <c r="OI82" i="7"/>
  <c r="OF82" i="7"/>
  <c r="OE82" i="7"/>
  <c r="OC82" i="7"/>
  <c r="OB82" i="7"/>
  <c r="OG82" i="7" s="1"/>
  <c r="OH82" i="7" s="1"/>
  <c r="NW82" i="7"/>
  <c r="NX82" i="7" s="1"/>
  <c r="NS82" i="7"/>
  <c r="NR82" i="7"/>
  <c r="NM82" i="7"/>
  <c r="NN82" i="7" s="1"/>
  <c r="NI82" i="7"/>
  <c r="NH82" i="7"/>
  <c r="NC82" i="7"/>
  <c r="ND82" i="7" s="1"/>
  <c r="MY82" i="7"/>
  <c r="MX82" i="7"/>
  <c r="MS82" i="7"/>
  <c r="MT82" i="7" s="1"/>
  <c r="MO82" i="7"/>
  <c r="MN82" i="7"/>
  <c r="LQ82" i="7"/>
  <c r="HY82" i="7"/>
  <c r="HX82" i="7"/>
  <c r="HW82" i="7"/>
  <c r="HV82" i="7"/>
  <c r="EU82" i="7"/>
  <c r="EV82" i="7" s="1"/>
  <c r="ET82" i="7"/>
  <c r="ES82" i="7"/>
  <c r="ER82" i="7"/>
  <c r="G82" i="7"/>
  <c r="VP81" i="7"/>
  <c r="VO81" i="7"/>
  <c r="VK81" i="7"/>
  <c r="VJ81" i="7"/>
  <c r="VF81" i="7"/>
  <c r="VE81" i="7"/>
  <c r="VA81" i="7"/>
  <c r="UZ81" i="7"/>
  <c r="UY81" i="7"/>
  <c r="UV81" i="7"/>
  <c r="UU81" i="7"/>
  <c r="UR81" i="7"/>
  <c r="US81" i="7" s="1"/>
  <c r="UN81" i="7"/>
  <c r="UM81" i="7"/>
  <c r="UH81" i="7"/>
  <c r="VQ81" i="7" s="1"/>
  <c r="VR81" i="7" s="1"/>
  <c r="UD81" i="7"/>
  <c r="UC81" i="7"/>
  <c r="VL81" i="7" s="1"/>
  <c r="VM81" i="7" s="1"/>
  <c r="TX81" i="7"/>
  <c r="TY81" i="7" s="1"/>
  <c r="TT81" i="7"/>
  <c r="TS81" i="7"/>
  <c r="TN81" i="7"/>
  <c r="TO81" i="7" s="1"/>
  <c r="TJ81" i="7"/>
  <c r="TI81" i="7"/>
  <c r="TD81" i="7"/>
  <c r="VG81" i="7" s="1"/>
  <c r="VH81" i="7" s="1"/>
  <c r="SZ81" i="7"/>
  <c r="SY81" i="7"/>
  <c r="ST81" i="7"/>
  <c r="SU81" i="7" s="1"/>
  <c r="SP81" i="7"/>
  <c r="SO81" i="7"/>
  <c r="VB81" i="7" s="1"/>
  <c r="VC81" i="7" s="1"/>
  <c r="SH81" i="7"/>
  <c r="SG81" i="7"/>
  <c r="SC81" i="7"/>
  <c r="SB81" i="7"/>
  <c r="RX81" i="7"/>
  <c r="RW81" i="7"/>
  <c r="RS81" i="7"/>
  <c r="RR81" i="7"/>
  <c r="RQ81" i="7"/>
  <c r="RN81" i="7"/>
  <c r="RM81" i="7"/>
  <c r="RJ81" i="7"/>
  <c r="RK81" i="7" s="1"/>
  <c r="RF81" i="7"/>
  <c r="RE81" i="7"/>
  <c r="QZ81" i="7"/>
  <c r="SI81" i="7" s="1"/>
  <c r="SJ81" i="7" s="1"/>
  <c r="QV81" i="7"/>
  <c r="QU81" i="7"/>
  <c r="QP81" i="7"/>
  <c r="SD81" i="7" s="1"/>
  <c r="SE81" i="7" s="1"/>
  <c r="QL81" i="7"/>
  <c r="QK81" i="7"/>
  <c r="QF81" i="7"/>
  <c r="QG81" i="7" s="1"/>
  <c r="QB81" i="7"/>
  <c r="QA81" i="7"/>
  <c r="PV81" i="7"/>
  <c r="RY81" i="7" s="1"/>
  <c r="RZ81" i="7" s="1"/>
  <c r="PR81" i="7"/>
  <c r="PQ81" i="7"/>
  <c r="PL81" i="7"/>
  <c r="RT81" i="7" s="1"/>
  <c r="RU81" i="7" s="1"/>
  <c r="PH81" i="7"/>
  <c r="PG81" i="7"/>
  <c r="PA81" i="7"/>
  <c r="PB81" i="7" s="1"/>
  <c r="OZ81" i="7"/>
  <c r="OY81" i="7"/>
  <c r="OV81" i="7"/>
  <c r="OW81" i="7" s="1"/>
  <c r="OU81" i="7"/>
  <c r="OT81" i="7"/>
  <c r="OS81" i="7"/>
  <c r="OP81" i="7"/>
  <c r="OO81" i="7"/>
  <c r="ON81" i="7"/>
  <c r="OK81" i="7"/>
  <c r="OJ81" i="7"/>
  <c r="OI81" i="7"/>
  <c r="OF81" i="7"/>
  <c r="OE81" i="7"/>
  <c r="OB81" i="7"/>
  <c r="OC81" i="7" s="1"/>
  <c r="NX81" i="7"/>
  <c r="NW81" i="7"/>
  <c r="NR81" i="7"/>
  <c r="NS81" i="7" s="1"/>
  <c r="NN81" i="7"/>
  <c r="NM81" i="7"/>
  <c r="NH81" i="7"/>
  <c r="NI81" i="7" s="1"/>
  <c r="ND81" i="7"/>
  <c r="NC81" i="7"/>
  <c r="MX81" i="7"/>
  <c r="MY81" i="7" s="1"/>
  <c r="MT81" i="7"/>
  <c r="MS81" i="7"/>
  <c r="MN81" i="7"/>
  <c r="MO81" i="7" s="1"/>
  <c r="MJ81" i="7"/>
  <c r="MI81" i="7"/>
  <c r="MD81" i="7"/>
  <c r="ME81" i="7" s="1"/>
  <c r="LZ81" i="7"/>
  <c r="LY81" i="7"/>
  <c r="OL81" i="7" s="1"/>
  <c r="OM81" i="7" s="1"/>
  <c r="LR81" i="7"/>
  <c r="LQ81" i="7"/>
  <c r="LN81" i="7"/>
  <c r="LM81" i="7"/>
  <c r="LJ81" i="7"/>
  <c r="LI81" i="7"/>
  <c r="LF81" i="7"/>
  <c r="LE81" i="7"/>
  <c r="LB81" i="7"/>
  <c r="LA81" i="7"/>
  <c r="KX81" i="7"/>
  <c r="KY81" i="7" s="1"/>
  <c r="KT81" i="7"/>
  <c r="KS81" i="7"/>
  <c r="KN81" i="7"/>
  <c r="KO81" i="7" s="1"/>
  <c r="KJ81" i="7"/>
  <c r="KI81" i="7"/>
  <c r="KD81" i="7"/>
  <c r="KE81" i="7" s="1"/>
  <c r="JZ81" i="7"/>
  <c r="JY81" i="7"/>
  <c r="JT81" i="7"/>
  <c r="JU81" i="7" s="1"/>
  <c r="JP81" i="7"/>
  <c r="JO81" i="7"/>
  <c r="JJ81" i="7"/>
  <c r="JK81" i="7" s="1"/>
  <c r="JF81" i="7"/>
  <c r="JE81" i="7"/>
  <c r="IZ81" i="7"/>
  <c r="JA81" i="7" s="1"/>
  <c r="IV81" i="7"/>
  <c r="IU81" i="7"/>
  <c r="IN81" i="7"/>
  <c r="IM81" i="7"/>
  <c r="HX81" i="7"/>
  <c r="HW81" i="7"/>
  <c r="HV81" i="7"/>
  <c r="HT81" i="7"/>
  <c r="HU81" i="7" s="1"/>
  <c r="HP81" i="7"/>
  <c r="HO81" i="7"/>
  <c r="HJ81" i="7"/>
  <c r="HY81" i="7" s="1"/>
  <c r="EV81" i="7"/>
  <c r="EU81" i="7"/>
  <c r="ET81" i="7"/>
  <c r="ES81" i="7"/>
  <c r="ER81" i="7"/>
  <c r="VP80" i="7"/>
  <c r="VO80" i="7"/>
  <c r="VK80" i="7"/>
  <c r="VJ80" i="7"/>
  <c r="VF80" i="7"/>
  <c r="VE80" i="7"/>
  <c r="VA80" i="7"/>
  <c r="UZ80" i="7"/>
  <c r="UY80" i="7"/>
  <c r="UV80" i="7"/>
  <c r="UR80" i="7"/>
  <c r="US80" i="7" s="1"/>
  <c r="UN80" i="7"/>
  <c r="UM80" i="7"/>
  <c r="UH80" i="7"/>
  <c r="VQ80" i="7" s="1"/>
  <c r="VR80" i="7" s="1"/>
  <c r="UD80" i="7"/>
  <c r="UC80" i="7"/>
  <c r="VL80" i="7" s="1"/>
  <c r="VM80" i="7" s="1"/>
  <c r="TX80" i="7"/>
  <c r="TY80" i="7" s="1"/>
  <c r="TT80" i="7"/>
  <c r="TS80" i="7"/>
  <c r="TN80" i="7"/>
  <c r="TO80" i="7" s="1"/>
  <c r="TJ80" i="7"/>
  <c r="TI80" i="7"/>
  <c r="TD80" i="7"/>
  <c r="VG80" i="7" s="1"/>
  <c r="VH80" i="7" s="1"/>
  <c r="SZ80" i="7"/>
  <c r="SY80" i="7"/>
  <c r="ST80" i="7"/>
  <c r="SU80" i="7" s="1"/>
  <c r="SN80" i="7"/>
  <c r="SN127" i="7" s="1"/>
  <c r="SN167" i="7" s="1"/>
  <c r="SM80" i="7"/>
  <c r="SM127" i="7" s="1"/>
  <c r="SM167" i="7" s="1"/>
  <c r="SH80" i="7"/>
  <c r="SG80" i="7"/>
  <c r="SC80" i="7"/>
  <c r="SB80" i="7"/>
  <c r="RX80" i="7"/>
  <c r="RW80" i="7"/>
  <c r="RS80" i="7"/>
  <c r="RR80" i="7"/>
  <c r="RQ80" i="7"/>
  <c r="RN80" i="7"/>
  <c r="RM80" i="7"/>
  <c r="RK80" i="7"/>
  <c r="RJ80" i="7"/>
  <c r="RO80" i="7" s="1"/>
  <c r="RP80" i="7" s="1"/>
  <c r="RE80" i="7"/>
  <c r="RF80" i="7" s="1"/>
  <c r="RA80" i="7"/>
  <c r="QZ80" i="7"/>
  <c r="QU80" i="7"/>
  <c r="QV80" i="7" s="1"/>
  <c r="QQ80" i="7"/>
  <c r="QP80" i="7"/>
  <c r="QK80" i="7"/>
  <c r="QL80" i="7" s="1"/>
  <c r="QG80" i="7"/>
  <c r="QF80" i="7"/>
  <c r="QA80" i="7"/>
  <c r="QB80" i="7" s="1"/>
  <c r="PW80" i="7"/>
  <c r="PV80" i="7"/>
  <c r="PQ80" i="7"/>
  <c r="PR80" i="7" s="1"/>
  <c r="PM80" i="7"/>
  <c r="PL80" i="7"/>
  <c r="PG80" i="7"/>
  <c r="PH80" i="7" s="1"/>
  <c r="OZ80" i="7"/>
  <c r="OY80" i="7"/>
  <c r="OU80" i="7"/>
  <c r="OT80" i="7"/>
  <c r="OS80" i="7"/>
  <c r="OP80" i="7"/>
  <c r="OO80" i="7"/>
  <c r="ON80" i="7"/>
  <c r="OL80" i="7"/>
  <c r="OM80" i="7" s="1"/>
  <c r="OK80" i="7"/>
  <c r="OJ80" i="7"/>
  <c r="OI80" i="7"/>
  <c r="OF80" i="7"/>
  <c r="OE80" i="7"/>
  <c r="OC80" i="7"/>
  <c r="OB80" i="7"/>
  <c r="OG80" i="7" s="1"/>
  <c r="OH80" i="7" s="1"/>
  <c r="NW80" i="7"/>
  <c r="NX80" i="7" s="1"/>
  <c r="NS80" i="7"/>
  <c r="NR80" i="7"/>
  <c r="PA80" i="7" s="1"/>
  <c r="PB80" i="7" s="1"/>
  <c r="NM80" i="7"/>
  <c r="OV80" i="7" s="1"/>
  <c r="OW80" i="7" s="1"/>
  <c r="NI80" i="7"/>
  <c r="NH80" i="7"/>
  <c r="NC80" i="7"/>
  <c r="ND80" i="7" s="1"/>
  <c r="MY80" i="7"/>
  <c r="MX80" i="7"/>
  <c r="MS80" i="7"/>
  <c r="MT80" i="7" s="1"/>
  <c r="MO80" i="7"/>
  <c r="MN80" i="7"/>
  <c r="MI80" i="7"/>
  <c r="MJ80" i="7" s="1"/>
  <c r="ME80" i="7"/>
  <c r="MD80" i="7"/>
  <c r="LY80" i="7"/>
  <c r="LZ80" i="7" s="1"/>
  <c r="LR80" i="7"/>
  <c r="LQ80" i="7"/>
  <c r="LO80" i="7"/>
  <c r="LN80" i="7"/>
  <c r="LM80" i="7"/>
  <c r="LK80" i="7"/>
  <c r="LJ80" i="7"/>
  <c r="LI80" i="7"/>
  <c r="LG80" i="7"/>
  <c r="LF80" i="7"/>
  <c r="LE80" i="7"/>
  <c r="LB80" i="7"/>
  <c r="LA80" i="7"/>
  <c r="KY80" i="7"/>
  <c r="KX80" i="7"/>
  <c r="KS80" i="7"/>
  <c r="KT80" i="7" s="1"/>
  <c r="KN80" i="7"/>
  <c r="LC80" i="7" s="1"/>
  <c r="LD80" i="7" s="1"/>
  <c r="HY80" i="7"/>
  <c r="HX80" i="7"/>
  <c r="HW80" i="7"/>
  <c r="HV80" i="7"/>
  <c r="EU80" i="7"/>
  <c r="EV80" i="7" s="1"/>
  <c r="ET80" i="7"/>
  <c r="ES80" i="7"/>
  <c r="ER80" i="7"/>
  <c r="VQ79" i="7"/>
  <c r="VR79" i="7" s="1"/>
  <c r="VP79" i="7"/>
  <c r="VO79" i="7"/>
  <c r="VL79" i="7"/>
  <c r="VM79" i="7" s="1"/>
  <c r="VK79" i="7"/>
  <c r="VJ79" i="7"/>
  <c r="VG79" i="7"/>
  <c r="VH79" i="7" s="1"/>
  <c r="VF79" i="7"/>
  <c r="VE79" i="7"/>
  <c r="VB79" i="7"/>
  <c r="VC79" i="7" s="1"/>
  <c r="VA79" i="7"/>
  <c r="UZ79" i="7"/>
  <c r="UY79" i="7"/>
  <c r="UV79" i="7"/>
  <c r="UU79" i="7"/>
  <c r="US79" i="7"/>
  <c r="UR79" i="7"/>
  <c r="UW79" i="7" s="1"/>
  <c r="UX79" i="7" s="1"/>
  <c r="UM79" i="7"/>
  <c r="UN79" i="7" s="1"/>
  <c r="UI79" i="7"/>
  <c r="UH79" i="7"/>
  <c r="UC79" i="7"/>
  <c r="UD79" i="7" s="1"/>
  <c r="TY79" i="7"/>
  <c r="TX79" i="7"/>
  <c r="TS79" i="7"/>
  <c r="TT79" i="7" s="1"/>
  <c r="TO79" i="7"/>
  <c r="TN79" i="7"/>
  <c r="TI79" i="7"/>
  <c r="TJ79" i="7" s="1"/>
  <c r="TE79" i="7"/>
  <c r="TD79" i="7"/>
  <c r="SY79" i="7"/>
  <c r="SZ79" i="7" s="1"/>
  <c r="SU79" i="7"/>
  <c r="ST79" i="7"/>
  <c r="SO79" i="7"/>
  <c r="SP79" i="7" s="1"/>
  <c r="SH79" i="7"/>
  <c r="SG79" i="7"/>
  <c r="SC79" i="7"/>
  <c r="SB79" i="7"/>
  <c r="RX79" i="7"/>
  <c r="RW79" i="7"/>
  <c r="RS79" i="7"/>
  <c r="RR79" i="7"/>
  <c r="RQ79" i="7"/>
  <c r="RN79" i="7"/>
  <c r="RM79" i="7"/>
  <c r="RJ79" i="7"/>
  <c r="RO79" i="7" s="1"/>
  <c r="RP79" i="7" s="1"/>
  <c r="RE79" i="7"/>
  <c r="RF79" i="7" s="1"/>
  <c r="QZ79" i="7"/>
  <c r="SI79" i="7" s="1"/>
  <c r="SJ79" i="7" s="1"/>
  <c r="QU79" i="7"/>
  <c r="QV79" i="7" s="1"/>
  <c r="QP79" i="7"/>
  <c r="QQ79" i="7" s="1"/>
  <c r="QK79" i="7"/>
  <c r="QL79" i="7" s="1"/>
  <c r="QF79" i="7"/>
  <c r="QG79" i="7" s="1"/>
  <c r="QA79" i="7"/>
  <c r="QB79" i="7" s="1"/>
  <c r="PV79" i="7"/>
  <c r="RY79" i="7" s="1"/>
  <c r="RZ79" i="7" s="1"/>
  <c r="PQ79" i="7"/>
  <c r="PR79" i="7" s="1"/>
  <c r="PL79" i="7"/>
  <c r="PM79" i="7" s="1"/>
  <c r="PG79" i="7"/>
  <c r="PH79" i="7" s="1"/>
  <c r="OZ79" i="7"/>
  <c r="OY79" i="7"/>
  <c r="OU79" i="7"/>
  <c r="OT79" i="7"/>
  <c r="OS79" i="7"/>
  <c r="OP79" i="7"/>
  <c r="OO79" i="7"/>
  <c r="ON79" i="7"/>
  <c r="OL79" i="7"/>
  <c r="OM79" i="7" s="1"/>
  <c r="OK79" i="7"/>
  <c r="OJ79" i="7"/>
  <c r="OI79" i="7"/>
  <c r="OF79" i="7"/>
  <c r="OE79" i="7"/>
  <c r="OC79" i="7"/>
  <c r="OB79" i="7"/>
  <c r="OG79" i="7" s="1"/>
  <c r="OH79" i="7" s="1"/>
  <c r="NW79" i="7"/>
  <c r="NX79" i="7" s="1"/>
  <c r="NS79" i="7"/>
  <c r="NR79" i="7"/>
  <c r="PA79" i="7" s="1"/>
  <c r="PB79" i="7" s="1"/>
  <c r="NM79" i="7"/>
  <c r="OV79" i="7" s="1"/>
  <c r="OW79" i="7" s="1"/>
  <c r="NI79" i="7"/>
  <c r="NH79" i="7"/>
  <c r="NC79" i="7"/>
  <c r="ND79" i="7" s="1"/>
  <c r="MY79" i="7"/>
  <c r="MX79" i="7"/>
  <c r="MS79" i="7"/>
  <c r="MT79" i="7" s="1"/>
  <c r="MO79" i="7"/>
  <c r="MN79" i="7"/>
  <c r="MI79" i="7"/>
  <c r="MJ79" i="7" s="1"/>
  <c r="ME79" i="7"/>
  <c r="MD79" i="7"/>
  <c r="LY79" i="7"/>
  <c r="LZ79" i="7" s="1"/>
  <c r="LR79" i="7"/>
  <c r="LQ79" i="7"/>
  <c r="LN79" i="7"/>
  <c r="LM79" i="7"/>
  <c r="LJ79" i="7"/>
  <c r="LI79" i="7"/>
  <c r="LG79" i="7"/>
  <c r="LF79" i="7"/>
  <c r="LE79" i="7"/>
  <c r="LB79" i="7"/>
  <c r="LA79" i="7"/>
  <c r="KX79" i="7"/>
  <c r="KY79" i="7" s="1"/>
  <c r="KS79" i="7"/>
  <c r="KT79" i="7" s="1"/>
  <c r="KN79" i="7"/>
  <c r="KO79" i="7" s="1"/>
  <c r="KI79" i="7"/>
  <c r="KJ79" i="7" s="1"/>
  <c r="KD79" i="7"/>
  <c r="KE79" i="7" s="1"/>
  <c r="JY79" i="7"/>
  <c r="LO79" i="7" s="1"/>
  <c r="LP79" i="7" s="1"/>
  <c r="JT79" i="7"/>
  <c r="JU79" i="7" s="1"/>
  <c r="JO79" i="7"/>
  <c r="JP79" i="7" s="1"/>
  <c r="JJ79" i="7"/>
  <c r="JK79" i="7" s="1"/>
  <c r="HY79" i="7"/>
  <c r="HX79" i="7"/>
  <c r="HW79" i="7"/>
  <c r="HV79" i="7"/>
  <c r="EU79" i="7"/>
  <c r="EV79" i="7" s="1"/>
  <c r="ET79" i="7"/>
  <c r="ES79" i="7"/>
  <c r="ER79" i="7"/>
  <c r="VP78" i="7"/>
  <c r="VO78" i="7"/>
  <c r="VK78" i="7"/>
  <c r="VJ78" i="7"/>
  <c r="VF78" i="7"/>
  <c r="VE78" i="7"/>
  <c r="VA78" i="7"/>
  <c r="UZ78" i="7"/>
  <c r="UY78" i="7"/>
  <c r="UV78" i="7"/>
  <c r="UU78" i="7"/>
  <c r="UR78" i="7"/>
  <c r="US78" i="7" s="1"/>
  <c r="UM78" i="7"/>
  <c r="UN78" i="7" s="1"/>
  <c r="UH78" i="7"/>
  <c r="VQ78" i="7" s="1"/>
  <c r="VR78" i="7" s="1"/>
  <c r="UC78" i="7"/>
  <c r="UD78" i="7" s="1"/>
  <c r="TX78" i="7"/>
  <c r="VL78" i="7" s="1"/>
  <c r="VM78" i="7" s="1"/>
  <c r="TS78" i="7"/>
  <c r="TT78" i="7" s="1"/>
  <c r="TN78" i="7"/>
  <c r="TO78" i="7" s="1"/>
  <c r="TI78" i="7"/>
  <c r="TJ78" i="7" s="1"/>
  <c r="TD78" i="7"/>
  <c r="VG78" i="7" s="1"/>
  <c r="VH78" i="7" s="1"/>
  <c r="SY78" i="7"/>
  <c r="SZ78" i="7" s="1"/>
  <c r="ST78" i="7"/>
  <c r="VB78" i="7" s="1"/>
  <c r="VC78" i="7" s="1"/>
  <c r="SO78" i="7"/>
  <c r="SP78" i="7" s="1"/>
  <c r="SH78" i="7"/>
  <c r="SG78" i="7"/>
  <c r="SC78" i="7"/>
  <c r="SB78" i="7"/>
  <c r="RX78" i="7"/>
  <c r="RW78" i="7"/>
  <c r="RN78" i="7"/>
  <c r="RM78" i="7"/>
  <c r="RJ78" i="7"/>
  <c r="RK78" i="7" s="1"/>
  <c r="RE78" i="7"/>
  <c r="RF78" i="7" s="1"/>
  <c r="QZ78" i="7"/>
  <c r="RA78" i="7" s="1"/>
  <c r="QU78" i="7"/>
  <c r="QV78" i="7" s="1"/>
  <c r="QP78" i="7"/>
  <c r="QQ78" i="7" s="1"/>
  <c r="QK78" i="7"/>
  <c r="QL78" i="7" s="1"/>
  <c r="QF78" i="7"/>
  <c r="QG78" i="7" s="1"/>
  <c r="VP77" i="7"/>
  <c r="VO77" i="7"/>
  <c r="VK77" i="7"/>
  <c r="VJ77" i="7"/>
  <c r="VF77" i="7"/>
  <c r="VE77" i="7"/>
  <c r="VA77" i="7"/>
  <c r="UZ77" i="7"/>
  <c r="UY77" i="7"/>
  <c r="UV77" i="7"/>
  <c r="UU77" i="7"/>
  <c r="UR77" i="7"/>
  <c r="US77" i="7" s="1"/>
  <c r="UN77" i="7"/>
  <c r="UM77" i="7"/>
  <c r="UH77" i="7"/>
  <c r="VQ77" i="7" s="1"/>
  <c r="VR77" i="7" s="1"/>
  <c r="UD77" i="7"/>
  <c r="UC77" i="7"/>
  <c r="VL77" i="7" s="1"/>
  <c r="VM77" i="7" s="1"/>
  <c r="TX77" i="7"/>
  <c r="TY77" i="7" s="1"/>
  <c r="TT77" i="7"/>
  <c r="TS77" i="7"/>
  <c r="TN77" i="7"/>
  <c r="TO77" i="7" s="1"/>
  <c r="TJ77" i="7"/>
  <c r="TI77" i="7"/>
  <c r="TD77" i="7"/>
  <c r="VG77" i="7" s="1"/>
  <c r="VH77" i="7" s="1"/>
  <c r="SZ77" i="7"/>
  <c r="SY77" i="7"/>
  <c r="ST77" i="7"/>
  <c r="SU77" i="7" s="1"/>
  <c r="SP77" i="7"/>
  <c r="SO77" i="7"/>
  <c r="VB77" i="7" s="1"/>
  <c r="VC77" i="7" s="1"/>
  <c r="SH77" i="7"/>
  <c r="SG77" i="7"/>
  <c r="SC77" i="7"/>
  <c r="SB77" i="7"/>
  <c r="RX77" i="7"/>
  <c r="RW77" i="7"/>
  <c r="RS77" i="7"/>
  <c r="RR77" i="7"/>
  <c r="RQ77" i="7"/>
  <c r="RN77" i="7"/>
  <c r="RM77" i="7"/>
  <c r="RJ77" i="7"/>
  <c r="RK77" i="7" s="1"/>
  <c r="RF77" i="7"/>
  <c r="RE77" i="7"/>
  <c r="QZ77" i="7"/>
  <c r="SI77" i="7" s="1"/>
  <c r="SJ77" i="7" s="1"/>
  <c r="QV77" i="7"/>
  <c r="QU77" i="7"/>
  <c r="QP77" i="7"/>
  <c r="SD77" i="7" s="1"/>
  <c r="SE77" i="7" s="1"/>
  <c r="QL77" i="7"/>
  <c r="QK77" i="7"/>
  <c r="QF77" i="7"/>
  <c r="QG77" i="7" s="1"/>
  <c r="QB77" i="7"/>
  <c r="QA77" i="7"/>
  <c r="PV77" i="7"/>
  <c r="RY77" i="7" s="1"/>
  <c r="RZ77" i="7" s="1"/>
  <c r="PR77" i="7"/>
  <c r="PQ77" i="7"/>
  <c r="PL77" i="7"/>
  <c r="RT77" i="7" s="1"/>
  <c r="RU77" i="7" s="1"/>
  <c r="PH77" i="7"/>
  <c r="PG77" i="7"/>
  <c r="PA77" i="7"/>
  <c r="PB77" i="7" s="1"/>
  <c r="OZ77" i="7"/>
  <c r="OY77" i="7"/>
  <c r="OV77" i="7"/>
  <c r="OW77" i="7" s="1"/>
  <c r="OU77" i="7"/>
  <c r="OT77" i="7"/>
  <c r="OS77" i="7"/>
  <c r="OP77" i="7"/>
  <c r="OO77" i="7"/>
  <c r="ON77" i="7"/>
  <c r="OK77" i="7"/>
  <c r="OJ77" i="7"/>
  <c r="OI77" i="7"/>
  <c r="OF77" i="7"/>
  <c r="OE77" i="7"/>
  <c r="OB77" i="7"/>
  <c r="OC77" i="7" s="1"/>
  <c r="NX77" i="7"/>
  <c r="NW77" i="7"/>
  <c r="NR77" i="7"/>
  <c r="NS77" i="7" s="1"/>
  <c r="NN77" i="7"/>
  <c r="NM77" i="7"/>
  <c r="NH77" i="7"/>
  <c r="NI77" i="7" s="1"/>
  <c r="ND77" i="7"/>
  <c r="NC77" i="7"/>
  <c r="MX77" i="7"/>
  <c r="MY77" i="7" s="1"/>
  <c r="MT77" i="7"/>
  <c r="MS77" i="7"/>
  <c r="MN77" i="7"/>
  <c r="MO77" i="7" s="1"/>
  <c r="MJ77" i="7"/>
  <c r="MI77" i="7"/>
  <c r="MD77" i="7"/>
  <c r="ME77" i="7" s="1"/>
  <c r="LZ77" i="7"/>
  <c r="LY77" i="7"/>
  <c r="OL77" i="7" s="1"/>
  <c r="OM77" i="7" s="1"/>
  <c r="LR77" i="7"/>
  <c r="LQ77" i="7"/>
  <c r="LN77" i="7"/>
  <c r="LM77" i="7"/>
  <c r="LJ77" i="7"/>
  <c r="LI77" i="7"/>
  <c r="LF77" i="7"/>
  <c r="LE77" i="7"/>
  <c r="LB77" i="7"/>
  <c r="LA77" i="7"/>
  <c r="KX77" i="7"/>
  <c r="KY77" i="7" s="1"/>
  <c r="KT77" i="7"/>
  <c r="KS77" i="7"/>
  <c r="KN77" i="7"/>
  <c r="KO77" i="7" s="1"/>
  <c r="KJ77" i="7"/>
  <c r="KI77" i="7"/>
  <c r="KD77" i="7"/>
  <c r="KE77" i="7" s="1"/>
  <c r="JZ77" i="7"/>
  <c r="JY77" i="7"/>
  <c r="JT77" i="7"/>
  <c r="JU77" i="7" s="1"/>
  <c r="JP77" i="7"/>
  <c r="JO77" i="7"/>
  <c r="JJ77" i="7"/>
  <c r="JK77" i="7" s="1"/>
  <c r="JF77" i="7"/>
  <c r="JE77" i="7"/>
  <c r="IZ77" i="7"/>
  <c r="JA77" i="7" s="1"/>
  <c r="HY77" i="7"/>
  <c r="HX77" i="7"/>
  <c r="HW77" i="7"/>
  <c r="HV77" i="7"/>
  <c r="EV77" i="7"/>
  <c r="EU77" i="7"/>
  <c r="ET77" i="7"/>
  <c r="ES77" i="7"/>
  <c r="ER77" i="7"/>
  <c r="VP76" i="7"/>
  <c r="VO76" i="7"/>
  <c r="VK76" i="7"/>
  <c r="VJ76" i="7"/>
  <c r="VF76" i="7"/>
  <c r="VE76" i="7"/>
  <c r="VA76" i="7"/>
  <c r="UZ76" i="7"/>
  <c r="UY76" i="7"/>
  <c r="UV76" i="7"/>
  <c r="UU76" i="7"/>
  <c r="UR76" i="7"/>
  <c r="US76" i="7" s="1"/>
  <c r="UN76" i="7"/>
  <c r="UM76" i="7"/>
  <c r="UH76" i="7"/>
  <c r="VQ76" i="7" s="1"/>
  <c r="VR76" i="7" s="1"/>
  <c r="UD76" i="7"/>
  <c r="UC76" i="7"/>
  <c r="VL76" i="7" s="1"/>
  <c r="VM76" i="7" s="1"/>
  <c r="TX76" i="7"/>
  <c r="TY76" i="7" s="1"/>
  <c r="TT76" i="7"/>
  <c r="TS76" i="7"/>
  <c r="TN76" i="7"/>
  <c r="TO76" i="7" s="1"/>
  <c r="TJ76" i="7"/>
  <c r="TI76" i="7"/>
  <c r="TD76" i="7"/>
  <c r="VG76" i="7" s="1"/>
  <c r="VH76" i="7" s="1"/>
  <c r="SZ76" i="7"/>
  <c r="SY76" i="7"/>
  <c r="ST76" i="7"/>
  <c r="SU76" i="7" s="1"/>
  <c r="SP76" i="7"/>
  <c r="SO76" i="7"/>
  <c r="VB76" i="7" s="1"/>
  <c r="VC76" i="7" s="1"/>
  <c r="SH76" i="7"/>
  <c r="SG76" i="7"/>
  <c r="SC76" i="7"/>
  <c r="SB76" i="7"/>
  <c r="RX76" i="7"/>
  <c r="RW76" i="7"/>
  <c r="RS76" i="7"/>
  <c r="RR76" i="7"/>
  <c r="RQ76" i="7"/>
  <c r="RN76" i="7"/>
  <c r="RM76" i="7"/>
  <c r="RJ76" i="7"/>
  <c r="RK76" i="7" s="1"/>
  <c r="RF76" i="7"/>
  <c r="RE76" i="7"/>
  <c r="QZ76" i="7"/>
  <c r="SI76" i="7" s="1"/>
  <c r="SJ76" i="7" s="1"/>
  <c r="QV76" i="7"/>
  <c r="QU76" i="7"/>
  <c r="QP76" i="7"/>
  <c r="SD76" i="7" s="1"/>
  <c r="SE76" i="7" s="1"/>
  <c r="QL76" i="7"/>
  <c r="QK76" i="7"/>
  <c r="QF76" i="7"/>
  <c r="QG76" i="7" s="1"/>
  <c r="QB76" i="7"/>
  <c r="QA76" i="7"/>
  <c r="PV76" i="7"/>
  <c r="RY76" i="7" s="1"/>
  <c r="RZ76" i="7" s="1"/>
  <c r="PR76" i="7"/>
  <c r="PQ76" i="7"/>
  <c r="PL76" i="7"/>
  <c r="RT76" i="7" s="1"/>
  <c r="RU76" i="7" s="1"/>
  <c r="PH76" i="7"/>
  <c r="PG76" i="7"/>
  <c r="PA76" i="7"/>
  <c r="PB76" i="7" s="1"/>
  <c r="OZ76" i="7"/>
  <c r="OY76" i="7"/>
  <c r="OV76" i="7"/>
  <c r="OW76" i="7" s="1"/>
  <c r="OU76" i="7"/>
  <c r="OT76" i="7"/>
  <c r="OS76" i="7"/>
  <c r="OP76" i="7"/>
  <c r="OO76" i="7"/>
  <c r="ON76" i="7"/>
  <c r="OK76" i="7"/>
  <c r="OJ76" i="7"/>
  <c r="OI76" i="7"/>
  <c r="OF76" i="7"/>
  <c r="OE76" i="7"/>
  <c r="OB76" i="7"/>
  <c r="OC76" i="7" s="1"/>
  <c r="NX76" i="7"/>
  <c r="NW76" i="7"/>
  <c r="NR76" i="7"/>
  <c r="NS76" i="7" s="1"/>
  <c r="NN76" i="7"/>
  <c r="NM76" i="7"/>
  <c r="NH76" i="7"/>
  <c r="NI76" i="7" s="1"/>
  <c r="ND76" i="7"/>
  <c r="NC76" i="7"/>
  <c r="MX76" i="7"/>
  <c r="MY76" i="7" s="1"/>
  <c r="MT76" i="7"/>
  <c r="MS76" i="7"/>
  <c r="MN76" i="7"/>
  <c r="MO76" i="7" s="1"/>
  <c r="MJ76" i="7"/>
  <c r="MI76" i="7"/>
  <c r="MD76" i="7"/>
  <c r="ME76" i="7" s="1"/>
  <c r="LZ76" i="7"/>
  <c r="LY76" i="7"/>
  <c r="OL76" i="7" s="1"/>
  <c r="OM76" i="7" s="1"/>
  <c r="LR76" i="7"/>
  <c r="LQ76" i="7"/>
  <c r="LM76" i="7"/>
  <c r="LJ76" i="7"/>
  <c r="LI76" i="7"/>
  <c r="LF76" i="7"/>
  <c r="LE76" i="7"/>
  <c r="LA76" i="7"/>
  <c r="KX76" i="7"/>
  <c r="KY76" i="7" s="1"/>
  <c r="KT76" i="7"/>
  <c r="KS76" i="7"/>
  <c r="KN76" i="7"/>
  <c r="KO76" i="7" s="1"/>
  <c r="KJ76" i="7"/>
  <c r="KI76" i="7"/>
  <c r="KC76" i="7"/>
  <c r="KC167" i="7" s="1"/>
  <c r="JZ76" i="7"/>
  <c r="JY76" i="7"/>
  <c r="JT76" i="7"/>
  <c r="JU76" i="7" s="1"/>
  <c r="JP76" i="7"/>
  <c r="JO76" i="7"/>
  <c r="JJ76" i="7"/>
  <c r="LK76" i="7" s="1"/>
  <c r="LL76" i="7" s="1"/>
  <c r="JF76" i="7"/>
  <c r="JE76" i="7"/>
  <c r="IZ76" i="7"/>
  <c r="LG76" i="7" s="1"/>
  <c r="LH76" i="7" s="1"/>
  <c r="IV76" i="7"/>
  <c r="IU76" i="7"/>
  <c r="IO76" i="7"/>
  <c r="IP76" i="7" s="1"/>
  <c r="IN76" i="7"/>
  <c r="IM76" i="7"/>
  <c r="HX76" i="7"/>
  <c r="HW76" i="7"/>
  <c r="HV76" i="7"/>
  <c r="HT76" i="7"/>
  <c r="HP76" i="7"/>
  <c r="HO76" i="7"/>
  <c r="HJ76" i="7"/>
  <c r="HK76" i="7" s="1"/>
  <c r="HF76" i="7"/>
  <c r="HE76" i="7"/>
  <c r="EU76" i="7"/>
  <c r="EV76" i="7" s="1"/>
  <c r="ET76" i="7"/>
  <c r="ES76" i="7"/>
  <c r="ER76" i="7"/>
  <c r="VP75" i="7"/>
  <c r="VO75" i="7"/>
  <c r="VL75" i="7"/>
  <c r="VK75" i="7"/>
  <c r="VJ75" i="7"/>
  <c r="VF75" i="7"/>
  <c r="VE75" i="7"/>
  <c r="VA75" i="7"/>
  <c r="UZ75" i="7"/>
  <c r="UY75" i="7"/>
  <c r="UV75" i="7"/>
  <c r="UU75" i="7"/>
  <c r="US75" i="7"/>
  <c r="UR75" i="7"/>
  <c r="UM75" i="7"/>
  <c r="UN75" i="7" s="1"/>
  <c r="UH75" i="7"/>
  <c r="VQ75" i="7" s="1"/>
  <c r="UC75" i="7"/>
  <c r="TX75" i="7"/>
  <c r="TS75" i="7"/>
  <c r="TN75" i="7"/>
  <c r="VG75" i="7" s="1"/>
  <c r="TI75" i="7"/>
  <c r="TD75" i="7"/>
  <c r="SY75" i="7"/>
  <c r="ST75" i="7"/>
  <c r="VB75" i="7" s="1"/>
  <c r="VC75" i="7" s="1"/>
  <c r="SO75" i="7"/>
  <c r="SP75" i="7" s="1"/>
  <c r="SI75" i="7"/>
  <c r="SJ75" i="7" s="1"/>
  <c r="SH75" i="7"/>
  <c r="SG75" i="7"/>
  <c r="SD75" i="7"/>
  <c r="SE75" i="7" s="1"/>
  <c r="SC75" i="7"/>
  <c r="SB75" i="7"/>
  <c r="RX75" i="7"/>
  <c r="RT75" i="7"/>
  <c r="RU75" i="7" s="1"/>
  <c r="RS75" i="7"/>
  <c r="RR75" i="7"/>
  <c r="RQ75" i="7"/>
  <c r="RN75" i="7"/>
  <c r="RM75" i="7"/>
  <c r="RK75" i="7"/>
  <c r="RJ75" i="7"/>
  <c r="RE75" i="7"/>
  <c r="RF75" i="7" s="1"/>
  <c r="RA75" i="7"/>
  <c r="QZ75" i="7"/>
  <c r="QU75" i="7"/>
  <c r="QV75" i="7" s="1"/>
  <c r="QQ75" i="7"/>
  <c r="QP75" i="7"/>
  <c r="QK75" i="7"/>
  <c r="QL75" i="7" s="1"/>
  <c r="QD75" i="7"/>
  <c r="QD127" i="7" s="1"/>
  <c r="QD167" i="7" s="1"/>
  <c r="QA75" i="7"/>
  <c r="QB75" i="7" s="1"/>
  <c r="PY75" i="7"/>
  <c r="PY127" i="7" s="1"/>
  <c r="PV75" i="7"/>
  <c r="PW75" i="7" s="1"/>
  <c r="PR75" i="7"/>
  <c r="PQ75" i="7"/>
  <c r="PL75" i="7"/>
  <c r="PM75" i="7" s="1"/>
  <c r="PH75" i="7"/>
  <c r="PG75" i="7"/>
  <c r="OZ75" i="7"/>
  <c r="OY75" i="7"/>
  <c r="OU75" i="7"/>
  <c r="OU127" i="7" s="1"/>
  <c r="OU167" i="7" s="1"/>
  <c r="OT75" i="7"/>
  <c r="OS75" i="7"/>
  <c r="OP75" i="7"/>
  <c r="OO75" i="7"/>
  <c r="ON75" i="7"/>
  <c r="OK75" i="7"/>
  <c r="OJ75" i="7"/>
  <c r="OI75" i="7"/>
  <c r="OB75" i="7"/>
  <c r="OG75" i="7" s="1"/>
  <c r="OH75" i="7" s="1"/>
  <c r="NW75" i="7"/>
  <c r="NX75" i="7" s="1"/>
  <c r="NR75" i="7"/>
  <c r="PA75" i="7" s="1"/>
  <c r="PB75" i="7" s="1"/>
  <c r="NM75" i="7"/>
  <c r="NM127" i="7" s="1"/>
  <c r="NH75" i="7"/>
  <c r="NH127" i="7" s="1"/>
  <c r="NC75" i="7"/>
  <c r="NC127" i="7" s="1"/>
  <c r="MX75" i="7"/>
  <c r="MX127" i="7" s="1"/>
  <c r="MS75" i="7"/>
  <c r="MS127" i="7" s="1"/>
  <c r="MN75" i="7"/>
  <c r="MN127" i="7" s="1"/>
  <c r="MI75" i="7"/>
  <c r="MI127" i="7" s="1"/>
  <c r="MD75" i="7"/>
  <c r="LY75" i="7"/>
  <c r="LY127" i="7" s="1"/>
  <c r="LR75" i="7"/>
  <c r="LQ75" i="7"/>
  <c r="LN75" i="7"/>
  <c r="LM75" i="7"/>
  <c r="LJ75" i="7"/>
  <c r="LI75" i="7"/>
  <c r="LF75" i="7"/>
  <c r="LE75" i="7"/>
  <c r="LB75" i="7"/>
  <c r="KX75" i="7"/>
  <c r="KS75" i="7"/>
  <c r="KS127" i="7" s="1"/>
  <c r="KN75" i="7"/>
  <c r="KN127" i="7" s="1"/>
  <c r="KG75" i="7"/>
  <c r="KG167" i="7" s="1"/>
  <c r="KD75" i="7"/>
  <c r="KE75" i="7" s="1"/>
  <c r="JY75" i="7"/>
  <c r="JZ75" i="7" s="1"/>
  <c r="JT75" i="7"/>
  <c r="JU75" i="7" s="1"/>
  <c r="JO75" i="7"/>
  <c r="JP75" i="7" s="1"/>
  <c r="JJ75" i="7"/>
  <c r="JK75" i="7" s="1"/>
  <c r="JE75" i="7"/>
  <c r="JF75" i="7" s="1"/>
  <c r="IZ75" i="7"/>
  <c r="JA75" i="7" s="1"/>
  <c r="IU75" i="7"/>
  <c r="IV75" i="7" s="1"/>
  <c r="IN75" i="7"/>
  <c r="IM75" i="7"/>
  <c r="IJ75" i="7"/>
  <c r="II75" i="7"/>
  <c r="IF75" i="7"/>
  <c r="IE75" i="7"/>
  <c r="IB75" i="7"/>
  <c r="IA75" i="7"/>
  <c r="HX75" i="7"/>
  <c r="HV75" i="7"/>
  <c r="HT75" i="7"/>
  <c r="HU75" i="7" s="1"/>
  <c r="HO75" i="7"/>
  <c r="HP75" i="7" s="1"/>
  <c r="HJ75" i="7"/>
  <c r="HK75" i="7" s="1"/>
  <c r="HE75" i="7"/>
  <c r="HF75" i="7" s="1"/>
  <c r="GZ75" i="7"/>
  <c r="HA75" i="7" s="1"/>
  <c r="GU75" i="7"/>
  <c r="GV75" i="7" s="1"/>
  <c r="GP75" i="7"/>
  <c r="GQ75" i="7" s="1"/>
  <c r="GI75" i="7"/>
  <c r="GK75" i="7" s="1"/>
  <c r="GG75" i="7"/>
  <c r="GF75" i="7"/>
  <c r="FY75" i="7"/>
  <c r="GA75" i="7" s="1"/>
  <c r="GB75" i="7" s="1"/>
  <c r="FV75" i="7"/>
  <c r="FW75" i="7" s="1"/>
  <c r="FQ75" i="7"/>
  <c r="HY75" i="7" s="1"/>
  <c r="FK75" i="7"/>
  <c r="FI75" i="7"/>
  <c r="FF75" i="7"/>
  <c r="FE75" i="7"/>
  <c r="FB75" i="7"/>
  <c r="FA75" i="7"/>
  <c r="EW75" i="7"/>
  <c r="ER75" i="7"/>
  <c r="EP75" i="7"/>
  <c r="EQ75" i="7" s="1"/>
  <c r="EL75" i="7"/>
  <c r="EK75" i="7"/>
  <c r="ED75" i="7"/>
  <c r="ED232" i="7" s="1"/>
  <c r="EA75" i="7"/>
  <c r="EB75" i="7" s="1"/>
  <c r="DV75" i="7"/>
  <c r="DW75" i="7" s="1"/>
  <c r="DQ75" i="7"/>
  <c r="FG75" i="7" s="1"/>
  <c r="FH75" i="7" s="1"/>
  <c r="DL75" i="7"/>
  <c r="FC75" i="7" s="1"/>
  <c r="FD75" i="7" s="1"/>
  <c r="DG75" i="7"/>
  <c r="DH75" i="7" s="1"/>
  <c r="DB75" i="7"/>
  <c r="DC75" i="7" s="1"/>
  <c r="CV75" i="7"/>
  <c r="CV232" i="7" s="1"/>
  <c r="CU75" i="7"/>
  <c r="ES75" i="7" s="1"/>
  <c r="CR75" i="7"/>
  <c r="CS75" i="7" s="1"/>
  <c r="CM75" i="7"/>
  <c r="CG75" i="7"/>
  <c r="CF75" i="7"/>
  <c r="CC75" i="7"/>
  <c r="CB75" i="7"/>
  <c r="BX75" i="7"/>
  <c r="BU75" i="7"/>
  <c r="BT75" i="7"/>
  <c r="BP75" i="7"/>
  <c r="BN75" i="7"/>
  <c r="BO75" i="7" s="1"/>
  <c r="BI75" i="7"/>
  <c r="BJ75" i="7" s="1"/>
  <c r="BD75" i="7"/>
  <c r="BE75" i="7" s="1"/>
  <c r="AY75" i="7"/>
  <c r="AZ75" i="7" s="1"/>
  <c r="AT75" i="7"/>
  <c r="AU75" i="7" s="1"/>
  <c r="AO75" i="7"/>
  <c r="AP75" i="7" s="1"/>
  <c r="AI75" i="7"/>
  <c r="AI232" i="7" s="1"/>
  <c r="AE75" i="7"/>
  <c r="AF75" i="7" s="1"/>
  <c r="AA75" i="7"/>
  <c r="AA232" i="7" s="1"/>
  <c r="Z75" i="7"/>
  <c r="S75" i="7"/>
  <c r="S232" i="7" s="1"/>
  <c r="P75" i="7"/>
  <c r="Q75" i="7" s="1"/>
  <c r="Q232" i="7" s="1"/>
  <c r="K75" i="7"/>
  <c r="L75" i="7" s="1"/>
  <c r="L232" i="7" s="1"/>
  <c r="I75" i="7"/>
  <c r="I232" i="7" s="1"/>
  <c r="VP74" i="7"/>
  <c r="VO74" i="7"/>
  <c r="VK74" i="7"/>
  <c r="VJ74" i="7"/>
  <c r="VF74" i="7"/>
  <c r="VE74" i="7"/>
  <c r="VA74" i="7"/>
  <c r="UZ74" i="7"/>
  <c r="UY74" i="7"/>
  <c r="UV74" i="7"/>
  <c r="UU74" i="7"/>
  <c r="UR74" i="7"/>
  <c r="US74" i="7" s="1"/>
  <c r="UN74" i="7"/>
  <c r="UM74" i="7"/>
  <c r="UH74" i="7"/>
  <c r="VQ74" i="7" s="1"/>
  <c r="VR74" i="7" s="1"/>
  <c r="UD74" i="7"/>
  <c r="UC74" i="7"/>
  <c r="TX74" i="7"/>
  <c r="VL74" i="7" s="1"/>
  <c r="VM74" i="7" s="1"/>
  <c r="TS74" i="7"/>
  <c r="TN74" i="7"/>
  <c r="TD74" i="7"/>
  <c r="TE74" i="7" s="1"/>
  <c r="SZ74" i="7"/>
  <c r="SY74" i="7"/>
  <c r="ST74" i="7"/>
  <c r="SU74" i="7" s="1"/>
  <c r="SP74" i="7"/>
  <c r="SO74" i="7"/>
  <c r="SH74" i="7"/>
  <c r="SG74" i="7"/>
  <c r="SC74" i="7"/>
  <c r="SB74" i="7"/>
  <c r="RX74" i="7"/>
  <c r="RW74" i="7"/>
  <c r="RS74" i="7"/>
  <c r="RR74" i="7"/>
  <c r="RQ74" i="7"/>
  <c r="RN74" i="7"/>
  <c r="RM74" i="7"/>
  <c r="RJ74" i="7"/>
  <c r="RK74" i="7" s="1"/>
  <c r="RF74" i="7"/>
  <c r="RE74" i="7"/>
  <c r="QZ74" i="7"/>
  <c r="SI74" i="7" s="1"/>
  <c r="SJ74" i="7" s="1"/>
  <c r="QV74" i="7"/>
  <c r="QU74" i="7"/>
  <c r="QP74" i="7"/>
  <c r="SD74" i="7" s="1"/>
  <c r="SE74" i="7" s="1"/>
  <c r="QL74" i="7"/>
  <c r="QK74" i="7"/>
  <c r="QF74" i="7"/>
  <c r="QG74" i="7" s="1"/>
  <c r="QB74" i="7"/>
  <c r="QA74" i="7"/>
  <c r="PV74" i="7"/>
  <c r="RY74" i="7" s="1"/>
  <c r="RZ74" i="7" s="1"/>
  <c r="PR74" i="7"/>
  <c r="PQ74" i="7"/>
  <c r="PL74" i="7"/>
  <c r="RT74" i="7" s="1"/>
  <c r="RU74" i="7" s="1"/>
  <c r="PH74" i="7"/>
  <c r="PG74" i="7"/>
  <c r="PA74" i="7"/>
  <c r="PB74" i="7" s="1"/>
  <c r="OZ74" i="7"/>
  <c r="OY74" i="7"/>
  <c r="OV74" i="7"/>
  <c r="OW74" i="7" s="1"/>
  <c r="OU74" i="7"/>
  <c r="OT74" i="7"/>
  <c r="OS74" i="7"/>
  <c r="OP74" i="7"/>
  <c r="OO74" i="7"/>
  <c r="ON74" i="7"/>
  <c r="OK74" i="7"/>
  <c r="OJ74" i="7"/>
  <c r="OI74" i="7"/>
  <c r="OF74" i="7"/>
  <c r="OE74" i="7"/>
  <c r="OB74" i="7"/>
  <c r="OC74" i="7" s="1"/>
  <c r="NX74" i="7"/>
  <c r="NW74" i="7"/>
  <c r="NR74" i="7"/>
  <c r="NS74" i="7" s="1"/>
  <c r="NN74" i="7"/>
  <c r="NM74" i="7"/>
  <c r="NH74" i="7"/>
  <c r="NI74" i="7" s="1"/>
  <c r="ND74" i="7"/>
  <c r="NC74" i="7"/>
  <c r="MX74" i="7"/>
  <c r="MY74" i="7" s="1"/>
  <c r="MT74" i="7"/>
  <c r="MS74" i="7"/>
  <c r="MN74" i="7"/>
  <c r="MO74" i="7" s="1"/>
  <c r="MJ74" i="7"/>
  <c r="MI74" i="7"/>
  <c r="MD74" i="7"/>
  <c r="ME74" i="7" s="1"/>
  <c r="LZ74" i="7"/>
  <c r="LY74" i="7"/>
  <c r="OL74" i="7" s="1"/>
  <c r="OM74" i="7" s="1"/>
  <c r="LR74" i="7"/>
  <c r="LQ74" i="7"/>
  <c r="LN74" i="7"/>
  <c r="LM74" i="7"/>
  <c r="LJ74" i="7"/>
  <c r="LI74" i="7"/>
  <c r="LF74" i="7"/>
  <c r="LE74" i="7"/>
  <c r="LB74" i="7"/>
  <c r="LA74" i="7"/>
  <c r="KX74" i="7"/>
  <c r="KY74" i="7" s="1"/>
  <c r="KT74" i="7"/>
  <c r="KS74" i="7"/>
  <c r="KN74" i="7"/>
  <c r="KO74" i="7" s="1"/>
  <c r="KJ74" i="7"/>
  <c r="KI74" i="7"/>
  <c r="KD74" i="7"/>
  <c r="KE74" i="7" s="1"/>
  <c r="JZ74" i="7"/>
  <c r="JY74" i="7"/>
  <c r="JT74" i="7"/>
  <c r="JU74" i="7" s="1"/>
  <c r="JP74" i="7"/>
  <c r="JO74" i="7"/>
  <c r="JJ74" i="7"/>
  <c r="JK74" i="7" s="1"/>
  <c r="JF74" i="7"/>
  <c r="JE74" i="7"/>
  <c r="IZ74" i="7"/>
  <c r="JA74" i="7" s="1"/>
  <c r="IV74" i="7"/>
  <c r="IU74" i="7"/>
  <c r="IN74" i="7"/>
  <c r="IM74" i="7"/>
  <c r="IJ74" i="7"/>
  <c r="II74" i="7"/>
  <c r="IF74" i="7"/>
  <c r="IE74" i="7"/>
  <c r="IB74" i="7"/>
  <c r="IA74" i="7"/>
  <c r="HX74" i="7"/>
  <c r="HW74" i="7"/>
  <c r="HV74" i="7"/>
  <c r="HU74" i="7"/>
  <c r="HT74" i="7"/>
  <c r="HO74" i="7"/>
  <c r="IO74" i="7" s="1"/>
  <c r="IP74" i="7" s="1"/>
  <c r="HK74" i="7"/>
  <c r="HJ74" i="7"/>
  <c r="HE74" i="7"/>
  <c r="HF74" i="7" s="1"/>
  <c r="HA74" i="7"/>
  <c r="GZ74" i="7"/>
  <c r="GU74" i="7"/>
  <c r="IK74" i="7" s="1"/>
  <c r="IL74" i="7" s="1"/>
  <c r="GQ74" i="7"/>
  <c r="GP74" i="7"/>
  <c r="GK74" i="7"/>
  <c r="IG74" i="7" s="1"/>
  <c r="IH74" i="7" s="1"/>
  <c r="GB74" i="7"/>
  <c r="GA74" i="7"/>
  <c r="IC74" i="7" s="1"/>
  <c r="EU74" i="7"/>
  <c r="EV74" i="7" s="1"/>
  <c r="ET74" i="7"/>
  <c r="ES74" i="7"/>
  <c r="ER74" i="7"/>
  <c r="VP72" i="7"/>
  <c r="VO72" i="7"/>
  <c r="VK72" i="7"/>
  <c r="VJ72" i="7"/>
  <c r="VF72" i="7"/>
  <c r="VE72" i="7"/>
  <c r="VA72" i="7"/>
  <c r="UZ72" i="7"/>
  <c r="UY72" i="7"/>
  <c r="UV72" i="7"/>
  <c r="UU72" i="7"/>
  <c r="UR72" i="7"/>
  <c r="UW72" i="7" s="1"/>
  <c r="UM72" i="7"/>
  <c r="UH72" i="7"/>
  <c r="UI72" i="7" s="1"/>
  <c r="UC72" i="7"/>
  <c r="VL72" i="7" s="1"/>
  <c r="VM72" i="7" s="1"/>
  <c r="TX72" i="7"/>
  <c r="TS72" i="7"/>
  <c r="TN72" i="7"/>
  <c r="VG72" i="7" s="1"/>
  <c r="VH72" i="7" s="1"/>
  <c r="ST72" i="7"/>
  <c r="SO72" i="7"/>
  <c r="VB72" i="7" s="1"/>
  <c r="VC72" i="7" s="1"/>
  <c r="SH72" i="7"/>
  <c r="SG72" i="7"/>
  <c r="SC72" i="7"/>
  <c r="SB72" i="7"/>
  <c r="RY72" i="7"/>
  <c r="RZ72" i="7" s="1"/>
  <c r="RX72" i="7"/>
  <c r="RW72" i="7"/>
  <c r="RN72" i="7"/>
  <c r="RM72" i="7"/>
  <c r="RJ72" i="7"/>
  <c r="RE72" i="7"/>
  <c r="SI72" i="7" s="1"/>
  <c r="SJ72" i="7" s="1"/>
  <c r="RA72" i="7"/>
  <c r="QZ72" i="7"/>
  <c r="QU72" i="7"/>
  <c r="QV72" i="7" s="1"/>
  <c r="QQ72" i="7"/>
  <c r="QP72" i="7"/>
  <c r="QK72" i="7"/>
  <c r="QL72" i="7" s="1"/>
  <c r="QG72" i="7"/>
  <c r="QF72" i="7"/>
  <c r="VP71" i="7"/>
  <c r="VO71" i="7"/>
  <c r="VK71" i="7"/>
  <c r="VJ71" i="7"/>
  <c r="VG71" i="7"/>
  <c r="VF71" i="7"/>
  <c r="VE71" i="7"/>
  <c r="VB71" i="7"/>
  <c r="VC71" i="7" s="1"/>
  <c r="VA71" i="7"/>
  <c r="UZ71" i="7"/>
  <c r="UY71" i="7"/>
  <c r="UV71" i="7"/>
  <c r="UU71" i="7"/>
  <c r="UR71" i="7"/>
  <c r="UM71" i="7"/>
  <c r="UH71" i="7"/>
  <c r="UC71" i="7"/>
  <c r="TX71" i="7"/>
  <c r="TS71" i="7"/>
  <c r="TD71" i="7"/>
  <c r="SY71" i="7"/>
  <c r="SZ71" i="7" s="1"/>
  <c r="SU71" i="7"/>
  <c r="ST71" i="7"/>
  <c r="SO71" i="7"/>
  <c r="SH71" i="7"/>
  <c r="SG71" i="7"/>
  <c r="SC71" i="7"/>
  <c r="SB71" i="7"/>
  <c r="RX71" i="7"/>
  <c r="RW71" i="7"/>
  <c r="RU71" i="7"/>
  <c r="RS71" i="7"/>
  <c r="RR71" i="7"/>
  <c r="RQ71" i="7"/>
  <c r="RN71" i="7"/>
  <c r="RM71" i="7"/>
  <c r="RJ71" i="7"/>
  <c r="RE71" i="7"/>
  <c r="QZ71" i="7"/>
  <c r="SI71" i="7" s="1"/>
  <c r="QU71" i="7"/>
  <c r="SD71" i="7" s="1"/>
  <c r="QP71" i="7"/>
  <c r="QK71" i="7"/>
  <c r="PV71" i="7"/>
  <c r="RY71" i="7" s="1"/>
  <c r="PR71" i="7"/>
  <c r="PQ71" i="7"/>
  <c r="PL71" i="7"/>
  <c r="PM71" i="7" s="1"/>
  <c r="PH71" i="7"/>
  <c r="PG71" i="7"/>
  <c r="RT71" i="7" s="1"/>
  <c r="OZ71" i="7"/>
  <c r="OY71" i="7"/>
  <c r="OS71" i="7"/>
  <c r="OL71" i="7"/>
  <c r="OK71" i="7"/>
  <c r="OJ71" i="7"/>
  <c r="OI71" i="7"/>
  <c r="OF71" i="7"/>
  <c r="OE71" i="7"/>
  <c r="OB71" i="7"/>
  <c r="OC71" i="7" s="1"/>
  <c r="NX71" i="7"/>
  <c r="NR71" i="7"/>
  <c r="NS71" i="7" s="1"/>
  <c r="HY71" i="7"/>
  <c r="HX71" i="7"/>
  <c r="HW71" i="7"/>
  <c r="HV71" i="7"/>
  <c r="EV71" i="7"/>
  <c r="EU71" i="7"/>
  <c r="ET71" i="7"/>
  <c r="ES71" i="7"/>
  <c r="ER71" i="7"/>
  <c r="VP70" i="7"/>
  <c r="VO70" i="7"/>
  <c r="VL70" i="7"/>
  <c r="VK70" i="7"/>
  <c r="VJ70" i="7"/>
  <c r="VG70" i="7"/>
  <c r="VF70" i="7"/>
  <c r="VE70" i="7"/>
  <c r="VA70" i="7"/>
  <c r="UZ70" i="7"/>
  <c r="UY70" i="7"/>
  <c r="UV70" i="7"/>
  <c r="UU70" i="7"/>
  <c r="UR70" i="7"/>
  <c r="UM70" i="7"/>
  <c r="UH70" i="7"/>
  <c r="VQ70" i="7" s="1"/>
  <c r="UC70" i="7"/>
  <c r="SY70" i="7"/>
  <c r="ST70" i="7"/>
  <c r="SO70" i="7"/>
  <c r="VB70" i="7" s="1"/>
  <c r="VC70" i="7" s="1"/>
  <c r="SH70" i="7"/>
  <c r="SG70" i="7"/>
  <c r="SD70" i="7"/>
  <c r="SC70" i="7"/>
  <c r="SB70" i="7"/>
  <c r="RY70" i="7"/>
  <c r="RX70" i="7"/>
  <c r="RW70" i="7"/>
  <c r="RS70" i="7"/>
  <c r="RR70" i="7"/>
  <c r="RQ70" i="7"/>
  <c r="RN70" i="7"/>
  <c r="RM70" i="7"/>
  <c r="RJ70" i="7"/>
  <c r="RE70" i="7"/>
  <c r="RO70" i="7" s="1"/>
  <c r="RP70" i="7" s="1"/>
  <c r="QZ70" i="7"/>
  <c r="QU70" i="7"/>
  <c r="PQ70" i="7"/>
  <c r="PL70" i="7"/>
  <c r="RT70" i="7" s="1"/>
  <c r="RU70" i="7" s="1"/>
  <c r="PH70" i="7"/>
  <c r="PG70" i="7"/>
  <c r="OZ70" i="7"/>
  <c r="OY70" i="7"/>
  <c r="OU70" i="7"/>
  <c r="OT70" i="7"/>
  <c r="OS70" i="7"/>
  <c r="OP70" i="7"/>
  <c r="OO70" i="7"/>
  <c r="ON70" i="7"/>
  <c r="OL70" i="7"/>
  <c r="OK70" i="7"/>
  <c r="OJ70" i="7"/>
  <c r="OI70" i="7"/>
  <c r="OF70" i="7"/>
  <c r="OE70" i="7"/>
  <c r="OB70" i="7"/>
  <c r="OG70" i="7" s="1"/>
  <c r="OH70" i="7" s="1"/>
  <c r="NW70" i="7"/>
  <c r="NX70" i="7" s="1"/>
  <c r="NR70" i="7"/>
  <c r="NS70" i="7" s="1"/>
  <c r="NM70" i="7"/>
  <c r="NN70" i="7" s="1"/>
  <c r="NH70" i="7"/>
  <c r="NI70" i="7" s="1"/>
  <c r="NC70" i="7"/>
  <c r="ND70" i="7" s="1"/>
  <c r="MX70" i="7"/>
  <c r="MY70" i="7" s="1"/>
  <c r="MS70" i="7"/>
  <c r="MT70" i="7" s="1"/>
  <c r="MN70" i="7"/>
  <c r="OQ70" i="7" s="1"/>
  <c r="OR70" i="7" s="1"/>
  <c r="LQ70" i="7"/>
  <c r="LC70" i="7"/>
  <c r="LB70" i="7"/>
  <c r="LA70" i="7"/>
  <c r="KZ70" i="7"/>
  <c r="HY70" i="7"/>
  <c r="HX70" i="7"/>
  <c r="HW70" i="7"/>
  <c r="HV70" i="7"/>
  <c r="EV70" i="7"/>
  <c r="EU70" i="7"/>
  <c r="ET70" i="7"/>
  <c r="ES70" i="7"/>
  <c r="ER70" i="7"/>
  <c r="VP69" i="7"/>
  <c r="VO69" i="7"/>
  <c r="VL69" i="7"/>
  <c r="VK69" i="7"/>
  <c r="VJ69" i="7"/>
  <c r="VF69" i="7"/>
  <c r="VE69" i="7"/>
  <c r="VA69" i="7"/>
  <c r="UZ69" i="7"/>
  <c r="UY69" i="7"/>
  <c r="UV69" i="7"/>
  <c r="UU69" i="7"/>
  <c r="UR69" i="7"/>
  <c r="UM69" i="7"/>
  <c r="UH69" i="7"/>
  <c r="VQ69" i="7" s="1"/>
  <c r="UC69" i="7"/>
  <c r="TS69" i="7"/>
  <c r="TD69" i="7"/>
  <c r="VG69" i="7" s="1"/>
  <c r="SZ69" i="7"/>
  <c r="SY69" i="7"/>
  <c r="ST69" i="7"/>
  <c r="SU69" i="7" s="1"/>
  <c r="SO69" i="7"/>
  <c r="VB69" i="7" s="1"/>
  <c r="VC69" i="7" s="1"/>
  <c r="SH69" i="7"/>
  <c r="SG69" i="7"/>
  <c r="SD69" i="7"/>
  <c r="SC69" i="7"/>
  <c r="SB69" i="7"/>
  <c r="RX69" i="7"/>
  <c r="RW69" i="7"/>
  <c r="RS69" i="7"/>
  <c r="RR69" i="7"/>
  <c r="RQ69" i="7"/>
  <c r="RN69" i="7"/>
  <c r="RM69" i="7"/>
  <c r="RJ69" i="7"/>
  <c r="RE69" i="7"/>
  <c r="RO69" i="7" s="1"/>
  <c r="RP69" i="7" s="1"/>
  <c r="QZ69" i="7"/>
  <c r="SI69" i="7" s="1"/>
  <c r="QU69" i="7"/>
  <c r="QK69" i="7"/>
  <c r="PV69" i="7"/>
  <c r="RY69" i="7" s="1"/>
  <c r="PR69" i="7"/>
  <c r="PQ69" i="7"/>
  <c r="PL69" i="7"/>
  <c r="PH69" i="7"/>
  <c r="PG69" i="7"/>
  <c r="PA69" i="7"/>
  <c r="PB69" i="7" s="1"/>
  <c r="OZ69" i="7"/>
  <c r="OY69" i="7"/>
  <c r="OV69" i="7"/>
  <c r="OW69" i="7" s="1"/>
  <c r="OU69" i="7"/>
  <c r="OT69" i="7"/>
  <c r="OS69" i="7"/>
  <c r="OP69" i="7"/>
  <c r="OO69" i="7"/>
  <c r="ON69" i="7"/>
  <c r="OL69" i="7"/>
  <c r="OK69" i="7"/>
  <c r="OJ69" i="7"/>
  <c r="OI69" i="7"/>
  <c r="OF69" i="7"/>
  <c r="OE69" i="7"/>
  <c r="OB69" i="7"/>
  <c r="NW69" i="7"/>
  <c r="NX69" i="7" s="1"/>
  <c r="NR69" i="7"/>
  <c r="NS69" i="7" s="1"/>
  <c r="NM69" i="7"/>
  <c r="NN69" i="7" s="1"/>
  <c r="NH69" i="7"/>
  <c r="NI69" i="7" s="1"/>
  <c r="NC69" i="7"/>
  <c r="ND69" i="7" s="1"/>
  <c r="MX69" i="7"/>
  <c r="MY69" i="7" s="1"/>
  <c r="MS69" i="7"/>
  <c r="HY69" i="7"/>
  <c r="HX69" i="7"/>
  <c r="HW69" i="7"/>
  <c r="HV69" i="7"/>
  <c r="EU69" i="7"/>
  <c r="EV69" i="7" s="1"/>
  <c r="ET69" i="7"/>
  <c r="ES69" i="7"/>
  <c r="ER69" i="7"/>
  <c r="VP68" i="7"/>
  <c r="VO68" i="7"/>
  <c r="VK68" i="7"/>
  <c r="VJ68" i="7"/>
  <c r="VF68" i="7"/>
  <c r="VE68" i="7"/>
  <c r="VA68" i="7"/>
  <c r="UZ68" i="7"/>
  <c r="UY68" i="7"/>
  <c r="UV68" i="7"/>
  <c r="UU68" i="7"/>
  <c r="UR68" i="7"/>
  <c r="US68" i="7" s="1"/>
  <c r="UN68" i="7"/>
  <c r="UM68" i="7"/>
  <c r="UH68" i="7"/>
  <c r="UI68" i="7" s="1"/>
  <c r="UC68" i="7"/>
  <c r="TY68" i="7"/>
  <c r="TX68" i="7"/>
  <c r="TS68" i="7"/>
  <c r="TT68" i="7" s="1"/>
  <c r="TO68" i="7"/>
  <c r="TN68" i="7"/>
  <c r="TI68" i="7"/>
  <c r="TE68" i="7"/>
  <c r="TD68" i="7"/>
  <c r="SY68" i="7"/>
  <c r="SZ68" i="7" s="1"/>
  <c r="SU68" i="7"/>
  <c r="ST68" i="7"/>
  <c r="SO68" i="7"/>
  <c r="VB68" i="7" s="1"/>
  <c r="SH68" i="7"/>
  <c r="SG68" i="7"/>
  <c r="SC68" i="7"/>
  <c r="SB68" i="7"/>
  <c r="RX68" i="7"/>
  <c r="RW68" i="7"/>
  <c r="RS68" i="7"/>
  <c r="RR68" i="7"/>
  <c r="RQ68" i="7"/>
  <c r="RN68" i="7"/>
  <c r="RM68" i="7"/>
  <c r="RK68" i="7"/>
  <c r="RJ68" i="7"/>
  <c r="RE68" i="7"/>
  <c r="RF68" i="7" s="1"/>
  <c r="RA68" i="7"/>
  <c r="QZ68" i="7"/>
  <c r="SI68" i="7" s="1"/>
  <c r="SJ68" i="7" s="1"/>
  <c r="QU68" i="7"/>
  <c r="QQ68" i="7"/>
  <c r="QP68" i="7"/>
  <c r="QK68" i="7"/>
  <c r="QL68" i="7" s="1"/>
  <c r="QG68" i="7"/>
  <c r="QF68" i="7"/>
  <c r="QA68" i="7"/>
  <c r="QB68" i="7" s="1"/>
  <c r="PW68" i="7"/>
  <c r="PV68" i="7"/>
  <c r="PQ68" i="7"/>
  <c r="PR68" i="7" s="1"/>
  <c r="PM68" i="7"/>
  <c r="PL68" i="7"/>
  <c r="PG68" i="7"/>
  <c r="OZ68" i="7"/>
  <c r="OY68" i="7"/>
  <c r="OU68" i="7"/>
  <c r="OT68" i="7"/>
  <c r="OS68" i="7"/>
  <c r="OP68" i="7"/>
  <c r="OO68" i="7"/>
  <c r="ON68" i="7"/>
  <c r="OL68" i="7"/>
  <c r="OM68" i="7" s="1"/>
  <c r="OK68" i="7"/>
  <c r="OJ68" i="7"/>
  <c r="OI68" i="7"/>
  <c r="OB68" i="7"/>
  <c r="OC68" i="7" s="1"/>
  <c r="NX68" i="7"/>
  <c r="NW68" i="7"/>
  <c r="NR68" i="7"/>
  <c r="PA68" i="7" s="1"/>
  <c r="PB68" i="7" s="1"/>
  <c r="NN68" i="7"/>
  <c r="NM68" i="7"/>
  <c r="OV68" i="7" s="1"/>
  <c r="OW68" i="7" s="1"/>
  <c r="NH68" i="7"/>
  <c r="NI68" i="7" s="1"/>
  <c r="ND68" i="7"/>
  <c r="NC68" i="7"/>
  <c r="MX68" i="7"/>
  <c r="MY68" i="7" s="1"/>
  <c r="MT68" i="7"/>
  <c r="MS68" i="7"/>
  <c r="MN68" i="7"/>
  <c r="MO68" i="7" s="1"/>
  <c r="MJ68" i="7"/>
  <c r="MI68" i="7"/>
  <c r="MD68" i="7"/>
  <c r="ME68" i="7" s="1"/>
  <c r="LZ68" i="7"/>
  <c r="LY68" i="7"/>
  <c r="LR68" i="7"/>
  <c r="LQ68" i="7"/>
  <c r="LN68" i="7"/>
  <c r="LM68" i="7"/>
  <c r="LK68" i="7"/>
  <c r="LJ68" i="7"/>
  <c r="LI68" i="7"/>
  <c r="LG68" i="7"/>
  <c r="LF68" i="7"/>
  <c r="LE68" i="7"/>
  <c r="LD68" i="7"/>
  <c r="LB68" i="7"/>
  <c r="LA68" i="7"/>
  <c r="KY68" i="7"/>
  <c r="KX68" i="7"/>
  <c r="KS68" i="7"/>
  <c r="KT68" i="7" s="1"/>
  <c r="KO68" i="7"/>
  <c r="KN68" i="7"/>
  <c r="KI68" i="7"/>
  <c r="KJ68" i="7" s="1"/>
  <c r="KE68" i="7"/>
  <c r="KD68" i="7"/>
  <c r="LC68" i="7" s="1"/>
  <c r="HY68" i="7"/>
  <c r="HX68" i="7"/>
  <c r="HW68" i="7"/>
  <c r="HV68" i="7"/>
  <c r="EU68" i="7"/>
  <c r="ET68" i="7"/>
  <c r="ES68" i="7"/>
  <c r="ER68" i="7"/>
  <c r="VP67" i="7"/>
  <c r="VO67" i="7"/>
  <c r="VL67" i="7"/>
  <c r="VM67" i="7" s="1"/>
  <c r="VK67" i="7"/>
  <c r="VJ67" i="7"/>
  <c r="VG67" i="7"/>
  <c r="VH67" i="7" s="1"/>
  <c r="VF67" i="7"/>
  <c r="VE67" i="7"/>
  <c r="VB67" i="7"/>
  <c r="VC67" i="7" s="1"/>
  <c r="VA67" i="7"/>
  <c r="UZ67" i="7"/>
  <c r="UY67" i="7"/>
  <c r="UW67" i="7"/>
  <c r="UV67" i="7"/>
  <c r="UU67" i="7"/>
  <c r="UR67" i="7"/>
  <c r="US67" i="7" s="1"/>
  <c r="UM67" i="7"/>
  <c r="UN67" i="7" s="1"/>
  <c r="UH67" i="7"/>
  <c r="UI67" i="7" s="1"/>
  <c r="UC67" i="7"/>
  <c r="TX67" i="7"/>
  <c r="TY67" i="7" s="1"/>
  <c r="TT67" i="7"/>
  <c r="TS67" i="7"/>
  <c r="TN67" i="7"/>
  <c r="TO67" i="7" s="1"/>
  <c r="TJ67" i="7"/>
  <c r="TI67" i="7"/>
  <c r="TD67" i="7"/>
  <c r="TE67" i="7" s="1"/>
  <c r="SZ67" i="7"/>
  <c r="SY67" i="7"/>
  <c r="ST67" i="7"/>
  <c r="SU67" i="7" s="1"/>
  <c r="SO67" i="7"/>
  <c r="SH67" i="7"/>
  <c r="SG67" i="7"/>
  <c r="SC67" i="7"/>
  <c r="SB67" i="7"/>
  <c r="RX67" i="7"/>
  <c r="RW67" i="7"/>
  <c r="RS67" i="7"/>
  <c r="RR67" i="7"/>
  <c r="RQ67" i="7"/>
  <c r="RN67" i="7"/>
  <c r="RM67" i="7"/>
  <c r="RJ67" i="7"/>
  <c r="RK67" i="7" s="1"/>
  <c r="RF67" i="7"/>
  <c r="RE67" i="7"/>
  <c r="QZ67" i="7"/>
  <c r="SI67" i="7" s="1"/>
  <c r="SJ67" i="7" s="1"/>
  <c r="QV67" i="7"/>
  <c r="QU67" i="7"/>
  <c r="SD67" i="7" s="1"/>
  <c r="SE67" i="7" s="1"/>
  <c r="QP67" i="7"/>
  <c r="QQ67" i="7" s="1"/>
  <c r="QL67" i="7"/>
  <c r="QK67" i="7"/>
  <c r="QF67" i="7"/>
  <c r="QG67" i="7" s="1"/>
  <c r="QB67" i="7"/>
  <c r="QA67" i="7"/>
  <c r="PV67" i="7"/>
  <c r="RY67" i="7" s="1"/>
  <c r="RZ67" i="7" s="1"/>
  <c r="PR67" i="7"/>
  <c r="PQ67" i="7"/>
  <c r="PL67" i="7"/>
  <c r="PM67" i="7" s="1"/>
  <c r="PH67" i="7"/>
  <c r="PG67" i="7"/>
  <c r="RT67" i="7" s="1"/>
  <c r="RU67" i="7" s="1"/>
  <c r="OZ67" i="7"/>
  <c r="OY67" i="7"/>
  <c r="OU67" i="7"/>
  <c r="OT67" i="7"/>
  <c r="OS67" i="7"/>
  <c r="OP67" i="7"/>
  <c r="OO67" i="7"/>
  <c r="ON67" i="7"/>
  <c r="OM67" i="7"/>
  <c r="OK67" i="7"/>
  <c r="OJ67" i="7"/>
  <c r="OI67" i="7"/>
  <c r="OB67" i="7"/>
  <c r="NX67" i="7"/>
  <c r="NW67" i="7"/>
  <c r="NR67" i="7"/>
  <c r="NN67" i="7"/>
  <c r="NM67" i="7"/>
  <c r="NH67" i="7"/>
  <c r="ND67" i="7"/>
  <c r="NC67" i="7"/>
  <c r="MX67" i="7"/>
  <c r="MY67" i="7" s="1"/>
  <c r="MT67" i="7"/>
  <c r="MS67" i="7"/>
  <c r="MN67" i="7"/>
  <c r="MO67" i="7" s="1"/>
  <c r="MJ67" i="7"/>
  <c r="MI67" i="7"/>
  <c r="MD67" i="7"/>
  <c r="ME67" i="7" s="1"/>
  <c r="LZ67" i="7"/>
  <c r="LY67" i="7"/>
  <c r="OL67" i="7" s="1"/>
  <c r="LR67" i="7"/>
  <c r="LQ67" i="7"/>
  <c r="LN67" i="7"/>
  <c r="LM67" i="7"/>
  <c r="LK67" i="7"/>
  <c r="LJ67" i="7"/>
  <c r="LI67" i="7"/>
  <c r="LG67" i="7"/>
  <c r="LF67" i="7"/>
  <c r="LE67" i="7"/>
  <c r="LB67" i="7"/>
  <c r="LA67" i="7"/>
  <c r="KY67" i="7"/>
  <c r="KX67" i="7"/>
  <c r="KS67" i="7"/>
  <c r="KT67" i="7" s="1"/>
  <c r="KO67" i="7"/>
  <c r="KN67" i="7"/>
  <c r="KI67" i="7"/>
  <c r="KJ67" i="7" s="1"/>
  <c r="KE67" i="7"/>
  <c r="KD67" i="7"/>
  <c r="HY67" i="7"/>
  <c r="HX67" i="7"/>
  <c r="HW67" i="7"/>
  <c r="HV67" i="7"/>
  <c r="EU67" i="7"/>
  <c r="EV67" i="7" s="1"/>
  <c r="ET67" i="7"/>
  <c r="ES67" i="7"/>
  <c r="ER67" i="7"/>
  <c r="VP66" i="7"/>
  <c r="VO66" i="7"/>
  <c r="VN66" i="7"/>
  <c r="VN127" i="7" s="1"/>
  <c r="VL66" i="7"/>
  <c r="VK66" i="7"/>
  <c r="VM66" i="7" s="1"/>
  <c r="VJ66" i="7"/>
  <c r="VI66" i="7"/>
  <c r="VF66" i="7"/>
  <c r="VE66" i="7"/>
  <c r="VD66" i="7"/>
  <c r="VD127" i="7" s="1"/>
  <c r="VD167" i="7" s="1"/>
  <c r="VC66" i="7"/>
  <c r="VB66" i="7"/>
  <c r="VA66" i="7"/>
  <c r="UZ66" i="7"/>
  <c r="UY66" i="7"/>
  <c r="UV66" i="7"/>
  <c r="UU66" i="7"/>
  <c r="UR66" i="7"/>
  <c r="VQ66" i="7" s="1"/>
  <c r="VR66" i="7" s="1"/>
  <c r="TN66" i="7"/>
  <c r="TI66" i="7"/>
  <c r="TJ66" i="7" s="1"/>
  <c r="TD66" i="7"/>
  <c r="TE66" i="7" s="1"/>
  <c r="SY66" i="7"/>
  <c r="SZ66" i="7" s="1"/>
  <c r="ST66" i="7"/>
  <c r="SU66" i="7" s="1"/>
  <c r="SO66" i="7"/>
  <c r="SI66" i="7"/>
  <c r="SJ66" i="7" s="1"/>
  <c r="SH66" i="7"/>
  <c r="SG66" i="7"/>
  <c r="SF66" i="7"/>
  <c r="SF127" i="7" s="1"/>
  <c r="SE66" i="7"/>
  <c r="SD66" i="7"/>
  <c r="SC66" i="7"/>
  <c r="SB66" i="7"/>
  <c r="SA66" i="7"/>
  <c r="RX66" i="7"/>
  <c r="RW66" i="7"/>
  <c r="RV66" i="7"/>
  <c r="RV127" i="7" s="1"/>
  <c r="RV167" i="7" s="1"/>
  <c r="RS66" i="7"/>
  <c r="RR66" i="7"/>
  <c r="RQ66" i="7"/>
  <c r="RN66" i="7"/>
  <c r="RM66" i="7"/>
  <c r="RJ66" i="7"/>
  <c r="QF66" i="7"/>
  <c r="RO66" i="7" s="1"/>
  <c r="QB66" i="7"/>
  <c r="QA66" i="7"/>
  <c r="PV66" i="7"/>
  <c r="RY66" i="7" s="1"/>
  <c r="RZ66" i="7" s="1"/>
  <c r="PR66" i="7"/>
  <c r="PQ66" i="7"/>
  <c r="PL66" i="7"/>
  <c r="PM66" i="7" s="1"/>
  <c r="PG66" i="7"/>
  <c r="OY66" i="7"/>
  <c r="OX66" i="7"/>
  <c r="OU66" i="7"/>
  <c r="OT66" i="7"/>
  <c r="OS66" i="7"/>
  <c r="OP66" i="7"/>
  <c r="OO66" i="7"/>
  <c r="ON66" i="7"/>
  <c r="OK66" i="7"/>
  <c r="OI66" i="7"/>
  <c r="OE66" i="7"/>
  <c r="OB66" i="7"/>
  <c r="NQ66" i="7"/>
  <c r="NN66" i="7"/>
  <c r="NM66" i="7"/>
  <c r="NH66" i="7"/>
  <c r="ND66" i="7"/>
  <c r="NC66" i="7"/>
  <c r="MX66" i="7"/>
  <c r="MY66" i="7" s="1"/>
  <c r="MT66" i="7"/>
  <c r="MS66" i="7"/>
  <c r="MN66" i="7"/>
  <c r="MO66" i="7" s="1"/>
  <c r="MJ66" i="7"/>
  <c r="MI66" i="7"/>
  <c r="MD66" i="7"/>
  <c r="ME66" i="7" s="1"/>
  <c r="MB66" i="7"/>
  <c r="OJ66" i="7" s="1"/>
  <c r="LY66" i="7"/>
  <c r="LZ66" i="7" s="1"/>
  <c r="LT66" i="7"/>
  <c r="LS66" i="7"/>
  <c r="LR66" i="7"/>
  <c r="LQ66" i="7"/>
  <c r="LO66" i="7"/>
  <c r="LN66" i="7"/>
  <c r="LM66" i="7"/>
  <c r="LK66" i="7"/>
  <c r="LJ66" i="7"/>
  <c r="LI66" i="7"/>
  <c r="LG66" i="7"/>
  <c r="LF66" i="7"/>
  <c r="LE66" i="7"/>
  <c r="LD66" i="7"/>
  <c r="LB66" i="7"/>
  <c r="LA66" i="7"/>
  <c r="KY66" i="7"/>
  <c r="KX66" i="7"/>
  <c r="KS66" i="7"/>
  <c r="KT66" i="7" s="1"/>
  <c r="KN66" i="7"/>
  <c r="LC66" i="7" s="1"/>
  <c r="HY66" i="7"/>
  <c r="HX66" i="7"/>
  <c r="HW66" i="7"/>
  <c r="HV66" i="7"/>
  <c r="EU66" i="7"/>
  <c r="EV66" i="7" s="1"/>
  <c r="ET66" i="7"/>
  <c r="ES66" i="7"/>
  <c r="ER66" i="7"/>
  <c r="VL65" i="7"/>
  <c r="VM65" i="7" s="1"/>
  <c r="VK65" i="7"/>
  <c r="VJ65" i="7"/>
  <c r="VI65" i="7"/>
  <c r="VI127" i="7" s="1"/>
  <c r="VI167" i="7" s="1"/>
  <c r="VG65" i="7"/>
  <c r="VF65" i="7"/>
  <c r="VE65" i="7"/>
  <c r="VA65" i="7"/>
  <c r="UY65" i="7"/>
  <c r="UV65" i="7"/>
  <c r="UU65" i="7"/>
  <c r="UT65" i="7"/>
  <c r="UT127" i="7" s="1"/>
  <c r="UT167" i="7" s="1"/>
  <c r="UT232" i="7" s="1"/>
  <c r="TI65" i="7"/>
  <c r="UW65" i="7" s="1"/>
  <c r="TD65" i="7"/>
  <c r="SY65" i="7"/>
  <c r="ST65" i="7"/>
  <c r="VB65" i="7" s="1"/>
  <c r="SO65" i="7"/>
  <c r="SD65" i="7"/>
  <c r="SE65" i="7" s="1"/>
  <c r="SC65" i="7"/>
  <c r="SB65" i="7"/>
  <c r="SA65" i="7"/>
  <c r="RY65" i="7"/>
  <c r="RX65" i="7"/>
  <c r="RW65" i="7"/>
  <c r="RS65" i="7"/>
  <c r="RQ65" i="7"/>
  <c r="RQ127" i="7" s="1"/>
  <c r="RQ167" i="7" s="1"/>
  <c r="RN65" i="7"/>
  <c r="RM65" i="7"/>
  <c r="RL65" i="7"/>
  <c r="RL127" i="7" s="1"/>
  <c r="RL167" i="7" s="1"/>
  <c r="QA65" i="7"/>
  <c r="PV65" i="7"/>
  <c r="PQ65" i="7"/>
  <c r="PL65" i="7"/>
  <c r="RT65" i="7" s="1"/>
  <c r="PG65" i="7"/>
  <c r="OV65" i="7"/>
  <c r="OU65" i="7"/>
  <c r="OT65" i="7"/>
  <c r="OS65" i="7"/>
  <c r="OS127" i="7" s="1"/>
  <c r="OQ65" i="7"/>
  <c r="OP65" i="7"/>
  <c r="OO65" i="7"/>
  <c r="OK65" i="7"/>
  <c r="OI65" i="7"/>
  <c r="OF65" i="7"/>
  <c r="OE65" i="7"/>
  <c r="OD65" i="7"/>
  <c r="OD127" i="7" s="1"/>
  <c r="OD167" i="7" s="1"/>
  <c r="MS65" i="7"/>
  <c r="MN65" i="7"/>
  <c r="MI65" i="7"/>
  <c r="MD65" i="7"/>
  <c r="LY65" i="7"/>
  <c r="LS65" i="7"/>
  <c r="LR65" i="7"/>
  <c r="LQ65" i="7"/>
  <c r="LQ127" i="7" s="1"/>
  <c r="LQ167" i="7" s="1"/>
  <c r="LN65" i="7"/>
  <c r="LM65" i="7"/>
  <c r="LJ65" i="7"/>
  <c r="LI65" i="7"/>
  <c r="LF65" i="7"/>
  <c r="LE65" i="7"/>
  <c r="LB65" i="7"/>
  <c r="LA65" i="7"/>
  <c r="KI65" i="7"/>
  <c r="KD65" i="7"/>
  <c r="JZ65" i="7"/>
  <c r="JY65" i="7"/>
  <c r="LO65" i="7" s="1"/>
  <c r="LP65" i="7" s="1"/>
  <c r="JT65" i="7"/>
  <c r="JU65" i="7" s="1"/>
  <c r="JO65" i="7"/>
  <c r="JP65" i="7" s="1"/>
  <c r="JJ65" i="7"/>
  <c r="JE65" i="7"/>
  <c r="JF65" i="7" s="1"/>
  <c r="IZ65" i="7"/>
  <c r="JA65" i="7" s="1"/>
  <c r="IV65" i="7"/>
  <c r="IU65" i="7"/>
  <c r="IN65" i="7"/>
  <c r="IM65" i="7"/>
  <c r="IJ65" i="7"/>
  <c r="II65" i="7"/>
  <c r="IF65" i="7"/>
  <c r="IE65" i="7"/>
  <c r="IB65" i="7"/>
  <c r="IA65" i="7"/>
  <c r="HX65" i="7"/>
  <c r="HW65" i="7"/>
  <c r="HV65" i="7"/>
  <c r="HT65" i="7"/>
  <c r="HU65" i="7" s="1"/>
  <c r="HO65" i="7"/>
  <c r="HP65" i="7" s="1"/>
  <c r="HJ65" i="7"/>
  <c r="HE65" i="7"/>
  <c r="HF65" i="7" s="1"/>
  <c r="HC65" i="7"/>
  <c r="GZ65" i="7"/>
  <c r="GV65" i="7"/>
  <c r="GU65" i="7"/>
  <c r="GP65" i="7"/>
  <c r="GQ65" i="7" s="1"/>
  <c r="GL65" i="7"/>
  <c r="GK65" i="7"/>
  <c r="GF65" i="7"/>
  <c r="FW65" i="7"/>
  <c r="FV65" i="7"/>
  <c r="FQ65" i="7"/>
  <c r="FK65" i="7"/>
  <c r="FI65" i="7"/>
  <c r="ET65" i="7"/>
  <c r="ES65" i="7"/>
  <c r="ER65" i="7"/>
  <c r="EQ65" i="7"/>
  <c r="EP65" i="7"/>
  <c r="EK65" i="7"/>
  <c r="EL65" i="7" s="1"/>
  <c r="BP65" i="7"/>
  <c r="VQ64" i="7"/>
  <c r="VP64" i="7"/>
  <c r="VO64" i="7"/>
  <c r="VN64" i="7"/>
  <c r="VL64" i="7"/>
  <c r="VK64" i="7"/>
  <c r="VJ64" i="7"/>
  <c r="VI64" i="7"/>
  <c r="VB64" i="7"/>
  <c r="VA64" i="7"/>
  <c r="UZ64" i="7"/>
  <c r="UY64" i="7"/>
  <c r="UW64" i="7"/>
  <c r="UV64" i="7"/>
  <c r="UU64" i="7"/>
  <c r="SO64" i="7"/>
  <c r="SI64" i="7"/>
  <c r="SJ64" i="7" s="1"/>
  <c r="SH64" i="7"/>
  <c r="SG64" i="7"/>
  <c r="SF64" i="7"/>
  <c r="SE64" i="7"/>
  <c r="SD64" i="7"/>
  <c r="SC64" i="7"/>
  <c r="SB64" i="7"/>
  <c r="SA64" i="7"/>
  <c r="RS64" i="7"/>
  <c r="RR64" i="7"/>
  <c r="RQ64" i="7"/>
  <c r="RN64" i="7"/>
  <c r="RM64" i="7"/>
  <c r="PG64" i="7"/>
  <c r="OZ64" i="7"/>
  <c r="OY64" i="7"/>
  <c r="OX64" i="7"/>
  <c r="OU64" i="7"/>
  <c r="OT64" i="7"/>
  <c r="OS64" i="7"/>
  <c r="OL64" i="7"/>
  <c r="OK64" i="7"/>
  <c r="OJ64" i="7"/>
  <c r="OI64" i="7"/>
  <c r="OF64" i="7"/>
  <c r="OE64" i="7"/>
  <c r="NW64" i="7"/>
  <c r="NX64" i="7" s="1"/>
  <c r="NR64" i="7"/>
  <c r="PA64" i="7" s="1"/>
  <c r="PB64" i="7" s="1"/>
  <c r="NN64" i="7"/>
  <c r="NM64" i="7"/>
  <c r="OV64" i="7" s="1"/>
  <c r="OW64" i="7" s="1"/>
  <c r="NH64" i="7"/>
  <c r="NI64" i="7" s="1"/>
  <c r="ND64" i="7"/>
  <c r="NC64" i="7"/>
  <c r="LC64" i="7"/>
  <c r="LB64" i="7"/>
  <c r="LA64" i="7"/>
  <c r="KZ64" i="7"/>
  <c r="HY64" i="7"/>
  <c r="HX64" i="7"/>
  <c r="HW64" i="7"/>
  <c r="HV64" i="7"/>
  <c r="EU64" i="7"/>
  <c r="ET64" i="7"/>
  <c r="ES64" i="7"/>
  <c r="ER64" i="7"/>
  <c r="VQ63" i="7"/>
  <c r="VP63" i="7"/>
  <c r="VO63" i="7"/>
  <c r="VN63" i="7"/>
  <c r="VL63" i="7"/>
  <c r="VM63" i="7" s="1"/>
  <c r="VK63" i="7"/>
  <c r="VJ63" i="7"/>
  <c r="VI63" i="7"/>
  <c r="VA63" i="7"/>
  <c r="UZ63" i="7"/>
  <c r="UY63" i="7"/>
  <c r="UV63" i="7"/>
  <c r="UU63" i="7"/>
  <c r="SO63" i="7"/>
  <c r="SP63" i="7" s="1"/>
  <c r="SI63" i="7"/>
  <c r="SH63" i="7"/>
  <c r="SG63" i="7"/>
  <c r="SF63" i="7"/>
  <c r="SE63" i="7"/>
  <c r="SD63" i="7"/>
  <c r="SC63" i="7"/>
  <c r="SB63" i="7"/>
  <c r="SA63" i="7"/>
  <c r="RS63" i="7"/>
  <c r="RR63" i="7"/>
  <c r="RQ63" i="7"/>
  <c r="RN63" i="7"/>
  <c r="RM63" i="7"/>
  <c r="PH63" i="7"/>
  <c r="PG63" i="7"/>
  <c r="RT63" i="7" s="1"/>
  <c r="PA63" i="7"/>
  <c r="OZ63" i="7"/>
  <c r="OY63" i="7"/>
  <c r="OX63" i="7"/>
  <c r="OW63" i="7"/>
  <c r="OV63" i="7"/>
  <c r="OU63" i="7"/>
  <c r="OT63" i="7"/>
  <c r="OS63" i="7"/>
  <c r="OL63" i="7"/>
  <c r="OK63" i="7"/>
  <c r="OJ63" i="7"/>
  <c r="OI63" i="7"/>
  <c r="OF63" i="7"/>
  <c r="OE63" i="7"/>
  <c r="HY63" i="7"/>
  <c r="HX63" i="7"/>
  <c r="HW63" i="7"/>
  <c r="HV63" i="7"/>
  <c r="EU63" i="7"/>
  <c r="ET63" i="7"/>
  <c r="ES63" i="7"/>
  <c r="ER63" i="7"/>
  <c r="VP62" i="7"/>
  <c r="VO62" i="7"/>
  <c r="VN62" i="7"/>
  <c r="VK62" i="7"/>
  <c r="VJ62" i="7"/>
  <c r="VI62" i="7"/>
  <c r="VG62" i="7"/>
  <c r="VH62" i="7" s="1"/>
  <c r="VF62" i="7"/>
  <c r="VE62" i="7"/>
  <c r="VD62" i="7"/>
  <c r="VA62" i="7"/>
  <c r="UZ62" i="7"/>
  <c r="UY62" i="7"/>
  <c r="UV62" i="7"/>
  <c r="UU62" i="7"/>
  <c r="UR62" i="7"/>
  <c r="UM62" i="7"/>
  <c r="UW62" i="7" s="1"/>
  <c r="UH62" i="7"/>
  <c r="VQ62" i="7" s="1"/>
  <c r="UC62" i="7"/>
  <c r="VL62" i="7" s="1"/>
  <c r="SO62" i="7"/>
  <c r="SP62" i="7" s="1"/>
  <c r="SH62" i="7"/>
  <c r="SG62" i="7"/>
  <c r="SF62" i="7"/>
  <c r="SC62" i="7"/>
  <c r="SB62" i="7"/>
  <c r="SA62" i="7"/>
  <c r="RZ62" i="7"/>
  <c r="RY62" i="7"/>
  <c r="RX62" i="7"/>
  <c r="RW62" i="7"/>
  <c r="RV62" i="7"/>
  <c r="RS62" i="7"/>
  <c r="RR62" i="7"/>
  <c r="RQ62" i="7"/>
  <c r="RN62" i="7"/>
  <c r="RM62" i="7"/>
  <c r="RJ62" i="7"/>
  <c r="RO62" i="7" s="1"/>
  <c r="RE62" i="7"/>
  <c r="RE127" i="7" s="1"/>
  <c r="QZ62" i="7"/>
  <c r="QZ127" i="7" s="1"/>
  <c r="QU62" i="7"/>
  <c r="SD62" i="7" s="1"/>
  <c r="PH62" i="7"/>
  <c r="PG62" i="7"/>
  <c r="RT62" i="7" s="1"/>
  <c r="OZ62" i="7"/>
  <c r="OY62" i="7"/>
  <c r="OX62" i="7"/>
  <c r="OU62" i="7"/>
  <c r="OT62" i="7"/>
  <c r="OS62" i="7"/>
  <c r="OQ62" i="7"/>
  <c r="OR62" i="7" s="1"/>
  <c r="OP62" i="7"/>
  <c r="OO62" i="7"/>
  <c r="ON62" i="7"/>
  <c r="OL62" i="7"/>
  <c r="OK62" i="7"/>
  <c r="OJ62" i="7"/>
  <c r="OI62" i="7"/>
  <c r="OB62" i="7"/>
  <c r="NW62" i="7"/>
  <c r="NR62" i="7"/>
  <c r="PA62" i="7" s="1"/>
  <c r="NM62" i="7"/>
  <c r="OV62" i="7" s="1"/>
  <c r="LQ62" i="7"/>
  <c r="LC62" i="7"/>
  <c r="LB62" i="7"/>
  <c r="LA62" i="7"/>
  <c r="KZ62" i="7"/>
  <c r="HY62" i="7"/>
  <c r="HX62" i="7"/>
  <c r="HW62" i="7"/>
  <c r="HV62" i="7"/>
  <c r="EV62" i="7"/>
  <c r="EU62" i="7"/>
  <c r="ET62" i="7"/>
  <c r="ES62" i="7"/>
  <c r="ER62" i="7"/>
  <c r="VQ61" i="7"/>
  <c r="VP61" i="7"/>
  <c r="VO61" i="7"/>
  <c r="VN61" i="7"/>
  <c r="VL61" i="7"/>
  <c r="VK61" i="7"/>
  <c r="VJ61" i="7"/>
  <c r="VI61" i="7"/>
  <c r="VF61" i="7"/>
  <c r="VE61" i="7"/>
  <c r="VA61" i="7"/>
  <c r="UZ61" i="7"/>
  <c r="UY61" i="7"/>
  <c r="UV61" i="7"/>
  <c r="UU61" i="7"/>
  <c r="TI61" i="7"/>
  <c r="UW61" i="7" s="1"/>
  <c r="TD61" i="7"/>
  <c r="VG61" i="7" s="1"/>
  <c r="SY61" i="7"/>
  <c r="ST61" i="7"/>
  <c r="SO61" i="7"/>
  <c r="VB61" i="7" s="1"/>
  <c r="VC61" i="7" s="1"/>
  <c r="SI61" i="7"/>
  <c r="SH61" i="7"/>
  <c r="SG61" i="7"/>
  <c r="SF61" i="7"/>
  <c r="SD61" i="7"/>
  <c r="SC61" i="7"/>
  <c r="SB61" i="7"/>
  <c r="SA61" i="7"/>
  <c r="RX61" i="7"/>
  <c r="RW61" i="7"/>
  <c r="RS61" i="7"/>
  <c r="RR61" i="7"/>
  <c r="RQ61" i="7"/>
  <c r="RN61" i="7"/>
  <c r="RM61" i="7"/>
  <c r="QA61" i="7"/>
  <c r="RO61" i="7" s="1"/>
  <c r="PV61" i="7"/>
  <c r="RY61" i="7" s="1"/>
  <c r="PQ61" i="7"/>
  <c r="PL61" i="7"/>
  <c r="PG61" i="7"/>
  <c r="RT61" i="7" s="1"/>
  <c r="RU61" i="7" s="1"/>
  <c r="PA61" i="7"/>
  <c r="OZ61" i="7"/>
  <c r="OY61" i="7"/>
  <c r="OX61" i="7"/>
  <c r="OV61" i="7"/>
  <c r="OU61" i="7"/>
  <c r="OT61" i="7"/>
  <c r="OS61" i="7"/>
  <c r="OP61" i="7"/>
  <c r="OO61" i="7"/>
  <c r="OK61" i="7"/>
  <c r="OJ61" i="7"/>
  <c r="OI61" i="7"/>
  <c r="OF61" i="7"/>
  <c r="OE61" i="7"/>
  <c r="MS61" i="7"/>
  <c r="MN61" i="7"/>
  <c r="OQ61" i="7" s="1"/>
  <c r="MI61" i="7"/>
  <c r="MD61" i="7"/>
  <c r="LY61" i="7"/>
  <c r="OL61" i="7" s="1"/>
  <c r="OM61" i="7" s="1"/>
  <c r="LR61" i="7"/>
  <c r="LQ61" i="7"/>
  <c r="LN61" i="7"/>
  <c r="LM61" i="7"/>
  <c r="LJ61" i="7"/>
  <c r="LI61" i="7"/>
  <c r="LF61" i="7"/>
  <c r="LE61" i="7"/>
  <c r="LB61" i="7"/>
  <c r="KY61" i="7"/>
  <c r="KX61" i="7"/>
  <c r="KS61" i="7"/>
  <c r="KT61" i="7" s="1"/>
  <c r="KO61" i="7"/>
  <c r="KN61" i="7"/>
  <c r="LS61" i="7" s="1"/>
  <c r="LT61" i="7" s="1"/>
  <c r="KI61" i="7"/>
  <c r="KJ61" i="7" s="1"/>
  <c r="KE61" i="7"/>
  <c r="KD61" i="7"/>
  <c r="LO61" i="7" s="1"/>
  <c r="LP61" i="7" s="1"/>
  <c r="JY61" i="7"/>
  <c r="JZ61" i="7" s="1"/>
  <c r="JU61" i="7"/>
  <c r="JT61" i="7"/>
  <c r="JO61" i="7"/>
  <c r="JP61" i="7" s="1"/>
  <c r="JK61" i="7"/>
  <c r="JJ61" i="7"/>
  <c r="LK61" i="7" s="1"/>
  <c r="LL61" i="7" s="1"/>
  <c r="JC61" i="7"/>
  <c r="JC167" i="7" s="1"/>
  <c r="JA61" i="7"/>
  <c r="IZ61" i="7"/>
  <c r="IU61" i="7"/>
  <c r="IN61" i="7"/>
  <c r="IM61" i="7"/>
  <c r="IJ61" i="7"/>
  <c r="II61" i="7"/>
  <c r="IF61" i="7"/>
  <c r="IE61" i="7"/>
  <c r="IB61" i="7"/>
  <c r="IA61" i="7"/>
  <c r="HX61" i="7"/>
  <c r="HW61" i="7"/>
  <c r="HV61" i="7"/>
  <c r="HU61" i="7"/>
  <c r="HT61" i="7"/>
  <c r="HO61" i="7"/>
  <c r="HP61" i="7" s="1"/>
  <c r="HK61" i="7"/>
  <c r="HJ61" i="7"/>
  <c r="IO61" i="7" s="1"/>
  <c r="IP61" i="7" s="1"/>
  <c r="HE61" i="7"/>
  <c r="HF61" i="7" s="1"/>
  <c r="HA61" i="7"/>
  <c r="GZ61" i="7"/>
  <c r="GU61" i="7"/>
  <c r="IK61" i="7" s="1"/>
  <c r="IL61" i="7" s="1"/>
  <c r="GQ61" i="7"/>
  <c r="GP61" i="7"/>
  <c r="GK61" i="7"/>
  <c r="GL61" i="7" s="1"/>
  <c r="GG61" i="7"/>
  <c r="GF61" i="7"/>
  <c r="IG61" i="7" s="1"/>
  <c r="IH61" i="7" s="1"/>
  <c r="GA61" i="7"/>
  <c r="GB61" i="7" s="1"/>
  <c r="FW61" i="7"/>
  <c r="FV61" i="7"/>
  <c r="FQ61" i="7"/>
  <c r="HY61" i="7" s="1"/>
  <c r="FK61" i="7"/>
  <c r="FI61" i="7"/>
  <c r="FF61" i="7"/>
  <c r="FE61" i="7"/>
  <c r="FB61" i="7"/>
  <c r="FA61" i="7"/>
  <c r="EX61" i="7"/>
  <c r="EW61" i="7"/>
  <c r="ET61" i="7"/>
  <c r="ES61" i="7"/>
  <c r="ER61" i="7"/>
  <c r="EP61" i="7"/>
  <c r="EQ61" i="7" s="1"/>
  <c r="EL61" i="7"/>
  <c r="EK61" i="7"/>
  <c r="EF61" i="7"/>
  <c r="FL61" i="7" s="1"/>
  <c r="FM61" i="7" s="1"/>
  <c r="EB61" i="7"/>
  <c r="EA61" i="7"/>
  <c r="DV61" i="7"/>
  <c r="DW61" i="7" s="1"/>
  <c r="DR61" i="7"/>
  <c r="DQ61" i="7"/>
  <c r="FG61" i="7" s="1"/>
  <c r="FH61" i="7" s="1"/>
  <c r="DL61" i="7"/>
  <c r="FC61" i="7" s="1"/>
  <c r="FD61" i="7" s="1"/>
  <c r="DH61" i="7"/>
  <c r="DG61" i="7"/>
  <c r="DB61" i="7"/>
  <c r="DC61" i="7" s="1"/>
  <c r="CX61" i="7"/>
  <c r="CW61" i="7"/>
  <c r="CR61" i="7"/>
  <c r="CS61" i="7" s="1"/>
  <c r="CN61" i="7"/>
  <c r="CM61" i="7"/>
  <c r="EY61" i="7" s="1"/>
  <c r="EZ61" i="7" s="1"/>
  <c r="CG61" i="7"/>
  <c r="CF61" i="7"/>
  <c r="CC61" i="7"/>
  <c r="CB61" i="7"/>
  <c r="BZ61" i="7"/>
  <c r="BY61" i="7"/>
  <c r="BX61" i="7"/>
  <c r="BU61" i="7"/>
  <c r="BT61" i="7"/>
  <c r="BR61" i="7"/>
  <c r="BS61" i="7" s="1"/>
  <c r="BQ61" i="7"/>
  <c r="BP61" i="7"/>
  <c r="BN61" i="7"/>
  <c r="BO61" i="7" s="1"/>
  <c r="BJ61" i="7"/>
  <c r="BI61" i="7"/>
  <c r="BD61" i="7"/>
  <c r="CH61" i="7" s="1"/>
  <c r="AZ61" i="7"/>
  <c r="AY61" i="7"/>
  <c r="CD61" i="7" s="1"/>
  <c r="AO61" i="7"/>
  <c r="Z61" i="7"/>
  <c r="U61" i="7"/>
  <c r="P61" i="7"/>
  <c r="K61" i="7"/>
  <c r="BV61" i="7" s="1"/>
  <c r="VQ60" i="7"/>
  <c r="VP60" i="7"/>
  <c r="VO60" i="7"/>
  <c r="VN60" i="7"/>
  <c r="VL60" i="7"/>
  <c r="VK60" i="7"/>
  <c r="VJ60" i="7"/>
  <c r="VI60" i="7"/>
  <c r="VF60" i="7"/>
  <c r="VE60" i="7"/>
  <c r="VD60" i="7"/>
  <c r="VA60" i="7"/>
  <c r="UZ60" i="7"/>
  <c r="UY60" i="7"/>
  <c r="UV60" i="7"/>
  <c r="UU60" i="7"/>
  <c r="TN60" i="7"/>
  <c r="UW60" i="7" s="1"/>
  <c r="TJ60" i="7"/>
  <c r="TI60" i="7"/>
  <c r="TD60" i="7"/>
  <c r="TE60" i="7" s="1"/>
  <c r="SZ60" i="7"/>
  <c r="SY60" i="7"/>
  <c r="ST60" i="7"/>
  <c r="SU60" i="7" s="1"/>
  <c r="SO60" i="7"/>
  <c r="VB60" i="7" s="1"/>
  <c r="VC60" i="7" s="1"/>
  <c r="SI60" i="7"/>
  <c r="SH60" i="7"/>
  <c r="SG60" i="7"/>
  <c r="SF60" i="7"/>
  <c r="SD60" i="7"/>
  <c r="SC60" i="7"/>
  <c r="SB60" i="7"/>
  <c r="SA60" i="7"/>
  <c r="RX60" i="7"/>
  <c r="RW60" i="7"/>
  <c r="RV60" i="7"/>
  <c r="RS60" i="7"/>
  <c r="RR60" i="7"/>
  <c r="RQ60" i="7"/>
  <c r="RN60" i="7"/>
  <c r="RM60" i="7"/>
  <c r="QF60" i="7"/>
  <c r="QB60" i="7"/>
  <c r="QA60" i="7"/>
  <c r="PW60" i="7"/>
  <c r="PV60" i="7"/>
  <c r="RY60" i="7" s="1"/>
  <c r="RZ60" i="7" s="1"/>
  <c r="PR60" i="7"/>
  <c r="PQ60" i="7"/>
  <c r="PM60" i="7"/>
  <c r="PL60" i="7"/>
  <c r="PG60" i="7"/>
  <c r="RT60" i="7" s="1"/>
  <c r="RU60" i="7" s="1"/>
  <c r="PA60" i="7"/>
  <c r="OZ60" i="7"/>
  <c r="OY60" i="7"/>
  <c r="OX60" i="7"/>
  <c r="OU60" i="7"/>
  <c r="OT60" i="7"/>
  <c r="OS60" i="7"/>
  <c r="OP60" i="7"/>
  <c r="OO60" i="7"/>
  <c r="ON60" i="7"/>
  <c r="OK60" i="7"/>
  <c r="OJ60" i="7"/>
  <c r="OI60" i="7"/>
  <c r="OF60" i="7"/>
  <c r="OE60" i="7"/>
  <c r="NH60" i="7"/>
  <c r="NC60" i="7"/>
  <c r="OV60" i="7" s="1"/>
  <c r="MY60" i="7"/>
  <c r="MX60" i="7"/>
  <c r="MS60" i="7"/>
  <c r="MT60" i="7" s="1"/>
  <c r="MO60" i="7"/>
  <c r="MN60" i="7"/>
  <c r="OQ60" i="7" s="1"/>
  <c r="OR60" i="7" s="1"/>
  <c r="MI60" i="7"/>
  <c r="MJ60" i="7" s="1"/>
  <c r="ME60" i="7"/>
  <c r="MD60" i="7"/>
  <c r="LY60" i="7"/>
  <c r="OL60" i="7" s="1"/>
  <c r="OM60" i="7" s="1"/>
  <c r="LR60" i="7"/>
  <c r="LQ60" i="7"/>
  <c r="LN60" i="7"/>
  <c r="LM60" i="7"/>
  <c r="LJ60" i="7"/>
  <c r="LI60" i="7"/>
  <c r="LF60" i="7"/>
  <c r="LE60" i="7"/>
  <c r="LB60" i="7"/>
  <c r="LA60" i="7"/>
  <c r="KY60" i="7"/>
  <c r="KX60" i="7"/>
  <c r="KS60" i="7"/>
  <c r="KT60" i="7" s="1"/>
  <c r="KO60" i="7"/>
  <c r="KN60" i="7"/>
  <c r="LS60" i="7" s="1"/>
  <c r="LT60" i="7" s="1"/>
  <c r="KI60" i="7"/>
  <c r="KJ60" i="7" s="1"/>
  <c r="KE60" i="7"/>
  <c r="KD60" i="7"/>
  <c r="JY60" i="7"/>
  <c r="LO60" i="7" s="1"/>
  <c r="LP60" i="7" s="1"/>
  <c r="JU60" i="7"/>
  <c r="JT60" i="7"/>
  <c r="JO60" i="7"/>
  <c r="JP60" i="7" s="1"/>
  <c r="JK60" i="7"/>
  <c r="JJ60" i="7"/>
  <c r="LK60" i="7" s="1"/>
  <c r="LL60" i="7" s="1"/>
  <c r="JE60" i="7"/>
  <c r="JF60" i="7" s="1"/>
  <c r="JA60" i="7"/>
  <c r="IZ60" i="7"/>
  <c r="IU60" i="7"/>
  <c r="LG60" i="7" s="1"/>
  <c r="LH60" i="7" s="1"/>
  <c r="IN60" i="7"/>
  <c r="IM60" i="7"/>
  <c r="IJ60" i="7"/>
  <c r="II60" i="7"/>
  <c r="IF60" i="7"/>
  <c r="IE60" i="7"/>
  <c r="HX60" i="7"/>
  <c r="HW60" i="7"/>
  <c r="HV60" i="7"/>
  <c r="HU60" i="7"/>
  <c r="HT60" i="7"/>
  <c r="HO60" i="7"/>
  <c r="HP60" i="7" s="1"/>
  <c r="HK60" i="7"/>
  <c r="HJ60" i="7"/>
  <c r="IO60" i="7" s="1"/>
  <c r="IP60" i="7" s="1"/>
  <c r="HE60" i="7"/>
  <c r="HF60" i="7" s="1"/>
  <c r="HA60" i="7"/>
  <c r="GZ60" i="7"/>
  <c r="GU60" i="7"/>
  <c r="HY60" i="7" s="1"/>
  <c r="GQ60" i="7"/>
  <c r="GP60" i="7"/>
  <c r="GK60" i="7"/>
  <c r="IG60" i="7" s="1"/>
  <c r="IH60" i="7" s="1"/>
  <c r="GG60" i="7"/>
  <c r="EV60" i="7"/>
  <c r="EU60" i="7"/>
  <c r="ET60" i="7"/>
  <c r="ES60" i="7"/>
  <c r="ER60" i="7"/>
  <c r="VQ59" i="7"/>
  <c r="VP59" i="7"/>
  <c r="VO59" i="7"/>
  <c r="VN59" i="7"/>
  <c r="VK59" i="7"/>
  <c r="VJ59" i="7"/>
  <c r="VI59" i="7"/>
  <c r="VF59" i="7"/>
  <c r="VE59" i="7"/>
  <c r="VD59" i="7"/>
  <c r="VA59" i="7"/>
  <c r="UZ59" i="7"/>
  <c r="UY59" i="7"/>
  <c r="UV59" i="7"/>
  <c r="UU59" i="7"/>
  <c r="TS59" i="7"/>
  <c r="VL59" i="7" s="1"/>
  <c r="TN59" i="7"/>
  <c r="UW59" i="7" s="1"/>
  <c r="TJ59" i="7"/>
  <c r="TI59" i="7"/>
  <c r="TD59" i="7"/>
  <c r="VG59" i="7" s="1"/>
  <c r="VH59" i="7" s="1"/>
  <c r="SZ59" i="7"/>
  <c r="SY59" i="7"/>
  <c r="ST59" i="7"/>
  <c r="SU59" i="7" s="1"/>
  <c r="SO59" i="7"/>
  <c r="SI59" i="7"/>
  <c r="SH59" i="7"/>
  <c r="SG59" i="7"/>
  <c r="SF59" i="7"/>
  <c r="SC59" i="7"/>
  <c r="SB59" i="7"/>
  <c r="SA59" i="7"/>
  <c r="RX59" i="7"/>
  <c r="RW59" i="7"/>
  <c r="RV59" i="7"/>
  <c r="RS59" i="7"/>
  <c r="RR59" i="7"/>
  <c r="RQ59" i="7"/>
  <c r="RN59" i="7"/>
  <c r="RM59" i="7"/>
  <c r="QK59" i="7"/>
  <c r="SD59" i="7" s="1"/>
  <c r="QF59" i="7"/>
  <c r="RO59" i="7" s="1"/>
  <c r="QB59" i="7"/>
  <c r="QA59" i="7"/>
  <c r="PV59" i="7"/>
  <c r="RY59" i="7" s="1"/>
  <c r="RZ59" i="7" s="1"/>
  <c r="PR59" i="7"/>
  <c r="PQ59" i="7"/>
  <c r="PL59" i="7"/>
  <c r="PM59" i="7" s="1"/>
  <c r="PG59" i="7"/>
  <c r="PA59" i="7"/>
  <c r="OZ59" i="7"/>
  <c r="OY59" i="7"/>
  <c r="OX59" i="7"/>
  <c r="OU59" i="7"/>
  <c r="OT59" i="7"/>
  <c r="OS59" i="7"/>
  <c r="OP59" i="7"/>
  <c r="OO59" i="7"/>
  <c r="ON59" i="7"/>
  <c r="OL59" i="7"/>
  <c r="OM59" i="7" s="1"/>
  <c r="OK59" i="7"/>
  <c r="OJ59" i="7"/>
  <c r="OI59" i="7"/>
  <c r="OF59" i="7"/>
  <c r="OE59" i="7"/>
  <c r="NC59" i="7"/>
  <c r="OG59" i="7" s="1"/>
  <c r="OH59" i="7" s="1"/>
  <c r="MX59" i="7"/>
  <c r="MS59" i="7"/>
  <c r="MT59" i="7" s="1"/>
  <c r="MO59" i="7"/>
  <c r="MN59" i="7"/>
  <c r="OQ59" i="7" s="1"/>
  <c r="OR59" i="7" s="1"/>
  <c r="MI59" i="7"/>
  <c r="MJ59" i="7" s="1"/>
  <c r="ME59" i="7"/>
  <c r="MD59" i="7"/>
  <c r="LY59" i="7"/>
  <c r="LZ59" i="7" s="1"/>
  <c r="LR59" i="7"/>
  <c r="LQ59" i="7"/>
  <c r="LN59" i="7"/>
  <c r="LM59" i="7"/>
  <c r="LJ59" i="7"/>
  <c r="LI59" i="7"/>
  <c r="LF59" i="7"/>
  <c r="LE59" i="7"/>
  <c r="LB59" i="7"/>
  <c r="LA59" i="7"/>
  <c r="KY59" i="7"/>
  <c r="KX59" i="7"/>
  <c r="KS59" i="7"/>
  <c r="KT59" i="7" s="1"/>
  <c r="KO59" i="7"/>
  <c r="KN59" i="7"/>
  <c r="LS59" i="7" s="1"/>
  <c r="LT59" i="7" s="1"/>
  <c r="KI59" i="7"/>
  <c r="KJ59" i="7" s="1"/>
  <c r="KE59" i="7"/>
  <c r="KD59" i="7"/>
  <c r="LO59" i="7" s="1"/>
  <c r="LP59" i="7" s="1"/>
  <c r="JY59" i="7"/>
  <c r="JZ59" i="7" s="1"/>
  <c r="JU59" i="7"/>
  <c r="JT59" i="7"/>
  <c r="JO59" i="7"/>
  <c r="JP59" i="7" s="1"/>
  <c r="JK59" i="7"/>
  <c r="JJ59" i="7"/>
  <c r="LK59" i="7" s="1"/>
  <c r="LL59" i="7" s="1"/>
  <c r="JE59" i="7"/>
  <c r="JF59" i="7" s="1"/>
  <c r="JA59" i="7"/>
  <c r="IZ59" i="7"/>
  <c r="LG59" i="7" s="1"/>
  <c r="LH59" i="7" s="1"/>
  <c r="IU59" i="7"/>
  <c r="IV59" i="7" s="1"/>
  <c r="IN59" i="7"/>
  <c r="IM59" i="7"/>
  <c r="IK59" i="7"/>
  <c r="IJ59" i="7"/>
  <c r="II59" i="7"/>
  <c r="HX59" i="7"/>
  <c r="HW59" i="7"/>
  <c r="HV59" i="7"/>
  <c r="HT59" i="7"/>
  <c r="IO59" i="7" s="1"/>
  <c r="IP59" i="7" s="1"/>
  <c r="HP59" i="7"/>
  <c r="HO59" i="7"/>
  <c r="HY59" i="7" s="1"/>
  <c r="EU59" i="7"/>
  <c r="EV59" i="7" s="1"/>
  <c r="ET59" i="7"/>
  <c r="ES59" i="7"/>
  <c r="ER59" i="7"/>
  <c r="VP58" i="7"/>
  <c r="VO58" i="7"/>
  <c r="VN58" i="7"/>
  <c r="VK58" i="7"/>
  <c r="VJ58" i="7"/>
  <c r="VI58" i="7"/>
  <c r="VF58" i="7"/>
  <c r="VE58" i="7"/>
  <c r="VD58" i="7"/>
  <c r="VA58" i="7"/>
  <c r="UZ58" i="7"/>
  <c r="UY58" i="7"/>
  <c r="UV58" i="7"/>
  <c r="UU58" i="7"/>
  <c r="UR58" i="7"/>
  <c r="UW58" i="7" s="1"/>
  <c r="UH58" i="7"/>
  <c r="UC58" i="7"/>
  <c r="TX58" i="7"/>
  <c r="TX127" i="7" s="1"/>
  <c r="TS58" i="7"/>
  <c r="TS127" i="7" s="1"/>
  <c r="TN58" i="7"/>
  <c r="TI58" i="7"/>
  <c r="TD58" i="7"/>
  <c r="SY58" i="7"/>
  <c r="SY127" i="7" s="1"/>
  <c r="ST58" i="7"/>
  <c r="ST127" i="7" s="1"/>
  <c r="SH58" i="7"/>
  <c r="SG58" i="7"/>
  <c r="SF58" i="7"/>
  <c r="SC58" i="7"/>
  <c r="SB58" i="7"/>
  <c r="SA58" i="7"/>
  <c r="RX58" i="7"/>
  <c r="RW58" i="7"/>
  <c r="RV58" i="7"/>
  <c r="RS58" i="7"/>
  <c r="RR58" i="7"/>
  <c r="RQ58" i="7"/>
  <c r="RN58" i="7"/>
  <c r="RM58" i="7"/>
  <c r="RJ58" i="7"/>
  <c r="QZ58" i="7"/>
  <c r="SI58" i="7" s="1"/>
  <c r="QU58" i="7"/>
  <c r="SD58" i="7" s="1"/>
  <c r="QP58" i="7"/>
  <c r="QP127" i="7" s="1"/>
  <c r="QK58" i="7"/>
  <c r="QK127" i="7" s="1"/>
  <c r="QF58" i="7"/>
  <c r="QA58" i="7"/>
  <c r="QA127" i="7" s="1"/>
  <c r="PV58" i="7"/>
  <c r="PV127" i="7" s="1"/>
  <c r="PQ58" i="7"/>
  <c r="PL58" i="7"/>
  <c r="OZ58" i="7"/>
  <c r="OY58" i="7"/>
  <c r="OX58" i="7"/>
  <c r="OU58" i="7"/>
  <c r="OT58" i="7"/>
  <c r="OS58" i="7"/>
  <c r="OP58" i="7"/>
  <c r="OO58" i="7"/>
  <c r="ON58" i="7"/>
  <c r="OK58" i="7"/>
  <c r="OJ58" i="7"/>
  <c r="OI58" i="7"/>
  <c r="OF58" i="7"/>
  <c r="OE58" i="7"/>
  <c r="OB58" i="7"/>
  <c r="OG58" i="7" s="1"/>
  <c r="NR58" i="7"/>
  <c r="NM58" i="7"/>
  <c r="NH58" i="7"/>
  <c r="NC58" i="7"/>
  <c r="OV58" i="7" s="1"/>
  <c r="MX58" i="7"/>
  <c r="OQ58" i="7" s="1"/>
  <c r="OR58" i="7" s="1"/>
  <c r="MS58" i="7"/>
  <c r="MN58" i="7"/>
  <c r="MI58" i="7"/>
  <c r="MD58" i="7"/>
  <c r="OL58" i="7" s="1"/>
  <c r="LY58" i="7"/>
  <c r="LR58" i="7"/>
  <c r="LQ58" i="7"/>
  <c r="LN58" i="7"/>
  <c r="LM58" i="7"/>
  <c r="LJ58" i="7"/>
  <c r="LI58" i="7"/>
  <c r="LG58" i="7"/>
  <c r="LF58" i="7"/>
  <c r="LE58" i="7"/>
  <c r="LB58" i="7"/>
  <c r="LA58" i="7"/>
  <c r="KS58" i="7"/>
  <c r="KN58" i="7"/>
  <c r="LS58" i="7" s="1"/>
  <c r="KI58" i="7"/>
  <c r="KD58" i="7"/>
  <c r="JY58" i="7"/>
  <c r="LO58" i="7" s="1"/>
  <c r="JT58" i="7"/>
  <c r="JO58" i="7"/>
  <c r="JJ58" i="7"/>
  <c r="LK58" i="7" s="1"/>
  <c r="JE58" i="7"/>
  <c r="IZ58" i="7"/>
  <c r="LC58" i="7" s="1"/>
  <c r="HY58" i="7"/>
  <c r="HX58" i="7"/>
  <c r="HW58" i="7"/>
  <c r="HV58" i="7"/>
  <c r="EV58" i="7"/>
  <c r="EU58" i="7"/>
  <c r="ET58" i="7"/>
  <c r="ES58" i="7"/>
  <c r="ER58" i="7"/>
  <c r="VP57" i="7"/>
  <c r="VO57" i="7"/>
  <c r="VN57" i="7"/>
  <c r="VK57" i="7"/>
  <c r="VJ57" i="7"/>
  <c r="VI57" i="7"/>
  <c r="VH57" i="7"/>
  <c r="VG57" i="7"/>
  <c r="VF57" i="7"/>
  <c r="VE57" i="7"/>
  <c r="VD57" i="7"/>
  <c r="VA57" i="7"/>
  <c r="UZ57" i="7"/>
  <c r="UZ127" i="7" s="1"/>
  <c r="UY57" i="7"/>
  <c r="UV57" i="7"/>
  <c r="UU57" i="7"/>
  <c r="UR57" i="7"/>
  <c r="VQ57" i="7" s="1"/>
  <c r="UM57" i="7"/>
  <c r="UM127" i="7" s="1"/>
  <c r="UH57" i="7"/>
  <c r="UC57" i="7"/>
  <c r="UC127" i="7" s="1"/>
  <c r="SP57" i="7"/>
  <c r="SO57" i="7"/>
  <c r="SH57" i="7"/>
  <c r="SG57" i="7"/>
  <c r="SG127" i="7" s="1"/>
  <c r="SF57" i="7"/>
  <c r="SC57" i="7"/>
  <c r="SC127" i="7" s="1"/>
  <c r="SC167" i="7" s="1"/>
  <c r="SB57" i="7"/>
  <c r="SB127" i="7" s="1"/>
  <c r="SA57" i="7"/>
  <c r="RY57" i="7"/>
  <c r="RX57" i="7"/>
  <c r="RX127" i="7" s="1"/>
  <c r="RX167" i="7" s="1"/>
  <c r="RW57" i="7"/>
  <c r="RV57" i="7"/>
  <c r="RS57" i="7"/>
  <c r="RR57" i="7"/>
  <c r="RQ57" i="7"/>
  <c r="RN57" i="7"/>
  <c r="RM57" i="7"/>
  <c r="RJ57" i="7"/>
  <c r="RE57" i="7"/>
  <c r="RO57" i="7" s="1"/>
  <c r="QZ57" i="7"/>
  <c r="SI57" i="7" s="1"/>
  <c r="QU57" i="7"/>
  <c r="SD57" i="7" s="1"/>
  <c r="PG57" i="7"/>
  <c r="PG127" i="7" s="1"/>
  <c r="OZ57" i="7"/>
  <c r="OY57" i="7"/>
  <c r="OX57" i="7"/>
  <c r="OX127" i="7" s="1"/>
  <c r="OX167" i="7" s="1"/>
  <c r="OU57" i="7"/>
  <c r="OT57" i="7"/>
  <c r="OS57" i="7"/>
  <c r="OR57" i="7"/>
  <c r="OQ57" i="7"/>
  <c r="OP57" i="7"/>
  <c r="OO57" i="7"/>
  <c r="ON57" i="7"/>
  <c r="OL57" i="7"/>
  <c r="OK57" i="7"/>
  <c r="OJ57" i="7"/>
  <c r="OI57" i="7"/>
  <c r="OB57" i="7"/>
  <c r="NW57" i="7"/>
  <c r="NW127" i="7" s="1"/>
  <c r="NR57" i="7"/>
  <c r="NM57" i="7"/>
  <c r="OV57" i="7" s="1"/>
  <c r="LR57" i="7"/>
  <c r="LQ57" i="7"/>
  <c r="LN57" i="7"/>
  <c r="LM57" i="7"/>
  <c r="LK57" i="7"/>
  <c r="LJ57" i="7"/>
  <c r="LI57" i="7"/>
  <c r="LG57" i="7"/>
  <c r="LF57" i="7"/>
  <c r="LE57" i="7"/>
  <c r="KX57" i="7"/>
  <c r="KY57" i="7" s="1"/>
  <c r="KW57" i="7"/>
  <c r="LB57" i="7" s="1"/>
  <c r="KV57" i="7"/>
  <c r="LA57" i="7" s="1"/>
  <c r="KS57" i="7"/>
  <c r="KT57" i="7" s="1"/>
  <c r="KN57" i="7"/>
  <c r="LS57" i="7" s="1"/>
  <c r="LT57" i="7" s="1"/>
  <c r="KI57" i="7"/>
  <c r="LO57" i="7" s="1"/>
  <c r="HY57" i="7"/>
  <c r="HX57" i="7"/>
  <c r="HW57" i="7"/>
  <c r="HV57" i="7"/>
  <c r="EU57" i="7"/>
  <c r="EV57" i="7" s="1"/>
  <c r="ET57" i="7"/>
  <c r="ES57" i="7"/>
  <c r="ER57" i="7"/>
  <c r="UW56" i="7"/>
  <c r="UV56" i="7"/>
  <c r="UU56" i="7"/>
  <c r="TD56" i="7"/>
  <c r="SZ56" i="7"/>
  <c r="SO56" i="7"/>
  <c r="RN56" i="7"/>
  <c r="RM56" i="7"/>
  <c r="PV56" i="7"/>
  <c r="RO56" i="7" s="1"/>
  <c r="PR56" i="7"/>
  <c r="PG56" i="7"/>
  <c r="MN56" i="7"/>
  <c r="MJ56" i="7"/>
  <c r="LY56" i="7"/>
  <c r="LR56" i="7"/>
  <c r="LQ56" i="7"/>
  <c r="LN56" i="7"/>
  <c r="LM56" i="7"/>
  <c r="LJ56" i="7"/>
  <c r="LI56" i="7"/>
  <c r="LF56" i="7"/>
  <c r="LE56" i="7"/>
  <c r="LB56" i="7"/>
  <c r="LA56" i="7"/>
  <c r="KX56" i="7"/>
  <c r="KS56" i="7"/>
  <c r="KN56" i="7"/>
  <c r="LS56" i="7" s="1"/>
  <c r="KI56" i="7"/>
  <c r="KD56" i="7"/>
  <c r="KE56" i="7" s="1"/>
  <c r="JZ56" i="7"/>
  <c r="JY56" i="7"/>
  <c r="LO56" i="7" s="1"/>
  <c r="LP56" i="7" s="1"/>
  <c r="JT56" i="7"/>
  <c r="JU56" i="7" s="1"/>
  <c r="JP56" i="7"/>
  <c r="JO56" i="7"/>
  <c r="JJ56" i="7"/>
  <c r="JK56" i="7" s="1"/>
  <c r="JF56" i="7"/>
  <c r="JE56" i="7"/>
  <c r="IZ56" i="7"/>
  <c r="JA56" i="7" s="1"/>
  <c r="IV56" i="7"/>
  <c r="IU56" i="7"/>
  <c r="LG56" i="7" s="1"/>
  <c r="LH56" i="7" s="1"/>
  <c r="IN56" i="7"/>
  <c r="IM56" i="7"/>
  <c r="HY56" i="7"/>
  <c r="HX56" i="7"/>
  <c r="HW56" i="7"/>
  <c r="HV56" i="7"/>
  <c r="HU56" i="7"/>
  <c r="HT56" i="7"/>
  <c r="HO56" i="7"/>
  <c r="IO56" i="7" s="1"/>
  <c r="EV56" i="7"/>
  <c r="EU56" i="7"/>
  <c r="ET56" i="7"/>
  <c r="ES56" i="7"/>
  <c r="ER56" i="7"/>
  <c r="UV55" i="7"/>
  <c r="UU55" i="7"/>
  <c r="TD55" i="7"/>
  <c r="UW55" i="7" s="1"/>
  <c r="SZ55" i="7"/>
  <c r="SO55" i="7"/>
  <c r="RN55" i="7"/>
  <c r="RM55" i="7"/>
  <c r="PV55" i="7"/>
  <c r="RO55" i="7" s="1"/>
  <c r="PR55" i="7"/>
  <c r="PG55" i="7"/>
  <c r="MN55" i="7"/>
  <c r="MJ55" i="7"/>
  <c r="LY55" i="7"/>
  <c r="LR55" i="7"/>
  <c r="LQ55" i="7"/>
  <c r="LN55" i="7"/>
  <c r="LM55" i="7"/>
  <c r="LJ55" i="7"/>
  <c r="LI55" i="7"/>
  <c r="LF55" i="7"/>
  <c r="LE55" i="7"/>
  <c r="LB55" i="7"/>
  <c r="LA55" i="7"/>
  <c r="KX55" i="7"/>
  <c r="KS55" i="7"/>
  <c r="LS55" i="7" s="1"/>
  <c r="KN55" i="7"/>
  <c r="KI55" i="7"/>
  <c r="KD55" i="7"/>
  <c r="KE55" i="7" s="1"/>
  <c r="JZ55" i="7"/>
  <c r="JY55" i="7"/>
  <c r="JT55" i="7"/>
  <c r="JU55" i="7" s="1"/>
  <c r="JP55" i="7"/>
  <c r="JO55" i="7"/>
  <c r="JJ55" i="7"/>
  <c r="JK55" i="7" s="1"/>
  <c r="JF55" i="7"/>
  <c r="JE55" i="7"/>
  <c r="IZ55" i="7"/>
  <c r="JA55" i="7" s="1"/>
  <c r="IV55" i="7"/>
  <c r="IU55" i="7"/>
  <c r="IN55" i="7"/>
  <c r="IM55" i="7"/>
  <c r="HX55" i="7"/>
  <c r="HW55" i="7"/>
  <c r="HV55" i="7"/>
  <c r="HT55" i="7"/>
  <c r="HU55" i="7" s="1"/>
  <c r="HP55" i="7"/>
  <c r="HO55" i="7"/>
  <c r="HJ55" i="7"/>
  <c r="HY55" i="7" s="1"/>
  <c r="EV55" i="7"/>
  <c r="EU55" i="7"/>
  <c r="ET55" i="7"/>
  <c r="ES55" i="7"/>
  <c r="ER55" i="7"/>
  <c r="UV54" i="7"/>
  <c r="UU54" i="7"/>
  <c r="TD54" i="7"/>
  <c r="UW54" i="7" s="1"/>
  <c r="SZ54" i="7"/>
  <c r="SO54" i="7"/>
  <c r="RO54" i="7"/>
  <c r="RN54" i="7"/>
  <c r="RM54" i="7"/>
  <c r="PV54" i="7"/>
  <c r="PR54" i="7"/>
  <c r="PG54" i="7"/>
  <c r="MN54" i="7"/>
  <c r="MJ54" i="7"/>
  <c r="LY54" i="7"/>
  <c r="LR54" i="7"/>
  <c r="LQ54" i="7"/>
  <c r="LN54" i="7"/>
  <c r="LM54" i="7"/>
  <c r="LJ54" i="7"/>
  <c r="LI54" i="7"/>
  <c r="LF54" i="7"/>
  <c r="LE54" i="7"/>
  <c r="LB54" i="7"/>
  <c r="LA54" i="7"/>
  <c r="KX54" i="7"/>
  <c r="KS54" i="7"/>
  <c r="LS54" i="7" s="1"/>
  <c r="KN54" i="7"/>
  <c r="KI54" i="7"/>
  <c r="KE54" i="7"/>
  <c r="KD54" i="7"/>
  <c r="LO54" i="7" s="1"/>
  <c r="LP54" i="7" s="1"/>
  <c r="JZ54" i="7"/>
  <c r="JY54" i="7"/>
  <c r="JU54" i="7"/>
  <c r="JT54" i="7"/>
  <c r="JP54" i="7"/>
  <c r="JO54" i="7"/>
  <c r="JK54" i="7"/>
  <c r="JJ54" i="7"/>
  <c r="LK54" i="7" s="1"/>
  <c r="LL54" i="7" s="1"/>
  <c r="JF54" i="7"/>
  <c r="JE54" i="7"/>
  <c r="JA54" i="7"/>
  <c r="IZ54" i="7"/>
  <c r="LG54" i="7" s="1"/>
  <c r="LH54" i="7" s="1"/>
  <c r="IV54" i="7"/>
  <c r="IU54" i="7"/>
  <c r="IN54" i="7"/>
  <c r="IM54" i="7"/>
  <c r="IJ54" i="7"/>
  <c r="II54" i="7"/>
  <c r="HY54" i="7"/>
  <c r="HX54" i="7"/>
  <c r="HW54" i="7"/>
  <c r="HV54" i="7"/>
  <c r="HU54" i="7"/>
  <c r="HT54" i="7"/>
  <c r="HP54" i="7"/>
  <c r="HO54" i="7"/>
  <c r="HK54" i="7"/>
  <c r="HJ54" i="7"/>
  <c r="IO54" i="7" s="1"/>
  <c r="IP54" i="7" s="1"/>
  <c r="HF54" i="7"/>
  <c r="HE54" i="7"/>
  <c r="HA54" i="7"/>
  <c r="GZ54" i="7"/>
  <c r="IK54" i="7" s="1"/>
  <c r="IL54" i="7" s="1"/>
  <c r="GV54" i="7"/>
  <c r="GU54" i="7"/>
  <c r="EV54" i="7"/>
  <c r="EU54" i="7"/>
  <c r="ET54" i="7"/>
  <c r="ES54" i="7"/>
  <c r="ER54" i="7"/>
  <c r="UV53" i="7"/>
  <c r="UU53" i="7"/>
  <c r="TD53" i="7"/>
  <c r="UW53" i="7" s="1"/>
  <c r="SZ53" i="7"/>
  <c r="SO53" i="7"/>
  <c r="RN53" i="7"/>
  <c r="RM53" i="7"/>
  <c r="PV53" i="7"/>
  <c r="RO53" i="7" s="1"/>
  <c r="PR53" i="7"/>
  <c r="PG53" i="7"/>
  <c r="MN53" i="7"/>
  <c r="MJ53" i="7"/>
  <c r="LY53" i="7"/>
  <c r="LS53" i="7"/>
  <c r="LR53" i="7"/>
  <c r="LQ53" i="7"/>
  <c r="LN53" i="7"/>
  <c r="LM53" i="7"/>
  <c r="LJ53" i="7"/>
  <c r="LI53" i="7"/>
  <c r="LF53" i="7"/>
  <c r="LE53" i="7"/>
  <c r="LB53" i="7"/>
  <c r="LA53" i="7"/>
  <c r="KX53" i="7"/>
  <c r="KS53" i="7"/>
  <c r="KN53" i="7"/>
  <c r="KI53" i="7"/>
  <c r="KD53" i="7"/>
  <c r="JZ53" i="7"/>
  <c r="JY53" i="7"/>
  <c r="LO53" i="7" s="1"/>
  <c r="JU53" i="7"/>
  <c r="JT53" i="7"/>
  <c r="JP53" i="7"/>
  <c r="JO53" i="7"/>
  <c r="JK53" i="7"/>
  <c r="JJ53" i="7"/>
  <c r="LK53" i="7" s="1"/>
  <c r="LL53" i="7" s="1"/>
  <c r="JF53" i="7"/>
  <c r="JE53" i="7"/>
  <c r="IZ53" i="7"/>
  <c r="IU53" i="7"/>
  <c r="LC53" i="7" s="1"/>
  <c r="IN53" i="7"/>
  <c r="IM53" i="7"/>
  <c r="IK53" i="7"/>
  <c r="IJ53" i="7"/>
  <c r="II53" i="7"/>
  <c r="IF53" i="7"/>
  <c r="IE53" i="7"/>
  <c r="IC53" i="7"/>
  <c r="IB53" i="7"/>
  <c r="IA53" i="7"/>
  <c r="HX53" i="7"/>
  <c r="HV53" i="7"/>
  <c r="HT53" i="7"/>
  <c r="HO53" i="7"/>
  <c r="HJ53" i="7"/>
  <c r="IO53" i="7" s="1"/>
  <c r="GN53" i="7"/>
  <c r="HW53" i="7" s="1"/>
  <c r="GL53" i="7"/>
  <c r="GK53" i="7"/>
  <c r="GI53" i="7"/>
  <c r="FW53" i="7"/>
  <c r="FK53" i="7"/>
  <c r="FI53" i="7"/>
  <c r="FG53" i="7"/>
  <c r="FF53" i="7"/>
  <c r="FE53" i="7"/>
  <c r="EV53" i="7"/>
  <c r="EU53" i="7"/>
  <c r="ET53" i="7"/>
  <c r="ES53" i="7"/>
  <c r="ER53" i="7"/>
  <c r="EG53" i="7"/>
  <c r="EF53" i="7"/>
  <c r="FL53" i="7" s="1"/>
  <c r="FM53" i="7" s="1"/>
  <c r="DQ53" i="7"/>
  <c r="BP53" i="7"/>
  <c r="UV52" i="7"/>
  <c r="UU52" i="7"/>
  <c r="TD52" i="7"/>
  <c r="UW52" i="7" s="1"/>
  <c r="SZ52" i="7"/>
  <c r="SO52" i="7"/>
  <c r="RN52" i="7"/>
  <c r="RM52" i="7"/>
  <c r="PV52" i="7"/>
  <c r="RO52" i="7" s="1"/>
  <c r="PR52" i="7"/>
  <c r="PG52" i="7"/>
  <c r="MN52" i="7"/>
  <c r="MJ52" i="7"/>
  <c r="LY52" i="7"/>
  <c r="LR52" i="7"/>
  <c r="LQ52" i="7"/>
  <c r="LN52" i="7"/>
  <c r="LM52" i="7"/>
  <c r="LJ52" i="7"/>
  <c r="LI52" i="7"/>
  <c r="LF52" i="7"/>
  <c r="LE52" i="7"/>
  <c r="LB52" i="7"/>
  <c r="LA52" i="7"/>
  <c r="KX52" i="7"/>
  <c r="KS52" i="7"/>
  <c r="KN52" i="7"/>
  <c r="LS52" i="7" s="1"/>
  <c r="KI52" i="7"/>
  <c r="KD52" i="7"/>
  <c r="LO52" i="7" s="1"/>
  <c r="JO52" i="7"/>
  <c r="JJ52" i="7"/>
  <c r="LK52" i="7" s="1"/>
  <c r="LL52" i="7" s="1"/>
  <c r="JF52" i="7"/>
  <c r="JE52" i="7"/>
  <c r="IZ52" i="7"/>
  <c r="JA52" i="7" s="1"/>
  <c r="IV52" i="7"/>
  <c r="IU52" i="7"/>
  <c r="LG52" i="7" s="1"/>
  <c r="LH52" i="7" s="1"/>
  <c r="IO52" i="7"/>
  <c r="IP52" i="7" s="1"/>
  <c r="IN52" i="7"/>
  <c r="IM52" i="7"/>
  <c r="IK52" i="7"/>
  <c r="IL52" i="7" s="1"/>
  <c r="IJ52" i="7"/>
  <c r="II52" i="7"/>
  <c r="IG52" i="7"/>
  <c r="IH52" i="7" s="1"/>
  <c r="IF52" i="7"/>
  <c r="IE52" i="7"/>
  <c r="IC52" i="7"/>
  <c r="IB52" i="7"/>
  <c r="IA52" i="7"/>
  <c r="HX52" i="7"/>
  <c r="HW52" i="7"/>
  <c r="HV52" i="7"/>
  <c r="HT52" i="7"/>
  <c r="HU52" i="7" s="1"/>
  <c r="HP52" i="7"/>
  <c r="HO52" i="7"/>
  <c r="HJ52" i="7"/>
  <c r="HK52" i="7" s="1"/>
  <c r="HF52" i="7"/>
  <c r="HE52" i="7"/>
  <c r="GZ52" i="7"/>
  <c r="HA52" i="7" s="1"/>
  <c r="GV52" i="7"/>
  <c r="GU52" i="7"/>
  <c r="GP52" i="7"/>
  <c r="GQ52" i="7" s="1"/>
  <c r="GL52" i="7"/>
  <c r="GK52" i="7"/>
  <c r="GF52" i="7"/>
  <c r="HY52" i="7" s="1"/>
  <c r="EV52" i="7"/>
  <c r="EU52" i="7"/>
  <c r="ET52" i="7"/>
  <c r="ES52" i="7"/>
  <c r="ER52" i="7"/>
  <c r="UV51" i="7"/>
  <c r="UU51" i="7"/>
  <c r="TD51" i="7"/>
  <c r="UW51" i="7" s="1"/>
  <c r="SZ51" i="7"/>
  <c r="SO51" i="7"/>
  <c r="RN51" i="7"/>
  <c r="RM51" i="7"/>
  <c r="PV51" i="7"/>
  <c r="PR51" i="7"/>
  <c r="PG51" i="7"/>
  <c r="RO51" i="7" s="1"/>
  <c r="MN51" i="7"/>
  <c r="MJ51" i="7"/>
  <c r="LY51" i="7"/>
  <c r="LR51" i="7"/>
  <c r="LQ51" i="7"/>
  <c r="LN51" i="7"/>
  <c r="LM51" i="7"/>
  <c r="LJ51" i="7"/>
  <c r="LI51" i="7"/>
  <c r="LF51" i="7"/>
  <c r="LE51" i="7"/>
  <c r="LB51" i="7"/>
  <c r="LA51" i="7"/>
  <c r="KX51" i="7"/>
  <c r="KS51" i="7"/>
  <c r="KN51" i="7"/>
  <c r="LS51" i="7" s="1"/>
  <c r="KI51" i="7"/>
  <c r="KD51" i="7"/>
  <c r="LO51" i="7" s="1"/>
  <c r="JO51" i="7"/>
  <c r="JK51" i="7"/>
  <c r="JJ51" i="7"/>
  <c r="LK51" i="7" s="1"/>
  <c r="LL51" i="7" s="1"/>
  <c r="JE51" i="7"/>
  <c r="JF51" i="7" s="1"/>
  <c r="JA51" i="7"/>
  <c r="IZ51" i="7"/>
  <c r="IU51" i="7"/>
  <c r="IV51" i="7" s="1"/>
  <c r="IN51" i="7"/>
  <c r="IM51" i="7"/>
  <c r="IJ51" i="7"/>
  <c r="II51" i="7"/>
  <c r="IF51" i="7"/>
  <c r="IE51" i="7"/>
  <c r="IC51" i="7"/>
  <c r="IB51" i="7"/>
  <c r="IA51" i="7"/>
  <c r="HX51" i="7"/>
  <c r="HW51" i="7"/>
  <c r="HV51" i="7"/>
  <c r="HT51" i="7"/>
  <c r="HU51" i="7" s="1"/>
  <c r="HP51" i="7"/>
  <c r="HO51" i="7"/>
  <c r="HJ51" i="7"/>
  <c r="IO51" i="7" s="1"/>
  <c r="IP51" i="7" s="1"/>
  <c r="HF51" i="7"/>
  <c r="HE51" i="7"/>
  <c r="GZ51" i="7"/>
  <c r="IK51" i="7" s="1"/>
  <c r="IL51" i="7" s="1"/>
  <c r="GV51" i="7"/>
  <c r="GU51" i="7"/>
  <c r="GP51" i="7"/>
  <c r="IG51" i="7" s="1"/>
  <c r="IH51" i="7" s="1"/>
  <c r="GL51" i="7"/>
  <c r="GK51" i="7"/>
  <c r="HY51" i="7" s="1"/>
  <c r="EU51" i="7"/>
  <c r="EV51" i="7" s="1"/>
  <c r="ET51" i="7"/>
  <c r="ES51" i="7"/>
  <c r="ER51" i="7"/>
  <c r="UW50" i="7"/>
  <c r="UV50" i="7"/>
  <c r="UU50" i="7"/>
  <c r="TD50" i="7"/>
  <c r="SZ50" i="7"/>
  <c r="SO50" i="7"/>
  <c r="RN50" i="7"/>
  <c r="RM50" i="7"/>
  <c r="PV50" i="7"/>
  <c r="RO50" i="7" s="1"/>
  <c r="PR50" i="7"/>
  <c r="PG50" i="7"/>
  <c r="MN50" i="7"/>
  <c r="MJ50" i="7"/>
  <c r="LY50" i="7"/>
  <c r="LR50" i="7"/>
  <c r="LQ50" i="7"/>
  <c r="LN50" i="7"/>
  <c r="LM50" i="7"/>
  <c r="LJ50" i="7"/>
  <c r="LI50" i="7"/>
  <c r="LF50" i="7"/>
  <c r="LE50" i="7"/>
  <c r="LB50" i="7"/>
  <c r="LA50" i="7"/>
  <c r="KX50" i="7"/>
  <c r="KN50" i="7"/>
  <c r="LS50" i="7" s="1"/>
  <c r="KI50" i="7"/>
  <c r="KD50" i="7"/>
  <c r="JZ50" i="7"/>
  <c r="JY50" i="7"/>
  <c r="LO50" i="7" s="1"/>
  <c r="JT50" i="7"/>
  <c r="JU50" i="7" s="1"/>
  <c r="JP50" i="7"/>
  <c r="JO50" i="7"/>
  <c r="JJ50" i="7"/>
  <c r="LK50" i="7" s="1"/>
  <c r="LL50" i="7" s="1"/>
  <c r="JF50" i="7"/>
  <c r="JE50" i="7"/>
  <c r="LC50" i="7" s="1"/>
  <c r="IZ50" i="7"/>
  <c r="IU50" i="7"/>
  <c r="LG50" i="7" s="1"/>
  <c r="LH50" i="7" s="1"/>
  <c r="IN50" i="7"/>
  <c r="IM50" i="7"/>
  <c r="IJ50" i="7"/>
  <c r="II50" i="7"/>
  <c r="IF50" i="7"/>
  <c r="IE50" i="7"/>
  <c r="IA50" i="7"/>
  <c r="HV50" i="7"/>
  <c r="HU50" i="7"/>
  <c r="HT50" i="7"/>
  <c r="HO50" i="7"/>
  <c r="HP50" i="7" s="1"/>
  <c r="HK50" i="7"/>
  <c r="HJ50" i="7"/>
  <c r="IO50" i="7" s="1"/>
  <c r="IP50" i="7" s="1"/>
  <c r="HE50" i="7"/>
  <c r="HF50" i="7" s="1"/>
  <c r="HA50" i="7"/>
  <c r="GZ50" i="7"/>
  <c r="IK50" i="7" s="1"/>
  <c r="IL50" i="7" s="1"/>
  <c r="GU50" i="7"/>
  <c r="GV50" i="7" s="1"/>
  <c r="GQ50" i="7"/>
  <c r="GP50" i="7"/>
  <c r="GK50" i="7"/>
  <c r="GL50" i="7" s="1"/>
  <c r="GG50" i="7"/>
  <c r="GF50" i="7"/>
  <c r="IG50" i="7" s="1"/>
  <c r="IH50" i="7" s="1"/>
  <c r="FZ50" i="7"/>
  <c r="FZ232" i="7" s="1"/>
  <c r="FY50" i="7"/>
  <c r="FY232" i="7" s="1"/>
  <c r="FV50" i="7"/>
  <c r="FW50" i="7" s="1"/>
  <c r="EV50" i="7"/>
  <c r="EU50" i="7"/>
  <c r="ET50" i="7"/>
  <c r="ES50" i="7"/>
  <c r="ER50" i="7"/>
  <c r="UV49" i="7"/>
  <c r="UU49" i="7"/>
  <c r="TD49" i="7"/>
  <c r="UW49" i="7" s="1"/>
  <c r="SZ49" i="7"/>
  <c r="SO49" i="7"/>
  <c r="RN49" i="7"/>
  <c r="RM49" i="7"/>
  <c r="PV49" i="7"/>
  <c r="PR49" i="7"/>
  <c r="PG49" i="7"/>
  <c r="RO49" i="7" s="1"/>
  <c r="MN49" i="7"/>
  <c r="MJ49" i="7"/>
  <c r="LY49" i="7"/>
  <c r="LR49" i="7"/>
  <c r="LQ49" i="7"/>
  <c r="LN49" i="7"/>
  <c r="LM49" i="7"/>
  <c r="LJ49" i="7"/>
  <c r="LI49" i="7"/>
  <c r="LF49" i="7"/>
  <c r="LE49" i="7"/>
  <c r="LB49" i="7"/>
  <c r="LA49" i="7"/>
  <c r="KX49" i="7"/>
  <c r="KS49" i="7"/>
  <c r="KN49" i="7"/>
  <c r="LS49" i="7" s="1"/>
  <c r="KI49" i="7"/>
  <c r="KD49" i="7"/>
  <c r="JY49" i="7"/>
  <c r="LO49" i="7" s="1"/>
  <c r="JT49" i="7"/>
  <c r="JO49" i="7"/>
  <c r="JJ49" i="7"/>
  <c r="LK49" i="7" s="1"/>
  <c r="LL49" i="7" s="1"/>
  <c r="JE49" i="7"/>
  <c r="IZ49" i="7"/>
  <c r="IV49" i="7"/>
  <c r="IU49" i="7"/>
  <c r="LG49" i="7" s="1"/>
  <c r="LH49" i="7" s="1"/>
  <c r="IN49" i="7"/>
  <c r="IM49" i="7"/>
  <c r="IJ49" i="7"/>
  <c r="II49" i="7"/>
  <c r="IF49" i="7"/>
  <c r="IE49" i="7"/>
  <c r="IC49" i="7"/>
  <c r="ID49" i="7" s="1"/>
  <c r="IB49" i="7"/>
  <c r="IA49" i="7"/>
  <c r="HX49" i="7"/>
  <c r="HV49" i="7"/>
  <c r="HT49" i="7"/>
  <c r="HU49" i="7" s="1"/>
  <c r="HP49" i="7"/>
  <c r="HO49" i="7"/>
  <c r="HJ49" i="7"/>
  <c r="HK49" i="7" s="1"/>
  <c r="HF49" i="7"/>
  <c r="HE49" i="7"/>
  <c r="GZ49" i="7"/>
  <c r="HA49" i="7" s="1"/>
  <c r="GV49" i="7"/>
  <c r="GU49" i="7"/>
  <c r="GS49" i="7"/>
  <c r="GS232" i="7" s="1"/>
  <c r="GQ49" i="7"/>
  <c r="GP49" i="7"/>
  <c r="GN49" i="7"/>
  <c r="GK49" i="7"/>
  <c r="GL49" i="7" s="1"/>
  <c r="GI49" i="7"/>
  <c r="GI232" i="7" s="1"/>
  <c r="GF49" i="7"/>
  <c r="GG49" i="7" s="1"/>
  <c r="GB49" i="7"/>
  <c r="GA49" i="7"/>
  <c r="FV49" i="7"/>
  <c r="FW49" i="7" s="1"/>
  <c r="FR49" i="7"/>
  <c r="FQ49" i="7"/>
  <c r="HY49" i="7" s="1"/>
  <c r="FP49" i="7"/>
  <c r="FP232" i="7" s="1"/>
  <c r="EU49" i="7"/>
  <c r="EV49" i="7" s="1"/>
  <c r="ET49" i="7"/>
  <c r="ES49" i="7"/>
  <c r="ER49" i="7"/>
  <c r="UW48" i="7"/>
  <c r="UV48" i="7"/>
  <c r="UU48" i="7"/>
  <c r="TD48" i="7"/>
  <c r="SZ48" i="7"/>
  <c r="SO48" i="7"/>
  <c r="RN48" i="7"/>
  <c r="RM48" i="7"/>
  <c r="PV48" i="7"/>
  <c r="RO48" i="7" s="1"/>
  <c r="PR48" i="7"/>
  <c r="PG48" i="7"/>
  <c r="MN48" i="7"/>
  <c r="MJ48" i="7"/>
  <c r="LY48" i="7"/>
  <c r="LR48" i="7"/>
  <c r="LQ48" i="7"/>
  <c r="LN48" i="7"/>
  <c r="LM48" i="7"/>
  <c r="LJ48" i="7"/>
  <c r="LI48" i="7"/>
  <c r="LF48" i="7"/>
  <c r="LE48" i="7"/>
  <c r="LB48" i="7"/>
  <c r="LA48" i="7"/>
  <c r="KX48" i="7"/>
  <c r="KS48" i="7"/>
  <c r="KN48" i="7"/>
  <c r="LS48" i="7" s="1"/>
  <c r="KI48" i="7"/>
  <c r="KD48" i="7"/>
  <c r="JY48" i="7"/>
  <c r="LO48" i="7" s="1"/>
  <c r="JO48" i="7"/>
  <c r="JP48" i="7" s="1"/>
  <c r="JK48" i="7"/>
  <c r="JJ48" i="7"/>
  <c r="LK48" i="7" s="1"/>
  <c r="LL48" i="7" s="1"/>
  <c r="JE48" i="7"/>
  <c r="JF48" i="7" s="1"/>
  <c r="JA48" i="7"/>
  <c r="IZ48" i="7"/>
  <c r="IU48" i="7"/>
  <c r="LG48" i="7" s="1"/>
  <c r="LH48" i="7" s="1"/>
  <c r="IN48" i="7"/>
  <c r="IM48" i="7"/>
  <c r="IJ48" i="7"/>
  <c r="II48" i="7"/>
  <c r="IF48" i="7"/>
  <c r="IE48" i="7"/>
  <c r="IB48" i="7"/>
  <c r="IA48" i="7"/>
  <c r="HX48" i="7"/>
  <c r="HV48" i="7"/>
  <c r="HU48" i="7"/>
  <c r="HT48" i="7"/>
  <c r="HO48" i="7"/>
  <c r="HP48" i="7" s="1"/>
  <c r="HK48" i="7"/>
  <c r="HJ48" i="7"/>
  <c r="IO48" i="7" s="1"/>
  <c r="IP48" i="7" s="1"/>
  <c r="HE48" i="7"/>
  <c r="HF48" i="7" s="1"/>
  <c r="HC48" i="7"/>
  <c r="HC232" i="7" s="1"/>
  <c r="GZ48" i="7"/>
  <c r="HA48" i="7" s="1"/>
  <c r="GV48" i="7"/>
  <c r="GU48" i="7"/>
  <c r="IK48" i="7" s="1"/>
  <c r="IL48" i="7" s="1"/>
  <c r="GP48" i="7"/>
  <c r="GQ48" i="7" s="1"/>
  <c r="GL48" i="7"/>
  <c r="GK48" i="7"/>
  <c r="GF48" i="7"/>
  <c r="IG48" i="7" s="1"/>
  <c r="IH48" i="7" s="1"/>
  <c r="GB48" i="7"/>
  <c r="GA48" i="7"/>
  <c r="FV48" i="7"/>
  <c r="FW48" i="7" s="1"/>
  <c r="FR48" i="7"/>
  <c r="FQ48" i="7"/>
  <c r="HY48" i="7" s="1"/>
  <c r="FK48" i="7"/>
  <c r="FI48" i="7"/>
  <c r="FF48" i="7"/>
  <c r="FE48" i="7"/>
  <c r="FB48" i="7"/>
  <c r="FA48" i="7"/>
  <c r="EX48" i="7"/>
  <c r="EW48" i="7"/>
  <c r="ET48" i="7"/>
  <c r="ES48" i="7"/>
  <c r="ER48" i="7"/>
  <c r="EQ48" i="7"/>
  <c r="EP48" i="7"/>
  <c r="EK48" i="7"/>
  <c r="EL48" i="7" s="1"/>
  <c r="EG48" i="7"/>
  <c r="EF48" i="7"/>
  <c r="FL48" i="7" s="1"/>
  <c r="FM48" i="7" s="1"/>
  <c r="EA48" i="7"/>
  <c r="EB48" i="7" s="1"/>
  <c r="DW48" i="7"/>
  <c r="DV48" i="7"/>
  <c r="DQ48" i="7"/>
  <c r="FG48" i="7" s="1"/>
  <c r="FH48" i="7" s="1"/>
  <c r="DL48" i="7"/>
  <c r="FC48" i="7" s="1"/>
  <c r="DG48" i="7"/>
  <c r="DB48" i="7"/>
  <c r="CW48" i="7"/>
  <c r="EY48" i="7" s="1"/>
  <c r="UV47" i="7"/>
  <c r="UU47" i="7"/>
  <c r="TD47" i="7"/>
  <c r="UW47" i="7" s="1"/>
  <c r="SZ47" i="7"/>
  <c r="SO47" i="7"/>
  <c r="RN47" i="7"/>
  <c r="RM47" i="7"/>
  <c r="PV47" i="7"/>
  <c r="PR47" i="7"/>
  <c r="PG47" i="7"/>
  <c r="RO47" i="7" s="1"/>
  <c r="MN47" i="7"/>
  <c r="MJ47" i="7"/>
  <c r="LY47" i="7"/>
  <c r="LR47" i="7"/>
  <c r="LQ47" i="7"/>
  <c r="LN47" i="7"/>
  <c r="LM47" i="7"/>
  <c r="LJ47" i="7"/>
  <c r="LI47" i="7"/>
  <c r="LF47" i="7"/>
  <c r="LE47" i="7"/>
  <c r="LB47" i="7"/>
  <c r="LA47" i="7"/>
  <c r="KX47" i="7"/>
  <c r="KS47" i="7"/>
  <c r="KN47" i="7"/>
  <c r="LS47" i="7" s="1"/>
  <c r="KI47" i="7"/>
  <c r="KD47" i="7"/>
  <c r="JY47" i="7"/>
  <c r="LO47" i="7" s="1"/>
  <c r="JP47" i="7"/>
  <c r="JO47" i="7"/>
  <c r="JJ47" i="7"/>
  <c r="JK47" i="7" s="1"/>
  <c r="JF47" i="7"/>
  <c r="JE47" i="7"/>
  <c r="IZ47" i="7"/>
  <c r="JA47" i="7" s="1"/>
  <c r="IV47" i="7"/>
  <c r="IU47" i="7"/>
  <c r="LG47" i="7" s="1"/>
  <c r="LH47" i="7" s="1"/>
  <c r="IT47" i="7"/>
  <c r="IT167" i="7" s="1"/>
  <c r="IN47" i="7"/>
  <c r="IM47" i="7"/>
  <c r="IJ47" i="7"/>
  <c r="II47" i="7"/>
  <c r="IF47" i="7"/>
  <c r="IE47" i="7"/>
  <c r="IB47" i="7"/>
  <c r="IA47" i="7"/>
  <c r="HX47" i="7"/>
  <c r="HW47" i="7"/>
  <c r="HV47" i="7"/>
  <c r="HT47" i="7"/>
  <c r="HU47" i="7" s="1"/>
  <c r="HP47" i="7"/>
  <c r="HO47" i="7"/>
  <c r="HJ47" i="7"/>
  <c r="HK47" i="7" s="1"/>
  <c r="HF47" i="7"/>
  <c r="HE47" i="7"/>
  <c r="GZ47" i="7"/>
  <c r="HA47" i="7" s="1"/>
  <c r="GV47" i="7"/>
  <c r="GU47" i="7"/>
  <c r="GP47" i="7"/>
  <c r="GQ47" i="7" s="1"/>
  <c r="GL47" i="7"/>
  <c r="GK47" i="7"/>
  <c r="GJ47" i="7"/>
  <c r="GJ232" i="7" s="1"/>
  <c r="GG47" i="7"/>
  <c r="GF47" i="7"/>
  <c r="GD47" i="7"/>
  <c r="GD232" i="7" s="1"/>
  <c r="GA47" i="7"/>
  <c r="GB47" i="7" s="1"/>
  <c r="FW47" i="7"/>
  <c r="FV47" i="7"/>
  <c r="FQ47" i="7"/>
  <c r="HY47" i="7" s="1"/>
  <c r="FK47" i="7"/>
  <c r="FI47" i="7"/>
  <c r="FF47" i="7"/>
  <c r="FE47" i="7"/>
  <c r="FB47" i="7"/>
  <c r="FA47" i="7"/>
  <c r="EX47" i="7"/>
  <c r="EW47" i="7"/>
  <c r="ET47" i="7"/>
  <c r="ER47" i="7"/>
  <c r="EQ47" i="7"/>
  <c r="EP47" i="7"/>
  <c r="EL47" i="7"/>
  <c r="EK47" i="7"/>
  <c r="EG47" i="7"/>
  <c r="EF47" i="7"/>
  <c r="FL47" i="7" s="1"/>
  <c r="FM47" i="7" s="1"/>
  <c r="EB47" i="7"/>
  <c r="EA47" i="7"/>
  <c r="DW47" i="7"/>
  <c r="DV47" i="7"/>
  <c r="DT47" i="7"/>
  <c r="DT232" i="7" s="1"/>
  <c r="DQ47" i="7"/>
  <c r="FG47" i="7" s="1"/>
  <c r="FH47" i="7" s="1"/>
  <c r="DL47" i="7"/>
  <c r="FC47" i="7" s="1"/>
  <c r="DG47" i="7"/>
  <c r="DB47" i="7"/>
  <c r="CW47" i="7"/>
  <c r="EY47" i="7" s="1"/>
  <c r="UV46" i="7"/>
  <c r="UU46" i="7"/>
  <c r="TD46" i="7"/>
  <c r="UW46" i="7" s="1"/>
  <c r="SZ46" i="7"/>
  <c r="SO46" i="7"/>
  <c r="RN46" i="7"/>
  <c r="RM46" i="7"/>
  <c r="PV46" i="7"/>
  <c r="RO46" i="7" s="1"/>
  <c r="PR46" i="7"/>
  <c r="PG46" i="7"/>
  <c r="MN46" i="7"/>
  <c r="MJ46" i="7"/>
  <c r="LY46" i="7"/>
  <c r="LR46" i="7"/>
  <c r="LQ46" i="7"/>
  <c r="LN46" i="7"/>
  <c r="LM46" i="7"/>
  <c r="LJ46" i="7"/>
  <c r="LI46" i="7"/>
  <c r="LF46" i="7"/>
  <c r="LE46" i="7"/>
  <c r="LB46" i="7"/>
  <c r="LA46" i="7"/>
  <c r="KX46" i="7"/>
  <c r="KS46" i="7"/>
  <c r="KN46" i="7"/>
  <c r="LS46" i="7" s="1"/>
  <c r="KI46" i="7"/>
  <c r="KD46" i="7"/>
  <c r="JY46" i="7"/>
  <c r="LO46" i="7" s="1"/>
  <c r="JO46" i="7"/>
  <c r="LK46" i="7" s="1"/>
  <c r="LL46" i="7" s="1"/>
  <c r="JE46" i="7"/>
  <c r="JA46" i="7"/>
  <c r="IU46" i="7"/>
  <c r="LG46" i="7" s="1"/>
  <c r="LH46" i="7" s="1"/>
  <c r="IN46" i="7"/>
  <c r="IM46" i="7"/>
  <c r="IJ46" i="7"/>
  <c r="II46" i="7"/>
  <c r="IF46" i="7"/>
  <c r="IE46" i="7"/>
  <c r="IB46" i="7"/>
  <c r="IA46" i="7"/>
  <c r="HX46" i="7"/>
  <c r="HW46" i="7"/>
  <c r="HV46" i="7"/>
  <c r="HU46" i="7"/>
  <c r="HP46" i="7"/>
  <c r="HO46" i="7"/>
  <c r="HK46" i="7"/>
  <c r="HJ46" i="7"/>
  <c r="IO46" i="7" s="1"/>
  <c r="IP46" i="7" s="1"/>
  <c r="HF46" i="7"/>
  <c r="HE46" i="7"/>
  <c r="HA46" i="7"/>
  <c r="GZ46" i="7"/>
  <c r="IK46" i="7" s="1"/>
  <c r="IL46" i="7" s="1"/>
  <c r="GV46" i="7"/>
  <c r="GU46" i="7"/>
  <c r="GQ46" i="7"/>
  <c r="GP46" i="7"/>
  <c r="GL46" i="7"/>
  <c r="GK46" i="7"/>
  <c r="GG46" i="7"/>
  <c r="GF46" i="7"/>
  <c r="IG46" i="7" s="1"/>
  <c r="IH46" i="7" s="1"/>
  <c r="GB46" i="7"/>
  <c r="GA46" i="7"/>
  <c r="FW46" i="7"/>
  <c r="FV46" i="7"/>
  <c r="HY46" i="7" s="1"/>
  <c r="FR46" i="7"/>
  <c r="FQ46" i="7"/>
  <c r="FK46" i="7"/>
  <c r="FI46" i="7"/>
  <c r="FF46" i="7"/>
  <c r="FE46" i="7"/>
  <c r="FB46" i="7"/>
  <c r="FA46" i="7"/>
  <c r="EX46" i="7"/>
  <c r="EW46" i="7"/>
  <c r="ET46" i="7"/>
  <c r="ES46" i="7"/>
  <c r="ER46" i="7"/>
  <c r="EQ46" i="7"/>
  <c r="EP46" i="7"/>
  <c r="EK46" i="7"/>
  <c r="FL46" i="7" s="1"/>
  <c r="FM46" i="7" s="1"/>
  <c r="EG46" i="7"/>
  <c r="EF46" i="7"/>
  <c r="EA46" i="7"/>
  <c r="EB46" i="7" s="1"/>
  <c r="DW46" i="7"/>
  <c r="DV46" i="7"/>
  <c r="DQ46" i="7"/>
  <c r="FG46" i="7" s="1"/>
  <c r="FH46" i="7" s="1"/>
  <c r="DM46" i="7"/>
  <c r="DL46" i="7"/>
  <c r="DG46" i="7"/>
  <c r="FC46" i="7" s="1"/>
  <c r="FD46" i="7" s="1"/>
  <c r="DC46" i="7"/>
  <c r="DB46" i="7"/>
  <c r="CW46" i="7"/>
  <c r="EY46" i="7" s="1"/>
  <c r="EZ46" i="7" s="1"/>
  <c r="CS46" i="7"/>
  <c r="CR46" i="7"/>
  <c r="CM46" i="7"/>
  <c r="CG46" i="7"/>
  <c r="CF46" i="7"/>
  <c r="CD46" i="7"/>
  <c r="CC46" i="7"/>
  <c r="CB46" i="7"/>
  <c r="BY46" i="7"/>
  <c r="BX46" i="7"/>
  <c r="BU46" i="7"/>
  <c r="BT46" i="7"/>
  <c r="BR46" i="7"/>
  <c r="BS46" i="7" s="1"/>
  <c r="BQ46" i="7"/>
  <c r="BP46" i="7"/>
  <c r="BN46" i="7"/>
  <c r="BI46" i="7"/>
  <c r="CH46" i="7" s="1"/>
  <c r="Z46" i="7"/>
  <c r="BZ46" i="7" s="1"/>
  <c r="U46" i="7"/>
  <c r="P46" i="7"/>
  <c r="K46" i="7"/>
  <c r="BV46" i="7" s="1"/>
  <c r="UV45" i="7"/>
  <c r="UU45" i="7"/>
  <c r="TD45" i="7"/>
  <c r="UW45" i="7" s="1"/>
  <c r="SZ45" i="7"/>
  <c r="SO45" i="7"/>
  <c r="RN45" i="7"/>
  <c r="RM45" i="7"/>
  <c r="PV45" i="7"/>
  <c r="PR45" i="7"/>
  <c r="PG45" i="7"/>
  <c r="RO45" i="7" s="1"/>
  <c r="MN45" i="7"/>
  <c r="MJ45" i="7"/>
  <c r="LY45" i="7"/>
  <c r="LR45" i="7"/>
  <c r="LQ45" i="7"/>
  <c r="LN45" i="7"/>
  <c r="LM45" i="7"/>
  <c r="LJ45" i="7"/>
  <c r="LI45" i="7"/>
  <c r="LF45" i="7"/>
  <c r="LE45" i="7"/>
  <c r="LB45" i="7"/>
  <c r="LA45" i="7"/>
  <c r="KX45" i="7"/>
  <c r="KS45" i="7"/>
  <c r="KN45" i="7"/>
  <c r="LS45" i="7" s="1"/>
  <c r="KI45" i="7"/>
  <c r="KD45" i="7"/>
  <c r="JY45" i="7"/>
  <c r="LO45" i="7" s="1"/>
  <c r="JO45" i="7"/>
  <c r="LK45" i="7" s="1"/>
  <c r="LL45" i="7" s="1"/>
  <c r="JJ45" i="7"/>
  <c r="JE45" i="7"/>
  <c r="JF45" i="7" s="1"/>
  <c r="JA45" i="7"/>
  <c r="IZ45" i="7"/>
  <c r="IU45" i="7"/>
  <c r="IV45" i="7" s="1"/>
  <c r="IN45" i="7"/>
  <c r="IM45" i="7"/>
  <c r="IJ45" i="7"/>
  <c r="II45" i="7"/>
  <c r="IF45" i="7"/>
  <c r="IE45" i="7"/>
  <c r="IB45" i="7"/>
  <c r="IA45" i="7"/>
  <c r="HY45" i="7"/>
  <c r="HX45" i="7"/>
  <c r="HW45" i="7"/>
  <c r="HV45" i="7"/>
  <c r="HU45" i="7"/>
  <c r="HT45" i="7"/>
  <c r="HO45" i="7"/>
  <c r="HP45" i="7" s="1"/>
  <c r="HK45" i="7"/>
  <c r="HJ45" i="7"/>
  <c r="IO45" i="7" s="1"/>
  <c r="IP45" i="7" s="1"/>
  <c r="HE45" i="7"/>
  <c r="HF45" i="7" s="1"/>
  <c r="HA45" i="7"/>
  <c r="GZ45" i="7"/>
  <c r="GU45" i="7"/>
  <c r="IK45" i="7" s="1"/>
  <c r="IL45" i="7" s="1"/>
  <c r="GQ45" i="7"/>
  <c r="GP45" i="7"/>
  <c r="GK45" i="7"/>
  <c r="GL45" i="7" s="1"/>
  <c r="GG45" i="7"/>
  <c r="GF45" i="7"/>
  <c r="IG45" i="7" s="1"/>
  <c r="IH45" i="7" s="1"/>
  <c r="GA45" i="7"/>
  <c r="GB45" i="7" s="1"/>
  <c r="FW45" i="7"/>
  <c r="FV45" i="7"/>
  <c r="FQ45" i="7"/>
  <c r="IC45" i="7" s="1"/>
  <c r="ID45" i="7" s="1"/>
  <c r="FK45" i="7"/>
  <c r="FI45" i="7"/>
  <c r="FF45" i="7"/>
  <c r="FE45" i="7"/>
  <c r="FB45" i="7"/>
  <c r="FA45" i="7"/>
  <c r="EX45" i="7"/>
  <c r="EW45" i="7"/>
  <c r="ET45" i="7"/>
  <c r="ER45" i="7"/>
  <c r="EQ45" i="7"/>
  <c r="EP45" i="7"/>
  <c r="EK45" i="7"/>
  <c r="EL45" i="7" s="1"/>
  <c r="EI45" i="7"/>
  <c r="EI232" i="7" s="1"/>
  <c r="EF45" i="7"/>
  <c r="FL45" i="7" s="1"/>
  <c r="FM45" i="7" s="1"/>
  <c r="EB45" i="7"/>
  <c r="EA45" i="7"/>
  <c r="DV45" i="7"/>
  <c r="DW45" i="7" s="1"/>
  <c r="DR45" i="7"/>
  <c r="DQ45" i="7"/>
  <c r="FG45" i="7" s="1"/>
  <c r="FH45" i="7" s="1"/>
  <c r="DL45" i="7"/>
  <c r="DH45" i="7"/>
  <c r="DG45" i="7"/>
  <c r="CZ45" i="7"/>
  <c r="CZ232" i="7" s="1"/>
  <c r="CU45" i="7"/>
  <c r="CU232" i="7" s="1"/>
  <c r="CR45" i="7"/>
  <c r="CM45" i="7"/>
  <c r="CG45" i="7"/>
  <c r="CF45" i="7"/>
  <c r="CD45" i="7"/>
  <c r="CC45" i="7"/>
  <c r="CB45" i="7"/>
  <c r="BY45" i="7"/>
  <c r="BX45" i="7"/>
  <c r="BU45" i="7"/>
  <c r="BT45" i="7"/>
  <c r="BR45" i="7"/>
  <c r="BS45" i="7" s="1"/>
  <c r="BQ45" i="7"/>
  <c r="BP45" i="7"/>
  <c r="BN45" i="7"/>
  <c r="BI45" i="7"/>
  <c r="CH45" i="7" s="1"/>
  <c r="Z45" i="7"/>
  <c r="BZ45" i="7" s="1"/>
  <c r="U45" i="7"/>
  <c r="P45" i="7"/>
  <c r="K45" i="7"/>
  <c r="BV45" i="7" s="1"/>
  <c r="UW44" i="7"/>
  <c r="UV44" i="7"/>
  <c r="UU44" i="7"/>
  <c r="TD44" i="7"/>
  <c r="SZ44" i="7"/>
  <c r="SO44" i="7"/>
  <c r="RN44" i="7"/>
  <c r="RM44" i="7"/>
  <c r="PV44" i="7"/>
  <c r="RO44" i="7" s="1"/>
  <c r="PR44" i="7"/>
  <c r="PG44" i="7"/>
  <c r="MN44" i="7"/>
  <c r="MJ44" i="7"/>
  <c r="LY44" i="7"/>
  <c r="LR44" i="7"/>
  <c r="LQ44" i="7"/>
  <c r="LN44" i="7"/>
  <c r="LM44" i="7"/>
  <c r="LJ44" i="7"/>
  <c r="LI44" i="7"/>
  <c r="LF44" i="7"/>
  <c r="LE44" i="7"/>
  <c r="LB44" i="7"/>
  <c r="LA44" i="7"/>
  <c r="KX44" i="7"/>
  <c r="KS44" i="7"/>
  <c r="KN44" i="7"/>
  <c r="LS44" i="7" s="1"/>
  <c r="KI44" i="7"/>
  <c r="JY44" i="7"/>
  <c r="LO44" i="7" s="1"/>
  <c r="JO44" i="7"/>
  <c r="JJ44" i="7"/>
  <c r="LK44" i="7" s="1"/>
  <c r="LL44" i="7" s="1"/>
  <c r="JE44" i="7"/>
  <c r="JA44" i="7"/>
  <c r="IU44" i="7"/>
  <c r="LG44" i="7" s="1"/>
  <c r="LH44" i="7" s="1"/>
  <c r="IN44" i="7"/>
  <c r="IM44" i="7"/>
  <c r="IJ44" i="7"/>
  <c r="II44" i="7"/>
  <c r="IF44" i="7"/>
  <c r="IE44" i="7"/>
  <c r="IB44" i="7"/>
  <c r="IA44" i="7"/>
  <c r="HY44" i="7"/>
  <c r="HX44" i="7"/>
  <c r="HW44" i="7"/>
  <c r="HV44" i="7"/>
  <c r="HU44" i="7"/>
  <c r="HT44" i="7"/>
  <c r="HO44" i="7"/>
  <c r="HP44" i="7" s="1"/>
  <c r="HK44" i="7"/>
  <c r="HJ44" i="7"/>
  <c r="IO44" i="7" s="1"/>
  <c r="IP44" i="7" s="1"/>
  <c r="HE44" i="7"/>
  <c r="HF44" i="7" s="1"/>
  <c r="HA44" i="7"/>
  <c r="GZ44" i="7"/>
  <c r="GU44" i="7"/>
  <c r="IK44" i="7" s="1"/>
  <c r="IL44" i="7" s="1"/>
  <c r="GQ44" i="7"/>
  <c r="GP44" i="7"/>
  <c r="GK44" i="7"/>
  <c r="GL44" i="7" s="1"/>
  <c r="GG44" i="7"/>
  <c r="GF44" i="7"/>
  <c r="IG44" i="7" s="1"/>
  <c r="IH44" i="7" s="1"/>
  <c r="GA44" i="7"/>
  <c r="GB44" i="7" s="1"/>
  <c r="FW44" i="7"/>
  <c r="FV44" i="7"/>
  <c r="FQ44" i="7"/>
  <c r="IC44" i="7" s="1"/>
  <c r="ID44" i="7" s="1"/>
  <c r="FK44" i="7"/>
  <c r="FI44" i="7"/>
  <c r="FF44" i="7"/>
  <c r="FE44" i="7"/>
  <c r="FB44" i="7"/>
  <c r="FA44" i="7"/>
  <c r="EX44" i="7"/>
  <c r="EW44" i="7"/>
  <c r="ET44" i="7"/>
  <c r="ES44" i="7"/>
  <c r="ER44" i="7"/>
  <c r="EQ44" i="7"/>
  <c r="EP44" i="7"/>
  <c r="EK44" i="7"/>
  <c r="FL44" i="7" s="1"/>
  <c r="FM44" i="7" s="1"/>
  <c r="EG44" i="7"/>
  <c r="EF44" i="7"/>
  <c r="EA44" i="7"/>
  <c r="EB44" i="7" s="1"/>
  <c r="DW44" i="7"/>
  <c r="DV44" i="7"/>
  <c r="DQ44" i="7"/>
  <c r="FG44" i="7" s="1"/>
  <c r="FH44" i="7" s="1"/>
  <c r="DM44" i="7"/>
  <c r="DL44" i="7"/>
  <c r="DG44" i="7"/>
  <c r="FC44" i="7" s="1"/>
  <c r="FD44" i="7" s="1"/>
  <c r="DC44" i="7"/>
  <c r="DB44" i="7"/>
  <c r="CW44" i="7"/>
  <c r="CX44" i="7" s="1"/>
  <c r="CS44" i="7"/>
  <c r="CR44" i="7"/>
  <c r="CM44" i="7"/>
  <c r="EY44" i="7" s="1"/>
  <c r="EZ44" i="7" s="1"/>
  <c r="CG44" i="7"/>
  <c r="CF44" i="7"/>
  <c r="CD44" i="7"/>
  <c r="CC44" i="7"/>
  <c r="CB44" i="7"/>
  <c r="BY44" i="7"/>
  <c r="BX44" i="7"/>
  <c r="BU44" i="7"/>
  <c r="BT44" i="7"/>
  <c r="BS44" i="7"/>
  <c r="BR44" i="7"/>
  <c r="BQ44" i="7"/>
  <c r="BP44" i="7"/>
  <c r="BN44" i="7"/>
  <c r="CH44" i="7" s="1"/>
  <c r="BI44" i="7"/>
  <c r="Z44" i="7"/>
  <c r="BZ44" i="7" s="1"/>
  <c r="U44" i="7"/>
  <c r="P44" i="7"/>
  <c r="K44" i="7"/>
  <c r="BV44" i="7" s="1"/>
  <c r="UV43" i="7"/>
  <c r="UU43" i="7"/>
  <c r="TD43" i="7"/>
  <c r="UW43" i="7" s="1"/>
  <c r="SZ43" i="7"/>
  <c r="SO43" i="7"/>
  <c r="RO43" i="7"/>
  <c r="RN43" i="7"/>
  <c r="RM43" i="7"/>
  <c r="PV43" i="7"/>
  <c r="PR43" i="7"/>
  <c r="PG43" i="7"/>
  <c r="MN43" i="7"/>
  <c r="MJ43" i="7"/>
  <c r="LY43" i="7"/>
  <c r="LR43" i="7"/>
  <c r="LQ43" i="7"/>
  <c r="LN43" i="7"/>
  <c r="LM43" i="7"/>
  <c r="LJ43" i="7"/>
  <c r="LI43" i="7"/>
  <c r="LG43" i="7"/>
  <c r="LH43" i="7" s="1"/>
  <c r="LF43" i="7"/>
  <c r="LE43" i="7"/>
  <c r="LB43" i="7"/>
  <c r="KX43" i="7"/>
  <c r="KS43" i="7"/>
  <c r="KN43" i="7"/>
  <c r="LS43" i="7" s="1"/>
  <c r="KI43" i="7"/>
  <c r="KD43" i="7"/>
  <c r="JY43" i="7"/>
  <c r="LO43" i="7" s="1"/>
  <c r="JP43" i="7"/>
  <c r="JO43" i="7"/>
  <c r="JJ43" i="7"/>
  <c r="LK43" i="7" s="1"/>
  <c r="LL43" i="7" s="1"/>
  <c r="JH43" i="7"/>
  <c r="JH167" i="7" s="1"/>
  <c r="JE43" i="7"/>
  <c r="JF43" i="7" s="1"/>
  <c r="JA43" i="7"/>
  <c r="IZ43" i="7"/>
  <c r="IU43" i="7"/>
  <c r="IV43" i="7" s="1"/>
  <c r="IN43" i="7"/>
  <c r="IM43" i="7"/>
  <c r="IJ43" i="7"/>
  <c r="II43" i="7"/>
  <c r="IF43" i="7"/>
  <c r="IE43" i="7"/>
  <c r="IB43" i="7"/>
  <c r="IA43" i="7"/>
  <c r="HX43" i="7"/>
  <c r="HW43" i="7"/>
  <c r="HV43" i="7"/>
  <c r="HU43" i="7"/>
  <c r="HT43" i="7"/>
  <c r="HO43" i="7"/>
  <c r="HP43" i="7" s="1"/>
  <c r="HK43" i="7"/>
  <c r="HJ43" i="7"/>
  <c r="IO43" i="7" s="1"/>
  <c r="IP43" i="7" s="1"/>
  <c r="HE43" i="7"/>
  <c r="HF43" i="7" s="1"/>
  <c r="HA43" i="7"/>
  <c r="GZ43" i="7"/>
  <c r="GU43" i="7"/>
  <c r="IK43" i="7" s="1"/>
  <c r="IL43" i="7" s="1"/>
  <c r="GQ43" i="7"/>
  <c r="GP43" i="7"/>
  <c r="GL43" i="7"/>
  <c r="GF43" i="7"/>
  <c r="IG43" i="7" s="1"/>
  <c r="IH43" i="7" s="1"/>
  <c r="GB43" i="7"/>
  <c r="GA43" i="7"/>
  <c r="FV43" i="7"/>
  <c r="HY43" i="7" s="1"/>
  <c r="FR43" i="7"/>
  <c r="FQ43" i="7"/>
  <c r="FL43" i="7"/>
  <c r="FM43" i="7" s="1"/>
  <c r="FK43" i="7"/>
  <c r="FI43" i="7"/>
  <c r="FG43" i="7"/>
  <c r="FH43" i="7" s="1"/>
  <c r="FF43" i="7"/>
  <c r="FE43" i="7"/>
  <c r="FC43" i="7"/>
  <c r="FD43" i="7" s="1"/>
  <c r="FB43" i="7"/>
  <c r="FA43" i="7"/>
  <c r="EY43" i="7"/>
  <c r="EZ43" i="7" s="1"/>
  <c r="EX43" i="7"/>
  <c r="EW43" i="7"/>
  <c r="EU43" i="7"/>
  <c r="EV43" i="7" s="1"/>
  <c r="ET43" i="7"/>
  <c r="ES43" i="7"/>
  <c r="ER43" i="7"/>
  <c r="EQ43" i="7"/>
  <c r="EP43" i="7"/>
  <c r="EK43" i="7"/>
  <c r="EL43" i="7" s="1"/>
  <c r="EG43" i="7"/>
  <c r="EF43" i="7"/>
  <c r="EA43" i="7"/>
  <c r="EB43" i="7" s="1"/>
  <c r="DW43" i="7"/>
  <c r="DV43" i="7"/>
  <c r="DQ43" i="7"/>
  <c r="DR43" i="7" s="1"/>
  <c r="DM43" i="7"/>
  <c r="DL43" i="7"/>
  <c r="DG43" i="7"/>
  <c r="DB43" i="7"/>
  <c r="CX43" i="7"/>
  <c r="CW43" i="7"/>
  <c r="CR43" i="7"/>
  <c r="CS43" i="7" s="1"/>
  <c r="CN43" i="7"/>
  <c r="CM43" i="7"/>
  <c r="CG43" i="7"/>
  <c r="CF43" i="7"/>
  <c r="CD43" i="7"/>
  <c r="CC43" i="7"/>
  <c r="CB43" i="7"/>
  <c r="BY43" i="7"/>
  <c r="BX43" i="7"/>
  <c r="BU43" i="7"/>
  <c r="BT43" i="7"/>
  <c r="BR43" i="7"/>
  <c r="BS43" i="7" s="1"/>
  <c r="BQ43" i="7"/>
  <c r="BP43" i="7"/>
  <c r="BN43" i="7"/>
  <c r="BO43" i="7" s="1"/>
  <c r="BJ43" i="7"/>
  <c r="BI43" i="7"/>
  <c r="BD43" i="7"/>
  <c r="CH43" i="7" s="1"/>
  <c r="Z43" i="7"/>
  <c r="BZ43" i="7" s="1"/>
  <c r="U43" i="7"/>
  <c r="P43" i="7"/>
  <c r="K43" i="7"/>
  <c r="BV43" i="7" s="1"/>
  <c r="UW42" i="7"/>
  <c r="UV42" i="7"/>
  <c r="UU42" i="7"/>
  <c r="TD42" i="7"/>
  <c r="SZ42" i="7"/>
  <c r="SO42" i="7"/>
  <c r="RN42" i="7"/>
  <c r="RM42" i="7"/>
  <c r="PV42" i="7"/>
  <c r="RO42" i="7" s="1"/>
  <c r="PR42" i="7"/>
  <c r="PG42" i="7"/>
  <c r="MN42" i="7"/>
  <c r="MJ42" i="7"/>
  <c r="LY42" i="7"/>
  <c r="LR42" i="7"/>
  <c r="LQ42" i="7"/>
  <c r="LN42" i="7"/>
  <c r="LM42" i="7"/>
  <c r="LM167" i="7" s="1"/>
  <c r="LJ42" i="7"/>
  <c r="LI42" i="7"/>
  <c r="LI167" i="7" s="1"/>
  <c r="LF42" i="7"/>
  <c r="LE42" i="7"/>
  <c r="LE167" i="7" s="1"/>
  <c r="LB42" i="7"/>
  <c r="LA42" i="7"/>
  <c r="KX42" i="7"/>
  <c r="LS42" i="7" s="1"/>
  <c r="KS42" i="7"/>
  <c r="KN42" i="7"/>
  <c r="KD42" i="7"/>
  <c r="JZ42" i="7"/>
  <c r="JY42" i="7"/>
  <c r="LO42" i="7" s="1"/>
  <c r="JT42" i="7"/>
  <c r="JU42" i="7" s="1"/>
  <c r="JP42" i="7"/>
  <c r="JO42" i="7"/>
  <c r="JJ42" i="7"/>
  <c r="LK42" i="7" s="1"/>
  <c r="JF42" i="7"/>
  <c r="JE42" i="7"/>
  <c r="IZ42" i="7"/>
  <c r="IU42" i="7"/>
  <c r="LC42" i="7" s="1"/>
  <c r="IN42" i="7"/>
  <c r="IM42" i="7"/>
  <c r="IM232" i="7" s="1"/>
  <c r="IJ42" i="7"/>
  <c r="II42" i="7"/>
  <c r="II232" i="7" s="1"/>
  <c r="IF42" i="7"/>
  <c r="IE42" i="7"/>
  <c r="IE232" i="7" s="1"/>
  <c r="IB42" i="7"/>
  <c r="IA42" i="7"/>
  <c r="IA232" i="7" s="1"/>
  <c r="HY42" i="7"/>
  <c r="HX42" i="7"/>
  <c r="HW42" i="7"/>
  <c r="HV42" i="7"/>
  <c r="HU42" i="7"/>
  <c r="HT42" i="7"/>
  <c r="HO42" i="7"/>
  <c r="HO232" i="7" s="1"/>
  <c r="HK42" i="7"/>
  <c r="HJ42" i="7"/>
  <c r="HE42" i="7"/>
  <c r="HE232" i="7" s="1"/>
  <c r="HA42" i="7"/>
  <c r="GZ42" i="7"/>
  <c r="GU42" i="7"/>
  <c r="GQ42" i="7"/>
  <c r="GP42" i="7"/>
  <c r="GK42" i="7"/>
  <c r="GK232" i="7" s="1"/>
  <c r="GG42" i="7"/>
  <c r="GF42" i="7"/>
  <c r="GA42" i="7"/>
  <c r="FW42" i="7"/>
  <c r="FV42" i="7"/>
  <c r="FQ42" i="7"/>
  <c r="FK42" i="7"/>
  <c r="FI42" i="7"/>
  <c r="FI232" i="7" s="1"/>
  <c r="FF42" i="7"/>
  <c r="FE42" i="7"/>
  <c r="FE232" i="7" s="1"/>
  <c r="FB42" i="7"/>
  <c r="FB232" i="7" s="1"/>
  <c r="FA42" i="7"/>
  <c r="FA232" i="7" s="1"/>
  <c r="EX42" i="7"/>
  <c r="EW42" i="7"/>
  <c r="ET42" i="7"/>
  <c r="ES42" i="7"/>
  <c r="ER42" i="7"/>
  <c r="EQ42" i="7"/>
  <c r="EP42" i="7"/>
  <c r="EK42" i="7"/>
  <c r="FL42" i="7" s="1"/>
  <c r="EG42" i="7"/>
  <c r="EF42" i="7"/>
  <c r="EA42" i="7"/>
  <c r="EB42" i="7" s="1"/>
  <c r="DW42" i="7"/>
  <c r="DV42" i="7"/>
  <c r="DQ42" i="7"/>
  <c r="DQ232" i="7" s="1"/>
  <c r="DR232" i="7" s="1"/>
  <c r="DM42" i="7"/>
  <c r="DL42" i="7"/>
  <c r="DG42" i="7"/>
  <c r="DG232" i="7" s="1"/>
  <c r="DH232" i="7" s="1"/>
  <c r="DC42" i="7"/>
  <c r="DB42" i="7"/>
  <c r="CW42" i="7"/>
  <c r="CX42" i="7" s="1"/>
  <c r="CS42" i="7"/>
  <c r="CR42" i="7"/>
  <c r="CM42" i="7"/>
  <c r="EY42" i="7" s="1"/>
  <c r="CG42" i="7"/>
  <c r="CF42" i="7"/>
  <c r="CC42" i="7"/>
  <c r="CB42" i="7"/>
  <c r="BY42" i="7"/>
  <c r="BX42" i="7"/>
  <c r="BU42" i="7"/>
  <c r="BT42" i="7"/>
  <c r="BT232" i="7" s="1"/>
  <c r="BR42" i="7"/>
  <c r="BQ42" i="7"/>
  <c r="BP42" i="7"/>
  <c r="BO42" i="7"/>
  <c r="BN42" i="7"/>
  <c r="BI42" i="7"/>
  <c r="BI232" i="7" s="1"/>
  <c r="BE42" i="7"/>
  <c r="BD42" i="7"/>
  <c r="AY42" i="7"/>
  <c r="AY232" i="7" s="1"/>
  <c r="AT42" i="7"/>
  <c r="AO42" i="7"/>
  <c r="AP42" i="7" s="1"/>
  <c r="AJ42" i="7"/>
  <c r="AE42" i="7"/>
  <c r="AE232" i="7" s="1"/>
  <c r="AC42" i="7"/>
  <c r="AC232" i="7" s="1"/>
  <c r="Z42" i="7"/>
  <c r="U42" i="7"/>
  <c r="P42" i="7"/>
  <c r="P232" i="7" s="1"/>
  <c r="K42" i="7"/>
  <c r="BV42" i="7" s="1"/>
  <c r="UV41" i="7"/>
  <c r="UU41" i="7"/>
  <c r="TD41" i="7"/>
  <c r="SZ41" i="7"/>
  <c r="SO41" i="7"/>
  <c r="UW41" i="7" s="1"/>
  <c r="RO41" i="7"/>
  <c r="RN41" i="7"/>
  <c r="RM41" i="7"/>
  <c r="PV41" i="7"/>
  <c r="PR41" i="7"/>
  <c r="PG41" i="7"/>
  <c r="MN41" i="7"/>
  <c r="MJ41" i="7"/>
  <c r="LY41" i="7"/>
  <c r="LR41" i="7"/>
  <c r="LQ41" i="7"/>
  <c r="LO41" i="7"/>
  <c r="LN41" i="7"/>
  <c r="LM41" i="7"/>
  <c r="LJ41" i="7"/>
  <c r="LI41" i="7"/>
  <c r="LF41" i="7"/>
  <c r="LE41" i="7"/>
  <c r="LB41" i="7"/>
  <c r="LA41" i="7"/>
  <c r="KX41" i="7"/>
  <c r="KS41" i="7"/>
  <c r="KN41" i="7"/>
  <c r="LS41" i="7" s="1"/>
  <c r="KD41" i="7"/>
  <c r="JY41" i="7"/>
  <c r="JT41" i="7"/>
  <c r="JO41" i="7"/>
  <c r="JP41" i="7" s="1"/>
  <c r="JJ41" i="7"/>
  <c r="LK41" i="7" s="1"/>
  <c r="LL41" i="7" s="1"/>
  <c r="JE41" i="7"/>
  <c r="JF41" i="7" s="1"/>
  <c r="IZ41" i="7"/>
  <c r="LG41" i="7" s="1"/>
  <c r="LH41" i="7" s="1"/>
  <c r="IU41" i="7"/>
  <c r="IV41" i="7" s="1"/>
  <c r="IN41" i="7"/>
  <c r="IM41" i="7"/>
  <c r="IK41" i="7"/>
  <c r="IL41" i="7" s="1"/>
  <c r="IJ41" i="7"/>
  <c r="II41" i="7"/>
  <c r="HX41" i="7"/>
  <c r="HW41" i="7"/>
  <c r="HV41" i="7"/>
  <c r="HT41" i="7"/>
  <c r="HU41" i="7" s="1"/>
  <c r="HO41" i="7"/>
  <c r="HP41" i="7" s="1"/>
  <c r="HJ41" i="7"/>
  <c r="IO41" i="7" s="1"/>
  <c r="IP41" i="7" s="1"/>
  <c r="HE41" i="7"/>
  <c r="HF41" i="7" s="1"/>
  <c r="EU41" i="7"/>
  <c r="EV41" i="7" s="1"/>
  <c r="ET41" i="7"/>
  <c r="ES41" i="7"/>
  <c r="ER41" i="7"/>
  <c r="UV40" i="7"/>
  <c r="UU40" i="7"/>
  <c r="TD40" i="7"/>
  <c r="SO40" i="7"/>
  <c r="UW40" i="7" s="1"/>
  <c r="RN40" i="7"/>
  <c r="RM40" i="7"/>
  <c r="PV40" i="7"/>
  <c r="RO40" i="7" s="1"/>
  <c r="PG40" i="7"/>
  <c r="MN40" i="7"/>
  <c r="LY40" i="7"/>
  <c r="LR40" i="7"/>
  <c r="LQ40" i="7"/>
  <c r="LN40" i="7"/>
  <c r="LM40" i="7"/>
  <c r="LJ40" i="7"/>
  <c r="LI40" i="7"/>
  <c r="LF40" i="7"/>
  <c r="LE40" i="7"/>
  <c r="LB40" i="7"/>
  <c r="LA40" i="7"/>
  <c r="KX40" i="7"/>
  <c r="KS40" i="7"/>
  <c r="LS40" i="7" s="1"/>
  <c r="KN40" i="7"/>
  <c r="KI40" i="7"/>
  <c r="KD40" i="7"/>
  <c r="JY40" i="7"/>
  <c r="LO40" i="7" s="1"/>
  <c r="JT40" i="7"/>
  <c r="JO40" i="7"/>
  <c r="JJ40" i="7"/>
  <c r="LK40" i="7" s="1"/>
  <c r="JE40" i="7"/>
  <c r="LC40" i="7" s="1"/>
  <c r="IZ40" i="7"/>
  <c r="IU40" i="7"/>
  <c r="LG40" i="7" s="1"/>
  <c r="IN40" i="7"/>
  <c r="IM40" i="7"/>
  <c r="IJ40" i="7"/>
  <c r="II40" i="7"/>
  <c r="IF40" i="7"/>
  <c r="IE40" i="7"/>
  <c r="IB40" i="7"/>
  <c r="IA40" i="7"/>
  <c r="HX40" i="7"/>
  <c r="HV40" i="7"/>
  <c r="HT40" i="7"/>
  <c r="HU40" i="7" s="1"/>
  <c r="HO40" i="7"/>
  <c r="HP40" i="7" s="1"/>
  <c r="HJ40" i="7"/>
  <c r="IO40" i="7" s="1"/>
  <c r="IP40" i="7" s="1"/>
  <c r="HE40" i="7"/>
  <c r="HF40" i="7" s="1"/>
  <c r="GZ40" i="7"/>
  <c r="IK40" i="7" s="1"/>
  <c r="IL40" i="7" s="1"/>
  <c r="GU40" i="7"/>
  <c r="GV40" i="7" s="1"/>
  <c r="GP40" i="7"/>
  <c r="GQ40" i="7" s="1"/>
  <c r="GI40" i="7"/>
  <c r="GK40" i="7" s="1"/>
  <c r="GG40" i="7"/>
  <c r="GF40" i="7"/>
  <c r="FY40" i="7"/>
  <c r="HW40" i="7" s="1"/>
  <c r="FV40" i="7"/>
  <c r="FW40" i="7" s="1"/>
  <c r="FR40" i="7"/>
  <c r="FK40" i="7"/>
  <c r="FI40" i="7"/>
  <c r="FF40" i="7"/>
  <c r="FE40" i="7"/>
  <c r="FB40" i="7"/>
  <c r="FA40" i="7"/>
  <c r="EX40" i="7"/>
  <c r="EW40" i="7"/>
  <c r="ET40" i="7"/>
  <c r="ER40" i="7"/>
  <c r="EP40" i="7"/>
  <c r="EQ40" i="7" s="1"/>
  <c r="EK40" i="7"/>
  <c r="EL40" i="7" s="1"/>
  <c r="EF40" i="7"/>
  <c r="FL40" i="7" s="1"/>
  <c r="FM40" i="7" s="1"/>
  <c r="EA40" i="7"/>
  <c r="EB40" i="7" s="1"/>
  <c r="DT40" i="7"/>
  <c r="DV40" i="7" s="1"/>
  <c r="DW40" i="7" s="1"/>
  <c r="DR40" i="7"/>
  <c r="DQ40" i="7"/>
  <c r="FG40" i="7" s="1"/>
  <c r="FH40" i="7" s="1"/>
  <c r="DJ40" i="7"/>
  <c r="DL40" i="7" s="1"/>
  <c r="DI40" i="7"/>
  <c r="DE40" i="7"/>
  <c r="DG40" i="7" s="1"/>
  <c r="DH40" i="7" s="1"/>
  <c r="DD40" i="7"/>
  <c r="CZ40" i="7"/>
  <c r="DB40" i="7" s="1"/>
  <c r="DC40" i="7" s="1"/>
  <c r="CY40" i="7"/>
  <c r="CU40" i="7"/>
  <c r="ES40" i="7" s="1"/>
  <c r="CR40" i="7"/>
  <c r="CS40" i="7" s="1"/>
  <c r="CM40" i="7"/>
  <c r="CK40" i="7"/>
  <c r="CG40" i="7"/>
  <c r="CF40" i="7"/>
  <c r="CC40" i="7"/>
  <c r="CB40" i="7"/>
  <c r="BY40" i="7"/>
  <c r="BX40" i="7"/>
  <c r="BT40" i="7"/>
  <c r="BR40" i="7"/>
  <c r="BP40" i="7"/>
  <c r="BN40" i="7"/>
  <c r="BO40" i="7" s="1"/>
  <c r="BL40" i="7"/>
  <c r="BI40" i="7"/>
  <c r="BJ40" i="7" s="1"/>
  <c r="BE40" i="7"/>
  <c r="BD40" i="7"/>
  <c r="CH40" i="7" s="1"/>
  <c r="AY40" i="7"/>
  <c r="AZ40" i="7" s="1"/>
  <c r="AU40" i="7"/>
  <c r="AT40" i="7"/>
  <c r="AO40" i="7"/>
  <c r="CD40" i="7" s="1"/>
  <c r="AH40" i="7"/>
  <c r="BQ40" i="7" s="1"/>
  <c r="AE40" i="7"/>
  <c r="Z40" i="7"/>
  <c r="T40" i="7"/>
  <c r="BU40" i="7" s="1"/>
  <c r="S40" i="7"/>
  <c r="P40" i="7"/>
  <c r="Q40" i="7" s="1"/>
  <c r="K40" i="7"/>
  <c r="I40" i="7"/>
  <c r="UV39" i="7"/>
  <c r="UU39" i="7"/>
  <c r="TD39" i="7"/>
  <c r="SO39" i="7"/>
  <c r="UW39" i="7" s="1"/>
  <c r="RN39" i="7"/>
  <c r="RM39" i="7"/>
  <c r="PV39" i="7"/>
  <c r="PG39" i="7"/>
  <c r="RO39" i="7" s="1"/>
  <c r="MN39" i="7"/>
  <c r="LY39" i="7"/>
  <c r="LR39" i="7"/>
  <c r="LQ39" i="7"/>
  <c r="LN39" i="7"/>
  <c r="LM39" i="7"/>
  <c r="LJ39" i="7"/>
  <c r="LI39" i="7"/>
  <c r="LH39" i="7"/>
  <c r="LG39" i="7"/>
  <c r="LF39" i="7"/>
  <c r="LE39" i="7"/>
  <c r="LB39" i="7"/>
  <c r="LA39" i="7"/>
  <c r="KX39" i="7"/>
  <c r="KN39" i="7"/>
  <c r="LS39" i="7" s="1"/>
  <c r="KI39" i="7"/>
  <c r="KD39" i="7"/>
  <c r="JY39" i="7"/>
  <c r="LO39" i="7" s="1"/>
  <c r="JT39" i="7"/>
  <c r="JJ39" i="7"/>
  <c r="LK39" i="7" s="1"/>
  <c r="LL39" i="7" s="1"/>
  <c r="EV39" i="7"/>
  <c r="EU39" i="7"/>
  <c r="ET39" i="7"/>
  <c r="ES39" i="7"/>
  <c r="ER39" i="7"/>
  <c r="UV38" i="7"/>
  <c r="UU38" i="7"/>
  <c r="TD38" i="7"/>
  <c r="UW38" i="7" s="1"/>
  <c r="SO38" i="7"/>
  <c r="RN38" i="7"/>
  <c r="RM38" i="7"/>
  <c r="PV38" i="7"/>
  <c r="PG38" i="7"/>
  <c r="RO38" i="7" s="1"/>
  <c r="MN38" i="7"/>
  <c r="LY38" i="7"/>
  <c r="LR38" i="7"/>
  <c r="LQ38" i="7"/>
  <c r="LN38" i="7"/>
  <c r="LM38" i="7"/>
  <c r="LJ38" i="7"/>
  <c r="LI38" i="7"/>
  <c r="LF38" i="7"/>
  <c r="LE38" i="7"/>
  <c r="LB38" i="7"/>
  <c r="LA38" i="7"/>
  <c r="KS38" i="7"/>
  <c r="KN38" i="7"/>
  <c r="LS38" i="7" s="1"/>
  <c r="KD38" i="7"/>
  <c r="KE38" i="7" s="1"/>
  <c r="JZ38" i="7"/>
  <c r="JY38" i="7"/>
  <c r="LO38" i="7" s="1"/>
  <c r="LP38" i="7" s="1"/>
  <c r="JT38" i="7"/>
  <c r="JU38" i="7" s="1"/>
  <c r="JP38" i="7"/>
  <c r="JO38" i="7"/>
  <c r="JJ38" i="7"/>
  <c r="LK38" i="7" s="1"/>
  <c r="LL38" i="7" s="1"/>
  <c r="JF38" i="7"/>
  <c r="JE38" i="7"/>
  <c r="IZ38" i="7"/>
  <c r="JA38" i="7" s="1"/>
  <c r="IV38" i="7"/>
  <c r="IU38" i="7"/>
  <c r="LG38" i="7" s="1"/>
  <c r="LH38" i="7" s="1"/>
  <c r="HX38" i="7"/>
  <c r="HW38" i="7"/>
  <c r="HV38" i="7"/>
  <c r="HT38" i="7"/>
  <c r="HO38" i="7"/>
  <c r="HK38" i="7"/>
  <c r="HJ38" i="7"/>
  <c r="HE38" i="7"/>
  <c r="HF38" i="7" s="1"/>
  <c r="HA38" i="7"/>
  <c r="GZ38" i="7"/>
  <c r="GU38" i="7"/>
  <c r="GV38" i="7" s="1"/>
  <c r="GQ38" i="7"/>
  <c r="GP38" i="7"/>
  <c r="GK38" i="7"/>
  <c r="HY38" i="7" s="1"/>
  <c r="EV38" i="7"/>
  <c r="EU38" i="7"/>
  <c r="ET38" i="7"/>
  <c r="ES38" i="7"/>
  <c r="ER38" i="7"/>
  <c r="UV37" i="7"/>
  <c r="UU37" i="7"/>
  <c r="TD37" i="7"/>
  <c r="UW37" i="7" s="1"/>
  <c r="SO37" i="7"/>
  <c r="RN37" i="7"/>
  <c r="RM37" i="7"/>
  <c r="PV37" i="7"/>
  <c r="PG37" i="7"/>
  <c r="RO37" i="7" s="1"/>
  <c r="MN37" i="7"/>
  <c r="LY37" i="7"/>
  <c r="LR37" i="7"/>
  <c r="LQ37" i="7"/>
  <c r="LN37" i="7"/>
  <c r="LM37" i="7"/>
  <c r="LK37" i="7"/>
  <c r="LL37" i="7" s="1"/>
  <c r="LJ37" i="7"/>
  <c r="LI37" i="7"/>
  <c r="LF37" i="7"/>
  <c r="LE37" i="7"/>
  <c r="LB37" i="7"/>
  <c r="LA37" i="7"/>
  <c r="KX37" i="7"/>
  <c r="KS37" i="7"/>
  <c r="KN37" i="7"/>
  <c r="LS37" i="7" s="1"/>
  <c r="KI37" i="7"/>
  <c r="KD37" i="7"/>
  <c r="JY37" i="7"/>
  <c r="LO37" i="7" s="1"/>
  <c r="JT37" i="7"/>
  <c r="JO37" i="7"/>
  <c r="JP37" i="7" s="1"/>
  <c r="JK37" i="7"/>
  <c r="JJ37" i="7"/>
  <c r="JE37" i="7"/>
  <c r="IZ37" i="7"/>
  <c r="IU37" i="7"/>
  <c r="LG37" i="7" s="1"/>
  <c r="LH37" i="7" s="1"/>
  <c r="IN37" i="7"/>
  <c r="IM37" i="7"/>
  <c r="IJ37" i="7"/>
  <c r="II37" i="7"/>
  <c r="IF37" i="7"/>
  <c r="IE37" i="7"/>
  <c r="IC37" i="7"/>
  <c r="IB37" i="7"/>
  <c r="IA37" i="7"/>
  <c r="HX37" i="7"/>
  <c r="HV37" i="7"/>
  <c r="HT37" i="7"/>
  <c r="HO37" i="7"/>
  <c r="IO37" i="7" s="1"/>
  <c r="HC37" i="7"/>
  <c r="HE37" i="7" s="1"/>
  <c r="HF37" i="7" s="1"/>
  <c r="GX37" i="7"/>
  <c r="GZ37" i="7" s="1"/>
  <c r="HA37" i="7" s="1"/>
  <c r="GU37" i="7"/>
  <c r="GN37" i="7"/>
  <c r="HW37" i="7" s="1"/>
  <c r="GK37" i="7"/>
  <c r="EU37" i="7"/>
  <c r="EV37" i="7" s="1"/>
  <c r="ET37" i="7"/>
  <c r="ES37" i="7"/>
  <c r="ER37" i="7"/>
  <c r="UV36" i="7"/>
  <c r="UU36" i="7"/>
  <c r="TD36" i="7"/>
  <c r="SO36" i="7"/>
  <c r="UW36" i="7" s="1"/>
  <c r="RN36" i="7"/>
  <c r="RM36" i="7"/>
  <c r="PV36" i="7"/>
  <c r="PG36" i="7"/>
  <c r="RO36" i="7" s="1"/>
  <c r="MN36" i="7"/>
  <c r="LY36" i="7"/>
  <c r="LR36" i="7"/>
  <c r="LQ36" i="7"/>
  <c r="LN36" i="7"/>
  <c r="LM36" i="7"/>
  <c r="LJ36" i="7"/>
  <c r="LI36" i="7"/>
  <c r="LF36" i="7"/>
  <c r="LE36" i="7"/>
  <c r="LB36" i="7"/>
  <c r="KX36" i="7"/>
  <c r="KN36" i="7"/>
  <c r="LS36" i="7" s="1"/>
  <c r="KI36" i="7"/>
  <c r="KD36" i="7"/>
  <c r="JY36" i="7"/>
  <c r="LO36" i="7" s="1"/>
  <c r="JT36" i="7"/>
  <c r="JU36" i="7" s="1"/>
  <c r="JO36" i="7"/>
  <c r="JP36" i="7" s="1"/>
  <c r="JJ36" i="7"/>
  <c r="LK36" i="7" s="1"/>
  <c r="LL36" i="7" s="1"/>
  <c r="JE36" i="7"/>
  <c r="JF36" i="7" s="1"/>
  <c r="IX36" i="7"/>
  <c r="IX167" i="7" s="1"/>
  <c r="EV36" i="7"/>
  <c r="EU36" i="7"/>
  <c r="ET36" i="7"/>
  <c r="ES36" i="7"/>
  <c r="ER36" i="7"/>
  <c r="UV35" i="7"/>
  <c r="UU35" i="7"/>
  <c r="TD35" i="7"/>
  <c r="UW35" i="7" s="1"/>
  <c r="SO35" i="7"/>
  <c r="RN35" i="7"/>
  <c r="RM35" i="7"/>
  <c r="PV35" i="7"/>
  <c r="PG35" i="7"/>
  <c r="RO35" i="7" s="1"/>
  <c r="MN35" i="7"/>
  <c r="LY35" i="7"/>
  <c r="LR35" i="7"/>
  <c r="LQ35" i="7"/>
  <c r="LO35" i="7"/>
  <c r="LN35" i="7"/>
  <c r="LM35" i="7"/>
  <c r="LJ35" i="7"/>
  <c r="LI35" i="7"/>
  <c r="LF35" i="7"/>
  <c r="LE35" i="7"/>
  <c r="LB35" i="7"/>
  <c r="LA35" i="7"/>
  <c r="KX35" i="7"/>
  <c r="KS35" i="7"/>
  <c r="KN35" i="7"/>
  <c r="LS35" i="7" s="1"/>
  <c r="KI35" i="7"/>
  <c r="KD35" i="7"/>
  <c r="JY35" i="7"/>
  <c r="JT35" i="7"/>
  <c r="JO35" i="7"/>
  <c r="JP35" i="7" s="1"/>
  <c r="JJ35" i="7"/>
  <c r="LK35" i="7" s="1"/>
  <c r="LL35" i="7" s="1"/>
  <c r="JE35" i="7"/>
  <c r="JF35" i="7" s="1"/>
  <c r="IZ35" i="7"/>
  <c r="LG35" i="7" s="1"/>
  <c r="LH35" i="7" s="1"/>
  <c r="IU35" i="7"/>
  <c r="IN35" i="7"/>
  <c r="IM35" i="7"/>
  <c r="IJ35" i="7"/>
  <c r="II35" i="7"/>
  <c r="IF35" i="7"/>
  <c r="IE35" i="7"/>
  <c r="IB35" i="7"/>
  <c r="IA35" i="7"/>
  <c r="HX35" i="7"/>
  <c r="HV35" i="7"/>
  <c r="HT35" i="7"/>
  <c r="HO35" i="7"/>
  <c r="HJ35" i="7"/>
  <c r="IO35" i="7" s="1"/>
  <c r="HE35" i="7"/>
  <c r="GZ35" i="7"/>
  <c r="GU35" i="7"/>
  <c r="IK35" i="7" s="1"/>
  <c r="GP35" i="7"/>
  <c r="GK35" i="7"/>
  <c r="GL35" i="7" s="1"/>
  <c r="GG35" i="7"/>
  <c r="GF35" i="7"/>
  <c r="IG35" i="7" s="1"/>
  <c r="IH35" i="7" s="1"/>
  <c r="GA35" i="7"/>
  <c r="HY35" i="7" s="1"/>
  <c r="FY35" i="7"/>
  <c r="HW35" i="7" s="1"/>
  <c r="FV35" i="7"/>
  <c r="FW35" i="7" s="1"/>
  <c r="FR35" i="7"/>
  <c r="FQ35" i="7"/>
  <c r="IC35" i="7" s="1"/>
  <c r="ID35" i="7" s="1"/>
  <c r="FK35" i="7"/>
  <c r="FI35" i="7"/>
  <c r="FF35" i="7"/>
  <c r="FE35" i="7"/>
  <c r="FB35" i="7"/>
  <c r="EX35" i="7"/>
  <c r="ET35" i="7"/>
  <c r="EP35" i="7"/>
  <c r="EQ35" i="7" s="1"/>
  <c r="EL35" i="7"/>
  <c r="EK35" i="7"/>
  <c r="EF35" i="7"/>
  <c r="FL35" i="7" s="1"/>
  <c r="FM35" i="7" s="1"/>
  <c r="EB35" i="7"/>
  <c r="EA35" i="7"/>
  <c r="DV35" i="7"/>
  <c r="DW35" i="7" s="1"/>
  <c r="DT35" i="7"/>
  <c r="DO35" i="7"/>
  <c r="DQ35" i="7" s="1"/>
  <c r="DJ35" i="7"/>
  <c r="DL35" i="7" s="1"/>
  <c r="DH35" i="7"/>
  <c r="DG35" i="7"/>
  <c r="DE35" i="7"/>
  <c r="DB35" i="7"/>
  <c r="DC35" i="7" s="1"/>
  <c r="CZ35" i="7"/>
  <c r="CY35" i="7"/>
  <c r="FA35" i="7" s="1"/>
  <c r="CW35" i="7"/>
  <c r="CX35" i="7" s="1"/>
  <c r="CU35" i="7"/>
  <c r="CT35" i="7"/>
  <c r="CR35" i="7"/>
  <c r="CS35" i="7" s="1"/>
  <c r="CP35" i="7"/>
  <c r="CK35" i="7"/>
  <c r="ES35" i="7" s="1"/>
  <c r="CJ35" i="7"/>
  <c r="EW35" i="7" s="1"/>
  <c r="CH35" i="7"/>
  <c r="CG35" i="7"/>
  <c r="CF35" i="7"/>
  <c r="CC35" i="7"/>
  <c r="CB35" i="7"/>
  <c r="BZ35" i="7"/>
  <c r="BY35" i="7"/>
  <c r="BX35" i="7"/>
  <c r="BV35" i="7"/>
  <c r="BU35" i="7"/>
  <c r="BT35" i="7"/>
  <c r="BR35" i="7"/>
  <c r="BS35" i="7" s="1"/>
  <c r="BQ35" i="7"/>
  <c r="BP35" i="7"/>
  <c r="BE35" i="7"/>
  <c r="AY35" i="7"/>
  <c r="AT35" i="7"/>
  <c r="CD35" i="7" s="1"/>
  <c r="AJ35" i="7"/>
  <c r="AE35" i="7"/>
  <c r="Z35" i="7"/>
  <c r="UW34" i="7"/>
  <c r="UV34" i="7"/>
  <c r="UU34" i="7"/>
  <c r="TD34" i="7"/>
  <c r="SO34" i="7"/>
  <c r="RN34" i="7"/>
  <c r="RM34" i="7"/>
  <c r="PV34" i="7"/>
  <c r="RO34" i="7" s="1"/>
  <c r="PG34" i="7"/>
  <c r="MN34" i="7"/>
  <c r="LY34" i="7"/>
  <c r="LS34" i="7"/>
  <c r="LR34" i="7"/>
  <c r="LQ34" i="7"/>
  <c r="LO34" i="7"/>
  <c r="LN34" i="7"/>
  <c r="LM34" i="7"/>
  <c r="LJ34" i="7"/>
  <c r="LI34" i="7"/>
  <c r="LF34" i="7"/>
  <c r="LE34" i="7"/>
  <c r="LB34" i="7"/>
  <c r="LA34" i="7"/>
  <c r="KX34" i="7"/>
  <c r="KS34" i="7"/>
  <c r="KN34" i="7"/>
  <c r="JU34" i="7"/>
  <c r="JT34" i="7"/>
  <c r="JO34" i="7"/>
  <c r="JP34" i="7" s="1"/>
  <c r="JK34" i="7"/>
  <c r="JJ34" i="7"/>
  <c r="JE34" i="7"/>
  <c r="JF34" i="7" s="1"/>
  <c r="IZ34" i="7"/>
  <c r="LG34" i="7" s="1"/>
  <c r="LH34" i="7" s="1"/>
  <c r="IU34" i="7"/>
  <c r="LC34" i="7" s="1"/>
  <c r="IN34" i="7"/>
  <c r="IM34" i="7"/>
  <c r="IK34" i="7"/>
  <c r="IJ34" i="7"/>
  <c r="II34" i="7"/>
  <c r="IF34" i="7"/>
  <c r="IE34" i="7"/>
  <c r="IB34" i="7"/>
  <c r="IA34" i="7"/>
  <c r="HX34" i="7"/>
  <c r="HW34" i="7"/>
  <c r="HV34" i="7"/>
  <c r="HT34" i="7"/>
  <c r="HO34" i="7"/>
  <c r="HJ34" i="7"/>
  <c r="IO34" i="7" s="1"/>
  <c r="IP34" i="7" s="1"/>
  <c r="GQ34" i="7"/>
  <c r="GP34" i="7"/>
  <c r="GK34" i="7"/>
  <c r="GL34" i="7" s="1"/>
  <c r="GG34" i="7"/>
  <c r="GF34" i="7"/>
  <c r="IG34" i="7" s="1"/>
  <c r="IH34" i="7" s="1"/>
  <c r="GA34" i="7"/>
  <c r="GB34" i="7" s="1"/>
  <c r="FW34" i="7"/>
  <c r="FV34" i="7"/>
  <c r="FQ34" i="7"/>
  <c r="HY34" i="7" s="1"/>
  <c r="FK34" i="7"/>
  <c r="FI34" i="7"/>
  <c r="FF34" i="7"/>
  <c r="FE34" i="7"/>
  <c r="FB34" i="7"/>
  <c r="FA34" i="7"/>
  <c r="EX34" i="7"/>
  <c r="EW34" i="7"/>
  <c r="ET34" i="7"/>
  <c r="ES34" i="7"/>
  <c r="ER34" i="7"/>
  <c r="EP34" i="7"/>
  <c r="EQ34" i="7" s="1"/>
  <c r="EK34" i="7"/>
  <c r="EL34" i="7" s="1"/>
  <c r="EF34" i="7"/>
  <c r="FL34" i="7" s="1"/>
  <c r="FM34" i="7" s="1"/>
  <c r="EA34" i="7"/>
  <c r="EB34" i="7" s="1"/>
  <c r="DV34" i="7"/>
  <c r="DW34" i="7" s="1"/>
  <c r="DQ34" i="7"/>
  <c r="FG34" i="7" s="1"/>
  <c r="FH34" i="7" s="1"/>
  <c r="DL34" i="7"/>
  <c r="FC34" i="7" s="1"/>
  <c r="FD34" i="7" s="1"/>
  <c r="DG34" i="7"/>
  <c r="DH34" i="7" s="1"/>
  <c r="DB34" i="7"/>
  <c r="DC34" i="7" s="1"/>
  <c r="CW34" i="7"/>
  <c r="CX34" i="7" s="1"/>
  <c r="CR34" i="7"/>
  <c r="CS34" i="7" s="1"/>
  <c r="CM34" i="7"/>
  <c r="EY34" i="7" s="1"/>
  <c r="EZ34" i="7" s="1"/>
  <c r="CG34" i="7"/>
  <c r="CF34" i="7"/>
  <c r="CC34" i="7"/>
  <c r="CB34" i="7"/>
  <c r="BZ34" i="7"/>
  <c r="BY34" i="7"/>
  <c r="BX34" i="7"/>
  <c r="BU34" i="7"/>
  <c r="BT34" i="7"/>
  <c r="BR34" i="7"/>
  <c r="BP34" i="7"/>
  <c r="BL34" i="7"/>
  <c r="BN34" i="7" s="1"/>
  <c r="BO34" i="7" s="1"/>
  <c r="BJ34" i="7"/>
  <c r="BI34" i="7"/>
  <c r="BD34" i="7"/>
  <c r="CH34" i="7" s="1"/>
  <c r="AZ34" i="7"/>
  <c r="AY34" i="7"/>
  <c r="AT34" i="7"/>
  <c r="AU34" i="7" s="1"/>
  <c r="AO34" i="7"/>
  <c r="CD34" i="7" s="1"/>
  <c r="Z34" i="7"/>
  <c r="U34" i="7"/>
  <c r="P34" i="7"/>
  <c r="K34" i="7"/>
  <c r="BV34" i="7" s="1"/>
  <c r="UV33" i="7"/>
  <c r="UU33" i="7"/>
  <c r="TD33" i="7"/>
  <c r="UW33" i="7" s="1"/>
  <c r="SO33" i="7"/>
  <c r="RN33" i="7"/>
  <c r="RM33" i="7"/>
  <c r="PV33" i="7"/>
  <c r="PG33" i="7"/>
  <c r="RO33" i="7" s="1"/>
  <c r="MN33" i="7"/>
  <c r="LY33" i="7"/>
  <c r="LR33" i="7"/>
  <c r="LQ33" i="7"/>
  <c r="LN33" i="7"/>
  <c r="LM33" i="7"/>
  <c r="LJ33" i="7"/>
  <c r="LI33" i="7"/>
  <c r="LF33" i="7"/>
  <c r="LE33" i="7"/>
  <c r="LB33" i="7"/>
  <c r="LA33" i="7"/>
  <c r="KX33" i="7"/>
  <c r="KS33" i="7"/>
  <c r="KN33" i="7"/>
  <c r="LS33" i="7" s="1"/>
  <c r="KI33" i="7"/>
  <c r="KD33" i="7"/>
  <c r="JY33" i="7"/>
  <c r="LO33" i="7" s="1"/>
  <c r="JT33" i="7"/>
  <c r="JU33" i="7" s="1"/>
  <c r="JO33" i="7"/>
  <c r="JP33" i="7" s="1"/>
  <c r="JJ33" i="7"/>
  <c r="JK33" i="7" s="1"/>
  <c r="JE33" i="7"/>
  <c r="LG33" i="7" s="1"/>
  <c r="LH33" i="7" s="1"/>
  <c r="IZ33" i="7"/>
  <c r="JA33" i="7" s="1"/>
  <c r="HY33" i="7"/>
  <c r="HX33" i="7"/>
  <c r="HW33" i="7"/>
  <c r="HV33" i="7"/>
  <c r="EU33" i="7"/>
  <c r="EV33" i="7" s="1"/>
  <c r="ET33" i="7"/>
  <c r="ES33" i="7"/>
  <c r="ER33" i="7"/>
  <c r="VQ32" i="7"/>
  <c r="VP32" i="7"/>
  <c r="VO32" i="7"/>
  <c r="VN32" i="7"/>
  <c r="VK32" i="7"/>
  <c r="VJ32" i="7"/>
  <c r="VI32" i="7"/>
  <c r="VG32" i="7"/>
  <c r="VF32" i="7"/>
  <c r="VE32" i="7"/>
  <c r="UZ32" i="7"/>
  <c r="UV32" i="7"/>
  <c r="UU32" i="7"/>
  <c r="TS32" i="7"/>
  <c r="UW32" i="7" s="1"/>
  <c r="TN32" i="7"/>
  <c r="TI32" i="7"/>
  <c r="TD32" i="7"/>
  <c r="SY32" i="7"/>
  <c r="VB32" i="7" s="1"/>
  <c r="ST32" i="7"/>
  <c r="SO32" i="7"/>
  <c r="SI32" i="7"/>
  <c r="SH32" i="7"/>
  <c r="SG32" i="7"/>
  <c r="SF32" i="7"/>
  <c r="SC32" i="7"/>
  <c r="SB32" i="7"/>
  <c r="SA32" i="7"/>
  <c r="RX32" i="7"/>
  <c r="RW32" i="7"/>
  <c r="RR32" i="7"/>
  <c r="RN32" i="7"/>
  <c r="RM32" i="7"/>
  <c r="QK32" i="7"/>
  <c r="SD32" i="7" s="1"/>
  <c r="QF32" i="7"/>
  <c r="RO32" i="7" s="1"/>
  <c r="QA32" i="7"/>
  <c r="PV32" i="7"/>
  <c r="PQ32" i="7"/>
  <c r="PL32" i="7"/>
  <c r="PG32" i="7"/>
  <c r="RT32" i="7" s="1"/>
  <c r="PA32" i="7"/>
  <c r="OZ32" i="7"/>
  <c r="OY32" i="7"/>
  <c r="OX32" i="7"/>
  <c r="OU32" i="7"/>
  <c r="OT32" i="7"/>
  <c r="OS32" i="7"/>
  <c r="OP32" i="7"/>
  <c r="OO32" i="7"/>
  <c r="OJ32" i="7"/>
  <c r="OF32" i="7"/>
  <c r="OE32" i="7"/>
  <c r="NC32" i="7"/>
  <c r="OV32" i="7" s="1"/>
  <c r="MX32" i="7"/>
  <c r="OG32" i="7" s="1"/>
  <c r="MS32" i="7"/>
  <c r="MN32" i="7"/>
  <c r="OQ32" i="7" s="1"/>
  <c r="MI32" i="7"/>
  <c r="MD32" i="7"/>
  <c r="LY32" i="7"/>
  <c r="OL32" i="7" s="1"/>
  <c r="LR32" i="7"/>
  <c r="LQ32" i="7"/>
  <c r="LN32" i="7"/>
  <c r="LM32" i="7"/>
  <c r="LJ32" i="7"/>
  <c r="LI32" i="7"/>
  <c r="LF32" i="7"/>
  <c r="LE32" i="7"/>
  <c r="LB32" i="7"/>
  <c r="LA32" i="7"/>
  <c r="KQ32" i="7"/>
  <c r="KS32" i="7" s="1"/>
  <c r="KT32" i="7" s="1"/>
  <c r="KO32" i="7"/>
  <c r="KN32" i="7"/>
  <c r="KI32" i="7"/>
  <c r="KE32" i="7"/>
  <c r="KD32" i="7"/>
  <c r="JY32" i="7"/>
  <c r="JU32" i="7"/>
  <c r="JT32" i="7"/>
  <c r="JO32" i="7"/>
  <c r="JP32" i="7" s="1"/>
  <c r="JK32" i="7"/>
  <c r="JJ32" i="7"/>
  <c r="LK32" i="7" s="1"/>
  <c r="LL32" i="7" s="1"/>
  <c r="JE32" i="7"/>
  <c r="JF32" i="7" s="1"/>
  <c r="JA32" i="7"/>
  <c r="IZ32" i="7"/>
  <c r="IU32" i="7"/>
  <c r="LG32" i="7" s="1"/>
  <c r="LH32" i="7" s="1"/>
  <c r="IN32" i="7"/>
  <c r="IM32" i="7"/>
  <c r="HY32" i="7"/>
  <c r="HX32" i="7"/>
  <c r="HW32" i="7"/>
  <c r="HV32" i="7"/>
  <c r="HU32" i="7"/>
  <c r="HT32" i="7"/>
  <c r="HO32" i="7"/>
  <c r="IO32" i="7" s="1"/>
  <c r="IP32" i="7" s="1"/>
  <c r="EV32" i="7"/>
  <c r="EU32" i="7"/>
  <c r="ET32" i="7"/>
  <c r="ES32" i="7"/>
  <c r="ER32" i="7"/>
  <c r="UV31" i="7"/>
  <c r="UU31" i="7"/>
  <c r="TD31" i="7"/>
  <c r="UW31" i="7" s="1"/>
  <c r="RN31" i="7"/>
  <c r="RM31" i="7"/>
  <c r="PV31" i="7"/>
  <c r="RO31" i="7" s="1"/>
  <c r="MN31" i="7"/>
  <c r="LS31" i="7"/>
  <c r="LR31" i="7"/>
  <c r="LF31" i="7"/>
  <c r="LE31" i="7"/>
  <c r="LB31" i="7"/>
  <c r="LA31" i="7"/>
  <c r="KZ31" i="7"/>
  <c r="JO31" i="7"/>
  <c r="JP31" i="7" s="1"/>
  <c r="JJ31" i="7"/>
  <c r="JK31" i="7" s="1"/>
  <c r="JE31" i="7"/>
  <c r="JF31" i="7" s="1"/>
  <c r="IZ31" i="7"/>
  <c r="JA31" i="7" s="1"/>
  <c r="IU31" i="7"/>
  <c r="LC31" i="7" s="1"/>
  <c r="IB31" i="7"/>
  <c r="IA31" i="7"/>
  <c r="HX31" i="7"/>
  <c r="HW31" i="7"/>
  <c r="HV31" i="7"/>
  <c r="GK31" i="7"/>
  <c r="GL31" i="7" s="1"/>
  <c r="GF31" i="7"/>
  <c r="GG31" i="7" s="1"/>
  <c r="GA31" i="7"/>
  <c r="GB31" i="7" s="1"/>
  <c r="FV31" i="7"/>
  <c r="FW31" i="7" s="1"/>
  <c r="FQ31" i="7"/>
  <c r="HY31" i="7" s="1"/>
  <c r="FL31" i="7"/>
  <c r="FM31" i="7" s="1"/>
  <c r="FK31" i="7"/>
  <c r="FI31" i="7"/>
  <c r="FG31" i="7"/>
  <c r="FH31" i="7" s="1"/>
  <c r="FF31" i="7"/>
  <c r="FE31" i="7"/>
  <c r="FB31" i="7"/>
  <c r="FA31" i="7"/>
  <c r="EX31" i="7"/>
  <c r="EW31" i="7"/>
  <c r="ET31" i="7"/>
  <c r="ES31" i="7"/>
  <c r="ER31" i="7"/>
  <c r="EQ31" i="7"/>
  <c r="EP31" i="7"/>
  <c r="EK31" i="7"/>
  <c r="EL31" i="7" s="1"/>
  <c r="EG31" i="7"/>
  <c r="EF31" i="7"/>
  <c r="EA31" i="7"/>
  <c r="EB31" i="7" s="1"/>
  <c r="DW31" i="7"/>
  <c r="DV31" i="7"/>
  <c r="DQ31" i="7"/>
  <c r="DL31" i="7"/>
  <c r="DG31" i="7"/>
  <c r="FC31" i="7" s="1"/>
  <c r="FD31" i="7" s="1"/>
  <c r="DB31" i="7"/>
  <c r="CW31" i="7"/>
  <c r="CR31" i="7"/>
  <c r="CM31" i="7"/>
  <c r="EU31" i="7" s="1"/>
  <c r="EV31" i="7" s="1"/>
  <c r="CG31" i="7"/>
  <c r="CF31" i="7"/>
  <c r="CC31" i="7"/>
  <c r="CB31" i="7"/>
  <c r="BY31" i="7"/>
  <c r="BU31" i="7"/>
  <c r="BT31" i="7"/>
  <c r="BR31" i="7"/>
  <c r="BL31" i="7"/>
  <c r="BN31" i="7" s="1"/>
  <c r="BO31" i="7" s="1"/>
  <c r="BI31" i="7"/>
  <c r="BJ31" i="7" s="1"/>
  <c r="BD31" i="7"/>
  <c r="AY31" i="7"/>
  <c r="AZ31" i="7" s="1"/>
  <c r="AT31" i="7"/>
  <c r="CD31" i="7" s="1"/>
  <c r="AR31" i="7"/>
  <c r="AO31" i="7"/>
  <c r="AP31" i="7" s="1"/>
  <c r="AK31" i="7"/>
  <c r="AJ31" i="7"/>
  <c r="AG31" i="7"/>
  <c r="BX31" i="7" s="1"/>
  <c r="AE31" i="7"/>
  <c r="BZ31" i="7" s="1"/>
  <c r="Z31" i="7"/>
  <c r="AA31" i="7" s="1"/>
  <c r="U31" i="7"/>
  <c r="V31" i="7" s="1"/>
  <c r="S31" i="7"/>
  <c r="N31" i="7"/>
  <c r="P31" i="7" s="1"/>
  <c r="Q31" i="7" s="1"/>
  <c r="I31" i="7"/>
  <c r="K31" i="7" s="1"/>
  <c r="UW30" i="7"/>
  <c r="UV30" i="7"/>
  <c r="UU30" i="7"/>
  <c r="TD30" i="7"/>
  <c r="RO30" i="7"/>
  <c r="RN30" i="7"/>
  <c r="RM30" i="7"/>
  <c r="PV30" i="7"/>
  <c r="MN30" i="7"/>
  <c r="LS30" i="7"/>
  <c r="LR30" i="7"/>
  <c r="LF30" i="7"/>
  <c r="LE30" i="7"/>
  <c r="LB30" i="7"/>
  <c r="LA30" i="7"/>
  <c r="KZ30" i="7"/>
  <c r="JO30" i="7"/>
  <c r="JP30" i="7" s="1"/>
  <c r="JK30" i="7"/>
  <c r="JJ30" i="7"/>
  <c r="JE30" i="7"/>
  <c r="JF30" i="7" s="1"/>
  <c r="JA30" i="7"/>
  <c r="IZ30" i="7"/>
  <c r="IU30" i="7"/>
  <c r="LC30" i="7" s="1"/>
  <c r="IB30" i="7"/>
  <c r="IA30" i="7"/>
  <c r="HY30" i="7"/>
  <c r="HX30" i="7"/>
  <c r="HW30" i="7"/>
  <c r="HV30" i="7"/>
  <c r="GL30" i="7"/>
  <c r="GK30" i="7"/>
  <c r="GF30" i="7"/>
  <c r="GG30" i="7" s="1"/>
  <c r="GB30" i="7"/>
  <c r="GA30" i="7"/>
  <c r="FV30" i="7"/>
  <c r="FW30" i="7" s="1"/>
  <c r="FR30" i="7"/>
  <c r="FQ30" i="7"/>
  <c r="IC30" i="7" s="1"/>
  <c r="ID30" i="7" s="1"/>
  <c r="FK30" i="7"/>
  <c r="FI30" i="7"/>
  <c r="FF30" i="7"/>
  <c r="FE30" i="7"/>
  <c r="FB30" i="7"/>
  <c r="FA30" i="7"/>
  <c r="EW30" i="7"/>
  <c r="ES30" i="7"/>
  <c r="ER30" i="7"/>
  <c r="EP30" i="7"/>
  <c r="EQ30" i="7" s="1"/>
  <c r="EL30" i="7"/>
  <c r="EK30" i="7"/>
  <c r="EF30" i="7"/>
  <c r="EG30" i="7" s="1"/>
  <c r="EB30" i="7"/>
  <c r="EA30" i="7"/>
  <c r="DV30" i="7"/>
  <c r="DW30" i="7" s="1"/>
  <c r="DR30" i="7"/>
  <c r="DQ30" i="7"/>
  <c r="DL30" i="7"/>
  <c r="FC30" i="7" s="1"/>
  <c r="DG30" i="7"/>
  <c r="DB30" i="7"/>
  <c r="CV30" i="7"/>
  <c r="CW30" i="7" s="1"/>
  <c r="CX30" i="7" s="1"/>
  <c r="CS30" i="7"/>
  <c r="CR30" i="7"/>
  <c r="CM30" i="7"/>
  <c r="CG30" i="7"/>
  <c r="CF30" i="7"/>
  <c r="CC30" i="7"/>
  <c r="CB30" i="7"/>
  <c r="BY30" i="7"/>
  <c r="BX30" i="7"/>
  <c r="BU30" i="7"/>
  <c r="BT30" i="7"/>
  <c r="BR30" i="7"/>
  <c r="BQ30" i="7"/>
  <c r="BS30" i="7" s="1"/>
  <c r="BP30" i="7"/>
  <c r="BO30" i="7"/>
  <c r="BN30" i="7"/>
  <c r="BI30" i="7"/>
  <c r="CH30" i="7" s="1"/>
  <c r="BE30" i="7"/>
  <c r="BD30" i="7"/>
  <c r="AY30" i="7"/>
  <c r="AZ30" i="7" s="1"/>
  <c r="AU30" i="7"/>
  <c r="AO30" i="7"/>
  <c r="AP30" i="7" s="1"/>
  <c r="AK30" i="7"/>
  <c r="AJ30" i="7"/>
  <c r="AE30" i="7"/>
  <c r="AF30" i="7" s="1"/>
  <c r="AA30" i="7"/>
  <c r="Z30" i="7"/>
  <c r="BZ30" i="7" s="1"/>
  <c r="U30" i="7"/>
  <c r="V30" i="7" s="1"/>
  <c r="Q30" i="7"/>
  <c r="P30" i="7"/>
  <c r="K30" i="7"/>
  <c r="BV30" i="7" s="1"/>
  <c r="BW30" i="7" s="1"/>
  <c r="UW29" i="7"/>
  <c r="UV29" i="7"/>
  <c r="UU29" i="7"/>
  <c r="TD29" i="7"/>
  <c r="RO29" i="7"/>
  <c r="RN29" i="7"/>
  <c r="RM29" i="7"/>
  <c r="PV29" i="7"/>
  <c r="MN29" i="7"/>
  <c r="LS29" i="7"/>
  <c r="LR29" i="7"/>
  <c r="LF29" i="7"/>
  <c r="LE29" i="7"/>
  <c r="LB29" i="7"/>
  <c r="LA29" i="7"/>
  <c r="KZ29" i="7"/>
  <c r="JO29" i="7"/>
  <c r="JP29" i="7" s="1"/>
  <c r="JK29" i="7"/>
  <c r="JJ29" i="7"/>
  <c r="JE29" i="7"/>
  <c r="JF29" i="7" s="1"/>
  <c r="JA29" i="7"/>
  <c r="IZ29" i="7"/>
  <c r="IU29" i="7"/>
  <c r="LC29" i="7" s="1"/>
  <c r="IB29" i="7"/>
  <c r="IA29" i="7"/>
  <c r="HY29" i="7"/>
  <c r="HX29" i="7"/>
  <c r="HW29" i="7"/>
  <c r="HV29" i="7"/>
  <c r="GL29" i="7"/>
  <c r="GK29" i="7"/>
  <c r="GF29" i="7"/>
  <c r="GG29" i="7" s="1"/>
  <c r="GB29" i="7"/>
  <c r="GA29" i="7"/>
  <c r="FV29" i="7"/>
  <c r="FW29" i="7" s="1"/>
  <c r="FR29" i="7"/>
  <c r="FQ29" i="7"/>
  <c r="IC29" i="7" s="1"/>
  <c r="ID29" i="7" s="1"/>
  <c r="FK29" i="7"/>
  <c r="FI29" i="7"/>
  <c r="FF29" i="7"/>
  <c r="FE29" i="7"/>
  <c r="FB29" i="7"/>
  <c r="FA29" i="7"/>
  <c r="EX29" i="7"/>
  <c r="EW29" i="7"/>
  <c r="ET29" i="7"/>
  <c r="ES29" i="7"/>
  <c r="ER29" i="7"/>
  <c r="EP29" i="7"/>
  <c r="EQ29" i="7" s="1"/>
  <c r="EL29" i="7"/>
  <c r="EK29" i="7"/>
  <c r="EF29" i="7"/>
  <c r="EG29" i="7" s="1"/>
  <c r="EB29" i="7"/>
  <c r="EA29" i="7"/>
  <c r="DV29" i="7"/>
  <c r="DW29" i="7" s="1"/>
  <c r="DQ29" i="7"/>
  <c r="FG29" i="7" s="1"/>
  <c r="FH29" i="7" s="1"/>
  <c r="DL29" i="7"/>
  <c r="FC29" i="7" s="1"/>
  <c r="DG29" i="7"/>
  <c r="DB29" i="7"/>
  <c r="CW29" i="7"/>
  <c r="CS29" i="7"/>
  <c r="CR29" i="7"/>
  <c r="CM29" i="7"/>
  <c r="EY29" i="7" s="1"/>
  <c r="EZ29" i="7" s="1"/>
  <c r="CG29" i="7"/>
  <c r="CF29" i="7"/>
  <c r="CC29" i="7"/>
  <c r="CB29" i="7"/>
  <c r="BY29" i="7"/>
  <c r="BX29" i="7"/>
  <c r="BU29" i="7"/>
  <c r="BT29" i="7"/>
  <c r="BP29" i="7"/>
  <c r="BL29" i="7"/>
  <c r="BN29" i="7" s="1"/>
  <c r="BO29" i="7" s="1"/>
  <c r="BJ29" i="7"/>
  <c r="BI29" i="7"/>
  <c r="BD29" i="7"/>
  <c r="CH29" i="7" s="1"/>
  <c r="AZ29" i="7"/>
  <c r="AY29" i="7"/>
  <c r="AT29" i="7"/>
  <c r="CD29" i="7" s="1"/>
  <c r="AP29" i="7"/>
  <c r="AO29" i="7"/>
  <c r="AJ29" i="7"/>
  <c r="AK29" i="7" s="1"/>
  <c r="AD29" i="7"/>
  <c r="AE29" i="7" s="1"/>
  <c r="AA29" i="7"/>
  <c r="Z29" i="7"/>
  <c r="S29" i="7"/>
  <c r="BQ29" i="7" s="1"/>
  <c r="P29" i="7"/>
  <c r="K29" i="7"/>
  <c r="UW28" i="7"/>
  <c r="UV28" i="7"/>
  <c r="UU28" i="7"/>
  <c r="TD28" i="7"/>
  <c r="RO28" i="7"/>
  <c r="RN28" i="7"/>
  <c r="RM28" i="7"/>
  <c r="PV28" i="7"/>
  <c r="MN28" i="7"/>
  <c r="LS28" i="7"/>
  <c r="LR28" i="7"/>
  <c r="LF28" i="7"/>
  <c r="LE28" i="7"/>
  <c r="LB28" i="7"/>
  <c r="LA28" i="7"/>
  <c r="KZ28" i="7"/>
  <c r="JO28" i="7"/>
  <c r="JP28" i="7" s="1"/>
  <c r="JJ28" i="7"/>
  <c r="JK28" i="7" s="1"/>
  <c r="JE28" i="7"/>
  <c r="JF28" i="7" s="1"/>
  <c r="IZ28" i="7"/>
  <c r="JA28" i="7" s="1"/>
  <c r="IU28" i="7"/>
  <c r="LC28" i="7" s="1"/>
  <c r="IB28" i="7"/>
  <c r="IA28" i="7"/>
  <c r="HX28" i="7"/>
  <c r="HW28" i="7"/>
  <c r="HV28" i="7"/>
  <c r="GK28" i="7"/>
  <c r="GL28" i="7" s="1"/>
  <c r="GF28" i="7"/>
  <c r="GG28" i="7" s="1"/>
  <c r="GA28" i="7"/>
  <c r="GB28" i="7" s="1"/>
  <c r="FV28" i="7"/>
  <c r="FW28" i="7" s="1"/>
  <c r="FQ28" i="7"/>
  <c r="IC28" i="7" s="1"/>
  <c r="ID28" i="7" s="1"/>
  <c r="FK28" i="7"/>
  <c r="FI28" i="7"/>
  <c r="FF28" i="7"/>
  <c r="FE28" i="7"/>
  <c r="FB28" i="7"/>
  <c r="FA28" i="7"/>
  <c r="EX28" i="7"/>
  <c r="EW28" i="7"/>
  <c r="ET28" i="7"/>
  <c r="EP28" i="7"/>
  <c r="EK28" i="7"/>
  <c r="EL28" i="7" s="1"/>
  <c r="EF28" i="7"/>
  <c r="EG28" i="7" s="1"/>
  <c r="EA28" i="7"/>
  <c r="EB28" i="7" s="1"/>
  <c r="DT28" i="7"/>
  <c r="DV28" i="7" s="1"/>
  <c r="DW28" i="7" s="1"/>
  <c r="DR28" i="7"/>
  <c r="DQ28" i="7"/>
  <c r="FG28" i="7" s="1"/>
  <c r="FH28" i="7" s="1"/>
  <c r="DJ28" i="7"/>
  <c r="DL28" i="7" s="1"/>
  <c r="DI28" i="7"/>
  <c r="DE28" i="7"/>
  <c r="DG28" i="7" s="1"/>
  <c r="DH28" i="7" s="1"/>
  <c r="DD28" i="7"/>
  <c r="CZ28" i="7"/>
  <c r="DB28" i="7" s="1"/>
  <c r="DC28" i="7" s="1"/>
  <c r="CY28" i="7"/>
  <c r="ER28" i="7" s="1"/>
  <c r="CU28" i="7"/>
  <c r="ES28" i="7" s="1"/>
  <c r="CR28" i="7"/>
  <c r="CS28" i="7" s="1"/>
  <c r="CM28" i="7"/>
  <c r="CK28" i="7"/>
  <c r="CG28" i="7"/>
  <c r="CF28" i="7"/>
  <c r="CD28" i="7"/>
  <c r="CC28" i="7"/>
  <c r="CB28" i="7"/>
  <c r="BZ28" i="7"/>
  <c r="BY28" i="7"/>
  <c r="BX28" i="7"/>
  <c r="BU28" i="7"/>
  <c r="BT28" i="7"/>
  <c r="BR28" i="7"/>
  <c r="BS28" i="7" s="1"/>
  <c r="BQ28" i="7"/>
  <c r="BP28" i="7"/>
  <c r="BL28" i="7"/>
  <c r="BN28" i="7" s="1"/>
  <c r="BO28" i="7" s="1"/>
  <c r="BJ28" i="7"/>
  <c r="BI28" i="7"/>
  <c r="BD28" i="7"/>
  <c r="Z28" i="7"/>
  <c r="U28" i="7"/>
  <c r="P28" i="7"/>
  <c r="K28" i="7"/>
  <c r="BV28" i="7" s="1"/>
  <c r="UV27" i="7"/>
  <c r="UU27" i="7"/>
  <c r="TD27" i="7"/>
  <c r="UW27" i="7" s="1"/>
  <c r="RN27" i="7"/>
  <c r="RM27" i="7"/>
  <c r="PV27" i="7"/>
  <c r="RO27" i="7" s="1"/>
  <c r="MN27" i="7"/>
  <c r="LS27" i="7"/>
  <c r="LR27" i="7"/>
  <c r="LF27" i="7"/>
  <c r="LE27" i="7"/>
  <c r="LB27" i="7"/>
  <c r="LA27" i="7"/>
  <c r="KZ27" i="7"/>
  <c r="JO27" i="7"/>
  <c r="JP27" i="7" s="1"/>
  <c r="JJ27" i="7"/>
  <c r="JK27" i="7" s="1"/>
  <c r="JE27" i="7"/>
  <c r="JF27" i="7" s="1"/>
  <c r="IZ27" i="7"/>
  <c r="JA27" i="7" s="1"/>
  <c r="IU27" i="7"/>
  <c r="LG27" i="7" s="1"/>
  <c r="IB27" i="7"/>
  <c r="IA27" i="7"/>
  <c r="HX27" i="7"/>
  <c r="HW27" i="7"/>
  <c r="HV27" i="7"/>
  <c r="GK27" i="7"/>
  <c r="GL27" i="7" s="1"/>
  <c r="GF27" i="7"/>
  <c r="GG27" i="7" s="1"/>
  <c r="GA27" i="7"/>
  <c r="GB27" i="7" s="1"/>
  <c r="FV27" i="7"/>
  <c r="FW27" i="7" s="1"/>
  <c r="FQ27" i="7"/>
  <c r="HY27" i="7" s="1"/>
  <c r="FK27" i="7"/>
  <c r="FI27" i="7"/>
  <c r="FF27" i="7"/>
  <c r="FE27" i="7"/>
  <c r="FB27" i="7"/>
  <c r="FA27" i="7"/>
  <c r="EX27" i="7"/>
  <c r="EW27" i="7"/>
  <c r="ET27" i="7"/>
  <c r="ES27" i="7"/>
  <c r="ER27" i="7"/>
  <c r="EP27" i="7"/>
  <c r="EQ27" i="7" s="1"/>
  <c r="EK27" i="7"/>
  <c r="EL27" i="7" s="1"/>
  <c r="EF27" i="7"/>
  <c r="EG27" i="7" s="1"/>
  <c r="EA27" i="7"/>
  <c r="EB27" i="7" s="1"/>
  <c r="DV27" i="7"/>
  <c r="FG27" i="7" s="1"/>
  <c r="FH27" i="7" s="1"/>
  <c r="DQ27" i="7"/>
  <c r="DL27" i="7"/>
  <c r="DG27" i="7"/>
  <c r="DB27" i="7"/>
  <c r="FC27" i="7" s="1"/>
  <c r="FD27" i="7" s="1"/>
  <c r="CW27" i="7"/>
  <c r="CR27" i="7"/>
  <c r="CM27" i="7"/>
  <c r="EY27" i="7" s="1"/>
  <c r="CG27" i="7"/>
  <c r="CF27" i="7"/>
  <c r="CC27" i="7"/>
  <c r="CB27" i="7"/>
  <c r="BY27" i="7"/>
  <c r="BX27" i="7"/>
  <c r="BU27" i="7"/>
  <c r="BT27" i="7"/>
  <c r="BS27" i="7"/>
  <c r="BR27" i="7"/>
  <c r="BQ27" i="7"/>
  <c r="BP27" i="7"/>
  <c r="BN27" i="7"/>
  <c r="CH27" i="7" s="1"/>
  <c r="BI27" i="7"/>
  <c r="BD27" i="7"/>
  <c r="BE27" i="7" s="1"/>
  <c r="AZ27" i="7"/>
  <c r="AY27" i="7"/>
  <c r="AT27" i="7"/>
  <c r="AU27" i="7" s="1"/>
  <c r="AO27" i="7"/>
  <c r="CD27" i="7" s="1"/>
  <c r="Z27" i="7"/>
  <c r="BZ27" i="7" s="1"/>
  <c r="U27" i="7"/>
  <c r="P27" i="7"/>
  <c r="K27" i="7"/>
  <c r="BV27" i="7" s="1"/>
  <c r="UV26" i="7"/>
  <c r="UU26" i="7"/>
  <c r="TD26" i="7"/>
  <c r="UW26" i="7" s="1"/>
  <c r="RN26" i="7"/>
  <c r="RM26" i="7"/>
  <c r="PV26" i="7"/>
  <c r="RO26" i="7" s="1"/>
  <c r="MN26" i="7"/>
  <c r="LS26" i="7"/>
  <c r="LR26" i="7"/>
  <c r="LF26" i="7"/>
  <c r="LE26" i="7"/>
  <c r="LB26" i="7"/>
  <c r="LA26" i="7"/>
  <c r="KZ26" i="7"/>
  <c r="JO26" i="7"/>
  <c r="JP26" i="7" s="1"/>
  <c r="JJ26" i="7"/>
  <c r="JK26" i="7" s="1"/>
  <c r="JE26" i="7"/>
  <c r="JF26" i="7" s="1"/>
  <c r="IZ26" i="7"/>
  <c r="JA26" i="7" s="1"/>
  <c r="IU26" i="7"/>
  <c r="LG26" i="7" s="1"/>
  <c r="IB26" i="7"/>
  <c r="IA26" i="7"/>
  <c r="HX26" i="7"/>
  <c r="HW26" i="7"/>
  <c r="HV26" i="7"/>
  <c r="GK26" i="7"/>
  <c r="GL26" i="7" s="1"/>
  <c r="GF26" i="7"/>
  <c r="GG26" i="7" s="1"/>
  <c r="GA26" i="7"/>
  <c r="GB26" i="7" s="1"/>
  <c r="FV26" i="7"/>
  <c r="FW26" i="7" s="1"/>
  <c r="FQ26" i="7"/>
  <c r="HY26" i="7" s="1"/>
  <c r="FK26" i="7"/>
  <c r="FI26" i="7"/>
  <c r="FF26" i="7"/>
  <c r="FE26" i="7"/>
  <c r="FB26" i="7"/>
  <c r="FA26" i="7"/>
  <c r="EX26" i="7"/>
  <c r="EW26" i="7"/>
  <c r="ET26" i="7"/>
  <c r="ES26" i="7"/>
  <c r="ER26" i="7"/>
  <c r="EP26" i="7"/>
  <c r="EK26" i="7"/>
  <c r="EF26" i="7"/>
  <c r="FL26" i="7" s="1"/>
  <c r="EA26" i="7"/>
  <c r="DV26" i="7"/>
  <c r="DQ26" i="7"/>
  <c r="FG26" i="7" s="1"/>
  <c r="DL26" i="7"/>
  <c r="FC26" i="7" s="1"/>
  <c r="DG26" i="7"/>
  <c r="DB26" i="7"/>
  <c r="CW26" i="7"/>
  <c r="CX26" i="7" s="1"/>
  <c r="CS26" i="7"/>
  <c r="CR26" i="7"/>
  <c r="CM26" i="7"/>
  <c r="EY26" i="7" s="1"/>
  <c r="EZ26" i="7" s="1"/>
  <c r="CF26" i="7"/>
  <c r="CC26" i="7"/>
  <c r="CB26" i="7"/>
  <c r="BZ26" i="7"/>
  <c r="BY26" i="7"/>
  <c r="BX26" i="7"/>
  <c r="BU26" i="7"/>
  <c r="BT26" i="7"/>
  <c r="BP26" i="7"/>
  <c r="BM26" i="7"/>
  <c r="CG26" i="7" s="1"/>
  <c r="BL26" i="7"/>
  <c r="BQ26" i="7" s="1"/>
  <c r="BJ26" i="7"/>
  <c r="BI26" i="7"/>
  <c r="BD26" i="7"/>
  <c r="BE26" i="7" s="1"/>
  <c r="AZ26" i="7"/>
  <c r="AY26" i="7"/>
  <c r="AT26" i="7"/>
  <c r="AU26" i="7" s="1"/>
  <c r="AO26" i="7"/>
  <c r="CD26" i="7" s="1"/>
  <c r="Z26" i="7"/>
  <c r="U26" i="7"/>
  <c r="P26" i="7"/>
  <c r="K26" i="7"/>
  <c r="BV26" i="7" s="1"/>
  <c r="UV25" i="7"/>
  <c r="UU25" i="7"/>
  <c r="TD25" i="7"/>
  <c r="UW25" i="7" s="1"/>
  <c r="RN25" i="7"/>
  <c r="RM25" i="7"/>
  <c r="PV25" i="7"/>
  <c r="RO25" i="7" s="1"/>
  <c r="MN25" i="7"/>
  <c r="LS25" i="7"/>
  <c r="LR25" i="7"/>
  <c r="LF25" i="7"/>
  <c r="LE25" i="7"/>
  <c r="LB25" i="7"/>
  <c r="LA25" i="7"/>
  <c r="KZ25" i="7"/>
  <c r="JO25" i="7"/>
  <c r="JP25" i="7" s="1"/>
  <c r="JJ25" i="7"/>
  <c r="JK25" i="7" s="1"/>
  <c r="JE25" i="7"/>
  <c r="JF25" i="7" s="1"/>
  <c r="IZ25" i="7"/>
  <c r="JA25" i="7" s="1"/>
  <c r="IU25" i="7"/>
  <c r="LC25" i="7" s="1"/>
  <c r="IB25" i="7"/>
  <c r="IA25" i="7"/>
  <c r="HX25" i="7"/>
  <c r="HW25" i="7"/>
  <c r="HV25" i="7"/>
  <c r="GK25" i="7"/>
  <c r="GL25" i="7" s="1"/>
  <c r="GF25" i="7"/>
  <c r="GG25" i="7" s="1"/>
  <c r="GA25" i="7"/>
  <c r="GB25" i="7" s="1"/>
  <c r="FV25" i="7"/>
  <c r="FW25" i="7" s="1"/>
  <c r="FQ25" i="7"/>
  <c r="HY25" i="7" s="1"/>
  <c r="FK25" i="7"/>
  <c r="FF25" i="7"/>
  <c r="FE25" i="7"/>
  <c r="FB25" i="7"/>
  <c r="FA25" i="7"/>
  <c r="EX25" i="7"/>
  <c r="EW25" i="7"/>
  <c r="ET25" i="7"/>
  <c r="ER25" i="7"/>
  <c r="EP25" i="7"/>
  <c r="EK25" i="7"/>
  <c r="EF25" i="7"/>
  <c r="FL25" i="7" s="1"/>
  <c r="EA25" i="7"/>
  <c r="DV25" i="7"/>
  <c r="DQ25" i="7"/>
  <c r="FG25" i="7" s="1"/>
  <c r="DL25" i="7"/>
  <c r="DG25" i="7"/>
  <c r="CZ25" i="7"/>
  <c r="DB25" i="7" s="1"/>
  <c r="DC25" i="7" s="1"/>
  <c r="CX25" i="7"/>
  <c r="CW25" i="7"/>
  <c r="CR25" i="7"/>
  <c r="EY25" i="7" s="1"/>
  <c r="EZ25" i="7" s="1"/>
  <c r="BS25" i="7"/>
  <c r="BR25" i="7"/>
  <c r="BQ25" i="7"/>
  <c r="BP25" i="7"/>
  <c r="UW24" i="7"/>
  <c r="UV24" i="7"/>
  <c r="UU24" i="7"/>
  <c r="TD24" i="7"/>
  <c r="RO24" i="7"/>
  <c r="RN24" i="7"/>
  <c r="RM24" i="7"/>
  <c r="PV24" i="7"/>
  <c r="MN24" i="7"/>
  <c r="LS24" i="7"/>
  <c r="LR24" i="7"/>
  <c r="LF24" i="7"/>
  <c r="LE24" i="7"/>
  <c r="LB24" i="7"/>
  <c r="LA24" i="7"/>
  <c r="KZ24" i="7"/>
  <c r="JO24" i="7"/>
  <c r="JP24" i="7" s="1"/>
  <c r="JK24" i="7"/>
  <c r="JJ24" i="7"/>
  <c r="JE24" i="7"/>
  <c r="JF24" i="7" s="1"/>
  <c r="JA24" i="7"/>
  <c r="IZ24" i="7"/>
  <c r="IU24" i="7"/>
  <c r="LC24" i="7" s="1"/>
  <c r="IB24" i="7"/>
  <c r="IA24" i="7"/>
  <c r="HY24" i="7"/>
  <c r="HX24" i="7"/>
  <c r="HW24" i="7"/>
  <c r="HV24" i="7"/>
  <c r="GL24" i="7"/>
  <c r="GK24" i="7"/>
  <c r="GF24" i="7"/>
  <c r="GG24" i="7" s="1"/>
  <c r="GB24" i="7"/>
  <c r="GA24" i="7"/>
  <c r="FV24" i="7"/>
  <c r="FW24" i="7" s="1"/>
  <c r="FR24" i="7"/>
  <c r="FQ24" i="7"/>
  <c r="IC24" i="7" s="1"/>
  <c r="ID24" i="7" s="1"/>
  <c r="FK24" i="7"/>
  <c r="FI24" i="7"/>
  <c r="FF24" i="7"/>
  <c r="FE24" i="7"/>
  <c r="FB24" i="7"/>
  <c r="FA24" i="7"/>
  <c r="EX24" i="7"/>
  <c r="EW24" i="7"/>
  <c r="ET24" i="7"/>
  <c r="ES24" i="7"/>
  <c r="ER24" i="7"/>
  <c r="EP24" i="7"/>
  <c r="EQ24" i="7" s="1"/>
  <c r="EL24" i="7"/>
  <c r="EK24" i="7"/>
  <c r="EF24" i="7"/>
  <c r="FL24" i="7" s="1"/>
  <c r="FM24" i="7" s="1"/>
  <c r="EB24" i="7"/>
  <c r="EA24" i="7"/>
  <c r="DV24" i="7"/>
  <c r="DW24" i="7" s="1"/>
  <c r="DQ24" i="7"/>
  <c r="DL24" i="7"/>
  <c r="DG24" i="7"/>
  <c r="FC24" i="7" s="1"/>
  <c r="FD24" i="7" s="1"/>
  <c r="DB24" i="7"/>
  <c r="CW24" i="7"/>
  <c r="CR24" i="7"/>
  <c r="CM24" i="7"/>
  <c r="EU24" i="7" s="1"/>
  <c r="EV24" i="7" s="1"/>
  <c r="CH24" i="7"/>
  <c r="CG24" i="7"/>
  <c r="CF24" i="7"/>
  <c r="CC24" i="7"/>
  <c r="CB24" i="7"/>
  <c r="BY24" i="7"/>
  <c r="BX24" i="7"/>
  <c r="BU24" i="7"/>
  <c r="BT24" i="7"/>
  <c r="BR24" i="7"/>
  <c r="BS24" i="7" s="1"/>
  <c r="BQ24" i="7"/>
  <c r="BP24" i="7"/>
  <c r="BN24" i="7"/>
  <c r="BI24" i="7"/>
  <c r="BE24" i="7"/>
  <c r="AT24" i="7"/>
  <c r="CD24" i="7" s="1"/>
  <c r="AO24" i="7"/>
  <c r="AJ24" i="7"/>
  <c r="AE24" i="7"/>
  <c r="Z24" i="7"/>
  <c r="BZ24" i="7" s="1"/>
  <c r="U24" i="7"/>
  <c r="P24" i="7"/>
  <c r="BV24" i="7" s="1"/>
  <c r="BW24" i="7" s="1"/>
  <c r="UW23" i="7"/>
  <c r="UV23" i="7"/>
  <c r="UU23" i="7"/>
  <c r="TD23" i="7"/>
  <c r="RO23" i="7"/>
  <c r="RN23" i="7"/>
  <c r="RM23" i="7"/>
  <c r="PV23" i="7"/>
  <c r="MN23" i="7"/>
  <c r="LS23" i="7"/>
  <c r="LR23" i="7"/>
  <c r="LF23" i="7"/>
  <c r="LE23" i="7"/>
  <c r="LB23" i="7"/>
  <c r="LA23" i="7"/>
  <c r="KZ23" i="7"/>
  <c r="JO23" i="7"/>
  <c r="JJ23" i="7"/>
  <c r="JE23" i="7"/>
  <c r="LG23" i="7" s="1"/>
  <c r="IB23" i="7"/>
  <c r="IA23" i="7"/>
  <c r="HX23" i="7"/>
  <c r="HW23" i="7"/>
  <c r="HV23" i="7"/>
  <c r="GK23" i="7"/>
  <c r="GF23" i="7"/>
  <c r="GA23" i="7"/>
  <c r="FR23" i="7"/>
  <c r="FQ23" i="7"/>
  <c r="HY23" i="7" s="1"/>
  <c r="FK23" i="7"/>
  <c r="FI23" i="7"/>
  <c r="FF23" i="7"/>
  <c r="FE23" i="7"/>
  <c r="FB23" i="7"/>
  <c r="FA23" i="7"/>
  <c r="EX23" i="7"/>
  <c r="EW23" i="7"/>
  <c r="ET23" i="7"/>
  <c r="ES23" i="7"/>
  <c r="ER23" i="7"/>
  <c r="EP23" i="7"/>
  <c r="EQ23" i="7" s="1"/>
  <c r="EK23" i="7"/>
  <c r="EL23" i="7" s="1"/>
  <c r="EF23" i="7"/>
  <c r="FL23" i="7" s="1"/>
  <c r="FM23" i="7" s="1"/>
  <c r="EA23" i="7"/>
  <c r="EB23" i="7" s="1"/>
  <c r="DV23" i="7"/>
  <c r="FG23" i="7" s="1"/>
  <c r="FH23" i="7" s="1"/>
  <c r="DQ23" i="7"/>
  <c r="DR23" i="7" s="1"/>
  <c r="DL23" i="7"/>
  <c r="DM23" i="7" s="1"/>
  <c r="DG23" i="7"/>
  <c r="DH23" i="7" s="1"/>
  <c r="DB23" i="7"/>
  <c r="DC23" i="7" s="1"/>
  <c r="CW23" i="7"/>
  <c r="CX23" i="7" s="1"/>
  <c r="CR23" i="7"/>
  <c r="CS23" i="7" s="1"/>
  <c r="CL23" i="7"/>
  <c r="CM23" i="7" s="1"/>
  <c r="CG23" i="7"/>
  <c r="CF23" i="7"/>
  <c r="CC23" i="7"/>
  <c r="CB23" i="7"/>
  <c r="BY23" i="7"/>
  <c r="BX23" i="7"/>
  <c r="BU23" i="7"/>
  <c r="BT23" i="7"/>
  <c r="BR23" i="7"/>
  <c r="BS23" i="7" s="1"/>
  <c r="BQ23" i="7"/>
  <c r="BP23" i="7"/>
  <c r="BN23" i="7"/>
  <c r="BO23" i="7" s="1"/>
  <c r="BI23" i="7"/>
  <c r="BJ23" i="7" s="1"/>
  <c r="BD23" i="7"/>
  <c r="BE23" i="7" s="1"/>
  <c r="AY23" i="7"/>
  <c r="AZ23" i="7" s="1"/>
  <c r="AT23" i="7"/>
  <c r="AU23" i="7" s="1"/>
  <c r="AO23" i="7"/>
  <c r="AP23" i="7" s="1"/>
  <c r="AJ23" i="7"/>
  <c r="AK23" i="7" s="1"/>
  <c r="AE23" i="7"/>
  <c r="AF23" i="7" s="1"/>
  <c r="Z23" i="7"/>
  <c r="AA23" i="7" s="1"/>
  <c r="U23" i="7"/>
  <c r="V23" i="7" s="1"/>
  <c r="P23" i="7"/>
  <c r="Q23" i="7" s="1"/>
  <c r="K23" i="7"/>
  <c r="BV23" i="7" s="1"/>
  <c r="BW23" i="7" s="1"/>
  <c r="UV22" i="7"/>
  <c r="UU22" i="7"/>
  <c r="TD22" i="7"/>
  <c r="UW22" i="7" s="1"/>
  <c r="RN22" i="7"/>
  <c r="RM22" i="7"/>
  <c r="PV22" i="7"/>
  <c r="RO22" i="7" s="1"/>
  <c r="MN22" i="7"/>
  <c r="LS22" i="7"/>
  <c r="LR22" i="7"/>
  <c r="LF22" i="7"/>
  <c r="LE22" i="7"/>
  <c r="LB22" i="7"/>
  <c r="LA22" i="7"/>
  <c r="KZ22" i="7"/>
  <c r="JO22" i="7"/>
  <c r="JP22" i="7" s="1"/>
  <c r="JJ22" i="7"/>
  <c r="JK22" i="7" s="1"/>
  <c r="JE22" i="7"/>
  <c r="JF22" i="7" s="1"/>
  <c r="IZ22" i="7"/>
  <c r="JA22" i="7" s="1"/>
  <c r="IV22" i="7"/>
  <c r="IB22" i="7"/>
  <c r="IA22" i="7"/>
  <c r="HY22" i="7"/>
  <c r="HX22" i="7"/>
  <c r="HW22" i="7"/>
  <c r="HV22" i="7"/>
  <c r="GL22" i="7"/>
  <c r="GK22" i="7"/>
  <c r="GF22" i="7"/>
  <c r="GG22" i="7" s="1"/>
  <c r="GB22" i="7"/>
  <c r="GA22" i="7"/>
  <c r="FV22" i="7"/>
  <c r="IC22" i="7" s="1"/>
  <c r="ID22" i="7" s="1"/>
  <c r="FR22" i="7"/>
  <c r="FK22" i="7"/>
  <c r="FI22" i="7"/>
  <c r="FF22" i="7"/>
  <c r="FE22" i="7"/>
  <c r="FB22" i="7"/>
  <c r="FA22" i="7"/>
  <c r="EX22" i="7"/>
  <c r="EW22" i="7"/>
  <c r="ET22" i="7"/>
  <c r="ES22" i="7"/>
  <c r="ER22" i="7"/>
  <c r="EP22" i="7"/>
  <c r="EQ22" i="7" s="1"/>
  <c r="EL22" i="7"/>
  <c r="EK22" i="7"/>
  <c r="EF22" i="7"/>
  <c r="FL22" i="7" s="1"/>
  <c r="FM22" i="7" s="1"/>
  <c r="EB22" i="7"/>
  <c r="EA22" i="7"/>
  <c r="DV22" i="7"/>
  <c r="DW22" i="7" s="1"/>
  <c r="DQ22" i="7"/>
  <c r="FG22" i="7" s="1"/>
  <c r="FH22" i="7" s="1"/>
  <c r="DL22" i="7"/>
  <c r="DG22" i="7"/>
  <c r="FC22" i="7" s="1"/>
  <c r="FD22" i="7" s="1"/>
  <c r="DB22" i="7"/>
  <c r="CW22" i="7"/>
  <c r="CR22" i="7"/>
  <c r="CM22" i="7"/>
  <c r="EY22" i="7" s="1"/>
  <c r="EZ22" i="7" s="1"/>
  <c r="CG22" i="7"/>
  <c r="CF22" i="7"/>
  <c r="CC22" i="7"/>
  <c r="CB22" i="7"/>
  <c r="BY22" i="7"/>
  <c r="BX22" i="7"/>
  <c r="BV22" i="7"/>
  <c r="BU22" i="7"/>
  <c r="BT22" i="7"/>
  <c r="BR22" i="7"/>
  <c r="BS22" i="7" s="1"/>
  <c r="BQ22" i="7"/>
  <c r="BP22" i="7"/>
  <c r="BN22" i="7"/>
  <c r="BO22" i="7" s="1"/>
  <c r="BI22" i="7"/>
  <c r="BJ22" i="7" s="1"/>
  <c r="BD22" i="7"/>
  <c r="CH22" i="7" s="1"/>
  <c r="AY22" i="7"/>
  <c r="AZ22" i="7" s="1"/>
  <c r="AT22" i="7"/>
  <c r="AU22" i="7" s="1"/>
  <c r="AO22" i="7"/>
  <c r="AP22" i="7" s="1"/>
  <c r="AJ22" i="7"/>
  <c r="AK22" i="7" s="1"/>
  <c r="AE22" i="7"/>
  <c r="AF22" i="7" s="1"/>
  <c r="Z22" i="7"/>
  <c r="BZ22" i="7" s="1"/>
  <c r="U22" i="7"/>
  <c r="P22" i="7"/>
  <c r="K22" i="7"/>
  <c r="UW21" i="7"/>
  <c r="UV21" i="7"/>
  <c r="UU21" i="7"/>
  <c r="TD21" i="7"/>
  <c r="RO21" i="7"/>
  <c r="RN21" i="7"/>
  <c r="RM21" i="7"/>
  <c r="PV21" i="7"/>
  <c r="MN21" i="7"/>
  <c r="LS21" i="7"/>
  <c r="LR21" i="7"/>
  <c r="LF21" i="7"/>
  <c r="LE21" i="7"/>
  <c r="LB21" i="7"/>
  <c r="LA21" i="7"/>
  <c r="KZ21" i="7"/>
  <c r="JO21" i="7"/>
  <c r="JP21" i="7" s="1"/>
  <c r="JK21" i="7"/>
  <c r="JJ21" i="7"/>
  <c r="JE21" i="7"/>
  <c r="JF21" i="7" s="1"/>
  <c r="JA21" i="7"/>
  <c r="IZ21" i="7"/>
  <c r="IU21" i="7"/>
  <c r="LG21" i="7" s="1"/>
  <c r="IB21" i="7"/>
  <c r="IA21" i="7"/>
  <c r="HY21" i="7"/>
  <c r="HX21" i="7"/>
  <c r="HW21" i="7"/>
  <c r="HV21" i="7"/>
  <c r="GL21" i="7"/>
  <c r="GK21" i="7"/>
  <c r="GF21" i="7"/>
  <c r="GG21" i="7" s="1"/>
  <c r="GB21" i="7"/>
  <c r="GA21" i="7"/>
  <c r="FV21" i="7"/>
  <c r="FW21" i="7" s="1"/>
  <c r="FR21" i="7"/>
  <c r="FQ21" i="7"/>
  <c r="IC21" i="7" s="1"/>
  <c r="ID21" i="7" s="1"/>
  <c r="FK21" i="7"/>
  <c r="FI21" i="7"/>
  <c r="FF21" i="7"/>
  <c r="FE21" i="7"/>
  <c r="FB21" i="7"/>
  <c r="FA21" i="7"/>
  <c r="EX21" i="7"/>
  <c r="EW21" i="7"/>
  <c r="ET21" i="7"/>
  <c r="ES21" i="7"/>
  <c r="ER21" i="7"/>
  <c r="EP21" i="7"/>
  <c r="EQ21" i="7" s="1"/>
  <c r="EK21" i="7"/>
  <c r="EL21" i="7" s="1"/>
  <c r="EF21" i="7"/>
  <c r="EG21" i="7" s="1"/>
  <c r="EA21" i="7"/>
  <c r="EB21" i="7" s="1"/>
  <c r="DV21" i="7"/>
  <c r="FG21" i="7" s="1"/>
  <c r="FH21" i="7" s="1"/>
  <c r="DQ21" i="7"/>
  <c r="DL21" i="7"/>
  <c r="DG21" i="7"/>
  <c r="FC21" i="7" s="1"/>
  <c r="FD21" i="7" s="1"/>
  <c r="DB21" i="7"/>
  <c r="CW21" i="7"/>
  <c r="CR21" i="7"/>
  <c r="CM21" i="7"/>
  <c r="EY21" i="7" s="1"/>
  <c r="EZ21" i="7" s="1"/>
  <c r="CG21" i="7"/>
  <c r="CF21" i="7"/>
  <c r="CC21" i="7"/>
  <c r="CB21" i="7"/>
  <c r="BY21" i="7"/>
  <c r="BU21" i="7"/>
  <c r="BT21" i="7"/>
  <c r="BR21" i="7"/>
  <c r="BN21" i="7"/>
  <c r="BI21" i="7"/>
  <c r="BD21" i="7"/>
  <c r="CH21" i="7" s="1"/>
  <c r="AY21" i="7"/>
  <c r="AT21" i="7"/>
  <c r="AU21" i="7" s="1"/>
  <c r="AP21" i="7"/>
  <c r="AO21" i="7"/>
  <c r="AJ21" i="7"/>
  <c r="AK21" i="7" s="1"/>
  <c r="AG21" i="7"/>
  <c r="BP21" i="7" s="1"/>
  <c r="AC21" i="7"/>
  <c r="AE21" i="7" s="1"/>
  <c r="AF21" i="7" s="1"/>
  <c r="AB21" i="7"/>
  <c r="BX21" i="7" s="1"/>
  <c r="Z21" i="7"/>
  <c r="AA21" i="7" s="1"/>
  <c r="U21" i="7"/>
  <c r="V21" i="7" s="1"/>
  <c r="S21" i="7"/>
  <c r="P21" i="7"/>
  <c r="Q21" i="7" s="1"/>
  <c r="I21" i="7"/>
  <c r="K21" i="7" s="1"/>
  <c r="UW20" i="7"/>
  <c r="UV20" i="7"/>
  <c r="UU20" i="7"/>
  <c r="TD20" i="7"/>
  <c r="RO20" i="7"/>
  <c r="RN20" i="7"/>
  <c r="RM20" i="7"/>
  <c r="PV20" i="7"/>
  <c r="MN20" i="7"/>
  <c r="LS20" i="7"/>
  <c r="LR20" i="7"/>
  <c r="LF20" i="7"/>
  <c r="LE20" i="7"/>
  <c r="LB20" i="7"/>
  <c r="LA20" i="7"/>
  <c r="KZ20" i="7"/>
  <c r="JO20" i="7"/>
  <c r="JP20" i="7" s="1"/>
  <c r="JJ20" i="7"/>
  <c r="JK20" i="7" s="1"/>
  <c r="JE20" i="7"/>
  <c r="JF20" i="7" s="1"/>
  <c r="IZ20" i="7"/>
  <c r="JA20" i="7" s="1"/>
  <c r="IU20" i="7"/>
  <c r="LC20" i="7" s="1"/>
  <c r="IB20" i="7"/>
  <c r="IA20" i="7"/>
  <c r="HX20" i="7"/>
  <c r="HW20" i="7"/>
  <c r="HV20" i="7"/>
  <c r="GK20" i="7"/>
  <c r="GL20" i="7" s="1"/>
  <c r="GF20" i="7"/>
  <c r="GG20" i="7" s="1"/>
  <c r="GA20" i="7"/>
  <c r="GB20" i="7" s="1"/>
  <c r="FV20" i="7"/>
  <c r="FW20" i="7" s="1"/>
  <c r="FQ20" i="7"/>
  <c r="HY20" i="7" s="1"/>
  <c r="FK20" i="7"/>
  <c r="FI20" i="7"/>
  <c r="FH20" i="7"/>
  <c r="FB20" i="7"/>
  <c r="FA20" i="7"/>
  <c r="EX20" i="7"/>
  <c r="EW20" i="7"/>
  <c r="ET20" i="7"/>
  <c r="ES20" i="7"/>
  <c r="ER20" i="7"/>
  <c r="EP20" i="7"/>
  <c r="EQ20" i="7" s="1"/>
  <c r="EK20" i="7"/>
  <c r="EL20" i="7" s="1"/>
  <c r="EF20" i="7"/>
  <c r="FL20" i="7" s="1"/>
  <c r="FM20" i="7" s="1"/>
  <c r="EB20" i="7"/>
  <c r="EA20" i="7"/>
  <c r="DL20" i="7"/>
  <c r="DG20" i="7"/>
  <c r="FC20" i="7" s="1"/>
  <c r="FD20" i="7" s="1"/>
  <c r="DB20" i="7"/>
  <c r="CW20" i="7"/>
  <c r="CR20" i="7"/>
  <c r="CM20" i="7"/>
  <c r="EU20" i="7" s="1"/>
  <c r="EV20" i="7" s="1"/>
  <c r="CG20" i="7"/>
  <c r="CF20" i="7"/>
  <c r="CC20" i="7"/>
  <c r="CB20" i="7"/>
  <c r="BY20" i="7"/>
  <c r="BX20" i="7"/>
  <c r="BU20" i="7"/>
  <c r="BT20" i="7"/>
  <c r="BR20" i="7"/>
  <c r="BP20" i="7"/>
  <c r="BN20" i="7"/>
  <c r="BO20" i="7" s="1"/>
  <c r="BJ20" i="7"/>
  <c r="BI20" i="7"/>
  <c r="BD20" i="7"/>
  <c r="CH20" i="7" s="1"/>
  <c r="AZ20" i="7"/>
  <c r="AY20" i="7"/>
  <c r="AR20" i="7"/>
  <c r="AT20" i="7" s="1"/>
  <c r="AO20" i="7"/>
  <c r="AP20" i="7" s="1"/>
  <c r="AJ20" i="7"/>
  <c r="AK20" i="7" s="1"/>
  <c r="AE20" i="7"/>
  <c r="AF20" i="7" s="1"/>
  <c r="Z20" i="7"/>
  <c r="BZ20" i="7" s="1"/>
  <c r="S20" i="7"/>
  <c r="U20" i="7" s="1"/>
  <c r="V20" i="7" s="1"/>
  <c r="Q20" i="7"/>
  <c r="P20" i="7"/>
  <c r="K20" i="7"/>
  <c r="L20" i="7" s="1"/>
  <c r="UW19" i="7"/>
  <c r="UV19" i="7"/>
  <c r="UU19" i="7"/>
  <c r="TD19" i="7"/>
  <c r="RO19" i="7"/>
  <c r="RN19" i="7"/>
  <c r="RM19" i="7"/>
  <c r="PV19" i="7"/>
  <c r="MN19" i="7"/>
  <c r="LS19" i="7"/>
  <c r="LR19" i="7"/>
  <c r="LF19" i="7"/>
  <c r="LE19" i="7"/>
  <c r="LB19" i="7"/>
  <c r="LA19" i="7"/>
  <c r="KZ19" i="7"/>
  <c r="JO19" i="7"/>
  <c r="JP19" i="7" s="1"/>
  <c r="JK19" i="7"/>
  <c r="JJ19" i="7"/>
  <c r="JE19" i="7"/>
  <c r="JF19" i="7" s="1"/>
  <c r="JA19" i="7"/>
  <c r="IZ19" i="7"/>
  <c r="IU19" i="7"/>
  <c r="LC19" i="7" s="1"/>
  <c r="IB19" i="7"/>
  <c r="IA19" i="7"/>
  <c r="HY19" i="7"/>
  <c r="HX19" i="7"/>
  <c r="HW19" i="7"/>
  <c r="HV19" i="7"/>
  <c r="GL19" i="7"/>
  <c r="GK19" i="7"/>
  <c r="GF19" i="7"/>
  <c r="GG19" i="7" s="1"/>
  <c r="GB19" i="7"/>
  <c r="GA19" i="7"/>
  <c r="FV19" i="7"/>
  <c r="FW19" i="7" s="1"/>
  <c r="FR19" i="7"/>
  <c r="FQ19" i="7"/>
  <c r="IC19" i="7" s="1"/>
  <c r="ID19" i="7" s="1"/>
  <c r="FK19" i="7"/>
  <c r="FI19" i="7"/>
  <c r="FH19" i="7"/>
  <c r="FC19" i="7"/>
  <c r="FD19" i="7" s="1"/>
  <c r="FB19" i="7"/>
  <c r="FA19" i="7"/>
  <c r="EX19" i="7"/>
  <c r="EW19" i="7"/>
  <c r="ET19" i="7"/>
  <c r="ES19" i="7"/>
  <c r="ER19" i="7"/>
  <c r="EQ19" i="7"/>
  <c r="EP19" i="7"/>
  <c r="EK19" i="7"/>
  <c r="EL19" i="7" s="1"/>
  <c r="EF19" i="7"/>
  <c r="FL19" i="7" s="1"/>
  <c r="FM19" i="7" s="1"/>
  <c r="EA19" i="7"/>
  <c r="EB19" i="7" s="1"/>
  <c r="DR19" i="7"/>
  <c r="DM19" i="7"/>
  <c r="DL19" i="7"/>
  <c r="DG19" i="7"/>
  <c r="DH19" i="7" s="1"/>
  <c r="DC19" i="7"/>
  <c r="DB19" i="7"/>
  <c r="CW19" i="7"/>
  <c r="CR19" i="7"/>
  <c r="EU19" i="7" s="1"/>
  <c r="EV19" i="7" s="1"/>
  <c r="CM19" i="7"/>
  <c r="CG19" i="7"/>
  <c r="CF19" i="7"/>
  <c r="CC19" i="7"/>
  <c r="CB19" i="7"/>
  <c r="BZ19" i="7"/>
  <c r="BY19" i="7"/>
  <c r="BX19" i="7"/>
  <c r="BU19" i="7"/>
  <c r="BT19" i="7"/>
  <c r="BR19" i="7"/>
  <c r="BS19" i="7" s="1"/>
  <c r="BQ19" i="7"/>
  <c r="BP19" i="7"/>
  <c r="BN19" i="7"/>
  <c r="BI19" i="7"/>
  <c r="CH19" i="7" s="1"/>
  <c r="BE19" i="7"/>
  <c r="BD19" i="7"/>
  <c r="AY19" i="7"/>
  <c r="AT19" i="7"/>
  <c r="AO19" i="7"/>
  <c r="CD19" i="7" s="1"/>
  <c r="AJ19" i="7"/>
  <c r="AE19" i="7"/>
  <c r="Z19" i="7"/>
  <c r="U19" i="7"/>
  <c r="BV19" i="7" s="1"/>
  <c r="P19" i="7"/>
  <c r="K19" i="7"/>
  <c r="UW18" i="7"/>
  <c r="UV18" i="7"/>
  <c r="UU18" i="7"/>
  <c r="TD18" i="7"/>
  <c r="RO18" i="7"/>
  <c r="RN18" i="7"/>
  <c r="RM18" i="7"/>
  <c r="PV18" i="7"/>
  <c r="MN18" i="7"/>
  <c r="LS18" i="7"/>
  <c r="LR18" i="7"/>
  <c r="LF18" i="7"/>
  <c r="LE18" i="7"/>
  <c r="LB18" i="7"/>
  <c r="LA18" i="7"/>
  <c r="KZ18" i="7"/>
  <c r="JO18" i="7"/>
  <c r="JP18" i="7" s="1"/>
  <c r="JJ18" i="7"/>
  <c r="JK18" i="7" s="1"/>
  <c r="JE18" i="7"/>
  <c r="JF18" i="7" s="1"/>
  <c r="IZ18" i="7"/>
  <c r="JA18" i="7" s="1"/>
  <c r="IU18" i="7"/>
  <c r="LC18" i="7" s="1"/>
  <c r="IB18" i="7"/>
  <c r="IA18" i="7"/>
  <c r="HX18" i="7"/>
  <c r="HW18" i="7"/>
  <c r="HV18" i="7"/>
  <c r="GK18" i="7"/>
  <c r="GL18" i="7" s="1"/>
  <c r="GF18" i="7"/>
  <c r="GG18" i="7" s="1"/>
  <c r="GA18" i="7"/>
  <c r="GB18" i="7" s="1"/>
  <c r="FV18" i="7"/>
  <c r="FW18" i="7" s="1"/>
  <c r="FQ18" i="7"/>
  <c r="IC18" i="7" s="1"/>
  <c r="ID18" i="7" s="1"/>
  <c r="FK18" i="7"/>
  <c r="FI18" i="7"/>
  <c r="FH18" i="7"/>
  <c r="FB18" i="7"/>
  <c r="FA18" i="7"/>
  <c r="EX18" i="7"/>
  <c r="EW18" i="7"/>
  <c r="ET18" i="7"/>
  <c r="ES18" i="7"/>
  <c r="ER18" i="7"/>
  <c r="EP18" i="7"/>
  <c r="EQ18" i="7" s="1"/>
  <c r="EK18" i="7"/>
  <c r="EL18" i="7" s="1"/>
  <c r="EF18" i="7"/>
  <c r="FL18" i="7" s="1"/>
  <c r="FM18" i="7" s="1"/>
  <c r="EB18" i="7"/>
  <c r="EA18" i="7"/>
  <c r="DR18" i="7"/>
  <c r="DL18" i="7"/>
  <c r="FC18" i="7" s="1"/>
  <c r="FD18" i="7" s="1"/>
  <c r="DG18" i="7"/>
  <c r="DH18" i="7" s="1"/>
  <c r="DB18" i="7"/>
  <c r="DC18" i="7" s="1"/>
  <c r="CW18" i="7"/>
  <c r="CR18" i="7"/>
  <c r="CS18" i="7" s="1"/>
  <c r="CM18" i="7"/>
  <c r="EU18" i="7" s="1"/>
  <c r="EV18" i="7" s="1"/>
  <c r="CG18" i="7"/>
  <c r="CF18" i="7"/>
  <c r="CC18" i="7"/>
  <c r="CB18" i="7"/>
  <c r="BX18" i="7"/>
  <c r="BU18" i="7"/>
  <c r="BT18" i="7"/>
  <c r="BQ18" i="7"/>
  <c r="BP18" i="7"/>
  <c r="BN18" i="7"/>
  <c r="BI18" i="7"/>
  <c r="BJ18" i="7" s="1"/>
  <c r="BE18" i="7"/>
  <c r="BD18" i="7"/>
  <c r="CH18" i="7" s="1"/>
  <c r="AY18" i="7"/>
  <c r="AZ18" i="7" s="1"/>
  <c r="AR18" i="7"/>
  <c r="AT18" i="7" s="1"/>
  <c r="AP18" i="7"/>
  <c r="AO18" i="7"/>
  <c r="AI18" i="7"/>
  <c r="BY18" i="7" s="1"/>
  <c r="AF18" i="7"/>
  <c r="AE18" i="7"/>
  <c r="Z18" i="7"/>
  <c r="V18" i="7"/>
  <c r="U18" i="7"/>
  <c r="P18" i="7"/>
  <c r="Q18" i="7" s="1"/>
  <c r="I18" i="7"/>
  <c r="K18" i="7" s="1"/>
  <c r="UW17" i="7"/>
  <c r="UV17" i="7"/>
  <c r="UU17" i="7"/>
  <c r="TD17" i="7"/>
  <c r="RO17" i="7"/>
  <c r="RN17" i="7"/>
  <c r="RM17" i="7"/>
  <c r="PV17" i="7"/>
  <c r="MN17" i="7"/>
  <c r="LS17" i="7"/>
  <c r="LR17" i="7"/>
  <c r="LF17" i="7"/>
  <c r="LE17" i="7"/>
  <c r="LB17" i="7"/>
  <c r="LA17" i="7"/>
  <c r="KZ17" i="7"/>
  <c r="JO17" i="7"/>
  <c r="JP17" i="7" s="1"/>
  <c r="JK17" i="7"/>
  <c r="JJ17" i="7"/>
  <c r="JE17" i="7"/>
  <c r="JF17" i="7" s="1"/>
  <c r="JA17" i="7"/>
  <c r="IZ17" i="7"/>
  <c r="IU17" i="7"/>
  <c r="LC17" i="7" s="1"/>
  <c r="IB17" i="7"/>
  <c r="IA17" i="7"/>
  <c r="HY17" i="7"/>
  <c r="HX17" i="7"/>
  <c r="HW17" i="7"/>
  <c r="HV17" i="7"/>
  <c r="GL17" i="7"/>
  <c r="GK17" i="7"/>
  <c r="GF17" i="7"/>
  <c r="GG17" i="7" s="1"/>
  <c r="GB17" i="7"/>
  <c r="GA17" i="7"/>
  <c r="FV17" i="7"/>
  <c r="FW17" i="7" s="1"/>
  <c r="FR17" i="7"/>
  <c r="FQ17" i="7"/>
  <c r="IC17" i="7" s="1"/>
  <c r="ID17" i="7" s="1"/>
  <c r="FK17" i="7"/>
  <c r="FI17" i="7"/>
  <c r="FH17" i="7"/>
  <c r="FB17" i="7"/>
  <c r="FA17" i="7"/>
  <c r="EY17" i="7"/>
  <c r="EZ17" i="7" s="1"/>
  <c r="EX17" i="7"/>
  <c r="EW17" i="7"/>
  <c r="EU17" i="7"/>
  <c r="EV17" i="7" s="1"/>
  <c r="ET17" i="7"/>
  <c r="ES17" i="7"/>
  <c r="ER17" i="7"/>
  <c r="EQ17" i="7"/>
  <c r="EP17" i="7"/>
  <c r="EK17" i="7"/>
  <c r="EL17" i="7" s="1"/>
  <c r="EF17" i="7"/>
  <c r="FL17" i="7" s="1"/>
  <c r="FM17" i="7" s="1"/>
  <c r="EA17" i="7"/>
  <c r="EB17" i="7" s="1"/>
  <c r="DL17" i="7"/>
  <c r="DG17" i="7"/>
  <c r="FC17" i="7" s="1"/>
  <c r="FD17" i="7" s="1"/>
  <c r="DB17" i="7"/>
  <c r="CW17" i="7"/>
  <c r="CR17" i="7"/>
  <c r="CN17" i="7"/>
  <c r="CM17" i="7"/>
  <c r="CG17" i="7"/>
  <c r="CF17" i="7"/>
  <c r="CC17" i="7"/>
  <c r="CB17" i="7"/>
  <c r="BZ17" i="7"/>
  <c r="BY17" i="7"/>
  <c r="BX17" i="7"/>
  <c r="BV17" i="7"/>
  <c r="BW17" i="7" s="1"/>
  <c r="BU17" i="7"/>
  <c r="BT17" i="7"/>
  <c r="BR17" i="7"/>
  <c r="BS17" i="7" s="1"/>
  <c r="BQ17" i="7"/>
  <c r="BP17" i="7"/>
  <c r="BN17" i="7"/>
  <c r="BO17" i="7" s="1"/>
  <c r="BI17" i="7"/>
  <c r="BJ17" i="7" s="1"/>
  <c r="BD17" i="7"/>
  <c r="AY17" i="7"/>
  <c r="AZ17" i="7" s="1"/>
  <c r="AT17" i="7"/>
  <c r="AU17" i="7" s="1"/>
  <c r="AO17" i="7"/>
  <c r="AJ17" i="7"/>
  <c r="AK17" i="7" s="1"/>
  <c r="AE17" i="7"/>
  <c r="AF17" i="7" s="1"/>
  <c r="Z17" i="7"/>
  <c r="AA17" i="7" s="1"/>
  <c r="U17" i="7"/>
  <c r="V17" i="7" s="1"/>
  <c r="UW16" i="7"/>
  <c r="UV16" i="7"/>
  <c r="UU16" i="7"/>
  <c r="TD16" i="7"/>
  <c r="RO16" i="7"/>
  <c r="RN16" i="7"/>
  <c r="RM16" i="7"/>
  <c r="PV16" i="7"/>
  <c r="MN16" i="7"/>
  <c r="LS16" i="7"/>
  <c r="LR16" i="7"/>
  <c r="LF16" i="7"/>
  <c r="LE16" i="7"/>
  <c r="LB16" i="7"/>
  <c r="LA16" i="7"/>
  <c r="KZ16" i="7"/>
  <c r="JO16" i="7"/>
  <c r="JP16" i="7" s="1"/>
  <c r="JJ16" i="7"/>
  <c r="JK16" i="7" s="1"/>
  <c r="JE16" i="7"/>
  <c r="JF16" i="7" s="1"/>
  <c r="IZ16" i="7"/>
  <c r="JA16" i="7" s="1"/>
  <c r="IU16" i="7"/>
  <c r="IB16" i="7"/>
  <c r="IA16" i="7"/>
  <c r="HX16" i="7"/>
  <c r="HW16" i="7"/>
  <c r="HV16" i="7"/>
  <c r="GK16" i="7"/>
  <c r="GL16" i="7" s="1"/>
  <c r="GF16" i="7"/>
  <c r="GG16" i="7" s="1"/>
  <c r="GA16" i="7"/>
  <c r="GB16" i="7" s="1"/>
  <c r="FV16" i="7"/>
  <c r="FW16" i="7" s="1"/>
  <c r="FQ16" i="7"/>
  <c r="FK16" i="7"/>
  <c r="FI16" i="7"/>
  <c r="FH16" i="7"/>
  <c r="FB16" i="7"/>
  <c r="FA16" i="7"/>
  <c r="EZ16" i="7"/>
  <c r="EW16" i="7"/>
  <c r="ET16" i="7"/>
  <c r="ES16" i="7"/>
  <c r="ER16" i="7"/>
  <c r="EP16" i="7"/>
  <c r="EQ16" i="7" s="1"/>
  <c r="EK16" i="7"/>
  <c r="EF16" i="7"/>
  <c r="EA16" i="7"/>
  <c r="EB16" i="7" s="1"/>
  <c r="DG16" i="7"/>
  <c r="FC16" i="7" s="1"/>
  <c r="FD16" i="7" s="1"/>
  <c r="CM16" i="7"/>
  <c r="EU16" i="7" s="1"/>
  <c r="EV16" i="7" s="1"/>
  <c r="CH16" i="7"/>
  <c r="CG16" i="7"/>
  <c r="CF16" i="7"/>
  <c r="CC16" i="7"/>
  <c r="CB16" i="7"/>
  <c r="BY16" i="7"/>
  <c r="BX16" i="7"/>
  <c r="BV16" i="7"/>
  <c r="BW16" i="7" s="1"/>
  <c r="BU16" i="7"/>
  <c r="BT16" i="7"/>
  <c r="BR16" i="7"/>
  <c r="BS16" i="7" s="1"/>
  <c r="BQ16" i="7"/>
  <c r="BP16" i="7"/>
  <c r="AY16" i="7"/>
  <c r="AT16" i="7"/>
  <c r="AO16" i="7"/>
  <c r="CD16" i="7" s="1"/>
  <c r="AJ16" i="7"/>
  <c r="AK16" i="7" s="1"/>
  <c r="AE16" i="7"/>
  <c r="AF16" i="7" s="1"/>
  <c r="Z16" i="7"/>
  <c r="AA16" i="7" s="1"/>
  <c r="U16" i="7"/>
  <c r="V16" i="7" s="1"/>
  <c r="UW15" i="7"/>
  <c r="UV15" i="7"/>
  <c r="UU15" i="7"/>
  <c r="TD15" i="7"/>
  <c r="RO15" i="7"/>
  <c r="RN15" i="7"/>
  <c r="RM15" i="7"/>
  <c r="PV15" i="7"/>
  <c r="MN15" i="7"/>
  <c r="LS15" i="7"/>
  <c r="LR15" i="7"/>
  <c r="LF15" i="7"/>
  <c r="LE15" i="7"/>
  <c r="LB15" i="7"/>
  <c r="LA15" i="7"/>
  <c r="KZ15" i="7"/>
  <c r="JO15" i="7"/>
  <c r="JP15" i="7" s="1"/>
  <c r="JJ15" i="7"/>
  <c r="JK15" i="7" s="1"/>
  <c r="JE15" i="7"/>
  <c r="JF15" i="7" s="1"/>
  <c r="IZ15" i="7"/>
  <c r="JA15" i="7" s="1"/>
  <c r="IU15" i="7"/>
  <c r="IB15" i="7"/>
  <c r="IA15" i="7"/>
  <c r="HX15" i="7"/>
  <c r="HW15" i="7"/>
  <c r="HV15" i="7"/>
  <c r="GK15" i="7"/>
  <c r="GL15" i="7" s="1"/>
  <c r="GF15" i="7"/>
  <c r="GG15" i="7" s="1"/>
  <c r="GA15" i="7"/>
  <c r="GB15" i="7" s="1"/>
  <c r="FV15" i="7"/>
  <c r="FW15" i="7" s="1"/>
  <c r="FQ15" i="7"/>
  <c r="FK15" i="7"/>
  <c r="FI15" i="7"/>
  <c r="FH15" i="7"/>
  <c r="FB15" i="7"/>
  <c r="FA15" i="7"/>
  <c r="EZ15" i="7"/>
  <c r="EW15" i="7"/>
  <c r="ET15" i="7"/>
  <c r="ES15" i="7"/>
  <c r="ER15" i="7"/>
  <c r="EP15" i="7"/>
  <c r="EQ15" i="7" s="1"/>
  <c r="EK15" i="7"/>
  <c r="EF15" i="7"/>
  <c r="EA15" i="7"/>
  <c r="EB15" i="7" s="1"/>
  <c r="DG15" i="7"/>
  <c r="FC15" i="7" s="1"/>
  <c r="FD15" i="7" s="1"/>
  <c r="CM15" i="7"/>
  <c r="CG15" i="7"/>
  <c r="CF15" i="7"/>
  <c r="CC15" i="7"/>
  <c r="CB15" i="7"/>
  <c r="BY15" i="7"/>
  <c r="BX15" i="7"/>
  <c r="BU15" i="7"/>
  <c r="BT15" i="7"/>
  <c r="BR15" i="7"/>
  <c r="BQ15" i="7"/>
  <c r="BP15" i="7"/>
  <c r="BN15" i="7"/>
  <c r="BI15" i="7"/>
  <c r="BD15" i="7"/>
  <c r="CH15" i="7" s="1"/>
  <c r="AY15" i="7"/>
  <c r="AT15" i="7"/>
  <c r="AO15" i="7"/>
  <c r="CD15" i="7" s="1"/>
  <c r="AJ15" i="7"/>
  <c r="BZ15" i="7" s="1"/>
  <c r="AE15" i="7"/>
  <c r="Z15" i="7"/>
  <c r="U15" i="7"/>
  <c r="P15" i="7"/>
  <c r="BV15" i="7" s="1"/>
  <c r="K15" i="7"/>
  <c r="UW14" i="7"/>
  <c r="UV14" i="7"/>
  <c r="UU14" i="7"/>
  <c r="TD14" i="7"/>
  <c r="RO14" i="7"/>
  <c r="RN14" i="7"/>
  <c r="RM14" i="7"/>
  <c r="PV14" i="7"/>
  <c r="MN14" i="7"/>
  <c r="LS14" i="7"/>
  <c r="LR14" i="7"/>
  <c r="LF14" i="7"/>
  <c r="LE14" i="7"/>
  <c r="LC14" i="7"/>
  <c r="LB14" i="7"/>
  <c r="LA14" i="7"/>
  <c r="KZ14" i="7"/>
  <c r="JP14" i="7"/>
  <c r="JO14" i="7"/>
  <c r="JJ14" i="7"/>
  <c r="JK14" i="7" s="1"/>
  <c r="JF14" i="7"/>
  <c r="JE14" i="7"/>
  <c r="IZ14" i="7"/>
  <c r="JA14" i="7" s="1"/>
  <c r="IV14" i="7"/>
  <c r="IU14" i="7"/>
  <c r="LG14" i="7" s="1"/>
  <c r="IB14" i="7"/>
  <c r="IA14" i="7"/>
  <c r="HX14" i="7"/>
  <c r="HW14" i="7"/>
  <c r="HV14" i="7"/>
  <c r="GK14" i="7"/>
  <c r="GL14" i="7" s="1"/>
  <c r="GG14" i="7"/>
  <c r="GF14" i="7"/>
  <c r="GA14" i="7"/>
  <c r="GB14" i="7" s="1"/>
  <c r="FW14" i="7"/>
  <c r="FV14" i="7"/>
  <c r="FQ14" i="7"/>
  <c r="HY14" i="7" s="1"/>
  <c r="FK14" i="7"/>
  <c r="FI14" i="7"/>
  <c r="FH14" i="7"/>
  <c r="FB14" i="7"/>
  <c r="FA14" i="7"/>
  <c r="EZ14" i="7"/>
  <c r="EW14" i="7"/>
  <c r="ET14" i="7"/>
  <c r="ES14" i="7"/>
  <c r="ER14" i="7"/>
  <c r="EQ14" i="7"/>
  <c r="EP14" i="7"/>
  <c r="EK14" i="7"/>
  <c r="EL14" i="7" s="1"/>
  <c r="EF14" i="7"/>
  <c r="FL14" i="7" s="1"/>
  <c r="FM14" i="7" s="1"/>
  <c r="EA14" i="7"/>
  <c r="EB14" i="7" s="1"/>
  <c r="DG14" i="7"/>
  <c r="FC14" i="7" s="1"/>
  <c r="FD14" i="7" s="1"/>
  <c r="CM14" i="7"/>
  <c r="CG14" i="7"/>
  <c r="CF14" i="7"/>
  <c r="CD14" i="7"/>
  <c r="CC14" i="7"/>
  <c r="CB14" i="7"/>
  <c r="BY14" i="7"/>
  <c r="BX14" i="7"/>
  <c r="BU14" i="7"/>
  <c r="BT14" i="7"/>
  <c r="BR14" i="7"/>
  <c r="BS14" i="7" s="1"/>
  <c r="BQ14" i="7"/>
  <c r="BP14" i="7"/>
  <c r="BN14" i="7"/>
  <c r="BI14" i="7"/>
  <c r="BD14" i="7"/>
  <c r="AY14" i="7"/>
  <c r="AZ14" i="7" s="1"/>
  <c r="AT14" i="7"/>
  <c r="AO14" i="7"/>
  <c r="AJ14" i="7"/>
  <c r="AE14" i="7"/>
  <c r="Z14" i="7"/>
  <c r="BZ14" i="7" s="1"/>
  <c r="U14" i="7"/>
  <c r="P14" i="7"/>
  <c r="K14" i="7"/>
  <c r="UW13" i="7"/>
  <c r="UV13" i="7"/>
  <c r="UU13" i="7"/>
  <c r="TD13" i="7"/>
  <c r="RO13" i="7"/>
  <c r="RN13" i="7"/>
  <c r="RM13" i="7"/>
  <c r="PV13" i="7"/>
  <c r="MN13" i="7"/>
  <c r="LS13" i="7"/>
  <c r="LR13" i="7"/>
  <c r="LF13" i="7"/>
  <c r="LE13" i="7"/>
  <c r="LB13" i="7"/>
  <c r="LA13" i="7"/>
  <c r="KZ13" i="7"/>
  <c r="JO13" i="7"/>
  <c r="JP13" i="7" s="1"/>
  <c r="JJ13" i="7"/>
  <c r="JK13" i="7" s="1"/>
  <c r="JE13" i="7"/>
  <c r="JF13" i="7" s="1"/>
  <c r="IZ13" i="7"/>
  <c r="JA13" i="7" s="1"/>
  <c r="IU13" i="7"/>
  <c r="IB13" i="7"/>
  <c r="IA13" i="7"/>
  <c r="HX13" i="7"/>
  <c r="HW13" i="7"/>
  <c r="HV13" i="7"/>
  <c r="GK13" i="7"/>
  <c r="GL13" i="7" s="1"/>
  <c r="GF13" i="7"/>
  <c r="GG13" i="7" s="1"/>
  <c r="GA13" i="7"/>
  <c r="GB13" i="7" s="1"/>
  <c r="FV13" i="7"/>
  <c r="FW13" i="7" s="1"/>
  <c r="FQ13" i="7"/>
  <c r="FK13" i="7"/>
  <c r="FI13" i="7"/>
  <c r="FH13" i="7"/>
  <c r="FB13" i="7"/>
  <c r="FA13" i="7"/>
  <c r="EZ13" i="7"/>
  <c r="EW13" i="7"/>
  <c r="ET13" i="7"/>
  <c r="ES13" i="7"/>
  <c r="ER13" i="7"/>
  <c r="EP13" i="7"/>
  <c r="EQ13" i="7" s="1"/>
  <c r="EK13" i="7"/>
  <c r="EF13" i="7"/>
  <c r="EA13" i="7"/>
  <c r="EB13" i="7" s="1"/>
  <c r="DG13" i="7"/>
  <c r="FC13" i="7" s="1"/>
  <c r="FD13" i="7" s="1"/>
  <c r="CM13" i="7"/>
  <c r="EU13" i="7" s="1"/>
  <c r="EV13" i="7" s="1"/>
  <c r="CG13" i="7"/>
  <c r="CF13" i="7"/>
  <c r="CC13" i="7"/>
  <c r="CB13" i="7"/>
  <c r="BY13" i="7"/>
  <c r="BX13" i="7"/>
  <c r="BV13" i="7"/>
  <c r="BT13" i="7"/>
  <c r="BR13" i="7"/>
  <c r="BS13" i="7" s="1"/>
  <c r="BQ13" i="7"/>
  <c r="BP13" i="7"/>
  <c r="BN13" i="7"/>
  <c r="BI13" i="7"/>
  <c r="BD13" i="7"/>
  <c r="BE13" i="7" s="1"/>
  <c r="AY13" i="7"/>
  <c r="AZ13" i="7" s="1"/>
  <c r="AT13" i="7"/>
  <c r="AO13" i="7"/>
  <c r="CD13" i="7" s="1"/>
  <c r="AJ13" i="7"/>
  <c r="AE13" i="7"/>
  <c r="BZ13" i="7" s="1"/>
  <c r="Z13" i="7"/>
  <c r="U13" i="7"/>
  <c r="P13" i="7"/>
  <c r="Q13" i="7" s="1"/>
  <c r="O13" i="7"/>
  <c r="BU13" i="7" s="1"/>
  <c r="K13" i="7"/>
  <c r="L13" i="7" s="1"/>
  <c r="UW12" i="7"/>
  <c r="UV12" i="7"/>
  <c r="UU12" i="7"/>
  <c r="TD12" i="7"/>
  <c r="RO12" i="7"/>
  <c r="RN12" i="7"/>
  <c r="RM12" i="7"/>
  <c r="PV12" i="7"/>
  <c r="MN12" i="7"/>
  <c r="LS12" i="7"/>
  <c r="LR12" i="7"/>
  <c r="LF12" i="7"/>
  <c r="LE12" i="7"/>
  <c r="LB12" i="7"/>
  <c r="LA12" i="7"/>
  <c r="KZ12" i="7"/>
  <c r="JO12" i="7"/>
  <c r="JP12" i="7" s="1"/>
  <c r="JK12" i="7"/>
  <c r="JJ12" i="7"/>
  <c r="JE12" i="7"/>
  <c r="JF12" i="7" s="1"/>
  <c r="JA12" i="7"/>
  <c r="IZ12" i="7"/>
  <c r="IU12" i="7"/>
  <c r="LG12" i="7" s="1"/>
  <c r="ID12" i="7"/>
  <c r="IB12" i="7"/>
  <c r="IA12" i="7"/>
  <c r="HY12" i="7"/>
  <c r="HX12" i="7"/>
  <c r="HW12" i="7"/>
  <c r="HV12" i="7"/>
  <c r="GL12" i="7"/>
  <c r="GK12" i="7"/>
  <c r="GF12" i="7"/>
  <c r="GG12" i="7" s="1"/>
  <c r="GB12" i="7"/>
  <c r="GA12" i="7"/>
  <c r="FV12" i="7"/>
  <c r="FW12" i="7" s="1"/>
  <c r="FR12" i="7"/>
  <c r="FQ12" i="7"/>
  <c r="IC12" i="7" s="1"/>
  <c r="FK12" i="7"/>
  <c r="FI12" i="7"/>
  <c r="FH12" i="7"/>
  <c r="FC12" i="7"/>
  <c r="FD12" i="7" s="1"/>
  <c r="FB12" i="7"/>
  <c r="FA12" i="7"/>
  <c r="EZ12" i="7"/>
  <c r="EW12" i="7"/>
  <c r="ET12" i="7"/>
  <c r="ES12" i="7"/>
  <c r="ER12" i="7"/>
  <c r="EP12" i="7"/>
  <c r="EQ12" i="7" s="1"/>
  <c r="EL12" i="7"/>
  <c r="EK12" i="7"/>
  <c r="EF12" i="7"/>
  <c r="EA12" i="7"/>
  <c r="DG12" i="7"/>
  <c r="CN12" i="7"/>
  <c r="CG12" i="7"/>
  <c r="CF12" i="7"/>
  <c r="CC12" i="7"/>
  <c r="CB12" i="7"/>
  <c r="BZ12" i="7"/>
  <c r="BY12" i="7"/>
  <c r="BX12" i="7"/>
  <c r="BU12" i="7"/>
  <c r="BT12" i="7"/>
  <c r="BR12" i="7"/>
  <c r="BQ12" i="7"/>
  <c r="BP12" i="7"/>
  <c r="BN12" i="7"/>
  <c r="BI12" i="7"/>
  <c r="CH12" i="7" s="1"/>
  <c r="BE12" i="7"/>
  <c r="BD12" i="7"/>
  <c r="AY12" i="7"/>
  <c r="AT12" i="7"/>
  <c r="AJ12" i="7"/>
  <c r="AE12" i="7"/>
  <c r="Z12" i="7"/>
  <c r="U12" i="7"/>
  <c r="P12" i="7"/>
  <c r="BV12" i="7" s="1"/>
  <c r="K12" i="7"/>
  <c r="TD11" i="7"/>
  <c r="PV11" i="7"/>
  <c r="MN11" i="7"/>
  <c r="LS11" i="7"/>
  <c r="LR11" i="7"/>
  <c r="LF11" i="7"/>
  <c r="LE11" i="7"/>
  <c r="LB11" i="7"/>
  <c r="LA11" i="7"/>
  <c r="KZ11" i="7"/>
  <c r="JO11" i="7"/>
  <c r="JP11" i="7" s="1"/>
  <c r="JK11" i="7"/>
  <c r="JJ11" i="7"/>
  <c r="JE11" i="7"/>
  <c r="JF11" i="7" s="1"/>
  <c r="JA11" i="7"/>
  <c r="IZ11" i="7"/>
  <c r="IU11" i="7"/>
  <c r="LC11" i="7" s="1"/>
  <c r="IB11" i="7"/>
  <c r="IA11" i="7"/>
  <c r="HY11" i="7"/>
  <c r="HX11" i="7"/>
  <c r="HW11" i="7"/>
  <c r="HV11" i="7"/>
  <c r="GL11" i="7"/>
  <c r="GK11" i="7"/>
  <c r="GF11" i="7"/>
  <c r="GG11" i="7" s="1"/>
  <c r="GB11" i="7"/>
  <c r="GA11" i="7"/>
  <c r="FV11" i="7"/>
  <c r="FW11" i="7" s="1"/>
  <c r="FR11" i="7"/>
  <c r="FQ11" i="7"/>
  <c r="IC11" i="7" s="1"/>
  <c r="ID11" i="7" s="1"/>
  <c r="FK11" i="7"/>
  <c r="FI11" i="7"/>
  <c r="FH11" i="7"/>
  <c r="FC11" i="7"/>
  <c r="FD11" i="7" s="1"/>
  <c r="FB11" i="7"/>
  <c r="FA11" i="7"/>
  <c r="EZ11" i="7"/>
  <c r="EW11" i="7"/>
  <c r="ET11" i="7"/>
  <c r="ES11" i="7"/>
  <c r="ER11" i="7"/>
  <c r="EP11" i="7"/>
  <c r="EQ11" i="7" s="1"/>
  <c r="EL11" i="7"/>
  <c r="EK11" i="7"/>
  <c r="EF11" i="7"/>
  <c r="EA11" i="7"/>
  <c r="DG11" i="7"/>
  <c r="CN11" i="7"/>
  <c r="CG11" i="7"/>
  <c r="CF11" i="7"/>
  <c r="CC11" i="7"/>
  <c r="CB11" i="7"/>
  <c r="BY11" i="7"/>
  <c r="BX11" i="7"/>
  <c r="BU11" i="7"/>
  <c r="BT11" i="7"/>
  <c r="BR11" i="7"/>
  <c r="BQ11" i="7"/>
  <c r="BP11" i="7"/>
  <c r="BN11" i="7"/>
  <c r="BI11" i="7"/>
  <c r="CH11" i="7" s="1"/>
  <c r="BE11" i="7"/>
  <c r="BD11" i="7"/>
  <c r="AY11" i="7"/>
  <c r="AT11" i="7"/>
  <c r="AJ11" i="7"/>
  <c r="BZ11" i="7" s="1"/>
  <c r="AE11" i="7"/>
  <c r="Z11" i="7"/>
  <c r="U11" i="7"/>
  <c r="P11" i="7"/>
  <c r="BV11" i="7" s="1"/>
  <c r="K11" i="7"/>
  <c r="TD10" i="7"/>
  <c r="PV10" i="7"/>
  <c r="MN10" i="7"/>
  <c r="LF10" i="7"/>
  <c r="LE10" i="7"/>
  <c r="LC10" i="7"/>
  <c r="LB10" i="7"/>
  <c r="LA10" i="7"/>
  <c r="KZ10" i="7"/>
  <c r="JP10" i="7"/>
  <c r="JO10" i="7"/>
  <c r="JJ10" i="7"/>
  <c r="JK10" i="7" s="1"/>
  <c r="JF10" i="7"/>
  <c r="JE10" i="7"/>
  <c r="IZ10" i="7"/>
  <c r="JA10" i="7" s="1"/>
  <c r="IV10" i="7"/>
  <c r="IU10" i="7"/>
  <c r="LG10" i="7" s="1"/>
  <c r="IB10" i="7"/>
  <c r="IA10" i="7"/>
  <c r="HX10" i="7"/>
  <c r="HW10" i="7"/>
  <c r="HV10" i="7"/>
  <c r="GK10" i="7"/>
  <c r="GL10" i="7" s="1"/>
  <c r="GG10" i="7"/>
  <c r="GF10" i="7"/>
  <c r="GA10" i="7"/>
  <c r="GB10" i="7" s="1"/>
  <c r="FW10" i="7"/>
  <c r="FV10" i="7"/>
  <c r="FQ10" i="7"/>
  <c r="HY10" i="7" s="1"/>
  <c r="FK10" i="7"/>
  <c r="FI10" i="7"/>
  <c r="FH10" i="7"/>
  <c r="FB10" i="7"/>
  <c r="FA10" i="7"/>
  <c r="EZ10" i="7"/>
  <c r="EW10" i="7"/>
  <c r="ET10" i="7"/>
  <c r="ES10" i="7"/>
  <c r="ER10" i="7"/>
  <c r="EQ10" i="7"/>
  <c r="EP10" i="7"/>
  <c r="EK10" i="7"/>
  <c r="EL10" i="7" s="1"/>
  <c r="EF10" i="7"/>
  <c r="FL10" i="7" s="1"/>
  <c r="FM10" i="7" s="1"/>
  <c r="EA10" i="7"/>
  <c r="EB10" i="7" s="1"/>
  <c r="DG10" i="7"/>
  <c r="FC10" i="7" s="1"/>
  <c r="FD10" i="7" s="1"/>
  <c r="CN10" i="7"/>
  <c r="CG10" i="7"/>
  <c r="CF10" i="7"/>
  <c r="CC10" i="7"/>
  <c r="CB10" i="7"/>
  <c r="BY10" i="7"/>
  <c r="BX10" i="7"/>
  <c r="BU10" i="7"/>
  <c r="BT10" i="7"/>
  <c r="BS10" i="7"/>
  <c r="BR10" i="7"/>
  <c r="BQ10" i="7"/>
  <c r="BP10" i="7"/>
  <c r="BN10" i="7"/>
  <c r="BI10" i="7"/>
  <c r="BD10" i="7"/>
  <c r="CH10" i="7" s="1"/>
  <c r="AY10" i="7"/>
  <c r="AT10" i="7"/>
  <c r="AJ10" i="7"/>
  <c r="AE10" i="7"/>
  <c r="Z10" i="7"/>
  <c r="BZ10" i="7" s="1"/>
  <c r="U10" i="7"/>
  <c r="P10" i="7"/>
  <c r="K10" i="7"/>
  <c r="BV10" i="7" s="1"/>
  <c r="TD9" i="7"/>
  <c r="PV9" i="7"/>
  <c r="MN9" i="7"/>
  <c r="LF9" i="7"/>
  <c r="LE9" i="7"/>
  <c r="LB9" i="7"/>
  <c r="LA9" i="7"/>
  <c r="KZ9" i="7"/>
  <c r="JT9" i="7"/>
  <c r="JU9" i="7" s="1"/>
  <c r="JP9" i="7"/>
  <c r="JO9" i="7"/>
  <c r="JJ9" i="7"/>
  <c r="JK9" i="7" s="1"/>
  <c r="JF9" i="7"/>
  <c r="JE9" i="7"/>
  <c r="IZ9" i="7"/>
  <c r="LG9" i="7" s="1"/>
  <c r="IV9" i="7"/>
  <c r="IU9" i="7"/>
  <c r="IB9" i="7"/>
  <c r="IA9" i="7"/>
  <c r="HX9" i="7"/>
  <c r="HW9" i="7"/>
  <c r="HV9" i="7"/>
  <c r="GP9" i="7"/>
  <c r="GQ9" i="7" s="1"/>
  <c r="GL9" i="7"/>
  <c r="GK9" i="7"/>
  <c r="GF9" i="7"/>
  <c r="GG9" i="7" s="1"/>
  <c r="GB9" i="7"/>
  <c r="GA9" i="7"/>
  <c r="FV9" i="7"/>
  <c r="HY9" i="7" s="1"/>
  <c r="FR9" i="7"/>
  <c r="FQ9" i="7"/>
  <c r="FK9" i="7"/>
  <c r="FI9" i="7"/>
  <c r="FH9" i="7"/>
  <c r="FC9" i="7"/>
  <c r="FD9" i="7" s="1"/>
  <c r="FB9" i="7"/>
  <c r="FA9" i="7"/>
  <c r="EZ9" i="7"/>
  <c r="EW9" i="7"/>
  <c r="ET9" i="7"/>
  <c r="ES9" i="7"/>
  <c r="ER9" i="7"/>
  <c r="EP9" i="7"/>
  <c r="EQ9" i="7" s="1"/>
  <c r="EL9" i="7"/>
  <c r="EK9" i="7"/>
  <c r="EF9" i="7"/>
  <c r="EA9" i="7"/>
  <c r="DG9" i="7"/>
  <c r="CN9" i="7"/>
  <c r="CG9" i="7"/>
  <c r="CF9" i="7"/>
  <c r="CC9" i="7"/>
  <c r="CB9" i="7"/>
  <c r="BY9" i="7"/>
  <c r="BX9" i="7"/>
  <c r="BV9" i="7"/>
  <c r="BU9" i="7"/>
  <c r="BT9" i="7"/>
  <c r="BR9" i="7"/>
  <c r="BS9" i="7" s="1"/>
  <c r="BQ9" i="7"/>
  <c r="BP9" i="7"/>
  <c r="BN9" i="7"/>
  <c r="BI9" i="7"/>
  <c r="CH9" i="7" s="1"/>
  <c r="BD9" i="7"/>
  <c r="BE9" i="7" s="1"/>
  <c r="AY9" i="7"/>
  <c r="AZ9" i="7" s="1"/>
  <c r="AT9" i="7"/>
  <c r="AO9" i="7"/>
  <c r="CD9" i="7" s="1"/>
  <c r="AJ9" i="7"/>
  <c r="AE9" i="7"/>
  <c r="Z9" i="7"/>
  <c r="BZ9" i="7" s="1"/>
  <c r="U9" i="7"/>
  <c r="P9" i="7"/>
  <c r="K9" i="7"/>
  <c r="TD8" i="7"/>
  <c r="PV8" i="7"/>
  <c r="MN8" i="7"/>
  <c r="LF8" i="7"/>
  <c r="LE8" i="7"/>
  <c r="LB8" i="7"/>
  <c r="LA8" i="7"/>
  <c r="KZ8" i="7"/>
  <c r="JT8" i="7"/>
  <c r="JO8" i="7"/>
  <c r="JJ8" i="7"/>
  <c r="JE8" i="7"/>
  <c r="IZ8" i="7"/>
  <c r="IU8" i="7"/>
  <c r="IB8" i="7"/>
  <c r="IA8" i="7"/>
  <c r="HX8" i="7"/>
  <c r="HW8" i="7"/>
  <c r="HV8" i="7"/>
  <c r="GP8" i="7"/>
  <c r="GQ8" i="7" s="1"/>
  <c r="GK8" i="7"/>
  <c r="GL8" i="7" s="1"/>
  <c r="GF8" i="7"/>
  <c r="GG8" i="7" s="1"/>
  <c r="GA8" i="7"/>
  <c r="GB8" i="7" s="1"/>
  <c r="FV8" i="7"/>
  <c r="FQ8" i="7"/>
  <c r="FR8" i="7" s="1"/>
  <c r="FL8" i="7"/>
  <c r="FM8" i="7" s="1"/>
  <c r="FK8" i="7"/>
  <c r="FI8" i="7"/>
  <c r="FG8" i="7"/>
  <c r="FH8" i="7" s="1"/>
  <c r="FF8" i="7"/>
  <c r="FE8" i="7"/>
  <c r="FB8" i="7"/>
  <c r="FA8" i="7"/>
  <c r="EX8" i="7"/>
  <c r="EW8" i="7"/>
  <c r="ET8" i="7"/>
  <c r="ES8" i="7"/>
  <c r="ER8" i="7"/>
  <c r="EQ8" i="7"/>
  <c r="EP8" i="7"/>
  <c r="EK8" i="7"/>
  <c r="EL8" i="7" s="1"/>
  <c r="EG8" i="7"/>
  <c r="EF8" i="7"/>
  <c r="EA8" i="7"/>
  <c r="EB8" i="7" s="1"/>
  <c r="DW8" i="7"/>
  <c r="DV8" i="7"/>
  <c r="DQ8" i="7"/>
  <c r="DL8" i="7"/>
  <c r="DG8" i="7"/>
  <c r="FC8" i="7" s="1"/>
  <c r="FD8" i="7" s="1"/>
  <c r="DB8" i="7"/>
  <c r="CW8" i="7"/>
  <c r="CR8" i="7"/>
  <c r="CM8" i="7"/>
  <c r="EU8" i="7" s="1"/>
  <c r="CG8" i="7"/>
  <c r="CF8" i="7"/>
  <c r="CD8" i="7"/>
  <c r="CC8" i="7"/>
  <c r="CB8" i="7"/>
  <c r="BY8" i="7"/>
  <c r="BX8" i="7"/>
  <c r="BU8" i="7"/>
  <c r="BT8" i="7"/>
  <c r="BR8" i="7"/>
  <c r="BS8" i="7" s="1"/>
  <c r="BQ8" i="7"/>
  <c r="BP8" i="7"/>
  <c r="BN8" i="7"/>
  <c r="BI8" i="7"/>
  <c r="BD8" i="7"/>
  <c r="AY8" i="7"/>
  <c r="AT8" i="7"/>
  <c r="AO8" i="7"/>
  <c r="AJ8" i="7"/>
  <c r="BZ8" i="7" s="1"/>
  <c r="AE8" i="7"/>
  <c r="Z8" i="7"/>
  <c r="U8" i="7"/>
  <c r="P8" i="7"/>
  <c r="BV8" i="7" s="1"/>
  <c r="K8" i="7"/>
  <c r="TD7" i="7"/>
  <c r="PV7" i="7"/>
  <c r="MN7" i="7"/>
  <c r="LC7" i="7"/>
  <c r="LB7" i="7"/>
  <c r="LA7" i="7"/>
  <c r="KZ7" i="7"/>
  <c r="HY7" i="7"/>
  <c r="HX7" i="7"/>
  <c r="HW7" i="7"/>
  <c r="HV7" i="7"/>
  <c r="BR7" i="7"/>
  <c r="BS7" i="7" s="1"/>
  <c r="BQ7" i="7"/>
  <c r="AJ7" i="7"/>
  <c r="AE7" i="7"/>
  <c r="AF7" i="7" s="1"/>
  <c r="Z7" i="7"/>
  <c r="U7" i="7"/>
  <c r="P7" i="7"/>
  <c r="Q7" i="7" s="1"/>
  <c r="K7" i="7"/>
  <c r="L7" i="7" s="1"/>
  <c r="TD6" i="7"/>
  <c r="PV6" i="7"/>
  <c r="MN6" i="7"/>
  <c r="LC6" i="7"/>
  <c r="LB6" i="7"/>
  <c r="LA6" i="7"/>
  <c r="KZ6" i="7"/>
  <c r="HY6" i="7"/>
  <c r="HX6" i="7"/>
  <c r="HW6" i="7"/>
  <c r="HV6" i="7"/>
  <c r="BS6" i="7"/>
  <c r="BR6" i="7"/>
  <c r="BQ6" i="7"/>
  <c r="AJ6" i="7"/>
  <c r="AE6" i="7"/>
  <c r="Z6" i="7"/>
  <c r="U6" i="7"/>
  <c r="P6" i="7"/>
  <c r="Q6" i="7" s="1"/>
  <c r="K6" i="7"/>
  <c r="L6" i="7" s="1"/>
  <c r="TD5" i="7"/>
  <c r="PV5" i="7"/>
  <c r="MN5" i="7"/>
  <c r="LC5" i="7"/>
  <c r="LB5" i="7"/>
  <c r="LA5" i="7"/>
  <c r="KZ5" i="7"/>
  <c r="HY5" i="7"/>
  <c r="HX5" i="7"/>
  <c r="HW5" i="7"/>
  <c r="HV5" i="7"/>
  <c r="BR5" i="7"/>
  <c r="BS5" i="7" s="1"/>
  <c r="BQ5" i="7"/>
  <c r="AJ5" i="7"/>
  <c r="AE5" i="7"/>
  <c r="Z5" i="7"/>
  <c r="U5" i="7"/>
  <c r="P5" i="7"/>
  <c r="Q5" i="7" s="1"/>
  <c r="K5" i="7"/>
  <c r="L5" i="7" s="1"/>
  <c r="EY30" i="7" l="1"/>
  <c r="AO26" i="39"/>
  <c r="AP23" i="39"/>
  <c r="AO25" i="39"/>
  <c r="Z25" i="39"/>
  <c r="Y27" i="39"/>
  <c r="Z27" i="39" s="1"/>
  <c r="DA23" i="39"/>
  <c r="DB10" i="39"/>
  <c r="DJ26" i="39"/>
  <c r="DJ25" i="39"/>
  <c r="DK23" i="39"/>
  <c r="GE25" i="39"/>
  <c r="GD27" i="39"/>
  <c r="GE27" i="39" s="1"/>
  <c r="AH23" i="39"/>
  <c r="AG25" i="39"/>
  <c r="AG26" i="39"/>
  <c r="CK25" i="39"/>
  <c r="CL23" i="39"/>
  <c r="CK26" i="39"/>
  <c r="BE25" i="39"/>
  <c r="BE26" i="39"/>
  <c r="BF23" i="39"/>
  <c r="HC10" i="39"/>
  <c r="HB23" i="39"/>
  <c r="BU26" i="39"/>
  <c r="BV23" i="39"/>
  <c r="BU25" i="39"/>
  <c r="DZ26" i="39"/>
  <c r="EA23" i="39"/>
  <c r="DZ25" i="39"/>
  <c r="IZ47" i="34"/>
  <c r="IY50" i="34"/>
  <c r="IY49" i="34"/>
  <c r="EQ47" i="34"/>
  <c r="EP50" i="34"/>
  <c r="EP49" i="34"/>
  <c r="FP49" i="34"/>
  <c r="FO51" i="34"/>
  <c r="FP51" i="34" s="1"/>
  <c r="CU49" i="34"/>
  <c r="CT51" i="34"/>
  <c r="CU51" i="34" s="1"/>
  <c r="IB49" i="34"/>
  <c r="IA51" i="34"/>
  <c r="IB51" i="34" s="1"/>
  <c r="GE51" i="34"/>
  <c r="Z49" i="34"/>
  <c r="Y51" i="34"/>
  <c r="Z51" i="34" s="1"/>
  <c r="BM50" i="34"/>
  <c r="BN47" i="34"/>
  <c r="BM49" i="34"/>
  <c r="BU49" i="34"/>
  <c r="BV47" i="34"/>
  <c r="BU50" i="34"/>
  <c r="AH49" i="34"/>
  <c r="AG51" i="34"/>
  <c r="AH51" i="34" s="1"/>
  <c r="EY18" i="34"/>
  <c r="EX47" i="34"/>
  <c r="II51" i="34"/>
  <c r="IJ51" i="34" s="1"/>
  <c r="IJ49" i="34"/>
  <c r="BF49" i="34"/>
  <c r="BE51" i="34"/>
  <c r="BF51" i="34" s="1"/>
  <c r="CE49" i="34"/>
  <c r="CD51" i="34"/>
  <c r="CE51" i="34" s="1"/>
  <c r="DK49" i="34"/>
  <c r="DJ51" i="34"/>
  <c r="DK51" i="34" s="1"/>
  <c r="FX47" i="34"/>
  <c r="FW50" i="34"/>
  <c r="FW49" i="34"/>
  <c r="WY53" i="33"/>
  <c r="WZ50" i="33"/>
  <c r="WY52" i="33"/>
  <c r="QT54" i="33"/>
  <c r="QU54" i="33" s="1"/>
  <c r="QU52" i="33"/>
  <c r="HR54" i="33"/>
  <c r="HS54" i="33" s="1"/>
  <c r="HS52" i="33"/>
  <c r="HB54" i="33"/>
  <c r="HC54" i="33" s="1"/>
  <c r="HC52" i="33"/>
  <c r="SH52" i="33"/>
  <c r="SH53" i="33"/>
  <c r="SI50" i="33"/>
  <c r="MC53" i="33"/>
  <c r="MC52" i="33"/>
  <c r="MD50" i="33"/>
  <c r="RN53" i="33"/>
  <c r="RN52" i="33"/>
  <c r="RO50" i="33"/>
  <c r="PZ54" i="33"/>
  <c r="QA54" i="33" s="1"/>
  <c r="QA52" i="33"/>
  <c r="AAO50" i="33"/>
  <c r="AAP19" i="33"/>
  <c r="UJ50" i="33"/>
  <c r="UK19" i="33"/>
  <c r="TB54" i="33"/>
  <c r="TC54" i="33" s="1"/>
  <c r="TC52" i="33"/>
  <c r="LS54" i="33"/>
  <c r="LT54" i="33" s="1"/>
  <c r="LT52" i="33"/>
  <c r="TL54" i="33"/>
  <c r="TM54" i="33" s="1"/>
  <c r="TM52" i="33"/>
  <c r="MW53" i="33"/>
  <c r="MX50" i="33"/>
  <c r="MW52" i="33"/>
  <c r="AP54" i="33"/>
  <c r="AQ54" i="33" s="1"/>
  <c r="AQ52" i="33"/>
  <c r="ZQ54" i="33"/>
  <c r="ZR54" i="33" s="1"/>
  <c r="ZR52" i="33"/>
  <c r="UZ50" i="33"/>
  <c r="VA19" i="33"/>
  <c r="LI53" i="33"/>
  <c r="LJ50" i="33"/>
  <c r="LI52" i="33"/>
  <c r="KY54" i="33"/>
  <c r="KZ54" i="33" s="1"/>
  <c r="KZ52" i="33"/>
  <c r="IP54" i="33"/>
  <c r="IQ54" i="33" s="1"/>
  <c r="IQ52" i="33"/>
  <c r="JV50" i="33"/>
  <c r="JU52" i="33"/>
  <c r="JU53" i="33"/>
  <c r="WO54" i="33"/>
  <c r="WP54" i="33" s="1"/>
  <c r="WP52" i="33"/>
  <c r="FN54" i="33"/>
  <c r="FO54" i="33" s="1"/>
  <c r="FO52" i="33"/>
  <c r="NG53" i="33"/>
  <c r="NH50" i="33"/>
  <c r="NG52" i="33"/>
  <c r="SR53" i="33"/>
  <c r="SS50" i="33"/>
  <c r="SR52" i="33"/>
  <c r="HZ54" i="33"/>
  <c r="IA54" i="33" s="1"/>
  <c r="IA52" i="33"/>
  <c r="ZY50" i="33"/>
  <c r="ZZ19" i="33"/>
  <c r="Z54" i="33"/>
  <c r="AA54" i="33" s="1"/>
  <c r="AA52" i="33"/>
  <c r="ABE53" i="33"/>
  <c r="ABE52" i="33"/>
  <c r="ABF50" i="33"/>
  <c r="YW54" i="33"/>
  <c r="YX54" i="33" s="1"/>
  <c r="YX52" i="33"/>
  <c r="MM54" i="33"/>
  <c r="MN54" i="33" s="1"/>
  <c r="MN52" i="33"/>
  <c r="RD53" i="33"/>
  <c r="RE50" i="33"/>
  <c r="RD52" i="33"/>
  <c r="PP54" i="33"/>
  <c r="PQ54" i="33" s="1"/>
  <c r="PP53" i="33"/>
  <c r="PQ50" i="33"/>
  <c r="PP52" i="33"/>
  <c r="PQ52" i="33" s="1"/>
  <c r="JA53" i="33"/>
  <c r="JA52" i="33"/>
  <c r="JB50" i="33"/>
  <c r="TT50" i="33"/>
  <c r="TU19" i="33"/>
  <c r="NW50" i="33"/>
  <c r="NX19" i="33"/>
  <c r="YM53" i="33"/>
  <c r="YN50" i="33"/>
  <c r="YM52" i="33"/>
  <c r="JK54" i="33"/>
  <c r="JL54" i="33" s="1"/>
  <c r="JL52" i="33"/>
  <c r="BV54" i="33"/>
  <c r="BW54" i="33" s="1"/>
  <c r="BW52" i="33"/>
  <c r="NO50" i="33"/>
  <c r="NP19" i="33"/>
  <c r="UB50" i="33"/>
  <c r="UC19" i="33"/>
  <c r="OM50" i="33"/>
  <c r="ON19" i="33"/>
  <c r="UR50" i="33"/>
  <c r="US19" i="33"/>
  <c r="AAG50" i="33"/>
  <c r="AAH19" i="33"/>
  <c r="ZG53" i="33"/>
  <c r="ZG52" i="33"/>
  <c r="ZH50" i="33"/>
  <c r="XI54" i="33"/>
  <c r="XJ54" i="33" s="1"/>
  <c r="XJ52" i="33"/>
  <c r="KO53" i="33"/>
  <c r="KO52" i="33"/>
  <c r="KP50" i="33"/>
  <c r="OU52" i="33"/>
  <c r="OU53" i="33"/>
  <c r="OV50" i="33"/>
  <c r="HJ54" i="33"/>
  <c r="HK54" i="33" s="1"/>
  <c r="HK52" i="33"/>
  <c r="J54" i="33"/>
  <c r="K54" i="33" s="1"/>
  <c r="K52" i="33"/>
  <c r="QJ53" i="33"/>
  <c r="QJ52" i="33"/>
  <c r="QK50" i="33"/>
  <c r="DB53" i="33"/>
  <c r="DB54" i="33" s="1"/>
  <c r="DC54" i="33" s="1"/>
  <c r="DC52" i="33"/>
  <c r="VU53" i="33"/>
  <c r="VU54" i="33" s="1"/>
  <c r="VV54" i="33" s="1"/>
  <c r="VV50" i="33"/>
  <c r="VU52" i="33"/>
  <c r="VV52" i="33" s="1"/>
  <c r="OE50" i="33"/>
  <c r="OF19" i="33"/>
  <c r="DJ53" i="33"/>
  <c r="DJ54" i="33"/>
  <c r="DK54" i="33" s="1"/>
  <c r="DK52" i="33"/>
  <c r="RX54" i="33"/>
  <c r="RY54" i="33" s="1"/>
  <c r="RY52" i="33"/>
  <c r="XS53" i="33"/>
  <c r="XS52" i="33"/>
  <c r="XT50" i="33"/>
  <c r="WE54" i="33"/>
  <c r="WF54" i="33" s="1"/>
  <c r="WF52" i="33"/>
  <c r="AAW50" i="33"/>
  <c r="AAX19" i="33"/>
  <c r="AJ75" i="7"/>
  <c r="AK75" i="7" s="1"/>
  <c r="BR75" i="7"/>
  <c r="BP147" i="7"/>
  <c r="CF147" i="7"/>
  <c r="VB236" i="7"/>
  <c r="EV8" i="7"/>
  <c r="HY15" i="7"/>
  <c r="FR15" i="7"/>
  <c r="AF29" i="7"/>
  <c r="BZ29" i="7"/>
  <c r="DM35" i="7"/>
  <c r="FC35" i="7"/>
  <c r="FD35" i="7" s="1"/>
  <c r="IC16" i="7"/>
  <c r="ID16" i="7" s="1"/>
  <c r="HY8" i="7"/>
  <c r="FW8" i="7"/>
  <c r="LC8" i="7"/>
  <c r="JA8" i="7"/>
  <c r="JU8" i="7"/>
  <c r="EU9" i="7"/>
  <c r="EV9" i="7" s="1"/>
  <c r="EB9" i="7"/>
  <c r="EU10" i="7"/>
  <c r="EV10" i="7" s="1"/>
  <c r="BS11" i="7"/>
  <c r="EU11" i="7"/>
  <c r="EV11" i="7" s="1"/>
  <c r="EB11" i="7"/>
  <c r="IC13" i="7"/>
  <c r="ID13" i="7" s="1"/>
  <c r="EU14" i="7"/>
  <c r="EV14" i="7" s="1"/>
  <c r="BS15" i="7"/>
  <c r="FL16" i="7"/>
  <c r="FM16" i="7" s="1"/>
  <c r="EL16" i="7"/>
  <c r="LC16" i="7"/>
  <c r="CH17" i="7"/>
  <c r="BE17" i="7"/>
  <c r="CD18" i="7"/>
  <c r="AU18" i="7"/>
  <c r="BV21" i="7"/>
  <c r="BW21" i="7" s="1"/>
  <c r="L21" i="7"/>
  <c r="CN23" i="7"/>
  <c r="EY23" i="7"/>
  <c r="EZ23" i="7" s="1"/>
  <c r="EU23" i="7"/>
  <c r="EV23" i="7" s="1"/>
  <c r="CH28" i="7"/>
  <c r="L31" i="7"/>
  <c r="BV31" i="7"/>
  <c r="BW31" i="7" s="1"/>
  <c r="LS32" i="7"/>
  <c r="LT32" i="7" s="1"/>
  <c r="DR35" i="7"/>
  <c r="FG35" i="7"/>
  <c r="FH35" i="7" s="1"/>
  <c r="FM42" i="7"/>
  <c r="LL42" i="7"/>
  <c r="CD20" i="7"/>
  <c r="AU20" i="7"/>
  <c r="CH8" i="7"/>
  <c r="BE8" i="7"/>
  <c r="EY8" i="7"/>
  <c r="EZ8" i="7" s="1"/>
  <c r="BW13" i="7"/>
  <c r="EL13" i="7"/>
  <c r="FL13" i="7"/>
  <c r="FM13" i="7" s="1"/>
  <c r="LC13" i="7"/>
  <c r="IC15" i="7"/>
  <c r="ID15" i="7" s="1"/>
  <c r="HY16" i="7"/>
  <c r="FR16" i="7"/>
  <c r="CD17" i="7"/>
  <c r="FC25" i="7"/>
  <c r="FD25" i="7" s="1"/>
  <c r="CH31" i="7"/>
  <c r="BS40" i="7"/>
  <c r="IG40" i="7"/>
  <c r="IH40" i="7" s="1"/>
  <c r="GL40" i="7"/>
  <c r="EZ42" i="7"/>
  <c r="CH14" i="7"/>
  <c r="BE14" i="7"/>
  <c r="IC8" i="7"/>
  <c r="ID8" i="7" s="1"/>
  <c r="JJ167" i="7"/>
  <c r="JK167" i="7" s="1"/>
  <c r="JK8" i="7"/>
  <c r="LG8" i="7"/>
  <c r="BS12" i="7"/>
  <c r="EU12" i="7"/>
  <c r="EV12" i="7" s="1"/>
  <c r="EB12" i="7"/>
  <c r="FR13" i="7"/>
  <c r="HY13" i="7"/>
  <c r="BV14" i="7"/>
  <c r="EU15" i="7"/>
  <c r="EV15" i="7" s="1"/>
  <c r="EL15" i="7"/>
  <c r="FL15" i="7"/>
  <c r="FM15" i="7" s="1"/>
  <c r="LC15" i="7"/>
  <c r="BZ16" i="7"/>
  <c r="L18" i="7"/>
  <c r="BV18" i="7"/>
  <c r="BW18" i="7" s="1"/>
  <c r="FC28" i="7"/>
  <c r="FD28" i="7" s="1"/>
  <c r="DM28" i="7"/>
  <c r="IK37" i="7"/>
  <c r="IL37" i="7" s="1"/>
  <c r="FC40" i="7"/>
  <c r="FD40" i="7" s="1"/>
  <c r="DM40" i="7"/>
  <c r="BQ20" i="7"/>
  <c r="BS20" i="7" s="1"/>
  <c r="IC20" i="7"/>
  <c r="ID20" i="7" s="1"/>
  <c r="LG25" i="7"/>
  <c r="FL27" i="7"/>
  <c r="FM27" i="7" s="1"/>
  <c r="BQ31" i="7"/>
  <c r="BS31" i="7" s="1"/>
  <c r="EY31" i="7"/>
  <c r="EZ31" i="7" s="1"/>
  <c r="LG31" i="7"/>
  <c r="LC33" i="7"/>
  <c r="LD33" i="7" s="1"/>
  <c r="LK33" i="7"/>
  <c r="LL33" i="7" s="1"/>
  <c r="FL9" i="7"/>
  <c r="FM9" i="7" s="1"/>
  <c r="IC9" i="7"/>
  <c r="ID9" i="7" s="1"/>
  <c r="IC10" i="7"/>
  <c r="ID10" i="7" s="1"/>
  <c r="FL11" i="7"/>
  <c r="FM11" i="7" s="1"/>
  <c r="LG11" i="7"/>
  <c r="FL12" i="7"/>
  <c r="FM12" i="7" s="1"/>
  <c r="IC14" i="7"/>
  <c r="ID14" i="7" s="1"/>
  <c r="LG17" i="7"/>
  <c r="AA18" i="7"/>
  <c r="AJ18" i="7"/>
  <c r="AK18" i="7" s="1"/>
  <c r="BR18" i="7"/>
  <c r="BS18" i="7" s="1"/>
  <c r="DM18" i="7"/>
  <c r="EY18" i="7"/>
  <c r="EZ18" i="7" s="1"/>
  <c r="FR18" i="7"/>
  <c r="CS19" i="7"/>
  <c r="AA20" i="7"/>
  <c r="CN20" i="7"/>
  <c r="EY20" i="7"/>
  <c r="EZ20" i="7" s="1"/>
  <c r="FR20" i="7"/>
  <c r="BQ21" i="7"/>
  <c r="BS21" i="7" s="1"/>
  <c r="DW21" i="7"/>
  <c r="EU21" i="7"/>
  <c r="EV21" i="7" s="1"/>
  <c r="FL21" i="7"/>
  <c r="FM21" i="7" s="1"/>
  <c r="AA22" i="7"/>
  <c r="BE22" i="7"/>
  <c r="LC22" i="7"/>
  <c r="CD23" i="7"/>
  <c r="EG23" i="7"/>
  <c r="FC23" i="7"/>
  <c r="FD23" i="7" s="1"/>
  <c r="EG24" i="7"/>
  <c r="EY24" i="7"/>
  <c r="EZ24" i="7" s="1"/>
  <c r="FG24" i="7"/>
  <c r="FH24" i="7" s="1"/>
  <c r="LG24" i="7"/>
  <c r="ES25" i="7"/>
  <c r="IV25" i="7"/>
  <c r="IV26" i="7"/>
  <c r="LC26" i="7"/>
  <c r="DW27" i="7"/>
  <c r="EU27" i="7"/>
  <c r="EV27" i="7" s="1"/>
  <c r="IV27" i="7"/>
  <c r="LC27" i="7"/>
  <c r="BE28" i="7"/>
  <c r="CN28" i="7"/>
  <c r="CW28" i="7"/>
  <c r="CX28" i="7" s="1"/>
  <c r="FR28" i="7"/>
  <c r="HY28" i="7"/>
  <c r="U29" i="7"/>
  <c r="AU29" i="7"/>
  <c r="BE29" i="7"/>
  <c r="BR29" i="7"/>
  <c r="BS29" i="7" s="1"/>
  <c r="CN29" i="7"/>
  <c r="FL29" i="7"/>
  <c r="FM29" i="7" s="1"/>
  <c r="LG29" i="7"/>
  <c r="BJ30" i="7"/>
  <c r="CD30" i="7"/>
  <c r="ET30" i="7"/>
  <c r="EX30" i="7"/>
  <c r="EZ30" i="7" s="1"/>
  <c r="FG30" i="7"/>
  <c r="FH30" i="7" s="1"/>
  <c r="FL30" i="7"/>
  <c r="FM30" i="7" s="1"/>
  <c r="LG30" i="7"/>
  <c r="AF31" i="7"/>
  <c r="AU31" i="7"/>
  <c r="BE31" i="7"/>
  <c r="IV31" i="7"/>
  <c r="JY167" i="7"/>
  <c r="JZ167" i="7" s="1"/>
  <c r="RY32" i="7"/>
  <c r="JF33" i="7"/>
  <c r="BQ34" i="7"/>
  <c r="BS34" i="7" s="1"/>
  <c r="CN34" i="7"/>
  <c r="DR34" i="7"/>
  <c r="LK34" i="7"/>
  <c r="LL34" i="7" s="1"/>
  <c r="CM35" i="7"/>
  <c r="EG35" i="7"/>
  <c r="GB35" i="7"/>
  <c r="JA35" i="7"/>
  <c r="JK35" i="7"/>
  <c r="LC35" i="7"/>
  <c r="LA36" i="7"/>
  <c r="LA167" i="7" s="1"/>
  <c r="LA232" i="7" s="1"/>
  <c r="LA233" i="7" s="1"/>
  <c r="GL37" i="7"/>
  <c r="JZ37" i="7"/>
  <c r="LC37" i="7"/>
  <c r="L40" i="7"/>
  <c r="CN40" i="7"/>
  <c r="CW40" i="7"/>
  <c r="CX40" i="7" s="1"/>
  <c r="GA40" i="7"/>
  <c r="HA40" i="7"/>
  <c r="HK40" i="7"/>
  <c r="HK41" i="7"/>
  <c r="HY41" i="7"/>
  <c r="JA41" i="7"/>
  <c r="JK41" i="7"/>
  <c r="AF42" i="7"/>
  <c r="AZ42" i="7"/>
  <c r="AZ232" i="7" s="1"/>
  <c r="BJ42" i="7"/>
  <c r="BJ232" i="7" s="1"/>
  <c r="BU232" i="7"/>
  <c r="BZ42" i="7"/>
  <c r="CN42" i="7"/>
  <c r="DH42" i="7"/>
  <c r="DR42" i="7"/>
  <c r="EL42" i="7"/>
  <c r="GK261" i="7"/>
  <c r="GL232" i="7"/>
  <c r="HE261" i="7"/>
  <c r="HF232" i="7"/>
  <c r="HO261" i="7"/>
  <c r="HP232" i="7"/>
  <c r="LF167" i="7"/>
  <c r="LJ167" i="7"/>
  <c r="FW43" i="7"/>
  <c r="GG43" i="7"/>
  <c r="JK43" i="7"/>
  <c r="DH44" i="7"/>
  <c r="DR44" i="7"/>
  <c r="EL44" i="7"/>
  <c r="DB45" i="7"/>
  <c r="DC45" i="7" s="1"/>
  <c r="ES45" i="7"/>
  <c r="LC45" i="7"/>
  <c r="LD45" i="7" s="1"/>
  <c r="LG45" i="7"/>
  <c r="LH45" i="7" s="1"/>
  <c r="EU47" i="7"/>
  <c r="EV47" i="7" s="1"/>
  <c r="IC47" i="7"/>
  <c r="ID47" i="7" s="1"/>
  <c r="IG47" i="7"/>
  <c r="IH47" i="7" s="1"/>
  <c r="IK47" i="7"/>
  <c r="IL47" i="7" s="1"/>
  <c r="IO47" i="7"/>
  <c r="IP47" i="7" s="1"/>
  <c r="IG49" i="7"/>
  <c r="IH49" i="7" s="1"/>
  <c r="IK49" i="7"/>
  <c r="IL49" i="7" s="1"/>
  <c r="IO49" i="7"/>
  <c r="IP49" i="7" s="1"/>
  <c r="IO55" i="7"/>
  <c r="IP55" i="7" s="1"/>
  <c r="LC55" i="7"/>
  <c r="LD55" i="7" s="1"/>
  <c r="LG55" i="7"/>
  <c r="LH55" i="7" s="1"/>
  <c r="LK55" i="7"/>
  <c r="LL55" i="7" s="1"/>
  <c r="LO55" i="7"/>
  <c r="LP55" i="7" s="1"/>
  <c r="LC57" i="7"/>
  <c r="LD57" i="7" s="1"/>
  <c r="PG167" i="7"/>
  <c r="PH167" i="7" s="1"/>
  <c r="PH127" i="7"/>
  <c r="RT57" i="7"/>
  <c r="UD127" i="7"/>
  <c r="PA58" i="7"/>
  <c r="QB127" i="7"/>
  <c r="TT127" i="7"/>
  <c r="VL58" i="7"/>
  <c r="VQ58" i="7"/>
  <c r="RT59" i="7"/>
  <c r="RU59" i="7" s="1"/>
  <c r="VB59" i="7"/>
  <c r="VC59" i="7" s="1"/>
  <c r="OG60" i="7"/>
  <c r="OH60" i="7" s="1"/>
  <c r="RO60" i="7"/>
  <c r="VG60" i="7"/>
  <c r="VH60" i="7" s="1"/>
  <c r="VB62" i="7"/>
  <c r="OV66" i="7"/>
  <c r="OW66" i="7" s="1"/>
  <c r="NI66" i="7"/>
  <c r="VG66" i="7"/>
  <c r="VH66" i="7" s="1"/>
  <c r="OG67" i="7"/>
  <c r="OH67" i="7" s="1"/>
  <c r="OC67" i="7"/>
  <c r="OQ67" i="7"/>
  <c r="OR67" i="7" s="1"/>
  <c r="UW69" i="7"/>
  <c r="RO87" i="7"/>
  <c r="RP87" i="7" s="1"/>
  <c r="EY19" i="7"/>
  <c r="EZ19" i="7" s="1"/>
  <c r="VL32" i="7"/>
  <c r="LG19" i="7"/>
  <c r="BV20" i="7"/>
  <c r="BW20" i="7" s="1"/>
  <c r="CD21" i="7"/>
  <c r="L23" i="7"/>
  <c r="IU167" i="7"/>
  <c r="IV167" i="7" s="1"/>
  <c r="FW9" i="7"/>
  <c r="JA9" i="7"/>
  <c r="LC9" i="7"/>
  <c r="BE10" i="7"/>
  <c r="FR10" i="7"/>
  <c r="IV11" i="7"/>
  <c r="IV12" i="7"/>
  <c r="LC12" i="7"/>
  <c r="CH13" i="7"/>
  <c r="LG13" i="7"/>
  <c r="FR14" i="7"/>
  <c r="LG15" i="7"/>
  <c r="LG16" i="7"/>
  <c r="IV17" i="7"/>
  <c r="LG18" i="7"/>
  <c r="IV19" i="7"/>
  <c r="BE20" i="7"/>
  <c r="LG20" i="7"/>
  <c r="BZ21" i="7"/>
  <c r="IV21" i="7"/>
  <c r="LC21" i="7"/>
  <c r="CD22" i="7"/>
  <c r="EG22" i="7"/>
  <c r="EU22" i="7"/>
  <c r="EV22" i="7" s="1"/>
  <c r="FW22" i="7"/>
  <c r="BZ23" i="7"/>
  <c r="IC23" i="7"/>
  <c r="ID23" i="7" s="1"/>
  <c r="LC23" i="7"/>
  <c r="Q24" i="7"/>
  <c r="IV24" i="7"/>
  <c r="CS25" i="7"/>
  <c r="IC25" i="7"/>
  <c r="ID25" i="7" s="1"/>
  <c r="CN26" i="7"/>
  <c r="IC26" i="7"/>
  <c r="ID26" i="7" s="1"/>
  <c r="IC27" i="7"/>
  <c r="ID27" i="7" s="1"/>
  <c r="EU28" i="7"/>
  <c r="EV28" i="7" s="1"/>
  <c r="FL28" i="7"/>
  <c r="FM28" i="7" s="1"/>
  <c r="LG28" i="7"/>
  <c r="EU29" i="7"/>
  <c r="EV29" i="7" s="1"/>
  <c r="IV29" i="7"/>
  <c r="L30" i="7"/>
  <c r="CN30" i="7"/>
  <c r="EU30" i="7"/>
  <c r="IV30" i="7"/>
  <c r="IC31" i="7"/>
  <c r="ID31" i="7" s="1"/>
  <c r="HP32" i="7"/>
  <c r="IV32" i="7"/>
  <c r="JZ32" i="7"/>
  <c r="KJ32" i="7"/>
  <c r="LC32" i="7"/>
  <c r="LD32" i="7" s="1"/>
  <c r="LO32" i="7"/>
  <c r="LP32" i="7" s="1"/>
  <c r="BE34" i="7"/>
  <c r="FR34" i="7"/>
  <c r="IC34" i="7"/>
  <c r="ID34" i="7" s="1"/>
  <c r="ER35" i="7"/>
  <c r="IZ36" i="7"/>
  <c r="IZ167" i="7" s="1"/>
  <c r="GL38" i="7"/>
  <c r="JK38" i="7"/>
  <c r="JK39" i="7"/>
  <c r="U40" i="7"/>
  <c r="V40" i="7" s="1"/>
  <c r="AP40" i="7"/>
  <c r="Z232" i="7"/>
  <c r="BD232" i="7"/>
  <c r="BN232" i="7"/>
  <c r="BR232" i="7"/>
  <c r="DB232" i="7"/>
  <c r="DC232" i="7" s="1"/>
  <c r="DL232" i="7"/>
  <c r="DM232" i="7" s="1"/>
  <c r="DV232" i="7"/>
  <c r="DW232" i="7" s="1"/>
  <c r="FF232" i="7"/>
  <c r="FR42" i="7"/>
  <c r="GB42" i="7"/>
  <c r="GL42" i="7"/>
  <c r="GV42" i="7"/>
  <c r="HF42" i="7"/>
  <c r="HP42" i="7"/>
  <c r="IF232" i="7"/>
  <c r="IJ232" i="7"/>
  <c r="IN232" i="7"/>
  <c r="JK42" i="7"/>
  <c r="LG42" i="7"/>
  <c r="BE43" i="7"/>
  <c r="GV43" i="7"/>
  <c r="LA43" i="7"/>
  <c r="FR44" i="7"/>
  <c r="GV44" i="7"/>
  <c r="IV44" i="7"/>
  <c r="LC44" i="7"/>
  <c r="LD44" i="7" s="1"/>
  <c r="CW45" i="7"/>
  <c r="CX45" i="7" s="1"/>
  <c r="DM45" i="7"/>
  <c r="EG45" i="7"/>
  <c r="FR45" i="7"/>
  <c r="GV45" i="7"/>
  <c r="CX46" i="7"/>
  <c r="DH46" i="7"/>
  <c r="DR46" i="7"/>
  <c r="EL46" i="7"/>
  <c r="IV46" i="7"/>
  <c r="LC46" i="7"/>
  <c r="LD46" i="7" s="1"/>
  <c r="DR47" i="7"/>
  <c r="FR47" i="7"/>
  <c r="LC47" i="7"/>
  <c r="LD47" i="7" s="1"/>
  <c r="LK47" i="7"/>
  <c r="LL47" i="7" s="1"/>
  <c r="DR48" i="7"/>
  <c r="HW48" i="7"/>
  <c r="HW167" i="7" s="1"/>
  <c r="IV48" i="7"/>
  <c r="LC49" i="7"/>
  <c r="LD49" i="7" s="1"/>
  <c r="GA50" i="7"/>
  <c r="GQ51" i="7"/>
  <c r="HA51" i="7"/>
  <c r="HK51" i="7"/>
  <c r="LC51" i="7"/>
  <c r="LD51" i="7" s="1"/>
  <c r="LG51" i="7"/>
  <c r="LH51" i="7" s="1"/>
  <c r="LC52" i="7"/>
  <c r="LD52" i="7" s="1"/>
  <c r="GP53" i="7"/>
  <c r="LG53" i="7"/>
  <c r="LH53" i="7" s="1"/>
  <c r="HK55" i="7"/>
  <c r="LC56" i="7"/>
  <c r="LD56" i="7" s="1"/>
  <c r="LK56" i="7"/>
  <c r="LL56" i="7" s="1"/>
  <c r="NX127" i="7"/>
  <c r="OY127" i="7"/>
  <c r="PH57" i="7"/>
  <c r="RZ57" i="7"/>
  <c r="OE127" i="7"/>
  <c r="PL127" i="7"/>
  <c r="RO58" i="7"/>
  <c r="RT58" i="7"/>
  <c r="RY58" i="7"/>
  <c r="RZ58" i="7" s="1"/>
  <c r="TY127" i="7"/>
  <c r="HU59" i="7"/>
  <c r="PW59" i="7"/>
  <c r="TE59" i="7"/>
  <c r="GV60" i="7"/>
  <c r="IV60" i="7"/>
  <c r="JZ60" i="7"/>
  <c r="LZ60" i="7"/>
  <c r="FR61" i="7"/>
  <c r="GV61" i="7"/>
  <c r="IV61" i="7"/>
  <c r="JE61" i="7"/>
  <c r="JF61" i="7" s="1"/>
  <c r="LA61" i="7"/>
  <c r="OG61" i="7"/>
  <c r="OH61" i="7" s="1"/>
  <c r="QZ167" i="7"/>
  <c r="RA167" i="7" s="1"/>
  <c r="RA127" i="7"/>
  <c r="EV63" i="7"/>
  <c r="UW63" i="7"/>
  <c r="VB63" i="7"/>
  <c r="OG64" i="7"/>
  <c r="OH64" i="7" s="1"/>
  <c r="VM64" i="7"/>
  <c r="VR64" i="7"/>
  <c r="EU65" i="7"/>
  <c r="EV65" i="7" s="1"/>
  <c r="FL65" i="7"/>
  <c r="IG65" i="7"/>
  <c r="IH65" i="7" s="1"/>
  <c r="GG65" i="7"/>
  <c r="OL66" i="7"/>
  <c r="OM66" i="7" s="1"/>
  <c r="RT66" i="7"/>
  <c r="RU66" i="7" s="1"/>
  <c r="LC67" i="7"/>
  <c r="LD67" i="7" s="1"/>
  <c r="PA67" i="7"/>
  <c r="PB67" i="7" s="1"/>
  <c r="NS67" i="7"/>
  <c r="VQ67" i="7"/>
  <c r="VR67" i="7" s="1"/>
  <c r="EV68" i="7"/>
  <c r="VG68" i="7"/>
  <c r="VH68" i="7" s="1"/>
  <c r="TJ68" i="7"/>
  <c r="PA70" i="7"/>
  <c r="PB70" i="7" s="1"/>
  <c r="UW70" i="7"/>
  <c r="RO71" i="7"/>
  <c r="RP71" i="7" s="1"/>
  <c r="VL71" i="7"/>
  <c r="IG75" i="7"/>
  <c r="IH75" i="7" s="1"/>
  <c r="GL75" i="7"/>
  <c r="LG22" i="7"/>
  <c r="CH23" i="7"/>
  <c r="HY18" i="7"/>
  <c r="BE21" i="7"/>
  <c r="DW23" i="7"/>
  <c r="HV167" i="7"/>
  <c r="KZ167" i="7"/>
  <c r="IV8" i="7"/>
  <c r="JF8" i="7"/>
  <c r="JP8" i="7"/>
  <c r="IV13" i="7"/>
  <c r="IV15" i="7"/>
  <c r="AP16" i="7"/>
  <c r="IV16" i="7"/>
  <c r="AP17" i="7"/>
  <c r="IV18" i="7"/>
  <c r="IV20" i="7"/>
  <c r="EU25" i="7"/>
  <c r="EV25" i="7" s="1"/>
  <c r="FR25" i="7"/>
  <c r="BN26" i="7"/>
  <c r="BR26" i="7"/>
  <c r="BS26" i="7" s="1"/>
  <c r="EU26" i="7"/>
  <c r="EV26" i="7" s="1"/>
  <c r="FR26" i="7"/>
  <c r="FR27" i="7"/>
  <c r="IV28" i="7"/>
  <c r="BP31" i="7"/>
  <c r="FR31" i="7"/>
  <c r="HT167" i="7"/>
  <c r="HU167" i="7" s="1"/>
  <c r="DM34" i="7"/>
  <c r="EG34" i="7"/>
  <c r="EU34" i="7"/>
  <c r="EV34" i="7" s="1"/>
  <c r="JK36" i="7"/>
  <c r="GP37" i="7"/>
  <c r="GQ37" i="7" s="1"/>
  <c r="LC38" i="7"/>
  <c r="LD38" i="7" s="1"/>
  <c r="LC39" i="7"/>
  <c r="LD39" i="7" s="1"/>
  <c r="AJ40" i="7"/>
  <c r="AK40" i="7" s="1"/>
  <c r="EG40" i="7"/>
  <c r="EU40" i="7"/>
  <c r="EV40" i="7" s="1"/>
  <c r="K232" i="7"/>
  <c r="AK42" i="7"/>
  <c r="AK232" i="7" s="1"/>
  <c r="AU42" i="7"/>
  <c r="BS42" i="7"/>
  <c r="CH42" i="7"/>
  <c r="EU42" i="7"/>
  <c r="EV42" i="7" s="1"/>
  <c r="FC42" i="7"/>
  <c r="FG42" i="7"/>
  <c r="GF232" i="7"/>
  <c r="GP232" i="7"/>
  <c r="GZ232" i="7"/>
  <c r="IC42" i="7"/>
  <c r="IG42" i="7"/>
  <c r="IK42" i="7"/>
  <c r="IO42" i="7"/>
  <c r="IC43" i="7"/>
  <c r="ID43" i="7" s="1"/>
  <c r="EU44" i="7"/>
  <c r="EV44" i="7" s="1"/>
  <c r="EU45" i="7"/>
  <c r="EV45" i="7" s="1"/>
  <c r="IC46" i="7"/>
  <c r="ID46" i="7" s="1"/>
  <c r="ES47" i="7"/>
  <c r="ES167" i="7" s="1"/>
  <c r="GG48" i="7"/>
  <c r="IC48" i="7"/>
  <c r="ID48" i="7" s="1"/>
  <c r="LC48" i="7"/>
  <c r="LD48" i="7" s="1"/>
  <c r="GN232" i="7"/>
  <c r="HW50" i="7"/>
  <c r="IB50" i="7"/>
  <c r="IB232" i="7" s="1"/>
  <c r="JK50" i="7"/>
  <c r="GG52" i="7"/>
  <c r="OB127" i="7"/>
  <c r="QU127" i="7"/>
  <c r="RR127" i="7"/>
  <c r="UN127" i="7"/>
  <c r="UW57" i="7"/>
  <c r="VB57" i="7"/>
  <c r="PQ127" i="7"/>
  <c r="QL127" i="7"/>
  <c r="OV59" i="7"/>
  <c r="IK60" i="7"/>
  <c r="IL60" i="7" s="1"/>
  <c r="LC60" i="7"/>
  <c r="LD60" i="7" s="1"/>
  <c r="BE61" i="7"/>
  <c r="BE232" i="7" s="1"/>
  <c r="DM61" i="7"/>
  <c r="EG61" i="7"/>
  <c r="EU61" i="7"/>
  <c r="EV61" i="7" s="1"/>
  <c r="IC61" i="7"/>
  <c r="ID61" i="7" s="1"/>
  <c r="LZ61" i="7"/>
  <c r="RF127" i="7"/>
  <c r="EV64" i="7"/>
  <c r="RT64" i="7"/>
  <c r="RO64" i="7"/>
  <c r="IC65" i="7"/>
  <c r="ID65" i="7" s="1"/>
  <c r="FR65" i="7"/>
  <c r="HY65" i="7"/>
  <c r="LG65" i="7"/>
  <c r="LH65" i="7" s="1"/>
  <c r="LC65" i="7"/>
  <c r="LD65" i="7" s="1"/>
  <c r="OG65" i="7"/>
  <c r="OI127" i="7"/>
  <c r="OI167" i="7" s="1"/>
  <c r="OW65" i="7"/>
  <c r="OQ66" i="7"/>
  <c r="OR66" i="7" s="1"/>
  <c r="LS67" i="7"/>
  <c r="LT67" i="7" s="1"/>
  <c r="OV67" i="7"/>
  <c r="OW67" i="7" s="1"/>
  <c r="NI67" i="7"/>
  <c r="PH68" i="7"/>
  <c r="RT68" i="7"/>
  <c r="RU68" i="7" s="1"/>
  <c r="RY68" i="7"/>
  <c r="RZ68" i="7" s="1"/>
  <c r="QV68" i="7"/>
  <c r="SD68" i="7"/>
  <c r="SE68" i="7" s="1"/>
  <c r="RO68" i="7"/>
  <c r="RP68" i="7" s="1"/>
  <c r="OG69" i="7"/>
  <c r="OH69" i="7" s="1"/>
  <c r="RT69" i="7"/>
  <c r="RU69" i="7" s="1"/>
  <c r="PM69" i="7"/>
  <c r="OV70" i="7"/>
  <c r="OW70" i="7" s="1"/>
  <c r="OG71" i="7"/>
  <c r="OH71" i="7" s="1"/>
  <c r="VQ71" i="7"/>
  <c r="LC41" i="7"/>
  <c r="LD41" i="7" s="1"/>
  <c r="CD42" i="7"/>
  <c r="LC43" i="7"/>
  <c r="LD43" i="7" s="1"/>
  <c r="EU46" i="7"/>
  <c r="EV46" i="7" s="1"/>
  <c r="EU48" i="7"/>
  <c r="EV48" i="7" s="1"/>
  <c r="HW49" i="7"/>
  <c r="HX50" i="7"/>
  <c r="HX167" i="7" s="1"/>
  <c r="LC54" i="7"/>
  <c r="LD54" i="7" s="1"/>
  <c r="PA57" i="7"/>
  <c r="VL57" i="7"/>
  <c r="PW127" i="7"/>
  <c r="QP167" i="7"/>
  <c r="QQ167" i="7" s="1"/>
  <c r="QQ127" i="7"/>
  <c r="SU127" i="7"/>
  <c r="VB58" i="7"/>
  <c r="VG58" i="7"/>
  <c r="VH58" i="7" s="1"/>
  <c r="LC59" i="7"/>
  <c r="LD59" i="7" s="1"/>
  <c r="LC61" i="7"/>
  <c r="LD61" i="7" s="1"/>
  <c r="SI62" i="7"/>
  <c r="IK65" i="7"/>
  <c r="IL65" i="7" s="1"/>
  <c r="HA65" i="7"/>
  <c r="IO65" i="7"/>
  <c r="IP65" i="7" s="1"/>
  <c r="LK65" i="7"/>
  <c r="LL65" i="7" s="1"/>
  <c r="OL65" i="7"/>
  <c r="RO65" i="7"/>
  <c r="NQ127" i="7"/>
  <c r="NQ167" i="7" s="1"/>
  <c r="OZ66" i="7"/>
  <c r="OZ127" i="7" s="1"/>
  <c r="OZ167" i="7" s="1"/>
  <c r="OF66" i="7"/>
  <c r="OF127" i="7" s="1"/>
  <c r="OF167" i="7" s="1"/>
  <c r="NR66" i="7"/>
  <c r="OG66" i="7" s="1"/>
  <c r="OH66" i="7" s="1"/>
  <c r="UW66" i="7"/>
  <c r="LO67" i="7"/>
  <c r="LP67" i="7" s="1"/>
  <c r="VC68" i="7"/>
  <c r="VL68" i="7"/>
  <c r="VM68" i="7" s="1"/>
  <c r="MT69" i="7"/>
  <c r="OQ69" i="7"/>
  <c r="OR69" i="7" s="1"/>
  <c r="SI70" i="7"/>
  <c r="UW71" i="7"/>
  <c r="VH75" i="7"/>
  <c r="VR75" i="7"/>
  <c r="LG87" i="7"/>
  <c r="LH87" i="7" s="1"/>
  <c r="JA87" i="7"/>
  <c r="RO63" i="7"/>
  <c r="NS64" i="7"/>
  <c r="HK65" i="7"/>
  <c r="JK65" i="7"/>
  <c r="PW66" i="7"/>
  <c r="OG68" i="7"/>
  <c r="OH68" i="7" s="1"/>
  <c r="OC69" i="7"/>
  <c r="MO70" i="7"/>
  <c r="OC70" i="7"/>
  <c r="VQ72" i="7"/>
  <c r="VR72" i="7" s="1"/>
  <c r="HY74" i="7"/>
  <c r="OQ74" i="7"/>
  <c r="OR74" i="7" s="1"/>
  <c r="BQ75" i="7"/>
  <c r="BQ232" i="7" s="1"/>
  <c r="BY75" i="7"/>
  <c r="CH75" i="7"/>
  <c r="DR75" i="7"/>
  <c r="HW75" i="7"/>
  <c r="KI75" i="7"/>
  <c r="KI167" i="7" s="1"/>
  <c r="KT75" i="7"/>
  <c r="LZ75" i="7"/>
  <c r="MJ75" i="7"/>
  <c r="MT75" i="7"/>
  <c r="ND75" i="7"/>
  <c r="NN75" i="7"/>
  <c r="OL75" i="7"/>
  <c r="OP127" i="7"/>
  <c r="OP167" i="7" s="1"/>
  <c r="OT127" i="7"/>
  <c r="OT167" i="7" s="1"/>
  <c r="QF75" i="7"/>
  <c r="QG75" i="7" s="1"/>
  <c r="UR127" i="7"/>
  <c r="UW75" i="7"/>
  <c r="UX75" i="7" s="1"/>
  <c r="VF127" i="7"/>
  <c r="VF167" i="7" s="1"/>
  <c r="VK127" i="7"/>
  <c r="VK167" i="7" s="1"/>
  <c r="OQ76" i="7"/>
  <c r="OR76" i="7" s="1"/>
  <c r="OQ77" i="7"/>
  <c r="OR77" i="7" s="1"/>
  <c r="JZ79" i="7"/>
  <c r="LK79" i="7"/>
  <c r="LL79" i="7" s="1"/>
  <c r="LS79" i="7"/>
  <c r="LT79" i="7" s="1"/>
  <c r="PW79" i="7"/>
  <c r="RA79" i="7"/>
  <c r="RK79" i="7"/>
  <c r="RT79" i="7"/>
  <c r="RU79" i="7" s="1"/>
  <c r="SD79" i="7"/>
  <c r="SE79" i="7" s="1"/>
  <c r="LS80" i="7"/>
  <c r="LT80" i="7" s="1"/>
  <c r="RT80" i="7"/>
  <c r="RU80" i="7" s="1"/>
  <c r="RY80" i="7"/>
  <c r="RZ80" i="7" s="1"/>
  <c r="SD80" i="7"/>
  <c r="SE80" i="7" s="1"/>
  <c r="SI80" i="7"/>
  <c r="SJ80" i="7" s="1"/>
  <c r="SO80" i="7"/>
  <c r="SO127" i="7" s="1"/>
  <c r="UU80" i="7"/>
  <c r="UU127" i="7" s="1"/>
  <c r="OQ81" i="7"/>
  <c r="OR81" i="7" s="1"/>
  <c r="PW82" i="7"/>
  <c r="RA82" i="7"/>
  <c r="RK82" i="7"/>
  <c r="SD82" i="7"/>
  <c r="SE82" i="7" s="1"/>
  <c r="PW84" i="7"/>
  <c r="RA84" i="7"/>
  <c r="RK84" i="7"/>
  <c r="RT84" i="7"/>
  <c r="SD84" i="7"/>
  <c r="SE84" i="7" s="1"/>
  <c r="KO86" i="7"/>
  <c r="OC86" i="7"/>
  <c r="OL86" i="7"/>
  <c r="OM86" i="7" s="1"/>
  <c r="TE86" i="7"/>
  <c r="UI86" i="7"/>
  <c r="US86" i="7"/>
  <c r="VB86" i="7"/>
  <c r="VC86" i="7" s="1"/>
  <c r="VL86" i="7"/>
  <c r="VM86" i="7" s="1"/>
  <c r="KD87" i="7"/>
  <c r="KE87" i="7" s="1"/>
  <c r="KX87" i="7"/>
  <c r="KY87" i="7" s="1"/>
  <c r="OG87" i="7"/>
  <c r="OH87" i="7" s="1"/>
  <c r="RY87" i="7"/>
  <c r="RZ87" i="7" s="1"/>
  <c r="SD87" i="7"/>
  <c r="SE87" i="7" s="1"/>
  <c r="SI87" i="7"/>
  <c r="SJ87" i="7" s="1"/>
  <c r="RT89" i="7"/>
  <c r="RU89" i="7" s="1"/>
  <c r="RY89" i="7"/>
  <c r="RZ89" i="7" s="1"/>
  <c r="SD89" i="7"/>
  <c r="SE89" i="7" s="1"/>
  <c r="SI89" i="7"/>
  <c r="SJ89" i="7" s="1"/>
  <c r="VQ90" i="7"/>
  <c r="VR90" i="7" s="1"/>
  <c r="UI90" i="7"/>
  <c r="VG90" i="7"/>
  <c r="VH90" i="7" s="1"/>
  <c r="VL90" i="7"/>
  <c r="UW92" i="7"/>
  <c r="UX92" i="7" s="1"/>
  <c r="VB92" i="7"/>
  <c r="VC92" i="7" s="1"/>
  <c r="VG92" i="7"/>
  <c r="VH92" i="7" s="1"/>
  <c r="VL92" i="7"/>
  <c r="VL93" i="7"/>
  <c r="VL127" i="7" s="1"/>
  <c r="UH96" i="7"/>
  <c r="UH127" i="7" s="1"/>
  <c r="UF127" i="7"/>
  <c r="UF167" i="7" s="1"/>
  <c r="SI101" i="7"/>
  <c r="W232" i="7"/>
  <c r="BX102" i="7"/>
  <c r="BZ102" i="7"/>
  <c r="FC102" i="7"/>
  <c r="FD102" i="7" s="1"/>
  <c r="DM102" i="7"/>
  <c r="IC102" i="7"/>
  <c r="ID102" i="7" s="1"/>
  <c r="HY102" i="7"/>
  <c r="LO102" i="7"/>
  <c r="LP102" i="7" s="1"/>
  <c r="PA102" i="7"/>
  <c r="PB102" i="7" s="1"/>
  <c r="UX102" i="7"/>
  <c r="KX103" i="7"/>
  <c r="KY103" i="7" s="1"/>
  <c r="RT103" i="7"/>
  <c r="RU103" i="7" s="1"/>
  <c r="SD103" i="7"/>
  <c r="SE103" i="7" s="1"/>
  <c r="RO103" i="7"/>
  <c r="RP103" i="7" s="1"/>
  <c r="PH104" i="7"/>
  <c r="RT104" i="7"/>
  <c r="RU104" i="7" s="1"/>
  <c r="QV104" i="7"/>
  <c r="SD104" i="7"/>
  <c r="SE104" i="7" s="1"/>
  <c r="RO104" i="7"/>
  <c r="RP104" i="7" s="1"/>
  <c r="VG106" i="7"/>
  <c r="VH106" i="7" s="1"/>
  <c r="HY107" i="7"/>
  <c r="OL107" i="7"/>
  <c r="OM107" i="7" s="1"/>
  <c r="OV107" i="7"/>
  <c r="OW107" i="7" s="1"/>
  <c r="NI107" i="7"/>
  <c r="SQ127" i="7"/>
  <c r="SQ167" i="7" s="1"/>
  <c r="UY118" i="7"/>
  <c r="UY127" i="7" s="1"/>
  <c r="UY167" i="7" s="1"/>
  <c r="UY232" i="7" s="1"/>
  <c r="UW119" i="7"/>
  <c r="RO74" i="7"/>
  <c r="RP74" i="7" s="1"/>
  <c r="UW74" i="7"/>
  <c r="UX74" i="7" s="1"/>
  <c r="BZ75" i="7"/>
  <c r="CD75" i="7"/>
  <c r="IC75" i="7"/>
  <c r="ID75" i="7" s="1"/>
  <c r="IK75" i="7"/>
  <c r="IL75" i="7" s="1"/>
  <c r="IO75" i="7"/>
  <c r="IP75" i="7" s="1"/>
  <c r="KO127" i="7"/>
  <c r="KX127" i="7"/>
  <c r="LC75" i="7"/>
  <c r="LD75" i="7" s="1"/>
  <c r="LG75" i="7"/>
  <c r="LH75" i="7" s="1"/>
  <c r="LK75" i="7"/>
  <c r="LL75" i="7" s="1"/>
  <c r="LO75" i="7"/>
  <c r="LP75" i="7" s="1"/>
  <c r="LS75" i="7"/>
  <c r="MN167" i="7"/>
  <c r="MO167" i="7" s="1"/>
  <c r="MO127" i="7"/>
  <c r="MX167" i="7"/>
  <c r="MY167" i="7" s="1"/>
  <c r="MY127" i="7"/>
  <c r="NH167" i="7"/>
  <c r="NI167" i="7" s="1"/>
  <c r="NI127" i="7"/>
  <c r="OQ75" i="7"/>
  <c r="RY75" i="7"/>
  <c r="RZ75" i="7" s="1"/>
  <c r="LB76" i="7"/>
  <c r="LB167" i="7" s="1"/>
  <c r="LB232" i="7" s="1"/>
  <c r="LB233" i="7" s="1"/>
  <c r="LN76" i="7"/>
  <c r="LN167" i="7" s="1"/>
  <c r="RO76" i="7"/>
  <c r="RP76" i="7" s="1"/>
  <c r="RO77" i="7"/>
  <c r="RP77" i="7" s="1"/>
  <c r="RO78" i="7"/>
  <c r="RP78" i="7" s="1"/>
  <c r="RY78" i="7"/>
  <c r="RZ78" i="7" s="1"/>
  <c r="SD78" i="7"/>
  <c r="SE78" i="7" s="1"/>
  <c r="SI78" i="7"/>
  <c r="SJ78" i="7" s="1"/>
  <c r="UW78" i="7"/>
  <c r="UX78" i="7" s="1"/>
  <c r="LC79" i="7"/>
  <c r="LD79" i="7" s="1"/>
  <c r="RO81" i="7"/>
  <c r="RP81" i="7" s="1"/>
  <c r="UW83" i="7"/>
  <c r="UX83" i="7" s="1"/>
  <c r="RO85" i="7"/>
  <c r="RP85" i="7" s="1"/>
  <c r="OQ86" i="7"/>
  <c r="OR86" i="7" s="1"/>
  <c r="RO88" i="7"/>
  <c r="RP88" i="7" s="1"/>
  <c r="UW90" i="7"/>
  <c r="UX90" i="7" s="1"/>
  <c r="UW93" i="7"/>
  <c r="UX93" i="7" s="1"/>
  <c r="VG93" i="7"/>
  <c r="VH93" i="7" s="1"/>
  <c r="RO102" i="7"/>
  <c r="RP102" i="7" s="1"/>
  <c r="LS103" i="7"/>
  <c r="LT103" i="7" s="1"/>
  <c r="RY103" i="7"/>
  <c r="RZ103" i="7" s="1"/>
  <c r="PW103" i="7"/>
  <c r="VB106" i="7"/>
  <c r="VC106" i="7" s="1"/>
  <c r="SI107" i="7"/>
  <c r="OH129" i="7"/>
  <c r="OM131" i="7"/>
  <c r="VC131" i="7"/>
  <c r="RO67" i="7"/>
  <c r="RP67" i="7" s="1"/>
  <c r="LO68" i="7"/>
  <c r="LP68" i="7" s="1"/>
  <c r="LS68" i="7"/>
  <c r="LT68" i="7" s="1"/>
  <c r="OQ68" i="7"/>
  <c r="OR68" i="7" s="1"/>
  <c r="UW68" i="7"/>
  <c r="VQ68" i="7"/>
  <c r="VR68" i="7" s="1"/>
  <c r="PA71" i="7"/>
  <c r="PB71" i="7" s="1"/>
  <c r="RO72" i="7"/>
  <c r="RP72" i="7" s="1"/>
  <c r="SD72" i="7"/>
  <c r="SE72" i="7" s="1"/>
  <c r="GL74" i="7"/>
  <c r="GV74" i="7"/>
  <c r="HP74" i="7"/>
  <c r="LC74" i="7"/>
  <c r="LD74" i="7" s="1"/>
  <c r="LG74" i="7"/>
  <c r="LH74" i="7" s="1"/>
  <c r="LK74" i="7"/>
  <c r="LL74" i="7" s="1"/>
  <c r="LO74" i="7"/>
  <c r="LP74" i="7" s="1"/>
  <c r="LS74" i="7"/>
  <c r="LT74" i="7" s="1"/>
  <c r="OG74" i="7"/>
  <c r="OH74" i="7" s="1"/>
  <c r="PM74" i="7"/>
  <c r="PW74" i="7"/>
  <c r="QQ74" i="7"/>
  <c r="RA74" i="7"/>
  <c r="UI74" i="7"/>
  <c r="VB74" i="7"/>
  <c r="VC74" i="7" s="1"/>
  <c r="VG74" i="7"/>
  <c r="VH74" i="7" s="1"/>
  <c r="U75" i="7"/>
  <c r="V75" i="7" s="1"/>
  <c r="V232" i="7" s="1"/>
  <c r="CN75" i="7"/>
  <c r="DM75" i="7"/>
  <c r="EF75" i="7"/>
  <c r="ET75" i="7"/>
  <c r="EX75" i="7"/>
  <c r="EX232" i="7" s="1"/>
  <c r="FR75" i="7"/>
  <c r="KO75" i="7"/>
  <c r="KY75" i="7"/>
  <c r="ME75" i="7"/>
  <c r="MO75" i="7"/>
  <c r="MY75" i="7"/>
  <c r="NI75" i="7"/>
  <c r="NS75" i="7"/>
  <c r="OC75" i="7"/>
  <c r="OJ127" i="7"/>
  <c r="OV75" i="7"/>
  <c r="VM75" i="7"/>
  <c r="HY76" i="7"/>
  <c r="JA76" i="7"/>
  <c r="JK76" i="7"/>
  <c r="KD76" i="7"/>
  <c r="LC76" i="7" s="1"/>
  <c r="LD76" i="7" s="1"/>
  <c r="LS76" i="7"/>
  <c r="LT76" i="7" s="1"/>
  <c r="OG76" i="7"/>
  <c r="OH76" i="7" s="1"/>
  <c r="PM76" i="7"/>
  <c r="PW76" i="7"/>
  <c r="QQ76" i="7"/>
  <c r="RA76" i="7"/>
  <c r="UW76" i="7"/>
  <c r="UX76" i="7" s="1"/>
  <c r="LC77" i="7"/>
  <c r="LD77" i="7" s="1"/>
  <c r="LG77" i="7"/>
  <c r="LH77" i="7" s="1"/>
  <c r="LK77" i="7"/>
  <c r="LL77" i="7" s="1"/>
  <c r="LO77" i="7"/>
  <c r="LP77" i="7" s="1"/>
  <c r="LS77" i="7"/>
  <c r="LT77" i="7" s="1"/>
  <c r="OG77" i="7"/>
  <c r="OH77" i="7" s="1"/>
  <c r="PM77" i="7"/>
  <c r="PW77" i="7"/>
  <c r="QQ77" i="7"/>
  <c r="RA77" i="7"/>
  <c r="UW77" i="7"/>
  <c r="UX77" i="7" s="1"/>
  <c r="SU78" i="7"/>
  <c r="TE78" i="7"/>
  <c r="TY78" i="7"/>
  <c r="UI78" i="7"/>
  <c r="OQ79" i="7"/>
  <c r="OR79" i="7" s="1"/>
  <c r="OQ80" i="7"/>
  <c r="OR80" i="7" s="1"/>
  <c r="UW80" i="7"/>
  <c r="UX80" i="7" s="1"/>
  <c r="IO81" i="7"/>
  <c r="IP81" i="7" s="1"/>
  <c r="LC81" i="7"/>
  <c r="LD81" i="7" s="1"/>
  <c r="LG81" i="7"/>
  <c r="LH81" i="7" s="1"/>
  <c r="LK81" i="7"/>
  <c r="LL81" i="7" s="1"/>
  <c r="LO81" i="7"/>
  <c r="LP81" i="7" s="1"/>
  <c r="LS81" i="7"/>
  <c r="LT81" i="7" s="1"/>
  <c r="OG81" i="7"/>
  <c r="OH81" i="7" s="1"/>
  <c r="PM81" i="7"/>
  <c r="PW81" i="7"/>
  <c r="QQ81" i="7"/>
  <c r="RA81" i="7"/>
  <c r="UW81" i="7"/>
  <c r="UX81" i="7" s="1"/>
  <c r="OV82" i="7"/>
  <c r="OW82" i="7" s="1"/>
  <c r="PA82" i="7"/>
  <c r="PB82" i="7" s="1"/>
  <c r="TE83" i="7"/>
  <c r="TY83" i="7"/>
  <c r="PM85" i="7"/>
  <c r="PW85" i="7"/>
  <c r="QQ85" i="7"/>
  <c r="RA85" i="7"/>
  <c r="UW85" i="7"/>
  <c r="UX85" i="7" s="1"/>
  <c r="JZ86" i="7"/>
  <c r="NN86" i="7"/>
  <c r="NX86" i="7"/>
  <c r="RO86" i="7"/>
  <c r="RP86" i="7" s="1"/>
  <c r="LA87" i="7"/>
  <c r="NN87" i="7"/>
  <c r="OQ87" i="7"/>
  <c r="OR87" i="7" s="1"/>
  <c r="PA87" i="7"/>
  <c r="PB87" i="7" s="1"/>
  <c r="RW87" i="7"/>
  <c r="PM88" i="7"/>
  <c r="PW88" i="7"/>
  <c r="QQ88" i="7"/>
  <c r="RA88" i="7"/>
  <c r="UW88" i="7"/>
  <c r="UX88" i="7" s="1"/>
  <c r="VC93" i="7"/>
  <c r="UW95" i="7"/>
  <c r="UX95" i="7" s="1"/>
  <c r="VL96" i="7"/>
  <c r="UW101" i="7"/>
  <c r="EY102" i="7"/>
  <c r="EZ102" i="7" s="1"/>
  <c r="EU102" i="7"/>
  <c r="EV102" i="7" s="1"/>
  <c r="FL102" i="7"/>
  <c r="FM102" i="7" s="1"/>
  <c r="EG102" i="7"/>
  <c r="ES102" i="7"/>
  <c r="GV102" i="7"/>
  <c r="RY102" i="7"/>
  <c r="RZ102" i="7" s="1"/>
  <c r="PW102" i="7"/>
  <c r="SI103" i="7"/>
  <c r="SJ103" i="7" s="1"/>
  <c r="RA103" i="7"/>
  <c r="OQ104" i="7"/>
  <c r="OR104" i="7" s="1"/>
  <c r="MO104" i="7"/>
  <c r="NI104" i="7"/>
  <c r="OV104" i="7"/>
  <c r="OW104" i="7" s="1"/>
  <c r="QB104" i="7"/>
  <c r="RY104" i="7"/>
  <c r="RZ104" i="7" s="1"/>
  <c r="SE105" i="7"/>
  <c r="EV107" i="7"/>
  <c r="JM167" i="7"/>
  <c r="JO107" i="7"/>
  <c r="LA107" i="7"/>
  <c r="OQ107" i="7"/>
  <c r="OR107" i="7" s="1"/>
  <c r="VQ119" i="7"/>
  <c r="UI119" i="7"/>
  <c r="SA127" i="7"/>
  <c r="SA167" i="7" s="1"/>
  <c r="ON127" i="7"/>
  <c r="PW67" i="7"/>
  <c r="RA67" i="7"/>
  <c r="NS68" i="7"/>
  <c r="CW75" i="7"/>
  <c r="CX75" i="7" s="1"/>
  <c r="EU75" i="7"/>
  <c r="EV75" i="7" s="1"/>
  <c r="KS167" i="7"/>
  <c r="KT167" i="7" s="1"/>
  <c r="KT127" i="7"/>
  <c r="LA75" i="7"/>
  <c r="LY167" i="7"/>
  <c r="LZ167" i="7" s="1"/>
  <c r="LZ127" i="7"/>
  <c r="MI167" i="7"/>
  <c r="MJ167" i="7" s="1"/>
  <c r="MJ127" i="7"/>
  <c r="MT127" i="7"/>
  <c r="NC167" i="7"/>
  <c r="ND167" i="7" s="1"/>
  <c r="ND127" i="7"/>
  <c r="NM167" i="7"/>
  <c r="NN167" i="7" s="1"/>
  <c r="NN127" i="7"/>
  <c r="OK127" i="7"/>
  <c r="OK167" i="7" s="1"/>
  <c r="OO127" i="7"/>
  <c r="RW75" i="7"/>
  <c r="RW127" i="7" s="1"/>
  <c r="VO127" i="7"/>
  <c r="TE76" i="7"/>
  <c r="UI76" i="7"/>
  <c r="TE77" i="7"/>
  <c r="UI77" i="7"/>
  <c r="NN79" i="7"/>
  <c r="NN80" i="7"/>
  <c r="TE80" i="7"/>
  <c r="UI80" i="7"/>
  <c r="HK81" i="7"/>
  <c r="TE81" i="7"/>
  <c r="UI81" i="7"/>
  <c r="RS84" i="7"/>
  <c r="RS127" i="7" s="1"/>
  <c r="RS167" i="7" s="1"/>
  <c r="TE85" i="7"/>
  <c r="TY85" i="7"/>
  <c r="UI85" i="7"/>
  <c r="JU86" i="7"/>
  <c r="LC86" i="7"/>
  <c r="LD86" i="7" s="1"/>
  <c r="PM86" i="7"/>
  <c r="PW86" i="7"/>
  <c r="QQ86" i="7"/>
  <c r="RA86" i="7"/>
  <c r="LB87" i="7"/>
  <c r="LR87" i="7"/>
  <c r="LR127" i="7" s="1"/>
  <c r="LR167" i="7" s="1"/>
  <c r="TE88" i="7"/>
  <c r="UI88" i="7"/>
  <c r="TN94" i="7"/>
  <c r="VC94" i="7"/>
  <c r="UD96" i="7"/>
  <c r="BQ102" i="7"/>
  <c r="BS102" i="7" s="1"/>
  <c r="AP102" i="7"/>
  <c r="CD102" i="7"/>
  <c r="CH102" i="7"/>
  <c r="CN102" i="7"/>
  <c r="MD102" i="7"/>
  <c r="ME102" i="7" s="1"/>
  <c r="MB127" i="7"/>
  <c r="MB167" i="7" s="1"/>
  <c r="SI102" i="7"/>
  <c r="SJ102" i="7" s="1"/>
  <c r="RA102" i="7"/>
  <c r="LL103" i="7"/>
  <c r="UX103" i="7"/>
  <c r="RF104" i="7"/>
  <c r="SI104" i="7"/>
  <c r="SJ104" i="7" s="1"/>
  <c r="RP105" i="7"/>
  <c r="RO106" i="7"/>
  <c r="RP106" i="7" s="1"/>
  <c r="UW106" i="7"/>
  <c r="LG107" i="7"/>
  <c r="LH107" i="7" s="1"/>
  <c r="UW109" i="7"/>
  <c r="VB119" i="7"/>
  <c r="VC119" i="7" s="1"/>
  <c r="SZ119" i="7"/>
  <c r="VL119" i="7"/>
  <c r="TY119" i="7"/>
  <c r="ER102" i="7"/>
  <c r="ER167" i="7" s="1"/>
  <c r="ER232" i="7" s="1"/>
  <c r="GG102" i="7"/>
  <c r="HK102" i="7"/>
  <c r="TE102" i="7"/>
  <c r="UI102" i="7"/>
  <c r="US102" i="7"/>
  <c r="LC103" i="7"/>
  <c r="TE103" i="7"/>
  <c r="UI103" i="7"/>
  <c r="US103" i="7"/>
  <c r="RA105" i="7"/>
  <c r="RK105" i="7"/>
  <c r="TE105" i="7"/>
  <c r="UI105" i="7"/>
  <c r="US105" i="7"/>
  <c r="UV106" i="7"/>
  <c r="UV127" i="7" s="1"/>
  <c r="UV167" i="7" s="1"/>
  <c r="VJ106" i="7"/>
  <c r="VJ127" i="7" s="1"/>
  <c r="VJ167" i="7" s="1"/>
  <c r="VG112" i="7"/>
  <c r="VH112" i="7" s="1"/>
  <c r="VL112" i="7"/>
  <c r="VA115" i="7"/>
  <c r="VA127" i="7" s="1"/>
  <c r="VA167" i="7" s="1"/>
  <c r="VQ115" i="7"/>
  <c r="SI116" i="7"/>
  <c r="SI118" i="7"/>
  <c r="UH118" i="7"/>
  <c r="UU118" i="7"/>
  <c r="UV119" i="7"/>
  <c r="VJ119" i="7"/>
  <c r="VP119" i="7"/>
  <c r="UW122" i="7"/>
  <c r="UI125" i="7"/>
  <c r="UW125" i="7"/>
  <c r="SR127" i="7"/>
  <c r="SR167" i="7" s="1"/>
  <c r="TH127" i="7"/>
  <c r="TH167" i="7" s="1"/>
  <c r="TL127" i="7"/>
  <c r="TL167" i="7" s="1"/>
  <c r="SF130" i="7"/>
  <c r="SF164" i="7" s="1"/>
  <c r="SF167" i="7" s="1"/>
  <c r="SF232" i="7" s="1"/>
  <c r="JA131" i="7"/>
  <c r="JK131" i="7"/>
  <c r="KE131" i="7"/>
  <c r="KO131" i="7"/>
  <c r="KY131" i="7"/>
  <c r="ME131" i="7"/>
  <c r="OG132" i="7"/>
  <c r="OH132" i="7" s="1"/>
  <c r="LC133" i="7"/>
  <c r="LD133" i="7" s="1"/>
  <c r="LO133" i="7"/>
  <c r="LP133" i="7" s="1"/>
  <c r="LS133" i="7"/>
  <c r="LT133" i="7" s="1"/>
  <c r="OG133" i="7"/>
  <c r="OH133" i="7" s="1"/>
  <c r="VG133" i="7"/>
  <c r="VH133" i="7" s="1"/>
  <c r="LA134" i="7"/>
  <c r="VB140" i="7"/>
  <c r="VC140" i="7" s="1"/>
  <c r="LG141" i="7"/>
  <c r="LH141" i="7" s="1"/>
  <c r="LC141" i="7"/>
  <c r="LD141" i="7" s="1"/>
  <c r="JF141" i="7"/>
  <c r="RA141" i="7"/>
  <c r="QV145" i="7"/>
  <c r="SD145" i="7"/>
  <c r="SE145" i="7" s="1"/>
  <c r="AM232" i="7"/>
  <c r="BQ147" i="7"/>
  <c r="AO147" i="7"/>
  <c r="AO232" i="7" s="1"/>
  <c r="BE147" i="7"/>
  <c r="CH147" i="7"/>
  <c r="JZ147" i="7"/>
  <c r="SI147" i="7"/>
  <c r="SJ147" i="7" s="1"/>
  <c r="RA147" i="7"/>
  <c r="SW164" i="7"/>
  <c r="SW167" i="7" s="1"/>
  <c r="SW232" i="7" s="1"/>
  <c r="SY147" i="7"/>
  <c r="SZ147" i="7" s="1"/>
  <c r="TL164" i="7"/>
  <c r="TN147" i="7"/>
  <c r="TO147" i="7" s="1"/>
  <c r="UU147" i="7"/>
  <c r="UZ147" i="7"/>
  <c r="UZ164" i="7" s="1"/>
  <c r="UZ167" i="7" s="1"/>
  <c r="DM148" i="7"/>
  <c r="FC148" i="7"/>
  <c r="FD148" i="7" s="1"/>
  <c r="RO148" i="7"/>
  <c r="RP148" i="7" s="1"/>
  <c r="LC102" i="7"/>
  <c r="LD102" i="7" s="1"/>
  <c r="LB107" i="7"/>
  <c r="RN112" i="7"/>
  <c r="RN127" i="7" s="1"/>
  <c r="RN167" i="7" s="1"/>
  <c r="SH112" i="7"/>
  <c r="SH127" i="7" s="1"/>
  <c r="SH167" i="7" s="1"/>
  <c r="SO112" i="7"/>
  <c r="TI112" i="7"/>
  <c r="TJ112" i="7" s="1"/>
  <c r="UI112" i="7"/>
  <c r="SZ113" i="7"/>
  <c r="UD113" i="7"/>
  <c r="SO115" i="7"/>
  <c r="UD115" i="7"/>
  <c r="VG115" i="7"/>
  <c r="VH115" i="7" s="1"/>
  <c r="TD118" i="7"/>
  <c r="TD127" i="7" s="1"/>
  <c r="UD118" i="7"/>
  <c r="UV118" i="7"/>
  <c r="VE118" i="7"/>
  <c r="VE127" i="7" s="1"/>
  <c r="VP118" i="7"/>
  <c r="VP127" i="7" s="1"/>
  <c r="VP167" i="7" s="1"/>
  <c r="VP232" i="7" s="1"/>
  <c r="VR267" i="7" s="1"/>
  <c r="RJ119" i="7"/>
  <c r="UW124" i="7"/>
  <c r="OG125" i="7"/>
  <c r="RH127" i="7"/>
  <c r="RH167" i="7" s="1"/>
  <c r="JT129" i="7"/>
  <c r="GL130" i="7"/>
  <c r="GV130" i="7"/>
  <c r="IG130" i="7"/>
  <c r="IH130" i="7" s="1"/>
  <c r="KN164" i="7"/>
  <c r="KN167" i="7" s="1"/>
  <c r="MD164" i="7"/>
  <c r="ME164" i="7" s="1"/>
  <c r="OG130" i="7"/>
  <c r="OZ164" i="7"/>
  <c r="SG164" i="7"/>
  <c r="SG167" i="7" s="1"/>
  <c r="TI164" i="7"/>
  <c r="TJ164" i="7" s="1"/>
  <c r="VG130" i="7"/>
  <c r="VN130" i="7"/>
  <c r="VN164" i="7" s="1"/>
  <c r="VN167" i="7" s="1"/>
  <c r="VN232" i="7" s="1"/>
  <c r="OQ131" i="7"/>
  <c r="OR131" i="7" s="1"/>
  <c r="PH131" i="7"/>
  <c r="PR131" i="7"/>
  <c r="QB131" i="7"/>
  <c r="QL131" i="7"/>
  <c r="QV131" i="7"/>
  <c r="RF131" i="7"/>
  <c r="SZ131" i="7"/>
  <c r="TN164" i="7"/>
  <c r="TO164" i="7" s="1"/>
  <c r="VA164" i="7"/>
  <c r="OC132" i="7"/>
  <c r="EG133" i="7"/>
  <c r="EU133" i="7"/>
  <c r="EV133" i="7" s="1"/>
  <c r="MO133" i="7"/>
  <c r="NS133" i="7"/>
  <c r="PW133" i="7"/>
  <c r="EV134" i="7"/>
  <c r="MT134" i="7"/>
  <c r="PM135" i="7"/>
  <c r="VB135" i="7"/>
  <c r="VC135" i="7" s="1"/>
  <c r="TE135" i="7"/>
  <c r="PM136" i="7"/>
  <c r="VG136" i="7"/>
  <c r="NS137" i="7"/>
  <c r="SD138" i="7"/>
  <c r="SE138" i="7" s="1"/>
  <c r="VM138" i="7"/>
  <c r="KO140" i="7"/>
  <c r="OQ140" i="7"/>
  <c r="OR140" i="7" s="1"/>
  <c r="OV140" i="7"/>
  <c r="OW140" i="7" s="1"/>
  <c r="RO140" i="7"/>
  <c r="RP140" i="7" s="1"/>
  <c r="RT140" i="7"/>
  <c r="RU140" i="7" s="1"/>
  <c r="RY140" i="7"/>
  <c r="RZ140" i="7" s="1"/>
  <c r="SD140" i="7"/>
  <c r="SE140" i="7" s="1"/>
  <c r="SI140" i="7"/>
  <c r="SJ140" i="7" s="1"/>
  <c r="EV141" i="7"/>
  <c r="KE141" i="7"/>
  <c r="UW141" i="7"/>
  <c r="UX141" i="7" s="1"/>
  <c r="VB141" i="7"/>
  <c r="VC141" i="7" s="1"/>
  <c r="RY142" i="7"/>
  <c r="RZ142" i="7" s="1"/>
  <c r="PW142" i="7"/>
  <c r="SD142" i="7"/>
  <c r="SE142" i="7" s="1"/>
  <c r="QQ142" i="7"/>
  <c r="OR143" i="7"/>
  <c r="PH143" i="7"/>
  <c r="RT143" i="7"/>
  <c r="RU143" i="7" s="1"/>
  <c r="QV143" i="7"/>
  <c r="SD143" i="7"/>
  <c r="SE143" i="7" s="1"/>
  <c r="RY144" i="7"/>
  <c r="RZ144" i="7" s="1"/>
  <c r="LS146" i="7"/>
  <c r="LT146" i="7" s="1"/>
  <c r="MO146" i="7"/>
  <c r="OQ146" i="7"/>
  <c r="OR146" i="7" s="1"/>
  <c r="VB146" i="7"/>
  <c r="VC146" i="7" s="1"/>
  <c r="SU146" i="7"/>
  <c r="VQ146" i="7"/>
  <c r="VR146" i="7" s="1"/>
  <c r="UI146" i="7"/>
  <c r="CJ232" i="7"/>
  <c r="ER147" i="7"/>
  <c r="EW147" i="7"/>
  <c r="EW232" i="7" s="1"/>
  <c r="DM147" i="7"/>
  <c r="LK147" i="7"/>
  <c r="LL147" i="7" s="1"/>
  <c r="PY164" i="7"/>
  <c r="PY167" i="7" s="1"/>
  <c r="PY232" i="7" s="1"/>
  <c r="QA147" i="7"/>
  <c r="RW147" i="7"/>
  <c r="RW164" i="7" s="1"/>
  <c r="QQ147" i="7"/>
  <c r="BQ148" i="7"/>
  <c r="BS148" i="7" s="1"/>
  <c r="AT148" i="7"/>
  <c r="AU148" i="7" s="1"/>
  <c r="FG148" i="7"/>
  <c r="FH148" i="7" s="1"/>
  <c r="LK148" i="7"/>
  <c r="LL148" i="7" s="1"/>
  <c r="MO148" i="7"/>
  <c r="OQ148" i="7"/>
  <c r="OR148" i="7" s="1"/>
  <c r="NZ164" i="7"/>
  <c r="NZ167" i="7" s="1"/>
  <c r="NZ232" i="7" s="1"/>
  <c r="OB148" i="7"/>
  <c r="OE148" i="7"/>
  <c r="OY148" i="7"/>
  <c r="OY164" i="7" s="1"/>
  <c r="OV148" i="7"/>
  <c r="OW148" i="7" s="1"/>
  <c r="RY148" i="7"/>
  <c r="RZ148" i="7" s="1"/>
  <c r="PW148" i="7"/>
  <c r="TV164" i="7"/>
  <c r="TV167" i="7" s="1"/>
  <c r="TV232" i="7" s="1"/>
  <c r="TX148" i="7"/>
  <c r="UW148" i="7" s="1"/>
  <c r="UX148" i="7" s="1"/>
  <c r="UU148" i="7"/>
  <c r="MO149" i="7"/>
  <c r="OQ149" i="7"/>
  <c r="OR149" i="7" s="1"/>
  <c r="VB149" i="7"/>
  <c r="VC149" i="7" s="1"/>
  <c r="SU149" i="7"/>
  <c r="VQ149" i="7"/>
  <c r="VR149" i="7" s="1"/>
  <c r="UI149" i="7"/>
  <c r="VJ150" i="7"/>
  <c r="VQ150" i="7"/>
  <c r="VR150" i="7" s="1"/>
  <c r="UI150" i="7"/>
  <c r="JU151" i="7"/>
  <c r="LK151" i="7"/>
  <c r="LL151" i="7" s="1"/>
  <c r="KO151" i="7"/>
  <c r="LS151" i="7"/>
  <c r="LT151" i="7" s="1"/>
  <c r="RO112" i="7"/>
  <c r="SI112" i="7"/>
  <c r="SJ112" i="7" s="1"/>
  <c r="UV112" i="7"/>
  <c r="UW113" i="7"/>
  <c r="UX113" i="7" s="1"/>
  <c r="UW114" i="7"/>
  <c r="VG119" i="7"/>
  <c r="VH119" i="7" s="1"/>
  <c r="SL127" i="7"/>
  <c r="SL167" i="7" s="1"/>
  <c r="SX127" i="7"/>
  <c r="SX167" i="7" s="1"/>
  <c r="LC130" i="7"/>
  <c r="LD130" i="7" s="1"/>
  <c r="LS130" i="7"/>
  <c r="OR130" i="7"/>
  <c r="VJ164" i="7"/>
  <c r="VO164" i="7"/>
  <c r="OV131" i="7"/>
  <c r="OW131" i="7" s="1"/>
  <c r="PA131" i="7"/>
  <c r="PB131" i="7" s="1"/>
  <c r="RO131" i="7"/>
  <c r="RP131" i="7" s="1"/>
  <c r="TD164" i="7"/>
  <c r="TE164" i="7" s="1"/>
  <c r="TS164" i="7"/>
  <c r="TT164" i="7" s="1"/>
  <c r="VG131" i="7"/>
  <c r="VH131" i="7" s="1"/>
  <c r="VL131" i="7"/>
  <c r="VM131" i="7" s="1"/>
  <c r="RT133" i="7"/>
  <c r="RU133" i="7" s="1"/>
  <c r="LG134" i="7"/>
  <c r="LH134" i="7" s="1"/>
  <c r="LK134" i="7"/>
  <c r="LL134" i="7" s="1"/>
  <c r="JK134" i="7"/>
  <c r="LO134" i="7"/>
  <c r="LP134" i="7" s="1"/>
  <c r="RT134" i="7"/>
  <c r="RU134" i="7" s="1"/>
  <c r="SI135" i="7"/>
  <c r="VB136" i="7"/>
  <c r="VC136" i="7" s="1"/>
  <c r="UH164" i="7"/>
  <c r="UI164" i="7" s="1"/>
  <c r="LL141" i="7"/>
  <c r="OH141" i="7"/>
  <c r="PW141" i="7"/>
  <c r="RY141" i="7"/>
  <c r="RZ141" i="7" s="1"/>
  <c r="EV142" i="7"/>
  <c r="SI143" i="7"/>
  <c r="SJ143" i="7" s="1"/>
  <c r="UX143" i="7"/>
  <c r="PH144" i="7"/>
  <c r="RT144" i="7"/>
  <c r="RU144" i="7" s="1"/>
  <c r="QV144" i="7"/>
  <c r="SD144" i="7"/>
  <c r="SE144" i="7" s="1"/>
  <c r="VH145" i="7"/>
  <c r="VQ145" i="7"/>
  <c r="VR145" i="7" s="1"/>
  <c r="UW146" i="7"/>
  <c r="UX146" i="7" s="1"/>
  <c r="BS147" i="7"/>
  <c r="ES147" i="7"/>
  <c r="IV147" i="7"/>
  <c r="LG147" i="7"/>
  <c r="LH147" i="7" s="1"/>
  <c r="LC147" i="7"/>
  <c r="LD147" i="7" s="1"/>
  <c r="LA147" i="7"/>
  <c r="KI147" i="7"/>
  <c r="KJ147" i="7" s="1"/>
  <c r="TE147" i="7"/>
  <c r="VG147" i="7"/>
  <c r="VH147" i="7" s="1"/>
  <c r="VE147" i="7"/>
  <c r="VE164" i="7" s="1"/>
  <c r="RT148" i="7"/>
  <c r="RU148" i="7" s="1"/>
  <c r="PM148" i="7"/>
  <c r="SI148" i="7"/>
  <c r="SJ148" i="7" s="1"/>
  <c r="RA148" i="7"/>
  <c r="VJ148" i="7"/>
  <c r="OV149" i="7"/>
  <c r="OW149" i="7" s="1"/>
  <c r="UW149" i="7"/>
  <c r="UX149" i="7" s="1"/>
  <c r="LP150" i="7"/>
  <c r="UZ150" i="7"/>
  <c r="VL150" i="7"/>
  <c r="VM150" i="7" s="1"/>
  <c r="TY150" i="7"/>
  <c r="LC151" i="7"/>
  <c r="LD151" i="7" s="1"/>
  <c r="BP102" i="7"/>
  <c r="LB103" i="7"/>
  <c r="TE113" i="7"/>
  <c r="SP118" i="7"/>
  <c r="RM119" i="7"/>
  <c r="RM127" i="7" s="1"/>
  <c r="RO130" i="7"/>
  <c r="LC131" i="7"/>
  <c r="LD131" i="7" s="1"/>
  <c r="OB164" i="7"/>
  <c r="OC164" i="7" s="1"/>
  <c r="OG131" i="7"/>
  <c r="OH131" i="7" s="1"/>
  <c r="RT131" i="7"/>
  <c r="RY131" i="7"/>
  <c r="RZ131" i="7" s="1"/>
  <c r="SD131" i="7"/>
  <c r="SE131" i="7" s="1"/>
  <c r="SI131" i="7"/>
  <c r="SJ131" i="7" s="1"/>
  <c r="LS134" i="7"/>
  <c r="LT134" i="7" s="1"/>
  <c r="KO134" i="7"/>
  <c r="RY134" i="7"/>
  <c r="RZ134" i="7" s="1"/>
  <c r="PW134" i="7"/>
  <c r="RO134" i="7"/>
  <c r="RP134" i="7" s="1"/>
  <c r="RO135" i="7"/>
  <c r="RP135" i="7" s="1"/>
  <c r="OQ136" i="7"/>
  <c r="OR136" i="7" s="1"/>
  <c r="SI136" i="7"/>
  <c r="VB137" i="7"/>
  <c r="VC137" i="7" s="1"/>
  <c r="VB138" i="7"/>
  <c r="LC140" i="7"/>
  <c r="LD140" i="7" s="1"/>
  <c r="LK140" i="7"/>
  <c r="LL140" i="7" s="1"/>
  <c r="UM164" i="7"/>
  <c r="UN164" i="7" s="1"/>
  <c r="UN140" i="7"/>
  <c r="LT141" i="7"/>
  <c r="RT142" i="7"/>
  <c r="RU142" i="7" s="1"/>
  <c r="PM142" i="7"/>
  <c r="SI142" i="7"/>
  <c r="SJ142" i="7" s="1"/>
  <c r="RA142" i="7"/>
  <c r="SI144" i="7"/>
  <c r="SJ144" i="7" s="1"/>
  <c r="RY145" i="7"/>
  <c r="RZ145" i="7" s="1"/>
  <c r="UW145" i="7"/>
  <c r="UX145" i="7" s="1"/>
  <c r="OL146" i="7"/>
  <c r="OM146" i="7" s="1"/>
  <c r="ME146" i="7"/>
  <c r="NS146" i="7"/>
  <c r="PA146" i="7"/>
  <c r="PB146" i="7" s="1"/>
  <c r="VG146" i="7"/>
  <c r="VH146" i="7" s="1"/>
  <c r="TE146" i="7"/>
  <c r="VL146" i="7"/>
  <c r="VM146" i="7" s="1"/>
  <c r="TY146" i="7"/>
  <c r="CP232" i="7"/>
  <c r="CR147" i="7"/>
  <c r="CS147" i="7" s="1"/>
  <c r="HY147" i="7"/>
  <c r="IC147" i="7"/>
  <c r="ID147" i="7" s="1"/>
  <c r="RT147" i="7"/>
  <c r="RU147" i="7" s="1"/>
  <c r="PH147" i="7"/>
  <c r="LC148" i="7"/>
  <c r="LD148" i="7" s="1"/>
  <c r="SD148" i="7"/>
  <c r="SE148" i="7" s="1"/>
  <c r="QQ148" i="7"/>
  <c r="SP148" i="7"/>
  <c r="VB148" i="7"/>
  <c r="VC148" i="7" s="1"/>
  <c r="VG148" i="7"/>
  <c r="VH148" i="7" s="1"/>
  <c r="TE148" i="7"/>
  <c r="JZ149" i="7"/>
  <c r="LO149" i="7"/>
  <c r="LP149" i="7" s="1"/>
  <c r="NS149" i="7"/>
  <c r="PA149" i="7"/>
  <c r="PB149" i="7" s="1"/>
  <c r="VG149" i="7"/>
  <c r="VH149" i="7" s="1"/>
  <c r="TE149" i="7"/>
  <c r="VL149" i="7"/>
  <c r="VM149" i="7" s="1"/>
  <c r="TY149" i="7"/>
  <c r="LK150" i="7"/>
  <c r="LL150" i="7" s="1"/>
  <c r="JK150" i="7"/>
  <c r="OL150" i="7"/>
  <c r="OM150" i="7" s="1"/>
  <c r="LZ150" i="7"/>
  <c r="MQ164" i="7"/>
  <c r="MQ167" i="7" s="1"/>
  <c r="MQ232" i="7" s="1"/>
  <c r="MS150" i="7"/>
  <c r="MT150" i="7" s="1"/>
  <c r="OO150" i="7"/>
  <c r="OO164" i="7" s="1"/>
  <c r="PT164" i="7"/>
  <c r="PT167" i="7" s="1"/>
  <c r="PT232" i="7" s="1"/>
  <c r="RM150" i="7"/>
  <c r="PV150" i="7"/>
  <c r="RW150" i="7"/>
  <c r="VG150" i="7"/>
  <c r="VH150" i="7" s="1"/>
  <c r="TE150" i="7"/>
  <c r="KE151" i="7"/>
  <c r="LO151" i="7"/>
  <c r="LP151" i="7" s="1"/>
  <c r="LC134" i="7"/>
  <c r="LD134" i="7" s="1"/>
  <c r="OG134" i="7"/>
  <c r="OH134" i="7" s="1"/>
  <c r="OG136" i="7"/>
  <c r="OH136" i="7" s="1"/>
  <c r="LC137" i="7"/>
  <c r="OV137" i="7"/>
  <c r="OW137" i="7" s="1"/>
  <c r="RO138" i="7"/>
  <c r="RP138" i="7" s="1"/>
  <c r="RY138" i="7"/>
  <c r="RZ138" i="7" s="1"/>
  <c r="SI138" i="7"/>
  <c r="SJ138" i="7" s="1"/>
  <c r="TX164" i="7"/>
  <c r="TY164" i="7" s="1"/>
  <c r="UV164" i="7"/>
  <c r="ME141" i="7"/>
  <c r="MO141" i="7"/>
  <c r="OC141" i="7"/>
  <c r="RK141" i="7"/>
  <c r="RT141" i="7"/>
  <c r="RU141" i="7" s="1"/>
  <c r="SD141" i="7"/>
  <c r="SE141" i="7" s="1"/>
  <c r="MO142" i="7"/>
  <c r="OC142" i="7"/>
  <c r="MT143" i="7"/>
  <c r="NN143" i="7"/>
  <c r="NX143" i="7"/>
  <c r="RO143" i="7"/>
  <c r="RP143" i="7" s="1"/>
  <c r="SP143" i="7"/>
  <c r="US143" i="7"/>
  <c r="RO144" i="7"/>
  <c r="RP144" i="7" s="1"/>
  <c r="RO145" i="7"/>
  <c r="RP145" i="7" s="1"/>
  <c r="SP145" i="7"/>
  <c r="CM147" i="7"/>
  <c r="GG147" i="7"/>
  <c r="HX147" i="7"/>
  <c r="IO147" i="7"/>
  <c r="IP147" i="7" s="1"/>
  <c r="MT147" i="7"/>
  <c r="NN147" i="7"/>
  <c r="ON164" i="7"/>
  <c r="QK147" i="7"/>
  <c r="QL147" i="7" s="1"/>
  <c r="RM147" i="7"/>
  <c r="ST147" i="7"/>
  <c r="SU147" i="7" s="1"/>
  <c r="UI147" i="7"/>
  <c r="US147" i="7"/>
  <c r="AF148" i="7"/>
  <c r="BE148" i="7"/>
  <c r="CM148" i="7"/>
  <c r="FR148" i="7"/>
  <c r="GV148" i="7"/>
  <c r="UI148" i="7"/>
  <c r="US148" i="7"/>
  <c r="LZ149" i="7"/>
  <c r="HJ150" i="7"/>
  <c r="IZ150" i="7"/>
  <c r="KE150" i="7"/>
  <c r="KO150" i="7"/>
  <c r="NN150" i="7"/>
  <c r="NW150" i="7"/>
  <c r="NW164" i="7" s="1"/>
  <c r="OE150" i="7"/>
  <c r="OE164" i="7" s="1"/>
  <c r="PQ150" i="7"/>
  <c r="RR150" i="7"/>
  <c r="RR164" i="7" s="1"/>
  <c r="UU150" i="7"/>
  <c r="UU164" i="7" s="1"/>
  <c r="OQ151" i="7"/>
  <c r="OR151" i="7" s="1"/>
  <c r="QV152" i="7"/>
  <c r="US152" i="7"/>
  <c r="VB152" i="7"/>
  <c r="VC152" i="7" s="1"/>
  <c r="LH153" i="7"/>
  <c r="OQ153" i="7"/>
  <c r="OR153" i="7" s="1"/>
  <c r="OV153" i="7"/>
  <c r="OW153" i="7" s="1"/>
  <c r="OG153" i="7"/>
  <c r="OH153" i="7" s="1"/>
  <c r="RO153" i="7"/>
  <c r="RP153" i="7" s="1"/>
  <c r="RT153" i="7"/>
  <c r="RU153" i="7" s="1"/>
  <c r="RY153" i="7"/>
  <c r="RZ153" i="7" s="1"/>
  <c r="SD153" i="7"/>
  <c r="SE153" i="7" s="1"/>
  <c r="SI153" i="7"/>
  <c r="SJ153" i="7" s="1"/>
  <c r="OG154" i="7"/>
  <c r="OH154" i="7" s="1"/>
  <c r="OL154" i="7"/>
  <c r="OQ154" i="7"/>
  <c r="OR154" i="7" s="1"/>
  <c r="PA154" i="7"/>
  <c r="PB154" i="7" s="1"/>
  <c r="SE154" i="7"/>
  <c r="VB154" i="7"/>
  <c r="VC154" i="7" s="1"/>
  <c r="VL154" i="7"/>
  <c r="VM154" i="7" s="1"/>
  <c r="SI155" i="7"/>
  <c r="SJ155" i="7" s="1"/>
  <c r="RO155" i="7"/>
  <c r="RP155" i="7" s="1"/>
  <c r="UW155" i="7"/>
  <c r="UX155" i="7" s="1"/>
  <c r="RO157" i="7"/>
  <c r="RP157" i="7" s="1"/>
  <c r="VQ157" i="7"/>
  <c r="VR157" i="7" s="1"/>
  <c r="VL159" i="7"/>
  <c r="VL160" i="7"/>
  <c r="VG161" i="7"/>
  <c r="VH161" i="7" s="1"/>
  <c r="UD161" i="7"/>
  <c r="UW162" i="7"/>
  <c r="MO136" i="7"/>
  <c r="NN140" i="7"/>
  <c r="UC164" i="7"/>
  <c r="UD164" i="7" s="1"/>
  <c r="UR164" i="7"/>
  <c r="US164" i="7" s="1"/>
  <c r="UW140" i="7"/>
  <c r="RE141" i="7"/>
  <c r="RF141" i="7" s="1"/>
  <c r="RM141" i="7"/>
  <c r="RM164" i="7" s="1"/>
  <c r="PW143" i="7"/>
  <c r="RA143" i="7"/>
  <c r="PW144" i="7"/>
  <c r="RA144" i="7"/>
  <c r="PM145" i="7"/>
  <c r="PW145" i="7"/>
  <c r="RA145" i="7"/>
  <c r="NN146" i="7"/>
  <c r="AR232" i="7"/>
  <c r="EA147" i="7"/>
  <c r="EB147" i="7" s="1"/>
  <c r="EP147" i="7"/>
  <c r="ET147" i="7"/>
  <c r="FK147" i="7"/>
  <c r="FK232" i="7" s="1"/>
  <c r="JK147" i="7"/>
  <c r="OS164" i="7"/>
  <c r="OS167" i="7" s="1"/>
  <c r="SB147" i="7"/>
  <c r="SB164" i="7" s="1"/>
  <c r="SB167" i="7" s="1"/>
  <c r="TB164" i="7"/>
  <c r="TB167" i="7" s="1"/>
  <c r="DR148" i="7"/>
  <c r="EG148" i="7"/>
  <c r="JK149" i="7"/>
  <c r="LC149" i="7"/>
  <c r="LD149" i="7" s="1"/>
  <c r="NN149" i="7"/>
  <c r="HY150" i="7"/>
  <c r="OJ150" i="7"/>
  <c r="OJ164" i="7" s="1"/>
  <c r="QF150" i="7"/>
  <c r="QG150" i="7" s="1"/>
  <c r="SO150" i="7"/>
  <c r="UW150" i="7" s="1"/>
  <c r="UX150" i="7" s="1"/>
  <c r="NN151" i="7"/>
  <c r="PA151" i="7"/>
  <c r="PB151" i="7" s="1"/>
  <c r="UI152" i="7"/>
  <c r="EV153" i="7"/>
  <c r="MO153" i="7"/>
  <c r="PA153" i="7"/>
  <c r="PB153" i="7" s="1"/>
  <c r="OM153" i="7"/>
  <c r="OV154" i="7"/>
  <c r="OW154" i="7" s="1"/>
  <c r="VG154" i="7"/>
  <c r="VH154" i="7" s="1"/>
  <c r="TE154" i="7"/>
  <c r="VL157" i="7"/>
  <c r="VM157" i="7" s="1"/>
  <c r="VG158" i="7"/>
  <c r="VH158" i="7" s="1"/>
  <c r="VL158" i="7"/>
  <c r="UW160" i="7"/>
  <c r="UX160" i="7" s="1"/>
  <c r="VB161" i="7"/>
  <c r="VC161" i="7" s="1"/>
  <c r="OG151" i="7"/>
  <c r="OH151" i="7" s="1"/>
  <c r="UW151" i="7"/>
  <c r="UX151" i="7" s="1"/>
  <c r="UW153" i="7"/>
  <c r="UX153" i="7" s="1"/>
  <c r="VG153" i="7"/>
  <c r="VH153" i="7" s="1"/>
  <c r="VL153" i="7"/>
  <c r="VM153" i="7" s="1"/>
  <c r="VQ154" i="7"/>
  <c r="VR154" i="7" s="1"/>
  <c r="UI154" i="7"/>
  <c r="SD155" i="7"/>
  <c r="SE155" i="7" s="1"/>
  <c r="VL155" i="7"/>
  <c r="VM155" i="7" s="1"/>
  <c r="UW156" i="7"/>
  <c r="UX156" i="7" s="1"/>
  <c r="VG156" i="7"/>
  <c r="VH156" i="7" s="1"/>
  <c r="VL156" i="7"/>
  <c r="VM156" i="7" s="1"/>
  <c r="SI157" i="7"/>
  <c r="SJ157" i="7" s="1"/>
  <c r="UW157" i="7"/>
  <c r="UX157" i="7" s="1"/>
  <c r="VG157" i="7"/>
  <c r="VH157" i="7" s="1"/>
  <c r="VL162" i="7"/>
  <c r="VM169" i="7"/>
  <c r="TQ164" i="7"/>
  <c r="TQ167" i="7" s="1"/>
  <c r="HW150" i="7"/>
  <c r="OY150" i="7"/>
  <c r="ME151" i="7"/>
  <c r="SU151" i="7"/>
  <c r="TE151" i="7"/>
  <c r="TY151" i="7"/>
  <c r="UI151" i="7"/>
  <c r="VG152" i="7"/>
  <c r="VH152" i="7" s="1"/>
  <c r="EV154" i="7"/>
  <c r="SJ154" i="7"/>
  <c r="QB155" i="7"/>
  <c r="QV155" i="7"/>
  <c r="SP155" i="7"/>
  <c r="TJ155" i="7"/>
  <c r="UD155" i="7"/>
  <c r="UN155" i="7"/>
  <c r="SU157" i="7"/>
  <c r="UI158" i="7"/>
  <c r="UW158" i="7"/>
  <c r="UX158" i="7" s="1"/>
  <c r="LE232" i="7"/>
  <c r="LJ232" i="7"/>
  <c r="OT232" i="7"/>
  <c r="OX232" i="7"/>
  <c r="VE211" i="7"/>
  <c r="OG170" i="7"/>
  <c r="OH170" i="7" s="1"/>
  <c r="PA170" i="7"/>
  <c r="PB170" i="7" s="1"/>
  <c r="RO170" i="7"/>
  <c r="RP170" i="7" s="1"/>
  <c r="RT170" i="7"/>
  <c r="RU170" i="7" s="1"/>
  <c r="RY170" i="7"/>
  <c r="RZ170" i="7" s="1"/>
  <c r="SD170" i="7"/>
  <c r="SE170" i="7" s="1"/>
  <c r="SI170" i="7"/>
  <c r="SJ170" i="7" s="1"/>
  <c r="UW170" i="7"/>
  <c r="UX170" i="7" s="1"/>
  <c r="VB170" i="7"/>
  <c r="VC170" i="7" s="1"/>
  <c r="VG170" i="7"/>
  <c r="VH170" i="7" s="1"/>
  <c r="VL170" i="7"/>
  <c r="VM170" i="7" s="1"/>
  <c r="VQ170" i="7"/>
  <c r="VR170" i="7" s="1"/>
  <c r="UW171" i="7"/>
  <c r="UX171" i="7" s="1"/>
  <c r="TM232" i="7"/>
  <c r="OG182" i="7"/>
  <c r="OH182" i="7" s="1"/>
  <c r="EV169" i="7"/>
  <c r="KV232" i="7"/>
  <c r="KV233" i="7" s="1"/>
  <c r="LF232" i="7"/>
  <c r="LQ232" i="7"/>
  <c r="LY232" i="7"/>
  <c r="LZ211" i="7"/>
  <c r="MI232" i="7"/>
  <c r="MJ211" i="7"/>
  <c r="MT211" i="7"/>
  <c r="NC232" i="7"/>
  <c r="ND211" i="7"/>
  <c r="NM232" i="7"/>
  <c r="NN211" i="7"/>
  <c r="NX211" i="7"/>
  <c r="OI232" i="7"/>
  <c r="OM169" i="7"/>
  <c r="OQ169" i="7"/>
  <c r="OU232" i="7"/>
  <c r="OY211" i="7"/>
  <c r="QA211" i="7"/>
  <c r="RQ232" i="7"/>
  <c r="RU169" i="7"/>
  <c r="RZ169" i="7"/>
  <c r="SE169" i="7"/>
  <c r="SJ169" i="7"/>
  <c r="SU169" i="7"/>
  <c r="TE169" i="7"/>
  <c r="TX211" i="7"/>
  <c r="UH211" i="7"/>
  <c r="UR211" i="7"/>
  <c r="UW169" i="7"/>
  <c r="ME170" i="7"/>
  <c r="MO170" i="7"/>
  <c r="OG172" i="7"/>
  <c r="OH172" i="7" s="1"/>
  <c r="PE232" i="7"/>
  <c r="PJ232" i="7"/>
  <c r="PO232" i="7"/>
  <c r="QD232" i="7"/>
  <c r="QN232" i="7"/>
  <c r="QS232" i="7"/>
  <c r="QX232" i="7"/>
  <c r="RC232" i="7"/>
  <c r="SY172" i="7"/>
  <c r="SZ172" i="7" s="1"/>
  <c r="TN172" i="7"/>
  <c r="TO172" i="7" s="1"/>
  <c r="UD172" i="7"/>
  <c r="UV172" i="7"/>
  <c r="UV211" i="7" s="1"/>
  <c r="UV232" i="7" s="1"/>
  <c r="UV233" i="7" s="1"/>
  <c r="VA172" i="7"/>
  <c r="VA211" i="7" s="1"/>
  <c r="VA232" i="7" s="1"/>
  <c r="VF172" i="7"/>
  <c r="VF211" i="7" s="1"/>
  <c r="VF232" i="7" s="1"/>
  <c r="GG173" i="7"/>
  <c r="HT232" i="7"/>
  <c r="HU211" i="7"/>
  <c r="HX173" i="7"/>
  <c r="HX211" i="7" s="1"/>
  <c r="HX232" i="7" s="1"/>
  <c r="IK173" i="7"/>
  <c r="IL173" i="7" s="1"/>
  <c r="IO173" i="7"/>
  <c r="IP173" i="7" s="1"/>
  <c r="JA211" i="7"/>
  <c r="JJ232" i="7"/>
  <c r="JK211" i="7"/>
  <c r="JU211" i="7"/>
  <c r="KE211" i="7"/>
  <c r="KO211" i="7"/>
  <c r="LC173" i="7"/>
  <c r="LD173" i="7" s="1"/>
  <c r="LG173" i="7"/>
  <c r="LH173" i="7" s="1"/>
  <c r="LK173" i="7"/>
  <c r="LL173" i="7" s="1"/>
  <c r="LO173" i="7"/>
  <c r="LP173" i="7" s="1"/>
  <c r="LS173" i="7"/>
  <c r="LT173" i="7" s="1"/>
  <c r="OG173" i="7"/>
  <c r="OH173" i="7" s="1"/>
  <c r="PA173" i="7"/>
  <c r="PB173" i="7" s="1"/>
  <c r="PG173" i="7"/>
  <c r="SI173" i="7"/>
  <c r="SJ173" i="7" s="1"/>
  <c r="RA173" i="7"/>
  <c r="VQ173" i="7"/>
  <c r="VR173" i="7" s="1"/>
  <c r="UI173" i="7"/>
  <c r="RT175" i="7"/>
  <c r="RU175" i="7" s="1"/>
  <c r="SN211" i="7"/>
  <c r="SN232" i="7" s="1"/>
  <c r="VA175" i="7"/>
  <c r="SO175" i="7"/>
  <c r="VL175" i="7"/>
  <c r="VM175" i="7" s="1"/>
  <c r="UW175" i="7"/>
  <c r="UX175" i="7" s="1"/>
  <c r="VG178" i="7"/>
  <c r="VH178" i="7" s="1"/>
  <c r="TE178" i="7"/>
  <c r="UW181" i="7"/>
  <c r="UX181" i="7" s="1"/>
  <c r="VQ181" i="7"/>
  <c r="UW161" i="7"/>
  <c r="UX161" i="7" s="1"/>
  <c r="LO165" i="7"/>
  <c r="ES211" i="7"/>
  <c r="HV211" i="7"/>
  <c r="HV232" i="7" s="1"/>
  <c r="KQ232" i="7"/>
  <c r="KX169" i="7"/>
  <c r="LC169" i="7" s="1"/>
  <c r="LM232" i="7"/>
  <c r="LR211" i="7"/>
  <c r="LZ169" i="7"/>
  <c r="MJ169" i="7"/>
  <c r="MT169" i="7"/>
  <c r="ND169" i="7"/>
  <c r="NN169" i="7"/>
  <c r="NX169" i="7"/>
  <c r="ON211" i="7"/>
  <c r="OV169" i="7"/>
  <c r="PH169" i="7"/>
  <c r="PR169" i="7"/>
  <c r="QB169" i="7"/>
  <c r="QL169" i="7"/>
  <c r="QV169" i="7"/>
  <c r="RF169" i="7"/>
  <c r="RR211" i="7"/>
  <c r="RW211" i="7"/>
  <c r="SO211" i="7"/>
  <c r="SY211" i="7"/>
  <c r="TG232" i="7"/>
  <c r="TO169" i="7"/>
  <c r="TY169" i="7"/>
  <c r="UI169" i="7"/>
  <c r="US169" i="7"/>
  <c r="VB169" i="7"/>
  <c r="VG169" i="7"/>
  <c r="VQ169" i="7"/>
  <c r="NS172" i="7"/>
  <c r="PF211" i="7"/>
  <c r="PF232" i="7" s="1"/>
  <c r="PK211" i="7"/>
  <c r="PK232" i="7" s="1"/>
  <c r="PP211" i="7"/>
  <c r="PP232" i="7" s="1"/>
  <c r="PU211" i="7"/>
  <c r="PU232" i="7" s="1"/>
  <c r="PZ211" i="7"/>
  <c r="PZ232" i="7" s="1"/>
  <c r="QE232" i="7"/>
  <c r="QJ232" i="7"/>
  <c r="QO232" i="7"/>
  <c r="QT232" i="7"/>
  <c r="QY232" i="7"/>
  <c r="RD232" i="7"/>
  <c r="TX172" i="7"/>
  <c r="TY172" i="7" s="1"/>
  <c r="HU173" i="7"/>
  <c r="JA173" i="7"/>
  <c r="JK173" i="7"/>
  <c r="JU173" i="7"/>
  <c r="KE173" i="7"/>
  <c r="KO173" i="7"/>
  <c r="MO173" i="7"/>
  <c r="PV173" i="7"/>
  <c r="QU173" i="7"/>
  <c r="SP173" i="7"/>
  <c r="TQ211" i="7"/>
  <c r="TS173" i="7"/>
  <c r="UA211" i="7"/>
  <c r="UA232" i="7" s="1"/>
  <c r="UC173" i="7"/>
  <c r="UW173" i="7" s="1"/>
  <c r="UX173" i="7" s="1"/>
  <c r="VJ173" i="7"/>
  <c r="VJ211" i="7" s="1"/>
  <c r="VJ232" i="7" s="1"/>
  <c r="UD174" i="7"/>
  <c r="VL174" i="7"/>
  <c r="UW174" i="7"/>
  <c r="UX174" i="7" s="1"/>
  <c r="RR175" i="7"/>
  <c r="PL175" i="7"/>
  <c r="PW175" i="7"/>
  <c r="RY175" i="7"/>
  <c r="RZ175" i="7" s="1"/>
  <c r="SI175" i="7"/>
  <c r="RH232" i="7"/>
  <c r="SH175" i="7"/>
  <c r="SH211" i="7" s="1"/>
  <c r="SH232" i="7" s="1"/>
  <c r="UZ175" i="7"/>
  <c r="NN182" i="7"/>
  <c r="OV182" i="7"/>
  <c r="OW182" i="7" s="1"/>
  <c r="NN153" i="7"/>
  <c r="SU161" i="7"/>
  <c r="TE161" i="7"/>
  <c r="HW211" i="7"/>
  <c r="KS232" i="7"/>
  <c r="KT211" i="7"/>
  <c r="LI232" i="7"/>
  <c r="LN211" i="7"/>
  <c r="MD211" i="7"/>
  <c r="MN211" i="7"/>
  <c r="MX211" i="7"/>
  <c r="NH211" i="7"/>
  <c r="NR211" i="7"/>
  <c r="OB211" i="7"/>
  <c r="OG169" i="7"/>
  <c r="OK211" i="7"/>
  <c r="OK232" i="7" s="1"/>
  <c r="OO211" i="7"/>
  <c r="OS211" i="7"/>
  <c r="PA169" i="7"/>
  <c r="QP211" i="7"/>
  <c r="RJ211" i="7"/>
  <c r="RO169" i="7"/>
  <c r="RS211" i="7"/>
  <c r="SC211" i="7"/>
  <c r="SC232" i="7" s="1"/>
  <c r="TI211" i="7"/>
  <c r="TS211" i="7"/>
  <c r="UM211" i="7"/>
  <c r="UU211" i="7"/>
  <c r="PG172" i="7"/>
  <c r="PL172" i="7"/>
  <c r="PM172" i="7" s="1"/>
  <c r="PQ172" i="7"/>
  <c r="PR172" i="7" s="1"/>
  <c r="PV172" i="7"/>
  <c r="PV211" i="7" s="1"/>
  <c r="QA172" i="7"/>
  <c r="QB172" i="7" s="1"/>
  <c r="QF172" i="7"/>
  <c r="QG172" i="7" s="1"/>
  <c r="QK172" i="7"/>
  <c r="QL172" i="7" s="1"/>
  <c r="QP172" i="7"/>
  <c r="QQ172" i="7" s="1"/>
  <c r="QU172" i="7"/>
  <c r="QZ172" i="7"/>
  <c r="RE172" i="7"/>
  <c r="RF172" i="7" s="1"/>
  <c r="RM172" i="7"/>
  <c r="RM211" i="7" s="1"/>
  <c r="RR172" i="7"/>
  <c r="RW172" i="7"/>
  <c r="SB172" i="7"/>
  <c r="SB211" i="7" s="1"/>
  <c r="SB232" i="7" s="1"/>
  <c r="SG172" i="7"/>
  <c r="SG211" i="7" s="1"/>
  <c r="SG232" i="7" s="1"/>
  <c r="TL232" i="7"/>
  <c r="FV173" i="7"/>
  <c r="FV232" i="7" s="1"/>
  <c r="IU232" i="7"/>
  <c r="IV211" i="7"/>
  <c r="JF211" i="7"/>
  <c r="JP211" i="7"/>
  <c r="JY232" i="7"/>
  <c r="JZ211" i="7"/>
  <c r="KJ211" i="7"/>
  <c r="PS232" i="7"/>
  <c r="RN173" i="7"/>
  <c r="RN211" i="7" s="1"/>
  <c r="RN232" i="7" s="1"/>
  <c r="RN233" i="7" s="1"/>
  <c r="RO173" i="7"/>
  <c r="SR211" i="7"/>
  <c r="SR232" i="7" s="1"/>
  <c r="ST173" i="7"/>
  <c r="SU173" i="7" s="1"/>
  <c r="TB211" i="7"/>
  <c r="TD173" i="7"/>
  <c r="VE173" i="7"/>
  <c r="SB175" i="7"/>
  <c r="QU175" i="7"/>
  <c r="RO175" i="7" s="1"/>
  <c r="RP175" i="7" s="1"/>
  <c r="SY175" i="7"/>
  <c r="SZ175" i="7" s="1"/>
  <c r="UV175" i="7"/>
  <c r="PA182" i="7"/>
  <c r="PB182" i="7" s="1"/>
  <c r="NS182" i="7"/>
  <c r="SM232" i="7"/>
  <c r="UF232" i="7"/>
  <c r="UZ173" i="7"/>
  <c r="UZ211" i="7" s="1"/>
  <c r="UZ232" i="7" s="1"/>
  <c r="VO173" i="7"/>
  <c r="VO211" i="7" s="1"/>
  <c r="RV232" i="7"/>
  <c r="KJ183" i="7"/>
  <c r="KT183" i="7"/>
  <c r="MO183" i="7"/>
  <c r="NS183" i="7"/>
  <c r="OC183" i="7"/>
  <c r="OL183" i="7"/>
  <c r="OM183" i="7" s="1"/>
  <c r="PM183" i="7"/>
  <c r="PW183" i="7"/>
  <c r="QQ183" i="7"/>
  <c r="RA183" i="7"/>
  <c r="TE183" i="7"/>
  <c r="TY183" i="7"/>
  <c r="UI183" i="7"/>
  <c r="MO184" i="7"/>
  <c r="NS184" i="7"/>
  <c r="OC184" i="7"/>
  <c r="OL184" i="7"/>
  <c r="OM184" i="7" s="1"/>
  <c r="PM184" i="7"/>
  <c r="PW184" i="7"/>
  <c r="NN185" i="7"/>
  <c r="NS185" i="7"/>
  <c r="OC185" i="7"/>
  <c r="UW185" i="7"/>
  <c r="UX185" i="7" s="1"/>
  <c r="PW186" i="7"/>
  <c r="SD186" i="7"/>
  <c r="SE186" i="7" s="1"/>
  <c r="RO186" i="7"/>
  <c r="RP186" i="7" s="1"/>
  <c r="RR186" i="7"/>
  <c r="UD186" i="7"/>
  <c r="RT187" i="7"/>
  <c r="RU187" i="7" s="1"/>
  <c r="PH187" i="7"/>
  <c r="UD187" i="7"/>
  <c r="SI188" i="7"/>
  <c r="SJ188" i="7" s="1"/>
  <c r="RA188" i="7"/>
  <c r="OH190" i="7"/>
  <c r="RO191" i="7"/>
  <c r="RP191" i="7" s="1"/>
  <c r="SI193" i="7"/>
  <c r="SJ193" i="7" s="1"/>
  <c r="RA193" i="7"/>
  <c r="UI194" i="7"/>
  <c r="OV196" i="7"/>
  <c r="SI196" i="7"/>
  <c r="VG196" i="7"/>
  <c r="VH196" i="7" s="1"/>
  <c r="TE196" i="7"/>
  <c r="RO199" i="7"/>
  <c r="RP199" i="7" s="1"/>
  <c r="SI199" i="7"/>
  <c r="SJ199" i="7" s="1"/>
  <c r="UW199" i="7"/>
  <c r="UX199" i="7" s="1"/>
  <c r="OV200" i="7"/>
  <c r="OW200" i="7" s="1"/>
  <c r="NP232" i="7"/>
  <c r="OE185" i="7"/>
  <c r="OE211" i="7" s="1"/>
  <c r="OQ185" i="7"/>
  <c r="OR185" i="7" s="1"/>
  <c r="OY185" i="7"/>
  <c r="PL185" i="7"/>
  <c r="PM185" i="7" s="1"/>
  <c r="RT185" i="7"/>
  <c r="RU185" i="7" s="1"/>
  <c r="RY185" i="7"/>
  <c r="RZ185" i="7" s="1"/>
  <c r="PG186" i="7"/>
  <c r="VG187" i="7"/>
  <c r="VH187" i="7" s="1"/>
  <c r="VQ188" i="7"/>
  <c r="VR188" i="7" s="1"/>
  <c r="OG189" i="7"/>
  <c r="OH189" i="7" s="1"/>
  <c r="OG193" i="7"/>
  <c r="OH193" i="7" s="1"/>
  <c r="OV193" i="7"/>
  <c r="OW193" i="7" s="1"/>
  <c r="UW193" i="7"/>
  <c r="UX193" i="7" s="1"/>
  <c r="RO195" i="7"/>
  <c r="RP195" i="7" s="1"/>
  <c r="VG195" i="7"/>
  <c r="VH195" i="7" s="1"/>
  <c r="TE195" i="7"/>
  <c r="VQ195" i="7"/>
  <c r="PA196" i="7"/>
  <c r="VQ196" i="7"/>
  <c r="EV198" i="7"/>
  <c r="OG198" i="7"/>
  <c r="OH198" i="7" s="1"/>
  <c r="PA198" i="7"/>
  <c r="PB198" i="7" s="1"/>
  <c r="SE199" i="7"/>
  <c r="VB199" i="7"/>
  <c r="LC200" i="7"/>
  <c r="LD200" i="7" s="1"/>
  <c r="OQ200" i="7"/>
  <c r="OR200" i="7" s="1"/>
  <c r="MO200" i="7"/>
  <c r="PA200" i="7"/>
  <c r="PB200" i="7" s="1"/>
  <c r="RZ200" i="7"/>
  <c r="SD200" i="7"/>
  <c r="SE200" i="7" s="1"/>
  <c r="RO200" i="7"/>
  <c r="RP200" i="7" s="1"/>
  <c r="UW200" i="7"/>
  <c r="UX200" i="7" s="1"/>
  <c r="FM201" i="7"/>
  <c r="RI232" i="7"/>
  <c r="RN175" i="7"/>
  <c r="SS232" i="7"/>
  <c r="NN183" i="7"/>
  <c r="NN184" i="7"/>
  <c r="RO184" i="7"/>
  <c r="RP184" i="7" s="1"/>
  <c r="UW184" i="7"/>
  <c r="UX184" i="7" s="1"/>
  <c r="MG232" i="7"/>
  <c r="NQ232" i="7"/>
  <c r="OF185" i="7"/>
  <c r="OH185" i="7" s="1"/>
  <c r="OJ185" i="7"/>
  <c r="OJ211" i="7" s="1"/>
  <c r="OZ185" i="7"/>
  <c r="PB185" i="7" s="1"/>
  <c r="RM185" i="7"/>
  <c r="TJ186" i="7"/>
  <c r="RX187" i="7"/>
  <c r="RX211" i="7" s="1"/>
  <c r="RX232" i="7" s="1"/>
  <c r="PV187" i="7"/>
  <c r="RO187" i="7" s="1"/>
  <c r="RP187" i="7" s="1"/>
  <c r="QV187" i="7"/>
  <c r="RN187" i="7"/>
  <c r="UW187" i="7"/>
  <c r="UX187" i="7" s="1"/>
  <c r="RO188" i="7"/>
  <c r="RP188" i="7" s="1"/>
  <c r="UW188" i="7"/>
  <c r="UX188" i="7" s="1"/>
  <c r="VI211" i="7"/>
  <c r="VI232" i="7" s="1"/>
  <c r="SE189" i="7"/>
  <c r="VQ189" i="7"/>
  <c r="VR189" i="7" s="1"/>
  <c r="RO190" i="7"/>
  <c r="RP190" i="7" s="1"/>
  <c r="SI190" i="7"/>
  <c r="SJ190" i="7" s="1"/>
  <c r="EV193" i="7"/>
  <c r="PA193" i="7"/>
  <c r="PB193" i="7" s="1"/>
  <c r="SD193" i="7"/>
  <c r="SE193" i="7" s="1"/>
  <c r="RO193" i="7"/>
  <c r="RP193" i="7" s="1"/>
  <c r="VL193" i="7"/>
  <c r="VM193" i="7" s="1"/>
  <c r="PA194" i="7"/>
  <c r="PB194" i="7" s="1"/>
  <c r="EV195" i="7"/>
  <c r="MO195" i="7"/>
  <c r="OV195" i="7"/>
  <c r="OW195" i="7" s="1"/>
  <c r="SE195" i="7"/>
  <c r="RY196" i="7"/>
  <c r="RZ196" i="7" s="1"/>
  <c r="PW196" i="7"/>
  <c r="VQ198" i="7"/>
  <c r="VR198" i="7" s="1"/>
  <c r="UI198" i="7"/>
  <c r="LS200" i="7"/>
  <c r="LT200" i="7" s="1"/>
  <c r="RO201" i="7"/>
  <c r="RO189" i="7"/>
  <c r="RP189" i="7" s="1"/>
  <c r="VQ190" i="7"/>
  <c r="VR190" i="7" s="1"/>
  <c r="UI190" i="7"/>
  <c r="OG200" i="7"/>
  <c r="SI200" i="7"/>
  <c r="SJ200" i="7" s="1"/>
  <c r="RA200" i="7"/>
  <c r="OG201" i="7"/>
  <c r="RO203" i="7"/>
  <c r="IV204" i="7"/>
  <c r="LG204" i="7"/>
  <c r="LH204" i="7" s="1"/>
  <c r="LC204" i="7"/>
  <c r="LD204" i="7" s="1"/>
  <c r="RO204" i="7"/>
  <c r="RP204" i="7" s="1"/>
  <c r="IS232" i="7"/>
  <c r="OL200" i="7"/>
  <c r="OM200" i="7" s="1"/>
  <c r="IG201" i="7"/>
  <c r="IH201" i="7" s="1"/>
  <c r="IK201" i="7"/>
  <c r="IL201" i="7" s="1"/>
  <c r="IO201" i="7"/>
  <c r="IP201" i="7" s="1"/>
  <c r="LC201" i="7"/>
  <c r="LD201" i="7" s="1"/>
  <c r="LG201" i="7"/>
  <c r="LH201" i="7" s="1"/>
  <c r="LK201" i="7"/>
  <c r="LL201" i="7" s="1"/>
  <c r="LO201" i="7"/>
  <c r="LP201" i="7" s="1"/>
  <c r="OD232" i="7"/>
  <c r="RL232" i="7"/>
  <c r="UW201" i="7"/>
  <c r="UX201" i="7" s="1"/>
  <c r="LC202" i="7"/>
  <c r="LD202" i="7" s="1"/>
  <c r="GT232" i="7"/>
  <c r="IJ204" i="7"/>
  <c r="JZ204" i="7"/>
  <c r="LO204" i="7"/>
  <c r="LP204" i="7" s="1"/>
  <c r="OL204" i="7"/>
  <c r="OM204" i="7" s="1"/>
  <c r="LZ204" i="7"/>
  <c r="LG205" i="7"/>
  <c r="LH205" i="7" s="1"/>
  <c r="OG205" i="7"/>
  <c r="UW205" i="7"/>
  <c r="UX205" i="7" s="1"/>
  <c r="IG206" i="7"/>
  <c r="IH206" i="7" s="1"/>
  <c r="GG206" i="7"/>
  <c r="GV206" i="7"/>
  <c r="LG206" i="7"/>
  <c r="LH206" i="7" s="1"/>
  <c r="LC206" i="7"/>
  <c r="LD206" i="7" s="1"/>
  <c r="IV206" i="7"/>
  <c r="OG187" i="7"/>
  <c r="OH187" i="7" s="1"/>
  <c r="RO192" i="7"/>
  <c r="RP192" i="7" s="1"/>
  <c r="UW192" i="7"/>
  <c r="UX192" i="7" s="1"/>
  <c r="RO194" i="7"/>
  <c r="RP194" i="7" s="1"/>
  <c r="MR232" i="7"/>
  <c r="OL195" i="7"/>
  <c r="OM195" i="7" s="1"/>
  <c r="OP195" i="7"/>
  <c r="OP211" i="7" s="1"/>
  <c r="OP232" i="7" s="1"/>
  <c r="RO197" i="7"/>
  <c r="RP197" i="7" s="1"/>
  <c r="UW197" i="7"/>
  <c r="UX197" i="7" s="1"/>
  <c r="UI201" i="7"/>
  <c r="JZ203" i="7"/>
  <c r="LK203" i="7"/>
  <c r="LL203" i="7" s="1"/>
  <c r="UW203" i="7"/>
  <c r="UX203" i="7" s="1"/>
  <c r="EF204" i="7"/>
  <c r="EK204" i="7"/>
  <c r="EL204" i="7" s="1"/>
  <c r="ET204" i="7"/>
  <c r="ET211" i="7" s="1"/>
  <c r="FO232" i="7"/>
  <c r="HW204" i="7"/>
  <c r="IG204" i="7"/>
  <c r="IH204" i="7" s="1"/>
  <c r="GU204" i="7"/>
  <c r="UW204" i="7"/>
  <c r="UX204" i="7" s="1"/>
  <c r="GQ205" i="7"/>
  <c r="HK205" i="7"/>
  <c r="JF205" i="7"/>
  <c r="KE205" i="7"/>
  <c r="FG206" i="7"/>
  <c r="FH206" i="7" s="1"/>
  <c r="HY206" i="7"/>
  <c r="LS206" i="7"/>
  <c r="LT206" i="7" s="1"/>
  <c r="OG206" i="7"/>
  <c r="OH206" i="7" s="1"/>
  <c r="OC187" i="7"/>
  <c r="SA211" i="7"/>
  <c r="SA232" i="7" s="1"/>
  <c r="VD211" i="7"/>
  <c r="VD232" i="7" s="1"/>
  <c r="MM232" i="7"/>
  <c r="OF200" i="7"/>
  <c r="UI203" i="7"/>
  <c r="IB204" i="7"/>
  <c r="FQ204" i="7"/>
  <c r="FQ232" i="7" s="1"/>
  <c r="HX204" i="7"/>
  <c r="GG204" i="7"/>
  <c r="HO204" i="7"/>
  <c r="OG204" i="7"/>
  <c r="OH204" i="7" s="1"/>
  <c r="IG205" i="7"/>
  <c r="IH205" i="7" s="1"/>
  <c r="IK205" i="7"/>
  <c r="IL205" i="7" s="1"/>
  <c r="RO205" i="7"/>
  <c r="VB205" i="7"/>
  <c r="IC206" i="7"/>
  <c r="ID206" i="7" s="1"/>
  <c r="FW206" i="7"/>
  <c r="LO206" i="7"/>
  <c r="LP206" i="7" s="1"/>
  <c r="JZ206" i="7"/>
  <c r="LZ206" i="7"/>
  <c r="OL206" i="7"/>
  <c r="OM206" i="7" s="1"/>
  <c r="FR206" i="7"/>
  <c r="JK206" i="7"/>
  <c r="KO206" i="7"/>
  <c r="JK207" i="7"/>
  <c r="KO207" i="7"/>
  <c r="OL207" i="7"/>
  <c r="OM207" i="7" s="1"/>
  <c r="OG208" i="7"/>
  <c r="OH208" i="7" s="1"/>
  <c r="RY208" i="7"/>
  <c r="RZ208" i="7" s="1"/>
  <c r="OG209" i="7"/>
  <c r="OH209" i="7" s="1"/>
  <c r="IW232" i="7"/>
  <c r="JI232" i="7"/>
  <c r="JM232" i="7"/>
  <c r="KC232" i="7"/>
  <c r="KG232" i="7"/>
  <c r="KW232" i="7"/>
  <c r="KW233" i="7" s="1"/>
  <c r="LV232" i="7"/>
  <c r="MH232" i="7"/>
  <c r="ML232" i="7"/>
  <c r="MP232" i="7"/>
  <c r="NB232" i="7"/>
  <c r="NJ232" i="7"/>
  <c r="NV232" i="7"/>
  <c r="QC232" i="7"/>
  <c r="QW232" i="7"/>
  <c r="TR232" i="7"/>
  <c r="UP232" i="7"/>
  <c r="JO230" i="7"/>
  <c r="JP230" i="7" s="1"/>
  <c r="LC212" i="7"/>
  <c r="HY213" i="7"/>
  <c r="OV230" i="7"/>
  <c r="OW230" i="7" s="1"/>
  <c r="PA230" i="7"/>
  <c r="PB230" i="7" s="1"/>
  <c r="RN230" i="7"/>
  <c r="SI230" i="7"/>
  <c r="UU230" i="7"/>
  <c r="VA230" i="7"/>
  <c r="UW219" i="7"/>
  <c r="OH220" i="7"/>
  <c r="OG224" i="7"/>
  <c r="OH224" i="7" s="1"/>
  <c r="HY225" i="7"/>
  <c r="LC225" i="7"/>
  <c r="LD225" i="7" s="1"/>
  <c r="LO230" i="7"/>
  <c r="RO206" i="7"/>
  <c r="RP206" i="7" s="1"/>
  <c r="RO207" i="7"/>
  <c r="RP207" i="7" s="1"/>
  <c r="HQ232" i="7"/>
  <c r="IT232" i="7"/>
  <c r="IX232" i="7"/>
  <c r="JB232" i="7"/>
  <c r="JN232" i="7"/>
  <c r="JR232" i="7"/>
  <c r="KH232" i="7"/>
  <c r="KL232" i="7"/>
  <c r="KP232" i="7"/>
  <c r="LW232" i="7"/>
  <c r="MA232" i="7"/>
  <c r="MU232" i="7"/>
  <c r="NG232" i="7"/>
  <c r="NK232" i="7"/>
  <c r="NO232" i="7"/>
  <c r="OA232" i="7"/>
  <c r="PI232" i="7"/>
  <c r="PX232" i="7"/>
  <c r="QR232" i="7"/>
  <c r="TU232" i="7"/>
  <c r="TZ232" i="7"/>
  <c r="UK232" i="7"/>
  <c r="RO213" i="7"/>
  <c r="RT230" i="7"/>
  <c r="RU230" i="7" s="1"/>
  <c r="RY213" i="7"/>
  <c r="RY230" i="7" s="1"/>
  <c r="UW218" i="7"/>
  <c r="PL230" i="7"/>
  <c r="RT220" i="7"/>
  <c r="PM220" i="7"/>
  <c r="UW223" i="7"/>
  <c r="NH230" i="7"/>
  <c r="IO206" i="7"/>
  <c r="IP206" i="7" s="1"/>
  <c r="IV207" i="7"/>
  <c r="JZ207" i="7"/>
  <c r="MO208" i="7"/>
  <c r="UW208" i="7"/>
  <c r="UX208" i="7" s="1"/>
  <c r="UW209" i="7"/>
  <c r="UX209" i="7" s="1"/>
  <c r="HR232" i="7"/>
  <c r="IY232" i="7"/>
  <c r="JC232" i="7"/>
  <c r="JG232" i="7"/>
  <c r="JS232" i="7"/>
  <c r="JW232" i="7"/>
  <c r="KM232" i="7"/>
  <c r="KU232" i="7"/>
  <c r="LX232" i="7"/>
  <c r="MB232" i="7"/>
  <c r="MF232" i="7"/>
  <c r="MV232" i="7"/>
  <c r="MZ232" i="7"/>
  <c r="NL232" i="7"/>
  <c r="NT232" i="7"/>
  <c r="PD232" i="7"/>
  <c r="SL232" i="7"/>
  <c r="UG232" i="7"/>
  <c r="UL232" i="7"/>
  <c r="OE230" i="7"/>
  <c r="VE230" i="7"/>
  <c r="VK230" i="7"/>
  <c r="VK232" i="7" s="1"/>
  <c r="UW215" i="7"/>
  <c r="RO217" i="7"/>
  <c r="LC219" i="7"/>
  <c r="RO220" i="7"/>
  <c r="UW220" i="7"/>
  <c r="QK230" i="7"/>
  <c r="QL221" i="7"/>
  <c r="GL207" i="7"/>
  <c r="GV207" i="7"/>
  <c r="HP207" i="7"/>
  <c r="LC207" i="7"/>
  <c r="LD207" i="7" s="1"/>
  <c r="HS232" i="7"/>
  <c r="IR232" i="7"/>
  <c r="JD232" i="7"/>
  <c r="JH232" i="7"/>
  <c r="JL232" i="7"/>
  <c r="JX232" i="7"/>
  <c r="KB232" i="7"/>
  <c r="KR232" i="7"/>
  <c r="KZ232" i="7"/>
  <c r="MC232" i="7"/>
  <c r="MK232" i="7"/>
  <c r="MW232" i="7"/>
  <c r="NA232" i="7"/>
  <c r="NE232" i="7"/>
  <c r="NU232" i="7"/>
  <c r="NY232" i="7"/>
  <c r="TA232" i="7"/>
  <c r="TF232" i="7"/>
  <c r="UO232" i="7"/>
  <c r="HY212" i="7"/>
  <c r="LA230" i="7"/>
  <c r="RM230" i="7"/>
  <c r="UZ230" i="7"/>
  <c r="VF230" i="7"/>
  <c r="VQ230" i="7"/>
  <c r="RO214" i="7"/>
  <c r="SD221" i="7"/>
  <c r="SE221" i="7" s="1"/>
  <c r="SZ230" i="7"/>
  <c r="UX222" i="7"/>
  <c r="HY223" i="7"/>
  <c r="LC223" i="7"/>
  <c r="LD223" i="7" s="1"/>
  <c r="HY226" i="7"/>
  <c r="LC226" i="7"/>
  <c r="OQ226" i="7"/>
  <c r="OR226" i="7" s="1"/>
  <c r="OG226" i="7"/>
  <c r="OH226" i="7" s="1"/>
  <c r="MY226" i="7"/>
  <c r="QP230" i="7"/>
  <c r="QQ230" i="7" s="1"/>
  <c r="SD227" i="7"/>
  <c r="SE227" i="7" s="1"/>
  <c r="QQ227" i="7"/>
  <c r="UW227" i="7"/>
  <c r="HY230" i="7"/>
  <c r="GL230" i="7"/>
  <c r="ON230" i="7"/>
  <c r="PN232" i="7"/>
  <c r="QH232" i="7"/>
  <c r="RB232" i="7"/>
  <c r="SQ232" i="7"/>
  <c r="TC232" i="7"/>
  <c r="TK232" i="7"/>
  <c r="TW232" i="7"/>
  <c r="UE232" i="7"/>
  <c r="UQ232" i="7"/>
  <c r="UW214" i="7"/>
  <c r="VB222" i="7"/>
  <c r="VB230" i="7" s="1"/>
  <c r="UW224" i="7"/>
  <c r="UW225" i="7"/>
  <c r="RO226" i="7"/>
  <c r="VL227" i="7"/>
  <c r="VL230" i="7" s="1"/>
  <c r="VM230" i="7" s="1"/>
  <c r="QI230" i="7"/>
  <c r="QI232" i="7" s="1"/>
  <c r="SO230" i="7"/>
  <c r="TS230" i="7"/>
  <c r="TX230" i="7"/>
  <c r="QM232" i="7"/>
  <c r="RG232" i="7"/>
  <c r="SV232" i="7"/>
  <c r="TH232" i="7"/>
  <c r="TP232" i="7"/>
  <c r="UB232" i="7"/>
  <c r="UJ232" i="7"/>
  <c r="UW213" i="7"/>
  <c r="UW230" i="7" s="1"/>
  <c r="UX230" i="7" s="1"/>
  <c r="VG213" i="7"/>
  <c r="VG230" i="7" s="1"/>
  <c r="RO215" i="7"/>
  <c r="UW217" i="7"/>
  <c r="RO218" i="7"/>
  <c r="RO219" i="7"/>
  <c r="RM221" i="7"/>
  <c r="UW221" i="7"/>
  <c r="RO223" i="7"/>
  <c r="LC224" i="7"/>
  <c r="LD224" i="7" s="1"/>
  <c r="OE224" i="7"/>
  <c r="OL226" i="7"/>
  <c r="OM226" i="7" s="1"/>
  <c r="JZ230" i="7"/>
  <c r="NF230" i="7"/>
  <c r="NF232" i="7" s="1"/>
  <c r="SX230" i="7"/>
  <c r="SX232" i="7" s="1"/>
  <c r="MY223" i="7"/>
  <c r="OG223" i="7"/>
  <c r="OH223" i="7" s="1"/>
  <c r="RO224" i="7"/>
  <c r="RO225" i="7"/>
  <c r="UW226" i="7"/>
  <c r="IO235" i="7"/>
  <c r="OL235" i="7"/>
  <c r="RO235" i="7"/>
  <c r="RT235" i="7"/>
  <c r="IK237" i="7"/>
  <c r="HY237" i="7"/>
  <c r="LS237" i="7"/>
  <c r="OL237" i="7"/>
  <c r="IG237" i="7"/>
  <c r="HY235" i="7"/>
  <c r="IC235" i="7"/>
  <c r="OV237" i="7"/>
  <c r="OG238" i="7"/>
  <c r="QP237" i="7"/>
  <c r="RY237" i="7" s="1"/>
  <c r="RY238" i="7"/>
  <c r="RJ237" i="7"/>
  <c r="SI237" i="7" s="1"/>
  <c r="SI238" i="7"/>
  <c r="RO238" i="7"/>
  <c r="VB238" i="7"/>
  <c r="UW238" i="7"/>
  <c r="PA237" i="7"/>
  <c r="QA237" i="7"/>
  <c r="QU237" i="7"/>
  <c r="SD238" i="7"/>
  <c r="TD237" i="7"/>
  <c r="TX237" i="7"/>
  <c r="VL237" i="7" s="1"/>
  <c r="HY239" i="7"/>
  <c r="RO239" i="7"/>
  <c r="UW239" i="7"/>
  <c r="JE237" i="7"/>
  <c r="LG237" i="7" s="1"/>
  <c r="RT243" i="7"/>
  <c r="RO257" i="7"/>
  <c r="RO258" i="7"/>
  <c r="RO263" i="7" s="1"/>
  <c r="SI258" i="7"/>
  <c r="SI263" i="7" s="1"/>
  <c r="RY259" i="7"/>
  <c r="RY262" i="7" s="1"/>
  <c r="VB262" i="7"/>
  <c r="RT241" i="7"/>
  <c r="OG259" i="7"/>
  <c r="OG262" i="7" s="1"/>
  <c r="SD259" i="7"/>
  <c r="SD262" i="7" s="1"/>
  <c r="UW259" i="7"/>
  <c r="UW262" i="7" s="1"/>
  <c r="RO260" i="7"/>
  <c r="UW260" i="7"/>
  <c r="ST237" i="7"/>
  <c r="UH237" i="7"/>
  <c r="VQ237" i="7" s="1"/>
  <c r="OG258" i="7"/>
  <c r="OG263" i="7" s="1"/>
  <c r="RO259" i="7"/>
  <c r="RO262" i="7" s="1"/>
  <c r="SI259" i="7"/>
  <c r="SI262" i="7" s="1"/>
  <c r="VG262" i="7"/>
  <c r="VB259" i="7"/>
  <c r="RT260" i="7"/>
  <c r="UW235" i="7"/>
  <c r="RO246" i="7"/>
  <c r="RO256" i="7"/>
  <c r="RT259" i="7"/>
  <c r="RT262" i="7" s="1"/>
  <c r="VL262" i="7"/>
  <c r="IG265" i="7"/>
  <c r="PA265" i="7"/>
  <c r="HY265" i="7"/>
  <c r="SX292" i="7"/>
  <c r="SY292" i="7" s="1"/>
  <c r="SY248" i="7" s="1"/>
  <c r="SY237" i="7" s="1"/>
  <c r="VB237" i="7" s="1"/>
  <c r="UT66" i="36"/>
  <c r="UT67" i="36" s="1"/>
  <c r="BP232" i="7" l="1"/>
  <c r="ET167" i="7"/>
  <c r="ET232" i="7" s="1"/>
  <c r="CA75" i="7"/>
  <c r="EV30" i="7"/>
  <c r="CL25" i="39"/>
  <c r="CK27" i="39"/>
  <c r="CL27" i="39" s="1"/>
  <c r="HB25" i="39"/>
  <c r="HB26" i="39"/>
  <c r="HC23" i="39"/>
  <c r="BF25" i="39"/>
  <c r="BE27" i="39"/>
  <c r="BF27" i="39" s="1"/>
  <c r="AO27" i="39"/>
  <c r="AP27" i="39" s="1"/>
  <c r="AP25" i="39"/>
  <c r="BU27" i="39"/>
  <c r="BV27" i="39" s="1"/>
  <c r="BV25" i="39"/>
  <c r="AH25" i="39"/>
  <c r="AG27" i="39"/>
  <c r="AH27" i="39" s="1"/>
  <c r="DA26" i="39"/>
  <c r="DB23" i="39"/>
  <c r="DA25" i="39"/>
  <c r="EA25" i="39"/>
  <c r="DZ27" i="39"/>
  <c r="EA27" i="39" s="1"/>
  <c r="DJ27" i="39"/>
  <c r="DK27" i="39" s="1"/>
  <c r="DK25" i="39"/>
  <c r="FX49" i="34"/>
  <c r="FW51" i="34"/>
  <c r="FX51" i="34" s="1"/>
  <c r="BU51" i="34"/>
  <c r="BV51" i="34" s="1"/>
  <c r="BV49" i="34"/>
  <c r="IZ49" i="34"/>
  <c r="IY51" i="34"/>
  <c r="IZ51" i="34" s="1"/>
  <c r="BN49" i="34"/>
  <c r="BM51" i="34"/>
  <c r="BN51" i="34" s="1"/>
  <c r="EQ49" i="34"/>
  <c r="EP51" i="34"/>
  <c r="EQ51" i="34" s="1"/>
  <c r="EY47" i="34"/>
  <c r="EX49" i="34"/>
  <c r="EX50" i="34"/>
  <c r="UR53" i="33"/>
  <c r="UR52" i="33"/>
  <c r="US50" i="33"/>
  <c r="QJ54" i="33"/>
  <c r="QK54" i="33" s="1"/>
  <c r="QK52" i="33"/>
  <c r="JU54" i="33"/>
  <c r="JV54" i="33" s="1"/>
  <c r="JV52" i="33"/>
  <c r="TT53" i="33"/>
  <c r="TT52" i="33"/>
  <c r="TU50" i="33"/>
  <c r="RD54" i="33"/>
  <c r="RE54" i="33" s="1"/>
  <c r="RE52" i="33"/>
  <c r="ABF52" i="33"/>
  <c r="ABE54" i="33"/>
  <c r="ABF54" i="33" s="1"/>
  <c r="SR54" i="33"/>
  <c r="SS54" i="33" s="1"/>
  <c r="SS52" i="33"/>
  <c r="UJ53" i="33"/>
  <c r="UJ52" i="33"/>
  <c r="UK50" i="33"/>
  <c r="WY54" i="33"/>
  <c r="WZ54" i="33" s="1"/>
  <c r="WZ52" i="33"/>
  <c r="OU54" i="33"/>
  <c r="OV54" i="33" s="1"/>
  <c r="OV52" i="33"/>
  <c r="UB53" i="33"/>
  <c r="UC50" i="33"/>
  <c r="UB52" i="33"/>
  <c r="NG54" i="33"/>
  <c r="NH54" i="33" s="1"/>
  <c r="NH52" i="33"/>
  <c r="KO54" i="33"/>
  <c r="KP54" i="33" s="1"/>
  <c r="KP52" i="33"/>
  <c r="AAG53" i="33"/>
  <c r="AAG52" i="33"/>
  <c r="AAH50" i="33"/>
  <c r="OM53" i="33"/>
  <c r="OM52" i="33"/>
  <c r="ON50" i="33"/>
  <c r="NO52" i="33"/>
  <c r="NO53" i="33"/>
  <c r="NP50" i="33"/>
  <c r="ZY53" i="33"/>
  <c r="ZZ50" i="33"/>
  <c r="ZY52" i="33"/>
  <c r="LI54" i="33"/>
  <c r="LJ54" i="33" s="1"/>
  <c r="LJ52" i="33"/>
  <c r="UZ53" i="33"/>
  <c r="UZ52" i="33"/>
  <c r="VA50" i="33"/>
  <c r="MC54" i="33"/>
  <c r="MD54" i="33" s="1"/>
  <c r="MD52" i="33"/>
  <c r="SH54" i="33"/>
  <c r="SI54" i="33" s="1"/>
  <c r="SI52" i="33"/>
  <c r="AAW52" i="33"/>
  <c r="AAW53" i="33"/>
  <c r="AAX50" i="33"/>
  <c r="XS54" i="33"/>
  <c r="XT54" i="33" s="1"/>
  <c r="XT52" i="33"/>
  <c r="OE53" i="33"/>
  <c r="OF50" i="33"/>
  <c r="OE52" i="33"/>
  <c r="ZG54" i="33"/>
  <c r="ZH54" i="33" s="1"/>
  <c r="ZH52" i="33"/>
  <c r="YM54" i="33"/>
  <c r="YN54" i="33" s="1"/>
  <c r="YN52" i="33"/>
  <c r="NW53" i="33"/>
  <c r="NW52" i="33"/>
  <c r="NX50" i="33"/>
  <c r="JA54" i="33"/>
  <c r="JB54" i="33" s="1"/>
  <c r="JB52" i="33"/>
  <c r="MW54" i="33"/>
  <c r="MX54" i="33" s="1"/>
  <c r="MX52" i="33"/>
  <c r="AAO53" i="33"/>
  <c r="AAO52" i="33"/>
  <c r="AAP50" i="33"/>
  <c r="RN54" i="33"/>
  <c r="RO54" i="33" s="1"/>
  <c r="RO52" i="33"/>
  <c r="BZ18" i="7"/>
  <c r="AJ232" i="7"/>
  <c r="FQ266" i="7"/>
  <c r="FQ261" i="7"/>
  <c r="FR232" i="7"/>
  <c r="LC211" i="7"/>
  <c r="LD169" i="7"/>
  <c r="KO167" i="7"/>
  <c r="KN232" i="7"/>
  <c r="UH167" i="7"/>
  <c r="UI167" i="7" s="1"/>
  <c r="UI127" i="7"/>
  <c r="FV261" i="7"/>
  <c r="FW232" i="7"/>
  <c r="TD167" i="7"/>
  <c r="TE167" i="7" s="1"/>
  <c r="TE127" i="7"/>
  <c r="RW167" i="7"/>
  <c r="VM127" i="7"/>
  <c r="KJ167" i="7"/>
  <c r="KI232" i="7"/>
  <c r="RM167" i="7"/>
  <c r="VE167" i="7"/>
  <c r="UU167" i="7"/>
  <c r="RM232" i="7"/>
  <c r="RM233" i="7" s="1"/>
  <c r="PW211" i="7"/>
  <c r="NX164" i="7"/>
  <c r="NW167" i="7"/>
  <c r="SP127" i="7"/>
  <c r="JA167" i="7"/>
  <c r="IZ232" i="7"/>
  <c r="RO237" i="7"/>
  <c r="UW248" i="7"/>
  <c r="UW237" i="7" s="1"/>
  <c r="OS230" i="7"/>
  <c r="OX230" i="7" s="1"/>
  <c r="RO230" i="7"/>
  <c r="RP230" i="7" s="1"/>
  <c r="LC230" i="7"/>
  <c r="LD230" i="7" s="1"/>
  <c r="HP204" i="7"/>
  <c r="IO204" i="7"/>
  <c r="IP204" i="7" s="1"/>
  <c r="IK204" i="7"/>
  <c r="IL204" i="7" s="1"/>
  <c r="GV204" i="7"/>
  <c r="OL230" i="7"/>
  <c r="OM230" i="7" s="1"/>
  <c r="JY261" i="7"/>
  <c r="JZ232" i="7"/>
  <c r="SI172" i="7"/>
  <c r="SJ172" i="7" s="1"/>
  <c r="RA172" i="7"/>
  <c r="UN211" i="7"/>
  <c r="RP169" i="7"/>
  <c r="QF211" i="7"/>
  <c r="OS232" i="7"/>
  <c r="OC211" i="7"/>
  <c r="MN232" i="7"/>
  <c r="MO211" i="7"/>
  <c r="VB173" i="7"/>
  <c r="VC173" i="7" s="1"/>
  <c r="VH169" i="7"/>
  <c r="SP211" i="7"/>
  <c r="OZ211" i="7"/>
  <c r="OZ232" i="7" s="1"/>
  <c r="OF211" i="7"/>
  <c r="OF232" i="7" s="1"/>
  <c r="OF233" i="7" s="1"/>
  <c r="HT261" i="7"/>
  <c r="HU232" i="7"/>
  <c r="UX169" i="7"/>
  <c r="TN211" i="7"/>
  <c r="QB211" i="7"/>
  <c r="NM261" i="7"/>
  <c r="NN232" i="7"/>
  <c r="LY261" i="7"/>
  <c r="LZ232" i="7"/>
  <c r="SI211" i="7"/>
  <c r="LO211" i="7"/>
  <c r="UW172" i="7"/>
  <c r="UX172" i="7" s="1"/>
  <c r="PR150" i="7"/>
  <c r="RT150" i="7"/>
  <c r="RU150" i="7" s="1"/>
  <c r="HK150" i="7"/>
  <c r="IO150" i="7"/>
  <c r="IP150" i="7" s="1"/>
  <c r="CN147" i="7"/>
  <c r="EY147" i="7"/>
  <c r="EZ147" i="7" s="1"/>
  <c r="EU147" i="7"/>
  <c r="EV147" i="7" s="1"/>
  <c r="RO150" i="7"/>
  <c r="RP150" i="7" s="1"/>
  <c r="RU131" i="7"/>
  <c r="RP112" i="7"/>
  <c r="VB147" i="7"/>
  <c r="VC147" i="7" s="1"/>
  <c r="SO164" i="7"/>
  <c r="SP164" i="7" s="1"/>
  <c r="VG164" i="7"/>
  <c r="VH164" i="7" s="1"/>
  <c r="RK119" i="7"/>
  <c r="RO119" i="7"/>
  <c r="RP119" i="7" s="1"/>
  <c r="SP115" i="7"/>
  <c r="VB115" i="7"/>
  <c r="VC115" i="7" s="1"/>
  <c r="FG147" i="7"/>
  <c r="FH147" i="7" s="1"/>
  <c r="SI141" i="7"/>
  <c r="SJ141" i="7" s="1"/>
  <c r="QK164" i="7"/>
  <c r="UX106" i="7"/>
  <c r="VO167" i="7"/>
  <c r="VO232" i="7" s="1"/>
  <c r="OO167" i="7"/>
  <c r="OJ167" i="7"/>
  <c r="OJ232" i="7" s="1"/>
  <c r="FL75" i="7"/>
  <c r="FM75" i="7" s="1"/>
  <c r="EG75" i="7"/>
  <c r="OL164" i="7"/>
  <c r="OM164" i="7" s="1"/>
  <c r="SI119" i="7"/>
  <c r="SI127" i="7" s="1"/>
  <c r="KX167" i="7"/>
  <c r="KY167" i="7" s="1"/>
  <c r="KY127" i="7"/>
  <c r="BV75" i="7"/>
  <c r="EA232" i="7"/>
  <c r="EB232" i="7" s="1"/>
  <c r="BS75" i="7"/>
  <c r="BS232" i="7" s="1"/>
  <c r="QU167" i="7"/>
  <c r="QV167" i="7" s="1"/>
  <c r="QV127" i="7"/>
  <c r="IO232" i="7"/>
  <c r="IP232" i="7" s="1"/>
  <c r="IP42" i="7"/>
  <c r="HJ232" i="7"/>
  <c r="KD167" i="7"/>
  <c r="QF127" i="7"/>
  <c r="LH42" i="7"/>
  <c r="EF232" i="7"/>
  <c r="EG232" i="7" s="1"/>
  <c r="CR232" i="7"/>
  <c r="CS232" i="7" s="1"/>
  <c r="AT232" i="7"/>
  <c r="JE167" i="7"/>
  <c r="RT127" i="7"/>
  <c r="GU232" i="7"/>
  <c r="U232" i="7"/>
  <c r="EY28" i="7"/>
  <c r="EZ28" i="7" s="1"/>
  <c r="IG37" i="7"/>
  <c r="IH37" i="7" s="1"/>
  <c r="SD127" i="7"/>
  <c r="VB248" i="7"/>
  <c r="SD230" i="7"/>
  <c r="SE230" i="7" s="1"/>
  <c r="OG230" i="7"/>
  <c r="OH230" i="7" s="1"/>
  <c r="OH200" i="7"/>
  <c r="RT186" i="7"/>
  <c r="RU186" i="7" s="1"/>
  <c r="PH186" i="7"/>
  <c r="RO185" i="7"/>
  <c r="RP185" i="7" s="1"/>
  <c r="SD172" i="7"/>
  <c r="SE172" i="7" s="1"/>
  <c r="QV172" i="7"/>
  <c r="RT172" i="7"/>
  <c r="PH172" i="7"/>
  <c r="UC211" i="7"/>
  <c r="RK211" i="7"/>
  <c r="OO232" i="7"/>
  <c r="NS211" i="7"/>
  <c r="ME211" i="7"/>
  <c r="TT173" i="7"/>
  <c r="VT173" i="7"/>
  <c r="SD173" i="7"/>
  <c r="SE173" i="7" s="1"/>
  <c r="QV173" i="7"/>
  <c r="VC169" i="7"/>
  <c r="OV211" i="7"/>
  <c r="OW169" i="7"/>
  <c r="LG211" i="7"/>
  <c r="OR195" i="7"/>
  <c r="VB175" i="7"/>
  <c r="VC175" i="7" s="1"/>
  <c r="SP175" i="7"/>
  <c r="JJ261" i="7"/>
  <c r="JK232" i="7"/>
  <c r="RO172" i="7"/>
  <c r="RP172" i="7" s="1"/>
  <c r="US211" i="7"/>
  <c r="RE211" i="7"/>
  <c r="PQ211" i="7"/>
  <c r="OQ211" i="7"/>
  <c r="OR169" i="7"/>
  <c r="VL172" i="7"/>
  <c r="FL147" i="7"/>
  <c r="FM147" i="7" s="1"/>
  <c r="EQ147" i="7"/>
  <c r="OQ150" i="7"/>
  <c r="OR150" i="7" s="1"/>
  <c r="RO141" i="7"/>
  <c r="RP141" i="7" s="1"/>
  <c r="SI164" i="7"/>
  <c r="SJ164" i="7" s="1"/>
  <c r="PA150" i="7"/>
  <c r="PB150" i="7" s="1"/>
  <c r="QF164" i="7"/>
  <c r="QG164" i="7" s="1"/>
  <c r="OV164" i="7"/>
  <c r="OW164" i="7" s="1"/>
  <c r="RO147" i="7"/>
  <c r="RP147" i="7" s="1"/>
  <c r="RY147" i="7"/>
  <c r="RZ147" i="7" s="1"/>
  <c r="QB147" i="7"/>
  <c r="VG118" i="7"/>
  <c r="VH118" i="7" s="1"/>
  <c r="TE118" i="7"/>
  <c r="SP112" i="7"/>
  <c r="VB112" i="7"/>
  <c r="VC112" i="7" s="1"/>
  <c r="CD148" i="7"/>
  <c r="QA164" i="7"/>
  <c r="VQ164" i="7"/>
  <c r="VR164" i="7" s="1"/>
  <c r="VQ118" i="7"/>
  <c r="UI118" i="7"/>
  <c r="ON167" i="7"/>
  <c r="JP107" i="7"/>
  <c r="LK107" i="7"/>
  <c r="LL107" i="7" s="1"/>
  <c r="OL102" i="7"/>
  <c r="OM102" i="7" s="1"/>
  <c r="VB80" i="7"/>
  <c r="VC80" i="7" s="1"/>
  <c r="SP80" i="7"/>
  <c r="UR167" i="7"/>
  <c r="US167" i="7" s="1"/>
  <c r="US127" i="7"/>
  <c r="LS87" i="7"/>
  <c r="LT87" i="7" s="1"/>
  <c r="RO75" i="7"/>
  <c r="RP75" i="7" s="1"/>
  <c r="RJ127" i="7"/>
  <c r="CW232" i="7"/>
  <c r="CX232" i="7" s="1"/>
  <c r="IK232" i="7"/>
  <c r="IL232" i="7" s="1"/>
  <c r="IL42" i="7"/>
  <c r="GZ261" i="7"/>
  <c r="HA232" i="7"/>
  <c r="FG232" i="7"/>
  <c r="FH232" i="7" s="1"/>
  <c r="FH42" i="7"/>
  <c r="CH26" i="7"/>
  <c r="BO26" i="7"/>
  <c r="PL167" i="7"/>
  <c r="PM167" i="7" s="1"/>
  <c r="PM127" i="7"/>
  <c r="IC50" i="7"/>
  <c r="ID50" i="7" s="1"/>
  <c r="GB50" i="7"/>
  <c r="HY50" i="7"/>
  <c r="TS167" i="7"/>
  <c r="TT167" i="7" s="1"/>
  <c r="UC167" i="7"/>
  <c r="HP261" i="7"/>
  <c r="HO266" i="7"/>
  <c r="HO267" i="7" s="1"/>
  <c r="HP267" i="7" s="1"/>
  <c r="HY37" i="7"/>
  <c r="CN35" i="7"/>
  <c r="EY35" i="7"/>
  <c r="EZ35" i="7" s="1"/>
  <c r="EU35" i="7"/>
  <c r="EV35" i="7" s="1"/>
  <c r="OG127" i="7"/>
  <c r="FC45" i="7"/>
  <c r="FD45" i="7" s="1"/>
  <c r="SD237" i="7"/>
  <c r="OQ230" i="7"/>
  <c r="OR230" i="7" s="1"/>
  <c r="FL204" i="7"/>
  <c r="FM204" i="7" s="1"/>
  <c r="EU204" i="7"/>
  <c r="EG204" i="7"/>
  <c r="VG173" i="7"/>
  <c r="VH173" i="7" s="1"/>
  <c r="TE173" i="7"/>
  <c r="RP173" i="7"/>
  <c r="IU261" i="7"/>
  <c r="IV232" i="7"/>
  <c r="RY172" i="7"/>
  <c r="PW172" i="7"/>
  <c r="TS232" i="7"/>
  <c r="TT211" i="7"/>
  <c r="QZ211" i="7"/>
  <c r="PL211" i="7"/>
  <c r="NH232" i="7"/>
  <c r="NI211" i="7"/>
  <c r="LS169" i="7"/>
  <c r="KS261" i="7"/>
  <c r="KT232" i="7"/>
  <c r="SJ175" i="7"/>
  <c r="TQ232" i="7"/>
  <c r="RY173" i="7"/>
  <c r="RZ173" i="7" s="1"/>
  <c r="PW173" i="7"/>
  <c r="ON232" i="7"/>
  <c r="ES232" i="7"/>
  <c r="RT173" i="7"/>
  <c r="RU173" i="7" s="1"/>
  <c r="PH173" i="7"/>
  <c r="UH232" i="7"/>
  <c r="UI211" i="7"/>
  <c r="QU211" i="7"/>
  <c r="PG211" i="7"/>
  <c r="NC261" i="7"/>
  <c r="ND232" i="7"/>
  <c r="MI261" i="7"/>
  <c r="MJ232" i="7"/>
  <c r="LK211" i="7"/>
  <c r="TD211" i="7"/>
  <c r="VG172" i="7"/>
  <c r="VH172" i="7" s="1"/>
  <c r="VB150" i="7"/>
  <c r="VC150" i="7" s="1"/>
  <c r="SP150" i="7"/>
  <c r="UX140" i="7"/>
  <c r="EY148" i="7"/>
  <c r="EZ148" i="7" s="1"/>
  <c r="EU148" i="7"/>
  <c r="EV148" i="7" s="1"/>
  <c r="CN148" i="7"/>
  <c r="PW150" i="7"/>
  <c r="RY150" i="7"/>
  <c r="RZ150" i="7" s="1"/>
  <c r="PV164" i="7"/>
  <c r="OG148" i="7"/>
  <c r="OH148" i="7" s="1"/>
  <c r="OC148" i="7"/>
  <c r="PA148" i="7"/>
  <c r="PB148" i="7" s="1"/>
  <c r="MS164" i="7"/>
  <c r="JU129" i="7"/>
  <c r="LK129" i="7"/>
  <c r="LL129" i="7" s="1"/>
  <c r="LC129" i="7"/>
  <c r="LD129" i="7" s="1"/>
  <c r="LO147" i="7"/>
  <c r="LP147" i="7" s="1"/>
  <c r="SY164" i="7"/>
  <c r="PQ164" i="7"/>
  <c r="PR164" i="7" s="1"/>
  <c r="LD103" i="7"/>
  <c r="VG94" i="7"/>
  <c r="VH94" i="7" s="1"/>
  <c r="UW94" i="7"/>
  <c r="UX94" i="7" s="1"/>
  <c r="TO94" i="7"/>
  <c r="UW112" i="7"/>
  <c r="UX112" i="7" s="1"/>
  <c r="KE76" i="7"/>
  <c r="LO76" i="7"/>
  <c r="LP76" i="7" s="1"/>
  <c r="UW115" i="7"/>
  <c r="UX115" i="7" s="1"/>
  <c r="MD127" i="7"/>
  <c r="UW118" i="7"/>
  <c r="UX118" i="7" s="1"/>
  <c r="LC107" i="7"/>
  <c r="LD107" i="7" s="1"/>
  <c r="UW96" i="7"/>
  <c r="UX96" i="7" s="1"/>
  <c r="UI96" i="7"/>
  <c r="OL127" i="7"/>
  <c r="OM75" i="7"/>
  <c r="VQ127" i="7"/>
  <c r="PA66" i="7"/>
  <c r="PB66" i="7" s="1"/>
  <c r="NS66" i="7"/>
  <c r="TN127" i="7"/>
  <c r="CM232" i="7"/>
  <c r="CN232" i="7" s="1"/>
  <c r="PR127" i="7"/>
  <c r="RR167" i="7"/>
  <c r="RR232" i="7" s="1"/>
  <c r="OB167" i="7"/>
  <c r="OC167" i="7" s="1"/>
  <c r="OC127" i="7"/>
  <c r="IG232" i="7"/>
  <c r="IH232" i="7" s="1"/>
  <c r="IH42" i="7"/>
  <c r="GP261" i="7"/>
  <c r="GQ232" i="7"/>
  <c r="FC232" i="7"/>
  <c r="FD232" i="7" s="1"/>
  <c r="FD42" i="7"/>
  <c r="OE167" i="7"/>
  <c r="OE232" i="7" s="1"/>
  <c r="OE233" i="7" s="1"/>
  <c r="IG53" i="7"/>
  <c r="IH53" i="7" s="1"/>
  <c r="GQ53" i="7"/>
  <c r="SZ127" i="7"/>
  <c r="GK266" i="7"/>
  <c r="GK267" i="7" s="1"/>
  <c r="GL267" i="7" s="1"/>
  <c r="GL261" i="7"/>
  <c r="BZ40" i="7"/>
  <c r="JQ230" i="7"/>
  <c r="JV230" i="7" s="1"/>
  <c r="IC204" i="7"/>
  <c r="ID204" i="7" s="1"/>
  <c r="HY204" i="7"/>
  <c r="FR204" i="7"/>
  <c r="RY187" i="7"/>
  <c r="RZ187" i="7" s="1"/>
  <c r="PW187" i="7"/>
  <c r="SD175" i="7"/>
  <c r="SE175" i="7" s="1"/>
  <c r="QV175" i="7"/>
  <c r="TB232" i="7"/>
  <c r="HY173" i="7"/>
  <c r="HY211" i="7" s="1"/>
  <c r="IC173" i="7"/>
  <c r="ID173" i="7" s="1"/>
  <c r="FW173" i="7"/>
  <c r="UU232" i="7"/>
  <c r="UU233" i="7" s="1"/>
  <c r="TJ211" i="7"/>
  <c r="RS232" i="7"/>
  <c r="QP232" i="7"/>
  <c r="QQ211" i="7"/>
  <c r="PA211" i="7"/>
  <c r="PB169" i="7"/>
  <c r="OG211" i="7"/>
  <c r="OH169" i="7"/>
  <c r="MX232" i="7"/>
  <c r="MY211" i="7"/>
  <c r="LN232" i="7"/>
  <c r="HW232" i="7"/>
  <c r="VL173" i="7"/>
  <c r="VM173" i="7" s="1"/>
  <c r="UD173" i="7"/>
  <c r="VQ211" i="7"/>
  <c r="VR169" i="7"/>
  <c r="SZ211" i="7"/>
  <c r="RW232" i="7"/>
  <c r="LR232" i="7"/>
  <c r="KX211" i="7"/>
  <c r="KY169" i="7"/>
  <c r="TY211" i="7"/>
  <c r="QK211" i="7"/>
  <c r="OY232" i="7"/>
  <c r="VE232" i="7"/>
  <c r="ST211" i="7"/>
  <c r="OL211" i="7"/>
  <c r="VB172" i="7"/>
  <c r="VC172" i="7" s="1"/>
  <c r="NX150" i="7"/>
  <c r="OG150" i="7"/>
  <c r="OH150" i="7" s="1"/>
  <c r="LG150" i="7"/>
  <c r="LH150" i="7" s="1"/>
  <c r="LC150" i="7"/>
  <c r="LD150" i="7" s="1"/>
  <c r="JA150" i="7"/>
  <c r="LS164" i="7"/>
  <c r="LT164" i="7" s="1"/>
  <c r="LT130" i="7"/>
  <c r="VL148" i="7"/>
  <c r="VM148" i="7" s="1"/>
  <c r="TY148" i="7"/>
  <c r="UW147" i="7"/>
  <c r="UX147" i="7" s="1"/>
  <c r="SD147" i="7"/>
  <c r="SE147" i="7" s="1"/>
  <c r="OQ164" i="7"/>
  <c r="OR164" i="7" s="1"/>
  <c r="AP147" i="7"/>
  <c r="AP232" i="7" s="1"/>
  <c r="CD147" i="7"/>
  <c r="RE164" i="7"/>
  <c r="ST164" i="7"/>
  <c r="OV127" i="7"/>
  <c r="OW75" i="7"/>
  <c r="OQ127" i="7"/>
  <c r="OR75" i="7"/>
  <c r="LS127" i="7"/>
  <c r="LT75" i="7"/>
  <c r="UX119" i="7"/>
  <c r="RU84" i="7"/>
  <c r="LC87" i="7"/>
  <c r="LD87" i="7" s="1"/>
  <c r="PA127" i="7"/>
  <c r="EK232" i="7"/>
  <c r="EL232" i="7" s="1"/>
  <c r="EY75" i="7"/>
  <c r="EZ75" i="7" s="1"/>
  <c r="TI127" i="7"/>
  <c r="UM167" i="7"/>
  <c r="UN167" i="7" s="1"/>
  <c r="IC232" i="7"/>
  <c r="ID232" i="7" s="1"/>
  <c r="ID42" i="7"/>
  <c r="GF261" i="7"/>
  <c r="GG232" i="7"/>
  <c r="AU232" i="7"/>
  <c r="TX167" i="7"/>
  <c r="TY167" i="7" s="1"/>
  <c r="OY167" i="7"/>
  <c r="EP232" i="7"/>
  <c r="EQ232" i="7" s="1"/>
  <c r="LG36" i="7"/>
  <c r="LH36" i="7" s="1"/>
  <c r="LC36" i="7"/>
  <c r="LD36" i="7" s="1"/>
  <c r="JA36" i="7"/>
  <c r="JO167" i="7"/>
  <c r="LO87" i="7"/>
  <c r="LP87" i="7" s="1"/>
  <c r="RY127" i="7"/>
  <c r="NR127" i="7"/>
  <c r="HE266" i="7"/>
  <c r="HE267" i="7" s="1"/>
  <c r="HF267" i="7" s="1"/>
  <c r="HF261" i="7"/>
  <c r="GA232" i="7"/>
  <c r="AF232" i="7"/>
  <c r="IC40" i="7"/>
  <c r="ID40" i="7" s="1"/>
  <c r="GB40" i="7"/>
  <c r="HY40" i="7"/>
  <c r="V29" i="7"/>
  <c r="BV29" i="7"/>
  <c r="BW29" i="7" s="1"/>
  <c r="EY40" i="7"/>
  <c r="EZ40" i="7" s="1"/>
  <c r="EY45" i="7"/>
  <c r="HY53" i="7"/>
  <c r="BV40" i="7"/>
  <c r="BW40" i="7" s="1"/>
  <c r="JT167" i="7"/>
  <c r="LG61" i="7"/>
  <c r="LH61" i="7" s="1"/>
  <c r="EU167" i="7"/>
  <c r="AH60" i="62"/>
  <c r="AH59" i="62"/>
  <c r="AH58" i="62"/>
  <c r="AL25" i="62"/>
  <c r="AL24" i="62"/>
  <c r="AL23" i="62"/>
  <c r="AL22" i="62"/>
  <c r="MF8" i="35"/>
  <c r="MG8" i="35"/>
  <c r="MH8" i="35"/>
  <c r="KZ8" i="35"/>
  <c r="LA8" i="35"/>
  <c r="LB8" i="35"/>
  <c r="SV22" i="36"/>
  <c r="SV21" i="36"/>
  <c r="EV167" i="7" l="1"/>
  <c r="DA27" i="39"/>
  <c r="DB27" i="39" s="1"/>
  <c r="DB25" i="39"/>
  <c r="HB27" i="39"/>
  <c r="HC27" i="39" s="1"/>
  <c r="HC25" i="39"/>
  <c r="EY49" i="34"/>
  <c r="EX51" i="34"/>
  <c r="EY51" i="34" s="1"/>
  <c r="AAO54" i="33"/>
  <c r="AAP54" i="33" s="1"/>
  <c r="AAP52" i="33"/>
  <c r="AAW54" i="33"/>
  <c r="AAX54" i="33" s="1"/>
  <c r="AAX52" i="33"/>
  <c r="AAG54" i="33"/>
  <c r="AAH54" i="33" s="1"/>
  <c r="AAH52" i="33"/>
  <c r="OE54" i="33"/>
  <c r="OF54" i="33" s="1"/>
  <c r="OF52" i="33"/>
  <c r="OM54" i="33"/>
  <c r="ON54" i="33" s="1"/>
  <c r="ON52" i="33"/>
  <c r="UZ54" i="33"/>
  <c r="VA54" i="33" s="1"/>
  <c r="VA52" i="33"/>
  <c r="ZY54" i="33"/>
  <c r="ZZ54" i="33" s="1"/>
  <c r="ZZ52" i="33"/>
  <c r="UB54" i="33"/>
  <c r="UC54" i="33" s="1"/>
  <c r="UC52" i="33"/>
  <c r="UJ54" i="33"/>
  <c r="UK54" i="33" s="1"/>
  <c r="UK52" i="33"/>
  <c r="UR54" i="33"/>
  <c r="US54" i="33" s="1"/>
  <c r="US52" i="33"/>
  <c r="NW54" i="33"/>
  <c r="NX54" i="33" s="1"/>
  <c r="NX52" i="33"/>
  <c r="NO54" i="33"/>
  <c r="NP54" i="33" s="1"/>
  <c r="NP52" i="33"/>
  <c r="TT54" i="33"/>
  <c r="TU54" i="33" s="1"/>
  <c r="TU52" i="33"/>
  <c r="JV232" i="7"/>
  <c r="SI167" i="7"/>
  <c r="SJ167" i="7" s="1"/>
  <c r="SJ127" i="7"/>
  <c r="NH261" i="7"/>
  <c r="NI232" i="7"/>
  <c r="TS261" i="7"/>
  <c r="TT232" i="7"/>
  <c r="IU266" i="7"/>
  <c r="IU267" i="7" s="1"/>
  <c r="IV261" i="7"/>
  <c r="QB164" i="7"/>
  <c r="QA167" i="7"/>
  <c r="OR211" i="7"/>
  <c r="UR232" i="7"/>
  <c r="RU127" i="7"/>
  <c r="KE167" i="7"/>
  <c r="KD232" i="7"/>
  <c r="PA164" i="7"/>
  <c r="PB164" i="7" s="1"/>
  <c r="LY266" i="7"/>
  <c r="LY267" i="7" s="1"/>
  <c r="LZ267" i="7" s="1"/>
  <c r="LZ261" i="7"/>
  <c r="VG211" i="7"/>
  <c r="IZ261" i="7"/>
  <c r="JA232" i="7"/>
  <c r="NX167" i="7"/>
  <c r="NW232" i="7"/>
  <c r="UW127" i="7"/>
  <c r="RF164" i="7"/>
  <c r="RE167" i="7"/>
  <c r="RF167" i="7" s="1"/>
  <c r="OL167" i="7"/>
  <c r="OM167" i="7" s="1"/>
  <c r="OM127" i="7"/>
  <c r="LK167" i="7"/>
  <c r="LL167" i="7" s="1"/>
  <c r="JP167" i="7"/>
  <c r="JO232" i="7"/>
  <c r="PA167" i="7"/>
  <c r="PB167" i="7" s="1"/>
  <c r="PB127" i="7"/>
  <c r="OM211" i="7"/>
  <c r="QL211" i="7"/>
  <c r="KX232" i="7"/>
  <c r="KY211" i="7"/>
  <c r="MX261" i="7"/>
  <c r="MY232" i="7"/>
  <c r="PB211" i="7"/>
  <c r="PQ167" i="7"/>
  <c r="PR167" i="7" s="1"/>
  <c r="MD167" i="7"/>
  <c r="ME127" i="7"/>
  <c r="SZ164" i="7"/>
  <c r="SY167" i="7"/>
  <c r="MI266" i="7"/>
  <c r="MI267" i="7" s="1"/>
  <c r="MJ267" i="7" s="1"/>
  <c r="MJ261" i="7"/>
  <c r="QU232" i="7"/>
  <c r="QV211" i="7"/>
  <c r="KS266" i="7"/>
  <c r="KS267" i="7" s="1"/>
  <c r="KT267" i="7" s="1"/>
  <c r="KT261" i="7"/>
  <c r="PL232" i="7"/>
  <c r="PM211" i="7"/>
  <c r="EV204" i="7"/>
  <c r="EU211" i="7"/>
  <c r="LO167" i="7"/>
  <c r="LP167" i="7" s="1"/>
  <c r="VT167" i="7"/>
  <c r="UD167" i="7"/>
  <c r="VM172" i="7"/>
  <c r="VL211" i="7"/>
  <c r="PQ232" i="7"/>
  <c r="PR211" i="7"/>
  <c r="OW211" i="7"/>
  <c r="RU172" i="7"/>
  <c r="RT211" i="7"/>
  <c r="JF167" i="7"/>
  <c r="JE232" i="7"/>
  <c r="HJ261" i="7"/>
  <c r="HK232" i="7"/>
  <c r="VG127" i="7"/>
  <c r="QL164" i="7"/>
  <c r="QK167" i="7"/>
  <c r="QL167" i="7" s="1"/>
  <c r="RO164" i="7"/>
  <c r="RP164" i="7" s="1"/>
  <c r="LP211" i="7"/>
  <c r="TO211" i="7"/>
  <c r="HT266" i="7"/>
  <c r="HT267" i="7" s="1"/>
  <c r="HU267" i="7" s="1"/>
  <c r="HU261" i="7"/>
  <c r="OB232" i="7"/>
  <c r="RO211" i="7"/>
  <c r="PG232" i="7"/>
  <c r="PH211" i="7"/>
  <c r="NR167" i="7"/>
  <c r="NS127" i="7"/>
  <c r="GF266" i="7"/>
  <c r="GF267" i="7" s="1"/>
  <c r="IG261" i="7"/>
  <c r="GG261" i="7"/>
  <c r="TI167" i="7"/>
  <c r="TJ127" i="7"/>
  <c r="LS167" i="7"/>
  <c r="LT167" i="7" s="1"/>
  <c r="LT127" i="7"/>
  <c r="OV167" i="7"/>
  <c r="OW167" i="7" s="1"/>
  <c r="OW127" i="7"/>
  <c r="RY164" i="7"/>
  <c r="RZ164" i="7" s="1"/>
  <c r="SU211" i="7"/>
  <c r="HZ211" i="7"/>
  <c r="GP266" i="7"/>
  <c r="GP267" i="7" s="1"/>
  <c r="GQ267" i="7" s="1"/>
  <c r="GQ261" i="7"/>
  <c r="VQ167" i="7"/>
  <c r="VR167" i="7" s="1"/>
  <c r="VR127" i="7"/>
  <c r="MT164" i="7"/>
  <c r="MS167" i="7"/>
  <c r="PW164" i="7"/>
  <c r="PV167" i="7"/>
  <c r="UW164" i="7"/>
  <c r="UX164" i="7" s="1"/>
  <c r="TD232" i="7"/>
  <c r="TE211" i="7"/>
  <c r="LS211" i="7"/>
  <c r="LT169" i="7"/>
  <c r="QZ232" i="7"/>
  <c r="RA211" i="7"/>
  <c r="RZ172" i="7"/>
  <c r="RY211" i="7"/>
  <c r="OH127" i="7"/>
  <c r="HY167" i="7"/>
  <c r="HZ167" i="7" s="1"/>
  <c r="GZ266" i="7"/>
  <c r="GZ267" i="7" s="1"/>
  <c r="HA267" i="7" s="1"/>
  <c r="HA261" i="7"/>
  <c r="RJ167" i="7"/>
  <c r="RK127" i="7"/>
  <c r="SD211" i="7"/>
  <c r="RE232" i="7"/>
  <c r="RF211" i="7"/>
  <c r="LG167" i="7"/>
  <c r="LH167" i="7" s="1"/>
  <c r="VB127" i="7"/>
  <c r="BW75" i="7"/>
  <c r="BW232" i="7" s="1"/>
  <c r="BV232" i="7"/>
  <c r="SI232" i="7"/>
  <c r="SJ211" i="7"/>
  <c r="NM264" i="7"/>
  <c r="NN264" i="7" s="1"/>
  <c r="NM266" i="7"/>
  <c r="NM267" i="7" s="1"/>
  <c r="NN267" i="7" s="1"/>
  <c r="NN261" i="7"/>
  <c r="RO127" i="7"/>
  <c r="OG164" i="7"/>
  <c r="OH164" i="7" s="1"/>
  <c r="KI261" i="7"/>
  <c r="KJ232" i="7"/>
  <c r="LD211" i="7"/>
  <c r="IC261" i="7"/>
  <c r="OQ167" i="7"/>
  <c r="OR167" i="7" s="1"/>
  <c r="OR127" i="7"/>
  <c r="JU167" i="7"/>
  <c r="JT232" i="7"/>
  <c r="EZ45" i="7"/>
  <c r="EY232" i="7"/>
  <c r="EZ232" i="7" s="1"/>
  <c r="GA261" i="7"/>
  <c r="GB232" i="7"/>
  <c r="RY167" i="7"/>
  <c r="RZ167" i="7" s="1"/>
  <c r="RZ127" i="7"/>
  <c r="SU164" i="7"/>
  <c r="ST167" i="7"/>
  <c r="SU167" i="7" s="1"/>
  <c r="TX232" i="7"/>
  <c r="VQ232" i="7"/>
  <c r="VR211" i="7"/>
  <c r="OH211" i="7"/>
  <c r="QP261" i="7"/>
  <c r="QQ232" i="7"/>
  <c r="JQ232" i="7"/>
  <c r="TN167" i="7"/>
  <c r="TO167" i="7" s="1"/>
  <c r="TO127" i="7"/>
  <c r="VB164" i="7"/>
  <c r="VC164" i="7" s="1"/>
  <c r="VL164" i="7"/>
  <c r="SD164" i="7"/>
  <c r="SE164" i="7" s="1"/>
  <c r="LK232" i="7"/>
  <c r="LL232" i="7" s="1"/>
  <c r="LL211" i="7"/>
  <c r="NC267" i="7"/>
  <c r="ND267" i="7" s="1"/>
  <c r="NC266" i="7"/>
  <c r="NC264" i="7"/>
  <c r="ND264" i="7" s="1"/>
  <c r="ND261" i="7"/>
  <c r="UH261" i="7"/>
  <c r="UI232" i="7"/>
  <c r="KA230" i="7"/>
  <c r="KA232" i="7" s="1"/>
  <c r="JJ266" i="7"/>
  <c r="JJ267" i="7" s="1"/>
  <c r="JK261" i="7"/>
  <c r="LG232" i="7"/>
  <c r="LH232" i="7" s="1"/>
  <c r="LH211" i="7"/>
  <c r="VB211" i="7"/>
  <c r="UC232" i="7"/>
  <c r="UD211" i="7"/>
  <c r="SE127" i="7"/>
  <c r="GU261" i="7"/>
  <c r="GV232" i="7"/>
  <c r="QF167" i="7"/>
  <c r="QG167" i="7" s="1"/>
  <c r="QG127" i="7"/>
  <c r="RT164" i="7"/>
  <c r="RU164" i="7" s="1"/>
  <c r="UW211" i="7"/>
  <c r="MN261" i="7"/>
  <c r="MO232" i="7"/>
  <c r="QF232" i="7"/>
  <c r="QG211" i="7"/>
  <c r="UM232" i="7"/>
  <c r="JY266" i="7"/>
  <c r="JY267" i="7" s="1"/>
  <c r="JZ261" i="7"/>
  <c r="LC167" i="7"/>
  <c r="LD167" i="7" s="1"/>
  <c r="SO167" i="7"/>
  <c r="FL232" i="7"/>
  <c r="FM232" i="7" s="1"/>
  <c r="KN261" i="7"/>
  <c r="KO232" i="7"/>
  <c r="FQ267" i="7"/>
  <c r="VC211" i="7" l="1"/>
  <c r="VM164" i="7"/>
  <c r="VL167" i="7"/>
  <c r="VM167" i="7" s="1"/>
  <c r="UM261" i="7"/>
  <c r="UN232" i="7"/>
  <c r="MN266" i="7"/>
  <c r="MO261" i="7"/>
  <c r="SD167" i="7"/>
  <c r="SE167" i="7" s="1"/>
  <c r="JK267" i="7"/>
  <c r="GB261" i="7"/>
  <c r="GA266" i="7"/>
  <c r="RK167" i="7"/>
  <c r="RJ232" i="7"/>
  <c r="HY232" i="7"/>
  <c r="IG267" i="7"/>
  <c r="IH267" i="7" s="1"/>
  <c r="GG267" i="7"/>
  <c r="PG261" i="7"/>
  <c r="PH232" i="7"/>
  <c r="LO232" i="7"/>
  <c r="LP232" i="7" s="1"/>
  <c r="VG167" i="7"/>
  <c r="VH167" i="7" s="1"/>
  <c r="VH127" i="7"/>
  <c r="OV232" i="7"/>
  <c r="KF230" i="7"/>
  <c r="PL261" i="7"/>
  <c r="PM232" i="7"/>
  <c r="QU261" i="7"/>
  <c r="QV232" i="7"/>
  <c r="JO261" i="7"/>
  <c r="JP232" i="7"/>
  <c r="NW261" i="7"/>
  <c r="NX232" i="7"/>
  <c r="VG232" i="7"/>
  <c r="VH211" i="7"/>
  <c r="KD261" i="7"/>
  <c r="KE232" i="7"/>
  <c r="UR261" i="7"/>
  <c r="US232" i="7"/>
  <c r="UX211" i="7"/>
  <c r="QP267" i="7"/>
  <c r="QQ267" i="7" s="1"/>
  <c r="QP264" i="7"/>
  <c r="QQ264" i="7" s="1"/>
  <c r="QP266" i="7"/>
  <c r="QQ261" i="7"/>
  <c r="VQ261" i="7"/>
  <c r="VR261" i="7" s="1"/>
  <c r="VR232" i="7"/>
  <c r="LC232" i="7"/>
  <c r="RO167" i="7"/>
  <c r="RP167" i="7" s="1"/>
  <c r="RP127" i="7"/>
  <c r="RE261" i="7"/>
  <c r="RF232" i="7"/>
  <c r="OG167" i="7"/>
  <c r="QZ261" i="7"/>
  <c r="RA232" i="7"/>
  <c r="TD261" i="7"/>
  <c r="TE232" i="7"/>
  <c r="MT167" i="7"/>
  <c r="MS232" i="7"/>
  <c r="TJ167" i="7"/>
  <c r="TI232" i="7"/>
  <c r="RO232" i="7"/>
  <c r="RP211" i="7"/>
  <c r="RU211" i="7"/>
  <c r="EU232" i="7"/>
  <c r="EV232" i="7" s="1"/>
  <c r="EV211" i="7"/>
  <c r="PA232" i="7"/>
  <c r="KX261" i="7"/>
  <c r="KX233" i="7"/>
  <c r="KY232" i="7"/>
  <c r="OL232" i="7"/>
  <c r="TS267" i="7"/>
  <c r="TT267" i="7" s="1"/>
  <c r="TT261" i="7"/>
  <c r="TS264" i="7"/>
  <c r="TT264" i="7" s="1"/>
  <c r="JZ267" i="7"/>
  <c r="LS261" i="7"/>
  <c r="LS266" i="7" s="1"/>
  <c r="KO261" i="7"/>
  <c r="KN266" i="7"/>
  <c r="KN267" i="7" s="1"/>
  <c r="QF261" i="7"/>
  <c r="QG232" i="7"/>
  <c r="GV261" i="7"/>
  <c r="GU266" i="7"/>
  <c r="GU267" i="7" s="1"/>
  <c r="IK261" i="7"/>
  <c r="UC261" i="7"/>
  <c r="VT232" i="7"/>
  <c r="UD232" i="7"/>
  <c r="TX261" i="7"/>
  <c r="TY232" i="7"/>
  <c r="VB167" i="7"/>
  <c r="VC167" i="7" s="1"/>
  <c r="VC127" i="7"/>
  <c r="SD232" i="7"/>
  <c r="SE211" i="7"/>
  <c r="RY232" i="7"/>
  <c r="RZ211" i="7"/>
  <c r="ST232" i="7"/>
  <c r="NS167" i="7"/>
  <c r="NR232" i="7"/>
  <c r="OB261" i="7"/>
  <c r="OC232" i="7"/>
  <c r="TN232" i="7"/>
  <c r="HJ266" i="7"/>
  <c r="HJ267" i="7" s="1"/>
  <c r="IO261" i="7"/>
  <c r="HK261" i="7"/>
  <c r="PQ261" i="7"/>
  <c r="PR232" i="7"/>
  <c r="ME167" i="7"/>
  <c r="MD232" i="7"/>
  <c r="OQ232" i="7"/>
  <c r="IV267" i="7"/>
  <c r="SP167" i="7"/>
  <c r="SO232" i="7"/>
  <c r="UH267" i="7"/>
  <c r="UI267" i="7" s="1"/>
  <c r="UH264" i="7"/>
  <c r="UI264" i="7" s="1"/>
  <c r="UI261" i="7"/>
  <c r="JT261" i="7"/>
  <c r="JU232" i="7"/>
  <c r="KI266" i="7"/>
  <c r="KI267" i="7" s="1"/>
  <c r="KJ267" i="7" s="1"/>
  <c r="KJ261" i="7"/>
  <c r="SI261" i="7"/>
  <c r="SJ232" i="7"/>
  <c r="LS232" i="7"/>
  <c r="LT232" i="7" s="1"/>
  <c r="LT211" i="7"/>
  <c r="PW167" i="7"/>
  <c r="PV232" i="7"/>
  <c r="JE261" i="7"/>
  <c r="JF232" i="7"/>
  <c r="VL232" i="7"/>
  <c r="VM211" i="7"/>
  <c r="SZ167" i="7"/>
  <c r="SY232" i="7"/>
  <c r="MX266" i="7"/>
  <c r="MY261" i="7"/>
  <c r="QK232" i="7"/>
  <c r="UW167" i="7"/>
  <c r="UX167" i="7" s="1"/>
  <c r="UX127" i="7"/>
  <c r="JA261" i="7"/>
  <c r="IZ266" i="7"/>
  <c r="IZ267" i="7" s="1"/>
  <c r="JA267" i="7" s="1"/>
  <c r="RT167" i="7"/>
  <c r="RU167" i="7" s="1"/>
  <c r="QB167" i="7"/>
  <c r="QA232" i="7"/>
  <c r="LG261" i="7"/>
  <c r="NH266" i="7"/>
  <c r="NH267" i="7"/>
  <c r="NI267" i="7" s="1"/>
  <c r="NH264" i="7"/>
  <c r="NI264" i="7" s="1"/>
  <c r="NI261" i="7"/>
  <c r="LM230" i="7"/>
  <c r="QA261" i="7" l="1"/>
  <c r="QB232" i="7"/>
  <c r="PV261" i="7"/>
  <c r="PW232" i="7"/>
  <c r="VT168" i="7"/>
  <c r="OB266" i="7"/>
  <c r="OB267" i="7"/>
  <c r="OC267" i="7" s="1"/>
  <c r="OB264" i="7"/>
  <c r="OC264" i="7" s="1"/>
  <c r="OC261" i="7"/>
  <c r="QF266" i="7"/>
  <c r="QF267" i="7" s="1"/>
  <c r="QG267" i="7" s="1"/>
  <c r="QF264" i="7"/>
  <c r="QG264" i="7" s="1"/>
  <c r="QG261" i="7"/>
  <c r="RO261" i="7"/>
  <c r="RO233" i="7"/>
  <c r="RP232" i="7"/>
  <c r="QZ266" i="7"/>
  <c r="QZ267" i="7" s="1"/>
  <c r="RA267" i="7" s="1"/>
  <c r="QZ264" i="7"/>
  <c r="RA264" i="7" s="1"/>
  <c r="RA261" i="7"/>
  <c r="PG266" i="7"/>
  <c r="PG267" i="7" s="1"/>
  <c r="PH267" i="7" s="1"/>
  <c r="PH261" i="7"/>
  <c r="PG264" i="7"/>
  <c r="RJ261" i="7"/>
  <c r="RK232" i="7"/>
  <c r="VL261" i="7"/>
  <c r="VM232" i="7"/>
  <c r="SI266" i="7"/>
  <c r="SI267" i="7" s="1"/>
  <c r="SJ267" i="7" s="1"/>
  <c r="SJ261" i="7"/>
  <c r="SI264" i="7"/>
  <c r="JU261" i="7"/>
  <c r="JT266" i="7"/>
  <c r="JT267" i="7" s="1"/>
  <c r="JU267" i="7" s="1"/>
  <c r="SO261" i="7"/>
  <c r="SP232" i="7"/>
  <c r="OQ261" i="7"/>
  <c r="OR261" i="7" s="1"/>
  <c r="OR232" i="7"/>
  <c r="IO267" i="7"/>
  <c r="IP267" i="7" s="1"/>
  <c r="HK267" i="7"/>
  <c r="NR261" i="7"/>
  <c r="NS232" i="7"/>
  <c r="RY261" i="7"/>
  <c r="RZ232" i="7"/>
  <c r="IK267" i="7"/>
  <c r="IL267" i="7" s="1"/>
  <c r="GV267" i="7"/>
  <c r="KX267" i="7"/>
  <c r="KY267" i="7" s="1"/>
  <c r="KX266" i="7"/>
  <c r="KY261" i="7"/>
  <c r="TI261" i="7"/>
  <c r="TJ232" i="7"/>
  <c r="OH167" i="7"/>
  <c r="OG232" i="7"/>
  <c r="UR267" i="7"/>
  <c r="US267" i="7" s="1"/>
  <c r="UR264" i="7"/>
  <c r="US264" i="7" s="1"/>
  <c r="US261" i="7"/>
  <c r="VG261" i="7"/>
  <c r="VH232" i="7"/>
  <c r="JO266" i="7"/>
  <c r="JO267" i="7" s="1"/>
  <c r="JP261" i="7"/>
  <c r="LK261" i="7"/>
  <c r="PL266" i="7"/>
  <c r="PL267" i="7" s="1"/>
  <c r="PM267" i="7" s="1"/>
  <c r="PL264" i="7"/>
  <c r="PM261" i="7"/>
  <c r="MN267" i="7"/>
  <c r="MO267" i="7" s="1"/>
  <c r="MX267" i="7"/>
  <c r="MY267" i="7" s="1"/>
  <c r="PA266" i="7"/>
  <c r="PA267" i="7" s="1"/>
  <c r="PB267" i="7" s="1"/>
  <c r="SY261" i="7"/>
  <c r="SZ232" i="7"/>
  <c r="MD261" i="7"/>
  <c r="ME232" i="7"/>
  <c r="PQ266" i="7"/>
  <c r="PQ267" i="7" s="1"/>
  <c r="PR267" i="7" s="1"/>
  <c r="PQ264" i="7"/>
  <c r="PR261" i="7"/>
  <c r="TN261" i="7"/>
  <c r="TO232" i="7"/>
  <c r="KO267" i="7"/>
  <c r="OL261" i="7"/>
  <c r="OM232" i="7"/>
  <c r="PA261" i="7"/>
  <c r="PB261" i="7" s="1"/>
  <c r="PB232" i="7"/>
  <c r="RT232" i="7"/>
  <c r="TD267" i="7"/>
  <c r="TE267" i="7" s="1"/>
  <c r="TE261" i="7"/>
  <c r="TD264" i="7"/>
  <c r="LC261" i="7"/>
  <c r="LC233" i="7"/>
  <c r="LD233" i="7" s="1"/>
  <c r="LD232" i="7"/>
  <c r="KF232" i="7"/>
  <c r="KK230" i="7"/>
  <c r="GA267" i="7"/>
  <c r="HY266" i="7"/>
  <c r="HY267" i="7" s="1"/>
  <c r="HZ267" i="7" s="1"/>
  <c r="LH261" i="7"/>
  <c r="LG266" i="7"/>
  <c r="QK261" i="7"/>
  <c r="QL232" i="7"/>
  <c r="JE266" i="7"/>
  <c r="JE267" i="7" s="1"/>
  <c r="JF267" i="7" s="1"/>
  <c r="JF261" i="7"/>
  <c r="ST261" i="7"/>
  <c r="SU232" i="7"/>
  <c r="SD261" i="7"/>
  <c r="SE232" i="7"/>
  <c r="TX267" i="7"/>
  <c r="TY267" i="7" s="1"/>
  <c r="TX264" i="7"/>
  <c r="TY264" i="7" s="1"/>
  <c r="TY261" i="7"/>
  <c r="UC267" i="7"/>
  <c r="UD267" i="7" s="1"/>
  <c r="UC264" i="7"/>
  <c r="UD264" i="7" s="1"/>
  <c r="UD261" i="7"/>
  <c r="MS261" i="7"/>
  <c r="MT232" i="7"/>
  <c r="RE266" i="7"/>
  <c r="RE267" i="7" s="1"/>
  <c r="RF267" i="7" s="1"/>
  <c r="RF261" i="7"/>
  <c r="RE264" i="7"/>
  <c r="RF264" i="7" s="1"/>
  <c r="UW232" i="7"/>
  <c r="KD266" i="7"/>
  <c r="KD267" i="7" s="1"/>
  <c r="KE261" i="7"/>
  <c r="LO261" i="7"/>
  <c r="LO266" i="7" s="1"/>
  <c r="NW267" i="7"/>
  <c r="NX267" i="7" s="1"/>
  <c r="NW266" i="7"/>
  <c r="NW264" i="7"/>
  <c r="NX264" i="7" s="1"/>
  <c r="NX261" i="7"/>
  <c r="QU267" i="7"/>
  <c r="QV267" i="7" s="1"/>
  <c r="QU266" i="7"/>
  <c r="QV261" i="7"/>
  <c r="QU264" i="7"/>
  <c r="QV264" i="7" s="1"/>
  <c r="OV261" i="7"/>
  <c r="OW261" i="7" s="1"/>
  <c r="OW232" i="7"/>
  <c r="HY261" i="7"/>
  <c r="HZ261" i="7" s="1"/>
  <c r="HZ232" i="7"/>
  <c r="UM267" i="7"/>
  <c r="UN267" i="7" s="1"/>
  <c r="UN261" i="7"/>
  <c r="UM266" i="7"/>
  <c r="UM264" i="7"/>
  <c r="UN264" i="7" s="1"/>
  <c r="VB232" i="7"/>
  <c r="UW261" i="7" l="1"/>
  <c r="UW233" i="7"/>
  <c r="UX232" i="7"/>
  <c r="ST266" i="7"/>
  <c r="ST267" i="7" s="1"/>
  <c r="SU267" i="7" s="1"/>
  <c r="ST264" i="7"/>
  <c r="SU261" i="7"/>
  <c r="GB267" i="7"/>
  <c r="IC267" i="7"/>
  <c r="ID267" i="7" s="1"/>
  <c r="VL266" i="7"/>
  <c r="VL264" i="7"/>
  <c r="VM264" i="7" s="1"/>
  <c r="VL267" i="7"/>
  <c r="VM267" i="7" s="1"/>
  <c r="VM261" i="7"/>
  <c r="KK232" i="7"/>
  <c r="KP230" i="7"/>
  <c r="KU230" i="7"/>
  <c r="LC266" i="7"/>
  <c r="LC267" i="7"/>
  <c r="LD267" i="7" s="1"/>
  <c r="LC264" i="7"/>
  <c r="LD261" i="7"/>
  <c r="RT261" i="7"/>
  <c r="RU232" i="7"/>
  <c r="OL266" i="7"/>
  <c r="OL267" i="7" s="1"/>
  <c r="OM267" i="7" s="1"/>
  <c r="OM261" i="7"/>
  <c r="TN267" i="7"/>
  <c r="TO267" i="7" s="1"/>
  <c r="TN264" i="7"/>
  <c r="TO264" i="7" s="1"/>
  <c r="TO261" i="7"/>
  <c r="SY267" i="7"/>
  <c r="SZ267" i="7" s="1"/>
  <c r="SY266" i="7"/>
  <c r="SY264" i="7"/>
  <c r="SZ261" i="7"/>
  <c r="TI267" i="7"/>
  <c r="TJ267" i="7" s="1"/>
  <c r="TI264" i="7"/>
  <c r="TJ261" i="7"/>
  <c r="RP261" i="7"/>
  <c r="RO266" i="7"/>
  <c r="RO267" i="7" s="1"/>
  <c r="RP267" i="7" s="1"/>
  <c r="RO264" i="7"/>
  <c r="PV267" i="7"/>
  <c r="PW267" i="7" s="1"/>
  <c r="PV264" i="7"/>
  <c r="PW261" i="7"/>
  <c r="PV266" i="7"/>
  <c r="VB261" i="7"/>
  <c r="VC232" i="7"/>
  <c r="QK266" i="7"/>
  <c r="QK267" i="7"/>
  <c r="QL267" i="7" s="1"/>
  <c r="QL261" i="7"/>
  <c r="QK264" i="7"/>
  <c r="QL264" i="7" s="1"/>
  <c r="RY266" i="7"/>
  <c r="RY267" i="7"/>
  <c r="RZ267" i="7" s="1"/>
  <c r="RY264" i="7"/>
  <c r="RZ261" i="7"/>
  <c r="MT261" i="7"/>
  <c r="MS266" i="7"/>
  <c r="SD267" i="7"/>
  <c r="SE267" i="7" s="1"/>
  <c r="SD266" i="7"/>
  <c r="SD264" i="7"/>
  <c r="SE261" i="7"/>
  <c r="LK266" i="7"/>
  <c r="LL261" i="7"/>
  <c r="VG266" i="7"/>
  <c r="VG267" i="7" s="1"/>
  <c r="VH267" i="7" s="1"/>
  <c r="VG264" i="7"/>
  <c r="VH261" i="7"/>
  <c r="OG261" i="7"/>
  <c r="OG233" i="7"/>
  <c r="OH233" i="7" s="1"/>
  <c r="OH232" i="7"/>
  <c r="NR267" i="7"/>
  <c r="NS267" i="7" s="1"/>
  <c r="NR266" i="7"/>
  <c r="NS261" i="7"/>
  <c r="NR264" i="7"/>
  <c r="NS264" i="7" s="1"/>
  <c r="RJ267" i="7"/>
  <c r="RK267" i="7" s="1"/>
  <c r="RJ264" i="7"/>
  <c r="RK264" i="7" s="1"/>
  <c r="RK261" i="7"/>
  <c r="KE267" i="7"/>
  <c r="LO267" i="7"/>
  <c r="LP267" i="7" s="1"/>
  <c r="LS267" i="7"/>
  <c r="LT267" i="7" s="1"/>
  <c r="MD266" i="7"/>
  <c r="MD267" i="7" s="1"/>
  <c r="ME267" i="7" s="1"/>
  <c r="ME261" i="7"/>
  <c r="LG267" i="7"/>
  <c r="LH267" i="7" s="1"/>
  <c r="QA266" i="7"/>
  <c r="QA267" i="7" s="1"/>
  <c r="QB267" i="7" s="1"/>
  <c r="QA264" i="7"/>
  <c r="QB261" i="7"/>
  <c r="JP267" i="7"/>
  <c r="LK267" i="7"/>
  <c r="LL267" i="7" s="1"/>
  <c r="SO266" i="7"/>
  <c r="SO267" i="7" s="1"/>
  <c r="SP267" i="7" s="1"/>
  <c r="SO264" i="7"/>
  <c r="SP261" i="7"/>
  <c r="KZ230" i="7"/>
  <c r="VB266" i="7" l="1"/>
  <c r="VB267" i="7" s="1"/>
  <c r="VC267" i="7" s="1"/>
  <c r="VB264" i="7"/>
  <c r="VC261" i="7"/>
  <c r="MS267" i="7"/>
  <c r="MT267" i="7" s="1"/>
  <c r="OV266" i="7"/>
  <c r="OV267" i="7" s="1"/>
  <c r="OW267" i="7" s="1"/>
  <c r="OQ266" i="7"/>
  <c r="OQ267" i="7" s="1"/>
  <c r="OR267" i="7" s="1"/>
  <c r="OG264" i="7"/>
  <c r="OH264" i="7" s="1"/>
  <c r="OG266" i="7"/>
  <c r="OG267" i="7" s="1"/>
  <c r="OH267" i="7" s="1"/>
  <c r="OH261" i="7"/>
  <c r="RT266" i="7"/>
  <c r="RT267" i="7" s="1"/>
  <c r="RU267" i="7" s="1"/>
  <c r="RT264" i="7"/>
  <c r="RU261" i="7"/>
  <c r="UW267" i="7"/>
  <c r="UX267" i="7" s="1"/>
  <c r="UW264" i="7"/>
  <c r="UX261" i="7"/>
  <c r="SV8" i="36" l="1"/>
  <c r="SS94" i="36"/>
  <c r="SR94" i="36"/>
  <c r="SQ94" i="36"/>
  <c r="KZ10" i="35" l="1"/>
  <c r="LA10" i="35"/>
  <c r="LB10" i="35"/>
  <c r="KZ11" i="35"/>
  <c r="LA11" i="35"/>
  <c r="LB11" i="35"/>
  <c r="LD11" i="35" s="1"/>
  <c r="LC11" i="35"/>
  <c r="KV15" i="35"/>
  <c r="KU15" i="35"/>
  <c r="KT15" i="35"/>
  <c r="KS15" i="35"/>
  <c r="KQ10" i="35"/>
  <c r="KR10" i="35"/>
  <c r="KW10" i="35"/>
  <c r="KX10" i="35"/>
  <c r="KW11" i="35"/>
  <c r="KX11" i="35"/>
  <c r="KW12" i="35"/>
  <c r="KX12" i="35"/>
  <c r="KW13" i="35"/>
  <c r="KX13" i="35"/>
  <c r="LD10" i="35" l="1"/>
  <c r="KX15" i="35"/>
  <c r="KW15" i="35"/>
  <c r="LC10" i="35"/>
  <c r="TA83" i="36"/>
  <c r="TB83" i="36"/>
  <c r="TA84" i="36"/>
  <c r="TB84" i="36"/>
  <c r="TA85" i="36"/>
  <c r="TB85" i="36"/>
  <c r="TA86" i="36"/>
  <c r="TB86" i="36"/>
  <c r="TA87" i="36"/>
  <c r="TB87" i="36"/>
  <c r="TA88" i="36"/>
  <c r="TB88" i="36"/>
  <c r="TB82" i="36"/>
  <c r="TA82" i="36"/>
  <c r="SV65" i="36"/>
  <c r="SV62" i="36"/>
  <c r="SV6" i="36"/>
  <c r="UL83" i="36"/>
  <c r="UM83" i="36"/>
  <c r="UL84" i="36"/>
  <c r="UM84" i="36"/>
  <c r="UL85" i="36"/>
  <c r="UM85" i="36"/>
  <c r="UL86" i="36"/>
  <c r="UM86" i="36"/>
  <c r="UL87" i="36"/>
  <c r="UM87" i="36"/>
  <c r="UL88" i="36"/>
  <c r="UM88" i="36"/>
  <c r="UL89" i="36"/>
  <c r="UM89" i="36"/>
  <c r="UO89" i="36"/>
  <c r="UM82" i="36"/>
  <c r="UL82" i="36"/>
  <c r="SS12" i="36"/>
  <c r="ST12" i="36" s="1"/>
  <c r="SS13" i="36"/>
  <c r="ST13" i="36" s="1"/>
  <c r="TA12" i="36"/>
  <c r="TA13" i="36"/>
  <c r="TB13" i="36"/>
  <c r="SW21" i="36"/>
  <c r="SW6" i="36"/>
  <c r="SS17" i="36"/>
  <c r="SW8" i="36"/>
  <c r="SP113" i="36"/>
  <c r="SP112" i="36"/>
  <c r="SP111" i="36"/>
  <c r="SP108" i="36"/>
  <c r="SP109" i="36"/>
  <c r="SP103" i="36"/>
  <c r="SX13" i="36" l="1"/>
  <c r="SY13" i="36" s="1"/>
  <c r="TC13" i="36"/>
  <c r="SX12" i="36"/>
  <c r="SY12" i="36" s="1"/>
  <c r="SX17" i="36"/>
  <c r="ST17" i="36"/>
  <c r="SP102" i="36"/>
  <c r="SY17" i="36" l="1"/>
  <c r="SP96" i="36" l="1"/>
  <c r="SP94" i="36" s="1"/>
  <c r="SP99" i="36"/>
  <c r="SP98" i="36"/>
  <c r="SX81" i="36"/>
  <c r="SX88" i="36"/>
  <c r="UO88" i="36" s="1"/>
  <c r="SX87" i="36"/>
  <c r="UO87" i="36" s="1"/>
  <c r="SX86" i="36"/>
  <c r="UO86" i="36" s="1"/>
  <c r="SX85" i="36"/>
  <c r="UO85" i="36" s="1"/>
  <c r="SX84" i="36"/>
  <c r="UO84" i="36" s="1"/>
  <c r="SX83" i="36"/>
  <c r="UO83" i="36" s="1"/>
  <c r="SX82" i="36"/>
  <c r="UO82" i="36" s="1"/>
  <c r="SU64" i="36"/>
  <c r="SU65" i="36"/>
  <c r="SU8" i="36"/>
  <c r="SU6" i="36"/>
  <c r="NZ90" i="36"/>
  <c r="OA90" i="36"/>
  <c r="OB90" i="36"/>
  <c r="OC90" i="36"/>
  <c r="OD90" i="36"/>
  <c r="OE90" i="36"/>
  <c r="OF90" i="36"/>
  <c r="OG90" i="36"/>
  <c r="OH90" i="36"/>
  <c r="OI90" i="36"/>
  <c r="OJ90" i="36"/>
  <c r="OK90" i="36"/>
  <c r="OL90" i="36"/>
  <c r="OM90" i="36"/>
  <c r="ON90" i="36"/>
  <c r="OO90" i="36"/>
  <c r="OP90" i="36"/>
  <c r="OQ90" i="36"/>
  <c r="OR90" i="36"/>
  <c r="OS90" i="36"/>
  <c r="OT90" i="36"/>
  <c r="OU90" i="36"/>
  <c r="OV90" i="36"/>
  <c r="OW90" i="36"/>
  <c r="OX90" i="36"/>
  <c r="OY90" i="36"/>
  <c r="OZ90" i="36"/>
  <c r="PA90" i="36"/>
  <c r="PB90" i="36"/>
  <c r="PC90" i="36"/>
  <c r="PD90" i="36"/>
  <c r="PE90" i="36"/>
  <c r="PF90" i="36"/>
  <c r="PG90" i="36"/>
  <c r="PH90" i="36"/>
  <c r="PI90" i="36"/>
  <c r="PJ90" i="36"/>
  <c r="PK90" i="36"/>
  <c r="PL90" i="36"/>
  <c r="PM90" i="36"/>
  <c r="PN90" i="36"/>
  <c r="PO90" i="36"/>
  <c r="PP90" i="36"/>
  <c r="PQ90" i="36"/>
  <c r="PR90" i="36"/>
  <c r="PS90" i="36"/>
  <c r="PT90" i="36"/>
  <c r="PU90" i="36"/>
  <c r="PV90" i="36"/>
  <c r="PW90" i="36"/>
  <c r="PX90" i="36"/>
  <c r="PY90" i="36"/>
  <c r="PZ90" i="36"/>
  <c r="QA90" i="36"/>
  <c r="QB90" i="36"/>
  <c r="QC90" i="36"/>
  <c r="QD90" i="36"/>
  <c r="QE90" i="36"/>
  <c r="QF90" i="36"/>
  <c r="QG90" i="36"/>
  <c r="QH90" i="36"/>
  <c r="QI90" i="36"/>
  <c r="QJ90" i="36"/>
  <c r="QK90" i="36"/>
  <c r="QL90" i="36"/>
  <c r="QM90" i="36"/>
  <c r="QN90" i="36"/>
  <c r="QO90" i="36"/>
  <c r="QP90" i="36"/>
  <c r="QQ90" i="36"/>
  <c r="QR90" i="36"/>
  <c r="QS90" i="36"/>
  <c r="QT90" i="36"/>
  <c r="QU90" i="36"/>
  <c r="QV90" i="36"/>
  <c r="QW90" i="36"/>
  <c r="QX90" i="36"/>
  <c r="QY90" i="36"/>
  <c r="QZ90" i="36"/>
  <c r="RA90" i="36"/>
  <c r="RB90" i="36"/>
  <c r="RC90" i="36"/>
  <c r="RD90" i="36"/>
  <c r="RE90" i="36"/>
  <c r="RF90" i="36"/>
  <c r="RG90" i="36"/>
  <c r="RH90" i="36"/>
  <c r="RI90" i="36"/>
  <c r="RJ90" i="36"/>
  <c r="RK90" i="36"/>
  <c r="RL90" i="36"/>
  <c r="RM90" i="36"/>
  <c r="RN90" i="36"/>
  <c r="RO90" i="36"/>
  <c r="RP90" i="36"/>
  <c r="RQ90" i="36"/>
  <c r="RR90" i="36"/>
  <c r="RS90" i="36"/>
  <c r="RT90" i="36"/>
  <c r="RU90" i="36"/>
  <c r="RV90" i="36"/>
  <c r="RW90" i="36"/>
  <c r="RX90" i="36"/>
  <c r="RY90" i="36"/>
  <c r="RZ90" i="36"/>
  <c r="SA90" i="36"/>
  <c r="SB90" i="36"/>
  <c r="SC90" i="36"/>
  <c r="SD90" i="36"/>
  <c r="SE90" i="36"/>
  <c r="SF90" i="36"/>
  <c r="SG90" i="36"/>
  <c r="SH90" i="36"/>
  <c r="SI90" i="36"/>
  <c r="SJ90" i="36"/>
  <c r="SK90" i="36"/>
  <c r="SL90" i="36"/>
  <c r="SM90" i="36"/>
  <c r="SN90" i="36"/>
  <c r="SO90" i="36"/>
  <c r="SP90" i="36"/>
  <c r="SQ90" i="36"/>
  <c r="SR90" i="36"/>
  <c r="SS90" i="36"/>
  <c r="ST90" i="36"/>
  <c r="SU90" i="36"/>
  <c r="SV90" i="36"/>
  <c r="SW90" i="36"/>
  <c r="SZ90" i="36"/>
  <c r="TA90" i="36"/>
  <c r="TB90" i="36"/>
  <c r="TC90" i="36"/>
  <c r="TO90" i="36"/>
  <c r="TP90" i="36"/>
  <c r="TQ90" i="36"/>
  <c r="TR90" i="36"/>
  <c r="TS90" i="36"/>
  <c r="TT90" i="36"/>
  <c r="TU90" i="36"/>
  <c r="TV90" i="36"/>
  <c r="TW90" i="36"/>
  <c r="TX90" i="36"/>
  <c r="TY90" i="36"/>
  <c r="TZ90" i="36"/>
  <c r="UA90" i="36"/>
  <c r="UB90" i="36"/>
  <c r="UC90" i="36"/>
  <c r="UD90" i="36"/>
  <c r="UE90" i="36"/>
  <c r="UF90" i="36"/>
  <c r="UG90" i="36"/>
  <c r="UH90" i="36"/>
  <c r="UI90" i="36"/>
  <c r="UJ90" i="36"/>
  <c r="UK90" i="36"/>
  <c r="UL90" i="36"/>
  <c r="UM90" i="36"/>
  <c r="UN90" i="36"/>
  <c r="UP90" i="36"/>
  <c r="NY90" i="36"/>
  <c r="UO90" i="36" l="1"/>
  <c r="SX90" i="36"/>
  <c r="SS95" i="36"/>
  <c r="SR95" i="36"/>
  <c r="SQ95" i="36"/>
  <c r="TA65" i="36" l="1"/>
  <c r="TA66" i="36"/>
  <c r="TA67" i="36"/>
  <c r="TA68" i="36"/>
  <c r="TA69" i="36"/>
  <c r="TA70" i="36"/>
  <c r="TA71" i="36"/>
  <c r="TA72" i="36"/>
  <c r="TA73" i="36"/>
  <c r="TA74" i="36"/>
  <c r="TA75" i="36"/>
  <c r="TA76" i="36"/>
  <c r="TA77" i="36"/>
  <c r="TA78" i="36"/>
  <c r="SS65" i="36"/>
  <c r="ST65" i="36" s="1"/>
  <c r="SS66" i="36"/>
  <c r="SX66" i="36" s="1"/>
  <c r="SY66" i="36" s="1"/>
  <c r="SS67" i="36"/>
  <c r="ST67" i="36" s="1"/>
  <c r="SS68" i="36"/>
  <c r="SX68" i="36" s="1"/>
  <c r="SY68" i="36" s="1"/>
  <c r="SS69" i="36"/>
  <c r="SX69" i="36" s="1"/>
  <c r="SY69" i="36" s="1"/>
  <c r="SS70" i="36"/>
  <c r="ST70" i="36" s="1"/>
  <c r="SS71" i="36"/>
  <c r="SX71" i="36" s="1"/>
  <c r="SS72" i="36"/>
  <c r="SS73" i="36"/>
  <c r="SX73" i="36" s="1"/>
  <c r="SY73" i="36" s="1"/>
  <c r="SS74" i="36"/>
  <c r="SX74" i="36" s="1"/>
  <c r="SS23" i="36"/>
  <c r="SX23" i="36" s="1"/>
  <c r="SY23" i="36" s="1"/>
  <c r="SS24" i="36"/>
  <c r="ST24" i="36" s="1"/>
  <c r="SS25" i="36"/>
  <c r="SX25" i="36" s="1"/>
  <c r="SY25" i="36" s="1"/>
  <c r="SS35" i="36"/>
  <c r="SX35" i="36" s="1"/>
  <c r="SY35" i="36" s="1"/>
  <c r="SS37" i="36"/>
  <c r="SX37" i="36" s="1"/>
  <c r="SS36" i="36"/>
  <c r="SX36" i="36" s="1"/>
  <c r="SS38" i="36"/>
  <c r="SX38" i="36" s="1"/>
  <c r="SS39" i="36"/>
  <c r="SX39" i="36" s="1"/>
  <c r="SS40" i="36"/>
  <c r="SX40" i="36" s="1"/>
  <c r="SS41" i="36"/>
  <c r="SX41" i="36" s="1"/>
  <c r="SS42" i="36"/>
  <c r="SX42" i="36" s="1"/>
  <c r="SS43" i="36"/>
  <c r="SX43" i="36" s="1"/>
  <c r="ST25" i="36" l="1"/>
  <c r="ST73" i="36"/>
  <c r="ST66" i="36"/>
  <c r="ST23" i="36"/>
  <c r="ST68" i="36"/>
  <c r="SX24" i="36"/>
  <c r="SY24" i="36" s="1"/>
  <c r="SX65" i="36"/>
  <c r="SY65" i="36" s="1"/>
  <c r="SX70" i="36"/>
  <c r="SY70" i="36" s="1"/>
  <c r="SX67" i="36"/>
  <c r="SY67" i="36" s="1"/>
  <c r="ST35" i="36"/>
  <c r="ST69" i="36"/>
  <c r="SX72" i="36"/>
  <c r="J22" i="36"/>
  <c r="AE22" i="36"/>
  <c r="AH22" i="36"/>
  <c r="FW22" i="36" s="1"/>
  <c r="AN22" i="36"/>
  <c r="AP22" i="36"/>
  <c r="AW22" i="36"/>
  <c r="AY22" i="36"/>
  <c r="AZ22" i="36"/>
  <c r="BA22" i="36"/>
  <c r="BG22" i="36"/>
  <c r="BL22" i="36"/>
  <c r="BM22" i="36" s="1"/>
  <c r="BS22" i="36"/>
  <c r="BT22" i="36" s="1"/>
  <c r="BV22" i="36"/>
  <c r="BZ22" i="36"/>
  <c r="CC22" i="36" s="1"/>
  <c r="CF22" i="36"/>
  <c r="CH22" i="36"/>
  <c r="CL22" i="36"/>
  <c r="CO22" i="36" s="1"/>
  <c r="DA22" i="36"/>
  <c r="DG22" i="36" s="1"/>
  <c r="DI22" i="36"/>
  <c r="DJ22" i="36"/>
  <c r="DO22" i="36"/>
  <c r="DS22" i="36" s="1"/>
  <c r="DQ22" i="36"/>
  <c r="DW22" i="36"/>
  <c r="EA22" i="36" s="1"/>
  <c r="DX22" i="36"/>
  <c r="EB22" i="36" s="1"/>
  <c r="EI22" i="36"/>
  <c r="EJ22" i="36" s="1"/>
  <c r="EL22" i="36"/>
  <c r="EN22" i="36"/>
  <c r="EU22" i="36"/>
  <c r="FA22" i="36" s="1"/>
  <c r="FC22" i="36"/>
  <c r="FG22" i="36" s="1"/>
  <c r="FD22" i="36"/>
  <c r="FH22" i="36" s="1"/>
  <c r="FO22" i="36"/>
  <c r="FP22" i="36" s="1"/>
  <c r="FR22" i="36"/>
  <c r="FV22" i="36"/>
  <c r="GA22" i="36" s="1"/>
  <c r="FX22" i="36"/>
  <c r="GB22" i="36" s="1"/>
  <c r="GE22" i="36"/>
  <c r="GF22" i="36"/>
  <c r="GR22" i="36"/>
  <c r="GS22" i="36" s="1"/>
  <c r="GT22" i="36"/>
  <c r="GU22" i="36"/>
  <c r="GW22" i="36"/>
  <c r="HD22" i="36"/>
  <c r="HE22" i="36" s="1"/>
  <c r="HF22" i="36"/>
  <c r="HG22" i="36"/>
  <c r="HP22" i="36"/>
  <c r="HQ22" i="36" s="1"/>
  <c r="HR22" i="36"/>
  <c r="HY22" i="36"/>
  <c r="IN22" i="36"/>
  <c r="IO22" i="36" s="1"/>
  <c r="IP22" i="36"/>
  <c r="IQ22" i="36"/>
  <c r="IU22" i="36"/>
  <c r="IV22" i="36"/>
  <c r="IW22" i="36"/>
  <c r="JB22" i="36"/>
  <c r="JC22" i="36"/>
  <c r="JF22" i="36"/>
  <c r="JG22" i="36"/>
  <c r="JH22" i="36"/>
  <c r="JL22" i="36"/>
  <c r="JM22" i="36"/>
  <c r="JU22" i="36"/>
  <c r="JV22" i="36"/>
  <c r="JW22" i="36"/>
  <c r="KA22" i="36"/>
  <c r="KB22" i="36"/>
  <c r="KF22" i="36"/>
  <c r="KG22" i="36"/>
  <c r="KH22" i="36"/>
  <c r="KR22" i="36"/>
  <c r="KU22" i="36" s="1"/>
  <c r="LF22" i="36"/>
  <c r="LI22" i="36" s="1"/>
  <c r="LP22" i="36"/>
  <c r="LR22" i="36"/>
  <c r="MA22" i="36"/>
  <c r="MB22" i="36" s="1"/>
  <c r="ML22" i="36"/>
  <c r="MM22" i="36" s="1"/>
  <c r="MN22" i="36"/>
  <c r="MT22" i="36"/>
  <c r="MW22" i="36"/>
  <c r="MZ22" i="36" s="1"/>
  <c r="NG22" i="36"/>
  <c r="NH22" i="36" s="1"/>
  <c r="NR22" i="36"/>
  <c r="NW22" i="36" s="1"/>
  <c r="NX22" i="36" s="1"/>
  <c r="OC22" i="36"/>
  <c r="OD22" i="36" s="1"/>
  <c r="OU22" i="36"/>
  <c r="OV22" i="36" s="1"/>
  <c r="OW22" i="36"/>
  <c r="OX22" i="36"/>
  <c r="PF22" i="36"/>
  <c r="PG22" i="36" s="1"/>
  <c r="PH22" i="36"/>
  <c r="PQ22" i="36"/>
  <c r="PS22" i="36"/>
  <c r="PY22" i="36"/>
  <c r="QF22" i="36"/>
  <c r="QG22" i="36" s="1"/>
  <c r="QQ22" i="36"/>
  <c r="QR22" i="36" s="1"/>
  <c r="QS22" i="36"/>
  <c r="QY22" i="36"/>
  <c r="RB22" i="36" s="1"/>
  <c r="RD22" i="36"/>
  <c r="RJ22" i="36"/>
  <c r="RM22" i="36"/>
  <c r="RP22" i="36" s="1"/>
  <c r="RT22" i="36"/>
  <c r="RU22" i="36"/>
  <c r="JY22" i="36" l="1"/>
  <c r="JZ22" i="36" s="1"/>
  <c r="IY22" i="36"/>
  <c r="IZ22" i="36" s="1"/>
  <c r="RW22" i="36"/>
  <c r="SB22" i="36" s="1"/>
  <c r="SC22" i="36" s="1"/>
  <c r="IE22" i="36"/>
  <c r="GG22" i="36"/>
  <c r="GH22" i="36" s="1"/>
  <c r="PV22" i="36"/>
  <c r="PW22" i="36" s="1"/>
  <c r="NS22" i="36"/>
  <c r="KJ22" i="36"/>
  <c r="KK22" i="36" s="1"/>
  <c r="EV22" i="36"/>
  <c r="CU22" i="36"/>
  <c r="CV22" i="36" s="1"/>
  <c r="CP22" i="36"/>
  <c r="LU22" i="36"/>
  <c r="LV22" i="36" s="1"/>
  <c r="RN22" i="36"/>
  <c r="RQ22" i="36" s="1"/>
  <c r="PR22" i="36"/>
  <c r="OH22" i="36"/>
  <c r="OI22" i="36" s="1"/>
  <c r="JR22" i="36"/>
  <c r="AK22" i="36"/>
  <c r="AL22" i="36" s="1"/>
  <c r="CD22" i="36"/>
  <c r="CI22" i="36"/>
  <c r="CJ22" i="36" s="1"/>
  <c r="RK22" i="36"/>
  <c r="RL22" i="36" s="1"/>
  <c r="RC22" i="36"/>
  <c r="QV22" i="36"/>
  <c r="QW22" i="36" s="1"/>
  <c r="OZ22" i="36"/>
  <c r="PA22" i="36" s="1"/>
  <c r="IS22" i="36"/>
  <c r="IT22" i="36" s="1"/>
  <c r="HJ22" i="36"/>
  <c r="HK22" i="36" s="1"/>
  <c r="EO22" i="36"/>
  <c r="EP22" i="36" s="1"/>
  <c r="GK22" i="36"/>
  <c r="QK22" i="36"/>
  <c r="QL22" i="36" s="1"/>
  <c r="NL22" i="36"/>
  <c r="NM22" i="36" s="1"/>
  <c r="GX22" i="36"/>
  <c r="GY22" i="36" s="1"/>
  <c r="FT22" i="36"/>
  <c r="GI22" i="36" s="1"/>
  <c r="DY22" i="36"/>
  <c r="EC22" i="36" s="1"/>
  <c r="GJ22" i="36"/>
  <c r="LQ22" i="36"/>
  <c r="JJ22" i="36"/>
  <c r="JK22" i="36" s="1"/>
  <c r="HZ22" i="36"/>
  <c r="DB22" i="36"/>
  <c r="BB22" i="36"/>
  <c r="KO22" i="36"/>
  <c r="KP22" i="36" s="1"/>
  <c r="DH22" i="36"/>
  <c r="KZ22" i="36"/>
  <c r="LA22" i="36" s="1"/>
  <c r="KV22" i="36"/>
  <c r="LD22" i="36"/>
  <c r="FB22" i="36"/>
  <c r="BW22" i="36"/>
  <c r="BX22" i="36" s="1"/>
  <c r="KD22" i="36"/>
  <c r="KE22" i="36" s="1"/>
  <c r="PZ22" i="36"/>
  <c r="QA22" i="36" s="1"/>
  <c r="PK22" i="36"/>
  <c r="PL22" i="36" s="1"/>
  <c r="MQ22" i="36"/>
  <c r="MR22" i="36" s="1"/>
  <c r="RG22" i="36"/>
  <c r="RH22" i="36" s="1"/>
  <c r="OK22" i="36"/>
  <c r="MU22" i="36"/>
  <c r="MF22" i="36"/>
  <c r="MG22" i="36" s="1"/>
  <c r="LC22" i="36"/>
  <c r="HV22" i="36"/>
  <c r="DP22" i="36"/>
  <c r="DT22" i="36" s="1"/>
  <c r="DK22" i="36"/>
  <c r="OL22" i="36" l="1"/>
  <c r="JS22" i="36"/>
  <c r="JT22" i="36" s="1"/>
  <c r="RX22" i="36"/>
  <c r="DZ22" i="36"/>
  <c r="ED22" i="36" s="1"/>
  <c r="JD22" i="36"/>
  <c r="JE22" i="36" s="1"/>
  <c r="AQ22" i="36"/>
  <c r="AR22" i="36" s="1"/>
  <c r="FU22" i="36"/>
  <c r="JO22" i="36"/>
  <c r="JP22" i="36" s="1"/>
  <c r="DM22" i="36"/>
  <c r="DN22" i="36" s="1"/>
  <c r="DU22" i="36"/>
  <c r="DR22" i="36"/>
  <c r="FE22" i="36"/>
  <c r="FI22" i="36" s="1"/>
  <c r="FY22" i="36"/>
  <c r="GC22" i="36" s="1"/>
  <c r="GL22" i="36"/>
  <c r="DL22" i="36"/>
  <c r="MY22" i="36"/>
  <c r="NB22" i="36" s="1"/>
  <c r="MV22" i="36"/>
  <c r="IF22" i="36"/>
  <c r="IG22" i="36" s="1"/>
  <c r="IB22" i="36"/>
  <c r="HW22" i="36"/>
  <c r="OM22" i="36"/>
  <c r="LE22" i="36"/>
  <c r="LH22" i="36"/>
  <c r="LK22" i="36" s="1"/>
  <c r="RO22" i="36"/>
  <c r="RR22" i="36" s="1"/>
  <c r="MX22" i="36"/>
  <c r="NA22" i="36" s="1"/>
  <c r="LG22" i="36"/>
  <c r="LJ22" i="36" s="1"/>
  <c r="FF22" i="36"/>
  <c r="FJ22" i="36" s="1"/>
  <c r="FZ22" i="36" l="1"/>
  <c r="GD22" i="36" s="1"/>
  <c r="DV22" i="36"/>
  <c r="ON22" i="36"/>
  <c r="GM22" i="36"/>
  <c r="SK8" i="36"/>
  <c r="AS62" i="62" l="1"/>
  <c r="AS63" i="62"/>
  <c r="AG59" i="62" l="1"/>
  <c r="AU63" i="62" l="1"/>
  <c r="AU62" i="62"/>
  <c r="KH5" i="35"/>
  <c r="KP15" i="35"/>
  <c r="KO15" i="35"/>
  <c r="KN15" i="35"/>
  <c r="KM15" i="35"/>
  <c r="KQ15" i="35" l="1"/>
  <c r="KR15" i="35"/>
  <c r="QD58" i="36"/>
  <c r="RT29" i="36" l="1"/>
  <c r="RT28" i="36"/>
  <c r="RT27" i="36"/>
  <c r="RT26" i="36"/>
  <c r="RT24" i="36"/>
  <c r="RS24" i="36"/>
  <c r="RT23" i="36"/>
  <c r="RT21" i="36"/>
  <c r="SA60" i="36"/>
  <c r="SK65" i="36"/>
  <c r="SK60" i="36"/>
  <c r="SK62" i="36"/>
  <c r="SE60" i="36"/>
  <c r="SE29" i="36"/>
  <c r="SF28" i="36"/>
  <c r="SE28" i="36"/>
  <c r="SE27" i="36"/>
  <c r="SE26" i="36"/>
  <c r="SD26" i="36"/>
  <c r="SE24" i="36"/>
  <c r="SD24" i="36"/>
  <c r="SE23" i="36"/>
  <c r="SG22" i="36"/>
  <c r="SE22" i="36"/>
  <c r="SE21" i="36"/>
  <c r="AQ16" i="62" l="1"/>
  <c r="AM30" i="62" l="1"/>
  <c r="AM18" i="62"/>
  <c r="AM12" i="62"/>
  <c r="AM6" i="62"/>
  <c r="UL12" i="36" l="1"/>
  <c r="UL35" i="36"/>
  <c r="UL37" i="36"/>
  <c r="UL36" i="36"/>
  <c r="UL38" i="36"/>
  <c r="UL39" i="36"/>
  <c r="UL40" i="36"/>
  <c r="SL8" i="36"/>
  <c r="UL73" i="36"/>
  <c r="UL74" i="36"/>
  <c r="UL75" i="36"/>
  <c r="UL76" i="36"/>
  <c r="UL77" i="36"/>
  <c r="UL78" i="36"/>
  <c r="SH71" i="36"/>
  <c r="SH72" i="36"/>
  <c r="SH73" i="36"/>
  <c r="SH74" i="36"/>
  <c r="RW73" i="36"/>
  <c r="SB73" i="36" s="1"/>
  <c r="SC73" i="36" s="1"/>
  <c r="RW74" i="36"/>
  <c r="RW75" i="36"/>
  <c r="RB72" i="36"/>
  <c r="RG72" i="36" s="1"/>
  <c r="RB73" i="36"/>
  <c r="RG73" i="36" s="1"/>
  <c r="RH73" i="36" s="1"/>
  <c r="QQ72" i="36"/>
  <c r="QV72" i="36" s="1"/>
  <c r="QQ73" i="36"/>
  <c r="QQ74" i="36"/>
  <c r="QV74" i="36" s="1"/>
  <c r="QO17" i="36"/>
  <c r="QN17" i="36"/>
  <c r="RU17" i="36"/>
  <c r="RT17" i="36"/>
  <c r="SJ17" i="36"/>
  <c r="SK6" i="36"/>
  <c r="SF17" i="36"/>
  <c r="TA17" i="36" s="1"/>
  <c r="SE17" i="36"/>
  <c r="SH17" i="36" l="1"/>
  <c r="QQ17" i="36"/>
  <c r="QV17" i="36" s="1"/>
  <c r="QW17" i="36" s="1"/>
  <c r="SM74" i="36"/>
  <c r="TB74" i="36"/>
  <c r="SI73" i="36"/>
  <c r="TB73" i="36"/>
  <c r="SI17" i="36"/>
  <c r="SM73" i="36"/>
  <c r="SN73" i="36" s="1"/>
  <c r="UM73" i="36"/>
  <c r="UN73" i="36" s="1"/>
  <c r="SM17" i="36"/>
  <c r="SN17" i="36" s="1"/>
  <c r="RX73" i="36"/>
  <c r="QV73" i="36"/>
  <c r="SL60" i="36"/>
  <c r="SK21" i="36"/>
  <c r="SJ21" i="36"/>
  <c r="SJ65" i="36"/>
  <c r="SL21" i="36"/>
  <c r="SL6" i="36"/>
  <c r="SJ6" i="36"/>
  <c r="TC73" i="36" l="1"/>
  <c r="UO73" i="36"/>
  <c r="UP73" i="36" s="1"/>
  <c r="QW73" i="36"/>
  <c r="SE65" i="36"/>
  <c r="SE64" i="36"/>
  <c r="SE63" i="36"/>
  <c r="SG60" i="36"/>
  <c r="PQ35" i="36"/>
  <c r="PR35" i="36" s="1"/>
  <c r="QF35" i="36"/>
  <c r="QG35" i="36" s="1"/>
  <c r="QQ35" i="36"/>
  <c r="QR35" i="36" s="1"/>
  <c r="RB35" i="36"/>
  <c r="RC35" i="36" s="1"/>
  <c r="RW35" i="36"/>
  <c r="RX35" i="36" s="1"/>
  <c r="RW37" i="36"/>
  <c r="SH35" i="36"/>
  <c r="SH37" i="36"/>
  <c r="SM37" i="36" s="1"/>
  <c r="SH12" i="36"/>
  <c r="SE113" i="36"/>
  <c r="SE112" i="36"/>
  <c r="SE111" i="36"/>
  <c r="SE104" i="36"/>
  <c r="SE108" i="36"/>
  <c r="SE105" i="36"/>
  <c r="UM12" i="36" l="1"/>
  <c r="UN12" i="36" s="1"/>
  <c r="TB12" i="36"/>
  <c r="TC12" i="36" s="1"/>
  <c r="RG35" i="36"/>
  <c r="RH35" i="36" s="1"/>
  <c r="SI35" i="36"/>
  <c r="UM35" i="36"/>
  <c r="UN35" i="36" s="1"/>
  <c r="SM35" i="36"/>
  <c r="QK35" i="36"/>
  <c r="QL35" i="36" s="1"/>
  <c r="SI12" i="36"/>
  <c r="SM12" i="36"/>
  <c r="PV35" i="36"/>
  <c r="PW35" i="36" s="1"/>
  <c r="QV35" i="36"/>
  <c r="QW35" i="36" s="1"/>
  <c r="SN12" i="36" l="1"/>
  <c r="UO12" i="36"/>
  <c r="UP12" i="36" s="1"/>
  <c r="SN35" i="36"/>
  <c r="UO35" i="36"/>
  <c r="UP35" i="36" s="1"/>
  <c r="SE102" i="36" l="1"/>
  <c r="SE96" i="36" s="1"/>
  <c r="SE94" i="36" s="1"/>
  <c r="SF95" i="36" s="1"/>
  <c r="SE99" i="36"/>
  <c r="SE98" i="36" s="1"/>
  <c r="SI99" i="36" l="1"/>
  <c r="SI98" i="36" s="1"/>
  <c r="SG95" i="36"/>
  <c r="SH95" i="36"/>
  <c r="SH21" i="36"/>
  <c r="SI21" i="36" s="1"/>
  <c r="SH22" i="36"/>
  <c r="SI22" i="36" s="1"/>
  <c r="SH23" i="36"/>
  <c r="SI23" i="36" s="1"/>
  <c r="SH24" i="36"/>
  <c r="SI24" i="36" s="1"/>
  <c r="SH25" i="36"/>
  <c r="SI25" i="36" s="1"/>
  <c r="SH26" i="36"/>
  <c r="SM26" i="36" s="1"/>
  <c r="SN26" i="36" s="1"/>
  <c r="SH36" i="36"/>
  <c r="SM36" i="36" s="1"/>
  <c r="SH38" i="36"/>
  <c r="SM38" i="36" s="1"/>
  <c r="SH39" i="36"/>
  <c r="SM39" i="36" s="1"/>
  <c r="SH40" i="36"/>
  <c r="SM40" i="36" s="1"/>
  <c r="SH41" i="36"/>
  <c r="SM41" i="36" s="1"/>
  <c r="SH42" i="36"/>
  <c r="SM42" i="36" s="1"/>
  <c r="SH43" i="36"/>
  <c r="SM43" i="36" s="1"/>
  <c r="SH44" i="36"/>
  <c r="SM44" i="36" s="1"/>
  <c r="SN44" i="36" s="1"/>
  <c r="SH45" i="36"/>
  <c r="SI45" i="36" s="1"/>
  <c r="SH46" i="36"/>
  <c r="SM46" i="36" s="1"/>
  <c r="SN46" i="36" s="1"/>
  <c r="SH47" i="36"/>
  <c r="SI47" i="36" s="1"/>
  <c r="SH48" i="36"/>
  <c r="SM48" i="36" s="1"/>
  <c r="SN48" i="36" s="1"/>
  <c r="SH49" i="36"/>
  <c r="SI49" i="36" s="1"/>
  <c r="SH50" i="36"/>
  <c r="SM50" i="36" s="1"/>
  <c r="SN50" i="36" s="1"/>
  <c r="SH51" i="36"/>
  <c r="SI51" i="36" s="1"/>
  <c r="SH52" i="36"/>
  <c r="SM52" i="36" s="1"/>
  <c r="SN52" i="36" s="1"/>
  <c r="SH53" i="36"/>
  <c r="SI53" i="36" s="1"/>
  <c r="SH54" i="36"/>
  <c r="SI54" i="36" s="1"/>
  <c r="SH55" i="36"/>
  <c r="SI55" i="36" s="1"/>
  <c r="SH56" i="36"/>
  <c r="SM56" i="36" s="1"/>
  <c r="SN56" i="36" s="1"/>
  <c r="SH64" i="36"/>
  <c r="SI64" i="36" s="1"/>
  <c r="SH65" i="36"/>
  <c r="SH66" i="36"/>
  <c r="SH67" i="36"/>
  <c r="SH68" i="36"/>
  <c r="SH69" i="36"/>
  <c r="SH70" i="36"/>
  <c r="SM71" i="36"/>
  <c r="SM72" i="36"/>
  <c r="SM69" i="36" l="1"/>
  <c r="SN69" i="36" s="1"/>
  <c r="SI65" i="36"/>
  <c r="SI66" i="36"/>
  <c r="SI68" i="36"/>
  <c r="SI70" i="36"/>
  <c r="SM67" i="36"/>
  <c r="SN67" i="36" s="1"/>
  <c r="SI56" i="36"/>
  <c r="SI69" i="36"/>
  <c r="SI52" i="36"/>
  <c r="SM45" i="36"/>
  <c r="SN45" i="36" s="1"/>
  <c r="SI48" i="36"/>
  <c r="SM68" i="36"/>
  <c r="SN68" i="36" s="1"/>
  <c r="SI50" i="36"/>
  <c r="SM66" i="36"/>
  <c r="SN66" i="36" s="1"/>
  <c r="SM54" i="36"/>
  <c r="SN54" i="36" s="1"/>
  <c r="SM51" i="36"/>
  <c r="SN51" i="36" s="1"/>
  <c r="SM47" i="36"/>
  <c r="SN47" i="36" s="1"/>
  <c r="SI44" i="36"/>
  <c r="SM53" i="36"/>
  <c r="SN53" i="36" s="1"/>
  <c r="SI67" i="36"/>
  <c r="SI46" i="36"/>
  <c r="SM55" i="36"/>
  <c r="SN55" i="36" s="1"/>
  <c r="SM49" i="36"/>
  <c r="SN49" i="36" s="1"/>
  <c r="SM65" i="36"/>
  <c r="SN65" i="36" s="1"/>
  <c r="SM70" i="36"/>
  <c r="SN70" i="36" s="1"/>
  <c r="SI26" i="36"/>
  <c r="SM25" i="36"/>
  <c r="SN25" i="36" s="1"/>
  <c r="SM22" i="36"/>
  <c r="SN22" i="36" s="1"/>
  <c r="SM24" i="36"/>
  <c r="SN24" i="36" s="1"/>
  <c r="SM21" i="36"/>
  <c r="SN21" i="36" s="1"/>
  <c r="SM23" i="36"/>
  <c r="SN23" i="36" s="1"/>
  <c r="AG44" i="62" l="1"/>
  <c r="AG58" i="62"/>
  <c r="AT63" i="62" l="1"/>
  <c r="AT62" i="62"/>
  <c r="RZ62" i="36" l="1"/>
  <c r="RZ60" i="36"/>
  <c r="RZ6" i="36"/>
  <c r="RZ21" i="36"/>
  <c r="AE60" i="62" l="1"/>
  <c r="AD60" i="62"/>
  <c r="AF59" i="62"/>
  <c r="AE59" i="62"/>
  <c r="AD59" i="62"/>
  <c r="AE58" i="62"/>
  <c r="AD58" i="62"/>
  <c r="AF58" i="62"/>
  <c r="KG15" i="35"/>
  <c r="KI6" i="35"/>
  <c r="KI5" i="35"/>
  <c r="KH15" i="35"/>
  <c r="KL12" i="35"/>
  <c r="KK12" i="35"/>
  <c r="KK10" i="35"/>
  <c r="KL10" i="35"/>
  <c r="SA6" i="36"/>
  <c r="SA21" i="36"/>
  <c r="KI15" i="35" l="1"/>
  <c r="KK15" i="35"/>
  <c r="UL41" i="36" l="1"/>
  <c r="UL42" i="36"/>
  <c r="UL43" i="36"/>
  <c r="RT105" i="36"/>
  <c r="RT113" i="36" l="1"/>
  <c r="RT111" i="36"/>
  <c r="RT104" i="36"/>
  <c r="RT109" i="36"/>
  <c r="RT108" i="36"/>
  <c r="RT99" i="36"/>
  <c r="RX99" i="36" s="1"/>
  <c r="RX98" i="36" s="1"/>
  <c r="IE71" i="36"/>
  <c r="IF71" i="36"/>
  <c r="JY71" i="36"/>
  <c r="KD71" i="36" s="1"/>
  <c r="KE71" i="36" s="1"/>
  <c r="KJ71" i="36"/>
  <c r="KO71" i="36" s="1"/>
  <c r="KP71" i="36" s="1"/>
  <c r="KU71" i="36"/>
  <c r="KZ71" i="36" s="1"/>
  <c r="LA71" i="36" s="1"/>
  <c r="LC71" i="36"/>
  <c r="LG71" i="36" s="1"/>
  <c r="LF71" i="36"/>
  <c r="LP71" i="36"/>
  <c r="LQ71" i="36" s="1"/>
  <c r="LS71" i="36"/>
  <c r="MA71" i="36"/>
  <c r="MD71" i="36"/>
  <c r="ML71" i="36"/>
  <c r="MN71" i="36"/>
  <c r="MT71" i="36"/>
  <c r="MW71" i="36"/>
  <c r="MZ71" i="36" s="1"/>
  <c r="NG71" i="36"/>
  <c r="NH71" i="36" s="1"/>
  <c r="NR71" i="36"/>
  <c r="NS71" i="36" s="1"/>
  <c r="OC71" i="36"/>
  <c r="OD71" i="36" s="1"/>
  <c r="OK71" i="36"/>
  <c r="OU71" i="36"/>
  <c r="OV71" i="36" s="1"/>
  <c r="PF71" i="36"/>
  <c r="PK71" i="36" s="1"/>
  <c r="PL71" i="36" s="1"/>
  <c r="PQ71" i="36"/>
  <c r="PR71" i="36" s="1"/>
  <c r="PY71" i="36"/>
  <c r="QF71" i="36"/>
  <c r="QG71" i="36" s="1"/>
  <c r="QQ71" i="36"/>
  <c r="QR71" i="36" s="1"/>
  <c r="RB71" i="36"/>
  <c r="RG71" i="36" s="1"/>
  <c r="RJ71" i="36"/>
  <c r="RM71" i="36"/>
  <c r="RW71" i="36"/>
  <c r="TS71" i="36"/>
  <c r="TX71" i="36" s="1"/>
  <c r="TY71" i="36" s="1"/>
  <c r="UD71" i="36"/>
  <c r="UI71" i="36" s="1"/>
  <c r="UJ71" i="36" s="1"/>
  <c r="UL71" i="36"/>
  <c r="RZ65" i="36"/>
  <c r="RW29" i="36"/>
  <c r="RX29" i="36" s="1"/>
  <c r="RW28" i="36"/>
  <c r="RX28" i="36" s="1"/>
  <c r="RW27" i="36"/>
  <c r="RX27" i="36" s="1"/>
  <c r="RW26" i="36"/>
  <c r="RX26" i="36" s="1"/>
  <c r="RW24" i="36"/>
  <c r="RX24" i="36" s="1"/>
  <c r="RW23" i="36"/>
  <c r="RX23" i="36" s="1"/>
  <c r="RY21" i="36"/>
  <c r="RY58" i="36" s="1"/>
  <c r="RY8" i="36"/>
  <c r="SA8" i="36"/>
  <c r="RY6" i="36"/>
  <c r="UL17" i="36"/>
  <c r="RB17" i="36"/>
  <c r="RC17" i="36" s="1"/>
  <c r="RT70" i="36"/>
  <c r="RW70" i="36" s="1"/>
  <c r="RW72" i="36"/>
  <c r="RW67" i="36"/>
  <c r="RW65" i="36"/>
  <c r="RW66" i="36"/>
  <c r="RW17" i="36"/>
  <c r="RX17" i="36" l="1"/>
  <c r="TB17" i="36"/>
  <c r="RX66" i="36"/>
  <c r="TB66" i="36"/>
  <c r="RX70" i="36"/>
  <c r="TB70" i="36"/>
  <c r="RX67" i="36"/>
  <c r="TB67" i="36"/>
  <c r="RX65" i="36"/>
  <c r="TB65" i="36"/>
  <c r="SB71" i="36"/>
  <c r="TB71" i="36"/>
  <c r="SB72" i="36"/>
  <c r="TB72" i="36"/>
  <c r="RT98" i="36"/>
  <c r="RW98" i="36" s="1"/>
  <c r="PG71" i="36"/>
  <c r="KV71" i="36"/>
  <c r="MF71" i="36"/>
  <c r="MG71" i="36" s="1"/>
  <c r="JZ71" i="36"/>
  <c r="LU71" i="36"/>
  <c r="LV71" i="36" s="1"/>
  <c r="RT102" i="36"/>
  <c r="RT96" i="36" s="1"/>
  <c r="RT94" i="36" s="1"/>
  <c r="RW94" i="36" s="1"/>
  <c r="RW95" i="36" s="1"/>
  <c r="RV98" i="36"/>
  <c r="PV71" i="36"/>
  <c r="PW71" i="36" s="1"/>
  <c r="MU71" i="36"/>
  <c r="MV71" i="36" s="1"/>
  <c r="RN71" i="36"/>
  <c r="PZ71" i="36"/>
  <c r="QA71" i="36" s="1"/>
  <c r="OZ71" i="36"/>
  <c r="PA71" i="36" s="1"/>
  <c r="UM71" i="36"/>
  <c r="UN71" i="36" s="1"/>
  <c r="TT71" i="36"/>
  <c r="OH71" i="36"/>
  <c r="OI71" i="36" s="1"/>
  <c r="NW71" i="36"/>
  <c r="NX71" i="36" s="1"/>
  <c r="NL71" i="36"/>
  <c r="NM71" i="36" s="1"/>
  <c r="MX71" i="36"/>
  <c r="NA71" i="36" s="1"/>
  <c r="MB71" i="36"/>
  <c r="LD71" i="36"/>
  <c r="LE71" i="36" s="1"/>
  <c r="KK71" i="36"/>
  <c r="UE71" i="36"/>
  <c r="MM71" i="36"/>
  <c r="QV71" i="36"/>
  <c r="QW71" i="36" s="1"/>
  <c r="QK71" i="36"/>
  <c r="QL71" i="36" s="1"/>
  <c r="OL71" i="36"/>
  <c r="OM71" i="36" s="1"/>
  <c r="MQ71" i="36"/>
  <c r="RK71" i="36"/>
  <c r="SB65" i="36"/>
  <c r="SC65" i="36" s="1"/>
  <c r="SB28" i="36"/>
  <c r="SC28" i="36" s="1"/>
  <c r="SB24" i="36"/>
  <c r="SC24" i="36" s="1"/>
  <c r="SB67" i="36"/>
  <c r="SC67" i="36" s="1"/>
  <c r="SB29" i="36"/>
  <c r="SC29" i="36" s="1"/>
  <c r="SB27" i="36"/>
  <c r="SC27" i="36" s="1"/>
  <c r="SB23" i="36"/>
  <c r="SC23" i="36" s="1"/>
  <c r="SB70" i="36"/>
  <c r="SC70" i="36" s="1"/>
  <c r="SB26" i="36"/>
  <c r="SC26" i="36" s="1"/>
  <c r="SB66" i="36"/>
  <c r="SC66" i="36" s="1"/>
  <c r="SB17" i="36"/>
  <c r="SC17" i="36" s="1"/>
  <c r="UM17" i="36"/>
  <c r="RG17" i="36"/>
  <c r="RH17" i="36" s="1"/>
  <c r="TC17" i="36" l="1"/>
  <c r="RU98" i="36"/>
  <c r="TC65" i="36"/>
  <c r="TC70" i="36"/>
  <c r="TC67" i="36"/>
  <c r="TC66" i="36"/>
  <c r="RU94" i="36"/>
  <c r="RX94" i="36"/>
  <c r="RV94" i="36"/>
  <c r="RV95" i="36" s="1"/>
  <c r="UN17" i="36"/>
  <c r="LH71" i="36"/>
  <c r="MY71" i="36"/>
  <c r="NB71" i="36" s="1"/>
  <c r="RO71" i="36"/>
  <c r="RL71" i="36"/>
  <c r="MR71" i="36"/>
  <c r="ON71" i="36"/>
  <c r="UO71" i="36"/>
  <c r="UP71" i="36" s="1"/>
  <c r="UO17" i="36"/>
  <c r="UP17" i="36" l="1"/>
  <c r="AK60" i="62"/>
  <c r="AJ60" i="62"/>
  <c r="AI60" i="62"/>
  <c r="AG60" i="62"/>
  <c r="AB60" i="62"/>
  <c r="AA60" i="62"/>
  <c r="Z60" i="62"/>
  <c r="AC58" i="62"/>
  <c r="AB58" i="62"/>
  <c r="AA58" i="62"/>
  <c r="Z58" i="62"/>
  <c r="AK59" i="62"/>
  <c r="AJ59" i="62"/>
  <c r="AI59" i="62"/>
  <c r="AC59" i="62"/>
  <c r="AB59" i="62"/>
  <c r="AA59" i="62"/>
  <c r="Z59" i="62"/>
  <c r="AF44" i="62" l="1"/>
  <c r="AE44" i="62"/>
  <c r="AD44" i="62"/>
  <c r="AC44" i="62"/>
  <c r="AB44" i="62"/>
  <c r="AA44" i="62"/>
  <c r="Z44" i="62"/>
  <c r="AM31" i="62" l="1"/>
  <c r="AM29" i="62"/>
  <c r="JR23" i="36" l="1"/>
  <c r="JS23" i="36"/>
  <c r="JR24" i="36"/>
  <c r="JR29" i="36"/>
  <c r="JR26" i="36"/>
  <c r="JR37" i="36"/>
  <c r="JR39" i="36"/>
  <c r="JR40" i="36"/>
  <c r="JR41" i="36"/>
  <c r="RM23" i="36"/>
  <c r="RP23" i="36" s="1"/>
  <c r="RJ23" i="36"/>
  <c r="RJ24" i="36"/>
  <c r="RJ29" i="36"/>
  <c r="RJ26" i="36"/>
  <c r="RJ27" i="36"/>
  <c r="RJ28" i="36"/>
  <c r="N80" i="36" l="1"/>
  <c r="M80" i="36"/>
  <c r="L80" i="36"/>
  <c r="K80" i="36"/>
  <c r="AX58" i="36"/>
  <c r="AV58" i="36"/>
  <c r="AU58" i="36"/>
  <c r="AT58" i="36"/>
  <c r="AS58" i="36"/>
  <c r="S58" i="36"/>
  <c r="R58" i="36"/>
  <c r="Q58" i="36"/>
  <c r="P58" i="36"/>
  <c r="N58" i="36"/>
  <c r="M58" i="36"/>
  <c r="L58" i="36"/>
  <c r="K58" i="36"/>
  <c r="I58" i="36"/>
  <c r="H58" i="36"/>
  <c r="F58" i="36"/>
  <c r="G58" i="36"/>
  <c r="I15" i="36"/>
  <c r="H15" i="36"/>
  <c r="G15" i="36"/>
  <c r="F15" i="36"/>
  <c r="O15" i="36"/>
  <c r="N15" i="36"/>
  <c r="M15" i="36"/>
  <c r="L15" i="36"/>
  <c r="K15" i="36"/>
  <c r="T15" i="36"/>
  <c r="S15" i="36"/>
  <c r="R15" i="36"/>
  <c r="Q15" i="36"/>
  <c r="P15" i="36"/>
  <c r="AV15" i="36"/>
  <c r="AU15" i="36"/>
  <c r="AT15" i="36"/>
  <c r="AS15" i="36"/>
  <c r="AX15" i="36"/>
  <c r="V4" i="62"/>
  <c r="W4" i="62"/>
  <c r="X4" i="62"/>
  <c r="V5" i="62"/>
  <c r="X5" i="62"/>
  <c r="V6" i="62"/>
  <c r="W6" i="62"/>
  <c r="X6" i="62"/>
  <c r="V7" i="62"/>
  <c r="W7" i="62"/>
  <c r="X7" i="62"/>
  <c r="V9" i="62"/>
  <c r="W9" i="62"/>
  <c r="X9" i="62"/>
  <c r="Y9" i="62"/>
  <c r="V10" i="62"/>
  <c r="W10" i="62"/>
  <c r="X10" i="62"/>
  <c r="V11" i="62"/>
  <c r="W11" i="62"/>
  <c r="X11" i="62"/>
  <c r="V12" i="62"/>
  <c r="W12" i="62"/>
  <c r="X12" i="62"/>
  <c r="V13" i="62"/>
  <c r="W13" i="62"/>
  <c r="X13" i="62"/>
  <c r="V15" i="62"/>
  <c r="W15" i="62"/>
  <c r="X15" i="62"/>
  <c r="Y15" i="62"/>
  <c r="V16" i="62"/>
  <c r="W16" i="62"/>
  <c r="X16" i="62"/>
  <c r="Y16" i="62"/>
  <c r="V17" i="62"/>
  <c r="W17" i="62"/>
  <c r="X17" i="62"/>
  <c r="Y17" i="62"/>
  <c r="V18" i="62"/>
  <c r="W18" i="62"/>
  <c r="X18" i="62"/>
  <c r="Y18" i="62"/>
  <c r="V19" i="62"/>
  <c r="W19" i="62"/>
  <c r="X19" i="62"/>
  <c r="Y19" i="62"/>
  <c r="V27" i="62"/>
  <c r="W27" i="62"/>
  <c r="X27" i="62"/>
  <c r="Y27" i="62"/>
  <c r="V28" i="62"/>
  <c r="W28" i="62"/>
  <c r="X28" i="62"/>
  <c r="Y28" i="62"/>
  <c r="V29" i="62"/>
  <c r="W29" i="62"/>
  <c r="X29" i="62"/>
  <c r="Y29" i="62"/>
  <c r="V30" i="62"/>
  <c r="W30" i="62"/>
  <c r="X30" i="62"/>
  <c r="Y30" i="62"/>
  <c r="V31" i="62"/>
  <c r="W31" i="62"/>
  <c r="X31" i="62"/>
  <c r="Y31" i="62"/>
  <c r="V33" i="62"/>
  <c r="W33" i="62"/>
  <c r="X33" i="62"/>
  <c r="Y33" i="62"/>
  <c r="V34" i="62"/>
  <c r="W34" i="62"/>
  <c r="X34" i="62"/>
  <c r="Y34" i="62"/>
  <c r="V35" i="62"/>
  <c r="W35" i="62"/>
  <c r="X35" i="62"/>
  <c r="Y35" i="62"/>
  <c r="V36" i="62"/>
  <c r="W36" i="62"/>
  <c r="X36" i="62"/>
  <c r="Y36" i="62"/>
  <c r="V37" i="62"/>
  <c r="W37" i="62"/>
  <c r="X37" i="62"/>
  <c r="Y37" i="62"/>
  <c r="V39" i="62"/>
  <c r="W39" i="62"/>
  <c r="X39" i="62"/>
  <c r="Y39" i="62"/>
  <c r="V40" i="62"/>
  <c r="W40" i="62"/>
  <c r="X40" i="62"/>
  <c r="Y40" i="62"/>
  <c r="V41" i="62"/>
  <c r="W41" i="62"/>
  <c r="X41" i="62"/>
  <c r="Y41" i="62"/>
  <c r="V42" i="62"/>
  <c r="W42" i="62"/>
  <c r="X42" i="62"/>
  <c r="Y42" i="62"/>
  <c r="V43" i="62"/>
  <c r="W43" i="62"/>
  <c r="X43" i="62"/>
  <c r="Y43" i="62"/>
  <c r="V44" i="62"/>
  <c r="W44" i="62"/>
  <c r="X44" i="62"/>
  <c r="Y44" i="62"/>
  <c r="V45" i="62"/>
  <c r="W45" i="62"/>
  <c r="X45" i="62"/>
  <c r="Y45" i="62"/>
  <c r="V46" i="62"/>
  <c r="W46" i="62"/>
  <c r="X46" i="62"/>
  <c r="Y46" i="62"/>
  <c r="V47" i="62"/>
  <c r="W47" i="62"/>
  <c r="X47" i="62"/>
  <c r="Y47" i="62"/>
  <c r="V48" i="62"/>
  <c r="W48" i="62"/>
  <c r="X48" i="62"/>
  <c r="Y48" i="62"/>
  <c r="V49" i="62"/>
  <c r="W49" i="62"/>
  <c r="X49" i="62"/>
  <c r="Y49" i="62"/>
  <c r="V50" i="62"/>
  <c r="W50" i="62"/>
  <c r="X50" i="62"/>
  <c r="Y50" i="62"/>
  <c r="V51" i="62"/>
  <c r="W51" i="62"/>
  <c r="X51" i="62"/>
  <c r="Y51" i="62"/>
  <c r="V52" i="62"/>
  <c r="W52" i="62"/>
  <c r="X52" i="62"/>
  <c r="Y52" i="62"/>
  <c r="W53" i="62"/>
  <c r="X53" i="62"/>
  <c r="Y53" i="62"/>
  <c r="V54" i="62"/>
  <c r="W54" i="62"/>
  <c r="X54" i="62"/>
  <c r="Y54" i="62"/>
  <c r="W55" i="62"/>
  <c r="X55" i="62"/>
  <c r="Y55" i="62"/>
  <c r="Y3" i="62"/>
  <c r="X3" i="62"/>
  <c r="W3" i="62"/>
  <c r="V3" i="62"/>
  <c r="AP55" i="62"/>
  <c r="AO55" i="62"/>
  <c r="AP54" i="62"/>
  <c r="AO54" i="62"/>
  <c r="AP53" i="62"/>
  <c r="AO53" i="62"/>
  <c r="AP52" i="62"/>
  <c r="AO52" i="62"/>
  <c r="AP50" i="62"/>
  <c r="AO50" i="62"/>
  <c r="AP49" i="62"/>
  <c r="AO49" i="62"/>
  <c r="AP48" i="62"/>
  <c r="AO48" i="62"/>
  <c r="AP47" i="62"/>
  <c r="AO47" i="62"/>
  <c r="AP46" i="62"/>
  <c r="AO46" i="62"/>
  <c r="AP44" i="62"/>
  <c r="AO44" i="62"/>
  <c r="AP43" i="62"/>
  <c r="AO43" i="62"/>
  <c r="AP42" i="62"/>
  <c r="AO42" i="62"/>
  <c r="AP41" i="62"/>
  <c r="AO41" i="62"/>
  <c r="AP40" i="62"/>
  <c r="AO40" i="62"/>
  <c r="AO37" i="62"/>
  <c r="AP36" i="62"/>
  <c r="AO36" i="62"/>
  <c r="AP35" i="62"/>
  <c r="AO35" i="62"/>
  <c r="AP34" i="62"/>
  <c r="AO34" i="62"/>
  <c r="AP31" i="62"/>
  <c r="AO31" i="62"/>
  <c r="AP30" i="62"/>
  <c r="AO30" i="62"/>
  <c r="AP29" i="62"/>
  <c r="AO29" i="62"/>
  <c r="AP28" i="62"/>
  <c r="AO28" i="62"/>
  <c r="AP19" i="62"/>
  <c r="AO19" i="62"/>
  <c r="AP18" i="62"/>
  <c r="AO18" i="62"/>
  <c r="AP17" i="62"/>
  <c r="AO17" i="62"/>
  <c r="AP16" i="62"/>
  <c r="AO16" i="62"/>
  <c r="AP13" i="62"/>
  <c r="AO13" i="62"/>
  <c r="AP12" i="62"/>
  <c r="AO12" i="62"/>
  <c r="AP11" i="62"/>
  <c r="AO11" i="62"/>
  <c r="AP10" i="62"/>
  <c r="AO10" i="62"/>
  <c r="AP7" i="62"/>
  <c r="AO7" i="62"/>
  <c r="AP6" i="62"/>
  <c r="AO6" i="62"/>
  <c r="AP5" i="62"/>
  <c r="AO5" i="62"/>
  <c r="AP4" i="62"/>
  <c r="AO4" i="62"/>
  <c r="O80" i="36" l="1"/>
  <c r="UO79" i="36" l="1"/>
  <c r="UL61" i="36"/>
  <c r="UL62" i="36"/>
  <c r="UL63" i="36"/>
  <c r="UL64" i="36"/>
  <c r="UL68" i="36"/>
  <c r="UL69" i="36"/>
  <c r="UL72" i="36"/>
  <c r="UL70" i="36"/>
  <c r="UL67" i="36"/>
  <c r="UL65" i="36"/>
  <c r="UL66" i="36"/>
  <c r="UL79" i="36"/>
  <c r="UM79" i="36"/>
  <c r="UL60" i="36"/>
  <c r="UL21" i="36"/>
  <c r="UL22" i="36"/>
  <c r="UL23" i="36"/>
  <c r="UL24" i="36"/>
  <c r="UL29" i="36"/>
  <c r="UL26" i="36"/>
  <c r="UL27" i="36"/>
  <c r="UL28" i="36"/>
  <c r="UL33" i="36"/>
  <c r="UL25" i="36"/>
  <c r="UL30" i="36"/>
  <c r="UL31" i="36"/>
  <c r="UL32" i="36"/>
  <c r="UL44" i="36"/>
  <c r="UL45" i="36"/>
  <c r="UL46" i="36"/>
  <c r="UL47" i="36"/>
  <c r="UL48" i="36"/>
  <c r="UL49" i="36"/>
  <c r="UL50" i="36"/>
  <c r="UL51" i="36"/>
  <c r="UL52" i="36"/>
  <c r="UL53" i="36"/>
  <c r="UL54" i="36"/>
  <c r="UL55" i="36"/>
  <c r="UL56" i="36"/>
  <c r="UL20" i="36"/>
  <c r="UK15" i="36"/>
  <c r="UL11" i="36"/>
  <c r="UL10" i="36"/>
  <c r="UL9" i="36"/>
  <c r="UL8" i="36"/>
  <c r="UL7" i="36"/>
  <c r="UL6" i="36"/>
  <c r="UL5" i="36"/>
  <c r="UL58" i="36" l="1"/>
  <c r="UR58" i="36" s="1"/>
  <c r="UL15" i="36"/>
  <c r="QN65" i="36"/>
  <c r="QQ65" i="36" s="1"/>
  <c r="QN69" i="36"/>
  <c r="QQ69" i="36" s="1"/>
  <c r="QN64" i="36"/>
  <c r="QQ64" i="36" s="1"/>
  <c r="QN61" i="36"/>
  <c r="QQ61" i="36" s="1"/>
  <c r="QN60" i="36"/>
  <c r="QQ60" i="36" s="1"/>
  <c r="QQ62" i="36"/>
  <c r="QQ63" i="36"/>
  <c r="QQ68" i="36"/>
  <c r="QQ70" i="36"/>
  <c r="QQ67" i="36"/>
  <c r="QQ66" i="36"/>
  <c r="PC65" i="36"/>
  <c r="PC69" i="36"/>
  <c r="PC64" i="36"/>
  <c r="PC62" i="36"/>
  <c r="PE60" i="36"/>
  <c r="PC60" i="36"/>
  <c r="QC65" i="36"/>
  <c r="QC64" i="36"/>
  <c r="QC62" i="36"/>
  <c r="QC60" i="36"/>
  <c r="UR15" i="36" l="1"/>
  <c r="UL18" i="36"/>
  <c r="MF5" i="35"/>
  <c r="KA10" i="35"/>
  <c r="KB10" i="35"/>
  <c r="KC10" i="35"/>
  <c r="KD10" i="35"/>
  <c r="KE10" i="35"/>
  <c r="KF10" i="35"/>
  <c r="KA11" i="35"/>
  <c r="KD11" i="35"/>
  <c r="JX11" i="35"/>
  <c r="JY12" i="35"/>
  <c r="JZ12" i="35"/>
  <c r="JW5" i="35"/>
  <c r="JV10" i="35" l="1"/>
  <c r="JW10" i="35"/>
  <c r="JX10" i="35"/>
  <c r="JZ10" i="35" s="1"/>
  <c r="JY10" i="35"/>
  <c r="JV11" i="35"/>
  <c r="KB11" i="35" s="1"/>
  <c r="KE11" i="35" s="1"/>
  <c r="JW11" i="35"/>
  <c r="KC11" i="35" s="1"/>
  <c r="KF11" i="35" s="1"/>
  <c r="JU15" i="35"/>
  <c r="JR15" i="35"/>
  <c r="JQ15" i="35"/>
  <c r="JP15" i="35"/>
  <c r="JO15" i="35"/>
  <c r="JS11" i="35"/>
  <c r="JT11" i="35"/>
  <c r="JS12" i="35"/>
  <c r="JT12" i="35"/>
  <c r="JS10" i="35"/>
  <c r="JT10" i="35"/>
  <c r="RE21" i="36"/>
  <c r="RE6" i="36"/>
  <c r="RE60" i="36"/>
  <c r="RF8" i="36"/>
  <c r="RC100" i="36"/>
  <c r="QY113" i="36"/>
  <c r="QY111" i="36"/>
  <c r="QY60" i="36"/>
  <c r="QY104" i="36"/>
  <c r="QY117" i="36"/>
  <c r="QY112" i="36"/>
  <c r="QY108" i="36"/>
  <c r="JZ11" i="35" l="1"/>
  <c r="JY11" i="35"/>
  <c r="JS15" i="35"/>
  <c r="JT15" i="35"/>
  <c r="RD8" i="36" l="1"/>
  <c r="RD23" i="36"/>
  <c r="RD21" i="36"/>
  <c r="RD20" i="36"/>
  <c r="RD6" i="36"/>
  <c r="QY32" i="36"/>
  <c r="QY31" i="36"/>
  <c r="QY28" i="36"/>
  <c r="QY27" i="36"/>
  <c r="QY24" i="36"/>
  <c r="QY23" i="36"/>
  <c r="QY20" i="36"/>
  <c r="QY29" i="36"/>
  <c r="RE65" i="36" l="1"/>
  <c r="QY105" i="36" l="1"/>
  <c r="QY102" i="36" s="1"/>
  <c r="QY96" i="36" s="1"/>
  <c r="QY94" i="36" s="1"/>
  <c r="QY99" i="36"/>
  <c r="RC99" i="36" s="1"/>
  <c r="RC98" i="36" s="1"/>
  <c r="RJ72" i="36"/>
  <c r="RJ70" i="36"/>
  <c r="RJ67" i="36"/>
  <c r="RJ65" i="36"/>
  <c r="RJ66" i="36"/>
  <c r="RB70" i="36"/>
  <c r="RC70" i="36" s="1"/>
  <c r="RB67" i="36"/>
  <c r="RC67" i="36" s="1"/>
  <c r="RB65" i="36"/>
  <c r="RC65" i="36" s="1"/>
  <c r="RB66" i="36"/>
  <c r="RC66" i="36" s="1"/>
  <c r="RB74" i="36"/>
  <c r="RB75" i="36"/>
  <c r="RB76" i="36"/>
  <c r="RB77" i="36"/>
  <c r="RB78" i="36"/>
  <c r="RB23" i="36"/>
  <c r="RB24" i="36"/>
  <c r="RB29" i="36"/>
  <c r="RB26" i="36"/>
  <c r="RB27" i="36"/>
  <c r="RB28" i="36"/>
  <c r="RB33" i="36"/>
  <c r="RG33" i="36" s="1"/>
  <c r="RH33" i="36" s="1"/>
  <c r="RB25" i="36"/>
  <c r="RG25" i="36" s="1"/>
  <c r="RH25" i="36" s="1"/>
  <c r="RB30" i="36"/>
  <c r="RG30" i="36" s="1"/>
  <c r="RH30" i="36" s="1"/>
  <c r="RB31" i="36"/>
  <c r="RG31" i="36" s="1"/>
  <c r="RH31" i="36" s="1"/>
  <c r="RB32" i="36"/>
  <c r="RG32" i="36" s="1"/>
  <c r="RH32" i="36" s="1"/>
  <c r="RB37" i="36"/>
  <c r="RG37" i="36" s="1"/>
  <c r="RB36" i="36"/>
  <c r="RG36" i="36" s="1"/>
  <c r="RB20" i="36"/>
  <c r="RB21" i="36"/>
  <c r="RG74" i="36" l="1"/>
  <c r="RG28" i="36"/>
  <c r="RH28" i="36" s="1"/>
  <c r="RG27" i="36"/>
  <c r="RH27" i="36" s="1"/>
  <c r="RG26" i="36"/>
  <c r="RH26" i="36" s="1"/>
  <c r="QY98" i="36"/>
  <c r="QZ98" i="36" s="1"/>
  <c r="RC24" i="36"/>
  <c r="RG24" i="36"/>
  <c r="RH24" i="36" s="1"/>
  <c r="RG67" i="36"/>
  <c r="RH67" i="36" s="1"/>
  <c r="RC23" i="36"/>
  <c r="RG23" i="36"/>
  <c r="RH23" i="36" s="1"/>
  <c r="RC26" i="36"/>
  <c r="RC29" i="36"/>
  <c r="RG29" i="36"/>
  <c r="RH29" i="36" s="1"/>
  <c r="RA94" i="36"/>
  <c r="RA95" i="36" s="1"/>
  <c r="RB94" i="36"/>
  <c r="RB95" i="36" s="1"/>
  <c r="QZ94" i="36"/>
  <c r="RC94" i="36"/>
  <c r="RG70" i="36"/>
  <c r="RH70" i="36" s="1"/>
  <c r="RG65" i="36"/>
  <c r="RG66" i="36"/>
  <c r="RB98" i="36" l="1"/>
  <c r="RA98" i="36"/>
  <c r="RH65" i="36"/>
  <c r="RH66" i="36"/>
  <c r="QT60" i="36" l="1"/>
  <c r="QT6" i="36"/>
  <c r="QT20" i="36"/>
  <c r="QN115" i="36" l="1"/>
  <c r="MF11" i="35" l="1"/>
  <c r="MG11" i="35"/>
  <c r="MH11" i="35"/>
  <c r="MF12" i="35"/>
  <c r="MG12" i="35"/>
  <c r="MH12" i="35"/>
  <c r="MF10" i="35"/>
  <c r="MG10" i="35"/>
  <c r="MH10" i="35"/>
  <c r="QU8" i="36"/>
  <c r="QU60" i="36"/>
  <c r="QU58" i="36"/>
  <c r="JL15" i="35"/>
  <c r="JK15" i="35"/>
  <c r="JJ15" i="35"/>
  <c r="JI15" i="35"/>
  <c r="PK39" i="36"/>
  <c r="PF36" i="36"/>
  <c r="PK36" i="36" s="1"/>
  <c r="PL36" i="36" s="1"/>
  <c r="PF40" i="36"/>
  <c r="PK40" i="36" s="1"/>
  <c r="PF41" i="36"/>
  <c r="PG41" i="36" s="1"/>
  <c r="PF42" i="36"/>
  <c r="PG42" i="36" s="1"/>
  <c r="PF38" i="36"/>
  <c r="PF43" i="36"/>
  <c r="PK43" i="36" s="1"/>
  <c r="MI10" i="35" l="1"/>
  <c r="MJ10" i="35"/>
  <c r="PK42" i="36"/>
  <c r="PL42" i="36" s="1"/>
  <c r="PK41" i="36"/>
  <c r="PL41" i="36" s="1"/>
  <c r="PG36" i="36"/>
  <c r="PK38" i="36"/>
  <c r="JM15" i="35"/>
  <c r="JN15" i="35"/>
  <c r="QT8" i="36"/>
  <c r="QT21" i="36"/>
  <c r="QS29" i="36"/>
  <c r="QS20" i="36"/>
  <c r="QT65" i="36"/>
  <c r="QN108" i="36"/>
  <c r="QN104" i="36"/>
  <c r="QU61" i="36"/>
  <c r="QN113" i="36"/>
  <c r="QN111" i="36"/>
  <c r="QN105" i="36"/>
  <c r="QS6" i="36"/>
  <c r="QS21" i="36"/>
  <c r="QN99" i="36"/>
  <c r="QN98" i="36" s="1"/>
  <c r="QO98" i="36" s="1"/>
  <c r="QN102" i="36" l="1"/>
  <c r="QN96" i="36" s="1"/>
  <c r="QN94" i="36" s="1"/>
  <c r="QR98" i="36"/>
  <c r="QQ98" i="36"/>
  <c r="QP98" i="36"/>
  <c r="QO94" i="36" l="1"/>
  <c r="QR94" i="36"/>
  <c r="QP94" i="36"/>
  <c r="QP95" i="36" s="1"/>
  <c r="QQ94" i="36"/>
  <c r="QQ95" i="36" s="1"/>
  <c r="QQ23" i="36" l="1"/>
  <c r="QQ24" i="36"/>
  <c r="QQ29" i="36"/>
  <c r="QR29" i="36" s="1"/>
  <c r="QQ26" i="36"/>
  <c r="QQ27" i="36"/>
  <c r="QQ28" i="36"/>
  <c r="QQ33" i="36"/>
  <c r="QV33" i="36" s="1"/>
  <c r="QW33" i="36" s="1"/>
  <c r="QQ25" i="36"/>
  <c r="QV25" i="36" s="1"/>
  <c r="QW25" i="36" s="1"/>
  <c r="QQ30" i="36"/>
  <c r="QR30" i="36" s="1"/>
  <c r="QQ37" i="36"/>
  <c r="QR37" i="36" s="1"/>
  <c r="QQ31" i="36"/>
  <c r="QR31" i="36" s="1"/>
  <c r="QQ32" i="36"/>
  <c r="QR32" i="36" s="1"/>
  <c r="QQ36" i="36"/>
  <c r="QR36" i="36" s="1"/>
  <c r="QV28" i="36" l="1"/>
  <c r="QW28" i="36" s="1"/>
  <c r="QV29" i="36"/>
  <c r="QW29" i="36" s="1"/>
  <c r="QV27" i="36"/>
  <c r="QW27" i="36" s="1"/>
  <c r="QV24" i="36"/>
  <c r="QW24" i="36" s="1"/>
  <c r="QV26" i="36"/>
  <c r="QW26" i="36" s="1"/>
  <c r="QR23" i="36"/>
  <c r="QV65" i="36"/>
  <c r="QV70" i="36"/>
  <c r="QW70" i="36" s="1"/>
  <c r="QR26" i="36"/>
  <c r="QR24" i="36"/>
  <c r="QR33" i="36"/>
  <c r="QR27" i="36"/>
  <c r="QR67" i="36"/>
  <c r="QV67" i="36"/>
  <c r="QW67" i="36" s="1"/>
  <c r="QR25" i="36"/>
  <c r="QR28" i="36"/>
  <c r="QR66" i="36"/>
  <c r="QV66" i="36"/>
  <c r="QR65" i="36"/>
  <c r="QR70" i="36"/>
  <c r="QW66" i="36" l="1"/>
  <c r="QW65" i="36"/>
  <c r="QS8" i="36"/>
  <c r="QS23" i="36"/>
  <c r="QV23" i="36" s="1"/>
  <c r="QW23" i="36" s="1"/>
  <c r="QU11" i="36"/>
  <c r="QU6" i="36"/>
  <c r="JN13" i="35" l="1"/>
  <c r="JM13" i="35"/>
  <c r="JN10" i="35"/>
  <c r="JM10" i="35"/>
  <c r="JN12" i="35"/>
  <c r="JM12" i="35"/>
  <c r="JN11" i="35"/>
  <c r="JM11" i="35"/>
  <c r="JN9" i="35"/>
  <c r="JM9" i="35"/>
  <c r="JN7" i="35"/>
  <c r="JM7" i="35"/>
  <c r="JN6" i="35"/>
  <c r="JM6" i="35"/>
  <c r="JN5" i="35"/>
  <c r="JM5" i="35"/>
  <c r="U42" i="62" l="1"/>
  <c r="U30" i="62"/>
  <c r="U18" i="62"/>
  <c r="AM36" i="62"/>
  <c r="AM42" i="62"/>
  <c r="AM55" i="62" l="1"/>
  <c r="AM53" i="62"/>
  <c r="AM49" i="62"/>
  <c r="AM47" i="62"/>
  <c r="AM35" i="62"/>
  <c r="AM43" i="62"/>
  <c r="AM41" i="62"/>
  <c r="AM19" i="62"/>
  <c r="AM17" i="62"/>
  <c r="AM13" i="62"/>
  <c r="AM11" i="62"/>
  <c r="JF15" i="35" l="1"/>
  <c r="JE15" i="35"/>
  <c r="JD15" i="35"/>
  <c r="JC15" i="35"/>
  <c r="JG15" i="35" l="1"/>
  <c r="JH15" i="35"/>
  <c r="QI8" i="36"/>
  <c r="QI21" i="36"/>
  <c r="QI6" i="36"/>
  <c r="QJ6" i="36" l="1"/>
  <c r="QC114" i="36"/>
  <c r="QC105" i="36"/>
  <c r="QC108" i="36" l="1"/>
  <c r="QC111" i="36"/>
  <c r="QC104" i="36"/>
  <c r="QC106" i="36"/>
  <c r="QC95" i="36"/>
  <c r="QC99" i="36"/>
  <c r="QC98" i="36" s="1"/>
  <c r="QF70" i="36"/>
  <c r="QF67" i="36"/>
  <c r="QF65" i="36"/>
  <c r="QF66" i="36"/>
  <c r="AP37" i="62" l="1"/>
  <c r="AC60" i="62"/>
  <c r="QG67" i="36"/>
  <c r="RK67" i="36"/>
  <c r="QG70" i="36"/>
  <c r="RK70" i="36"/>
  <c r="QC102" i="36"/>
  <c r="QC96" i="36" s="1"/>
  <c r="QC94" i="36" s="1"/>
  <c r="QD94" i="36" s="1"/>
  <c r="QG66" i="36"/>
  <c r="RK66" i="36"/>
  <c r="QG65" i="36"/>
  <c r="RK65" i="36"/>
  <c r="QD98" i="36"/>
  <c r="QE98" i="36"/>
  <c r="AM37" i="62"/>
  <c r="QF98" i="36"/>
  <c r="QG98" i="36"/>
  <c r="RL70" i="36" l="1"/>
  <c r="RL67" i="36"/>
  <c r="RL65" i="36"/>
  <c r="RL66" i="36"/>
  <c r="QF94" i="36"/>
  <c r="QF95" i="36" s="1"/>
  <c r="QE94" i="36"/>
  <c r="QE95" i="36" s="1"/>
  <c r="QG94" i="36"/>
  <c r="QF23" i="36" l="1"/>
  <c r="QF24" i="36"/>
  <c r="QF29" i="36"/>
  <c r="QF26" i="36"/>
  <c r="QF27" i="36"/>
  <c r="QF28" i="36"/>
  <c r="QF33" i="36"/>
  <c r="QG33" i="36" s="1"/>
  <c r="QF25" i="36"/>
  <c r="QG25" i="36" s="1"/>
  <c r="QF30" i="36"/>
  <c r="QG30" i="36" s="1"/>
  <c r="QF37" i="36"/>
  <c r="QG37" i="36" s="1"/>
  <c r="QF31" i="36"/>
  <c r="QG31" i="36" s="1"/>
  <c r="QF32" i="36"/>
  <c r="QG32" i="36" s="1"/>
  <c r="QF36" i="36"/>
  <c r="QG36" i="36" s="1"/>
  <c r="QG26" i="36" l="1"/>
  <c r="RK26" i="36"/>
  <c r="QG29" i="36"/>
  <c r="RK29" i="36"/>
  <c r="QG28" i="36"/>
  <c r="RK28" i="36"/>
  <c r="QG24" i="36"/>
  <c r="RK24" i="36"/>
  <c r="QG27" i="36"/>
  <c r="RK27" i="36"/>
  <c r="QG23" i="36"/>
  <c r="RK23" i="36"/>
  <c r="JG11" i="35"/>
  <c r="JH11" i="35"/>
  <c r="JG12" i="35"/>
  <c r="JH12" i="35"/>
  <c r="JG10" i="35"/>
  <c r="JH10" i="35"/>
  <c r="QJ11" i="36"/>
  <c r="QH20" i="36"/>
  <c r="QH23" i="36"/>
  <c r="QK23" i="36" s="1"/>
  <c r="QL23" i="36" s="1"/>
  <c r="QH6" i="36"/>
  <c r="QH8" i="36"/>
  <c r="QK70" i="36"/>
  <c r="QL70" i="36" s="1"/>
  <c r="QK67" i="36"/>
  <c r="QL67" i="36" s="1"/>
  <c r="QK65" i="36"/>
  <c r="QK66" i="36"/>
  <c r="RL23" i="36" l="1"/>
  <c r="QL66" i="36"/>
  <c r="QL65" i="36"/>
  <c r="S43" i="62"/>
  <c r="S42" i="62"/>
  <c r="S41" i="62"/>
  <c r="S40" i="62"/>
  <c r="S31" i="62"/>
  <c r="S30" i="62"/>
  <c r="S29" i="62"/>
  <c r="S28" i="62"/>
  <c r="S19" i="62"/>
  <c r="S18" i="62"/>
  <c r="S17" i="62"/>
  <c r="S16" i="62"/>
  <c r="PT62" i="36" l="1"/>
  <c r="PT21" i="36"/>
  <c r="PT60" i="36" l="1"/>
  <c r="PT6" i="36"/>
  <c r="HM9" i="35" l="1"/>
  <c r="IJ15" i="35" l="1"/>
  <c r="IL15" i="35"/>
  <c r="IO15" i="35"/>
  <c r="IK15" i="35"/>
  <c r="II15" i="35"/>
  <c r="IF15" i="35"/>
  <c r="IE15" i="35"/>
  <c r="ID15" i="35"/>
  <c r="IC15" i="35"/>
  <c r="HZ15" i="35"/>
  <c r="HY15" i="35"/>
  <c r="HX15" i="35"/>
  <c r="HW15" i="35"/>
  <c r="PT8" i="36"/>
  <c r="PU11" i="36"/>
  <c r="PY74" i="36"/>
  <c r="PY68" i="36"/>
  <c r="PY69" i="36"/>
  <c r="PY72" i="36"/>
  <c r="PY70" i="36"/>
  <c r="PY67" i="36"/>
  <c r="PY65" i="36"/>
  <c r="PY66" i="36"/>
  <c r="PY75" i="36"/>
  <c r="PY10" i="36"/>
  <c r="PY11" i="36"/>
  <c r="PV51" i="36"/>
  <c r="PV52" i="36"/>
  <c r="PV53" i="36"/>
  <c r="PU36" i="36"/>
  <c r="PN113" i="36"/>
  <c r="PN105" i="36"/>
  <c r="PN109" i="36"/>
  <c r="PN108" i="36" l="1"/>
  <c r="PN104" i="36"/>
  <c r="PN103" i="36"/>
  <c r="PS60" i="36"/>
  <c r="PC99" i="36"/>
  <c r="PN99" i="36"/>
  <c r="PN98" i="36" s="1"/>
  <c r="PN102" i="36" l="1"/>
  <c r="PN96" i="36" s="1"/>
  <c r="PN94" i="36" s="1"/>
  <c r="PP94" i="36" s="1"/>
  <c r="PP95" i="36" s="1"/>
  <c r="PR98" i="36"/>
  <c r="PP98" i="36"/>
  <c r="PQ98" i="36"/>
  <c r="PO98" i="36"/>
  <c r="PO94" i="36" l="1"/>
  <c r="PQ94" i="36"/>
  <c r="PQ95" i="36" s="1"/>
  <c r="PR94" i="36"/>
  <c r="PS23" i="36" l="1"/>
  <c r="PY23" i="36"/>
  <c r="RN23" i="36" s="1"/>
  <c r="RQ23" i="36" s="1"/>
  <c r="PY24" i="36"/>
  <c r="PS20" i="36"/>
  <c r="PQ74" i="36" l="1"/>
  <c r="PQ68" i="36"/>
  <c r="PQ69" i="36"/>
  <c r="PQ72" i="36"/>
  <c r="PQ70" i="36"/>
  <c r="PR70" i="36" s="1"/>
  <c r="PQ67" i="36"/>
  <c r="PQ65" i="36"/>
  <c r="PR65" i="36" s="1"/>
  <c r="PQ66" i="36"/>
  <c r="UM66" i="36" s="1"/>
  <c r="UN66" i="36" s="1"/>
  <c r="PQ75" i="36"/>
  <c r="PQ76" i="36"/>
  <c r="PV76" i="36" s="1"/>
  <c r="PQ77" i="36"/>
  <c r="PV77" i="36" s="1"/>
  <c r="PQ78" i="36"/>
  <c r="PQ23" i="36"/>
  <c r="PR23" i="36" s="1"/>
  <c r="PQ24" i="36"/>
  <c r="PQ29" i="36"/>
  <c r="PR29" i="36" s="1"/>
  <c r="PQ26" i="36"/>
  <c r="PR26" i="36" s="1"/>
  <c r="PQ27" i="36"/>
  <c r="PR27" i="36" s="1"/>
  <c r="PQ28" i="36"/>
  <c r="PR28" i="36" s="1"/>
  <c r="PQ43" i="36"/>
  <c r="PV43" i="36" s="1"/>
  <c r="PQ33" i="36"/>
  <c r="PV33" i="36" s="1"/>
  <c r="PW33" i="36" s="1"/>
  <c r="PQ25" i="36"/>
  <c r="PQ30" i="36"/>
  <c r="PV30" i="36" s="1"/>
  <c r="PW30" i="36" s="1"/>
  <c r="PQ37" i="36"/>
  <c r="PQ31" i="36"/>
  <c r="PV31" i="36" s="1"/>
  <c r="PW31" i="36" s="1"/>
  <c r="PQ38" i="36"/>
  <c r="PV38" i="36" s="1"/>
  <c r="PQ41" i="36"/>
  <c r="PV41" i="36" s="1"/>
  <c r="PQ36" i="36"/>
  <c r="PV36" i="36" s="1"/>
  <c r="PW36" i="36" s="1"/>
  <c r="PV40" i="36"/>
  <c r="PQ42" i="36"/>
  <c r="PV42" i="36" s="1"/>
  <c r="PQ32" i="36"/>
  <c r="PV32" i="36" s="1"/>
  <c r="PW32" i="36" s="1"/>
  <c r="PQ39" i="36"/>
  <c r="PV39" i="36" s="1"/>
  <c r="PQ44" i="36"/>
  <c r="PV44" i="36" s="1"/>
  <c r="PR30" i="36" l="1"/>
  <c r="PV74" i="36"/>
  <c r="PV75" i="36"/>
  <c r="PV69" i="36"/>
  <c r="PW69" i="36" s="1"/>
  <c r="PV70" i="36"/>
  <c r="PW70" i="36" s="1"/>
  <c r="PV65" i="36"/>
  <c r="PW65" i="36" s="1"/>
  <c r="PR72" i="36"/>
  <c r="PV72" i="36"/>
  <c r="PW72" i="36" s="1"/>
  <c r="PR66" i="36"/>
  <c r="PZ66" i="36"/>
  <c r="QA66" i="36" s="1"/>
  <c r="PV66" i="36"/>
  <c r="PR67" i="36"/>
  <c r="PV67" i="36"/>
  <c r="PW67" i="36" s="1"/>
  <c r="PR69" i="36"/>
  <c r="PR68" i="36"/>
  <c r="PV68" i="36"/>
  <c r="PW68" i="36" s="1"/>
  <c r="PR36" i="36"/>
  <c r="PR32" i="36"/>
  <c r="PR31" i="36"/>
  <c r="PR25" i="36"/>
  <c r="PV25" i="36"/>
  <c r="PW25" i="36" s="1"/>
  <c r="PR37" i="36"/>
  <c r="PV37" i="36"/>
  <c r="PW37" i="36" s="1"/>
  <c r="PR33" i="36"/>
  <c r="PV24" i="36"/>
  <c r="PW24" i="36" s="1"/>
  <c r="PR24" i="36"/>
  <c r="PV23" i="36"/>
  <c r="PW23" i="36" s="1"/>
  <c r="PW66" i="36" l="1"/>
  <c r="UO66" i="36"/>
  <c r="UP66" i="36" s="1"/>
  <c r="IU10" i="35"/>
  <c r="IU5" i="35"/>
  <c r="IY5" i="35" s="1"/>
  <c r="IU6" i="35"/>
  <c r="IY6" i="35" s="1"/>
  <c r="IU7" i="35"/>
  <c r="IY7" i="35" s="1"/>
  <c r="IU9" i="35"/>
  <c r="IY9" i="35" s="1"/>
  <c r="IU12" i="35"/>
  <c r="IY12" i="35" s="1"/>
  <c r="IU13" i="35"/>
  <c r="IY13" i="35" s="1"/>
  <c r="IU11" i="35"/>
  <c r="IY11" i="35" s="1"/>
  <c r="HJ15" i="35"/>
  <c r="HL6" i="35"/>
  <c r="HM6" i="35"/>
  <c r="HL7" i="35"/>
  <c r="HN7" i="35" s="1"/>
  <c r="HM7" i="35"/>
  <c r="HL9" i="35"/>
  <c r="HL11" i="35"/>
  <c r="HM11" i="35"/>
  <c r="HO11" i="35" s="1"/>
  <c r="HL12" i="35"/>
  <c r="HM12" i="35"/>
  <c r="HO12" i="35" s="1"/>
  <c r="HL13" i="35"/>
  <c r="HM13" i="35"/>
  <c r="HO13" i="35" s="1"/>
  <c r="HL10" i="35"/>
  <c r="HM10" i="35"/>
  <c r="HM5" i="35"/>
  <c r="HL5" i="35"/>
  <c r="HK10" i="35"/>
  <c r="HK13" i="35"/>
  <c r="HK12" i="35"/>
  <c r="HK11" i="35"/>
  <c r="HK9" i="35"/>
  <c r="HK7" i="35"/>
  <c r="HK6" i="35"/>
  <c r="HK5" i="35"/>
  <c r="HO5" i="35" l="1"/>
  <c r="HN13" i="35"/>
  <c r="HN11" i="35"/>
  <c r="HO6" i="35"/>
  <c r="HN5" i="35"/>
  <c r="HN6" i="35"/>
  <c r="HN12" i="35"/>
  <c r="HO7" i="35"/>
  <c r="HN9" i="35"/>
  <c r="HK15" i="35"/>
  <c r="HL15" i="35"/>
  <c r="HN15" i="35" s="1"/>
  <c r="AL37" i="62" l="1"/>
  <c r="AL36" i="62"/>
  <c r="AL35" i="62"/>
  <c r="AL34" i="62"/>
  <c r="PJ8" i="36"/>
  <c r="PI26" i="36"/>
  <c r="PF23" i="36"/>
  <c r="PC108" i="36"/>
  <c r="PC104" i="36"/>
  <c r="AL38" i="62" l="1"/>
  <c r="PC102" i="36"/>
  <c r="PG23" i="36"/>
  <c r="PK23" i="36"/>
  <c r="PL23" i="36" s="1"/>
  <c r="PC96" i="36" l="1"/>
  <c r="PC94" i="36" s="1"/>
  <c r="PC98" i="36"/>
  <c r="PF98" i="36" s="1"/>
  <c r="PH24" i="36"/>
  <c r="PF94" i="36" l="1"/>
  <c r="PF95" i="36" s="1"/>
  <c r="PD94" i="36"/>
  <c r="PG94" i="36"/>
  <c r="PE94" i="36"/>
  <c r="PE95" i="36" s="1"/>
  <c r="PE98" i="36"/>
  <c r="PG98" i="36"/>
  <c r="PD98" i="36"/>
  <c r="PH6" i="36"/>
  <c r="PF74" i="36"/>
  <c r="PF68" i="36"/>
  <c r="PF69" i="36"/>
  <c r="PF72" i="36"/>
  <c r="PF70" i="36"/>
  <c r="PG70" i="36" s="1"/>
  <c r="PF67" i="36"/>
  <c r="PK67" i="36" s="1"/>
  <c r="PL67" i="36" s="1"/>
  <c r="PF65" i="36"/>
  <c r="UM65" i="36" s="1"/>
  <c r="PF75" i="36"/>
  <c r="PF76" i="36"/>
  <c r="PF77" i="36"/>
  <c r="PF78" i="36"/>
  <c r="PZ65" i="36" l="1"/>
  <c r="QA65" i="36" s="1"/>
  <c r="UN65" i="36"/>
  <c r="PG65" i="36"/>
  <c r="PK65" i="36"/>
  <c r="UO65" i="36" s="1"/>
  <c r="UP65" i="36" s="1"/>
  <c r="PK69" i="36"/>
  <c r="PL69" i="36" s="1"/>
  <c r="PG68" i="36"/>
  <c r="PK70" i="36"/>
  <c r="PL70" i="36" s="1"/>
  <c r="PK74" i="36"/>
  <c r="PK68" i="36"/>
  <c r="PL68" i="36" s="1"/>
  <c r="PG72" i="36"/>
  <c r="PG67" i="36"/>
  <c r="PG69" i="36"/>
  <c r="PK72" i="36"/>
  <c r="PL72" i="36" s="1"/>
  <c r="IM10" i="35"/>
  <c r="IN10" i="35"/>
  <c r="PL65" i="36" l="1"/>
  <c r="IP10" i="35"/>
  <c r="IV10" i="35" s="1"/>
  <c r="IQ10" i="35"/>
  <c r="IR10" i="35"/>
  <c r="IW10" i="35" l="1"/>
  <c r="IS10" i="35"/>
  <c r="IX10" i="35"/>
  <c r="IT10" i="35"/>
  <c r="IH10" i="35"/>
  <c r="IG10" i="35"/>
  <c r="IA10" i="35" l="1"/>
  <c r="OX21" i="36"/>
  <c r="OX5" i="36" l="1"/>
  <c r="OX62" i="36"/>
  <c r="MG5" i="35"/>
  <c r="MG6" i="35"/>
  <c r="MG7" i="35"/>
  <c r="MF6" i="35"/>
  <c r="MF7" i="35"/>
  <c r="IP12" i="35"/>
  <c r="IV12" i="35" s="1"/>
  <c r="IZ12" i="35" s="1"/>
  <c r="ME15" i="35"/>
  <c r="MB15" i="35"/>
  <c r="MA15" i="35"/>
  <c r="LZ15" i="35"/>
  <c r="LY15" i="35"/>
  <c r="LU15" i="35"/>
  <c r="LT15" i="35"/>
  <c r="LS15" i="35"/>
  <c r="KY15" i="35"/>
  <c r="LE15" i="35" s="1"/>
  <c r="MH13" i="35"/>
  <c r="MG13" i="35"/>
  <c r="MF13" i="35"/>
  <c r="MD13" i="35"/>
  <c r="MC13" i="35"/>
  <c r="LX13" i="35"/>
  <c r="LW13" i="35"/>
  <c r="LR13" i="35"/>
  <c r="LQ13" i="35"/>
  <c r="LB13" i="35"/>
  <c r="LA13" i="35"/>
  <c r="KZ13" i="35"/>
  <c r="KR13" i="35"/>
  <c r="KQ13" i="35"/>
  <c r="KL13" i="35"/>
  <c r="KK13" i="35"/>
  <c r="KA13" i="35"/>
  <c r="KD13" i="35" s="1"/>
  <c r="JX13" i="35"/>
  <c r="JW13" i="35"/>
  <c r="JV13" i="35"/>
  <c r="JT13" i="35"/>
  <c r="JS13" i="35"/>
  <c r="JH13" i="35"/>
  <c r="JG13" i="35"/>
  <c r="IR13" i="35"/>
  <c r="IX13" i="35" s="1"/>
  <c r="JB13" i="35" s="1"/>
  <c r="IQ13" i="35"/>
  <c r="IW13" i="35" s="1"/>
  <c r="JA13" i="35" s="1"/>
  <c r="IP13" i="35"/>
  <c r="IV13" i="35" s="1"/>
  <c r="IZ13" i="35" s="1"/>
  <c r="IN13" i="35"/>
  <c r="IM13" i="35"/>
  <c r="IH13" i="35"/>
  <c r="IG13" i="35"/>
  <c r="IB13" i="35"/>
  <c r="IA13" i="35"/>
  <c r="MD12" i="35"/>
  <c r="MC12" i="35"/>
  <c r="LX12" i="35"/>
  <c r="LW12" i="35"/>
  <c r="LR12" i="35"/>
  <c r="LQ12" i="35"/>
  <c r="LB12" i="35"/>
  <c r="LA12" i="35"/>
  <c r="KZ12" i="35"/>
  <c r="KR12" i="35"/>
  <c r="KQ12" i="35"/>
  <c r="KA12" i="35"/>
  <c r="KD12" i="35" s="1"/>
  <c r="JX12" i="35"/>
  <c r="JW12" i="35"/>
  <c r="JV12" i="35"/>
  <c r="IR12" i="35"/>
  <c r="IX12" i="35" s="1"/>
  <c r="JB12" i="35" s="1"/>
  <c r="IQ12" i="35"/>
  <c r="IW12" i="35" s="1"/>
  <c r="JA12" i="35" s="1"/>
  <c r="IN12" i="35"/>
  <c r="IM12" i="35"/>
  <c r="IH12" i="35"/>
  <c r="IG12" i="35"/>
  <c r="IB12" i="35"/>
  <c r="IA12" i="35"/>
  <c r="MD11" i="35"/>
  <c r="MC11" i="35"/>
  <c r="LX11" i="35"/>
  <c r="LW11" i="35"/>
  <c r="LR11" i="35"/>
  <c r="LQ11" i="35"/>
  <c r="KR11" i="35"/>
  <c r="KQ11" i="35"/>
  <c r="KL11" i="35"/>
  <c r="KK11" i="35"/>
  <c r="IR11" i="35"/>
  <c r="IX11" i="35" s="1"/>
  <c r="JB11" i="35" s="1"/>
  <c r="IQ11" i="35"/>
  <c r="IW11" i="35" s="1"/>
  <c r="JA11" i="35" s="1"/>
  <c r="IP11" i="35"/>
  <c r="IN11" i="35"/>
  <c r="IM11" i="35"/>
  <c r="IH11" i="35"/>
  <c r="IG11" i="35"/>
  <c r="IB11" i="35"/>
  <c r="IA11" i="35"/>
  <c r="MH14" i="35"/>
  <c r="MF14" i="35"/>
  <c r="LB14" i="35"/>
  <c r="LA14" i="35"/>
  <c r="KZ14" i="35"/>
  <c r="KA14" i="35"/>
  <c r="JX14" i="35"/>
  <c r="LH14" i="35" s="1"/>
  <c r="JV14" i="35"/>
  <c r="JH14" i="35"/>
  <c r="JG14" i="35"/>
  <c r="IU14" i="35"/>
  <c r="IY14" i="35" s="1"/>
  <c r="IR14" i="35"/>
  <c r="IP14" i="35"/>
  <c r="IV14" i="35" s="1"/>
  <c r="IZ14" i="35" s="1"/>
  <c r="IQ14" i="35"/>
  <c r="MH9" i="35"/>
  <c r="MF9" i="35"/>
  <c r="MD9" i="35"/>
  <c r="MC9" i="35"/>
  <c r="LW9" i="35"/>
  <c r="LX9" i="35"/>
  <c r="LR9" i="35"/>
  <c r="LQ9" i="35"/>
  <c r="LB9" i="35"/>
  <c r="LA9" i="35"/>
  <c r="KZ9" i="35"/>
  <c r="KX9" i="35"/>
  <c r="KW9" i="35"/>
  <c r="KR9" i="35"/>
  <c r="KQ9" i="35"/>
  <c r="KL9" i="35"/>
  <c r="KK9" i="35"/>
  <c r="KA9" i="35"/>
  <c r="KD9" i="35" s="1"/>
  <c r="JX9" i="35"/>
  <c r="JW9" i="35"/>
  <c r="JV9" i="35"/>
  <c r="JT9" i="35"/>
  <c r="JS9" i="35"/>
  <c r="MG9" i="35"/>
  <c r="JH9" i="35"/>
  <c r="JG9" i="35"/>
  <c r="IR9" i="35"/>
  <c r="IQ9" i="35"/>
  <c r="IW9" i="35" s="1"/>
  <c r="JA9" i="35" s="1"/>
  <c r="IP9" i="35"/>
  <c r="IV9" i="35" s="1"/>
  <c r="IZ9" i="35" s="1"/>
  <c r="IN9" i="35"/>
  <c r="IM9" i="35"/>
  <c r="IH9" i="35"/>
  <c r="IG9" i="35"/>
  <c r="IB9" i="35"/>
  <c r="IA9" i="35"/>
  <c r="MD7" i="35"/>
  <c r="MC7" i="35"/>
  <c r="LX7" i="35"/>
  <c r="LW7" i="35"/>
  <c r="LR7" i="35"/>
  <c r="LQ7" i="35"/>
  <c r="LB7" i="35"/>
  <c r="LA7" i="35"/>
  <c r="KZ7" i="35"/>
  <c r="KX7" i="35"/>
  <c r="KW7" i="35"/>
  <c r="KR7" i="35"/>
  <c r="KQ7" i="35"/>
  <c r="KL7" i="35"/>
  <c r="KK7" i="35"/>
  <c r="KA7" i="35"/>
  <c r="LI7" i="35" s="1"/>
  <c r="JX7" i="35"/>
  <c r="JW7" i="35"/>
  <c r="JV7" i="35"/>
  <c r="JT7" i="35"/>
  <c r="JS7" i="35"/>
  <c r="JH7" i="35"/>
  <c r="JG7" i="35"/>
  <c r="IQ7" i="35"/>
  <c r="IW7" i="35" s="1"/>
  <c r="JA7" i="35" s="1"/>
  <c r="IP7" i="35"/>
  <c r="IV7" i="35" s="1"/>
  <c r="IZ7" i="35" s="1"/>
  <c r="IN7" i="35"/>
  <c r="IM7" i="35"/>
  <c r="IH7" i="35"/>
  <c r="IG7" i="35"/>
  <c r="IA7" i="35"/>
  <c r="MD6" i="35"/>
  <c r="MC6" i="35"/>
  <c r="LX6" i="35"/>
  <c r="LW6" i="35"/>
  <c r="LR6" i="35"/>
  <c r="LQ6" i="35"/>
  <c r="KX6" i="35"/>
  <c r="KW6" i="35"/>
  <c r="JX6" i="35"/>
  <c r="JV6" i="35"/>
  <c r="JT6" i="35"/>
  <c r="JH6" i="35"/>
  <c r="JG6" i="35"/>
  <c r="KA6" i="35"/>
  <c r="IM6" i="35"/>
  <c r="IQ6" i="35"/>
  <c r="IA6" i="35"/>
  <c r="MD5" i="35"/>
  <c r="MC5" i="35"/>
  <c r="LX5" i="35"/>
  <c r="LW5" i="35"/>
  <c r="LR5" i="35"/>
  <c r="LQ5" i="35"/>
  <c r="LA5" i="35"/>
  <c r="KZ5" i="35"/>
  <c r="KX5" i="35"/>
  <c r="KW5" i="35"/>
  <c r="KR5" i="35"/>
  <c r="KQ5" i="35"/>
  <c r="KK5" i="35"/>
  <c r="KA5" i="35"/>
  <c r="JX5" i="35"/>
  <c r="JV5" i="35"/>
  <c r="JT5" i="35"/>
  <c r="JS5" i="35"/>
  <c r="JH5" i="35"/>
  <c r="JG5" i="35"/>
  <c r="IQ5" i="35"/>
  <c r="IW5" i="35" s="1"/>
  <c r="JA5" i="35" s="1"/>
  <c r="IP5" i="35"/>
  <c r="IV5" i="35" s="1"/>
  <c r="IZ5" i="35" s="1"/>
  <c r="IN5" i="35"/>
  <c r="IM5" i="35"/>
  <c r="IH5" i="35"/>
  <c r="IG5" i="35"/>
  <c r="IA5" i="35"/>
  <c r="JV15" i="35" l="1"/>
  <c r="KD5" i="35"/>
  <c r="KA15" i="35"/>
  <c r="JX15" i="35"/>
  <c r="MG15" i="35"/>
  <c r="IW6" i="35"/>
  <c r="JA6" i="35" s="1"/>
  <c r="IQ15" i="35"/>
  <c r="LW15" i="35"/>
  <c r="IV11" i="35"/>
  <c r="IZ11" i="35" s="1"/>
  <c r="MC15" i="35"/>
  <c r="MD15" i="35"/>
  <c r="KB12" i="35"/>
  <c r="KE12" i="35" s="1"/>
  <c r="IA15" i="35"/>
  <c r="LC5" i="35"/>
  <c r="LD14" i="35"/>
  <c r="LL11" i="35"/>
  <c r="LF7" i="35"/>
  <c r="LG9" i="35"/>
  <c r="LL9" i="35"/>
  <c r="LC9" i="35"/>
  <c r="KD7" i="35"/>
  <c r="JZ5" i="35"/>
  <c r="MI9" i="35"/>
  <c r="JZ13" i="35"/>
  <c r="JZ7" i="35"/>
  <c r="LL14" i="35"/>
  <c r="LF12" i="35"/>
  <c r="LF13" i="35"/>
  <c r="LL7" i="35"/>
  <c r="LG12" i="35"/>
  <c r="KB7" i="35"/>
  <c r="KE7" i="35" s="1"/>
  <c r="LI9" i="35"/>
  <c r="LI11" i="35"/>
  <c r="LI5" i="35"/>
  <c r="KB14" i="35"/>
  <c r="KE14" i="35" s="1"/>
  <c r="MI13" i="35"/>
  <c r="MJ13" i="35"/>
  <c r="MI7" i="35"/>
  <c r="IT12" i="35"/>
  <c r="KC12" i="35"/>
  <c r="KF12" i="35" s="1"/>
  <c r="KC9" i="35"/>
  <c r="KB13" i="35"/>
  <c r="KE13" i="35" s="1"/>
  <c r="KB9" i="35"/>
  <c r="IS5" i="35"/>
  <c r="KB5" i="35"/>
  <c r="KE5" i="35" s="1"/>
  <c r="MJ12" i="35"/>
  <c r="LG11" i="35"/>
  <c r="LH12" i="35"/>
  <c r="LD12" i="35"/>
  <c r="LH13" i="35"/>
  <c r="IG15" i="35"/>
  <c r="IH6" i="35"/>
  <c r="KK6" i="35"/>
  <c r="LA6" i="35"/>
  <c r="LI6" i="35"/>
  <c r="IT9" i="35"/>
  <c r="IW14" i="35"/>
  <c r="JA14" i="35" s="1"/>
  <c r="IS14" i="35"/>
  <c r="JN14" i="35"/>
  <c r="LI12" i="35"/>
  <c r="IS13" i="35"/>
  <c r="IM15" i="35"/>
  <c r="IU15" i="35"/>
  <c r="IY15" i="35" s="1"/>
  <c r="JS6" i="35"/>
  <c r="JW6" i="35"/>
  <c r="IS7" i="35"/>
  <c r="KC7" i="35"/>
  <c r="KF7" i="35" s="1"/>
  <c r="KR6" i="35"/>
  <c r="KZ6" i="35"/>
  <c r="KQ6" i="35"/>
  <c r="LF9" i="35"/>
  <c r="JZ6" i="35"/>
  <c r="LF14" i="35"/>
  <c r="LF5" i="35"/>
  <c r="MI5" i="35"/>
  <c r="IG6" i="35"/>
  <c r="KD6" i="35"/>
  <c r="LG7" i="35"/>
  <c r="LC7" i="35"/>
  <c r="JZ9" i="35"/>
  <c r="MJ9" i="35"/>
  <c r="IX14" i="35"/>
  <c r="JB14" i="35" s="1"/>
  <c r="IT14" i="35"/>
  <c r="IT11" i="35"/>
  <c r="MI11" i="35"/>
  <c r="MI12" i="35"/>
  <c r="KC13" i="35"/>
  <c r="KF13" i="35" s="1"/>
  <c r="LG13" i="35"/>
  <c r="LC13" i="35"/>
  <c r="IP6" i="35"/>
  <c r="IP15" i="35" s="1"/>
  <c r="JY7" i="35"/>
  <c r="LD9" i="35"/>
  <c r="LH9" i="35"/>
  <c r="IS11" i="35"/>
  <c r="LC12" i="35"/>
  <c r="JY13" i="35"/>
  <c r="IN15" i="35"/>
  <c r="LV15" i="35"/>
  <c r="LX15" i="35" s="1"/>
  <c r="LL13" i="35"/>
  <c r="IN6" i="35"/>
  <c r="LD7" i="35"/>
  <c r="LH7" i="35"/>
  <c r="IS9" i="35"/>
  <c r="JY9" i="35"/>
  <c r="LC14" i="35"/>
  <c r="LH11" i="35"/>
  <c r="IS12" i="35"/>
  <c r="IT13" i="35"/>
  <c r="LD13" i="35"/>
  <c r="OZ52" i="36"/>
  <c r="OZ54" i="36"/>
  <c r="OZ55" i="36"/>
  <c r="OZ56" i="36"/>
  <c r="OY6" i="36"/>
  <c r="OW6" i="36"/>
  <c r="PA54" i="36" l="1"/>
  <c r="PA52" i="36"/>
  <c r="PA55" i="36"/>
  <c r="JZ15" i="35"/>
  <c r="KE9" i="35"/>
  <c r="JW15" i="35"/>
  <c r="JY15" i="35" s="1"/>
  <c r="MF15" i="35"/>
  <c r="LJ12" i="35"/>
  <c r="IS6" i="35"/>
  <c r="IV6" i="35"/>
  <c r="IZ6" i="35" s="1"/>
  <c r="LK12" i="35"/>
  <c r="KD15" i="35"/>
  <c r="LJ9" i="35"/>
  <c r="IH15" i="35"/>
  <c r="LJ14" i="35"/>
  <c r="MJ11" i="35"/>
  <c r="LJ7" i="35"/>
  <c r="LK7" i="35"/>
  <c r="LJ5" i="35"/>
  <c r="LJ13" i="35"/>
  <c r="KF9" i="35"/>
  <c r="LK9" i="35"/>
  <c r="MI6" i="35"/>
  <c r="LK11" i="35"/>
  <c r="LK13" i="35"/>
  <c r="IS15" i="35"/>
  <c r="JM14" i="35"/>
  <c r="MG14" i="35"/>
  <c r="JW14" i="35"/>
  <c r="LF11" i="35"/>
  <c r="LJ11" i="35" s="1"/>
  <c r="KC5" i="35"/>
  <c r="JY5" i="35"/>
  <c r="LG6" i="35"/>
  <c r="LC6" i="35"/>
  <c r="LA15" i="35"/>
  <c r="KB6" i="35"/>
  <c r="KB15" i="35" s="1"/>
  <c r="KZ15" i="35"/>
  <c r="LF15" i="35" s="1"/>
  <c r="LF6" i="35"/>
  <c r="KC6" i="35"/>
  <c r="JY6" i="35"/>
  <c r="LG5" i="35"/>
  <c r="LI15" i="35"/>
  <c r="KF5" i="35" l="1"/>
  <c r="KC15" i="35"/>
  <c r="LJ6" i="35"/>
  <c r="MI15" i="35"/>
  <c r="LK5" i="35"/>
  <c r="KF6" i="35"/>
  <c r="KE15" i="35"/>
  <c r="KE6" i="35"/>
  <c r="KC14" i="35"/>
  <c r="KF14" i="35" s="1"/>
  <c r="LG14" i="35"/>
  <c r="LG15" i="35"/>
  <c r="LC15" i="35"/>
  <c r="LK6" i="35"/>
  <c r="LK14" i="35" l="1"/>
  <c r="KF15" i="35"/>
  <c r="LJ15" i="35"/>
  <c r="LK15" i="35" l="1"/>
  <c r="OW26" i="36" l="1"/>
  <c r="OW24" i="36"/>
  <c r="OW61" i="36"/>
  <c r="OW63" i="36"/>
  <c r="OW9" i="36" l="1"/>
  <c r="OU24" i="36" l="1"/>
  <c r="OU29" i="36"/>
  <c r="OU26" i="36"/>
  <c r="OU27" i="36"/>
  <c r="OU28" i="36"/>
  <c r="OU43" i="36"/>
  <c r="OU33" i="36"/>
  <c r="OU25" i="36"/>
  <c r="OU30" i="36"/>
  <c r="OU37" i="36"/>
  <c r="OU31" i="36"/>
  <c r="OU38" i="36"/>
  <c r="OU41" i="36"/>
  <c r="OU42" i="36"/>
  <c r="OU36" i="36"/>
  <c r="OU40" i="36"/>
  <c r="OU39" i="36"/>
  <c r="OU61" i="36"/>
  <c r="OU64" i="36"/>
  <c r="OU74" i="36"/>
  <c r="OU68" i="36"/>
  <c r="OU69" i="36"/>
  <c r="OU72" i="36"/>
  <c r="OU70" i="36"/>
  <c r="OU67" i="36"/>
  <c r="OU75" i="36"/>
  <c r="OU76" i="36"/>
  <c r="OU77" i="36"/>
  <c r="OU78" i="36"/>
  <c r="OZ40" i="36" l="1"/>
  <c r="OV27" i="36"/>
  <c r="OZ36" i="36"/>
  <c r="OZ31" i="36"/>
  <c r="OV33" i="36"/>
  <c r="OV26" i="36"/>
  <c r="OZ64" i="36"/>
  <c r="OZ25" i="36"/>
  <c r="OV68" i="36"/>
  <c r="OV61" i="36"/>
  <c r="OZ42" i="36"/>
  <c r="OZ37" i="36"/>
  <c r="OV29" i="36"/>
  <c r="OZ76" i="36"/>
  <c r="OZ38" i="36"/>
  <c r="OZ77" i="36"/>
  <c r="OZ39" i="36"/>
  <c r="OZ30" i="36"/>
  <c r="OV28" i="36"/>
  <c r="OV24" i="36"/>
  <c r="OZ75" i="36"/>
  <c r="PZ75" i="36"/>
  <c r="OZ70" i="36"/>
  <c r="PZ70" i="36"/>
  <c r="QA70" i="36" s="1"/>
  <c r="OZ74" i="36"/>
  <c r="PZ74" i="36"/>
  <c r="OZ69" i="36"/>
  <c r="PZ69" i="36"/>
  <c r="QA69" i="36" s="1"/>
  <c r="OZ67" i="36"/>
  <c r="PZ67" i="36"/>
  <c r="QA67" i="36" s="1"/>
  <c r="OZ68" i="36"/>
  <c r="PZ68" i="36"/>
  <c r="QA68" i="36" s="1"/>
  <c r="OZ72" i="36"/>
  <c r="PZ72" i="36"/>
  <c r="QA72" i="36" s="1"/>
  <c r="OV37" i="36"/>
  <c r="OV67" i="36"/>
  <c r="OV36" i="36"/>
  <c r="OV70" i="36"/>
  <c r="OV64" i="36"/>
  <c r="OV30" i="36"/>
  <c r="OV72" i="36"/>
  <c r="OV42" i="36"/>
  <c r="OV25" i="36"/>
  <c r="OV69" i="36"/>
  <c r="OV41" i="36"/>
  <c r="OZ41" i="36"/>
  <c r="OV31" i="36"/>
  <c r="OU63" i="36"/>
  <c r="OU62" i="36"/>
  <c r="OU32" i="36"/>
  <c r="OU23" i="36"/>
  <c r="OV62" i="36" l="1"/>
  <c r="PA42" i="36"/>
  <c r="PA72" i="36"/>
  <c r="PA67" i="36"/>
  <c r="PA69" i="36"/>
  <c r="PA70" i="36"/>
  <c r="PA30" i="36"/>
  <c r="PA64" i="36"/>
  <c r="PA36" i="36"/>
  <c r="PZ23" i="36"/>
  <c r="UM23" i="36"/>
  <c r="UN23" i="36" s="1"/>
  <c r="PA37" i="36"/>
  <c r="PA41" i="36"/>
  <c r="PA68" i="36"/>
  <c r="PA25" i="36"/>
  <c r="PA31" i="36"/>
  <c r="OZ32" i="36"/>
  <c r="OV32" i="36"/>
  <c r="OV23" i="36"/>
  <c r="OZ23" i="36"/>
  <c r="OZ63" i="36"/>
  <c r="OV63" i="36"/>
  <c r="OR99" i="36"/>
  <c r="OR98" i="36" s="1"/>
  <c r="OR116" i="36"/>
  <c r="OR105" i="36"/>
  <c r="OR102" i="36" s="1"/>
  <c r="OR96" i="36" s="1"/>
  <c r="OR94" i="36" s="1"/>
  <c r="OT94" i="36" s="1"/>
  <c r="QA23" i="36" l="1"/>
  <c r="RO23" i="36"/>
  <c r="RR23" i="36" s="1"/>
  <c r="PA32" i="36"/>
  <c r="PA63" i="36"/>
  <c r="PA23" i="36"/>
  <c r="UO23" i="36"/>
  <c r="UP23" i="36" s="1"/>
  <c r="OT98" i="36"/>
  <c r="OS98" i="36"/>
  <c r="OV98" i="36"/>
  <c r="OU98" i="36"/>
  <c r="OS94" i="36"/>
  <c r="OV94" i="36"/>
  <c r="OU94" i="36"/>
  <c r="OU8" i="36"/>
  <c r="UH80" i="36"/>
  <c r="UG80" i="36"/>
  <c r="UF80" i="36"/>
  <c r="UC80" i="36"/>
  <c r="UB80" i="36"/>
  <c r="UA80" i="36"/>
  <c r="TZ80" i="36"/>
  <c r="TR80" i="36"/>
  <c r="TQ80" i="36"/>
  <c r="TP80" i="36"/>
  <c r="TO80" i="36"/>
  <c r="TL80" i="36"/>
  <c r="TG80" i="36"/>
  <c r="TF80" i="36"/>
  <c r="TE80" i="36"/>
  <c r="TD80" i="36"/>
  <c r="SZ80" i="36"/>
  <c r="SW80" i="36"/>
  <c r="SV80" i="36"/>
  <c r="SR80" i="36"/>
  <c r="SQ80" i="36"/>
  <c r="SP80" i="36"/>
  <c r="SO80" i="36"/>
  <c r="SL80" i="36"/>
  <c r="SG80" i="36"/>
  <c r="SF80" i="36"/>
  <c r="SE80" i="36"/>
  <c r="SD80" i="36"/>
  <c r="SA80" i="36"/>
  <c r="RV80" i="36"/>
  <c r="RS80" i="36"/>
  <c r="RI80" i="36"/>
  <c r="RF80" i="36"/>
  <c r="RA80" i="36"/>
  <c r="QZ80" i="36"/>
  <c r="QX80" i="36"/>
  <c r="QP80" i="36"/>
  <c r="QO80" i="36"/>
  <c r="QN80" i="36"/>
  <c r="QM80" i="36"/>
  <c r="QJ80" i="36"/>
  <c r="QE80" i="36"/>
  <c r="QD80" i="36"/>
  <c r="QB80" i="36"/>
  <c r="PX80" i="36"/>
  <c r="PU80" i="36"/>
  <c r="PP80" i="36"/>
  <c r="PO80" i="36"/>
  <c r="PN80" i="36"/>
  <c r="PM80" i="36"/>
  <c r="PJ80" i="36"/>
  <c r="PH80" i="36"/>
  <c r="PE80" i="36"/>
  <c r="PD80" i="36"/>
  <c r="PB80" i="36"/>
  <c r="OY80" i="36"/>
  <c r="OW80" i="36"/>
  <c r="OT80" i="36"/>
  <c r="OS80" i="36"/>
  <c r="OQ80" i="36"/>
  <c r="RO79" i="36"/>
  <c r="RN79" i="36"/>
  <c r="RM79" i="36"/>
  <c r="RK79" i="36"/>
  <c r="RJ79" i="36"/>
  <c r="PZ79" i="36"/>
  <c r="PY79" i="36"/>
  <c r="UD78" i="36"/>
  <c r="TS78" i="36"/>
  <c r="TX78" i="36" s="1"/>
  <c r="TH78" i="36"/>
  <c r="TM78" i="36" s="1"/>
  <c r="SS78" i="36"/>
  <c r="SH78" i="36"/>
  <c r="SM78" i="36" s="1"/>
  <c r="SB78" i="36"/>
  <c r="RO78" i="36"/>
  <c r="RN78" i="36"/>
  <c r="RM78" i="36"/>
  <c r="RJ78" i="36"/>
  <c r="RG78" i="36"/>
  <c r="QQ78" i="36"/>
  <c r="QV78" i="36" s="1"/>
  <c r="QF78" i="36"/>
  <c r="PY78" i="36"/>
  <c r="PV78" i="36"/>
  <c r="PK78" i="36"/>
  <c r="UD77" i="36"/>
  <c r="TS77" i="36"/>
  <c r="TX77" i="36" s="1"/>
  <c r="TH77" i="36"/>
  <c r="TM77" i="36" s="1"/>
  <c r="SS77" i="36"/>
  <c r="SH77" i="36"/>
  <c r="SM77" i="36" s="1"/>
  <c r="SB77" i="36"/>
  <c r="RO77" i="36"/>
  <c r="RN77" i="36"/>
  <c r="RM77" i="36"/>
  <c r="RJ77" i="36"/>
  <c r="QQ77" i="36"/>
  <c r="QV77" i="36" s="1"/>
  <c r="QF77" i="36"/>
  <c r="PY77" i="36"/>
  <c r="PK77" i="36"/>
  <c r="UD76" i="36"/>
  <c r="TS76" i="36"/>
  <c r="TX76" i="36" s="1"/>
  <c r="TH76" i="36"/>
  <c r="TM76" i="36" s="1"/>
  <c r="SS76" i="36"/>
  <c r="SH76" i="36"/>
  <c r="SM76" i="36" s="1"/>
  <c r="SB76" i="36"/>
  <c r="RM76" i="36"/>
  <c r="RJ76" i="36"/>
  <c r="RG76" i="36"/>
  <c r="QQ76" i="36"/>
  <c r="QV76" i="36" s="1"/>
  <c r="QF76" i="36"/>
  <c r="PY76" i="36"/>
  <c r="UD75" i="36"/>
  <c r="TS75" i="36"/>
  <c r="TX75" i="36" s="1"/>
  <c r="TH75" i="36"/>
  <c r="SS75" i="36"/>
  <c r="SH75" i="36"/>
  <c r="SM75" i="36" s="1"/>
  <c r="SB75" i="36"/>
  <c r="RM75" i="36"/>
  <c r="RJ75" i="36"/>
  <c r="QQ75" i="36"/>
  <c r="QV75" i="36" s="1"/>
  <c r="QF75" i="36"/>
  <c r="UD67" i="36"/>
  <c r="UM67" i="36" s="1"/>
  <c r="TX67" i="36"/>
  <c r="UD70" i="36"/>
  <c r="TX70" i="36"/>
  <c r="UD72" i="36"/>
  <c r="UI72" i="36" s="1"/>
  <c r="TS72" i="36"/>
  <c r="TX72" i="36" s="1"/>
  <c r="RM72" i="36"/>
  <c r="RP72" i="36" s="1"/>
  <c r="QF72" i="36"/>
  <c r="QK72" i="36" s="1"/>
  <c r="UD69" i="36"/>
  <c r="TS69" i="36"/>
  <c r="TX69" i="36" s="1"/>
  <c r="TY69" i="36" s="1"/>
  <c r="RW69" i="36"/>
  <c r="RM69" i="36"/>
  <c r="RP69" i="36" s="1"/>
  <c r="RJ69" i="36"/>
  <c r="RB69" i="36"/>
  <c r="QR69" i="36"/>
  <c r="QF69" i="36"/>
  <c r="UD68" i="36"/>
  <c r="UI68" i="36" s="1"/>
  <c r="UJ68" i="36" s="1"/>
  <c r="TS68" i="36"/>
  <c r="TX68" i="36" s="1"/>
  <c r="TY68" i="36" s="1"/>
  <c r="RW68" i="36"/>
  <c r="TB68" i="36" s="1"/>
  <c r="RM68" i="36"/>
  <c r="RP68" i="36" s="1"/>
  <c r="RJ68" i="36"/>
  <c r="RB68" i="36"/>
  <c r="RG68" i="36" s="1"/>
  <c r="RH68" i="36" s="1"/>
  <c r="QV68" i="36"/>
  <c r="QW68" i="36" s="1"/>
  <c r="QF68" i="36"/>
  <c r="UD74" i="36"/>
  <c r="TS74" i="36"/>
  <c r="SB74" i="36"/>
  <c r="RM74" i="36"/>
  <c r="RP74" i="36" s="1"/>
  <c r="RJ74" i="36"/>
  <c r="QF74" i="36"/>
  <c r="UD64" i="36"/>
  <c r="UI64" i="36" s="1"/>
  <c r="UJ64" i="36" s="1"/>
  <c r="TS64" i="36"/>
  <c r="TH64" i="36"/>
  <c r="TM64" i="36" s="1"/>
  <c r="TN64" i="36" s="1"/>
  <c r="TA64" i="36"/>
  <c r="SS64" i="36"/>
  <c r="ST64" i="36" s="1"/>
  <c r="RW64" i="36"/>
  <c r="RX64" i="36" s="1"/>
  <c r="RM64" i="36"/>
  <c r="RP64" i="36" s="1"/>
  <c r="RJ64" i="36"/>
  <c r="RB64" i="36"/>
  <c r="QV64" i="36"/>
  <c r="QW64" i="36" s="1"/>
  <c r="PY64" i="36"/>
  <c r="PQ64" i="36"/>
  <c r="PF64" i="36"/>
  <c r="UD63" i="36"/>
  <c r="UI63" i="36" s="1"/>
  <c r="TS63" i="36"/>
  <c r="TH63" i="36"/>
  <c r="TI63" i="36" s="1"/>
  <c r="TA63" i="36"/>
  <c r="SS63" i="36"/>
  <c r="SX63" i="36" s="1"/>
  <c r="SY63" i="36" s="1"/>
  <c r="SH63" i="36"/>
  <c r="SM63" i="36" s="1"/>
  <c r="SN63" i="36" s="1"/>
  <c r="RW63" i="36"/>
  <c r="RX63" i="36" s="1"/>
  <c r="RM63" i="36"/>
  <c r="RP63" i="36" s="1"/>
  <c r="RJ63" i="36"/>
  <c r="RB63" i="36"/>
  <c r="QR63" i="36"/>
  <c r="QF63" i="36"/>
  <c r="PY63" i="36"/>
  <c r="PQ63" i="36"/>
  <c r="PR63" i="36" s="1"/>
  <c r="PF63" i="36"/>
  <c r="SK80" i="36"/>
  <c r="UD62" i="36"/>
  <c r="UI62" i="36" s="1"/>
  <c r="UJ62" i="36" s="1"/>
  <c r="TS62" i="36"/>
  <c r="TH62" i="36"/>
  <c r="TM62" i="36" s="1"/>
  <c r="TN62" i="36" s="1"/>
  <c r="TA62" i="36"/>
  <c r="SS62" i="36"/>
  <c r="ST62" i="36" s="1"/>
  <c r="SH62" i="36"/>
  <c r="SM62" i="36" s="1"/>
  <c r="SN62" i="36" s="1"/>
  <c r="RW62" i="36"/>
  <c r="RX62" i="36" s="1"/>
  <c r="RM62" i="36"/>
  <c r="RP62" i="36" s="1"/>
  <c r="RJ62" i="36"/>
  <c r="RB62" i="36"/>
  <c r="RC62" i="36" s="1"/>
  <c r="QR62" i="36"/>
  <c r="QF62" i="36"/>
  <c r="QK62" i="36" s="1"/>
  <c r="QL62" i="36" s="1"/>
  <c r="PY62" i="36"/>
  <c r="PQ62" i="36"/>
  <c r="PR62" i="36" s="1"/>
  <c r="PF62" i="36"/>
  <c r="UD61" i="36"/>
  <c r="UI61" i="36" s="1"/>
  <c r="TS61" i="36"/>
  <c r="TX61" i="36" s="1"/>
  <c r="TY61" i="36" s="1"/>
  <c r="TH61" i="36"/>
  <c r="TI61" i="36" s="1"/>
  <c r="TA61" i="36"/>
  <c r="SS61" i="36"/>
  <c r="SH61" i="36"/>
  <c r="SI61" i="36" s="1"/>
  <c r="RW61" i="36"/>
  <c r="RX61" i="36" s="1"/>
  <c r="RM61" i="36"/>
  <c r="RP61" i="36" s="1"/>
  <c r="RJ61" i="36"/>
  <c r="QR61" i="36"/>
  <c r="QF61" i="36"/>
  <c r="PY61" i="36"/>
  <c r="PQ61" i="36"/>
  <c r="PF61" i="36"/>
  <c r="UD60" i="36"/>
  <c r="UE60" i="36" s="1"/>
  <c r="TW80" i="36"/>
  <c r="TV80" i="36"/>
  <c r="TU80" i="36"/>
  <c r="TS60" i="36"/>
  <c r="TK80" i="36"/>
  <c r="TJ80" i="36"/>
  <c r="TH60" i="36"/>
  <c r="SS60" i="36"/>
  <c r="ST60" i="36" s="1"/>
  <c r="SJ80" i="36"/>
  <c r="SH60" i="36"/>
  <c r="SI60" i="36" s="1"/>
  <c r="RY80" i="36"/>
  <c r="TA60" i="36"/>
  <c r="RM60" i="36"/>
  <c r="RP60" i="36" s="1"/>
  <c r="RJ60" i="36"/>
  <c r="RE80" i="36"/>
  <c r="RB60" i="36"/>
  <c r="QU80" i="36"/>
  <c r="QS80" i="36"/>
  <c r="QI80" i="36"/>
  <c r="QH80" i="36"/>
  <c r="QF60" i="36"/>
  <c r="PY60" i="36"/>
  <c r="PQ60" i="36"/>
  <c r="PI80" i="36"/>
  <c r="OX80" i="36"/>
  <c r="UL80" i="36"/>
  <c r="UR80" i="36" s="1"/>
  <c r="RO59" i="36"/>
  <c r="RN59" i="36"/>
  <c r="RM59" i="36"/>
  <c r="PY59" i="36"/>
  <c r="UK58" i="36"/>
  <c r="UH58" i="36"/>
  <c r="UC58" i="36"/>
  <c r="UB58" i="36"/>
  <c r="UA58" i="36"/>
  <c r="TZ58" i="36"/>
  <c r="TR58" i="36"/>
  <c r="TQ58" i="36"/>
  <c r="TP58" i="36"/>
  <c r="TO58" i="36"/>
  <c r="TL58" i="36"/>
  <c r="TG58" i="36"/>
  <c r="TF58" i="36"/>
  <c r="TE58" i="36"/>
  <c r="TD58" i="36"/>
  <c r="SZ58" i="36"/>
  <c r="SW58" i="36"/>
  <c r="SV58" i="36"/>
  <c r="SR58" i="36"/>
  <c r="SQ58" i="36"/>
  <c r="SP58" i="36"/>
  <c r="SO58" i="36"/>
  <c r="SL58" i="36"/>
  <c r="SG58" i="36"/>
  <c r="SF58" i="36"/>
  <c r="SE58" i="36"/>
  <c r="SD58" i="36"/>
  <c r="SA58" i="36"/>
  <c r="RZ58" i="36"/>
  <c r="RV58" i="36"/>
  <c r="RU58" i="36"/>
  <c r="RT58" i="36"/>
  <c r="RS58" i="36"/>
  <c r="RI58" i="36"/>
  <c r="RF58" i="36"/>
  <c r="RA58" i="36"/>
  <c r="QZ58" i="36"/>
  <c r="QX58" i="36"/>
  <c r="QP58" i="36"/>
  <c r="QE58" i="36"/>
  <c r="PX58" i="36"/>
  <c r="PP58" i="36"/>
  <c r="PE58" i="36"/>
  <c r="OS58" i="36"/>
  <c r="OQ58" i="36"/>
  <c r="TA57" i="36"/>
  <c r="SH57" i="36"/>
  <c r="TB57" i="36" s="1"/>
  <c r="RM57" i="36"/>
  <c r="RK57" i="36"/>
  <c r="RJ57" i="36"/>
  <c r="OU57" i="36"/>
  <c r="UD56" i="36"/>
  <c r="UI56" i="36" s="1"/>
  <c r="UJ56" i="36" s="1"/>
  <c r="TS56" i="36"/>
  <c r="TX56" i="36" s="1"/>
  <c r="TY56" i="36" s="1"/>
  <c r="TH56" i="36"/>
  <c r="TA56" i="36"/>
  <c r="SS56" i="36"/>
  <c r="SX56" i="36" s="1"/>
  <c r="SY56" i="36" s="1"/>
  <c r="RM56" i="36"/>
  <c r="RK56" i="36"/>
  <c r="RO56" i="36" s="1"/>
  <c r="RJ56" i="36"/>
  <c r="RN56" i="36" s="1"/>
  <c r="UD55" i="36"/>
  <c r="UI55" i="36" s="1"/>
  <c r="TS55" i="36"/>
  <c r="TH55" i="36"/>
  <c r="TM55" i="36" s="1"/>
  <c r="TN55" i="36" s="1"/>
  <c r="TA55" i="36"/>
  <c r="SS55" i="36"/>
  <c r="SX55" i="36" s="1"/>
  <c r="SY55" i="36" s="1"/>
  <c r="RM55" i="36"/>
  <c r="RK55" i="36"/>
  <c r="RO55" i="36" s="1"/>
  <c r="RJ55" i="36"/>
  <c r="RN55" i="36" s="1"/>
  <c r="UD54" i="36"/>
  <c r="UI54" i="36" s="1"/>
  <c r="TS54" i="36"/>
  <c r="TX54" i="36" s="1"/>
  <c r="TY54" i="36" s="1"/>
  <c r="TH54" i="36"/>
  <c r="TA54" i="36"/>
  <c r="SS54" i="36"/>
  <c r="RM54" i="36"/>
  <c r="RK54" i="36"/>
  <c r="RO54" i="36" s="1"/>
  <c r="RJ54" i="36"/>
  <c r="RN54" i="36" s="1"/>
  <c r="UD53" i="36"/>
  <c r="UI53" i="36" s="1"/>
  <c r="UJ53" i="36" s="1"/>
  <c r="TS53" i="36"/>
  <c r="TX53" i="36" s="1"/>
  <c r="TY53" i="36" s="1"/>
  <c r="TH53" i="36"/>
  <c r="TM53" i="36" s="1"/>
  <c r="TN53" i="36" s="1"/>
  <c r="TA53" i="36"/>
  <c r="SS53" i="36"/>
  <c r="RW53" i="36"/>
  <c r="SB53" i="36" s="1"/>
  <c r="RM53" i="36"/>
  <c r="RJ53" i="36"/>
  <c r="RB53" i="36"/>
  <c r="QQ53" i="36"/>
  <c r="QV53" i="36" s="1"/>
  <c r="QF53" i="36"/>
  <c r="QK53" i="36" s="1"/>
  <c r="PY53" i="36"/>
  <c r="OU53" i="36"/>
  <c r="UD52" i="36"/>
  <c r="TS52" i="36"/>
  <c r="TX52" i="36" s="1"/>
  <c r="TY52" i="36" s="1"/>
  <c r="TH52" i="36"/>
  <c r="TM52" i="36" s="1"/>
  <c r="TN52" i="36" s="1"/>
  <c r="TA52" i="36"/>
  <c r="SS52" i="36"/>
  <c r="SX52" i="36" s="1"/>
  <c r="SY52" i="36" s="1"/>
  <c r="RW52" i="36"/>
  <c r="RM52" i="36"/>
  <c r="RJ52" i="36"/>
  <c r="RB52" i="36"/>
  <c r="QQ52" i="36"/>
  <c r="QF52" i="36"/>
  <c r="PZ52" i="36"/>
  <c r="PY52" i="36"/>
  <c r="UD51" i="36"/>
  <c r="UI51" i="36" s="1"/>
  <c r="UJ51" i="36" s="1"/>
  <c r="TS51" i="36"/>
  <c r="TX51" i="36" s="1"/>
  <c r="TY51" i="36" s="1"/>
  <c r="TH51" i="36"/>
  <c r="TM51" i="36" s="1"/>
  <c r="TN51" i="36" s="1"/>
  <c r="TA51" i="36"/>
  <c r="SS51" i="36"/>
  <c r="RW51" i="36"/>
  <c r="SB51" i="36" s="1"/>
  <c r="RM51" i="36"/>
  <c r="RJ51" i="36"/>
  <c r="RB51" i="36"/>
  <c r="RG51" i="36" s="1"/>
  <c r="QQ51" i="36"/>
  <c r="QV51" i="36" s="1"/>
  <c r="QF51" i="36"/>
  <c r="QK51" i="36" s="1"/>
  <c r="PY51" i="36"/>
  <c r="OU51" i="36"/>
  <c r="UD50" i="36"/>
  <c r="UI50" i="36" s="1"/>
  <c r="TS50" i="36"/>
  <c r="TX50" i="36" s="1"/>
  <c r="TY50" i="36" s="1"/>
  <c r="TH50" i="36"/>
  <c r="TM50" i="36" s="1"/>
  <c r="TN50" i="36" s="1"/>
  <c r="TA50" i="36"/>
  <c r="SS50" i="36"/>
  <c r="SX50" i="36" s="1"/>
  <c r="SY50" i="36" s="1"/>
  <c r="RW50" i="36"/>
  <c r="SB50" i="36" s="1"/>
  <c r="RM50" i="36"/>
  <c r="RJ50" i="36"/>
  <c r="RB50" i="36"/>
  <c r="QQ50" i="36"/>
  <c r="QV50" i="36" s="1"/>
  <c r="QF50" i="36"/>
  <c r="QK50" i="36" s="1"/>
  <c r="PY50" i="36"/>
  <c r="PQ50" i="36"/>
  <c r="PV50" i="36" s="1"/>
  <c r="PF50" i="36"/>
  <c r="OU50" i="36"/>
  <c r="UD49" i="36"/>
  <c r="UI49" i="36" s="1"/>
  <c r="UJ49" i="36" s="1"/>
  <c r="TS49" i="36"/>
  <c r="TX49" i="36" s="1"/>
  <c r="TY49" i="36" s="1"/>
  <c r="TH49" i="36"/>
  <c r="TM49" i="36" s="1"/>
  <c r="TN49" i="36" s="1"/>
  <c r="TA49" i="36"/>
  <c r="SS49" i="36"/>
  <c r="SX49" i="36" s="1"/>
  <c r="SY49" i="36" s="1"/>
  <c r="RW49" i="36"/>
  <c r="SB49" i="36" s="1"/>
  <c r="RM49" i="36"/>
  <c r="RJ49" i="36"/>
  <c r="RB49" i="36"/>
  <c r="QQ49" i="36"/>
  <c r="QV49" i="36" s="1"/>
  <c r="QF49" i="36"/>
  <c r="QK49" i="36" s="1"/>
  <c r="PY49" i="36"/>
  <c r="PQ49" i="36"/>
  <c r="PV49" i="36" s="1"/>
  <c r="PF49" i="36"/>
  <c r="PK49" i="36" s="1"/>
  <c r="OU49" i="36"/>
  <c r="UD48" i="36"/>
  <c r="TS48" i="36"/>
  <c r="TX48" i="36" s="1"/>
  <c r="TY48" i="36" s="1"/>
  <c r="TH48" i="36"/>
  <c r="TM48" i="36" s="1"/>
  <c r="TN48" i="36" s="1"/>
  <c r="TA48" i="36"/>
  <c r="SS48" i="36"/>
  <c r="SX48" i="36" s="1"/>
  <c r="SY48" i="36" s="1"/>
  <c r="RW48" i="36"/>
  <c r="SB48" i="36" s="1"/>
  <c r="RM48" i="36"/>
  <c r="RJ48" i="36"/>
  <c r="RB48" i="36"/>
  <c r="QQ48" i="36"/>
  <c r="QV48" i="36" s="1"/>
  <c r="QF48" i="36"/>
  <c r="QK48" i="36" s="1"/>
  <c r="PY48" i="36"/>
  <c r="PQ48" i="36"/>
  <c r="PV48" i="36" s="1"/>
  <c r="PF48" i="36"/>
  <c r="PK48" i="36" s="1"/>
  <c r="OU48" i="36"/>
  <c r="UD47" i="36"/>
  <c r="UI47" i="36" s="1"/>
  <c r="TS47" i="36"/>
  <c r="TX47" i="36" s="1"/>
  <c r="TY47" i="36" s="1"/>
  <c r="TH47" i="36"/>
  <c r="TM47" i="36" s="1"/>
  <c r="TN47" i="36" s="1"/>
  <c r="TA47" i="36"/>
  <c r="SS47" i="36"/>
  <c r="SX47" i="36" s="1"/>
  <c r="SY47" i="36" s="1"/>
  <c r="RW47" i="36"/>
  <c r="SB47" i="36" s="1"/>
  <c r="RM47" i="36"/>
  <c r="RJ47" i="36"/>
  <c r="RB47" i="36"/>
  <c r="QQ47" i="36"/>
  <c r="QV47" i="36" s="1"/>
  <c r="QF47" i="36"/>
  <c r="QK47" i="36" s="1"/>
  <c r="PY47" i="36"/>
  <c r="PQ47" i="36"/>
  <c r="PV47" i="36" s="1"/>
  <c r="PF47" i="36"/>
  <c r="PK47" i="36" s="1"/>
  <c r="OU47" i="36"/>
  <c r="UD46" i="36"/>
  <c r="UI46" i="36" s="1"/>
  <c r="TS46" i="36"/>
  <c r="TX46" i="36" s="1"/>
  <c r="TY46" i="36" s="1"/>
  <c r="TH46" i="36"/>
  <c r="TM46" i="36" s="1"/>
  <c r="TN46" i="36" s="1"/>
  <c r="TA46" i="36"/>
  <c r="SS46" i="36"/>
  <c r="SX46" i="36" s="1"/>
  <c r="SY46" i="36" s="1"/>
  <c r="RW46" i="36"/>
  <c r="SB46" i="36" s="1"/>
  <c r="RM46" i="36"/>
  <c r="RJ46" i="36"/>
  <c r="RB46" i="36"/>
  <c r="QQ46" i="36"/>
  <c r="QV46" i="36" s="1"/>
  <c r="QF46" i="36"/>
  <c r="QK46" i="36" s="1"/>
  <c r="PY46" i="36"/>
  <c r="PQ46" i="36"/>
  <c r="PV46" i="36" s="1"/>
  <c r="PF46" i="36"/>
  <c r="PK46" i="36" s="1"/>
  <c r="OU46" i="36"/>
  <c r="UD45" i="36"/>
  <c r="UI45" i="36" s="1"/>
  <c r="UJ45" i="36" s="1"/>
  <c r="TS45" i="36"/>
  <c r="TX45" i="36" s="1"/>
  <c r="TY45" i="36" s="1"/>
  <c r="TH45" i="36"/>
  <c r="TM45" i="36" s="1"/>
  <c r="TN45" i="36" s="1"/>
  <c r="TA45" i="36"/>
  <c r="SS45" i="36"/>
  <c r="RW45" i="36"/>
  <c r="SB45" i="36" s="1"/>
  <c r="RM45" i="36"/>
  <c r="RJ45" i="36"/>
  <c r="RB45" i="36"/>
  <c r="QQ45" i="36"/>
  <c r="QV45" i="36" s="1"/>
  <c r="QF45" i="36"/>
  <c r="QK45" i="36" s="1"/>
  <c r="PY45" i="36"/>
  <c r="PQ45" i="36"/>
  <c r="PV45" i="36" s="1"/>
  <c r="PF45" i="36"/>
  <c r="PK45" i="36" s="1"/>
  <c r="OU45" i="36"/>
  <c r="UD44" i="36"/>
  <c r="UI44" i="36" s="1"/>
  <c r="TS44" i="36"/>
  <c r="TH44" i="36"/>
  <c r="TM44" i="36" s="1"/>
  <c r="TA44" i="36"/>
  <c r="SS44" i="36"/>
  <c r="RW44" i="36"/>
  <c r="SB44" i="36" s="1"/>
  <c r="RM44" i="36"/>
  <c r="RJ44" i="36"/>
  <c r="RB44" i="36"/>
  <c r="QQ44" i="36"/>
  <c r="QV44" i="36" s="1"/>
  <c r="QF44" i="36"/>
  <c r="QK44" i="36" s="1"/>
  <c r="PY44" i="36"/>
  <c r="PF44" i="36"/>
  <c r="PK44" i="36" s="1"/>
  <c r="OU44" i="36"/>
  <c r="UD39" i="36"/>
  <c r="TS39" i="36"/>
  <c r="TX39" i="36" s="1"/>
  <c r="TH39" i="36"/>
  <c r="TM39" i="36" s="1"/>
  <c r="TA39" i="36"/>
  <c r="RW39" i="36"/>
  <c r="SB39" i="36" s="1"/>
  <c r="RM39" i="36"/>
  <c r="RJ39" i="36"/>
  <c r="RB39" i="36"/>
  <c r="QQ39" i="36"/>
  <c r="QV39" i="36" s="1"/>
  <c r="QF39" i="36"/>
  <c r="PY39" i="36"/>
  <c r="UD40" i="36"/>
  <c r="TS40" i="36"/>
  <c r="TX40" i="36" s="1"/>
  <c r="TH40" i="36"/>
  <c r="TM40" i="36" s="1"/>
  <c r="TA40" i="36"/>
  <c r="RW40" i="36"/>
  <c r="RM40" i="36"/>
  <c r="RP40" i="36" s="1"/>
  <c r="RJ40" i="36"/>
  <c r="RB40" i="36"/>
  <c r="QQ40" i="36"/>
  <c r="QV40" i="36" s="1"/>
  <c r="QF40" i="36"/>
  <c r="PY40" i="36"/>
  <c r="UD36" i="36"/>
  <c r="TS36" i="36"/>
  <c r="TX36" i="36" s="1"/>
  <c r="TH36" i="36"/>
  <c r="TI36" i="36" s="1"/>
  <c r="TA36" i="36"/>
  <c r="RW36" i="36"/>
  <c r="RM36" i="36"/>
  <c r="RK36" i="36"/>
  <c r="RJ36" i="36"/>
  <c r="RN36" i="36" s="1"/>
  <c r="QV36" i="36"/>
  <c r="QW36" i="36" s="1"/>
  <c r="QK36" i="36"/>
  <c r="UD32" i="36"/>
  <c r="TS32" i="36"/>
  <c r="TX32" i="36" s="1"/>
  <c r="TY32" i="36" s="1"/>
  <c r="TH32" i="36"/>
  <c r="TI32" i="36" s="1"/>
  <c r="TA32" i="36"/>
  <c r="SS32" i="36"/>
  <c r="SX32" i="36" s="1"/>
  <c r="SY32" i="36" s="1"/>
  <c r="SH32" i="36"/>
  <c r="SM32" i="36" s="1"/>
  <c r="SN32" i="36" s="1"/>
  <c r="RW32" i="36"/>
  <c r="SB32" i="36" s="1"/>
  <c r="SC32" i="36" s="1"/>
  <c r="RM32" i="36"/>
  <c r="RP32" i="36" s="1"/>
  <c r="RJ32" i="36"/>
  <c r="QK32" i="36"/>
  <c r="QL32" i="36" s="1"/>
  <c r="PY32" i="36"/>
  <c r="PF32" i="36"/>
  <c r="UD42" i="36"/>
  <c r="TS42" i="36"/>
  <c r="TH42" i="36"/>
  <c r="TA42" i="36"/>
  <c r="RW42" i="36"/>
  <c r="SB42" i="36" s="1"/>
  <c r="RM42" i="36"/>
  <c r="RP42" i="36" s="1"/>
  <c r="RJ42" i="36"/>
  <c r="RB42" i="36"/>
  <c r="RG42" i="36" s="1"/>
  <c r="QQ42" i="36"/>
  <c r="QF42" i="36"/>
  <c r="PY42" i="36"/>
  <c r="UD41" i="36"/>
  <c r="UI41" i="36" s="1"/>
  <c r="TS41" i="36"/>
  <c r="TX41" i="36" s="1"/>
  <c r="TY41" i="36" s="1"/>
  <c r="TH41" i="36"/>
  <c r="TM41" i="36" s="1"/>
  <c r="TA41" i="36"/>
  <c r="RW41" i="36"/>
  <c r="RM41" i="36"/>
  <c r="RP41" i="36" s="1"/>
  <c r="RJ41" i="36"/>
  <c r="RB41" i="36"/>
  <c r="QQ41" i="36"/>
  <c r="QF41" i="36"/>
  <c r="PY41" i="36"/>
  <c r="UD38" i="36"/>
  <c r="UI38" i="36" s="1"/>
  <c r="UJ38" i="36" s="1"/>
  <c r="TS38" i="36"/>
  <c r="TX38" i="36" s="1"/>
  <c r="TY38" i="36" s="1"/>
  <c r="TH38" i="36"/>
  <c r="TM38" i="36" s="1"/>
  <c r="TA38" i="36"/>
  <c r="RW38" i="36"/>
  <c r="SB38" i="36" s="1"/>
  <c r="RM38" i="36"/>
  <c r="RJ38" i="36"/>
  <c r="RN38" i="36" s="1"/>
  <c r="RB38" i="36"/>
  <c r="RG38" i="36" s="1"/>
  <c r="QQ38" i="36"/>
  <c r="QV38" i="36" s="1"/>
  <c r="QF38" i="36"/>
  <c r="UD31" i="36"/>
  <c r="UI31" i="36" s="1"/>
  <c r="TS31" i="36"/>
  <c r="TX31" i="36" s="1"/>
  <c r="TY31" i="36" s="1"/>
  <c r="TH31" i="36"/>
  <c r="TM31" i="36" s="1"/>
  <c r="TA31" i="36"/>
  <c r="SS31" i="36"/>
  <c r="SX31" i="36" s="1"/>
  <c r="SY31" i="36" s="1"/>
  <c r="SH31" i="36"/>
  <c r="SM31" i="36" s="1"/>
  <c r="SN31" i="36" s="1"/>
  <c r="RW31" i="36"/>
  <c r="RM31" i="36"/>
  <c r="RP31" i="36" s="1"/>
  <c r="RJ31" i="36"/>
  <c r="RC31" i="36"/>
  <c r="QK31" i="36"/>
  <c r="QL31" i="36" s="1"/>
  <c r="PY31" i="36"/>
  <c r="PF31" i="36"/>
  <c r="UD37" i="36"/>
  <c r="UI37" i="36" s="1"/>
  <c r="TS37" i="36"/>
  <c r="TX37" i="36" s="1"/>
  <c r="TY37" i="36" s="1"/>
  <c r="TH37" i="36"/>
  <c r="TA37" i="36"/>
  <c r="RM37" i="36"/>
  <c r="RJ37" i="36"/>
  <c r="QV37" i="36"/>
  <c r="QW37" i="36" s="1"/>
  <c r="QK37" i="36"/>
  <c r="QL37" i="36" s="1"/>
  <c r="PY37" i="36"/>
  <c r="PF37" i="36"/>
  <c r="UD30" i="36"/>
  <c r="UI30" i="36" s="1"/>
  <c r="UJ30" i="36" s="1"/>
  <c r="TS30" i="36"/>
  <c r="TX30" i="36" s="1"/>
  <c r="TY30" i="36" s="1"/>
  <c r="TH30" i="36"/>
  <c r="TN30" i="36" s="1"/>
  <c r="TA30" i="36"/>
  <c r="SS30" i="36"/>
  <c r="SX30" i="36" s="1"/>
  <c r="SY30" i="36" s="1"/>
  <c r="SH30" i="36"/>
  <c r="SM30" i="36" s="1"/>
  <c r="SN30" i="36" s="1"/>
  <c r="RW30" i="36"/>
  <c r="RM30" i="36"/>
  <c r="RP30" i="36" s="1"/>
  <c r="RJ30" i="36"/>
  <c r="PY30" i="36"/>
  <c r="PF30" i="36"/>
  <c r="UD25" i="36"/>
  <c r="TS25" i="36"/>
  <c r="TA25" i="36"/>
  <c r="RW25" i="36"/>
  <c r="SB25" i="36" s="1"/>
  <c r="SC25" i="36" s="1"/>
  <c r="RM25" i="36"/>
  <c r="RP25" i="36" s="1"/>
  <c r="RJ25" i="36"/>
  <c r="PY25" i="36"/>
  <c r="PF25" i="36"/>
  <c r="UD33" i="36"/>
  <c r="UI33" i="36" s="1"/>
  <c r="TS33" i="36"/>
  <c r="TH33" i="36"/>
  <c r="TN33" i="36" s="1"/>
  <c r="TA33" i="36"/>
  <c r="SS33" i="36"/>
  <c r="SX33" i="36" s="1"/>
  <c r="SY33" i="36" s="1"/>
  <c r="SH33" i="36"/>
  <c r="RW33" i="36"/>
  <c r="RM33" i="36"/>
  <c r="RP33" i="36" s="1"/>
  <c r="RJ33" i="36"/>
  <c r="QK33" i="36"/>
  <c r="QL33" i="36" s="1"/>
  <c r="PY33" i="36"/>
  <c r="PF33" i="36"/>
  <c r="UD43" i="36"/>
  <c r="TS43" i="36"/>
  <c r="TH43" i="36"/>
  <c r="TA43" i="36"/>
  <c r="RW43" i="36"/>
  <c r="SB43" i="36" s="1"/>
  <c r="RM43" i="36"/>
  <c r="RP43" i="36" s="1"/>
  <c r="RJ43" i="36"/>
  <c r="RB43" i="36"/>
  <c r="QQ43" i="36"/>
  <c r="QF43" i="36"/>
  <c r="PY43" i="36"/>
  <c r="UD28" i="36"/>
  <c r="UE28" i="36" s="1"/>
  <c r="TS28" i="36"/>
  <c r="TX28" i="36" s="1"/>
  <c r="TY28" i="36" s="1"/>
  <c r="TH28" i="36"/>
  <c r="TM28" i="36" s="1"/>
  <c r="TN28" i="36" s="1"/>
  <c r="TA28" i="36"/>
  <c r="SS28" i="36"/>
  <c r="SX28" i="36" s="1"/>
  <c r="SY28" i="36" s="1"/>
  <c r="SH28" i="36"/>
  <c r="SM28" i="36" s="1"/>
  <c r="SN28" i="36" s="1"/>
  <c r="RM28" i="36"/>
  <c r="RP28" i="36" s="1"/>
  <c r="QK28" i="36"/>
  <c r="QL28" i="36" s="1"/>
  <c r="PY28" i="36"/>
  <c r="PV28" i="36"/>
  <c r="PW28" i="36" s="1"/>
  <c r="PF28" i="36"/>
  <c r="UD27" i="36"/>
  <c r="TS27" i="36"/>
  <c r="TH27" i="36"/>
  <c r="TM27" i="36" s="1"/>
  <c r="TN27" i="36" s="1"/>
  <c r="TA27" i="36"/>
  <c r="SS27" i="36"/>
  <c r="SX27" i="36" s="1"/>
  <c r="SY27" i="36" s="1"/>
  <c r="SH27" i="36"/>
  <c r="SM27" i="36" s="1"/>
  <c r="SN27" i="36" s="1"/>
  <c r="RM27" i="36"/>
  <c r="RP27" i="36" s="1"/>
  <c r="QK27" i="36"/>
  <c r="QL27" i="36" s="1"/>
  <c r="PY27" i="36"/>
  <c r="PV27" i="36"/>
  <c r="PW27" i="36" s="1"/>
  <c r="PF27" i="36"/>
  <c r="UD26" i="36"/>
  <c r="TS26" i="36"/>
  <c r="TA26" i="36"/>
  <c r="SS26" i="36"/>
  <c r="SX26" i="36" s="1"/>
  <c r="SY26" i="36" s="1"/>
  <c r="RM26" i="36"/>
  <c r="RP26" i="36" s="1"/>
  <c r="RD58" i="36"/>
  <c r="PY26" i="36"/>
  <c r="PV26" i="36"/>
  <c r="PW26" i="36" s="1"/>
  <c r="PF26" i="36"/>
  <c r="OZ26" i="36"/>
  <c r="UD29" i="36"/>
  <c r="UI29" i="36" s="1"/>
  <c r="TS29" i="36"/>
  <c r="TH29" i="36"/>
  <c r="TA29" i="36"/>
  <c r="SS29" i="36"/>
  <c r="SX29" i="36" s="1"/>
  <c r="SY29" i="36" s="1"/>
  <c r="SH29" i="36"/>
  <c r="SM29" i="36" s="1"/>
  <c r="SN29" i="36" s="1"/>
  <c r="RM29" i="36"/>
  <c r="RP29" i="36" s="1"/>
  <c r="PY29" i="36"/>
  <c r="PF29" i="36"/>
  <c r="UD24" i="36"/>
  <c r="UE24" i="36" s="1"/>
  <c r="TW58" i="36"/>
  <c r="TS24" i="36"/>
  <c r="TA24" i="36"/>
  <c r="RM24" i="36"/>
  <c r="RP24" i="36" s="1"/>
  <c r="PF24" i="36"/>
  <c r="OY58" i="36"/>
  <c r="OT58" i="36"/>
  <c r="UD22" i="36"/>
  <c r="TS22" i="36"/>
  <c r="TH22" i="36"/>
  <c r="TA22" i="36"/>
  <c r="SS22" i="36"/>
  <c r="ST22" i="36" s="1"/>
  <c r="QY58" i="36"/>
  <c r="QO58" i="36"/>
  <c r="QN58" i="36"/>
  <c r="QM58" i="36"/>
  <c r="QI58" i="36"/>
  <c r="QC58" i="36"/>
  <c r="QB58" i="36"/>
  <c r="PO58" i="36"/>
  <c r="PN58" i="36"/>
  <c r="PM58" i="36"/>
  <c r="PJ58" i="36"/>
  <c r="UD21" i="36"/>
  <c r="UE21" i="36" s="1"/>
  <c r="TS21" i="36"/>
  <c r="TT21" i="36" s="1"/>
  <c r="TK58" i="36"/>
  <c r="TH21" i="36"/>
  <c r="TA21" i="36"/>
  <c r="SS21" i="36"/>
  <c r="ST21" i="36" s="1"/>
  <c r="RW21" i="36"/>
  <c r="RM21" i="36"/>
  <c r="RP21" i="36" s="1"/>
  <c r="RJ21" i="36"/>
  <c r="RE58" i="36"/>
  <c r="RC21" i="36"/>
  <c r="QQ21" i="36"/>
  <c r="QR21" i="36" s="1"/>
  <c r="QF21" i="36"/>
  <c r="QG21" i="36" s="1"/>
  <c r="PY21" i="36"/>
  <c r="PU58" i="36"/>
  <c r="PQ21" i="36"/>
  <c r="OW58" i="36"/>
  <c r="OU21" i="36"/>
  <c r="UD20" i="36"/>
  <c r="TU58" i="36"/>
  <c r="TS20" i="36"/>
  <c r="TH20" i="36"/>
  <c r="TI20" i="36" s="1"/>
  <c r="TA20" i="36"/>
  <c r="SS20" i="36"/>
  <c r="ST20" i="36" s="1"/>
  <c r="SH20" i="36"/>
  <c r="RW20" i="36"/>
  <c r="SB20" i="36" s="1"/>
  <c r="SC20" i="36" s="1"/>
  <c r="RM20" i="36"/>
  <c r="RJ20" i="36"/>
  <c r="QQ20" i="36"/>
  <c r="QF20" i="36"/>
  <c r="PY20" i="36"/>
  <c r="PQ20" i="36"/>
  <c r="PF20" i="36"/>
  <c r="PK20" i="36" s="1"/>
  <c r="OU20" i="36"/>
  <c r="UH15" i="36"/>
  <c r="UC15" i="36"/>
  <c r="UB15" i="36"/>
  <c r="UA15" i="36"/>
  <c r="TZ15" i="36"/>
  <c r="TR15" i="36"/>
  <c r="TQ15" i="36"/>
  <c r="TP15" i="36"/>
  <c r="TO15" i="36"/>
  <c r="TG15" i="36"/>
  <c r="TG18" i="36" s="1"/>
  <c r="TF15" i="36"/>
  <c r="TF18" i="36" s="1"/>
  <c r="TE15" i="36"/>
  <c r="TE18" i="36" s="1"/>
  <c r="TD15" i="36"/>
  <c r="TD18" i="36" s="1"/>
  <c r="SZ15" i="36"/>
  <c r="SV15" i="36"/>
  <c r="SV18" i="36" s="1"/>
  <c r="SU15" i="36"/>
  <c r="SU18" i="36" s="1"/>
  <c r="SR15" i="36"/>
  <c r="SR18" i="36" s="1"/>
  <c r="SQ15" i="36"/>
  <c r="SQ18" i="36" s="1"/>
  <c r="SP15" i="36"/>
  <c r="SP18" i="36" s="1"/>
  <c r="SO15" i="36"/>
  <c r="SO18" i="36" s="1"/>
  <c r="SL15" i="36"/>
  <c r="SL18" i="36" s="1"/>
  <c r="SK15" i="36"/>
  <c r="SK18" i="36" s="1"/>
  <c r="SG15" i="36"/>
  <c r="SG18" i="36" s="1"/>
  <c r="SF15" i="36"/>
  <c r="SE15" i="36"/>
  <c r="SE18" i="36" s="1"/>
  <c r="SD15" i="36"/>
  <c r="SD18" i="36" s="1"/>
  <c r="RZ15" i="36"/>
  <c r="RZ18" i="36" s="1"/>
  <c r="RV15" i="36"/>
  <c r="RV18" i="36" s="1"/>
  <c r="RU15" i="36"/>
  <c r="RU18" i="36" s="1"/>
  <c r="RT15" i="36"/>
  <c r="RT18" i="36" s="1"/>
  <c r="RS15" i="36"/>
  <c r="RS18" i="36" s="1"/>
  <c r="RI15" i="36"/>
  <c r="RF15" i="36"/>
  <c r="RF93" i="36" s="1"/>
  <c r="RE15" i="36"/>
  <c r="RA15" i="36"/>
  <c r="RA18" i="36" s="1"/>
  <c r="QZ15" i="36"/>
  <c r="QZ18" i="36" s="1"/>
  <c r="QY15" i="36"/>
  <c r="QY18" i="36" s="1"/>
  <c r="QX15" i="36"/>
  <c r="QX18" i="36" s="1"/>
  <c r="QU15" i="36"/>
  <c r="QP15" i="36"/>
  <c r="QP18" i="36" s="1"/>
  <c r="QO15" i="36"/>
  <c r="QO18" i="36" s="1"/>
  <c r="QN15" i="36"/>
  <c r="QN18" i="36" s="1"/>
  <c r="QM15" i="36"/>
  <c r="QM18" i="36" s="1"/>
  <c r="QJ15" i="36"/>
  <c r="QI15" i="36"/>
  <c r="QE15" i="36"/>
  <c r="QD15" i="36"/>
  <c r="QC15" i="36"/>
  <c r="QB15" i="36"/>
  <c r="PX15" i="36"/>
  <c r="PU15" i="36"/>
  <c r="PP15" i="36"/>
  <c r="PO15" i="36"/>
  <c r="PN15" i="36"/>
  <c r="PM15" i="36"/>
  <c r="PJ15" i="36"/>
  <c r="PE15" i="36"/>
  <c r="PD15" i="36"/>
  <c r="PC15" i="36"/>
  <c r="PB15" i="36"/>
  <c r="OY15" i="36"/>
  <c r="OX15" i="36"/>
  <c r="OW15" i="36"/>
  <c r="OS15" i="36"/>
  <c r="OR15" i="36"/>
  <c r="OQ15" i="36"/>
  <c r="UD11" i="36"/>
  <c r="UE11" i="36" s="1"/>
  <c r="TS11" i="36"/>
  <c r="TH11" i="36"/>
  <c r="TA11" i="36"/>
  <c r="SS11" i="36"/>
  <c r="SH11" i="36"/>
  <c r="SI11" i="36" s="1"/>
  <c r="RW11" i="36"/>
  <c r="RX11" i="36" s="1"/>
  <c r="RM11" i="36"/>
  <c r="RP11" i="36" s="1"/>
  <c r="RJ11" i="36"/>
  <c r="RB11" i="36"/>
  <c r="QS15" i="36"/>
  <c r="QQ11" i="36"/>
  <c r="QF11" i="36"/>
  <c r="QK11" i="36" s="1"/>
  <c r="QL11" i="36" s="1"/>
  <c r="PQ11" i="36"/>
  <c r="PF11" i="36"/>
  <c r="OU11" i="36"/>
  <c r="UD10" i="36"/>
  <c r="UI10" i="36" s="1"/>
  <c r="TS10" i="36"/>
  <c r="TX10" i="36" s="1"/>
  <c r="TY10" i="36" s="1"/>
  <c r="TH10" i="36"/>
  <c r="TM10" i="36" s="1"/>
  <c r="TN10" i="36" s="1"/>
  <c r="TA10" i="36"/>
  <c r="SS10" i="36"/>
  <c r="SH10" i="36"/>
  <c r="SM10" i="36" s="1"/>
  <c r="SN10" i="36" s="1"/>
  <c r="RW10" i="36"/>
  <c r="SB10" i="36" s="1"/>
  <c r="SC10" i="36" s="1"/>
  <c r="RM10" i="36"/>
  <c r="RP10" i="36" s="1"/>
  <c r="RJ10" i="36"/>
  <c r="RB10" i="36"/>
  <c r="RC10" i="36" s="1"/>
  <c r="QQ10" i="36"/>
  <c r="QF10" i="36"/>
  <c r="QK10" i="36" s="1"/>
  <c r="QL10" i="36" s="1"/>
  <c r="PQ10" i="36"/>
  <c r="PF10" i="36"/>
  <c r="PK10" i="36" s="1"/>
  <c r="OU10" i="36"/>
  <c r="UD9" i="36"/>
  <c r="UI9" i="36" s="1"/>
  <c r="TS9" i="36"/>
  <c r="TX9" i="36" s="1"/>
  <c r="TY9" i="36" s="1"/>
  <c r="TH9" i="36"/>
  <c r="TM9" i="36" s="1"/>
  <c r="TN9" i="36" s="1"/>
  <c r="TA9" i="36"/>
  <c r="SS9" i="36"/>
  <c r="ST9" i="36" s="1"/>
  <c r="SH9" i="36"/>
  <c r="RW9" i="36"/>
  <c r="SB9" i="36" s="1"/>
  <c r="SC9" i="36" s="1"/>
  <c r="RM9" i="36"/>
  <c r="RP9" i="36" s="1"/>
  <c r="RJ9" i="36"/>
  <c r="RB9" i="36"/>
  <c r="RG9" i="36" s="1"/>
  <c r="RH9" i="36" s="1"/>
  <c r="QQ9" i="36"/>
  <c r="QV9" i="36" s="1"/>
  <c r="QW9" i="36" s="1"/>
  <c r="QF9" i="36"/>
  <c r="QK9" i="36" s="1"/>
  <c r="QL9" i="36" s="1"/>
  <c r="PY9" i="36"/>
  <c r="PQ9" i="36"/>
  <c r="PV9" i="36" s="1"/>
  <c r="PW9" i="36" s="1"/>
  <c r="PF9" i="36"/>
  <c r="PK9" i="36" s="1"/>
  <c r="PL9" i="36" s="1"/>
  <c r="OU9" i="36"/>
  <c r="UD8" i="36"/>
  <c r="TS8" i="36"/>
  <c r="TH8" i="36"/>
  <c r="TI8" i="36" s="1"/>
  <c r="TA8" i="36"/>
  <c r="SS8" i="36"/>
  <c r="SX8" i="36" s="1"/>
  <c r="SY8" i="36" s="1"/>
  <c r="SH8" i="36"/>
  <c r="SM8" i="36" s="1"/>
  <c r="SN8" i="36" s="1"/>
  <c r="SA15" i="36"/>
  <c r="SA18" i="36" s="1"/>
  <c r="RW8" i="36"/>
  <c r="RM8" i="36"/>
  <c r="RP8" i="36" s="1"/>
  <c r="RJ8" i="36"/>
  <c r="RB8" i="36"/>
  <c r="RG8" i="36" s="1"/>
  <c r="RH8" i="36" s="1"/>
  <c r="QQ8" i="36"/>
  <c r="QF8" i="36"/>
  <c r="QK8" i="36" s="1"/>
  <c r="QL8" i="36" s="1"/>
  <c r="PY8" i="36"/>
  <c r="PT15" i="36"/>
  <c r="PQ8" i="36"/>
  <c r="PR8" i="36" s="1"/>
  <c r="PF8" i="36"/>
  <c r="PK8" i="36" s="1"/>
  <c r="PL8" i="36" s="1"/>
  <c r="UD7" i="36"/>
  <c r="TS7" i="36"/>
  <c r="TT7" i="36" s="1"/>
  <c r="TH7" i="36"/>
  <c r="TA7" i="36"/>
  <c r="SS7" i="36"/>
  <c r="SX7" i="36" s="1"/>
  <c r="SY7" i="36" s="1"/>
  <c r="SH7" i="36"/>
  <c r="SM7" i="36" s="1"/>
  <c r="SN7" i="36" s="1"/>
  <c r="RW7" i="36"/>
  <c r="RM7" i="36"/>
  <c r="RP7" i="36" s="1"/>
  <c r="RJ7" i="36"/>
  <c r="RB7" i="36"/>
  <c r="QQ7" i="36"/>
  <c r="QV7" i="36" s="1"/>
  <c r="QW7" i="36" s="1"/>
  <c r="QF7" i="36"/>
  <c r="QG7" i="36" s="1"/>
  <c r="PY7" i="36"/>
  <c r="PQ7" i="36"/>
  <c r="PV7" i="36" s="1"/>
  <c r="PW7" i="36" s="1"/>
  <c r="PF7" i="36"/>
  <c r="PK7" i="36" s="1"/>
  <c r="PL7" i="36" s="1"/>
  <c r="OU7" i="36"/>
  <c r="UD6" i="36"/>
  <c r="TW15" i="36"/>
  <c r="TS6" i="36"/>
  <c r="TL15" i="36"/>
  <c r="TH6" i="36"/>
  <c r="TI6" i="36" s="1"/>
  <c r="TA6" i="36"/>
  <c r="SW15" i="36"/>
  <c r="SW18" i="36" s="1"/>
  <c r="SS6" i="36"/>
  <c r="SJ15" i="36"/>
  <c r="SJ18" i="36" s="1"/>
  <c r="SH6" i="36"/>
  <c r="RY15" i="36"/>
  <c r="RY18" i="36" s="1"/>
  <c r="RW6" i="36"/>
  <c r="RX6" i="36" s="1"/>
  <c r="RM6" i="36"/>
  <c r="RP6" i="36" s="1"/>
  <c r="RJ6" i="36"/>
  <c r="RD15" i="36"/>
  <c r="RB6" i="36"/>
  <c r="QT15" i="36"/>
  <c r="QQ6" i="36"/>
  <c r="QR6" i="36" s="1"/>
  <c r="QH15" i="36"/>
  <c r="QF6" i="36"/>
  <c r="QG6" i="36" s="1"/>
  <c r="PY6" i="36"/>
  <c r="PQ6" i="36"/>
  <c r="PR6" i="36" s="1"/>
  <c r="PI15" i="36"/>
  <c r="PF6" i="36"/>
  <c r="PG6" i="36" s="1"/>
  <c r="OU6" i="36"/>
  <c r="UD5" i="36"/>
  <c r="UI5" i="36" s="1"/>
  <c r="TS5" i="36"/>
  <c r="TX5" i="36" s="1"/>
  <c r="TY5" i="36" s="1"/>
  <c r="TH5" i="36"/>
  <c r="TM5" i="36" s="1"/>
  <c r="TA5" i="36"/>
  <c r="SS5" i="36"/>
  <c r="SX5" i="36" s="1"/>
  <c r="SY5" i="36" s="1"/>
  <c r="SH5" i="36"/>
  <c r="SM5" i="36" s="1"/>
  <c r="RW5" i="36"/>
  <c r="SB5" i="36" s="1"/>
  <c r="SC5" i="36" s="1"/>
  <c r="RM5" i="36"/>
  <c r="RP5" i="36" s="1"/>
  <c r="RJ5" i="36"/>
  <c r="RB5" i="36"/>
  <c r="QQ5" i="36"/>
  <c r="QF5" i="36"/>
  <c r="PY5" i="36"/>
  <c r="PQ5" i="36"/>
  <c r="PH15" i="36"/>
  <c r="PF5" i="36"/>
  <c r="OU5" i="36"/>
  <c r="OT15" i="36"/>
  <c r="TL18" i="36" l="1"/>
  <c r="TI29" i="36"/>
  <c r="TM29" i="36"/>
  <c r="TN29" i="36" s="1"/>
  <c r="UM36" i="36"/>
  <c r="UN36" i="36" s="1"/>
  <c r="RN75" i="36"/>
  <c r="RQ75" i="36" s="1"/>
  <c r="TB75" i="36"/>
  <c r="SX75" i="36"/>
  <c r="TB77" i="36"/>
  <c r="SX77" i="36"/>
  <c r="TC68" i="36"/>
  <c r="TB76" i="36"/>
  <c r="SX76" i="36"/>
  <c r="SX78" i="36"/>
  <c r="TB78" i="36"/>
  <c r="UM38" i="36"/>
  <c r="UM40" i="36"/>
  <c r="SB69" i="36"/>
  <c r="SC69" i="36" s="1"/>
  <c r="TB69" i="36"/>
  <c r="SF18" i="36"/>
  <c r="UM39" i="36"/>
  <c r="UM37" i="36"/>
  <c r="UN37" i="36" s="1"/>
  <c r="UM42" i="36"/>
  <c r="UN42" i="36" s="1"/>
  <c r="UM75" i="36"/>
  <c r="UM77" i="36"/>
  <c r="UM78" i="36"/>
  <c r="UM76" i="36"/>
  <c r="QK74" i="36"/>
  <c r="UM74" i="36"/>
  <c r="SI33" i="36"/>
  <c r="SM33" i="36"/>
  <c r="SN33" i="36" s="1"/>
  <c r="UM43" i="36"/>
  <c r="UM41" i="36"/>
  <c r="UN41" i="36" s="1"/>
  <c r="SB21" i="36"/>
  <c r="SC21" i="36" s="1"/>
  <c r="RX33" i="36"/>
  <c r="SB33" i="36"/>
  <c r="SC33" i="36" s="1"/>
  <c r="RX30" i="36"/>
  <c r="SB30" i="36"/>
  <c r="SC30" i="36" s="1"/>
  <c r="RX31" i="36"/>
  <c r="SB31" i="36"/>
  <c r="SC31" i="36" s="1"/>
  <c r="RX68" i="36"/>
  <c r="SB68" i="36"/>
  <c r="SC68" i="36" s="1"/>
  <c r="RO36" i="36"/>
  <c r="RL36" i="36"/>
  <c r="UM29" i="36"/>
  <c r="UN29" i="36" s="1"/>
  <c r="OZ6" i="36"/>
  <c r="UM6" i="36"/>
  <c r="PG27" i="36"/>
  <c r="UM27" i="36"/>
  <c r="UM32" i="36"/>
  <c r="UN32" i="36" s="1"/>
  <c r="UM47" i="36"/>
  <c r="UN47" i="36" s="1"/>
  <c r="UM51" i="36"/>
  <c r="UN51" i="36" s="1"/>
  <c r="UM54" i="36"/>
  <c r="UN54" i="36" s="1"/>
  <c r="UM56" i="36"/>
  <c r="UM72" i="36"/>
  <c r="UN72" i="36" s="1"/>
  <c r="QK76" i="36"/>
  <c r="UM9" i="36"/>
  <c r="UN9" i="36" s="1"/>
  <c r="PZ24" i="36"/>
  <c r="QA24" i="36" s="1"/>
  <c r="UM24" i="36"/>
  <c r="UN24" i="36" s="1"/>
  <c r="PA26" i="36"/>
  <c r="PK31" i="36"/>
  <c r="UM31" i="36"/>
  <c r="QL36" i="36"/>
  <c r="OZ48" i="36"/>
  <c r="UM48" i="36"/>
  <c r="UN48" i="36" s="1"/>
  <c r="QK52" i="36"/>
  <c r="UM52" i="36"/>
  <c r="UN52" i="36" s="1"/>
  <c r="PK62" i="36"/>
  <c r="PL62" i="36" s="1"/>
  <c r="UM62" i="36"/>
  <c r="UN62" i="36" s="1"/>
  <c r="OZ5" i="36"/>
  <c r="PA5" i="36" s="1"/>
  <c r="UM5" i="36"/>
  <c r="UN5" i="36" s="1"/>
  <c r="OZ7" i="36"/>
  <c r="UM7" i="36"/>
  <c r="UN7" i="36" s="1"/>
  <c r="OZ10" i="36"/>
  <c r="UM10" i="36"/>
  <c r="UN10" i="36" s="1"/>
  <c r="OZ11" i="36"/>
  <c r="UM11" i="36"/>
  <c r="UN11" i="36" s="1"/>
  <c r="UM26" i="36"/>
  <c r="UN26" i="36" s="1"/>
  <c r="PG28" i="36"/>
  <c r="UM28" i="36"/>
  <c r="UN28" i="36" s="1"/>
  <c r="PG33" i="36"/>
  <c r="UM33" i="36"/>
  <c r="UN33" i="36" s="1"/>
  <c r="SB36" i="36"/>
  <c r="OZ44" i="36"/>
  <c r="UM44" i="36"/>
  <c r="UN44" i="36" s="1"/>
  <c r="OZ45" i="36"/>
  <c r="UM45" i="36"/>
  <c r="UN45" i="36" s="1"/>
  <c r="OZ49" i="36"/>
  <c r="UM49" i="36"/>
  <c r="UN49" i="36" s="1"/>
  <c r="UM53" i="36"/>
  <c r="UN53" i="36" s="1"/>
  <c r="UM55" i="36"/>
  <c r="PK61" i="36"/>
  <c r="PL61" i="36" s="1"/>
  <c r="PK63" i="36"/>
  <c r="UM63" i="36"/>
  <c r="PK64" i="36"/>
  <c r="QK68" i="36"/>
  <c r="UM68" i="36"/>
  <c r="OZ8" i="36"/>
  <c r="UM8" i="36"/>
  <c r="UN8" i="36" s="1"/>
  <c r="OZ20" i="36"/>
  <c r="UM20" i="36"/>
  <c r="UN20" i="36" s="1"/>
  <c r="PK25" i="36"/>
  <c r="UM25" i="36"/>
  <c r="UN25" i="36" s="1"/>
  <c r="PG30" i="36"/>
  <c r="UM30" i="36"/>
  <c r="UN30" i="36" s="1"/>
  <c r="PK37" i="36"/>
  <c r="QK38" i="36"/>
  <c r="QK42" i="36"/>
  <c r="QK40" i="36"/>
  <c r="OZ46" i="36"/>
  <c r="UM46" i="36"/>
  <c r="UN46" i="36" s="1"/>
  <c r="OZ50" i="36"/>
  <c r="UM50" i="36"/>
  <c r="UN50" i="36" s="1"/>
  <c r="QK69" i="36"/>
  <c r="UM69" i="36"/>
  <c r="UN69" i="36" s="1"/>
  <c r="UE70" i="36"/>
  <c r="UM70" i="36"/>
  <c r="UN70" i="36" s="1"/>
  <c r="QK75" i="36"/>
  <c r="QK77" i="36"/>
  <c r="QK78" i="36"/>
  <c r="RK72" i="36"/>
  <c r="UI74" i="36"/>
  <c r="UJ74" i="36" s="1"/>
  <c r="UI78" i="36"/>
  <c r="RG40" i="36"/>
  <c r="RB58" i="36"/>
  <c r="TK15" i="36"/>
  <c r="TK18" i="36" s="1"/>
  <c r="UF15" i="36"/>
  <c r="RN26" i="36"/>
  <c r="RQ26" i="36" s="1"/>
  <c r="SX6" i="36"/>
  <c r="SY6" i="36" s="1"/>
  <c r="PQ80" i="36"/>
  <c r="TX8" i="36"/>
  <c r="TY8" i="36" s="1"/>
  <c r="QG61" i="36"/>
  <c r="QK61" i="36"/>
  <c r="QL61" i="36" s="1"/>
  <c r="QG63" i="36"/>
  <c r="QK63" i="36"/>
  <c r="QL63" i="36" s="1"/>
  <c r="PV20" i="36"/>
  <c r="SB8" i="36"/>
  <c r="SC8" i="36" s="1"/>
  <c r="QV11" i="36"/>
  <c r="QW11" i="36" s="1"/>
  <c r="UI27" i="36"/>
  <c r="PV5" i="36"/>
  <c r="PQ15" i="36"/>
  <c r="PR15" i="36" s="1"/>
  <c r="PV11" i="36"/>
  <c r="PW11" i="36" s="1"/>
  <c r="PZ11" i="36"/>
  <c r="QA11" i="36" s="1"/>
  <c r="QF15" i="36"/>
  <c r="QG15" i="36" s="1"/>
  <c r="PV10" i="36"/>
  <c r="PZ10" i="36"/>
  <c r="PG24" i="36"/>
  <c r="PK24" i="36"/>
  <c r="PL24" i="36" s="1"/>
  <c r="PK11" i="36"/>
  <c r="PL11" i="36" s="1"/>
  <c r="TX7" i="36"/>
  <c r="TY7" i="36" s="1"/>
  <c r="QK26" i="36"/>
  <c r="QL26" i="36" s="1"/>
  <c r="SI62" i="36"/>
  <c r="TV15" i="36"/>
  <c r="QK21" i="36"/>
  <c r="QL21" i="36" s="1"/>
  <c r="QV31" i="36"/>
  <c r="QW31" i="36" s="1"/>
  <c r="QT80" i="36"/>
  <c r="SM61" i="36"/>
  <c r="SN61" i="36" s="1"/>
  <c r="QG11" i="36"/>
  <c r="UI20" i="36"/>
  <c r="UJ20" i="36" s="1"/>
  <c r="RZ80" i="36"/>
  <c r="TM61" i="36"/>
  <c r="TN61" i="36" s="1"/>
  <c r="TT28" i="36"/>
  <c r="TB30" i="36"/>
  <c r="TC30" i="36" s="1"/>
  <c r="SB37" i="36"/>
  <c r="RN31" i="36"/>
  <c r="RQ31" i="36" s="1"/>
  <c r="RN46" i="36"/>
  <c r="PZ47" i="36"/>
  <c r="OZ47" i="36"/>
  <c r="RN53" i="36"/>
  <c r="PZ78" i="36"/>
  <c r="TM11" i="36"/>
  <c r="TN11" i="36" s="1"/>
  <c r="SX20" i="36"/>
  <c r="SY20" i="36" s="1"/>
  <c r="TM37" i="36"/>
  <c r="RN49" i="36"/>
  <c r="PZ53" i="36"/>
  <c r="OZ53" i="36"/>
  <c r="ST7" i="36"/>
  <c r="TJ15" i="36"/>
  <c r="TJ18" i="36" s="1"/>
  <c r="SM20" i="36"/>
  <c r="SN20" i="36" s="1"/>
  <c r="PV21" i="36"/>
  <c r="PW21" i="36" s="1"/>
  <c r="QV42" i="36"/>
  <c r="QK60" i="36"/>
  <c r="UI70" i="36"/>
  <c r="UO70" i="36" s="1"/>
  <c r="UP70" i="36" s="1"/>
  <c r="UI26" i="36"/>
  <c r="UJ26" i="36" s="1"/>
  <c r="UI28" i="36"/>
  <c r="UJ28" i="36" s="1"/>
  <c r="SI30" i="36"/>
  <c r="TB37" i="36"/>
  <c r="TB39" i="36"/>
  <c r="PZ51" i="36"/>
  <c r="OZ51" i="36"/>
  <c r="QG68" i="36"/>
  <c r="UI60" i="36"/>
  <c r="UJ60" i="36" s="1"/>
  <c r="UE61" i="36"/>
  <c r="UE62" i="36"/>
  <c r="UE63" i="36"/>
  <c r="UE38" i="36"/>
  <c r="UE33" i="36"/>
  <c r="UE31" i="36"/>
  <c r="TS80" i="36"/>
  <c r="TT80" i="36" s="1"/>
  <c r="TT68" i="36"/>
  <c r="TT69" i="36"/>
  <c r="TT5" i="36"/>
  <c r="TH80" i="36"/>
  <c r="TI80" i="36" s="1"/>
  <c r="SI63" i="36"/>
  <c r="SI8" i="36"/>
  <c r="SI5" i="36"/>
  <c r="SB63" i="36"/>
  <c r="SC63" i="36" s="1"/>
  <c r="RX69" i="36"/>
  <c r="TB5" i="36"/>
  <c r="TC5" i="36" s="1"/>
  <c r="SB11" i="36"/>
  <c r="SC11" i="36" s="1"/>
  <c r="RX9" i="36"/>
  <c r="TB41" i="36"/>
  <c r="SB41" i="36"/>
  <c r="TB42" i="36"/>
  <c r="RC68" i="36"/>
  <c r="RN62" i="36"/>
  <c r="RQ62" i="36" s="1"/>
  <c r="QV69" i="36"/>
  <c r="QW69" i="36" s="1"/>
  <c r="RN20" i="36"/>
  <c r="RQ20" i="36" s="1"/>
  <c r="QR9" i="36"/>
  <c r="QG10" i="36"/>
  <c r="RN25" i="36"/>
  <c r="RQ25" i="36" s="1"/>
  <c r="RN21" i="36"/>
  <c r="RQ21" i="36" s="1"/>
  <c r="QK29" i="36"/>
  <c r="QL29" i="36" s="1"/>
  <c r="RL26" i="36"/>
  <c r="RK62" i="36"/>
  <c r="RL62" i="36" s="1"/>
  <c r="QG62" i="36"/>
  <c r="RK42" i="36"/>
  <c r="PV63" i="36"/>
  <c r="PW63" i="36" s="1"/>
  <c r="PZ31" i="36"/>
  <c r="QA31" i="36" s="1"/>
  <c r="PR7" i="36"/>
  <c r="PG63" i="36"/>
  <c r="PZ63" i="36"/>
  <c r="QA63" i="36" s="1"/>
  <c r="UN67" i="36"/>
  <c r="PK27" i="36"/>
  <c r="PL27" i="36" s="1"/>
  <c r="PK28" i="36"/>
  <c r="PL28" i="36" s="1"/>
  <c r="UI6" i="36"/>
  <c r="UJ6" i="36" s="1"/>
  <c r="UE6" i="36"/>
  <c r="SX9" i="36"/>
  <c r="SY9" i="36" s="1"/>
  <c r="ST27" i="36"/>
  <c r="RB15" i="36"/>
  <c r="RX5" i="36"/>
  <c r="ST5" i="36"/>
  <c r="SM6" i="36"/>
  <c r="SN6" i="36" s="1"/>
  <c r="SI6" i="36"/>
  <c r="RK7" i="36"/>
  <c r="RL7" i="36" s="1"/>
  <c r="RC7" i="36"/>
  <c r="TU15" i="36"/>
  <c r="PG9" i="36"/>
  <c r="RG10" i="36"/>
  <c r="RH10" i="36" s="1"/>
  <c r="PR21" i="36"/>
  <c r="TX24" i="36"/>
  <c r="TY24" i="36" s="1"/>
  <c r="TT24" i="36"/>
  <c r="RL27" i="36"/>
  <c r="QV43" i="36"/>
  <c r="TX33" i="36"/>
  <c r="TY33" i="36" s="1"/>
  <c r="TT33" i="36"/>
  <c r="QK30" i="36"/>
  <c r="ST6" i="36"/>
  <c r="SB7" i="36"/>
  <c r="SC7" i="36" s="1"/>
  <c r="RX7" i="36"/>
  <c r="QV8" i="36"/>
  <c r="QR8" i="36"/>
  <c r="UI21" i="36"/>
  <c r="UJ21" i="36" s="1"/>
  <c r="UG58" i="36"/>
  <c r="PS15" i="36"/>
  <c r="RG6" i="36"/>
  <c r="RH6" i="36" s="1"/>
  <c r="RC6" i="36"/>
  <c r="TM7" i="36"/>
  <c r="UI7" i="36"/>
  <c r="UJ7" i="36" s="1"/>
  <c r="UE7" i="36"/>
  <c r="RK9" i="36"/>
  <c r="RL9" i="36" s="1"/>
  <c r="SM9" i="36"/>
  <c r="SN9" i="36" s="1"/>
  <c r="SI9" i="36"/>
  <c r="TX11" i="36"/>
  <c r="TY11" i="36" s="1"/>
  <c r="SK58" i="36"/>
  <c r="RL29" i="36"/>
  <c r="TT29" i="36"/>
  <c r="TX29" i="36"/>
  <c r="TY29" i="36" s="1"/>
  <c r="TB27" i="36"/>
  <c r="TC27" i="36" s="1"/>
  <c r="SI28" i="36"/>
  <c r="TI28" i="36"/>
  <c r="TB25" i="36"/>
  <c r="TC25" i="36" s="1"/>
  <c r="QV30" i="36"/>
  <c r="QW30" i="36" s="1"/>
  <c r="SX10" i="36"/>
  <c r="SY10" i="36" s="1"/>
  <c r="TB10" i="36"/>
  <c r="TC10" i="36" s="1"/>
  <c r="TI21" i="36"/>
  <c r="TM21" i="36"/>
  <c r="TN21" i="36" s="1"/>
  <c r="RK30" i="36"/>
  <c r="RL30" i="36" s="1"/>
  <c r="RC30" i="36"/>
  <c r="QV10" i="36"/>
  <c r="QW10" i="36" s="1"/>
  <c r="QR10" i="36"/>
  <c r="TB26" i="36"/>
  <c r="TB31" i="36"/>
  <c r="TC31" i="36" s="1"/>
  <c r="RK40" i="36"/>
  <c r="RK39" i="36"/>
  <c r="PZ44" i="36"/>
  <c r="QA44" i="36" s="1"/>
  <c r="PZ46" i="36"/>
  <c r="TB43" i="36"/>
  <c r="TI30" i="36"/>
  <c r="UE37" i="36"/>
  <c r="ST31" i="36"/>
  <c r="RK38" i="36"/>
  <c r="TT38" i="36"/>
  <c r="UE41" i="36"/>
  <c r="RG39" i="36"/>
  <c r="RK44" i="36"/>
  <c r="RG44" i="36"/>
  <c r="RG47" i="36"/>
  <c r="RK47" i="36"/>
  <c r="QV6" i="36"/>
  <c r="QW6" i="36" s="1"/>
  <c r="SB6" i="36"/>
  <c r="SC6" i="36" s="1"/>
  <c r="TX6" i="36"/>
  <c r="TY6" i="36" s="1"/>
  <c r="PZ9" i="36"/>
  <c r="UF58" i="36"/>
  <c r="SI27" i="36"/>
  <c r="TB28" i="36"/>
  <c r="TC28" i="36" s="1"/>
  <c r="PZ43" i="36"/>
  <c r="QA43" i="36" s="1"/>
  <c r="RK43" i="36"/>
  <c r="TI33" i="36"/>
  <c r="PG25" i="36"/>
  <c r="RX25" i="36"/>
  <c r="UE30" i="36"/>
  <c r="TT37" i="36"/>
  <c r="RK31" i="36"/>
  <c r="RL31" i="36" s="1"/>
  <c r="SI31" i="36"/>
  <c r="TT31" i="36"/>
  <c r="TT41" i="36"/>
  <c r="TT36" i="36"/>
  <c r="PZ39" i="36"/>
  <c r="RN45" i="36"/>
  <c r="TB45" i="36"/>
  <c r="SX45" i="36"/>
  <c r="SY45" i="36" s="1"/>
  <c r="TI5" i="36"/>
  <c r="PV6" i="36"/>
  <c r="PW6" i="36" s="1"/>
  <c r="QK6" i="36"/>
  <c r="QL6" i="36" s="1"/>
  <c r="UG15" i="36"/>
  <c r="QK7" i="36"/>
  <c r="QL7" i="36" s="1"/>
  <c r="PV8" i="36"/>
  <c r="PW8" i="36" s="1"/>
  <c r="ST8" i="36"/>
  <c r="TM8" i="36"/>
  <c r="TN8" i="36" s="1"/>
  <c r="PR9" i="36"/>
  <c r="QG9" i="36"/>
  <c r="RC9" i="36"/>
  <c r="TT9" i="36"/>
  <c r="SI10" i="36"/>
  <c r="TB11" i="36"/>
  <c r="TC11" i="36" s="1"/>
  <c r="TB20" i="36"/>
  <c r="TC20" i="36" s="1"/>
  <c r="TX20" i="36"/>
  <c r="TY20" i="36" s="1"/>
  <c r="PI58" i="36"/>
  <c r="RL24" i="36"/>
  <c r="QK43" i="36"/>
  <c r="RG43" i="36"/>
  <c r="PK33" i="36"/>
  <c r="PL33" i="36" s="1"/>
  <c r="PZ25" i="36"/>
  <c r="QA25" i="36" s="1"/>
  <c r="SB40" i="36"/>
  <c r="RK53" i="36"/>
  <c r="SX54" i="36"/>
  <c r="SY54" i="36" s="1"/>
  <c r="TB54" i="36"/>
  <c r="TB48" i="36"/>
  <c r="RK52" i="36"/>
  <c r="RO52" i="36" s="1"/>
  <c r="RG53" i="36"/>
  <c r="TI60" i="36"/>
  <c r="QV61" i="36"/>
  <c r="QW61" i="36" s="1"/>
  <c r="TT61" i="36"/>
  <c r="PG62" i="36"/>
  <c r="PV62" i="36"/>
  <c r="PW62" i="36" s="1"/>
  <c r="QC80" i="36"/>
  <c r="SB64" i="36"/>
  <c r="SC64" i="36" s="1"/>
  <c r="TB64" i="36"/>
  <c r="TC64" i="36" s="1"/>
  <c r="RK68" i="36"/>
  <c r="RL68" i="36" s="1"/>
  <c r="QG69" i="36"/>
  <c r="RK78" i="36"/>
  <c r="RN57" i="36"/>
  <c r="RG60" i="36"/>
  <c r="RH60" i="36" s="1"/>
  <c r="SB62" i="36"/>
  <c r="SC62" i="36" s="1"/>
  <c r="TB63" i="36"/>
  <c r="TC63" i="36" s="1"/>
  <c r="RU80" i="36"/>
  <c r="TB46" i="36"/>
  <c r="RN47" i="36"/>
  <c r="RN48" i="36"/>
  <c r="PZ49" i="36"/>
  <c r="RN50" i="36"/>
  <c r="RC60" i="36"/>
  <c r="RW60" i="36"/>
  <c r="RX60" i="36" s="1"/>
  <c r="ST63" i="36"/>
  <c r="TM63" i="36"/>
  <c r="TN63" i="36" s="1"/>
  <c r="SX64" i="36"/>
  <c r="SY64" i="36" s="1"/>
  <c r="UE64" i="36"/>
  <c r="QR68" i="36"/>
  <c r="SB61" i="36"/>
  <c r="SC61" i="36" s="1"/>
  <c r="QV62" i="36"/>
  <c r="QW62" i="36" s="1"/>
  <c r="SU80" i="36"/>
  <c r="SM64" i="36"/>
  <c r="SN64" i="36" s="1"/>
  <c r="OZ78" i="36"/>
  <c r="RN72" i="36"/>
  <c r="RQ72" i="36" s="1"/>
  <c r="RN33" i="36"/>
  <c r="RQ33" i="36" s="1"/>
  <c r="SN5" i="36"/>
  <c r="RJ15" i="36"/>
  <c r="UD15" i="36"/>
  <c r="UE15" i="36" s="1"/>
  <c r="TM6" i="36"/>
  <c r="TN6" i="36" s="1"/>
  <c r="PG7" i="36"/>
  <c r="QR7" i="36"/>
  <c r="RG7" i="36"/>
  <c r="RH7" i="36" s="1"/>
  <c r="PG8" i="36"/>
  <c r="QG8" i="36"/>
  <c r="RC8" i="36"/>
  <c r="TT8" i="36"/>
  <c r="OV9" i="36"/>
  <c r="TB9" i="36"/>
  <c r="RK10" i="36"/>
  <c r="RL10" i="36" s="1"/>
  <c r="QR11" i="36"/>
  <c r="SX11" i="36"/>
  <c r="SY11" i="36" s="1"/>
  <c r="TT11" i="36"/>
  <c r="QK24" i="36"/>
  <c r="QL24" i="36" s="1"/>
  <c r="TB22" i="36"/>
  <c r="TC22" i="36" s="1"/>
  <c r="PR5" i="36"/>
  <c r="UE5" i="36"/>
  <c r="RN7" i="36"/>
  <c r="RQ7" i="36" s="1"/>
  <c r="SI7" i="36"/>
  <c r="TB7" i="36"/>
  <c r="TC7" i="36" s="1"/>
  <c r="RN8" i="36"/>
  <c r="RQ8" i="36" s="1"/>
  <c r="OZ9" i="36"/>
  <c r="TI9" i="36"/>
  <c r="UE9" i="36"/>
  <c r="RX10" i="36"/>
  <c r="ST10" i="36"/>
  <c r="SM11" i="36"/>
  <c r="SN11" i="36" s="1"/>
  <c r="TI11" i="36"/>
  <c r="SX22" i="36"/>
  <c r="SY22" i="36" s="1"/>
  <c r="PF15" i="36"/>
  <c r="PG15" i="36" s="1"/>
  <c r="QQ15" i="36"/>
  <c r="RK8" i="36"/>
  <c r="RL8" i="36" s="1"/>
  <c r="RN27" i="36"/>
  <c r="RQ27" i="36" s="1"/>
  <c r="OZ28" i="36"/>
  <c r="OV7" i="36"/>
  <c r="OU95" i="36"/>
  <c r="OT95" i="36"/>
  <c r="OZ62" i="36"/>
  <c r="PZ62" i="36"/>
  <c r="QA62" i="36" s="1"/>
  <c r="OZ43" i="36"/>
  <c r="PZ50" i="36"/>
  <c r="PZ41" i="36"/>
  <c r="QA41" i="36" s="1"/>
  <c r="PZ6" i="36"/>
  <c r="QA6" i="36" s="1"/>
  <c r="PZ7" i="36"/>
  <c r="QA7" i="36" s="1"/>
  <c r="RN61" i="36"/>
  <c r="RQ61" i="36" s="1"/>
  <c r="OZ27" i="36"/>
  <c r="RN28" i="36"/>
  <c r="RQ28" i="36" s="1"/>
  <c r="PZ37" i="36"/>
  <c r="RN37" i="36"/>
  <c r="UN31" i="36"/>
  <c r="RN41" i="36"/>
  <c r="RQ41" i="36" s="1"/>
  <c r="RN44" i="36"/>
  <c r="RQ44" i="36" s="1"/>
  <c r="PZ27" i="36"/>
  <c r="QA27" i="36" s="1"/>
  <c r="RN24" i="36"/>
  <c r="RQ24" i="36" s="1"/>
  <c r="PZ28" i="36"/>
  <c r="QA28" i="36" s="1"/>
  <c r="RN43" i="36"/>
  <c r="RQ43" i="36" s="1"/>
  <c r="RN32" i="36"/>
  <c r="RQ32" i="36" s="1"/>
  <c r="OV8" i="36"/>
  <c r="PY15" i="36"/>
  <c r="RN10" i="36"/>
  <c r="RQ10" i="36" s="1"/>
  <c r="RN11" i="36"/>
  <c r="RQ11" i="36" s="1"/>
  <c r="OV6" i="36"/>
  <c r="RN6" i="36"/>
  <c r="RQ6" i="36" s="1"/>
  <c r="RN9" i="36"/>
  <c r="RQ9" i="36" s="1"/>
  <c r="UJ9" i="36"/>
  <c r="UJ10" i="36"/>
  <c r="QK20" i="36"/>
  <c r="QG20" i="36"/>
  <c r="RC58" i="36"/>
  <c r="RG20" i="36"/>
  <c r="RK20" i="36"/>
  <c r="RC20" i="36"/>
  <c r="PG26" i="36"/>
  <c r="PK26" i="36"/>
  <c r="PL26" i="36" s="1"/>
  <c r="TX27" i="36"/>
  <c r="TY27" i="36" s="1"/>
  <c r="TT27" i="36"/>
  <c r="OZ33" i="36"/>
  <c r="RK25" i="36"/>
  <c r="RC25" i="36"/>
  <c r="QV41" i="36"/>
  <c r="RK45" i="36"/>
  <c r="RG45" i="36"/>
  <c r="OV5" i="36"/>
  <c r="PG5" i="36"/>
  <c r="QG5" i="36"/>
  <c r="QR5" i="36"/>
  <c r="RC5" i="36"/>
  <c r="RK5" i="36"/>
  <c r="SH15" i="36"/>
  <c r="SS15" i="36"/>
  <c r="TA15" i="36"/>
  <c r="TA18" i="36" s="1"/>
  <c r="TN5" i="36"/>
  <c r="UJ5" i="36"/>
  <c r="RK6" i="36"/>
  <c r="TB6" i="36"/>
  <c r="TT6" i="36"/>
  <c r="TI7" i="36"/>
  <c r="PZ8" i="36"/>
  <c r="QA8" i="36" s="1"/>
  <c r="RX8" i="36"/>
  <c r="UE8" i="36"/>
  <c r="TI10" i="36"/>
  <c r="TT10" i="36"/>
  <c r="UE10" i="36"/>
  <c r="OV11" i="36"/>
  <c r="PG11" i="36"/>
  <c r="PR11" i="36"/>
  <c r="RC11" i="36"/>
  <c r="RK11" i="36"/>
  <c r="UI11" i="36"/>
  <c r="OU15" i="36"/>
  <c r="OV15" i="36" s="1"/>
  <c r="QT58" i="36"/>
  <c r="QV21" i="36"/>
  <c r="QW21" i="36" s="1"/>
  <c r="UI22" i="36"/>
  <c r="UE22" i="36"/>
  <c r="OZ29" i="36"/>
  <c r="TB29" i="36"/>
  <c r="ST29" i="36"/>
  <c r="UJ29" i="36"/>
  <c r="UJ27" i="36"/>
  <c r="TM43" i="36"/>
  <c r="TX25" i="36"/>
  <c r="TY25" i="36" s="1"/>
  <c r="TT25" i="36"/>
  <c r="PZ40" i="36"/>
  <c r="QA40" i="36" s="1"/>
  <c r="UI40" i="36"/>
  <c r="UI8" i="36"/>
  <c r="RW15" i="36"/>
  <c r="OZ21" i="36"/>
  <c r="OV21" i="36"/>
  <c r="SI29" i="36"/>
  <c r="UI43" i="36"/>
  <c r="UE43" i="36"/>
  <c r="QV32" i="36"/>
  <c r="QW32" i="36" s="1"/>
  <c r="UI32" i="36"/>
  <c r="UE32" i="36"/>
  <c r="PZ5" i="36"/>
  <c r="QK5" i="36"/>
  <c r="QV5" i="36"/>
  <c r="RG5" i="36"/>
  <c r="TH15" i="36"/>
  <c r="TS15" i="36"/>
  <c r="TT15" i="36" s="1"/>
  <c r="TB8" i="36"/>
  <c r="RG11" i="36"/>
  <c r="RH11" i="36" s="1"/>
  <c r="ST11" i="36"/>
  <c r="PL20" i="36"/>
  <c r="QV20" i="36"/>
  <c r="QR20" i="36"/>
  <c r="TH58" i="36"/>
  <c r="TI58" i="36" s="1"/>
  <c r="TM20" i="36"/>
  <c r="TS58" i="36"/>
  <c r="TT58" i="36" s="1"/>
  <c r="TT20" i="36"/>
  <c r="PD58" i="36"/>
  <c r="PK29" i="36"/>
  <c r="PL29" i="36" s="1"/>
  <c r="PG29" i="36"/>
  <c r="RN29" i="36"/>
  <c r="RQ29" i="36" s="1"/>
  <c r="PZ26" i="36"/>
  <c r="QA26" i="36" s="1"/>
  <c r="QS58" i="36"/>
  <c r="TX26" i="36"/>
  <c r="TY26" i="36" s="1"/>
  <c r="TT26" i="36"/>
  <c r="TX43" i="36"/>
  <c r="TY43" i="36" s="1"/>
  <c r="TT43" i="36"/>
  <c r="UJ37" i="36"/>
  <c r="PZ42" i="36"/>
  <c r="QA42" i="36" s="1"/>
  <c r="SI32" i="36"/>
  <c r="RN5" i="36"/>
  <c r="RQ5" i="36" s="1"/>
  <c r="TX22" i="36"/>
  <c r="TY22" i="36" s="1"/>
  <c r="TT22" i="36"/>
  <c r="PK5" i="36"/>
  <c r="PK6" i="36"/>
  <c r="PL6" i="36" s="1"/>
  <c r="RM15" i="36"/>
  <c r="RP15" i="36" s="1"/>
  <c r="RM58" i="36"/>
  <c r="RP58" i="36" s="1"/>
  <c r="RP20" i="36"/>
  <c r="TV58" i="36"/>
  <c r="TX21" i="36"/>
  <c r="TY21" i="36" s="1"/>
  <c r="TM22" i="36"/>
  <c r="TN22" i="36" s="1"/>
  <c r="TI22" i="36"/>
  <c r="OZ24" i="36"/>
  <c r="TB24" i="36"/>
  <c r="PV29" i="36"/>
  <c r="PW29" i="36" s="1"/>
  <c r="PZ29" i="36"/>
  <c r="QA29" i="36" s="1"/>
  <c r="TI27" i="36"/>
  <c r="UN27" i="36"/>
  <c r="UI25" i="36"/>
  <c r="UE25" i="36"/>
  <c r="ST30" i="36"/>
  <c r="SX51" i="36"/>
  <c r="SY51" i="36" s="1"/>
  <c r="TB51" i="36"/>
  <c r="PC58" i="36"/>
  <c r="PS58" i="36"/>
  <c r="RK21" i="36"/>
  <c r="SU58" i="36"/>
  <c r="TB21" i="36"/>
  <c r="RK33" i="36"/>
  <c r="TB33" i="36"/>
  <c r="ST33" i="36"/>
  <c r="PZ30" i="36"/>
  <c r="QA30" i="36" s="1"/>
  <c r="RK37" i="36"/>
  <c r="UJ31" i="36"/>
  <c r="TB38" i="36"/>
  <c r="RN42" i="36"/>
  <c r="RQ42" i="36" s="1"/>
  <c r="TX42" i="36"/>
  <c r="TY42" i="36" s="1"/>
  <c r="TT42" i="36"/>
  <c r="PK32" i="36"/>
  <c r="PG32" i="36"/>
  <c r="RK32" i="36"/>
  <c r="UI36" i="36"/>
  <c r="UE36" i="36"/>
  <c r="RN40" i="36"/>
  <c r="RQ40" i="36" s="1"/>
  <c r="TB40" i="36"/>
  <c r="RN39" i="36"/>
  <c r="TX44" i="36"/>
  <c r="PZ45" i="36"/>
  <c r="RG46" i="36"/>
  <c r="RK46" i="36"/>
  <c r="TM54" i="36"/>
  <c r="TN54" i="36" s="1"/>
  <c r="OZ61" i="36"/>
  <c r="OU58" i="36"/>
  <c r="OV58" i="36" s="1"/>
  <c r="RW58" i="36"/>
  <c r="RX58" i="36" s="1"/>
  <c r="SH58" i="36"/>
  <c r="SI58" i="36" s="1"/>
  <c r="TJ58" i="36"/>
  <c r="UD58" i="36"/>
  <c r="PF21" i="36"/>
  <c r="UM21" i="36" s="1"/>
  <c r="PT58" i="36"/>
  <c r="RG21" i="36"/>
  <c r="RH21" i="36" s="1"/>
  <c r="RX21" i="36"/>
  <c r="SX21" i="36"/>
  <c r="SY21" i="36" s="1"/>
  <c r="PB58" i="36"/>
  <c r="PQ58" i="36"/>
  <c r="PR58" i="36" s="1"/>
  <c r="QF58" i="36"/>
  <c r="QG58" i="36" s="1"/>
  <c r="UI24" i="36"/>
  <c r="UE26" i="36"/>
  <c r="UE27" i="36"/>
  <c r="RC28" i="36"/>
  <c r="PZ33" i="36"/>
  <c r="QA33" i="36" s="1"/>
  <c r="RC33" i="36"/>
  <c r="UJ33" i="36"/>
  <c r="QK41" i="36"/>
  <c r="RG41" i="36"/>
  <c r="RK41" i="36"/>
  <c r="RX32" i="36"/>
  <c r="TB32" i="36"/>
  <c r="ST32" i="36"/>
  <c r="TB36" i="36"/>
  <c r="QJ58" i="36"/>
  <c r="QK39" i="36"/>
  <c r="UJ46" i="36"/>
  <c r="UJ47" i="36"/>
  <c r="UI48" i="36"/>
  <c r="OV20" i="36"/>
  <c r="PG20" i="36"/>
  <c r="PR20" i="36"/>
  <c r="PZ20" i="36"/>
  <c r="RX20" i="36"/>
  <c r="SI20" i="36"/>
  <c r="SS58" i="36"/>
  <c r="ST58" i="36" s="1"/>
  <c r="TA58" i="36"/>
  <c r="UE20" i="36"/>
  <c r="OR58" i="36"/>
  <c r="QH58" i="36"/>
  <c r="SJ58" i="36"/>
  <c r="OX58" i="36"/>
  <c r="PH58" i="36"/>
  <c r="UE29" i="36"/>
  <c r="ST26" i="36"/>
  <c r="RC27" i="36"/>
  <c r="ST28" i="36"/>
  <c r="QK25" i="36"/>
  <c r="QL25" i="36" s="1"/>
  <c r="RN30" i="36"/>
  <c r="RQ30" i="36" s="1"/>
  <c r="TT30" i="36"/>
  <c r="UJ41" i="36"/>
  <c r="TM42" i="36"/>
  <c r="UI42" i="36"/>
  <c r="UE42" i="36"/>
  <c r="PZ32" i="36"/>
  <c r="QA32" i="36" s="1"/>
  <c r="RC32" i="36"/>
  <c r="TN32" i="36"/>
  <c r="TT32" i="36"/>
  <c r="UI39" i="36"/>
  <c r="TB44" i="36"/>
  <c r="SX44" i="36"/>
  <c r="PV64" i="36"/>
  <c r="PW64" i="36" s="1"/>
  <c r="PR64" i="36"/>
  <c r="PZ64" i="36"/>
  <c r="QA64" i="36" s="1"/>
  <c r="PK75" i="36"/>
  <c r="PK76" i="36"/>
  <c r="PZ76" i="36"/>
  <c r="RK48" i="36"/>
  <c r="RK49" i="36"/>
  <c r="RG50" i="36"/>
  <c r="RK50" i="36"/>
  <c r="UJ50" i="36"/>
  <c r="RN51" i="36"/>
  <c r="TX55" i="36"/>
  <c r="TY55" i="36" s="1"/>
  <c r="UN55" i="36"/>
  <c r="UN56" i="36"/>
  <c r="TM56" i="36"/>
  <c r="TN56" i="36" s="1"/>
  <c r="RM80" i="36"/>
  <c r="RP80" i="36" s="1"/>
  <c r="PC80" i="36"/>
  <c r="PF60" i="36"/>
  <c r="RG48" i="36"/>
  <c r="RG49" i="36"/>
  <c r="RN52" i="36"/>
  <c r="TB52" i="36"/>
  <c r="UI52" i="36"/>
  <c r="TB53" i="36"/>
  <c r="SX53" i="36"/>
  <c r="SY53" i="36" s="1"/>
  <c r="PT80" i="36"/>
  <c r="PV60" i="36"/>
  <c r="PG61" i="36"/>
  <c r="RG64" i="36"/>
  <c r="RH64" i="36" s="1"/>
  <c r="RC64" i="36"/>
  <c r="TB47" i="36"/>
  <c r="PZ48" i="36"/>
  <c r="TB49" i="36"/>
  <c r="TB50" i="36"/>
  <c r="UJ54" i="36"/>
  <c r="RN76" i="36"/>
  <c r="TB56" i="36"/>
  <c r="OR80" i="36"/>
  <c r="OU60" i="36"/>
  <c r="QG60" i="36"/>
  <c r="QV60" i="36"/>
  <c r="QR60" i="36"/>
  <c r="QQ80" i="36"/>
  <c r="QR80" i="36" s="1"/>
  <c r="RK60" i="36"/>
  <c r="TX63" i="36"/>
  <c r="TY63" i="36" s="1"/>
  <c r="TT63" i="36"/>
  <c r="UN63" i="36"/>
  <c r="RN64" i="36"/>
  <c r="RQ64" i="36" s="1"/>
  <c r="RG69" i="36"/>
  <c r="RH69" i="36" s="1"/>
  <c r="RC69" i="36"/>
  <c r="RK75" i="36"/>
  <c r="RG75" i="36"/>
  <c r="RK76" i="36"/>
  <c r="TB55" i="36"/>
  <c r="PR60" i="36"/>
  <c r="PY80" i="36"/>
  <c r="RT80" i="36"/>
  <c r="SX60" i="36"/>
  <c r="SS80" i="36"/>
  <c r="ST80" i="36" s="1"/>
  <c r="TA80" i="36"/>
  <c r="TT60" i="36"/>
  <c r="TX60" i="36"/>
  <c r="PR61" i="36"/>
  <c r="PV61" i="36"/>
  <c r="PW61" i="36" s="1"/>
  <c r="PZ61" i="36"/>
  <c r="QA61" i="36" s="1"/>
  <c r="SX62" i="36"/>
  <c r="SY62" i="36" s="1"/>
  <c r="TX62" i="36"/>
  <c r="TY62" i="36" s="1"/>
  <c r="TT62" i="36"/>
  <c r="RK63" i="36"/>
  <c r="RC63" i="36"/>
  <c r="RG63" i="36"/>
  <c r="RH63" i="36" s="1"/>
  <c r="UJ63" i="36"/>
  <c r="TX64" i="36"/>
  <c r="TY64" i="36" s="1"/>
  <c r="TT64" i="36"/>
  <c r="RK74" i="36"/>
  <c r="TT74" i="36"/>
  <c r="TX74" i="36"/>
  <c r="TY74" i="36" s="1"/>
  <c r="RN69" i="36"/>
  <c r="RQ69" i="36" s="1"/>
  <c r="PZ77" i="36"/>
  <c r="RG77" i="36"/>
  <c r="RK77" i="36"/>
  <c r="RK51" i="36"/>
  <c r="UJ55" i="36"/>
  <c r="RO57" i="36"/>
  <c r="SH80" i="36"/>
  <c r="SI80" i="36" s="1"/>
  <c r="SM60" i="36"/>
  <c r="RN63" i="36"/>
  <c r="RQ63" i="36" s="1"/>
  <c r="RJ80" i="36"/>
  <c r="UE74" i="36"/>
  <c r="RN68" i="36"/>
  <c r="RQ68" i="36" s="1"/>
  <c r="RK69" i="36"/>
  <c r="UE67" i="36"/>
  <c r="UI67" i="36"/>
  <c r="UO67" i="36" s="1"/>
  <c r="UP67" i="36" s="1"/>
  <c r="UI76" i="36"/>
  <c r="QY80" i="36"/>
  <c r="RB61" i="36"/>
  <c r="RB80" i="36" s="1"/>
  <c r="RC80" i="36" s="1"/>
  <c r="TB61" i="36"/>
  <c r="ST61" i="36"/>
  <c r="RN74" i="36"/>
  <c r="RQ74" i="36" s="1"/>
  <c r="UN68" i="36"/>
  <c r="PS80" i="36"/>
  <c r="RN60" i="36"/>
  <c r="RQ60" i="36" s="1"/>
  <c r="UD80" i="36"/>
  <c r="SX61" i="36"/>
  <c r="SY61" i="36" s="1"/>
  <c r="UJ61" i="36"/>
  <c r="RG62" i="36"/>
  <c r="RH62" i="36" s="1"/>
  <c r="TB62" i="36"/>
  <c r="TI62" i="36"/>
  <c r="QV63" i="36"/>
  <c r="QW63" i="36" s="1"/>
  <c r="PG64" i="36"/>
  <c r="QF64" i="36"/>
  <c r="QF80" i="36" s="1"/>
  <c r="QG80" i="36" s="1"/>
  <c r="QR64" i="36"/>
  <c r="TI64" i="36"/>
  <c r="UE68" i="36"/>
  <c r="UI69" i="36"/>
  <c r="UE69" i="36"/>
  <c r="UI75" i="36"/>
  <c r="UI77" i="36"/>
  <c r="RD80" i="36"/>
  <c r="TM60" i="36"/>
  <c r="TI15" i="36" l="1"/>
  <c r="TH18" i="36"/>
  <c r="TI18" i="36" s="1"/>
  <c r="ST15" i="36"/>
  <c r="SS18" i="36"/>
  <c r="ST18" i="36" s="1"/>
  <c r="RL72" i="36"/>
  <c r="TC69" i="36"/>
  <c r="UO36" i="36"/>
  <c r="UP36" i="36" s="1"/>
  <c r="UO37" i="36"/>
  <c r="UP37" i="36" s="1"/>
  <c r="UO40" i="36"/>
  <c r="UO39" i="36"/>
  <c r="UO38" i="36"/>
  <c r="UO78" i="36"/>
  <c r="UO77" i="36"/>
  <c r="UO76" i="36"/>
  <c r="UO75" i="36"/>
  <c r="UO74" i="36"/>
  <c r="SI15" i="36"/>
  <c r="SH18" i="36"/>
  <c r="SI18" i="36" s="1"/>
  <c r="QR15" i="36"/>
  <c r="QQ18" i="36"/>
  <c r="QR18" i="36" s="1"/>
  <c r="RX15" i="36"/>
  <c r="RW18" i="36"/>
  <c r="RX18" i="36" s="1"/>
  <c r="RC15" i="36"/>
  <c r="RB18" i="36"/>
  <c r="RC18" i="36" s="1"/>
  <c r="UO43" i="36"/>
  <c r="UO42" i="36"/>
  <c r="UP42" i="36" s="1"/>
  <c r="UO41" i="36"/>
  <c r="UP41" i="36" s="1"/>
  <c r="SB60" i="36"/>
  <c r="SC60" i="36" s="1"/>
  <c r="UM22" i="36"/>
  <c r="UM58" i="36" s="1"/>
  <c r="US58" i="36" s="1"/>
  <c r="PA61" i="36"/>
  <c r="PA29" i="36"/>
  <c r="UO29" i="36"/>
  <c r="UP29" i="36" s="1"/>
  <c r="QL30" i="36"/>
  <c r="UO30" i="36"/>
  <c r="UP30" i="36" s="1"/>
  <c r="PA24" i="36"/>
  <c r="UO24" i="36"/>
  <c r="UP24" i="36" s="1"/>
  <c r="PA27" i="36"/>
  <c r="UO27" i="36"/>
  <c r="UP27" i="36" s="1"/>
  <c r="PA62" i="36"/>
  <c r="UO62" i="36"/>
  <c r="UP62" i="36" s="1"/>
  <c r="PA9" i="36"/>
  <c r="UO9" i="36"/>
  <c r="UP9" i="36" s="1"/>
  <c r="UO72" i="36"/>
  <c r="UP72" i="36" s="1"/>
  <c r="PA50" i="36"/>
  <c r="UO50" i="36"/>
  <c r="PA20" i="36"/>
  <c r="UO20" i="36"/>
  <c r="UP20" i="36" s="1"/>
  <c r="UO10" i="36"/>
  <c r="UP10" i="36" s="1"/>
  <c r="UO5" i="36"/>
  <c r="UP5" i="36" s="1"/>
  <c r="UO52" i="36"/>
  <c r="UO31" i="36"/>
  <c r="UP31" i="36" s="1"/>
  <c r="PL32" i="36"/>
  <c r="UO32" i="36"/>
  <c r="UP32" i="36" s="1"/>
  <c r="PA21" i="36"/>
  <c r="PA33" i="36"/>
  <c r="UO33" i="36"/>
  <c r="UP33" i="36" s="1"/>
  <c r="PA28" i="36"/>
  <c r="UO28" i="36"/>
  <c r="UP28" i="36" s="1"/>
  <c r="PA53" i="36"/>
  <c r="UO53" i="36"/>
  <c r="QL68" i="36"/>
  <c r="UO68" i="36"/>
  <c r="UP68" i="36" s="1"/>
  <c r="PL63" i="36"/>
  <c r="UO63" i="36"/>
  <c r="UP63" i="36" s="1"/>
  <c r="PA49" i="36"/>
  <c r="UO49" i="36"/>
  <c r="UO44" i="36"/>
  <c r="UO26" i="36"/>
  <c r="UP26" i="36" s="1"/>
  <c r="UO54" i="36"/>
  <c r="UM60" i="36"/>
  <c r="UN60" i="36" s="1"/>
  <c r="PA51" i="36"/>
  <c r="UO51" i="36"/>
  <c r="PA47" i="36"/>
  <c r="UO47" i="36"/>
  <c r="QL69" i="36"/>
  <c r="UO69" i="36"/>
  <c r="UP69" i="36" s="1"/>
  <c r="UO46" i="36"/>
  <c r="PL37" i="36"/>
  <c r="PL25" i="36"/>
  <c r="UO25" i="36"/>
  <c r="UP25" i="36" s="1"/>
  <c r="PA8" i="36"/>
  <c r="UO8" i="36"/>
  <c r="UP8" i="36" s="1"/>
  <c r="UM64" i="36"/>
  <c r="UN64" i="36" s="1"/>
  <c r="UM61" i="36"/>
  <c r="UN61" i="36" s="1"/>
  <c r="UO55" i="36"/>
  <c r="PA11" i="36"/>
  <c r="UO11" i="36"/>
  <c r="UP11" i="36" s="1"/>
  <c r="PA7" i="36"/>
  <c r="UO7" i="36"/>
  <c r="UP7" i="36" s="1"/>
  <c r="PA48" i="36"/>
  <c r="UO48" i="36"/>
  <c r="PL64" i="36"/>
  <c r="PA45" i="36"/>
  <c r="UO45" i="36"/>
  <c r="UO56" i="36"/>
  <c r="PA6" i="36"/>
  <c r="UO6" i="36"/>
  <c r="UP6" i="36" s="1"/>
  <c r="UN6" i="36"/>
  <c r="UM15" i="36"/>
  <c r="RO9" i="36"/>
  <c r="RR9" i="36" s="1"/>
  <c r="RW80" i="36"/>
  <c r="RX80" i="36" s="1"/>
  <c r="QK15" i="36"/>
  <c r="QL15" i="36" s="1"/>
  <c r="TB60" i="36"/>
  <c r="TB80" i="36" s="1"/>
  <c r="QV80" i="36"/>
  <c r="QW80" i="36" s="1"/>
  <c r="QW8" i="36"/>
  <c r="QV15" i="36"/>
  <c r="RO47" i="36"/>
  <c r="PR80" i="36"/>
  <c r="RO51" i="36"/>
  <c r="PV80" i="36"/>
  <c r="QK64" i="36"/>
  <c r="QL64" i="36" s="1"/>
  <c r="QL60" i="36"/>
  <c r="PW20" i="36"/>
  <c r="PK15" i="36"/>
  <c r="PL15" i="36" s="1"/>
  <c r="PW5" i="36"/>
  <c r="PV15" i="36"/>
  <c r="PW15" i="36" s="1"/>
  <c r="RO50" i="36"/>
  <c r="RO49" i="36"/>
  <c r="RO46" i="36"/>
  <c r="RO44" i="36"/>
  <c r="RR44" i="36" s="1"/>
  <c r="RO53" i="36"/>
  <c r="RO38" i="36"/>
  <c r="RO10" i="36"/>
  <c r="RR10" i="36" s="1"/>
  <c r="TX15" i="36"/>
  <c r="TY15" i="36" s="1"/>
  <c r="UI15" i="36"/>
  <c r="UJ15" i="36" s="1"/>
  <c r="QA9" i="36"/>
  <c r="SB15" i="36"/>
  <c r="SB18" i="36" s="1"/>
  <c r="SC18" i="36" s="1"/>
  <c r="RJ58" i="36"/>
  <c r="RO39" i="36"/>
  <c r="RO62" i="36"/>
  <c r="RR62" i="36" s="1"/>
  <c r="OZ15" i="36"/>
  <c r="RK64" i="36"/>
  <c r="RO64" i="36" s="1"/>
  <c r="RR64" i="36" s="1"/>
  <c r="RO43" i="36"/>
  <c r="RR43" i="36" s="1"/>
  <c r="RO45" i="36"/>
  <c r="TN7" i="36"/>
  <c r="TM15" i="36"/>
  <c r="RN15" i="36"/>
  <c r="RQ15" i="36" s="1"/>
  <c r="TC26" i="36"/>
  <c r="RO31" i="36"/>
  <c r="RR31" i="36" s="1"/>
  <c r="SX15" i="36"/>
  <c r="RO42" i="36"/>
  <c r="RR42" i="36" s="1"/>
  <c r="RO27" i="36"/>
  <c r="RR27" i="36" s="1"/>
  <c r="UI58" i="36"/>
  <c r="UJ58" i="36" s="1"/>
  <c r="PY58" i="36"/>
  <c r="TC9" i="36"/>
  <c r="SM15" i="36"/>
  <c r="RO7" i="36"/>
  <c r="RR7" i="36" s="1"/>
  <c r="RO76" i="36"/>
  <c r="RO75" i="36"/>
  <c r="RR75" i="36" s="1"/>
  <c r="RN80" i="36"/>
  <c r="RQ80" i="36" s="1"/>
  <c r="RO40" i="36"/>
  <c r="RR40" i="36" s="1"/>
  <c r="RO26" i="36"/>
  <c r="RR26" i="36" s="1"/>
  <c r="RO24" i="36"/>
  <c r="RR24" i="36" s="1"/>
  <c r="RO8" i="36"/>
  <c r="RR8" i="36" s="1"/>
  <c r="UJ69" i="36"/>
  <c r="RL60" i="36"/>
  <c r="PW60" i="36"/>
  <c r="PG21" i="36"/>
  <c r="PK21" i="36"/>
  <c r="UO21" i="36" s="1"/>
  <c r="UP21" i="36" s="1"/>
  <c r="RL32" i="36"/>
  <c r="RO32" i="36"/>
  <c r="RR32" i="36" s="1"/>
  <c r="QL5" i="36"/>
  <c r="TC6" i="36"/>
  <c r="RO30" i="36"/>
  <c r="RR30" i="36" s="1"/>
  <c r="RL20" i="36"/>
  <c r="RO20" i="36"/>
  <c r="QL20" i="36"/>
  <c r="QG64" i="36"/>
  <c r="UE80" i="36"/>
  <c r="TC61" i="36"/>
  <c r="RL69" i="36"/>
  <c r="RO69" i="36"/>
  <c r="RR69" i="36" s="1"/>
  <c r="UJ52" i="36"/>
  <c r="RO48" i="36"/>
  <c r="UJ42" i="36"/>
  <c r="QA20" i="36"/>
  <c r="RO41" i="36"/>
  <c r="RR41" i="36" s="1"/>
  <c r="UE58" i="36"/>
  <c r="UN21" i="36"/>
  <c r="RL21" i="36"/>
  <c r="UJ25" i="36"/>
  <c r="SX58" i="36"/>
  <c r="SY58" i="36" s="1"/>
  <c r="PL5" i="36"/>
  <c r="TM58" i="36"/>
  <c r="TN58" i="36" s="1"/>
  <c r="TN20" i="36"/>
  <c r="OZ58" i="36"/>
  <c r="TB15" i="36"/>
  <c r="TB18" i="36" s="1"/>
  <c r="TC18" i="36" s="1"/>
  <c r="PZ15" i="36"/>
  <c r="QA15" i="36" s="1"/>
  <c r="QA5" i="36"/>
  <c r="UJ32" i="36"/>
  <c r="UJ43" i="36"/>
  <c r="SB58" i="36"/>
  <c r="RO29" i="36"/>
  <c r="RR29" i="36" s="1"/>
  <c r="RK15" i="36"/>
  <c r="RL5" i="36"/>
  <c r="RO5" i="36"/>
  <c r="RR5" i="36" s="1"/>
  <c r="RG58" i="36"/>
  <c r="RH58" i="36" s="1"/>
  <c r="RH20" i="36"/>
  <c r="RO63" i="36"/>
  <c r="RR63" i="36" s="1"/>
  <c r="RL63" i="36"/>
  <c r="UJ48" i="36"/>
  <c r="UJ24" i="36"/>
  <c r="TC8" i="36"/>
  <c r="RO72" i="36"/>
  <c r="RR72" i="36" s="1"/>
  <c r="RK61" i="36"/>
  <c r="RC61" i="36"/>
  <c r="RG61" i="36"/>
  <c r="UO61" i="36" s="1"/>
  <c r="UP61" i="36" s="1"/>
  <c r="OU80" i="36"/>
  <c r="OV80" i="36" s="1"/>
  <c r="OZ60" i="36"/>
  <c r="OV60" i="36"/>
  <c r="RO68" i="36"/>
  <c r="RR68" i="36" s="1"/>
  <c r="PV58" i="36"/>
  <c r="PW58" i="36" s="1"/>
  <c r="RL37" i="36"/>
  <c r="RO37" i="36"/>
  <c r="TC33" i="36"/>
  <c r="TC21" i="36"/>
  <c r="TC24" i="36"/>
  <c r="QW20" i="36"/>
  <c r="RH5" i="36"/>
  <c r="RG15" i="36"/>
  <c r="RK58" i="36"/>
  <c r="PZ21" i="36"/>
  <c r="QA21" i="36" s="1"/>
  <c r="UJ11" i="36"/>
  <c r="RL6" i="36"/>
  <c r="RO6" i="36"/>
  <c r="RR6" i="36" s="1"/>
  <c r="SM58" i="36"/>
  <c r="SN58" i="36" s="1"/>
  <c r="TC62" i="36"/>
  <c r="RO74" i="36"/>
  <c r="RR74" i="36" s="1"/>
  <c r="RL74" i="36"/>
  <c r="PF80" i="36"/>
  <c r="PG80" i="36" s="1"/>
  <c r="PG60" i="36"/>
  <c r="PK60" i="36"/>
  <c r="PK80" i="36" s="1"/>
  <c r="PL80" i="36" s="1"/>
  <c r="TC32" i="36"/>
  <c r="TX58" i="36"/>
  <c r="TY58" i="36" s="1"/>
  <c r="UJ8" i="36"/>
  <c r="TM80" i="36"/>
  <c r="TN80" i="36" s="1"/>
  <c r="TN60" i="36"/>
  <c r="SM80" i="36"/>
  <c r="SN80" i="36" s="1"/>
  <c r="SN60" i="36"/>
  <c r="UI80" i="36"/>
  <c r="TY60" i="36"/>
  <c r="TX80" i="36"/>
  <c r="TY80" i="36" s="1"/>
  <c r="SX80" i="36"/>
  <c r="SY80" i="36" s="1"/>
  <c r="SY60" i="36"/>
  <c r="PZ60" i="36"/>
  <c r="RO60" i="36" s="1"/>
  <c r="QW60" i="36"/>
  <c r="RL28" i="36"/>
  <c r="RO28" i="36"/>
  <c r="RR28" i="36" s="1"/>
  <c r="PF58" i="36"/>
  <c r="PG58" i="36" s="1"/>
  <c r="RL33" i="36"/>
  <c r="RO33" i="36"/>
  <c r="RR33" i="36" s="1"/>
  <c r="QQ58" i="36"/>
  <c r="QR58" i="36" s="1"/>
  <c r="QW5" i="36"/>
  <c r="TC29" i="36"/>
  <c r="UJ22" i="36"/>
  <c r="TB58" i="36"/>
  <c r="RL11" i="36"/>
  <c r="RO11" i="36"/>
  <c r="RR11" i="36" s="1"/>
  <c r="RO25" i="36"/>
  <c r="RR25" i="36" s="1"/>
  <c r="RL25" i="36"/>
  <c r="TN15" i="36" l="1"/>
  <c r="TM18" i="36"/>
  <c r="TN18" i="36" s="1"/>
  <c r="SY15" i="36"/>
  <c r="SX18" i="36"/>
  <c r="SY18" i="36" s="1"/>
  <c r="QW15" i="36"/>
  <c r="QV18" i="36"/>
  <c r="QW18" i="36" s="1"/>
  <c r="SN15" i="36"/>
  <c r="SM18" i="36"/>
  <c r="SN18" i="36" s="1"/>
  <c r="US15" i="36"/>
  <c r="UM18" i="36"/>
  <c r="UN18" i="36" s="1"/>
  <c r="RH15" i="36"/>
  <c r="RG18" i="36"/>
  <c r="RH18" i="36" s="1"/>
  <c r="SB80" i="36"/>
  <c r="AF7" i="62" s="1"/>
  <c r="SC58" i="36"/>
  <c r="SC15" i="36"/>
  <c r="UN22" i="36"/>
  <c r="UN15" i="36"/>
  <c r="UO22" i="36"/>
  <c r="UO60" i="36"/>
  <c r="UP60" i="36" s="1"/>
  <c r="UO64" i="36"/>
  <c r="UP64" i="36" s="1"/>
  <c r="UM80" i="36"/>
  <c r="UO15" i="36"/>
  <c r="RL64" i="36"/>
  <c r="TC60" i="36"/>
  <c r="QV58" i="36"/>
  <c r="QW58" i="36" s="1"/>
  <c r="RL58" i="36"/>
  <c r="RK80" i="36"/>
  <c r="RL80" i="36" s="1"/>
  <c r="PK58" i="36"/>
  <c r="PL58" i="36" s="1"/>
  <c r="QK80" i="36"/>
  <c r="QL80" i="36" s="1"/>
  <c r="QK58" i="36"/>
  <c r="QL58" i="36" s="1"/>
  <c r="PW80" i="36"/>
  <c r="PA15" i="36"/>
  <c r="PA58" i="36"/>
  <c r="RN58" i="36"/>
  <c r="RQ58" i="36" s="1"/>
  <c r="RR60" i="36"/>
  <c r="PL21" i="36"/>
  <c r="TC58" i="36"/>
  <c r="UJ80" i="36"/>
  <c r="PL60" i="36"/>
  <c r="OZ80" i="36"/>
  <c r="PA60" i="36"/>
  <c r="RO21" i="36"/>
  <c r="RR21" i="36" s="1"/>
  <c r="PZ58" i="36"/>
  <c r="QA58" i="36" s="1"/>
  <c r="QA60" i="36"/>
  <c r="PZ80" i="36"/>
  <c r="QA80" i="36" s="1"/>
  <c r="RO61" i="36"/>
  <c r="RR61" i="36" s="1"/>
  <c r="RL61" i="36"/>
  <c r="TC15" i="36"/>
  <c r="UN58" i="36"/>
  <c r="RR20" i="36"/>
  <c r="RH61" i="36"/>
  <c r="RG80" i="36"/>
  <c r="RH80" i="36" s="1"/>
  <c r="RO15" i="36"/>
  <c r="RR15" i="36" s="1"/>
  <c r="RL15" i="36"/>
  <c r="TC80" i="36"/>
  <c r="SC80" i="36" l="1"/>
  <c r="UP15" i="36"/>
  <c r="UO18" i="36"/>
  <c r="UP18" i="36" s="1"/>
  <c r="KJ6" i="35"/>
  <c r="KL6" i="35" s="1"/>
  <c r="AF60" i="62"/>
  <c r="KJ5" i="35"/>
  <c r="AM7" i="62"/>
  <c r="UO58" i="36"/>
  <c r="UP58" i="36" s="1"/>
  <c r="UP22" i="36"/>
  <c r="UN80" i="36"/>
  <c r="US80" i="36"/>
  <c r="UO80" i="36"/>
  <c r="UP80" i="36" s="1"/>
  <c r="IR6" i="35"/>
  <c r="IB6" i="35"/>
  <c r="IR7" i="35"/>
  <c r="MH7" i="35"/>
  <c r="MJ7" i="35" s="1"/>
  <c r="IB7" i="35"/>
  <c r="PA80" i="36"/>
  <c r="RO58" i="36"/>
  <c r="RR58" i="36" s="1"/>
  <c r="RO80" i="36"/>
  <c r="RR80" i="36" s="1"/>
  <c r="MH6" i="35" l="1"/>
  <c r="MJ6" i="35" s="1"/>
  <c r="LB6" i="35"/>
  <c r="LB15" i="35" s="1"/>
  <c r="KJ15" i="35"/>
  <c r="KL15" i="35" s="1"/>
  <c r="KL5" i="35"/>
  <c r="LB5" i="35"/>
  <c r="IX6" i="35"/>
  <c r="JB6" i="35" s="1"/>
  <c r="IT7" i="35"/>
  <c r="IX7" i="35"/>
  <c r="JB7" i="35" s="1"/>
  <c r="IT6" i="35"/>
  <c r="IB15" i="35"/>
  <c r="MH5" i="35"/>
  <c r="IB5" i="35"/>
  <c r="IR5" i="35"/>
  <c r="IX5" i="35" s="1"/>
  <c r="JB5" i="35" s="1"/>
  <c r="LH6" i="35" l="1"/>
  <c r="LD6" i="35"/>
  <c r="LL6" i="35"/>
  <c r="LL5" i="35"/>
  <c r="LD5" i="35"/>
  <c r="LH5" i="35"/>
  <c r="LL15" i="35"/>
  <c r="LH15" i="35"/>
  <c r="LD15" i="35"/>
  <c r="MH15" i="35"/>
  <c r="MJ15" i="35" s="1"/>
  <c r="IR15" i="35"/>
  <c r="IT15" i="35" s="1"/>
  <c r="IT5" i="35"/>
  <c r="MJ5" i="35"/>
  <c r="CK15" i="35"/>
  <c r="CB15" i="35"/>
  <c r="BZ15" i="35"/>
  <c r="BY15" i="35"/>
  <c r="HG15" i="35"/>
  <c r="HF15" i="35"/>
  <c r="HE15" i="35"/>
  <c r="HD15" i="35"/>
  <c r="HP15" i="35"/>
  <c r="AL19" i="62"/>
  <c r="AL17" i="62"/>
  <c r="AL16" i="62"/>
  <c r="AL13" i="62"/>
  <c r="AL11" i="62"/>
  <c r="AL10" i="62"/>
  <c r="AL7" i="62"/>
  <c r="AL5" i="62"/>
  <c r="AL4" i="62"/>
  <c r="AL55" i="62"/>
  <c r="AL54" i="62"/>
  <c r="AL53" i="62"/>
  <c r="AL52" i="62"/>
  <c r="AL49" i="62"/>
  <c r="AL48" i="62"/>
  <c r="AL47" i="62"/>
  <c r="AL46" i="62"/>
  <c r="AL43" i="62"/>
  <c r="AL42" i="62"/>
  <c r="AL41" i="62"/>
  <c r="AL40" i="62"/>
  <c r="AL31" i="62"/>
  <c r="AL30" i="62"/>
  <c r="AL29" i="62"/>
  <c r="AL28" i="62"/>
  <c r="AL18" i="62"/>
  <c r="AL12" i="62"/>
  <c r="AL6" i="62"/>
  <c r="AL59" i="62" l="1"/>
  <c r="AL58" i="62"/>
  <c r="AL60" i="62"/>
  <c r="AL44" i="62"/>
  <c r="AM5" i="62"/>
  <c r="OJ15" i="36"/>
  <c r="OJ58" i="36"/>
  <c r="OJ80" i="36"/>
  <c r="OK6" i="36"/>
  <c r="OK7" i="36"/>
  <c r="OK8" i="36"/>
  <c r="OK9" i="36"/>
  <c r="OK10" i="36"/>
  <c r="OK11" i="36"/>
  <c r="OK14" i="36"/>
  <c r="OL14" i="36"/>
  <c r="ON14" i="36"/>
  <c r="OK20" i="36"/>
  <c r="OK21" i="36"/>
  <c r="OK24" i="36"/>
  <c r="OK29" i="36"/>
  <c r="OK26" i="36"/>
  <c r="OK27" i="36"/>
  <c r="OK28" i="36"/>
  <c r="OK43" i="36"/>
  <c r="OK33" i="36"/>
  <c r="OK25" i="36"/>
  <c r="OK30" i="36"/>
  <c r="OK37" i="36"/>
  <c r="OK31" i="36"/>
  <c r="OK38" i="36"/>
  <c r="OK41" i="36"/>
  <c r="OK42" i="36"/>
  <c r="OK32" i="36"/>
  <c r="OK36" i="36"/>
  <c r="OK40" i="36"/>
  <c r="OK39" i="36"/>
  <c r="OK44" i="36"/>
  <c r="OK45" i="36"/>
  <c r="OK46" i="36"/>
  <c r="OK47" i="36"/>
  <c r="OK48" i="36"/>
  <c r="OK49" i="36"/>
  <c r="OK50" i="36"/>
  <c r="OK51" i="36"/>
  <c r="OK52" i="36"/>
  <c r="OK53" i="36"/>
  <c r="OK54" i="36"/>
  <c r="OK55" i="36"/>
  <c r="OK56" i="36"/>
  <c r="OK57" i="36"/>
  <c r="OK59" i="36"/>
  <c r="OL59" i="36"/>
  <c r="ON59" i="36"/>
  <c r="OK61" i="36"/>
  <c r="OK62" i="36"/>
  <c r="OK63" i="36"/>
  <c r="OK64" i="36"/>
  <c r="OK74" i="36"/>
  <c r="OK68" i="36"/>
  <c r="OK69" i="36"/>
  <c r="OK72" i="36"/>
  <c r="OK70" i="36"/>
  <c r="OK67" i="36"/>
  <c r="OK75" i="36"/>
  <c r="OK76" i="36"/>
  <c r="OK77" i="36"/>
  <c r="OK78" i="36"/>
  <c r="OK79" i="36"/>
  <c r="OL79" i="36"/>
  <c r="ON79" i="36"/>
  <c r="OK5" i="36"/>
  <c r="FY11" i="35" l="1"/>
  <c r="HQ11" i="35" s="1"/>
  <c r="EP9" i="35"/>
  <c r="HR7" i="35"/>
  <c r="HQ5" i="35"/>
  <c r="HU5" i="35" s="1"/>
  <c r="HQ7" i="35"/>
  <c r="HU7" i="35" s="1"/>
  <c r="HS14" i="35"/>
  <c r="HR11" i="35"/>
  <c r="HS11" i="35"/>
  <c r="HQ12" i="35"/>
  <c r="HR12" i="35"/>
  <c r="HS12" i="35"/>
  <c r="HQ13" i="35"/>
  <c r="HR13" i="35"/>
  <c r="HS13" i="35"/>
  <c r="HI13" i="35"/>
  <c r="HH13" i="35"/>
  <c r="HI12" i="35"/>
  <c r="HH12" i="35"/>
  <c r="HI11" i="35"/>
  <c r="HH11" i="35"/>
  <c r="HI9" i="35"/>
  <c r="HH9" i="35"/>
  <c r="HI5" i="35"/>
  <c r="HH5" i="35"/>
  <c r="HI6" i="35"/>
  <c r="HH6" i="35"/>
  <c r="HI7" i="35"/>
  <c r="HH7" i="35"/>
  <c r="T16" i="62"/>
  <c r="T17" i="62"/>
  <c r="HU11" i="35" l="1"/>
  <c r="HT7" i="35"/>
  <c r="U17" i="62"/>
  <c r="HU13" i="35"/>
  <c r="HU12" i="35"/>
  <c r="HT12" i="35"/>
  <c r="HT9" i="35"/>
  <c r="HT11" i="35"/>
  <c r="HT13" i="35"/>
  <c r="HI15" i="35"/>
  <c r="HH15" i="35"/>
  <c r="OF122" i="36" l="1"/>
  <c r="OE25" i="36"/>
  <c r="OE8" i="36"/>
  <c r="OE11" i="36"/>
  <c r="OF106" i="36" l="1"/>
  <c r="OF99" i="36"/>
  <c r="OF95" i="36"/>
  <c r="OC70" i="36"/>
  <c r="OC67" i="36"/>
  <c r="OC75" i="36"/>
  <c r="OC76" i="36"/>
  <c r="OH76" i="36" s="1"/>
  <c r="OC77" i="36"/>
  <c r="NW67" i="36"/>
  <c r="NW70" i="36"/>
  <c r="Y72" i="36"/>
  <c r="AE72" i="36"/>
  <c r="AK72" i="36"/>
  <c r="AQ72" i="36" s="1"/>
  <c r="AU72" i="36"/>
  <c r="AZ72" i="36" s="1"/>
  <c r="AY72" i="36"/>
  <c r="BG72" i="36"/>
  <c r="BM72" i="36"/>
  <c r="BN72" i="36" s="1"/>
  <c r="BS72" i="36"/>
  <c r="BT72" i="36" s="1"/>
  <c r="BV72" i="36"/>
  <c r="CC72" i="36"/>
  <c r="CD72" i="36" s="1"/>
  <c r="CO72" i="36"/>
  <c r="CP72" i="36" s="1"/>
  <c r="DA72" i="36"/>
  <c r="DB72" i="36" s="1"/>
  <c r="DI72" i="36"/>
  <c r="DJ72" i="36"/>
  <c r="DO72" i="36"/>
  <c r="DP72" i="36"/>
  <c r="DQ72" i="36"/>
  <c r="DW72" i="36"/>
  <c r="EA72" i="36" s="1"/>
  <c r="DX72" i="36"/>
  <c r="EB72" i="36" s="1"/>
  <c r="EI72" i="36"/>
  <c r="EJ72" i="36" s="1"/>
  <c r="EU72" i="36"/>
  <c r="EV72" i="36" s="1"/>
  <c r="FC72" i="36"/>
  <c r="FD72" i="36"/>
  <c r="FO72" i="36"/>
  <c r="FP72" i="36" s="1"/>
  <c r="FV72" i="36"/>
  <c r="FW72" i="36"/>
  <c r="FX72" i="36"/>
  <c r="GE72" i="36"/>
  <c r="GF72" i="36"/>
  <c r="GR72" i="36"/>
  <c r="GS72" i="36" s="1"/>
  <c r="HD72" i="36"/>
  <c r="HE72" i="36" s="1"/>
  <c r="HP72" i="36"/>
  <c r="HQ72" i="36" s="1"/>
  <c r="HY72" i="36"/>
  <c r="IN72" i="36"/>
  <c r="IO72" i="36" s="1"/>
  <c r="IY72" i="36"/>
  <c r="IZ72" i="36" s="1"/>
  <c r="JJ72" i="36"/>
  <c r="JO72" i="36" s="1"/>
  <c r="JR72" i="36"/>
  <c r="JY72" i="36"/>
  <c r="JZ72" i="36" s="1"/>
  <c r="KJ72" i="36"/>
  <c r="KK72" i="36" s="1"/>
  <c r="KU72" i="36"/>
  <c r="KV72" i="36" s="1"/>
  <c r="LC72" i="36"/>
  <c r="LF72" i="36"/>
  <c r="LI72" i="36" s="1"/>
  <c r="LP72" i="36"/>
  <c r="LQ72" i="36" s="1"/>
  <c r="MA72" i="36"/>
  <c r="MB72" i="36" s="1"/>
  <c r="ML72" i="36"/>
  <c r="MM72" i="36" s="1"/>
  <c r="MT72" i="36"/>
  <c r="MW72" i="36"/>
  <c r="MZ72" i="36" s="1"/>
  <c r="NG72" i="36"/>
  <c r="NL72" i="36" s="1"/>
  <c r="NR72" i="36"/>
  <c r="NW72" i="36" s="1"/>
  <c r="Y75" i="36"/>
  <c r="AE75" i="36"/>
  <c r="AK75" i="36"/>
  <c r="AU75" i="36"/>
  <c r="AZ75" i="36" s="1"/>
  <c r="AY75" i="36"/>
  <c r="BG75" i="36"/>
  <c r="BM75" i="36"/>
  <c r="BS75" i="36"/>
  <c r="BV75" i="36"/>
  <c r="CC75" i="36"/>
  <c r="CO75" i="36"/>
  <c r="DA75" i="36"/>
  <c r="DB75" i="36" s="1"/>
  <c r="DI75" i="36"/>
  <c r="DJ75" i="36"/>
  <c r="DO75" i="36"/>
  <c r="DP75" i="36"/>
  <c r="DQ75" i="36"/>
  <c r="DW75" i="36"/>
  <c r="DX75" i="36"/>
  <c r="EI75" i="36"/>
  <c r="EJ75" i="36" s="1"/>
  <c r="EU75" i="36"/>
  <c r="EV75" i="36" s="1"/>
  <c r="FC75" i="36"/>
  <c r="FD75" i="36"/>
  <c r="FO75" i="36"/>
  <c r="FP75" i="36" s="1"/>
  <c r="FV75" i="36"/>
  <c r="FW75" i="36"/>
  <c r="FX75" i="36"/>
  <c r="GE75" i="36"/>
  <c r="GF75" i="36"/>
  <c r="GR75" i="36"/>
  <c r="GS75" i="36" s="1"/>
  <c r="HD75" i="36"/>
  <c r="HE75" i="36" s="1"/>
  <c r="HP75" i="36"/>
  <c r="HQ75" i="36" s="1"/>
  <c r="HY75" i="36"/>
  <c r="IN75" i="36"/>
  <c r="IS75" i="36" s="1"/>
  <c r="IT75" i="36" s="1"/>
  <c r="IY75" i="36"/>
  <c r="JD75" i="36" s="1"/>
  <c r="JJ75" i="36"/>
  <c r="JO75" i="36" s="1"/>
  <c r="JR75" i="36"/>
  <c r="JY75" i="36"/>
  <c r="KD75" i="36" s="1"/>
  <c r="KJ75" i="36"/>
  <c r="KO75" i="36" s="1"/>
  <c r="KU75" i="36"/>
  <c r="LC75" i="36"/>
  <c r="LF75" i="36"/>
  <c r="LP75" i="36"/>
  <c r="LU75" i="36" s="1"/>
  <c r="MA75" i="36"/>
  <c r="MF75" i="36" s="1"/>
  <c r="ML75" i="36"/>
  <c r="MT75" i="36"/>
  <c r="MW75" i="36"/>
  <c r="NG75" i="36"/>
  <c r="NL75" i="36" s="1"/>
  <c r="NR75" i="36"/>
  <c r="NW75" i="36" s="1"/>
  <c r="IE75" i="36" l="1"/>
  <c r="MX75" i="36"/>
  <c r="GK72" i="36"/>
  <c r="GX72" i="36"/>
  <c r="GY72" i="36" s="1"/>
  <c r="GJ72" i="36"/>
  <c r="DG72" i="36"/>
  <c r="DH72" i="36" s="1"/>
  <c r="JD72" i="36"/>
  <c r="MF72" i="36"/>
  <c r="MG72" i="36" s="1"/>
  <c r="HJ72" i="36"/>
  <c r="HK72" i="36" s="1"/>
  <c r="EO75" i="36"/>
  <c r="EP75" i="36" s="1"/>
  <c r="MU75" i="36"/>
  <c r="MQ72" i="36"/>
  <c r="MR72" i="36" s="1"/>
  <c r="MX72" i="36"/>
  <c r="NA72" i="36" s="1"/>
  <c r="HZ72" i="36"/>
  <c r="IA72" i="36" s="1"/>
  <c r="DR72" i="36"/>
  <c r="DK72" i="36"/>
  <c r="DL72" i="36" s="1"/>
  <c r="BW72" i="36"/>
  <c r="BX72" i="36" s="1"/>
  <c r="LG75" i="36"/>
  <c r="LJ75" i="36" s="1"/>
  <c r="JS75" i="36"/>
  <c r="JT75" i="36" s="1"/>
  <c r="GJ75" i="36"/>
  <c r="FT75" i="36"/>
  <c r="FU75" i="36" s="1"/>
  <c r="MU72" i="36"/>
  <c r="MV72" i="36" s="1"/>
  <c r="IS72" i="36"/>
  <c r="IT72" i="36" s="1"/>
  <c r="LD75" i="36"/>
  <c r="FY75" i="36"/>
  <c r="FA75" i="36"/>
  <c r="FB75" i="36" s="1"/>
  <c r="LG72" i="36"/>
  <c r="LJ72" i="36" s="1"/>
  <c r="HV72" i="36"/>
  <c r="HW72" i="36" s="1"/>
  <c r="DY72" i="36"/>
  <c r="EC72" i="36" s="1"/>
  <c r="IE72" i="36"/>
  <c r="CI72" i="36"/>
  <c r="CJ72" i="36" s="1"/>
  <c r="OD67" i="36"/>
  <c r="OL67" i="36"/>
  <c r="OM67" i="36" s="1"/>
  <c r="OH75" i="36"/>
  <c r="OL75" i="36"/>
  <c r="OM75" i="36" s="1"/>
  <c r="IO75" i="36"/>
  <c r="GK75" i="36"/>
  <c r="FE75" i="36"/>
  <c r="BW75" i="36"/>
  <c r="LU72" i="36"/>
  <c r="LV72" i="36" s="1"/>
  <c r="KZ72" i="36"/>
  <c r="LA72" i="36" s="1"/>
  <c r="KO72" i="36"/>
  <c r="KP72" i="36" s="1"/>
  <c r="KD72" i="36"/>
  <c r="KE72" i="36" s="1"/>
  <c r="CU72" i="36"/>
  <c r="CV72" i="36" s="1"/>
  <c r="OH77" i="36"/>
  <c r="OD70" i="36"/>
  <c r="OL70" i="36"/>
  <c r="OM70" i="36" s="1"/>
  <c r="MQ75" i="36"/>
  <c r="KZ75" i="36"/>
  <c r="DK75" i="36"/>
  <c r="DL75" i="36" s="1"/>
  <c r="AV75" i="36"/>
  <c r="BA75" i="36" s="1"/>
  <c r="LD72" i="36"/>
  <c r="LE72" i="36" s="1"/>
  <c r="AV72" i="36"/>
  <c r="BA72" i="36" s="1"/>
  <c r="OH67" i="36"/>
  <c r="ON67" i="36" s="1"/>
  <c r="OH70" i="36"/>
  <c r="ON70" i="36" s="1"/>
  <c r="JS72" i="36"/>
  <c r="GG72" i="36"/>
  <c r="FY72" i="36"/>
  <c r="FT72" i="36"/>
  <c r="FE72" i="36"/>
  <c r="FA72" i="36"/>
  <c r="EO72" i="36"/>
  <c r="DY75" i="36"/>
  <c r="HV75" i="36"/>
  <c r="HJ75" i="36"/>
  <c r="HK75" i="36" s="1"/>
  <c r="GX75" i="36"/>
  <c r="GY75" i="36" s="1"/>
  <c r="DG75" i="36"/>
  <c r="HZ75" i="36"/>
  <c r="GG75" i="36"/>
  <c r="DR75" i="36"/>
  <c r="DM72" i="36" l="1"/>
  <c r="DN72" i="36" s="1"/>
  <c r="MY75" i="36"/>
  <c r="IB72" i="36"/>
  <c r="FF75" i="36"/>
  <c r="FZ75" i="36"/>
  <c r="GI75" i="36"/>
  <c r="DZ72" i="36"/>
  <c r="ED72" i="36" s="1"/>
  <c r="LH75" i="36"/>
  <c r="LK75" i="36" s="1"/>
  <c r="ON75" i="36"/>
  <c r="MY72" i="36"/>
  <c r="NB72" i="36" s="1"/>
  <c r="GI72" i="36"/>
  <c r="EP72" i="36"/>
  <c r="FB72" i="36"/>
  <c r="FF72" i="36"/>
  <c r="IF72" i="36"/>
  <c r="IG72" i="36" s="1"/>
  <c r="GH72" i="36"/>
  <c r="GL72" i="36"/>
  <c r="FU72" i="36"/>
  <c r="FZ72" i="36"/>
  <c r="LH72" i="36"/>
  <c r="LK72" i="36" s="1"/>
  <c r="JT72" i="36"/>
  <c r="IF75" i="36"/>
  <c r="IG75" i="36" s="1"/>
  <c r="IA75" i="36"/>
  <c r="DZ75" i="36"/>
  <c r="DH75" i="36"/>
  <c r="DM75" i="36"/>
  <c r="DN75" i="36" s="1"/>
  <c r="HW75" i="36"/>
  <c r="IB75" i="36"/>
  <c r="GH75" i="36"/>
  <c r="GL75" i="36"/>
  <c r="GM72" i="36" l="1"/>
  <c r="GM75" i="36"/>
  <c r="OH106" i="36"/>
  <c r="OF101" i="36"/>
  <c r="OB80" i="36"/>
  <c r="OA80" i="36"/>
  <c r="NZ80" i="36"/>
  <c r="NY80" i="36"/>
  <c r="OC78" i="36"/>
  <c r="OC72" i="36"/>
  <c r="OC69" i="36"/>
  <c r="OC68" i="36"/>
  <c r="OC74" i="36"/>
  <c r="OC64" i="36"/>
  <c r="OC63" i="36"/>
  <c r="OC62" i="36"/>
  <c r="OC61" i="36"/>
  <c r="OG80" i="36"/>
  <c r="OF80" i="36"/>
  <c r="OE80" i="36"/>
  <c r="OC60" i="36"/>
  <c r="OB58" i="36"/>
  <c r="OA58" i="36"/>
  <c r="NZ58" i="36"/>
  <c r="NY58" i="36"/>
  <c r="OC56" i="36"/>
  <c r="OC55" i="36"/>
  <c r="OC54" i="36"/>
  <c r="OC53" i="36"/>
  <c r="OC52" i="36"/>
  <c r="OC51" i="36"/>
  <c r="OC50" i="36"/>
  <c r="OC49" i="36"/>
  <c r="OC48" i="36"/>
  <c r="OC47" i="36"/>
  <c r="OC46" i="36"/>
  <c r="OC45" i="36"/>
  <c r="OC44" i="36"/>
  <c r="OC39" i="36"/>
  <c r="OC36" i="36"/>
  <c r="OC32" i="36"/>
  <c r="OC42" i="36"/>
  <c r="OC41" i="36"/>
  <c r="OC40" i="36"/>
  <c r="OC38" i="36"/>
  <c r="OC37" i="36"/>
  <c r="OC30" i="36"/>
  <c r="OC25" i="36"/>
  <c r="OC33" i="36"/>
  <c r="OC29" i="36"/>
  <c r="OF43" i="36"/>
  <c r="OC43" i="36"/>
  <c r="OC28" i="36"/>
  <c r="OE27" i="36"/>
  <c r="OC27" i="36"/>
  <c r="OE26" i="36"/>
  <c r="OC26" i="36"/>
  <c r="OC31" i="36"/>
  <c r="OG58" i="36"/>
  <c r="OF24" i="36"/>
  <c r="OE24" i="36"/>
  <c r="OC24" i="36"/>
  <c r="OF21" i="36"/>
  <c r="OC21" i="36"/>
  <c r="OE20" i="36"/>
  <c r="OC20" i="36"/>
  <c r="OB15" i="36"/>
  <c r="OA15" i="36"/>
  <c r="NZ15" i="36"/>
  <c r="NY15" i="36"/>
  <c r="OF11" i="36"/>
  <c r="OC11" i="36"/>
  <c r="OC10" i="36"/>
  <c r="OC9" i="36"/>
  <c r="OF8" i="36"/>
  <c r="OE15" i="36"/>
  <c r="OC8" i="36"/>
  <c r="OC7" i="36"/>
  <c r="OG15" i="36"/>
  <c r="OF6" i="36"/>
  <c r="OC6" i="36"/>
  <c r="OC5" i="36"/>
  <c r="OD26" i="36" l="1"/>
  <c r="OH45" i="36"/>
  <c r="OH72" i="36"/>
  <c r="ON72" i="36" s="1"/>
  <c r="OL72" i="36"/>
  <c r="OM72" i="36" s="1"/>
  <c r="OD43" i="36"/>
  <c r="OH40" i="36"/>
  <c r="OH36" i="36"/>
  <c r="OH46" i="36"/>
  <c r="OH50" i="36"/>
  <c r="OH54" i="36"/>
  <c r="OH62" i="36"/>
  <c r="OH74" i="36"/>
  <c r="OH78" i="36"/>
  <c r="OH33" i="36"/>
  <c r="OH32" i="36"/>
  <c r="OH64" i="36"/>
  <c r="OH7" i="36"/>
  <c r="OH9" i="36"/>
  <c r="OD27" i="36"/>
  <c r="OH30" i="36"/>
  <c r="OH41" i="36"/>
  <c r="OH39" i="36"/>
  <c r="OH47" i="36"/>
  <c r="OH51" i="36"/>
  <c r="OH55" i="36"/>
  <c r="OH68" i="36"/>
  <c r="OD21" i="36"/>
  <c r="OH28" i="36"/>
  <c r="OH38" i="36"/>
  <c r="OH49" i="36"/>
  <c r="OH53" i="36"/>
  <c r="OH61" i="36"/>
  <c r="OH10" i="36"/>
  <c r="OH31" i="36"/>
  <c r="OH29" i="36"/>
  <c r="OH37" i="36"/>
  <c r="OH42" i="36"/>
  <c r="OH44" i="36"/>
  <c r="OH48" i="36"/>
  <c r="OH52" i="36"/>
  <c r="OH56" i="36"/>
  <c r="OH63" i="36"/>
  <c r="OH69" i="36"/>
  <c r="OF96" i="36"/>
  <c r="OF94" i="36" s="1"/>
  <c r="OH24" i="36"/>
  <c r="OH11" i="36"/>
  <c r="OF58" i="36"/>
  <c r="OF15" i="36"/>
  <c r="OE58" i="36"/>
  <c r="OD36" i="36"/>
  <c r="OH6" i="36"/>
  <c r="OH8" i="36"/>
  <c r="OH20" i="36"/>
  <c r="OI20" i="36" s="1"/>
  <c r="OH26" i="36"/>
  <c r="OH25" i="36"/>
  <c r="OH43" i="36"/>
  <c r="OD42" i="36"/>
  <c r="OH21" i="36"/>
  <c r="OD37" i="36"/>
  <c r="OD28" i="36"/>
  <c r="OD31" i="36"/>
  <c r="OD8" i="36"/>
  <c r="OD9" i="36"/>
  <c r="OD11" i="36"/>
  <c r="OC80" i="36"/>
  <c r="OD60" i="36"/>
  <c r="OD30" i="36"/>
  <c r="OD38" i="36"/>
  <c r="OD41" i="36"/>
  <c r="OD32" i="36"/>
  <c r="OD7" i="36"/>
  <c r="OD6" i="36"/>
  <c r="OC15" i="36"/>
  <c r="OD5" i="36"/>
  <c r="OD10" i="36"/>
  <c r="OI101" i="36"/>
  <c r="OI103" i="36" s="1"/>
  <c r="OG101" i="36"/>
  <c r="OG103" i="36" s="1"/>
  <c r="OH101" i="36"/>
  <c r="OH103" i="36" s="1"/>
  <c r="OH5" i="36"/>
  <c r="OD20" i="36"/>
  <c r="OH27" i="36"/>
  <c r="OD29" i="36"/>
  <c r="OD33" i="36"/>
  <c r="OD25" i="36"/>
  <c r="OD61" i="36"/>
  <c r="OD62" i="36"/>
  <c r="OD63" i="36"/>
  <c r="OD64" i="36"/>
  <c r="OD74" i="36"/>
  <c r="OD68" i="36"/>
  <c r="OD69" i="36"/>
  <c r="OC58" i="36"/>
  <c r="OH60" i="36"/>
  <c r="OD24" i="36"/>
  <c r="OI11" i="36" l="1"/>
  <c r="OI61" i="36"/>
  <c r="OI28" i="36"/>
  <c r="OI9" i="36"/>
  <c r="OI74" i="36"/>
  <c r="OI45" i="36"/>
  <c r="OD80" i="36"/>
  <c r="OI24" i="36"/>
  <c r="OI63" i="36"/>
  <c r="OI52" i="36"/>
  <c r="OI37" i="36"/>
  <c r="OI31" i="36"/>
  <c r="OI51" i="36"/>
  <c r="OI30" i="36"/>
  <c r="OI32" i="36"/>
  <c r="OD15" i="36"/>
  <c r="OI21" i="36"/>
  <c r="OI10" i="36"/>
  <c r="OI49" i="36"/>
  <c r="OI54" i="36"/>
  <c r="OI46" i="36"/>
  <c r="OI43" i="36"/>
  <c r="OI8" i="36"/>
  <c r="OI53" i="36"/>
  <c r="OI38" i="36"/>
  <c r="OI68" i="36"/>
  <c r="OI7" i="36"/>
  <c r="OI62" i="36"/>
  <c r="OI50" i="36"/>
  <c r="OI26" i="36"/>
  <c r="OD58" i="36"/>
  <c r="OI27" i="36"/>
  <c r="OI25" i="36"/>
  <c r="OI6" i="36"/>
  <c r="OI69" i="36"/>
  <c r="OI56" i="36"/>
  <c r="OI48" i="36"/>
  <c r="OI42" i="36"/>
  <c r="OI29" i="36"/>
  <c r="OI55" i="36"/>
  <c r="OI47" i="36"/>
  <c r="OI41" i="36"/>
  <c r="OI64" i="36"/>
  <c r="OI33" i="36"/>
  <c r="OH94" i="36"/>
  <c r="OH97" i="36" s="1"/>
  <c r="OG94" i="36"/>
  <c r="OG97" i="36" s="1"/>
  <c r="OI94" i="36"/>
  <c r="OI95" i="36" s="1"/>
  <c r="OI60" i="36"/>
  <c r="OH80" i="36"/>
  <c r="OI5" i="36"/>
  <c r="OH15" i="36"/>
  <c r="OH58" i="36"/>
  <c r="OI97" i="36" l="1"/>
  <c r="OI80" i="36"/>
  <c r="OI58" i="36"/>
  <c r="OH95" i="36"/>
  <c r="OI15" i="36"/>
  <c r="OG95" i="36"/>
  <c r="T54" i="62" l="1"/>
  <c r="T52" i="62"/>
  <c r="T47" i="62"/>
  <c r="T48" i="62"/>
  <c r="T49" i="62"/>
  <c r="T46" i="62"/>
  <c r="T42" i="62"/>
  <c r="T43" i="62"/>
  <c r="G55" i="62"/>
  <c r="G53" i="62"/>
  <c r="T53" i="62" l="1"/>
  <c r="U53" i="62" s="1"/>
  <c r="V53" i="62"/>
  <c r="T55" i="62"/>
  <c r="U55" i="62" s="1"/>
  <c r="V55" i="62"/>
  <c r="U47" i="62"/>
  <c r="U49" i="62"/>
  <c r="NP58" i="36"/>
  <c r="Q10" i="62" l="1"/>
  <c r="Y10" i="62" s="1"/>
  <c r="T30" i="62"/>
  <c r="L5" i="62"/>
  <c r="W5" i="62" s="1"/>
  <c r="T10" i="62" l="1"/>
  <c r="S10" i="62"/>
  <c r="NU8" i="36"/>
  <c r="NU24" i="36"/>
  <c r="NU60" i="36"/>
  <c r="NU21" i="36"/>
  <c r="NV24" i="36"/>
  <c r="NV60" i="36"/>
  <c r="NU43" i="36"/>
  <c r="NT20" i="36" l="1"/>
  <c r="NU112" i="36"/>
  <c r="NU111" i="36"/>
  <c r="NS121" i="36"/>
  <c r="NU99" i="36" l="1"/>
  <c r="NU95" i="36"/>
  <c r="NT24" i="36"/>
  <c r="NT11" i="36"/>
  <c r="NT26" i="36"/>
  <c r="NT27" i="36"/>
  <c r="NT25" i="36"/>
  <c r="NT8" i="36"/>
  <c r="NT15" i="36" s="1"/>
  <c r="NT60" i="36"/>
  <c r="T18" i="62" l="1"/>
  <c r="U31" i="62" l="1"/>
  <c r="HA15" i="35" l="1"/>
  <c r="GZ15" i="35"/>
  <c r="GY15" i="35"/>
  <c r="GX15" i="35"/>
  <c r="HC13" i="35"/>
  <c r="HB13" i="35"/>
  <c r="HC12" i="35"/>
  <c r="HB12" i="35"/>
  <c r="HC11" i="35"/>
  <c r="HB11" i="35"/>
  <c r="HC9" i="35"/>
  <c r="HB9" i="35"/>
  <c r="HC5" i="35"/>
  <c r="HB5" i="35"/>
  <c r="HC6" i="35"/>
  <c r="HB6" i="35"/>
  <c r="HC7" i="35"/>
  <c r="HB7" i="35"/>
  <c r="HB15" i="35" l="1"/>
  <c r="HC15" i="35"/>
  <c r="NU101" i="36"/>
  <c r="NV80" i="36"/>
  <c r="NQ80" i="36"/>
  <c r="NP80" i="36"/>
  <c r="NO80" i="36"/>
  <c r="NN80" i="36"/>
  <c r="NR78" i="36"/>
  <c r="NR77" i="36"/>
  <c r="NR76" i="36"/>
  <c r="NR69" i="36"/>
  <c r="NR68" i="36"/>
  <c r="NR74" i="36"/>
  <c r="NR64" i="36"/>
  <c r="NR63" i="36"/>
  <c r="NR62" i="36"/>
  <c r="NR61" i="36"/>
  <c r="NU80" i="36"/>
  <c r="NT80" i="36"/>
  <c r="Q6" i="62" s="1"/>
  <c r="Y6" i="62" s="1"/>
  <c r="NR60" i="36"/>
  <c r="NV58" i="36"/>
  <c r="NQ58" i="36"/>
  <c r="NO58" i="36"/>
  <c r="NN58" i="36"/>
  <c r="NR56" i="36"/>
  <c r="NR55" i="36"/>
  <c r="NR54" i="36"/>
  <c r="NR53" i="36"/>
  <c r="NR52" i="36"/>
  <c r="NR51" i="36"/>
  <c r="NR50" i="36"/>
  <c r="NR49" i="36"/>
  <c r="NR48" i="36"/>
  <c r="NR47" i="36"/>
  <c r="NR46" i="36"/>
  <c r="NR45" i="36"/>
  <c r="NR44" i="36"/>
  <c r="NR39" i="36"/>
  <c r="NR36" i="36"/>
  <c r="NR32" i="36"/>
  <c r="NR42" i="36"/>
  <c r="NR41" i="36"/>
  <c r="NR40" i="36"/>
  <c r="NR38" i="36"/>
  <c r="NR37" i="36"/>
  <c r="NR30" i="36"/>
  <c r="NR25" i="36"/>
  <c r="NR33" i="36"/>
  <c r="NR29" i="36"/>
  <c r="NR43" i="36"/>
  <c r="NR28" i="36"/>
  <c r="NR27" i="36"/>
  <c r="NR26" i="36"/>
  <c r="NR31" i="36"/>
  <c r="NR24" i="36"/>
  <c r="NU58" i="36"/>
  <c r="NR21" i="36"/>
  <c r="NR20" i="36"/>
  <c r="NQ15" i="36"/>
  <c r="NP15" i="36"/>
  <c r="NO15" i="36"/>
  <c r="NN15" i="36"/>
  <c r="NU11" i="36"/>
  <c r="NR11" i="36"/>
  <c r="NR10" i="36"/>
  <c r="NR9" i="36"/>
  <c r="NR8" i="36"/>
  <c r="NR7" i="36"/>
  <c r="NV6" i="36"/>
  <c r="NV15" i="36" s="1"/>
  <c r="NU6" i="36"/>
  <c r="NR6" i="36"/>
  <c r="NR5" i="36"/>
  <c r="T6" i="62" l="1"/>
  <c r="S6" i="62"/>
  <c r="NW9" i="36"/>
  <c r="NW78" i="36"/>
  <c r="NW31" i="36"/>
  <c r="NW39" i="36"/>
  <c r="NW47" i="36"/>
  <c r="NW51" i="36"/>
  <c r="NW55" i="36"/>
  <c r="NS63" i="36"/>
  <c r="NS69" i="36"/>
  <c r="NW20" i="36"/>
  <c r="NX20" i="36" s="1"/>
  <c r="NW28" i="36"/>
  <c r="NW40" i="36"/>
  <c r="NW46" i="36"/>
  <c r="NS68" i="36"/>
  <c r="NW10" i="36"/>
  <c r="NS21" i="36"/>
  <c r="NW30" i="36"/>
  <c r="NS26" i="36"/>
  <c r="NW29" i="36"/>
  <c r="NW37" i="36"/>
  <c r="NW42" i="36"/>
  <c r="NW44" i="36"/>
  <c r="NW48" i="36"/>
  <c r="NW52" i="36"/>
  <c r="NW56" i="36"/>
  <c r="NS61" i="36"/>
  <c r="NS64" i="36"/>
  <c r="NW76" i="36"/>
  <c r="Q4" i="62"/>
  <c r="Y4" i="62" s="1"/>
  <c r="NS24" i="36"/>
  <c r="NW25" i="36"/>
  <c r="NS36" i="36"/>
  <c r="NW50" i="36"/>
  <c r="NW54" i="36"/>
  <c r="NW43" i="36"/>
  <c r="NW41" i="36"/>
  <c r="NW5" i="36"/>
  <c r="NX5" i="36" s="1"/>
  <c r="NS7" i="36"/>
  <c r="NS6" i="36"/>
  <c r="NS8" i="36"/>
  <c r="NW27" i="36"/>
  <c r="NW33" i="36"/>
  <c r="NW38" i="36"/>
  <c r="NS32" i="36"/>
  <c r="NW45" i="36"/>
  <c r="NW49" i="36"/>
  <c r="NW53" i="36"/>
  <c r="NS62" i="36"/>
  <c r="NS74" i="36"/>
  <c r="NW77" i="36"/>
  <c r="NW11" i="36"/>
  <c r="NU15" i="36"/>
  <c r="NV101" i="36"/>
  <c r="NV103" i="36" s="1"/>
  <c r="NX101" i="36"/>
  <c r="NX103" i="36" s="1"/>
  <c r="NW101" i="36"/>
  <c r="NW103" i="36" s="1"/>
  <c r="NW26" i="36"/>
  <c r="NW7" i="36"/>
  <c r="NS31" i="36"/>
  <c r="NT58" i="36"/>
  <c r="Q12" i="62" s="1"/>
  <c r="Y12" i="62" s="1"/>
  <c r="NU106" i="36"/>
  <c r="NW106" i="36" s="1"/>
  <c r="NU96" i="36" s="1"/>
  <c r="NU94" i="36" s="1"/>
  <c r="NW32" i="36"/>
  <c r="NR80" i="36"/>
  <c r="NW61" i="36"/>
  <c r="NW64" i="36"/>
  <c r="NW68" i="36"/>
  <c r="NW62" i="36"/>
  <c r="NW63" i="36"/>
  <c r="NW74" i="36"/>
  <c r="NW69" i="36"/>
  <c r="NW21" i="36"/>
  <c r="NW24" i="36"/>
  <c r="NW36" i="36"/>
  <c r="NW60" i="36"/>
  <c r="NS10" i="36"/>
  <c r="NR15" i="36"/>
  <c r="NS20" i="36"/>
  <c r="NS27" i="36"/>
  <c r="NS28" i="36"/>
  <c r="NS43" i="36"/>
  <c r="NS29" i="36"/>
  <c r="NR58" i="36"/>
  <c r="NS60" i="36"/>
  <c r="NW6" i="36"/>
  <c r="NS9" i="36"/>
  <c r="NW8" i="36"/>
  <c r="NS33" i="36"/>
  <c r="NS25" i="36"/>
  <c r="NS30" i="36"/>
  <c r="NS37" i="36"/>
  <c r="NS38" i="36"/>
  <c r="NS41" i="36"/>
  <c r="NS42" i="36"/>
  <c r="NS5" i="36"/>
  <c r="NS11" i="36"/>
  <c r="NT111" i="36"/>
  <c r="T4" i="62" l="1"/>
  <c r="S4" i="62"/>
  <c r="T12" i="62"/>
  <c r="S12" i="62"/>
  <c r="NX61" i="36"/>
  <c r="NS15" i="36"/>
  <c r="NX53" i="36"/>
  <c r="NX38" i="36"/>
  <c r="NX41" i="36"/>
  <c r="NX50" i="36"/>
  <c r="NX25" i="36"/>
  <c r="NX52" i="36"/>
  <c r="NX37" i="36"/>
  <c r="NX30" i="36"/>
  <c r="NX10" i="36"/>
  <c r="NX46" i="36"/>
  <c r="NX28" i="36"/>
  <c r="NX51" i="36"/>
  <c r="NX21" i="36"/>
  <c r="NX26" i="36"/>
  <c r="NX45" i="36"/>
  <c r="NX27" i="36"/>
  <c r="NX74" i="36"/>
  <c r="NX64" i="36"/>
  <c r="NX32" i="36"/>
  <c r="NX11" i="36"/>
  <c r="NX62" i="36"/>
  <c r="NX6" i="36"/>
  <c r="NX69" i="36"/>
  <c r="NX68" i="36"/>
  <c r="NX8" i="36"/>
  <c r="NX24" i="36"/>
  <c r="NX63" i="36"/>
  <c r="NX7" i="36"/>
  <c r="NX49" i="36"/>
  <c r="NX33" i="36"/>
  <c r="NX43" i="36"/>
  <c r="NX54" i="36"/>
  <c r="NX56" i="36"/>
  <c r="NX48" i="36"/>
  <c r="NX42" i="36"/>
  <c r="NX29" i="36"/>
  <c r="NX55" i="36"/>
  <c r="NX47" i="36"/>
  <c r="NX31" i="36"/>
  <c r="NX9" i="36"/>
  <c r="NS58" i="36"/>
  <c r="Q11" i="62"/>
  <c r="Y11" i="62" s="1"/>
  <c r="NS80" i="36"/>
  <c r="Q5" i="62"/>
  <c r="Y5" i="62" s="1"/>
  <c r="NX94" i="36"/>
  <c r="NW94" i="36"/>
  <c r="NW95" i="36" s="1"/>
  <c r="NV94" i="36"/>
  <c r="NV97" i="36" s="1"/>
  <c r="NW58" i="36"/>
  <c r="NX60" i="36"/>
  <c r="NW80" i="36"/>
  <c r="NW15" i="36"/>
  <c r="U12" i="62" l="1"/>
  <c r="S5" i="62"/>
  <c r="U5" i="62" s="1"/>
  <c r="U6" i="62"/>
  <c r="T11" i="62"/>
  <c r="U11" i="62" s="1"/>
  <c r="S11" i="62"/>
  <c r="T19" i="62"/>
  <c r="U19" i="62" s="1"/>
  <c r="T5" i="62"/>
  <c r="NX80" i="36"/>
  <c r="Q7" i="62"/>
  <c r="Y7" i="62" s="1"/>
  <c r="NX58" i="36"/>
  <c r="Q13" i="62"/>
  <c r="Y13" i="62" s="1"/>
  <c r="NV95" i="36"/>
  <c r="NX15" i="36"/>
  <c r="NX95" i="36"/>
  <c r="NX97" i="36"/>
  <c r="NW97" i="36"/>
  <c r="T13" i="62" l="1"/>
  <c r="U13" i="62" s="1"/>
  <c r="S13" i="62"/>
  <c r="T7" i="62"/>
  <c r="U7" i="62" s="1"/>
  <c r="S7" i="62"/>
  <c r="T40" i="62"/>
  <c r="U43" i="62" s="1"/>
  <c r="T41" i="62" l="1"/>
  <c r="U41" i="62" s="1"/>
  <c r="FS80" i="36" l="1"/>
  <c r="CM5" i="35" l="1"/>
  <c r="CL5" i="35"/>
  <c r="CG80" i="36"/>
  <c r="BO15" i="36"/>
  <c r="BE80" i="36"/>
  <c r="BI15" i="36"/>
  <c r="BC15" i="36"/>
  <c r="EH58" i="36"/>
  <c r="EG58" i="36"/>
  <c r="EF58" i="36"/>
  <c r="EE58" i="36"/>
  <c r="EM58" i="36"/>
  <c r="EY58" i="36"/>
  <c r="EW58" i="36"/>
  <c r="ET58" i="36"/>
  <c r="ES58" i="36"/>
  <c r="ER58" i="36"/>
  <c r="EQ58" i="36"/>
  <c r="FN58" i="36"/>
  <c r="FM58" i="36"/>
  <c r="FL58" i="36"/>
  <c r="FK58" i="36"/>
  <c r="FS58" i="36"/>
  <c r="GV58" i="36"/>
  <c r="GQ58" i="36"/>
  <c r="GP58" i="36"/>
  <c r="GO58" i="36"/>
  <c r="GN58" i="36"/>
  <c r="HC58" i="36"/>
  <c r="HB58" i="36"/>
  <c r="HA58" i="36"/>
  <c r="GZ58" i="36"/>
  <c r="HI58" i="36"/>
  <c r="HH58" i="36"/>
  <c r="HI15" i="36"/>
  <c r="HH15" i="36"/>
  <c r="HC15" i="36"/>
  <c r="HB15" i="36"/>
  <c r="HA15" i="36"/>
  <c r="GZ15" i="36"/>
  <c r="GV15" i="36"/>
  <c r="GQ15" i="36"/>
  <c r="GP15" i="36"/>
  <c r="GO15" i="36"/>
  <c r="GN15" i="36"/>
  <c r="FS15" i="36"/>
  <c r="FN15" i="36"/>
  <c r="FM15" i="36"/>
  <c r="FL15" i="36"/>
  <c r="FK15" i="36"/>
  <c r="EY15" i="36"/>
  <c r="EW15" i="36"/>
  <c r="ET15" i="36"/>
  <c r="ES15" i="36"/>
  <c r="ER15" i="36"/>
  <c r="EQ15" i="36"/>
  <c r="EM15" i="36"/>
  <c r="EL15" i="36"/>
  <c r="EK15" i="36"/>
  <c r="EH15" i="36"/>
  <c r="EG15" i="36"/>
  <c r="EF15" i="36"/>
  <c r="EE15" i="36"/>
  <c r="DE58" i="36"/>
  <c r="CZ58" i="36"/>
  <c r="CY58" i="36"/>
  <c r="CX58" i="36"/>
  <c r="CW58" i="36"/>
  <c r="CT58" i="36"/>
  <c r="CS58" i="36"/>
  <c r="CQ58" i="36"/>
  <c r="CN58" i="36"/>
  <c r="CG58" i="36"/>
  <c r="CE58" i="36"/>
  <c r="CB58" i="36"/>
  <c r="CA58" i="36"/>
  <c r="BU58" i="36"/>
  <c r="BR58" i="36"/>
  <c r="BQ58" i="36"/>
  <c r="BP58" i="36"/>
  <c r="BO58" i="36"/>
  <c r="BK58" i="36"/>
  <c r="BJ58" i="36"/>
  <c r="BI58" i="36"/>
  <c r="DE15" i="36"/>
  <c r="CZ15" i="36"/>
  <c r="CY15" i="36"/>
  <c r="CX15" i="36"/>
  <c r="CW15" i="36"/>
  <c r="CS15" i="36"/>
  <c r="CT15" i="36"/>
  <c r="CQ15" i="36"/>
  <c r="CN15" i="36"/>
  <c r="CH15" i="36"/>
  <c r="CG15" i="36"/>
  <c r="CE15" i="36"/>
  <c r="CB15" i="36"/>
  <c r="BU15" i="36"/>
  <c r="BE58" i="36"/>
  <c r="BC58" i="36"/>
  <c r="BD58" i="36"/>
  <c r="BR15" i="36"/>
  <c r="BQ15" i="36"/>
  <c r="BP15" i="36"/>
  <c r="BK15" i="36"/>
  <c r="BJ15" i="36"/>
  <c r="BE15" i="36"/>
  <c r="BD15" i="36"/>
  <c r="IE38" i="36"/>
  <c r="IE36" i="36"/>
  <c r="IE39" i="36"/>
  <c r="IE52" i="36"/>
  <c r="IE54" i="36"/>
  <c r="IE55" i="36"/>
  <c r="IE56" i="36"/>
  <c r="ID15" i="36" l="1"/>
  <c r="ID58" i="36"/>
  <c r="IF38" i="36"/>
  <c r="IF36" i="36"/>
  <c r="IF39" i="36"/>
  <c r="IF52" i="36"/>
  <c r="IG52" i="36" s="1"/>
  <c r="IF54" i="36"/>
  <c r="IG54" i="36" s="1"/>
  <c r="IF55" i="36"/>
  <c r="IG55" i="36" s="1"/>
  <c r="IF56" i="36"/>
  <c r="IG56" i="36" s="1"/>
  <c r="IE14" i="36"/>
  <c r="IF14" i="36"/>
  <c r="ID80" i="36"/>
  <c r="GW12" i="35"/>
  <c r="GV11" i="35"/>
  <c r="GR15" i="35"/>
  <c r="GW13" i="35"/>
  <c r="GV13" i="35"/>
  <c r="GV12" i="35"/>
  <c r="GW11" i="35"/>
  <c r="GW5" i="35"/>
  <c r="GV5" i="35"/>
  <c r="GW6" i="35"/>
  <c r="GV6" i="35"/>
  <c r="GW7" i="35"/>
  <c r="NJ21" i="36"/>
  <c r="NJ6" i="36"/>
  <c r="NJ60" i="36"/>
  <c r="NK6" i="36"/>
  <c r="NJ11" i="36"/>
  <c r="NJ111" i="36"/>
  <c r="NH123" i="36"/>
  <c r="NH124" i="36"/>
  <c r="NH125" i="36"/>
  <c r="NH122" i="36"/>
  <c r="NI111" i="36" l="1"/>
  <c r="GV7" i="35"/>
  <c r="NH121" i="36"/>
  <c r="NJ112" i="36" l="1"/>
  <c r="NJ113" i="36"/>
  <c r="NJ99" i="36"/>
  <c r="NJ106" i="36" l="1"/>
  <c r="NJ101" i="36"/>
  <c r="NI60" i="36"/>
  <c r="NI32" i="36"/>
  <c r="NI24" i="36"/>
  <c r="NI29" i="36"/>
  <c r="NI26" i="36"/>
  <c r="NI7" i="36"/>
  <c r="NI20" i="36"/>
  <c r="NI6" i="36"/>
  <c r="NL101" i="36" l="1"/>
  <c r="NK101" i="36"/>
  <c r="NL106" i="36"/>
  <c r="NJ96" i="36" s="1"/>
  <c r="NK80" i="36" l="1"/>
  <c r="NL103" i="36" s="1"/>
  <c r="NJ80" i="36"/>
  <c r="NF80" i="36"/>
  <c r="NE80" i="36"/>
  <c r="ND80" i="36"/>
  <c r="NC80" i="36"/>
  <c r="NG78" i="36"/>
  <c r="NG77" i="36"/>
  <c r="NG76" i="36"/>
  <c r="NG69" i="36"/>
  <c r="NG68" i="36"/>
  <c r="NG74" i="36"/>
  <c r="NG64" i="36"/>
  <c r="NG63" i="36"/>
  <c r="NI80" i="36"/>
  <c r="NG62" i="36"/>
  <c r="NG61" i="36"/>
  <c r="NG60" i="36"/>
  <c r="NK58" i="36"/>
  <c r="NJ58" i="36"/>
  <c r="NF58" i="36"/>
  <c r="NE58" i="36"/>
  <c r="ND58" i="36"/>
  <c r="NC58" i="36"/>
  <c r="NG56" i="36"/>
  <c r="NG55" i="36"/>
  <c r="NG54" i="36"/>
  <c r="NG53" i="36"/>
  <c r="NG52" i="36"/>
  <c r="NG51" i="36"/>
  <c r="NG50" i="36"/>
  <c r="NG49" i="36"/>
  <c r="NG48" i="36"/>
  <c r="NG47" i="36"/>
  <c r="NG46" i="36"/>
  <c r="NG45" i="36"/>
  <c r="NG44" i="36"/>
  <c r="NG39" i="36"/>
  <c r="NG36" i="36"/>
  <c r="NG32" i="36"/>
  <c r="NG42" i="36"/>
  <c r="NG41" i="36"/>
  <c r="NG40" i="36"/>
  <c r="NG38" i="36"/>
  <c r="NG37" i="36"/>
  <c r="NG30" i="36"/>
  <c r="NG25" i="36"/>
  <c r="NG33" i="36"/>
  <c r="NG29" i="36"/>
  <c r="NG43" i="36"/>
  <c r="NG28" i="36"/>
  <c r="NG27" i="36"/>
  <c r="NG26" i="36"/>
  <c r="NG31" i="36"/>
  <c r="NG24" i="36"/>
  <c r="NI58" i="36"/>
  <c r="NG21" i="36"/>
  <c r="NG20" i="36"/>
  <c r="NK15" i="36"/>
  <c r="NJ15" i="36"/>
  <c r="NI15" i="36"/>
  <c r="NF15" i="36"/>
  <c r="NE15" i="36"/>
  <c r="ND15" i="36"/>
  <c r="NC15" i="36"/>
  <c r="NG11" i="36"/>
  <c r="NG10" i="36"/>
  <c r="NG9" i="36"/>
  <c r="NG8" i="36"/>
  <c r="NG7" i="36"/>
  <c r="NG6" i="36"/>
  <c r="NG5" i="36"/>
  <c r="NL8" i="36" l="1"/>
  <c r="NH31" i="36"/>
  <c r="NH30" i="36"/>
  <c r="NL39" i="36"/>
  <c r="NL51" i="36"/>
  <c r="NL76" i="36"/>
  <c r="NL29" i="36"/>
  <c r="NL42" i="36"/>
  <c r="NL48" i="36"/>
  <c r="NH63" i="36"/>
  <c r="NL77" i="36"/>
  <c r="NL6" i="36"/>
  <c r="NL10" i="36"/>
  <c r="NL27" i="36"/>
  <c r="NL33" i="36"/>
  <c r="NL38" i="36"/>
  <c r="NL32" i="36"/>
  <c r="NL45" i="36"/>
  <c r="NL49" i="36"/>
  <c r="NL53" i="36"/>
  <c r="NH62" i="36"/>
  <c r="NH64" i="36"/>
  <c r="NH21" i="36"/>
  <c r="NH43" i="36"/>
  <c r="NH41" i="36"/>
  <c r="NL47" i="36"/>
  <c r="NL55" i="36"/>
  <c r="NL60" i="36"/>
  <c r="NL68" i="36"/>
  <c r="NL9" i="36"/>
  <c r="NL26" i="36"/>
  <c r="NL37" i="36"/>
  <c r="NL44" i="36"/>
  <c r="NL52" i="36"/>
  <c r="NL56" i="36"/>
  <c r="NH61" i="36"/>
  <c r="NH69" i="36"/>
  <c r="NL7" i="36"/>
  <c r="NL11" i="36"/>
  <c r="NH20" i="36"/>
  <c r="NL24" i="36"/>
  <c r="NL28" i="36"/>
  <c r="NL25" i="36"/>
  <c r="NL40" i="36"/>
  <c r="NL36" i="36"/>
  <c r="NL46" i="36"/>
  <c r="NL50" i="36"/>
  <c r="NL54" i="36"/>
  <c r="NH74" i="36"/>
  <c r="NL78" i="36"/>
  <c r="NK103" i="36"/>
  <c r="NH36" i="36"/>
  <c r="NH25" i="36"/>
  <c r="NH40" i="36"/>
  <c r="NL31" i="36"/>
  <c r="NH28" i="36"/>
  <c r="NH37" i="36"/>
  <c r="NH42" i="36"/>
  <c r="NL30" i="36"/>
  <c r="NL41" i="36"/>
  <c r="NH29" i="36"/>
  <c r="NL43" i="36"/>
  <c r="NH24" i="36"/>
  <c r="NG15" i="36"/>
  <c r="NG80" i="36"/>
  <c r="NL61" i="36"/>
  <c r="NH27" i="36"/>
  <c r="NH33" i="36"/>
  <c r="NH38" i="36"/>
  <c r="NH32" i="36"/>
  <c r="NH26" i="36"/>
  <c r="NH5" i="36"/>
  <c r="NH68" i="36"/>
  <c r="NL5" i="36"/>
  <c r="NH7" i="36"/>
  <c r="NH8" i="36"/>
  <c r="NH9" i="36"/>
  <c r="NH10" i="36"/>
  <c r="NH11" i="36"/>
  <c r="NL20" i="36"/>
  <c r="NG58" i="36"/>
  <c r="NH60" i="36"/>
  <c r="NL63" i="36"/>
  <c r="NL64" i="36"/>
  <c r="NL74" i="36"/>
  <c r="NL69" i="36"/>
  <c r="NH6" i="36"/>
  <c r="NL21" i="36"/>
  <c r="NL62" i="36"/>
  <c r="NM74" i="36" l="1"/>
  <c r="NM31" i="36"/>
  <c r="NM11" i="36"/>
  <c r="NM49" i="36"/>
  <c r="NM29" i="36"/>
  <c r="NM21" i="36"/>
  <c r="NM61" i="36"/>
  <c r="NM28" i="36"/>
  <c r="NM7" i="36"/>
  <c r="NM52" i="36"/>
  <c r="NM9" i="36"/>
  <c r="NM47" i="36"/>
  <c r="NM45" i="36"/>
  <c r="NM27" i="36"/>
  <c r="NM62" i="36"/>
  <c r="NM25" i="36"/>
  <c r="NM26" i="36"/>
  <c r="NM8" i="36"/>
  <c r="NM43" i="36"/>
  <c r="NM46" i="36"/>
  <c r="NM63" i="36"/>
  <c r="NM24" i="36"/>
  <c r="NM68" i="36"/>
  <c r="NM32" i="36"/>
  <c r="NM10" i="36"/>
  <c r="NM48" i="36"/>
  <c r="NM30" i="36"/>
  <c r="NM50" i="36"/>
  <c r="NM56" i="36"/>
  <c r="NM55" i="36"/>
  <c r="NM33" i="36"/>
  <c r="NM51" i="36"/>
  <c r="NM64" i="36"/>
  <c r="NM69" i="36"/>
  <c r="NM41" i="36"/>
  <c r="NM54" i="36"/>
  <c r="NM40" i="36"/>
  <c r="NM37" i="36"/>
  <c r="NM60" i="36"/>
  <c r="NM53" i="36"/>
  <c r="NM38" i="36"/>
  <c r="NM6" i="36"/>
  <c r="NM42" i="36"/>
  <c r="NH58" i="36"/>
  <c r="NH15" i="36"/>
  <c r="NH80" i="36"/>
  <c r="NL58" i="36"/>
  <c r="NM20" i="36"/>
  <c r="NM5" i="36"/>
  <c r="NL15" i="36"/>
  <c r="NL80" i="36"/>
  <c r="NM15" i="36" l="1"/>
  <c r="NM80" i="36"/>
  <c r="NM58" i="36"/>
  <c r="NJ95" i="36"/>
  <c r="NJ94" i="36" s="1"/>
  <c r="NL94" i="36" l="1"/>
  <c r="NK94" i="36"/>
  <c r="NL95" i="36" l="1"/>
  <c r="NL97" i="36"/>
  <c r="GS15" i="35"/>
  <c r="NK95" i="36"/>
  <c r="NK97" i="36"/>
  <c r="U29" i="62" l="1"/>
  <c r="GV9" i="35"/>
  <c r="GT15" i="35"/>
  <c r="HO9" i="35" l="1"/>
  <c r="HM15" i="35"/>
  <c r="HO15" i="35" s="1"/>
  <c r="IX9" i="35"/>
  <c r="JB9" i="35" s="1"/>
  <c r="GV15" i="35"/>
  <c r="IW15" i="35"/>
  <c r="JA15" i="35" s="1"/>
  <c r="HS15" i="35"/>
  <c r="HU9" i="35"/>
  <c r="GW9" i="35"/>
  <c r="GU15" i="35"/>
  <c r="GW15" i="35" s="1"/>
  <c r="IX15" i="35" l="1"/>
  <c r="JB15" i="35" s="1"/>
  <c r="IV15" i="35"/>
  <c r="IZ15" i="35" s="1"/>
  <c r="MW79" i="36"/>
  <c r="MW78" i="36"/>
  <c r="MW77" i="36"/>
  <c r="MW76" i="36"/>
  <c r="MW69" i="36"/>
  <c r="MZ69" i="36" s="1"/>
  <c r="MW68" i="36"/>
  <c r="MZ68" i="36" s="1"/>
  <c r="MW74" i="36"/>
  <c r="MZ74" i="36" s="1"/>
  <c r="MW64" i="36"/>
  <c r="MZ64" i="36" s="1"/>
  <c r="MW63" i="36"/>
  <c r="MZ63" i="36" s="1"/>
  <c r="MW62" i="36"/>
  <c r="MZ62" i="36" s="1"/>
  <c r="MW61" i="36"/>
  <c r="MZ61" i="36" s="1"/>
  <c r="MW60" i="36"/>
  <c r="MZ60" i="36" s="1"/>
  <c r="MW57" i="36"/>
  <c r="MW56" i="36"/>
  <c r="MW55" i="36"/>
  <c r="MW54" i="36"/>
  <c r="MW53" i="36"/>
  <c r="MW52" i="36"/>
  <c r="MW51" i="36"/>
  <c r="MW50" i="36"/>
  <c r="MW49" i="36"/>
  <c r="MW48" i="36"/>
  <c r="MW47" i="36"/>
  <c r="MW46" i="36"/>
  <c r="MW45" i="36"/>
  <c r="MW44" i="36"/>
  <c r="MW39" i="36"/>
  <c r="MW36" i="36"/>
  <c r="MW32" i="36"/>
  <c r="MZ32" i="36" s="1"/>
  <c r="MW42" i="36"/>
  <c r="MZ42" i="36" s="1"/>
  <c r="MW41" i="36"/>
  <c r="MZ41" i="36" s="1"/>
  <c r="MW40" i="36"/>
  <c r="MZ40" i="36" s="1"/>
  <c r="MW38" i="36"/>
  <c r="MZ38" i="36" s="1"/>
  <c r="MW37" i="36"/>
  <c r="MZ37" i="36" s="1"/>
  <c r="MW30" i="36"/>
  <c r="MZ30" i="36" s="1"/>
  <c r="MW25" i="36"/>
  <c r="MZ25" i="36" s="1"/>
  <c r="MW33" i="36"/>
  <c r="MZ33" i="36" s="1"/>
  <c r="MW29" i="36"/>
  <c r="MZ29" i="36" s="1"/>
  <c r="MW43" i="36"/>
  <c r="MZ43" i="36" s="1"/>
  <c r="MW28" i="36"/>
  <c r="MZ28" i="36" s="1"/>
  <c r="MW27" i="36"/>
  <c r="MZ27" i="36" s="1"/>
  <c r="MW26" i="36"/>
  <c r="MZ26" i="36" s="1"/>
  <c r="MW31" i="36"/>
  <c r="MZ31" i="36" s="1"/>
  <c r="MW24" i="36"/>
  <c r="MZ24" i="36" s="1"/>
  <c r="MW21" i="36"/>
  <c r="MZ21" i="36" s="1"/>
  <c r="MW20" i="36"/>
  <c r="MZ20" i="36" s="1"/>
  <c r="MW11" i="36"/>
  <c r="MZ11" i="36" s="1"/>
  <c r="MW10" i="36"/>
  <c r="MZ10" i="36" s="1"/>
  <c r="MW9" i="36"/>
  <c r="MZ9" i="36" s="1"/>
  <c r="MW8" i="36"/>
  <c r="MZ8" i="36" s="1"/>
  <c r="MW7" i="36"/>
  <c r="MZ7" i="36" s="1"/>
  <c r="MW6" i="36"/>
  <c r="MZ6" i="36" s="1"/>
  <c r="MW5" i="36"/>
  <c r="MZ5" i="36" s="1"/>
  <c r="MS80" i="36"/>
  <c r="MT61" i="36"/>
  <c r="MT62" i="36"/>
  <c r="MT63" i="36"/>
  <c r="MT64" i="36"/>
  <c r="MT74" i="36"/>
  <c r="MT68" i="36"/>
  <c r="MT69" i="36"/>
  <c r="MT76" i="36"/>
  <c r="MT24" i="36"/>
  <c r="MT31" i="36"/>
  <c r="MT26" i="36"/>
  <c r="MT27" i="36"/>
  <c r="MT28" i="36"/>
  <c r="MT43" i="36"/>
  <c r="MT29" i="36"/>
  <c r="MT33" i="36"/>
  <c r="MT25" i="36"/>
  <c r="MT30" i="36"/>
  <c r="MT37" i="36"/>
  <c r="MT38" i="36"/>
  <c r="MT40" i="36"/>
  <c r="MT41" i="36"/>
  <c r="MT42" i="36"/>
  <c r="MT32" i="36"/>
  <c r="MT36" i="36"/>
  <c r="MT39" i="36"/>
  <c r="MT44" i="36"/>
  <c r="MT45" i="36"/>
  <c r="MT46" i="36"/>
  <c r="MT47" i="36"/>
  <c r="MT48" i="36"/>
  <c r="MT49" i="36"/>
  <c r="MT50" i="36"/>
  <c r="MT51" i="36"/>
  <c r="MT52" i="36"/>
  <c r="MT53" i="36"/>
  <c r="MT54" i="36"/>
  <c r="MT55" i="36"/>
  <c r="MT56" i="36"/>
  <c r="MT57" i="36"/>
  <c r="MT21" i="36"/>
  <c r="MT20" i="36"/>
  <c r="MT6" i="36"/>
  <c r="MT7" i="36"/>
  <c r="MT8" i="36"/>
  <c r="MT9" i="36"/>
  <c r="MT10" i="36"/>
  <c r="MT11" i="36"/>
  <c r="MT5" i="36"/>
  <c r="MS15" i="36"/>
  <c r="MS58" i="36"/>
  <c r="GJ13" i="35"/>
  <c r="GJ12" i="35"/>
  <c r="GJ11" i="35"/>
  <c r="GJ14" i="35"/>
  <c r="GJ9" i="35"/>
  <c r="GJ5" i="35"/>
  <c r="GJ6" i="35"/>
  <c r="GJ7" i="35"/>
  <c r="GG6" i="35"/>
  <c r="GG5" i="35"/>
  <c r="GG14" i="35"/>
  <c r="GG11" i="35"/>
  <c r="GG12" i="35"/>
  <c r="GG13" i="35"/>
  <c r="GG7" i="35"/>
  <c r="GD15" i="35"/>
  <c r="GF13" i="35"/>
  <c r="GF12" i="35"/>
  <c r="GF11" i="35"/>
  <c r="GF14" i="35"/>
  <c r="GF9" i="35"/>
  <c r="GF5" i="35"/>
  <c r="GF7" i="35"/>
  <c r="GE13" i="35"/>
  <c r="GE12" i="35"/>
  <c r="GE11" i="35"/>
  <c r="GE14" i="35"/>
  <c r="GE9" i="35"/>
  <c r="GE5" i="35"/>
  <c r="GE7" i="35"/>
  <c r="MP6" i="36"/>
  <c r="MO96" i="36"/>
  <c r="GH14" i="35" l="1"/>
  <c r="GI13" i="35"/>
  <c r="GH9" i="35"/>
  <c r="GI12" i="35"/>
  <c r="GH5" i="35"/>
  <c r="GH7" i="35"/>
  <c r="GH11" i="35"/>
  <c r="GI7" i="35"/>
  <c r="GI14" i="35"/>
  <c r="GH12" i="35"/>
  <c r="GI11" i="35"/>
  <c r="GH13" i="35"/>
  <c r="GI5" i="35"/>
  <c r="MT15" i="36"/>
  <c r="MT58" i="36"/>
  <c r="MO99" i="36"/>
  <c r="MO98" i="36"/>
  <c r="MO94" i="36"/>
  <c r="MO110" i="36"/>
  <c r="MP105" i="36" l="1"/>
  <c r="MO105" i="36"/>
  <c r="MO100" i="36"/>
  <c r="MN60" i="36"/>
  <c r="MN21" i="36"/>
  <c r="MN32" i="36"/>
  <c r="MN62" i="36"/>
  <c r="MN24" i="36"/>
  <c r="MQ105" i="36" l="1"/>
  <c r="MO95" i="36"/>
  <c r="MO93" i="36" s="1"/>
  <c r="MQ93" i="36" s="1"/>
  <c r="MQ94" i="36" s="1"/>
  <c r="MQ100" i="36"/>
  <c r="MP100" i="36"/>
  <c r="LY15" i="36"/>
  <c r="MP93" i="36" l="1"/>
  <c r="MP94" i="36" s="1"/>
  <c r="MK58" i="36"/>
  <c r="MJ58" i="36"/>
  <c r="MI58" i="36"/>
  <c r="MH58" i="36"/>
  <c r="MP80" i="36"/>
  <c r="MO80" i="36"/>
  <c r="MK80" i="36"/>
  <c r="MJ80" i="36"/>
  <c r="MI80" i="36"/>
  <c r="MH80" i="36"/>
  <c r="ML78" i="36"/>
  <c r="ML77" i="36"/>
  <c r="ML76" i="36"/>
  <c r="ML69" i="36"/>
  <c r="ML62" i="36"/>
  <c r="ML64" i="36"/>
  <c r="ML68" i="36"/>
  <c r="ML74" i="36"/>
  <c r="ML61" i="36"/>
  <c r="ML63" i="36"/>
  <c r="MN80" i="36"/>
  <c r="ML60" i="36"/>
  <c r="MP58" i="36"/>
  <c r="ML56" i="36"/>
  <c r="ML55" i="36"/>
  <c r="ML54" i="36"/>
  <c r="ML53" i="36"/>
  <c r="ML52" i="36"/>
  <c r="ML51" i="36"/>
  <c r="ML50" i="36"/>
  <c r="ML49" i="36"/>
  <c r="ML48" i="36"/>
  <c r="ML47" i="36"/>
  <c r="ML46" i="36"/>
  <c r="ML45" i="36"/>
  <c r="ML44" i="36"/>
  <c r="ML39" i="36"/>
  <c r="ML36" i="36"/>
  <c r="ML32" i="36"/>
  <c r="ML42" i="36"/>
  <c r="ML41" i="36"/>
  <c r="ML40" i="36"/>
  <c r="ML38" i="36"/>
  <c r="ML37" i="36"/>
  <c r="ML30" i="36"/>
  <c r="ML25" i="36"/>
  <c r="ML33" i="36"/>
  <c r="ML29" i="36"/>
  <c r="ML43" i="36"/>
  <c r="ML28" i="36"/>
  <c r="ML27" i="36"/>
  <c r="ML26" i="36"/>
  <c r="ML31" i="36"/>
  <c r="ML24" i="36"/>
  <c r="MN58" i="36"/>
  <c r="ML21" i="36"/>
  <c r="MO58" i="36"/>
  <c r="ML20" i="36"/>
  <c r="MP15" i="36"/>
  <c r="MO15" i="36"/>
  <c r="MK15" i="36"/>
  <c r="MJ15" i="36"/>
  <c r="MI15" i="36"/>
  <c r="MH15" i="36"/>
  <c r="ML11" i="36"/>
  <c r="ML10" i="36"/>
  <c r="ML9" i="36"/>
  <c r="ML8" i="36"/>
  <c r="ML7" i="36"/>
  <c r="MN15" i="36"/>
  <c r="ML6" i="36"/>
  <c r="ML5" i="36"/>
  <c r="ME58" i="36"/>
  <c r="LZ58" i="36"/>
  <c r="LY58" i="36"/>
  <c r="LX58" i="36"/>
  <c r="LW58" i="36"/>
  <c r="LT58" i="36"/>
  <c r="LS58" i="36"/>
  <c r="LO58" i="36"/>
  <c r="LN58" i="36"/>
  <c r="LM58" i="36"/>
  <c r="LL58" i="36"/>
  <c r="LB58" i="36"/>
  <c r="MW58" i="36" s="1"/>
  <c r="MZ58" i="36" s="1"/>
  <c r="KY58" i="36"/>
  <c r="KT58" i="36"/>
  <c r="KS58" i="36"/>
  <c r="KQ58" i="36"/>
  <c r="KN58" i="36"/>
  <c r="KI58" i="36"/>
  <c r="JX58" i="36"/>
  <c r="JQ58" i="36"/>
  <c r="JI58" i="36"/>
  <c r="IX58" i="36"/>
  <c r="IL58" i="36"/>
  <c r="IJ58" i="36"/>
  <c r="LB15" i="36"/>
  <c r="ME15" i="36"/>
  <c r="MD15" i="36"/>
  <c r="LZ15" i="36"/>
  <c r="LX15" i="36"/>
  <c r="LW15" i="36"/>
  <c r="LS15" i="36"/>
  <c r="LO15" i="36"/>
  <c r="LN15" i="36"/>
  <c r="LM15" i="36"/>
  <c r="LL15" i="36"/>
  <c r="KY15" i="36"/>
  <c r="KX15" i="36"/>
  <c r="KT15" i="36"/>
  <c r="KS15" i="36"/>
  <c r="KR15" i="36"/>
  <c r="KQ15" i="36"/>
  <c r="KN15" i="36"/>
  <c r="KI15" i="36"/>
  <c r="KH15" i="36"/>
  <c r="KG15" i="36"/>
  <c r="KF15" i="36"/>
  <c r="KC15" i="36"/>
  <c r="KB15" i="36"/>
  <c r="JX15" i="36"/>
  <c r="JW15" i="36"/>
  <c r="JV15" i="36"/>
  <c r="JU15" i="36"/>
  <c r="JQ15" i="36"/>
  <c r="JN15" i="36"/>
  <c r="JI15" i="36"/>
  <c r="JH15" i="36"/>
  <c r="JG15" i="36"/>
  <c r="JF15" i="36"/>
  <c r="JC15" i="36"/>
  <c r="IX15" i="36"/>
  <c r="IW15" i="36"/>
  <c r="IV15" i="36"/>
  <c r="IU15" i="36"/>
  <c r="IR15" i="36"/>
  <c r="IQ15" i="36"/>
  <c r="IP15" i="36"/>
  <c r="IL15" i="36"/>
  <c r="IK15" i="36"/>
  <c r="IJ15" i="36"/>
  <c r="IA58" i="36"/>
  <c r="HX58" i="36"/>
  <c r="HU58" i="36"/>
  <c r="HT58" i="36"/>
  <c r="HS58" i="36"/>
  <c r="HO58" i="36"/>
  <c r="HN58" i="36"/>
  <c r="HL58" i="36"/>
  <c r="HX15" i="36"/>
  <c r="MQ78" i="36" l="1"/>
  <c r="OK15" i="36"/>
  <c r="MQ77" i="36"/>
  <c r="MQ101" i="36"/>
  <c r="MP101" i="36"/>
  <c r="MW15" i="36"/>
  <c r="MZ15" i="36" s="1"/>
  <c r="LF15" i="36"/>
  <c r="LI15" i="36" s="1"/>
  <c r="MQ26" i="36"/>
  <c r="MQ29" i="36"/>
  <c r="MQ37" i="36"/>
  <c r="MQ42" i="36"/>
  <c r="MQ48" i="36"/>
  <c r="MQ52" i="36"/>
  <c r="MQ56" i="36"/>
  <c r="MQ63" i="36"/>
  <c r="MQ64" i="36"/>
  <c r="MQ8" i="36"/>
  <c r="MQ43" i="36"/>
  <c r="MQ41" i="36"/>
  <c r="MQ47" i="36"/>
  <c r="MQ55" i="36"/>
  <c r="MQ68" i="36"/>
  <c r="MQ6" i="36"/>
  <c r="MQ10" i="36"/>
  <c r="MQ20" i="36"/>
  <c r="MQ27" i="36"/>
  <c r="MQ33" i="36"/>
  <c r="MQ38" i="36"/>
  <c r="MQ32" i="36"/>
  <c r="MQ45" i="36"/>
  <c r="MQ49" i="36"/>
  <c r="MQ53" i="36"/>
  <c r="MQ61" i="36"/>
  <c r="MQ62" i="36"/>
  <c r="MQ5" i="36"/>
  <c r="MQ21" i="36"/>
  <c r="MQ31" i="36"/>
  <c r="MQ30" i="36"/>
  <c r="MQ51" i="36"/>
  <c r="MQ9" i="36"/>
  <c r="MQ7" i="36"/>
  <c r="MQ11" i="36"/>
  <c r="MQ24" i="36"/>
  <c r="MQ28" i="36"/>
  <c r="MQ40" i="36"/>
  <c r="MQ46" i="36"/>
  <c r="MQ50" i="36"/>
  <c r="MQ54" i="36"/>
  <c r="MQ60" i="36"/>
  <c r="MQ74" i="36"/>
  <c r="MQ69" i="36"/>
  <c r="MQ76" i="36"/>
  <c r="MQ44" i="36"/>
  <c r="MQ39" i="36"/>
  <c r="MQ36" i="36"/>
  <c r="ML58" i="36"/>
  <c r="MM37" i="36"/>
  <c r="MM32" i="36"/>
  <c r="MM69" i="36"/>
  <c r="MM21" i="36"/>
  <c r="MQ25" i="36"/>
  <c r="MM25" i="36"/>
  <c r="MM24" i="36"/>
  <c r="MM29" i="36"/>
  <c r="MM42" i="36"/>
  <c r="MM62" i="36"/>
  <c r="MM40" i="36"/>
  <c r="ML80" i="36"/>
  <c r="MM60" i="36"/>
  <c r="MM28" i="36"/>
  <c r="MM27" i="36"/>
  <c r="MM43" i="36"/>
  <c r="MM33" i="36"/>
  <c r="MM30" i="36"/>
  <c r="MM38" i="36"/>
  <c r="MM41" i="36"/>
  <c r="MM7" i="36"/>
  <c r="MM9" i="36"/>
  <c r="MM11" i="36"/>
  <c r="MM8" i="36"/>
  <c r="MM10" i="36"/>
  <c r="MM5" i="36"/>
  <c r="MM6" i="36"/>
  <c r="ML15" i="36"/>
  <c r="MM20" i="36"/>
  <c r="MM31" i="36"/>
  <c r="MM26" i="36"/>
  <c r="MM63" i="36"/>
  <c r="MM61" i="36"/>
  <c r="MM74" i="36"/>
  <c r="MM68" i="36"/>
  <c r="MM64" i="36"/>
  <c r="HU15" i="36"/>
  <c r="HT15" i="36"/>
  <c r="HO15" i="36"/>
  <c r="HN15" i="36"/>
  <c r="HL15" i="36"/>
  <c r="GC13" i="35"/>
  <c r="GB13" i="35"/>
  <c r="GC12" i="35"/>
  <c r="GB12" i="35"/>
  <c r="GC11" i="35"/>
  <c r="GB11" i="35"/>
  <c r="GB9" i="35"/>
  <c r="GC5" i="35"/>
  <c r="GB5" i="35"/>
  <c r="GB6" i="35"/>
  <c r="FY15" i="35"/>
  <c r="FX15" i="35"/>
  <c r="GC7" i="35"/>
  <c r="GB7" i="35"/>
  <c r="MR60" i="36" l="1"/>
  <c r="MR31" i="36"/>
  <c r="MR42" i="36"/>
  <c r="MR54" i="36"/>
  <c r="MR28" i="36"/>
  <c r="MR9" i="36"/>
  <c r="MR21" i="36"/>
  <c r="MR53" i="36"/>
  <c r="MR38" i="36"/>
  <c r="MR20" i="36"/>
  <c r="MR55" i="36"/>
  <c r="MR8" i="36"/>
  <c r="MR56" i="36"/>
  <c r="MR37" i="36"/>
  <c r="MR7" i="36"/>
  <c r="MR32" i="36"/>
  <c r="MR43" i="36"/>
  <c r="MR63" i="36"/>
  <c r="MR25" i="36"/>
  <c r="MR69" i="36"/>
  <c r="MR50" i="36"/>
  <c r="MR24" i="36"/>
  <c r="MR51" i="36"/>
  <c r="MR5" i="36"/>
  <c r="MR49" i="36"/>
  <c r="MR33" i="36"/>
  <c r="MR10" i="36"/>
  <c r="MR47" i="36"/>
  <c r="MR52" i="36"/>
  <c r="MR29" i="36"/>
  <c r="MR40" i="36"/>
  <c r="MR61" i="36"/>
  <c r="MR68" i="36"/>
  <c r="MM58" i="36"/>
  <c r="MM15" i="36"/>
  <c r="MM80" i="36"/>
  <c r="MR74" i="36"/>
  <c r="MR46" i="36"/>
  <c r="MR11" i="36"/>
  <c r="MR30" i="36"/>
  <c r="MR62" i="36"/>
  <c r="MR45" i="36"/>
  <c r="MR27" i="36"/>
  <c r="MR6" i="36"/>
  <c r="MR41" i="36"/>
  <c r="MR64" i="36"/>
  <c r="MR48" i="36"/>
  <c r="MR26" i="36"/>
  <c r="MQ15" i="36"/>
  <c r="MQ80" i="36"/>
  <c r="MQ58" i="36"/>
  <c r="FZ15" i="35"/>
  <c r="GB15" i="35" s="1"/>
  <c r="GC6" i="35"/>
  <c r="MR58" i="36" l="1"/>
  <c r="MR80" i="36"/>
  <c r="MR15" i="36"/>
  <c r="CB60" i="37"/>
  <c r="BY60" i="37"/>
  <c r="CF58" i="37"/>
  <c r="CB58" i="37"/>
  <c r="BS58" i="37"/>
  <c r="BO58" i="37"/>
  <c r="BF58" i="37"/>
  <c r="CJ57" i="37"/>
  <c r="CI57" i="37"/>
  <c r="CF57" i="37"/>
  <c r="CE57" i="37"/>
  <c r="CE58" i="37" s="1"/>
  <c r="CB57" i="37"/>
  <c r="CA57" i="37"/>
  <c r="CA58" i="37" s="1"/>
  <c r="BV57" i="37"/>
  <c r="BV58" i="37" s="1"/>
  <c r="BS57" i="37"/>
  <c r="BO57" i="37"/>
  <c r="BN57" i="37"/>
  <c r="BN58" i="37" s="1"/>
  <c r="BF57" i="37"/>
  <c r="BE57" i="37"/>
  <c r="BB57" i="37"/>
  <c r="BB58" i="37" s="1"/>
  <c r="BA57" i="37"/>
  <c r="BA58" i="37" s="1"/>
  <c r="AX57" i="37"/>
  <c r="AX58" i="37" s="1"/>
  <c r="AW57" i="37"/>
  <c r="CE55" i="37"/>
  <c r="BV54" i="37"/>
  <c r="BU54" i="37"/>
  <c r="BT54" i="37"/>
  <c r="BS54" i="37"/>
  <c r="BQ54" i="37"/>
  <c r="BP54" i="37"/>
  <c r="BO54" i="37"/>
  <c r="BN54" i="37"/>
  <c r="BH54" i="37"/>
  <c r="BG54" i="37"/>
  <c r="BF54" i="37"/>
  <c r="BE54" i="37"/>
  <c r="BD54" i="37"/>
  <c r="BC54" i="37"/>
  <c r="BB54" i="37"/>
  <c r="BA54" i="37"/>
  <c r="AZ54" i="37"/>
  <c r="AY54" i="37"/>
  <c r="AX54" i="37"/>
  <c r="AW54" i="37"/>
  <c r="AV54" i="37"/>
  <c r="AB54" i="37"/>
  <c r="T54" i="37"/>
  <c r="BW53" i="37"/>
  <c r="BQ52" i="37"/>
  <c r="BW52" i="37" s="1"/>
  <c r="BI52" i="37"/>
  <c r="BR51" i="37"/>
  <c r="BR54" i="37" s="1"/>
  <c r="BR57" i="37" s="1"/>
  <c r="BR58" i="37" s="1"/>
  <c r="BM51" i="37"/>
  <c r="BM54" i="37" s="1"/>
  <c r="BL51" i="37"/>
  <c r="BL54" i="37" s="1"/>
  <c r="BK51" i="37"/>
  <c r="BK54" i="37" s="1"/>
  <c r="BI51" i="37"/>
  <c r="AV51" i="37"/>
  <c r="AG51" i="37"/>
  <c r="AF51" i="37"/>
  <c r="AC51" i="37"/>
  <c r="AA51" i="37"/>
  <c r="AB51" i="37" s="1"/>
  <c r="Z51" i="37"/>
  <c r="Y51" i="37"/>
  <c r="X51" i="37"/>
  <c r="W51" i="37"/>
  <c r="V51" i="37"/>
  <c r="S51" i="37"/>
  <c r="R51" i="37"/>
  <c r="P51" i="37"/>
  <c r="O51" i="37"/>
  <c r="N51" i="37"/>
  <c r="M51" i="37"/>
  <c r="L51" i="37"/>
  <c r="K51" i="37"/>
  <c r="J51" i="37"/>
  <c r="CJ49" i="37"/>
  <c r="CI49" i="37"/>
  <c r="CH49" i="37"/>
  <c r="CH57" i="37" s="1"/>
  <c r="CH58" i="37" s="1"/>
  <c r="CG49" i="37"/>
  <c r="CG57" i="37" s="1"/>
  <c r="CF49" i="37"/>
  <c r="CE49" i="37"/>
  <c r="CE60" i="37" s="1"/>
  <c r="CD49" i="37"/>
  <c r="CB49" i="37"/>
  <c r="CA49" i="37"/>
  <c r="CA60" i="37" s="1"/>
  <c r="BZ49" i="37"/>
  <c r="BY49" i="37"/>
  <c r="BY57" i="37" s="1"/>
  <c r="BY58" i="37" s="1"/>
  <c r="BV49" i="37"/>
  <c r="BU49" i="37"/>
  <c r="BU57" i="37" s="1"/>
  <c r="BU58" i="37" s="1"/>
  <c r="BT49" i="37"/>
  <c r="BT57" i="37" s="1"/>
  <c r="BT58" i="37" s="1"/>
  <c r="BS49" i="37"/>
  <c r="BR49" i="37"/>
  <c r="BQ49" i="37"/>
  <c r="BQ57" i="37" s="1"/>
  <c r="BQ58" i="37" s="1"/>
  <c r="BP49" i="37"/>
  <c r="BP57" i="37" s="1"/>
  <c r="BP58" i="37" s="1"/>
  <c r="BO49" i="37"/>
  <c r="BN49" i="37"/>
  <c r="BM49" i="37"/>
  <c r="BK49" i="37"/>
  <c r="BH49" i="37"/>
  <c r="BH57" i="37" s="1"/>
  <c r="BH58" i="37" s="1"/>
  <c r="BG49" i="37"/>
  <c r="BG57" i="37" s="1"/>
  <c r="BG58" i="37" s="1"/>
  <c r="BF49" i="37"/>
  <c r="BE49" i="37"/>
  <c r="BD49" i="37"/>
  <c r="BD57" i="37" s="1"/>
  <c r="BB49" i="37"/>
  <c r="BA49" i="37"/>
  <c r="AZ49" i="37"/>
  <c r="AZ57" i="37" s="1"/>
  <c r="AZ58" i="37" s="1"/>
  <c r="AX49" i="37"/>
  <c r="AW49" i="37"/>
  <c r="AT49" i="37"/>
  <c r="AS49" i="37"/>
  <c r="AS57" i="37" s="1"/>
  <c r="AR49" i="37"/>
  <c r="AR57" i="37" s="1"/>
  <c r="AQ49" i="37"/>
  <c r="AQ57" i="37" s="1"/>
  <c r="AP49" i="37"/>
  <c r="AP57" i="37" s="1"/>
  <c r="AO49" i="37"/>
  <c r="AO57" i="37" s="1"/>
  <c r="AN49" i="37"/>
  <c r="AN57" i="37" s="1"/>
  <c r="AJ49" i="37"/>
  <c r="AJ57" i="37" s="1"/>
  <c r="AA49" i="37"/>
  <c r="Z49" i="37"/>
  <c r="Y49" i="37"/>
  <c r="X49" i="37"/>
  <c r="W49" i="37"/>
  <c r="V49" i="37"/>
  <c r="S49" i="37"/>
  <c r="R49" i="37"/>
  <c r="Q49" i="37"/>
  <c r="Q57" i="37" s="1"/>
  <c r="P49" i="37"/>
  <c r="P57" i="37" s="1"/>
  <c r="O49" i="37"/>
  <c r="N49" i="37"/>
  <c r="N57" i="37" s="1"/>
  <c r="M49" i="37"/>
  <c r="M57" i="37" s="1"/>
  <c r="L49" i="37"/>
  <c r="L57" i="37" s="1"/>
  <c r="K49" i="37"/>
  <c r="K57" i="37" s="1"/>
  <c r="J49" i="37"/>
  <c r="J57" i="37" s="1"/>
  <c r="I49" i="37"/>
  <c r="I57" i="37" s="1"/>
  <c r="G49" i="37"/>
  <c r="G57" i="37" s="1"/>
  <c r="F49" i="37"/>
  <c r="F57" i="37" s="1"/>
  <c r="E49" i="37"/>
  <c r="E57" i="37" s="1"/>
  <c r="BW48" i="37"/>
  <c r="AV48" i="37"/>
  <c r="AH48" i="37"/>
  <c r="T48" i="37"/>
  <c r="BW47" i="37"/>
  <c r="BW46" i="37"/>
  <c r="BW45" i="37"/>
  <c r="CC44" i="37"/>
  <c r="CC49" i="37" s="1"/>
  <c r="BW44" i="37"/>
  <c r="BW43" i="37"/>
  <c r="BW42" i="37"/>
  <c r="BI42" i="37"/>
  <c r="BW41" i="37"/>
  <c r="BI41" i="37"/>
  <c r="BW40" i="37"/>
  <c r="BI40" i="37"/>
  <c r="AV40" i="37"/>
  <c r="AH40" i="37"/>
  <c r="T40" i="37"/>
  <c r="BW39" i="37"/>
  <c r="BI39" i="37"/>
  <c r="AV39" i="37"/>
  <c r="AH39" i="37"/>
  <c r="T39" i="37"/>
  <c r="BW38" i="37"/>
  <c r="BI38" i="37"/>
  <c r="AV38" i="37"/>
  <c r="AH38" i="37"/>
  <c r="T38" i="37"/>
  <c r="BW37" i="37"/>
  <c r="BI37" i="37"/>
  <c r="AV37" i="37"/>
  <c r="AH37" i="37"/>
  <c r="T37" i="37"/>
  <c r="BW36" i="37"/>
  <c r="BI36" i="37"/>
  <c r="AV36" i="37"/>
  <c r="AH36" i="37"/>
  <c r="T36" i="37"/>
  <c r="BW35" i="37"/>
  <c r="BI35" i="37"/>
  <c r="AV35" i="37"/>
  <c r="AH35" i="37"/>
  <c r="T35" i="37"/>
  <c r="BW34" i="37"/>
  <c r="BI34" i="37"/>
  <c r="AV34" i="37"/>
  <c r="AH34" i="37"/>
  <c r="T34" i="37"/>
  <c r="BW33" i="37"/>
  <c r="BI33" i="37"/>
  <c r="AV33" i="37"/>
  <c r="AH33" i="37"/>
  <c r="T33" i="37"/>
  <c r="BW32" i="37"/>
  <c r="BI32" i="37"/>
  <c r="AV32" i="37"/>
  <c r="AH32" i="37"/>
  <c r="T32" i="37"/>
  <c r="BW31" i="37"/>
  <c r="BI31" i="37"/>
  <c r="AV31" i="37"/>
  <c r="AH31" i="37"/>
  <c r="T31" i="37"/>
  <c r="BW30" i="37"/>
  <c r="BI30" i="37"/>
  <c r="AV30" i="37"/>
  <c r="AH30" i="37"/>
  <c r="AF30" i="37"/>
  <c r="T30" i="37"/>
  <c r="BW29" i="37"/>
  <c r="BI29" i="37"/>
  <c r="AU29" i="37"/>
  <c r="AU49" i="37" s="1"/>
  <c r="AU57" i="37" s="1"/>
  <c r="AD29" i="37"/>
  <c r="AB29" i="37"/>
  <c r="T29" i="37"/>
  <c r="BW28" i="37"/>
  <c r="BI28" i="37"/>
  <c r="AK28" i="37"/>
  <c r="AV28" i="37" s="1"/>
  <c r="AH28" i="37"/>
  <c r="T28" i="37"/>
  <c r="BW27" i="37"/>
  <c r="BI27" i="37"/>
  <c r="AL27" i="37"/>
  <c r="AH27" i="37"/>
  <c r="T27" i="37"/>
  <c r="BW26" i="37"/>
  <c r="BI26" i="37"/>
  <c r="AK26" i="37"/>
  <c r="AV26" i="37" s="1"/>
  <c r="AE26" i="37"/>
  <c r="AH26" i="37" s="1"/>
  <c r="T26" i="37"/>
  <c r="BW25" i="37"/>
  <c r="BI25" i="37"/>
  <c r="BW24" i="37"/>
  <c r="BI24" i="37"/>
  <c r="BW22" i="37"/>
  <c r="BW21" i="37"/>
  <c r="BI21" i="37"/>
  <c r="BW20" i="37"/>
  <c r="BI20" i="37"/>
  <c r="BW19" i="37"/>
  <c r="BI19" i="37"/>
  <c r="AV19" i="37"/>
  <c r="W19" i="37"/>
  <c r="AH19" i="37" s="1"/>
  <c r="T19" i="37"/>
  <c r="BW18" i="37"/>
  <c r="BI18" i="37"/>
  <c r="BW17" i="37"/>
  <c r="BI17" i="37"/>
  <c r="BW16" i="37"/>
  <c r="BI16" i="37"/>
  <c r="BW15" i="37"/>
  <c r="BI15" i="37"/>
  <c r="BW14" i="37"/>
  <c r="BI14" i="37"/>
  <c r="BW13" i="37"/>
  <c r="BI13" i="37"/>
  <c r="AV13" i="37"/>
  <c r="AH13" i="37"/>
  <c r="T13" i="37"/>
  <c r="BW12" i="37"/>
  <c r="BI12" i="37"/>
  <c r="BW11" i="37"/>
  <c r="BI11" i="37"/>
  <c r="BW10" i="37"/>
  <c r="BL10" i="37"/>
  <c r="BL49" i="37" s="1"/>
  <c r="BI10" i="37"/>
  <c r="BW9" i="37"/>
  <c r="BI9" i="37"/>
  <c r="BC9" i="37"/>
  <c r="BC49" i="37" s="1"/>
  <c r="BC57" i="37" s="1"/>
  <c r="BC58" i="37" s="1"/>
  <c r="AY9" i="37"/>
  <c r="AY49" i="37" s="1"/>
  <c r="AY57" i="37" s="1"/>
  <c r="AY58" i="37" s="1"/>
  <c r="AV9" i="37"/>
  <c r="AH9" i="37"/>
  <c r="AG9" i="37"/>
  <c r="AE9" i="37"/>
  <c r="T9" i="37"/>
  <c r="BW8" i="37"/>
  <c r="BI8" i="37"/>
  <c r="AN8" i="37"/>
  <c r="AM8" i="37"/>
  <c r="AV8" i="37" s="1"/>
  <c r="AG8" i="37"/>
  <c r="AG49" i="37" s="1"/>
  <c r="AE8" i="37"/>
  <c r="AB8" i="37"/>
  <c r="Y8" i="37"/>
  <c r="AH8" i="37" s="1"/>
  <c r="AG54" i="37" s="1"/>
  <c r="T8" i="37"/>
  <c r="S54" i="37" s="1"/>
  <c r="BW7" i="37"/>
  <c r="BI7" i="37"/>
  <c r="AM7" i="37"/>
  <c r="AK7" i="37"/>
  <c r="AV7" i="37" s="1"/>
  <c r="AH7" i="37"/>
  <c r="T7" i="37"/>
  <c r="BW6" i="37"/>
  <c r="BI6" i="37"/>
  <c r="AV6" i="37"/>
  <c r="AM6" i="37"/>
  <c r="AJ6" i="37"/>
  <c r="AF6" i="37"/>
  <c r="T6" i="37"/>
  <c r="BW5" i="37"/>
  <c r="BI5" i="37"/>
  <c r="AV5" i="37"/>
  <c r="AH5" i="37"/>
  <c r="T5" i="37"/>
  <c r="BW4" i="37"/>
  <c r="BI4" i="37"/>
  <c r="AV4" i="37"/>
  <c r="AC4" i="37"/>
  <c r="AC49" i="37" s="1"/>
  <c r="AB4" i="37"/>
  <c r="T4" i="37"/>
  <c r="BW3" i="37"/>
  <c r="BW49" i="37" s="1"/>
  <c r="BI3" i="37"/>
  <c r="AV3" i="37"/>
  <c r="AH3" i="37"/>
  <c r="T3" i="37"/>
  <c r="T49" i="37" s="1"/>
  <c r="O57" i="37" l="1"/>
  <c r="Z57" i="37"/>
  <c r="V57" i="37"/>
  <c r="BL57" i="37"/>
  <c r="BL58" i="37" s="1"/>
  <c r="Y57" i="37"/>
  <c r="T51" i="37"/>
  <c r="T57" i="37" s="1"/>
  <c r="W57" i="37"/>
  <c r="AA57" i="37"/>
  <c r="R57" i="37"/>
  <c r="X57" i="37"/>
  <c r="AD49" i="37"/>
  <c r="AD57" i="37" s="1"/>
  <c r="AH29" i="37"/>
  <c r="AF49" i="37"/>
  <c r="AF57" i="37" s="1"/>
  <c r="AH6" i="37"/>
  <c r="AG57" i="37"/>
  <c r="CD57" i="37"/>
  <c r="CD58" i="37" s="1"/>
  <c r="CD60" i="37"/>
  <c r="BK57" i="37"/>
  <c r="BK58" i="37" s="1"/>
  <c r="BW54" i="37"/>
  <c r="AH54" i="37"/>
  <c r="AH4" i="37"/>
  <c r="AH49" i="37" s="1"/>
  <c r="AB49" i="37"/>
  <c r="AB57" i="37" s="1"/>
  <c r="AV27" i="37"/>
  <c r="AV49" i="37" s="1"/>
  <c r="AV57" i="37" s="1"/>
  <c r="AL49" i="37"/>
  <c r="AL57" i="37" s="1"/>
  <c r="CC60" i="37"/>
  <c r="CC57" i="37"/>
  <c r="CC58" i="37" s="1"/>
  <c r="AE49" i="37"/>
  <c r="AE57" i="37" s="1"/>
  <c r="BZ57" i="37"/>
  <c r="BZ58" i="37" s="1"/>
  <c r="BZ60" i="37"/>
  <c r="AH51" i="37"/>
  <c r="BI49" i="37"/>
  <c r="AC57" i="37"/>
  <c r="AM49" i="37"/>
  <c r="AM57" i="37" s="1"/>
  <c r="S57" i="37"/>
  <c r="BM57" i="37"/>
  <c r="BM58" i="37" s="1"/>
  <c r="BI54" i="37"/>
  <c r="AK49" i="37"/>
  <c r="AK57" i="37" s="1"/>
  <c r="BW51" i="37"/>
  <c r="AV29" i="37"/>
  <c r="BW57" i="37" l="1"/>
  <c r="BW59" i="37" s="1"/>
  <c r="BW60" i="37" s="1"/>
  <c r="AH57" i="37"/>
  <c r="BI57" i="37"/>
  <c r="BW58" i="37" l="1"/>
  <c r="BI58" i="37"/>
  <c r="BI59" i="37"/>
  <c r="BI60" i="37" s="1"/>
  <c r="MD133" i="36" l="1"/>
  <c r="LS133" i="36"/>
  <c r="LS131" i="36"/>
  <c r="MD128" i="36"/>
  <c r="LS128" i="36"/>
  <c r="LS127" i="36"/>
  <c r="MD123" i="36"/>
  <c r="LS123" i="36"/>
  <c r="MD120" i="36"/>
  <c r="LS120" i="36"/>
  <c r="LS114" i="36"/>
  <c r="LS113" i="36"/>
  <c r="MD111" i="36"/>
  <c r="MD105" i="36" s="1"/>
  <c r="KX106" i="36"/>
  <c r="KX105" i="36" s="1"/>
  <c r="ME105" i="36"/>
  <c r="LT105" i="36"/>
  <c r="KM105" i="36"/>
  <c r="KB105" i="36"/>
  <c r="KB103" i="36" s="1"/>
  <c r="KA103" i="36" s="1"/>
  <c r="IQ105" i="36"/>
  <c r="IQ103" i="36" s="1"/>
  <c r="JM103" i="36"/>
  <c r="JB103" i="36"/>
  <c r="HG101" i="36"/>
  <c r="GT101" i="36"/>
  <c r="MD98" i="36"/>
  <c r="MD100" i="36" s="1"/>
  <c r="MF100" i="36" s="1"/>
  <c r="LS98" i="36"/>
  <c r="LS100" i="36" s="1"/>
  <c r="LT100" i="36" s="1"/>
  <c r="KX98" i="36"/>
  <c r="KX100" i="36" s="1"/>
  <c r="KZ100" i="36" s="1"/>
  <c r="KM98" i="36"/>
  <c r="KM100" i="36" s="1"/>
  <c r="KB98" i="36"/>
  <c r="KB100" i="36" s="1"/>
  <c r="KD100" i="36" s="1"/>
  <c r="JM98" i="36"/>
  <c r="JM100" i="36" s="1"/>
  <c r="JN100" i="36" s="1"/>
  <c r="JB98" i="36"/>
  <c r="JB100" i="36" s="1"/>
  <c r="JC100" i="36" s="1"/>
  <c r="IQ98" i="36"/>
  <c r="IQ100" i="36" s="1"/>
  <c r="IS100" i="36" s="1"/>
  <c r="KX96" i="36"/>
  <c r="MD95" i="36"/>
  <c r="HU95" i="36"/>
  <c r="HV95" i="36" s="1"/>
  <c r="HT95" i="36"/>
  <c r="HS95" i="36" s="1"/>
  <c r="HI95" i="36"/>
  <c r="HJ95" i="36" s="1"/>
  <c r="HH95" i="36"/>
  <c r="HG95" i="36" s="1"/>
  <c r="MD94" i="36"/>
  <c r="LS94" i="36"/>
  <c r="KX94" i="36"/>
  <c r="KX93" i="36" s="1"/>
  <c r="KM94" i="36"/>
  <c r="KM93" i="36" s="1"/>
  <c r="KO93" i="36" s="1"/>
  <c r="KO94" i="36" s="1"/>
  <c r="KB94" i="36"/>
  <c r="KB93" i="36" s="1"/>
  <c r="KC93" i="36" s="1"/>
  <c r="JB94" i="36"/>
  <c r="JB93" i="36" s="1"/>
  <c r="HU94" i="36"/>
  <c r="HV94" i="36" s="1"/>
  <c r="HT94" i="36"/>
  <c r="HS94" i="36" s="1"/>
  <c r="HI94" i="36"/>
  <c r="HJ94" i="36" s="1"/>
  <c r="HH94" i="36"/>
  <c r="HG94" i="36" s="1"/>
  <c r="GW94" i="36"/>
  <c r="GX94" i="36" s="1"/>
  <c r="FS94" i="36"/>
  <c r="EZ94" i="36"/>
  <c r="EY94" i="36" s="1"/>
  <c r="EN94" i="36"/>
  <c r="EM94" i="36" s="1"/>
  <c r="DF94" i="36"/>
  <c r="DE94" i="36" s="1"/>
  <c r="JM93" i="36"/>
  <c r="IQ93" i="36"/>
  <c r="IQ92" i="36" s="1"/>
  <c r="IS92" i="36" s="1"/>
  <c r="HU93" i="36"/>
  <c r="HV93" i="36" s="1"/>
  <c r="HT93" i="36"/>
  <c r="HS93" i="36" s="1"/>
  <c r="HI93" i="36"/>
  <c r="HJ93" i="36" s="1"/>
  <c r="HH93" i="36"/>
  <c r="HG93" i="36" s="1"/>
  <c r="GW93" i="36"/>
  <c r="FS93" i="36"/>
  <c r="EZ93" i="36"/>
  <c r="EY93" i="36" s="1"/>
  <c r="EN93" i="36"/>
  <c r="EM93" i="36" s="1"/>
  <c r="DF93" i="36"/>
  <c r="DE93" i="36" s="1"/>
  <c r="CT93" i="36"/>
  <c r="CT94" i="36" s="1"/>
  <c r="CS94" i="36" s="1"/>
  <c r="CH93" i="36"/>
  <c r="CG93" i="36" s="1"/>
  <c r="AP93" i="36"/>
  <c r="AP94" i="36" s="1"/>
  <c r="AO94" i="36" s="1"/>
  <c r="GU92" i="36"/>
  <c r="EX92" i="36"/>
  <c r="EX93" i="36" s="1"/>
  <c r="EW93" i="36" s="1"/>
  <c r="EL92" i="36"/>
  <c r="EL93" i="36" s="1"/>
  <c r="EK93" i="36" s="1"/>
  <c r="DD92" i="36"/>
  <c r="DD93" i="36" s="1"/>
  <c r="DC93" i="36" s="1"/>
  <c r="ME80" i="36"/>
  <c r="LZ80" i="36"/>
  <c r="LY80" i="36"/>
  <c r="LX80" i="36"/>
  <c r="LW80" i="36"/>
  <c r="LT80" i="36"/>
  <c r="LO80" i="36"/>
  <c r="LL80" i="36"/>
  <c r="LB80" i="36"/>
  <c r="MW80" i="36" s="1"/>
  <c r="MZ80" i="36" s="1"/>
  <c r="KY80" i="36"/>
  <c r="KT80" i="36"/>
  <c r="KS80" i="36"/>
  <c r="KQ80" i="36"/>
  <c r="KI80" i="36"/>
  <c r="KH80" i="36"/>
  <c r="KG80" i="36"/>
  <c r="KF80" i="36"/>
  <c r="KC80" i="36"/>
  <c r="JX80" i="36"/>
  <c r="JW80" i="36"/>
  <c r="JU80" i="36"/>
  <c r="JQ80" i="36"/>
  <c r="JN80" i="36"/>
  <c r="JO93" i="36" s="1"/>
  <c r="JI80" i="36"/>
  <c r="JH80" i="36"/>
  <c r="JG80" i="36"/>
  <c r="JF80" i="36"/>
  <c r="JC80" i="36"/>
  <c r="JA80" i="36"/>
  <c r="IX80" i="36"/>
  <c r="IW80" i="36"/>
  <c r="IU80" i="36"/>
  <c r="IR80" i="36"/>
  <c r="IP80" i="36"/>
  <c r="IM80" i="36"/>
  <c r="IL80" i="36"/>
  <c r="IJ80" i="36"/>
  <c r="HX80" i="36"/>
  <c r="HO80" i="36"/>
  <c r="HN80" i="36"/>
  <c r="HL80" i="36"/>
  <c r="HC80" i="36"/>
  <c r="HB80" i="36"/>
  <c r="HA80" i="36"/>
  <c r="GZ80" i="36"/>
  <c r="GW80" i="36"/>
  <c r="GV80" i="36"/>
  <c r="GU80" i="36"/>
  <c r="GQ80" i="36"/>
  <c r="GP80" i="36"/>
  <c r="GO80" i="36"/>
  <c r="GN80" i="36"/>
  <c r="FN80" i="36"/>
  <c r="FM80" i="36"/>
  <c r="FM92" i="36" s="1"/>
  <c r="FL80" i="36"/>
  <c r="FK80" i="36"/>
  <c r="EY80" i="36"/>
  <c r="ET80" i="36"/>
  <c r="ES80" i="36"/>
  <c r="ER80" i="36"/>
  <c r="EQ80" i="36"/>
  <c r="EM80" i="36"/>
  <c r="EL80" i="36"/>
  <c r="EK80" i="36"/>
  <c r="EH80" i="36"/>
  <c r="EG80" i="36"/>
  <c r="EF80" i="36"/>
  <c r="EE80" i="36"/>
  <c r="DE80" i="36"/>
  <c r="CZ80" i="36"/>
  <c r="CY80" i="36"/>
  <c r="CX80" i="36"/>
  <c r="CW80" i="36"/>
  <c r="CS80" i="36"/>
  <c r="CN80" i="36"/>
  <c r="CM80" i="36"/>
  <c r="CF80" i="36"/>
  <c r="CE80" i="36"/>
  <c r="CB80" i="36"/>
  <c r="CA80" i="36"/>
  <c r="BY80" i="36"/>
  <c r="BU80" i="36"/>
  <c r="BR80" i="36"/>
  <c r="BQ80" i="36"/>
  <c r="BP80" i="36"/>
  <c r="BO80" i="36"/>
  <c r="BL80" i="36"/>
  <c r="BK80" i="36"/>
  <c r="BJ80" i="36"/>
  <c r="BI80" i="36"/>
  <c r="BF80" i="36"/>
  <c r="BD80" i="36"/>
  <c r="BC80" i="36"/>
  <c r="AX80" i="36"/>
  <c r="AT80" i="36"/>
  <c r="AS80" i="36"/>
  <c r="AO80" i="36"/>
  <c r="AN80" i="36"/>
  <c r="AM80" i="36"/>
  <c r="AJ80" i="36"/>
  <c r="AI80" i="36"/>
  <c r="AG80" i="36"/>
  <c r="AD80" i="36"/>
  <c r="AC80" i="36"/>
  <c r="AB80" i="36"/>
  <c r="AA80" i="36"/>
  <c r="W80" i="36"/>
  <c r="V80" i="36"/>
  <c r="U80" i="36"/>
  <c r="S80" i="36"/>
  <c r="R80" i="36"/>
  <c r="Q80" i="36"/>
  <c r="P80" i="36"/>
  <c r="I80" i="36"/>
  <c r="H80" i="36"/>
  <c r="G80" i="36"/>
  <c r="F80" i="36"/>
  <c r="LH79" i="36"/>
  <c r="LG79" i="36"/>
  <c r="LF79" i="36"/>
  <c r="LD79" i="36"/>
  <c r="LC79" i="36"/>
  <c r="JS79" i="36"/>
  <c r="JR79" i="36"/>
  <c r="HP79" i="36"/>
  <c r="BW79" i="36"/>
  <c r="IF79" i="36" s="1"/>
  <c r="BV79" i="36"/>
  <c r="IE79" i="36" s="1"/>
  <c r="AE79" i="36"/>
  <c r="Y79" i="36"/>
  <c r="MA78" i="36"/>
  <c r="LP78" i="36"/>
  <c r="LU78" i="36" s="1"/>
  <c r="LH78" i="36"/>
  <c r="LG78" i="36"/>
  <c r="LF78" i="36"/>
  <c r="LC78" i="36"/>
  <c r="KU78" i="36"/>
  <c r="KZ78" i="36" s="1"/>
  <c r="KJ78" i="36"/>
  <c r="JY78" i="36"/>
  <c r="KD78" i="36" s="1"/>
  <c r="JR78" i="36"/>
  <c r="JJ78" i="36"/>
  <c r="JO78" i="36" s="1"/>
  <c r="IY78" i="36"/>
  <c r="IN78" i="36"/>
  <c r="IS78" i="36" s="1"/>
  <c r="HY78" i="36"/>
  <c r="HP78" i="36"/>
  <c r="HD78" i="36"/>
  <c r="GR78" i="36"/>
  <c r="GX78" i="36" s="1"/>
  <c r="GF78" i="36"/>
  <c r="GE78" i="36"/>
  <c r="FX78" i="36"/>
  <c r="GB78" i="36" s="1"/>
  <c r="FW78" i="36"/>
  <c r="FV78" i="36"/>
  <c r="GA78" i="36" s="1"/>
  <c r="FO78" i="36"/>
  <c r="FD78" i="36"/>
  <c r="FH78" i="36" s="1"/>
  <c r="FC78" i="36"/>
  <c r="FG78" i="36" s="1"/>
  <c r="EU78" i="36"/>
  <c r="EV78" i="36" s="1"/>
  <c r="EI78" i="36"/>
  <c r="EJ78" i="36" s="1"/>
  <c r="DX78" i="36"/>
  <c r="EB78" i="36" s="1"/>
  <c r="DW78" i="36"/>
  <c r="EA78" i="36" s="1"/>
  <c r="DQ78" i="36"/>
  <c r="DP78" i="36"/>
  <c r="DT78" i="36" s="1"/>
  <c r="DO78" i="36"/>
  <c r="DS78" i="36" s="1"/>
  <c r="DJ78" i="36"/>
  <c r="DI78" i="36"/>
  <c r="DA78" i="36"/>
  <c r="CO78" i="36"/>
  <c r="CC78" i="36"/>
  <c r="BX78" i="36"/>
  <c r="BS78" i="36"/>
  <c r="BT78" i="36" s="1"/>
  <c r="BM78" i="36"/>
  <c r="BN78" i="36" s="1"/>
  <c r="BG78" i="36"/>
  <c r="BH78" i="36" s="1"/>
  <c r="BA78" i="36"/>
  <c r="AY78" i="36"/>
  <c r="AU78" i="36"/>
  <c r="AZ78" i="36" s="1"/>
  <c r="AK78" i="36"/>
  <c r="AQ78" i="36" s="1"/>
  <c r="AR78" i="36" s="1"/>
  <c r="AE78" i="36"/>
  <c r="Y78" i="36"/>
  <c r="MA77" i="36"/>
  <c r="LP77" i="36"/>
  <c r="LU77" i="36" s="1"/>
  <c r="LH77" i="36"/>
  <c r="LG77" i="36"/>
  <c r="LF77" i="36"/>
  <c r="LC77" i="36"/>
  <c r="KU77" i="36"/>
  <c r="KJ77" i="36"/>
  <c r="KO77" i="36" s="1"/>
  <c r="JY77" i="36"/>
  <c r="KD77" i="36" s="1"/>
  <c r="JR77" i="36"/>
  <c r="JJ77" i="36"/>
  <c r="JO77" i="36" s="1"/>
  <c r="IY77" i="36"/>
  <c r="JD77" i="36" s="1"/>
  <c r="IN77" i="36"/>
  <c r="IS77" i="36" s="1"/>
  <c r="HY77" i="36"/>
  <c r="HP77" i="36"/>
  <c r="HD77" i="36"/>
  <c r="GR77" i="36"/>
  <c r="GX77" i="36" s="1"/>
  <c r="GF77" i="36"/>
  <c r="GE77" i="36"/>
  <c r="FX77" i="36"/>
  <c r="GB77" i="36" s="1"/>
  <c r="FW77" i="36"/>
  <c r="FV77" i="36"/>
  <c r="GA77" i="36" s="1"/>
  <c r="FO77" i="36"/>
  <c r="FP77" i="36" s="1"/>
  <c r="FD77" i="36"/>
  <c r="FH77" i="36" s="1"/>
  <c r="FC77" i="36"/>
  <c r="FG77" i="36" s="1"/>
  <c r="EU77" i="36"/>
  <c r="EI77" i="36"/>
  <c r="EO77" i="36" s="1"/>
  <c r="EP77" i="36" s="1"/>
  <c r="DX77" i="36"/>
  <c r="EB77" i="36" s="1"/>
  <c r="DW77" i="36"/>
  <c r="EA77" i="36" s="1"/>
  <c r="DQ77" i="36"/>
  <c r="DP77" i="36"/>
  <c r="DT77" i="36" s="1"/>
  <c r="DO77" i="36"/>
  <c r="DS77" i="36" s="1"/>
  <c r="DJ77" i="36"/>
  <c r="DI77" i="36"/>
  <c r="DA77" i="36"/>
  <c r="DG77" i="36" s="1"/>
  <c r="CO77" i="36"/>
  <c r="CP77" i="36" s="1"/>
  <c r="CC77" i="36"/>
  <c r="CD77" i="36" s="1"/>
  <c r="BV77" i="36"/>
  <c r="BS77" i="36"/>
  <c r="BT77" i="36" s="1"/>
  <c r="BM77" i="36"/>
  <c r="BN77" i="36" s="1"/>
  <c r="BG77" i="36"/>
  <c r="BH77" i="36" s="1"/>
  <c r="BA77" i="36"/>
  <c r="AY77" i="36"/>
  <c r="AU77" i="36"/>
  <c r="AZ77" i="36" s="1"/>
  <c r="AK77" i="36"/>
  <c r="AQ77" i="36" s="1"/>
  <c r="AR77" i="36" s="1"/>
  <c r="AE77" i="36"/>
  <c r="Y77" i="36"/>
  <c r="T77" i="36"/>
  <c r="O77" i="36"/>
  <c r="J77" i="36"/>
  <c r="MA76" i="36"/>
  <c r="LP76" i="36"/>
  <c r="LU76" i="36" s="1"/>
  <c r="LF76" i="36"/>
  <c r="LC76" i="36"/>
  <c r="KU76" i="36"/>
  <c r="KZ76" i="36" s="1"/>
  <c r="KJ76" i="36"/>
  <c r="JY76" i="36"/>
  <c r="KD76" i="36" s="1"/>
  <c r="JR76" i="36"/>
  <c r="JJ76" i="36"/>
  <c r="JO76" i="36" s="1"/>
  <c r="IY76" i="36"/>
  <c r="JD76" i="36" s="1"/>
  <c r="IN76" i="36"/>
  <c r="IS76" i="36" s="1"/>
  <c r="HY76" i="36"/>
  <c r="HP76" i="36"/>
  <c r="HD76" i="36"/>
  <c r="GR76" i="36"/>
  <c r="GX76" i="36" s="1"/>
  <c r="GY76" i="36" s="1"/>
  <c r="GF76" i="36"/>
  <c r="GE76" i="36"/>
  <c r="FX76" i="36"/>
  <c r="FW76" i="36"/>
  <c r="FV76" i="36"/>
  <c r="FO76" i="36"/>
  <c r="FD76" i="36"/>
  <c r="FC76" i="36"/>
  <c r="EU76" i="36"/>
  <c r="EI76" i="36"/>
  <c r="EO76" i="36" s="1"/>
  <c r="EP76" i="36" s="1"/>
  <c r="DM76" i="36"/>
  <c r="DJ76" i="36"/>
  <c r="DI76" i="36"/>
  <c r="DA76" i="36"/>
  <c r="CO76" i="36"/>
  <c r="CC76" i="36"/>
  <c r="BV76" i="36"/>
  <c r="BS76" i="36"/>
  <c r="BM76" i="36"/>
  <c r="BG76" i="36"/>
  <c r="AY76" i="36"/>
  <c r="AU76" i="36"/>
  <c r="AZ76" i="36" s="1"/>
  <c r="AK76" i="36"/>
  <c r="AE76" i="36"/>
  <c r="Y76" i="36"/>
  <c r="MD80" i="36"/>
  <c r="MA69" i="36"/>
  <c r="LP69" i="36"/>
  <c r="LU69" i="36" s="1"/>
  <c r="LV69" i="36" s="1"/>
  <c r="LF69" i="36"/>
  <c r="LI69" i="36" s="1"/>
  <c r="LC69" i="36"/>
  <c r="KU69" i="36"/>
  <c r="KZ69" i="36" s="1"/>
  <c r="LA69" i="36" s="1"/>
  <c r="KJ69" i="36"/>
  <c r="KO69" i="36" s="1"/>
  <c r="KP69" i="36" s="1"/>
  <c r="JY69" i="36"/>
  <c r="KD69" i="36" s="1"/>
  <c r="KE69" i="36" s="1"/>
  <c r="JR69" i="36"/>
  <c r="JJ69" i="36"/>
  <c r="IY69" i="36"/>
  <c r="IZ69" i="36" s="1"/>
  <c r="IN69" i="36"/>
  <c r="IO69" i="36" s="1"/>
  <c r="HY69" i="36"/>
  <c r="HP69" i="36"/>
  <c r="HD69" i="36"/>
  <c r="HE69" i="36" s="1"/>
  <c r="GR69" i="36"/>
  <c r="GX69" i="36" s="1"/>
  <c r="GY69" i="36" s="1"/>
  <c r="GF69" i="36"/>
  <c r="GE69" i="36"/>
  <c r="FX69" i="36"/>
  <c r="GB69" i="36" s="1"/>
  <c r="FV69" i="36"/>
  <c r="GA69" i="36" s="1"/>
  <c r="FO69" i="36"/>
  <c r="FT69" i="36" s="1"/>
  <c r="FD69" i="36"/>
  <c r="FH69" i="36" s="1"/>
  <c r="FC69" i="36"/>
  <c r="FG69" i="36" s="1"/>
  <c r="EU69" i="36"/>
  <c r="EI69" i="36"/>
  <c r="DX69" i="36"/>
  <c r="DW69" i="36"/>
  <c r="DQ69" i="36"/>
  <c r="DO69" i="36"/>
  <c r="DS69" i="36" s="1"/>
  <c r="DJ69" i="36"/>
  <c r="DI69" i="36"/>
  <c r="DA69" i="36"/>
  <c r="CO69" i="36"/>
  <c r="CU69" i="36" s="1"/>
  <c r="CC69" i="36"/>
  <c r="BV69" i="36"/>
  <c r="BS69" i="36"/>
  <c r="BM69" i="36"/>
  <c r="BN69" i="36" s="1"/>
  <c r="BG69" i="36"/>
  <c r="BH69" i="36" s="1"/>
  <c r="AY69" i="36"/>
  <c r="AU69" i="36"/>
  <c r="AZ69" i="36" s="1"/>
  <c r="AH69" i="36"/>
  <c r="DP69" i="36" s="1"/>
  <c r="DT69" i="36" s="1"/>
  <c r="AE69" i="36"/>
  <c r="Y69" i="36"/>
  <c r="Z69" i="36" s="1"/>
  <c r="T69" i="36"/>
  <c r="O69" i="36"/>
  <c r="J69" i="36"/>
  <c r="MA62" i="36"/>
  <c r="LS62" i="36"/>
  <c r="LP62" i="36"/>
  <c r="LQ62" i="36" s="1"/>
  <c r="LF62" i="36"/>
  <c r="LI62" i="36" s="1"/>
  <c r="LC62" i="36"/>
  <c r="KW62" i="36"/>
  <c r="KU62" i="36"/>
  <c r="KM62" i="36"/>
  <c r="KJ62" i="36"/>
  <c r="JY62" i="36"/>
  <c r="KD62" i="36" s="1"/>
  <c r="KE62" i="36" s="1"/>
  <c r="JR62" i="36"/>
  <c r="JL62" i="36"/>
  <c r="JJ62" i="36"/>
  <c r="JK62" i="36" s="1"/>
  <c r="IY62" i="36"/>
  <c r="JD62" i="36" s="1"/>
  <c r="JE62" i="36" s="1"/>
  <c r="IN62" i="36"/>
  <c r="IS62" i="36" s="1"/>
  <c r="IT62" i="36" s="1"/>
  <c r="HY62" i="36"/>
  <c r="HP62" i="36"/>
  <c r="HD62" i="36"/>
  <c r="HJ62" i="36" s="1"/>
  <c r="HK62" i="36" s="1"/>
  <c r="GR62" i="36"/>
  <c r="GX62" i="36" s="1"/>
  <c r="GY62" i="36" s="1"/>
  <c r="GF62" i="36"/>
  <c r="GE62" i="36"/>
  <c r="FX62" i="36"/>
  <c r="FW62" i="36"/>
  <c r="FV62" i="36"/>
  <c r="FO62" i="36"/>
  <c r="FD62" i="36"/>
  <c r="FC62" i="36"/>
  <c r="EU62" i="36"/>
  <c r="EI62" i="36"/>
  <c r="EO62" i="36" s="1"/>
  <c r="DX62" i="36"/>
  <c r="EB62" i="36" s="1"/>
  <c r="DW62" i="36"/>
  <c r="EA62" i="36" s="1"/>
  <c r="DQ62" i="36"/>
  <c r="DP62" i="36"/>
  <c r="DO62" i="36"/>
  <c r="DJ62" i="36"/>
  <c r="DI62" i="36"/>
  <c r="DA62" i="36"/>
  <c r="DG62" i="36" s="1"/>
  <c r="DH62" i="36" s="1"/>
  <c r="CO62" i="36"/>
  <c r="CU62" i="36" s="1"/>
  <c r="CC62" i="36"/>
  <c r="CD62" i="36" s="1"/>
  <c r="BV62" i="36"/>
  <c r="BS62" i="36"/>
  <c r="BT62" i="36" s="1"/>
  <c r="BM62" i="36"/>
  <c r="BG62" i="36"/>
  <c r="BH62" i="36" s="1"/>
  <c r="AY62" i="36"/>
  <c r="AU62" i="36"/>
  <c r="AZ62" i="36" s="1"/>
  <c r="AK62" i="36"/>
  <c r="AE62" i="36"/>
  <c r="Y62" i="36"/>
  <c r="MC64" i="36"/>
  <c r="MA64" i="36"/>
  <c r="LS64" i="36"/>
  <c r="LP64" i="36"/>
  <c r="LQ64" i="36" s="1"/>
  <c r="LF64" i="36"/>
  <c r="LI64" i="36" s="1"/>
  <c r="LC64" i="36"/>
  <c r="KU64" i="36"/>
  <c r="KZ64" i="36" s="1"/>
  <c r="LA64" i="36" s="1"/>
  <c r="KJ64" i="36"/>
  <c r="KO64" i="36" s="1"/>
  <c r="KP64" i="36" s="1"/>
  <c r="JV64" i="36"/>
  <c r="JY64" i="36" s="1"/>
  <c r="JR64" i="36"/>
  <c r="JJ64" i="36"/>
  <c r="JO64" i="36" s="1"/>
  <c r="JP64" i="36" s="1"/>
  <c r="IY64" i="36"/>
  <c r="IK64" i="36"/>
  <c r="IN64" i="36" s="1"/>
  <c r="IS64" i="36" s="1"/>
  <c r="IT64" i="36" s="1"/>
  <c r="HY64" i="36"/>
  <c r="HR64" i="36"/>
  <c r="HM64" i="36"/>
  <c r="HP64" i="36" s="1"/>
  <c r="HG64" i="36"/>
  <c r="HD64" i="36"/>
  <c r="GR64" i="36"/>
  <c r="GX64" i="36" s="1"/>
  <c r="GY64" i="36" s="1"/>
  <c r="GF64" i="36"/>
  <c r="GE64" i="36"/>
  <c r="FX64" i="36"/>
  <c r="GB64" i="36" s="1"/>
  <c r="FW64" i="36"/>
  <c r="FV64" i="36"/>
  <c r="GA64" i="36" s="1"/>
  <c r="FO64" i="36"/>
  <c r="FD64" i="36"/>
  <c r="FH64" i="36" s="1"/>
  <c r="FC64" i="36"/>
  <c r="FG64" i="36" s="1"/>
  <c r="EU64" i="36"/>
  <c r="EI64" i="36"/>
  <c r="EO64" i="36" s="1"/>
  <c r="DX64" i="36"/>
  <c r="EB64" i="36" s="1"/>
  <c r="DW64" i="36"/>
  <c r="EA64" i="36" s="1"/>
  <c r="DQ64" i="36"/>
  <c r="DP64" i="36"/>
  <c r="DT64" i="36" s="1"/>
  <c r="DO64" i="36"/>
  <c r="DS64" i="36" s="1"/>
  <c r="DJ64" i="36"/>
  <c r="DI64" i="36"/>
  <c r="DA64" i="36"/>
  <c r="CL64" i="36"/>
  <c r="CO64" i="36" s="1"/>
  <c r="BZ64" i="36"/>
  <c r="CC64" i="36" s="1"/>
  <c r="CI64" i="36" s="1"/>
  <c r="BV64" i="36"/>
  <c r="BS64" i="36"/>
  <c r="BT64" i="36" s="1"/>
  <c r="BM64" i="36"/>
  <c r="BN64" i="36" s="1"/>
  <c r="BG64" i="36"/>
  <c r="BH64" i="36" s="1"/>
  <c r="BA64" i="36"/>
  <c r="AY64" i="36"/>
  <c r="AU64" i="36"/>
  <c r="AK64" i="36"/>
  <c r="AQ64" i="36" s="1"/>
  <c r="AR64" i="36" s="1"/>
  <c r="AE64" i="36"/>
  <c r="Y64" i="36"/>
  <c r="Z64" i="36" s="1"/>
  <c r="T64" i="36"/>
  <c r="O64" i="36"/>
  <c r="J64" i="36"/>
  <c r="MA68" i="36"/>
  <c r="LP68" i="36"/>
  <c r="LU68" i="36" s="1"/>
  <c r="LV68" i="36" s="1"/>
  <c r="LF68" i="36"/>
  <c r="LI68" i="36" s="1"/>
  <c r="LC68" i="36"/>
  <c r="KU68" i="36"/>
  <c r="KZ68" i="36" s="1"/>
  <c r="LA68" i="36" s="1"/>
  <c r="KJ68" i="36"/>
  <c r="KK68" i="36" s="1"/>
  <c r="JY68" i="36"/>
  <c r="KD68" i="36" s="1"/>
  <c r="KE68" i="36" s="1"/>
  <c r="JR68" i="36"/>
  <c r="JJ68" i="36"/>
  <c r="JO68" i="36" s="1"/>
  <c r="JP68" i="36" s="1"/>
  <c r="IV68" i="36"/>
  <c r="IY68" i="36" s="1"/>
  <c r="IK68" i="36"/>
  <c r="IN68" i="36" s="1"/>
  <c r="IO68" i="36" s="1"/>
  <c r="HY68" i="36"/>
  <c r="HP68" i="36"/>
  <c r="HD68" i="36"/>
  <c r="GR68" i="36"/>
  <c r="GX68" i="36" s="1"/>
  <c r="GY68" i="36" s="1"/>
  <c r="GF68" i="36"/>
  <c r="GE68" i="36"/>
  <c r="FX68" i="36"/>
  <c r="GB68" i="36" s="1"/>
  <c r="FW68" i="36"/>
  <c r="FV68" i="36"/>
  <c r="GA68" i="36" s="1"/>
  <c r="FO68" i="36"/>
  <c r="FT68" i="36" s="1"/>
  <c r="FU68" i="36" s="1"/>
  <c r="FD68" i="36"/>
  <c r="FH68" i="36" s="1"/>
  <c r="FC68" i="36"/>
  <c r="FG68" i="36" s="1"/>
  <c r="EU68" i="36"/>
  <c r="FA68" i="36" s="1"/>
  <c r="EI68" i="36"/>
  <c r="EO68" i="36" s="1"/>
  <c r="DX68" i="36"/>
  <c r="EB68" i="36" s="1"/>
  <c r="DW68" i="36"/>
  <c r="EA68" i="36" s="1"/>
  <c r="DQ68" i="36"/>
  <c r="DP68" i="36"/>
  <c r="DT68" i="36" s="1"/>
  <c r="DO68" i="36"/>
  <c r="DS68" i="36" s="1"/>
  <c r="DJ68" i="36"/>
  <c r="DI68" i="36"/>
  <c r="DA68" i="36"/>
  <c r="DG68" i="36" s="1"/>
  <c r="DH68" i="36" s="1"/>
  <c r="CO68" i="36"/>
  <c r="CU68" i="36" s="1"/>
  <c r="CV68" i="36" s="1"/>
  <c r="CC68" i="36"/>
  <c r="CI68" i="36" s="1"/>
  <c r="CJ68" i="36" s="1"/>
  <c r="BV68" i="36"/>
  <c r="BS68" i="36"/>
  <c r="BM68" i="36"/>
  <c r="BN68" i="36" s="1"/>
  <c r="BG68" i="36"/>
  <c r="BH68" i="36" s="1"/>
  <c r="BA68" i="36"/>
  <c r="AY68" i="36"/>
  <c r="AU68" i="36"/>
  <c r="AK68" i="36"/>
  <c r="AE68" i="36"/>
  <c r="Y68" i="36"/>
  <c r="Z68" i="36" s="1"/>
  <c r="T68" i="36"/>
  <c r="O68" i="36"/>
  <c r="J68" i="36"/>
  <c r="MA74" i="36"/>
  <c r="LP74" i="36"/>
  <c r="LU74" i="36" s="1"/>
  <c r="LV74" i="36" s="1"/>
  <c r="LF74" i="36"/>
  <c r="LI74" i="36" s="1"/>
  <c r="LC74" i="36"/>
  <c r="KU74" i="36"/>
  <c r="KJ74" i="36"/>
  <c r="KK74" i="36" s="1"/>
  <c r="JY74" i="36"/>
  <c r="KD74" i="36" s="1"/>
  <c r="KE74" i="36" s="1"/>
  <c r="JR74" i="36"/>
  <c r="JJ74" i="36"/>
  <c r="JO74" i="36" s="1"/>
  <c r="JP74" i="36" s="1"/>
  <c r="IY74" i="36"/>
  <c r="IN74" i="36"/>
  <c r="IS74" i="36" s="1"/>
  <c r="IT74" i="36" s="1"/>
  <c r="HY74" i="36"/>
  <c r="HP74" i="36"/>
  <c r="HD74" i="36"/>
  <c r="GR74" i="36"/>
  <c r="GX74" i="36" s="1"/>
  <c r="GY74" i="36" s="1"/>
  <c r="GF74" i="36"/>
  <c r="GE74" i="36"/>
  <c r="FX74" i="36"/>
  <c r="GB74" i="36" s="1"/>
  <c r="FW74" i="36"/>
  <c r="FV74" i="36"/>
  <c r="GA74" i="36" s="1"/>
  <c r="FO74" i="36"/>
  <c r="FP74" i="36" s="1"/>
  <c r="FD74" i="36"/>
  <c r="FH74" i="36" s="1"/>
  <c r="FC74" i="36"/>
  <c r="FG74" i="36" s="1"/>
  <c r="EU74" i="36"/>
  <c r="EI74" i="36"/>
  <c r="EO74" i="36" s="1"/>
  <c r="DX74" i="36"/>
  <c r="EB74" i="36" s="1"/>
  <c r="DW74" i="36"/>
  <c r="EA74" i="36" s="1"/>
  <c r="DQ74" i="36"/>
  <c r="DP74" i="36"/>
  <c r="DT74" i="36" s="1"/>
  <c r="DO74" i="36"/>
  <c r="DS74" i="36" s="1"/>
  <c r="DJ74" i="36"/>
  <c r="DI74" i="36"/>
  <c r="DA74" i="36"/>
  <c r="CO74" i="36"/>
  <c r="CC74" i="36"/>
  <c r="BV74" i="36"/>
  <c r="BS74" i="36"/>
  <c r="BT74" i="36" s="1"/>
  <c r="BM74" i="36"/>
  <c r="BN74" i="36" s="1"/>
  <c r="BG74" i="36"/>
  <c r="BH74" i="36" s="1"/>
  <c r="BA74" i="36"/>
  <c r="AY74" i="36"/>
  <c r="AU74" i="36"/>
  <c r="AW74" i="36" s="1"/>
  <c r="AK74" i="36"/>
  <c r="AL74" i="36" s="1"/>
  <c r="AE74" i="36"/>
  <c r="Y74" i="36"/>
  <c r="Z74" i="36" s="1"/>
  <c r="T74" i="36"/>
  <c r="MA61" i="36"/>
  <c r="LS61" i="36"/>
  <c r="LM61" i="36"/>
  <c r="LF61" i="36"/>
  <c r="LI61" i="36" s="1"/>
  <c r="LC61" i="36"/>
  <c r="KR61" i="36"/>
  <c r="KJ61" i="36"/>
  <c r="KO61" i="36" s="1"/>
  <c r="KP61" i="36" s="1"/>
  <c r="JY61" i="36"/>
  <c r="JR61" i="36"/>
  <c r="JL61" i="36"/>
  <c r="JJ61" i="36"/>
  <c r="JK61" i="36" s="1"/>
  <c r="IV61" i="36"/>
  <c r="IY61" i="36" s="1"/>
  <c r="JD61" i="36" s="1"/>
  <c r="JE61" i="36" s="1"/>
  <c r="IK61" i="36"/>
  <c r="IN61" i="36" s="1"/>
  <c r="IS61" i="36" s="1"/>
  <c r="IT61" i="36" s="1"/>
  <c r="HY61" i="36"/>
  <c r="HS61" i="36"/>
  <c r="HM61" i="36"/>
  <c r="HG61" i="36"/>
  <c r="HD61" i="36"/>
  <c r="HE61" i="36" s="1"/>
  <c r="GR61" i="36"/>
  <c r="GX61" i="36" s="1"/>
  <c r="GY61" i="36" s="1"/>
  <c r="GF61" i="36"/>
  <c r="GE61" i="36"/>
  <c r="FX61" i="36"/>
  <c r="GB61" i="36" s="1"/>
  <c r="FW61" i="36"/>
  <c r="FV61" i="36"/>
  <c r="GA61" i="36" s="1"/>
  <c r="FO61" i="36"/>
  <c r="FT61" i="36" s="1"/>
  <c r="FD61" i="36"/>
  <c r="FH61" i="36" s="1"/>
  <c r="FC61" i="36"/>
  <c r="FG61" i="36" s="1"/>
  <c r="EU61" i="36"/>
  <c r="FA61" i="36" s="1"/>
  <c r="EI61" i="36"/>
  <c r="EO61" i="36" s="1"/>
  <c r="EP61" i="36" s="1"/>
  <c r="DX61" i="36"/>
  <c r="EB61" i="36" s="1"/>
  <c r="DW61" i="36"/>
  <c r="EA61" i="36" s="1"/>
  <c r="DQ61" i="36"/>
  <c r="DP61" i="36"/>
  <c r="DT61" i="36" s="1"/>
  <c r="DO61" i="36"/>
  <c r="DS61" i="36" s="1"/>
  <c r="DJ61" i="36"/>
  <c r="DI61" i="36"/>
  <c r="DA61" i="36"/>
  <c r="CO61" i="36"/>
  <c r="CU61" i="36" s="1"/>
  <c r="CV61" i="36" s="1"/>
  <c r="CC61" i="36"/>
  <c r="CD61" i="36" s="1"/>
  <c r="BV61" i="36"/>
  <c r="BS61" i="36"/>
  <c r="BT61" i="36" s="1"/>
  <c r="BM61" i="36"/>
  <c r="BG61" i="36"/>
  <c r="BH61" i="36" s="1"/>
  <c r="BA61" i="36"/>
  <c r="AY61" i="36"/>
  <c r="AU61" i="36"/>
  <c r="AK61" i="36"/>
  <c r="AE61" i="36"/>
  <c r="Y61" i="36"/>
  <c r="Z61" i="36" s="1"/>
  <c r="T61" i="36"/>
  <c r="O61" i="36"/>
  <c r="J61" i="36"/>
  <c r="MA63" i="36"/>
  <c r="LP63" i="36"/>
  <c r="LF63" i="36"/>
  <c r="LI63" i="36" s="1"/>
  <c r="LC63" i="36"/>
  <c r="KU63" i="36"/>
  <c r="KZ63" i="36" s="1"/>
  <c r="LA63" i="36" s="1"/>
  <c r="KJ63" i="36"/>
  <c r="KK63" i="36" s="1"/>
  <c r="JY63" i="36"/>
  <c r="KD63" i="36" s="1"/>
  <c r="KE63" i="36" s="1"/>
  <c r="JR63" i="36"/>
  <c r="JJ63" i="36"/>
  <c r="IY63" i="36"/>
  <c r="IN63" i="36"/>
  <c r="HY63" i="36"/>
  <c r="HP63" i="36"/>
  <c r="HD63" i="36"/>
  <c r="GR63" i="36"/>
  <c r="GF63" i="36"/>
  <c r="GE63" i="36"/>
  <c r="FX63" i="36"/>
  <c r="GB63" i="36" s="1"/>
  <c r="FV63" i="36"/>
  <c r="GA63" i="36" s="1"/>
  <c r="FO63" i="36"/>
  <c r="FD63" i="36"/>
  <c r="FH63" i="36" s="1"/>
  <c r="FC63" i="36"/>
  <c r="FG63" i="36" s="1"/>
  <c r="EU63" i="36"/>
  <c r="EI63" i="36"/>
  <c r="DX63" i="36"/>
  <c r="EB63" i="36" s="1"/>
  <c r="DW63" i="36"/>
  <c r="EA63" i="36" s="1"/>
  <c r="DQ63" i="36"/>
  <c r="DO63" i="36"/>
  <c r="DS63" i="36" s="1"/>
  <c r="DJ63" i="36"/>
  <c r="DI63" i="36"/>
  <c r="DC63" i="36"/>
  <c r="DA63" i="36"/>
  <c r="CO63" i="36"/>
  <c r="CC63" i="36"/>
  <c r="BV63" i="36"/>
  <c r="BS63" i="36"/>
  <c r="BT63" i="36" s="1"/>
  <c r="BM63" i="36"/>
  <c r="BG63" i="36"/>
  <c r="BH63" i="36" s="1"/>
  <c r="BA63" i="36"/>
  <c r="AY63" i="36"/>
  <c r="AU63" i="36"/>
  <c r="AW63" i="36" s="1"/>
  <c r="AH63" i="36"/>
  <c r="AE63" i="36"/>
  <c r="Y63" i="36"/>
  <c r="Z63" i="36" s="1"/>
  <c r="T63" i="36"/>
  <c r="O63" i="36"/>
  <c r="J63" i="36"/>
  <c r="MC60" i="36"/>
  <c r="MA60" i="36"/>
  <c r="LS60" i="36"/>
  <c r="LR60" i="36"/>
  <c r="LR80" i="36" s="1"/>
  <c r="LN60" i="36"/>
  <c r="LM60" i="36"/>
  <c r="LF60" i="36"/>
  <c r="LI60" i="36" s="1"/>
  <c r="LC60" i="36"/>
  <c r="KX60" i="36"/>
  <c r="KX80" i="36" s="1"/>
  <c r="KW60" i="36"/>
  <c r="KU60" i="36"/>
  <c r="KN60" i="36"/>
  <c r="KN80" i="36" s="1"/>
  <c r="KM60" i="36"/>
  <c r="KL60" i="36"/>
  <c r="KL80" i="36" s="1"/>
  <c r="KJ60" i="36"/>
  <c r="KB60" i="36"/>
  <c r="KB80" i="36" s="1"/>
  <c r="KA60" i="36"/>
  <c r="KA80" i="36" s="1"/>
  <c r="JV60" i="36"/>
  <c r="JR60" i="36"/>
  <c r="JM60" i="36"/>
  <c r="JM80" i="36" s="1"/>
  <c r="JL60" i="36"/>
  <c r="JJ60" i="36"/>
  <c r="JB60" i="36"/>
  <c r="JB80" i="36" s="1"/>
  <c r="IV60" i="36"/>
  <c r="IQ60" i="36"/>
  <c r="IQ80" i="36" s="1"/>
  <c r="IK60" i="36"/>
  <c r="HY60" i="36"/>
  <c r="HU60" i="36"/>
  <c r="HU80" i="36" s="1"/>
  <c r="HS60" i="36"/>
  <c r="HR60" i="36"/>
  <c r="HP60" i="36"/>
  <c r="HI60" i="36"/>
  <c r="HI80" i="36" s="1"/>
  <c r="HG60" i="36"/>
  <c r="HF60" i="36"/>
  <c r="HF80" i="36" s="1"/>
  <c r="HD60" i="36"/>
  <c r="GT60" i="36"/>
  <c r="GR60" i="36"/>
  <c r="GF60" i="36"/>
  <c r="GE60" i="36"/>
  <c r="FX60" i="36"/>
  <c r="GB60" i="36" s="1"/>
  <c r="FV60" i="36"/>
  <c r="GA60" i="36" s="1"/>
  <c r="FR60" i="36"/>
  <c r="FR80" i="36" s="1"/>
  <c r="FQ60" i="36"/>
  <c r="FQ80" i="36" s="1"/>
  <c r="FO60" i="36"/>
  <c r="FD60" i="36"/>
  <c r="FH60" i="36" s="1"/>
  <c r="FC60" i="36"/>
  <c r="FG60" i="36" s="1"/>
  <c r="EZ60" i="36"/>
  <c r="EZ80" i="36" s="1"/>
  <c r="EX60" i="36"/>
  <c r="EX80" i="36" s="1"/>
  <c r="EW60" i="36"/>
  <c r="EW80" i="36" s="1"/>
  <c r="EU60" i="36"/>
  <c r="EN60" i="36"/>
  <c r="EN80" i="36" s="1"/>
  <c r="EI60" i="36"/>
  <c r="DX60" i="36"/>
  <c r="EB60" i="36" s="1"/>
  <c r="DQ60" i="36"/>
  <c r="DO60" i="36"/>
  <c r="DJ60" i="36"/>
  <c r="DF60" i="36"/>
  <c r="DF80" i="36" s="1"/>
  <c r="DD60" i="36"/>
  <c r="DD80" i="36" s="1"/>
  <c r="DC60" i="36"/>
  <c r="DA60" i="36"/>
  <c r="CT60" i="36"/>
  <c r="CT80" i="36" s="1"/>
  <c r="CR60" i="36"/>
  <c r="CR80" i="36" s="1"/>
  <c r="CQ60" i="36"/>
  <c r="CQ80" i="36" s="1"/>
  <c r="CL60" i="36"/>
  <c r="CK60" i="36"/>
  <c r="CK80" i="36" s="1"/>
  <c r="CH60" i="36"/>
  <c r="CH80" i="36" s="1"/>
  <c r="BZ60" i="36"/>
  <c r="BV60" i="36"/>
  <c r="BS60" i="36"/>
  <c r="BM60" i="36"/>
  <c r="BG60" i="36"/>
  <c r="BA60" i="36"/>
  <c r="AY60" i="36"/>
  <c r="AU60" i="36"/>
  <c r="AP60" i="36"/>
  <c r="AP80" i="36" s="1"/>
  <c r="AH60" i="36"/>
  <c r="DP60" i="36" s="1"/>
  <c r="AE60" i="36"/>
  <c r="Y60" i="36"/>
  <c r="Z60" i="36" s="1"/>
  <c r="T60" i="36"/>
  <c r="O60" i="36"/>
  <c r="J60" i="36"/>
  <c r="LH59" i="36"/>
  <c r="LG59" i="36"/>
  <c r="LF59" i="36"/>
  <c r="JR59" i="36"/>
  <c r="BN58" i="36"/>
  <c r="BH58" i="36"/>
  <c r="AP58" i="36"/>
  <c r="AO58" i="36"/>
  <c r="AN58" i="36"/>
  <c r="AM58" i="36"/>
  <c r="AJ58" i="36"/>
  <c r="AI58" i="36"/>
  <c r="MA57" i="36"/>
  <c r="LU57" i="36"/>
  <c r="LF57" i="36"/>
  <c r="LD57" i="36"/>
  <c r="LC57" i="36"/>
  <c r="KZ57" i="36"/>
  <c r="KO57" i="36"/>
  <c r="KD57" i="36"/>
  <c r="JR57" i="36"/>
  <c r="JO57" i="36"/>
  <c r="JD57" i="36"/>
  <c r="IN57" i="36"/>
  <c r="JS57" i="36" s="1"/>
  <c r="HY57" i="36"/>
  <c r="HD57" i="36"/>
  <c r="GR57" i="36"/>
  <c r="EU57" i="36"/>
  <c r="DA57" i="36"/>
  <c r="BW57" i="36"/>
  <c r="BV57" i="36"/>
  <c r="BA57" i="36"/>
  <c r="AZ57" i="36"/>
  <c r="AY57" i="36"/>
  <c r="MA56" i="36"/>
  <c r="LF56" i="36"/>
  <c r="LD56" i="36"/>
  <c r="LC56" i="36"/>
  <c r="MA55" i="36"/>
  <c r="LF55" i="36"/>
  <c r="LD55" i="36"/>
  <c r="LC55" i="36"/>
  <c r="MA54" i="36"/>
  <c r="LF54" i="36"/>
  <c r="LD54" i="36"/>
  <c r="LC54" i="36"/>
  <c r="MA53" i="36"/>
  <c r="LP53" i="36"/>
  <c r="LU53" i="36" s="1"/>
  <c r="LF53" i="36"/>
  <c r="LC53" i="36"/>
  <c r="KU53" i="36"/>
  <c r="KZ53" i="36" s="1"/>
  <c r="KJ53" i="36"/>
  <c r="KO53" i="36" s="1"/>
  <c r="JY53" i="36"/>
  <c r="KD53" i="36" s="1"/>
  <c r="JR53" i="36"/>
  <c r="JO53" i="36"/>
  <c r="JD53" i="36"/>
  <c r="IN53" i="36"/>
  <c r="JS53" i="36" s="1"/>
  <c r="HY53" i="36"/>
  <c r="HP53" i="36"/>
  <c r="HD53" i="36"/>
  <c r="HJ53" i="36" s="1"/>
  <c r="GR53" i="36"/>
  <c r="EU53" i="36"/>
  <c r="DA53" i="36"/>
  <c r="BV53" i="36"/>
  <c r="BS53" i="36"/>
  <c r="BW53" i="36" s="1"/>
  <c r="BA53" i="36"/>
  <c r="AZ53" i="36"/>
  <c r="AY53" i="36"/>
  <c r="AW53" i="36"/>
  <c r="AE53" i="36"/>
  <c r="MA52" i="36"/>
  <c r="LP52" i="36"/>
  <c r="LF52" i="36"/>
  <c r="LC52" i="36"/>
  <c r="KU52" i="36"/>
  <c r="KJ52" i="36"/>
  <c r="JY52" i="36"/>
  <c r="JS52" i="36"/>
  <c r="JR52" i="36"/>
  <c r="BA52" i="36"/>
  <c r="AZ52" i="36"/>
  <c r="AY52" i="36"/>
  <c r="AW52" i="36"/>
  <c r="J52" i="36"/>
  <c r="MA51" i="36"/>
  <c r="LP51" i="36"/>
  <c r="LU51" i="36" s="1"/>
  <c r="LF51" i="36"/>
  <c r="LC51" i="36"/>
  <c r="KU51" i="36"/>
  <c r="KZ51" i="36" s="1"/>
  <c r="KJ51" i="36"/>
  <c r="KO51" i="36" s="1"/>
  <c r="JY51" i="36"/>
  <c r="JR51" i="36"/>
  <c r="JO51" i="36"/>
  <c r="JD51" i="36"/>
  <c r="IN51" i="36"/>
  <c r="JS51" i="36" s="1"/>
  <c r="HY51" i="36"/>
  <c r="HP51" i="36"/>
  <c r="HD51" i="36"/>
  <c r="GR51" i="36"/>
  <c r="EU51" i="36"/>
  <c r="DA51" i="36"/>
  <c r="BV51" i="36"/>
  <c r="BS51" i="36"/>
  <c r="BM51" i="36"/>
  <c r="BG51" i="36"/>
  <c r="BA51" i="36"/>
  <c r="AZ51" i="36"/>
  <c r="AY51" i="36"/>
  <c r="AW51" i="36"/>
  <c r="AE51" i="36"/>
  <c r="J51" i="36"/>
  <c r="MA50" i="36"/>
  <c r="LP50" i="36"/>
  <c r="LU50" i="36" s="1"/>
  <c r="LF50" i="36"/>
  <c r="LC50" i="36"/>
  <c r="KU50" i="36"/>
  <c r="KZ50" i="36" s="1"/>
  <c r="KJ50" i="36"/>
  <c r="KO50" i="36" s="1"/>
  <c r="JY50" i="36"/>
  <c r="JR50" i="36"/>
  <c r="JJ50" i="36"/>
  <c r="JO50" i="36" s="1"/>
  <c r="IY50" i="36"/>
  <c r="JD50" i="36" s="1"/>
  <c r="IN50" i="36"/>
  <c r="IS50" i="36" s="1"/>
  <c r="HY50" i="36"/>
  <c r="HP50" i="36"/>
  <c r="HD50" i="36"/>
  <c r="HJ50" i="36" s="1"/>
  <c r="GR50" i="36"/>
  <c r="GX50" i="36" s="1"/>
  <c r="GF50" i="36"/>
  <c r="GE50" i="36"/>
  <c r="FX50" i="36"/>
  <c r="GB50" i="36" s="1"/>
  <c r="FW50" i="36"/>
  <c r="FV50" i="36"/>
  <c r="GA50" i="36" s="1"/>
  <c r="FO50" i="36"/>
  <c r="FD50" i="36"/>
  <c r="FH50" i="36" s="1"/>
  <c r="FC50" i="36"/>
  <c r="FG50" i="36" s="1"/>
  <c r="EU50" i="36"/>
  <c r="EI50" i="36"/>
  <c r="DX50" i="36"/>
  <c r="EB50" i="36" s="1"/>
  <c r="DW50" i="36"/>
  <c r="EA50" i="36" s="1"/>
  <c r="DQ50" i="36"/>
  <c r="DP50" i="36"/>
  <c r="DT50" i="36" s="1"/>
  <c r="DO50" i="36"/>
  <c r="DS50" i="36" s="1"/>
  <c r="DJ50" i="36"/>
  <c r="DI50" i="36"/>
  <c r="DA50" i="36"/>
  <c r="CO50" i="36"/>
  <c r="CC50" i="36"/>
  <c r="BV50" i="36"/>
  <c r="BS50" i="36"/>
  <c r="BM50" i="36"/>
  <c r="BG50" i="36"/>
  <c r="BA50" i="36"/>
  <c r="AZ50" i="36"/>
  <c r="AY50" i="36"/>
  <c r="AW50" i="36"/>
  <c r="AK50" i="36"/>
  <c r="AE50" i="36"/>
  <c r="J50" i="36"/>
  <c r="MA49" i="36"/>
  <c r="LP49" i="36"/>
  <c r="LU49" i="36" s="1"/>
  <c r="LF49" i="36"/>
  <c r="LC49" i="36"/>
  <c r="KU49" i="36"/>
  <c r="KZ49" i="36" s="1"/>
  <c r="KJ49" i="36"/>
  <c r="KO49" i="36" s="1"/>
  <c r="JY49" i="36"/>
  <c r="KD49" i="36" s="1"/>
  <c r="JR49" i="36"/>
  <c r="JJ49" i="36"/>
  <c r="JO49" i="36" s="1"/>
  <c r="IY49" i="36"/>
  <c r="JD49" i="36" s="1"/>
  <c r="IN49" i="36"/>
  <c r="IS49" i="36" s="1"/>
  <c r="HY49" i="36"/>
  <c r="HP49" i="36"/>
  <c r="HD49" i="36"/>
  <c r="HJ49" i="36" s="1"/>
  <c r="GR49" i="36"/>
  <c r="GX49" i="36" s="1"/>
  <c r="GF49" i="36"/>
  <c r="GE49" i="36"/>
  <c r="FX49" i="36"/>
  <c r="GB49" i="36" s="1"/>
  <c r="FW49" i="36"/>
  <c r="FV49" i="36"/>
  <c r="GA49" i="36" s="1"/>
  <c r="FO49" i="36"/>
  <c r="FD49" i="36"/>
  <c r="FH49" i="36" s="1"/>
  <c r="FC49" i="36"/>
  <c r="FG49" i="36" s="1"/>
  <c r="EU49" i="36"/>
  <c r="EI49" i="36"/>
  <c r="DX49" i="36"/>
  <c r="DW49" i="36"/>
  <c r="DQ49" i="36"/>
  <c r="DP49" i="36"/>
  <c r="DT49" i="36" s="1"/>
  <c r="DO49" i="36"/>
  <c r="DS49" i="36" s="1"/>
  <c r="DJ49" i="36"/>
  <c r="DI49" i="36"/>
  <c r="DA49" i="36"/>
  <c r="CO49" i="36"/>
  <c r="CU49" i="36" s="1"/>
  <c r="CC49" i="36"/>
  <c r="BV49" i="36"/>
  <c r="BS49" i="36"/>
  <c r="BM49" i="36"/>
  <c r="BG49" i="36"/>
  <c r="BA49" i="36"/>
  <c r="AZ49" i="36"/>
  <c r="AY49" i="36"/>
  <c r="AW49" i="36"/>
  <c r="AK49" i="36"/>
  <c r="AQ49" i="36" s="1"/>
  <c r="AR49" i="36" s="1"/>
  <c r="AE49" i="36"/>
  <c r="J49" i="36"/>
  <c r="MA48" i="36"/>
  <c r="LP48" i="36"/>
  <c r="LU48" i="36" s="1"/>
  <c r="LF48" i="36"/>
  <c r="LC48" i="36"/>
  <c r="KU48" i="36"/>
  <c r="KZ48" i="36" s="1"/>
  <c r="KJ48" i="36"/>
  <c r="JY48" i="36"/>
  <c r="KD48" i="36" s="1"/>
  <c r="JR48" i="36"/>
  <c r="JJ48" i="36"/>
  <c r="JO48" i="36" s="1"/>
  <c r="IY48" i="36"/>
  <c r="IN48" i="36"/>
  <c r="IS48" i="36" s="1"/>
  <c r="HY48" i="36"/>
  <c r="HP48" i="36"/>
  <c r="HD48" i="36"/>
  <c r="GR48" i="36"/>
  <c r="GX48" i="36" s="1"/>
  <c r="GF48" i="36"/>
  <c r="GE48" i="36"/>
  <c r="FX48" i="36"/>
  <c r="GB48" i="36" s="1"/>
  <c r="FW48" i="36"/>
  <c r="FV48" i="36"/>
  <c r="GA48" i="36" s="1"/>
  <c r="FO48" i="36"/>
  <c r="FD48" i="36"/>
  <c r="FH48" i="36" s="1"/>
  <c r="FC48" i="36"/>
  <c r="FG48" i="36" s="1"/>
  <c r="EU48" i="36"/>
  <c r="EI48" i="36"/>
  <c r="DX48" i="36"/>
  <c r="DW48" i="36"/>
  <c r="DQ48" i="36"/>
  <c r="DP48" i="36"/>
  <c r="DT48" i="36" s="1"/>
  <c r="DO48" i="36"/>
  <c r="DS48" i="36" s="1"/>
  <c r="DJ48" i="36"/>
  <c r="DI48" i="36"/>
  <c r="DA48" i="36"/>
  <c r="CO48" i="36"/>
  <c r="CU48" i="36" s="1"/>
  <c r="CC48" i="36"/>
  <c r="BV48" i="36"/>
  <c r="BS48" i="36"/>
  <c r="BM48" i="36"/>
  <c r="BG48" i="36"/>
  <c r="BA48" i="36"/>
  <c r="AZ48" i="36"/>
  <c r="AY48" i="36"/>
  <c r="AK48" i="36"/>
  <c r="AL48" i="36" s="1"/>
  <c r="AE48" i="36"/>
  <c r="MA47" i="36"/>
  <c r="LP47" i="36"/>
  <c r="LU47" i="36" s="1"/>
  <c r="LF47" i="36"/>
  <c r="LC47" i="36"/>
  <c r="KU47" i="36"/>
  <c r="KZ47" i="36" s="1"/>
  <c r="KJ47" i="36"/>
  <c r="KO47" i="36" s="1"/>
  <c r="JY47" i="36"/>
  <c r="KD47" i="36" s="1"/>
  <c r="JR47" i="36"/>
  <c r="JJ47" i="36"/>
  <c r="JO47" i="36" s="1"/>
  <c r="IY47" i="36"/>
  <c r="JD47" i="36" s="1"/>
  <c r="IN47" i="36"/>
  <c r="IS47" i="36" s="1"/>
  <c r="HY47" i="36"/>
  <c r="HP47" i="36"/>
  <c r="HD47" i="36"/>
  <c r="GR47" i="36"/>
  <c r="GX47" i="36" s="1"/>
  <c r="GF47" i="36"/>
  <c r="GE47" i="36"/>
  <c r="FX47" i="36"/>
  <c r="GB47" i="36" s="1"/>
  <c r="FW47" i="36"/>
  <c r="FV47" i="36"/>
  <c r="GA47" i="36" s="1"/>
  <c r="FO47" i="36"/>
  <c r="FD47" i="36"/>
  <c r="FH47" i="36" s="1"/>
  <c r="FC47" i="36"/>
  <c r="FG47" i="36" s="1"/>
  <c r="EU47" i="36"/>
  <c r="EI47" i="36"/>
  <c r="EO47" i="36" s="1"/>
  <c r="DX47" i="36"/>
  <c r="DW47" i="36"/>
  <c r="DQ47" i="36"/>
  <c r="DP47" i="36"/>
  <c r="DT47" i="36" s="1"/>
  <c r="DO47" i="36"/>
  <c r="DS47" i="36" s="1"/>
  <c r="DJ47" i="36"/>
  <c r="DI47" i="36"/>
  <c r="DA47" i="36"/>
  <c r="DG47" i="36" s="1"/>
  <c r="CO47" i="36"/>
  <c r="CC47" i="36"/>
  <c r="CI47" i="36" s="1"/>
  <c r="BV47" i="36"/>
  <c r="BS47" i="36"/>
  <c r="BM47" i="36"/>
  <c r="BG47" i="36"/>
  <c r="BA47" i="36"/>
  <c r="AZ47" i="36"/>
  <c r="AY47" i="36"/>
  <c r="AW47" i="36"/>
  <c r="AK47" i="36"/>
  <c r="AE47" i="36"/>
  <c r="MA46" i="36"/>
  <c r="LP46" i="36"/>
  <c r="LU46" i="36" s="1"/>
  <c r="LF46" i="36"/>
  <c r="LC46" i="36"/>
  <c r="KU46" i="36"/>
  <c r="KZ46" i="36" s="1"/>
  <c r="KJ46" i="36"/>
  <c r="KO46" i="36" s="1"/>
  <c r="JY46" i="36"/>
  <c r="KD46" i="36" s="1"/>
  <c r="JR46" i="36"/>
  <c r="JJ46" i="36"/>
  <c r="JO46" i="36" s="1"/>
  <c r="IY46" i="36"/>
  <c r="JD46" i="36" s="1"/>
  <c r="IN46" i="36"/>
  <c r="IS46" i="36" s="1"/>
  <c r="HY46" i="36"/>
  <c r="HP46" i="36"/>
  <c r="HD46" i="36"/>
  <c r="GR46" i="36"/>
  <c r="GX46" i="36" s="1"/>
  <c r="GF46" i="36"/>
  <c r="GE46" i="36"/>
  <c r="FX46" i="36"/>
  <c r="GB46" i="36" s="1"/>
  <c r="FW46" i="36"/>
  <c r="FV46" i="36"/>
  <c r="GA46" i="36" s="1"/>
  <c r="FO46" i="36"/>
  <c r="FD46" i="36"/>
  <c r="FH46" i="36" s="1"/>
  <c r="FC46" i="36"/>
  <c r="FG46" i="36" s="1"/>
  <c r="EU46" i="36"/>
  <c r="EI46" i="36"/>
  <c r="DX46" i="36"/>
  <c r="EB46" i="36" s="1"/>
  <c r="DW46" i="36"/>
  <c r="EA46" i="36" s="1"/>
  <c r="DQ46" i="36"/>
  <c r="DP46" i="36"/>
  <c r="DT46" i="36" s="1"/>
  <c r="DO46" i="36"/>
  <c r="DS46" i="36" s="1"/>
  <c r="DJ46" i="36"/>
  <c r="DI46" i="36"/>
  <c r="DA46" i="36"/>
  <c r="DG46" i="36" s="1"/>
  <c r="CO46" i="36"/>
  <c r="CC46" i="36"/>
  <c r="CI46" i="36" s="1"/>
  <c r="BV46" i="36"/>
  <c r="BS46" i="36"/>
  <c r="BM46" i="36"/>
  <c r="BG46" i="36"/>
  <c r="BA46" i="36"/>
  <c r="AZ46" i="36"/>
  <c r="AY46" i="36"/>
  <c r="AW46" i="36"/>
  <c r="AK46" i="36"/>
  <c r="AL46" i="36" s="1"/>
  <c r="AE46" i="36"/>
  <c r="MA45" i="36"/>
  <c r="LP45" i="36"/>
  <c r="LU45" i="36" s="1"/>
  <c r="LF45" i="36"/>
  <c r="LC45" i="36"/>
  <c r="KU45" i="36"/>
  <c r="KZ45" i="36" s="1"/>
  <c r="KJ45" i="36"/>
  <c r="JY45" i="36"/>
  <c r="KD45" i="36" s="1"/>
  <c r="JR45" i="36"/>
  <c r="LG45" i="36" s="1"/>
  <c r="JJ45" i="36"/>
  <c r="JO45" i="36" s="1"/>
  <c r="IY45" i="36"/>
  <c r="IN45" i="36"/>
  <c r="IS45" i="36" s="1"/>
  <c r="HY45" i="36"/>
  <c r="HP45" i="36"/>
  <c r="HD45" i="36"/>
  <c r="GR45" i="36"/>
  <c r="GX45" i="36" s="1"/>
  <c r="GF45" i="36"/>
  <c r="GE45" i="36"/>
  <c r="FX45" i="36"/>
  <c r="GB45" i="36" s="1"/>
  <c r="FW45" i="36"/>
  <c r="FV45" i="36"/>
  <c r="GA45" i="36" s="1"/>
  <c r="FO45" i="36"/>
  <c r="FT45" i="36" s="1"/>
  <c r="FD45" i="36"/>
  <c r="FH45" i="36" s="1"/>
  <c r="FC45" i="36"/>
  <c r="FG45" i="36" s="1"/>
  <c r="EU45" i="36"/>
  <c r="FA45" i="36" s="1"/>
  <c r="EI45" i="36"/>
  <c r="EJ45" i="36" s="1"/>
  <c r="DX45" i="36"/>
  <c r="EB45" i="36" s="1"/>
  <c r="DW45" i="36"/>
  <c r="EA45" i="36" s="1"/>
  <c r="DQ45" i="36"/>
  <c r="DP45" i="36"/>
  <c r="DT45" i="36" s="1"/>
  <c r="DO45" i="36"/>
  <c r="DS45" i="36" s="1"/>
  <c r="DJ45" i="36"/>
  <c r="DI45" i="36"/>
  <c r="DA45" i="36"/>
  <c r="CO45" i="36"/>
  <c r="CC45" i="36"/>
  <c r="CD45" i="36" s="1"/>
  <c r="BV45" i="36"/>
  <c r="BS45" i="36"/>
  <c r="BT45" i="36" s="1"/>
  <c r="BM45" i="36"/>
  <c r="BG45" i="36"/>
  <c r="BA45" i="36"/>
  <c r="AZ45" i="36"/>
  <c r="AY45" i="36"/>
  <c r="AW45" i="36"/>
  <c r="AK45" i="36"/>
  <c r="AL45" i="36" s="1"/>
  <c r="AE45" i="36"/>
  <c r="J45" i="36"/>
  <c r="MA44" i="36"/>
  <c r="LP44" i="36"/>
  <c r="LU44" i="36" s="1"/>
  <c r="LF44" i="36"/>
  <c r="LC44" i="36"/>
  <c r="KU44" i="36"/>
  <c r="KZ44" i="36" s="1"/>
  <c r="KJ44" i="36"/>
  <c r="JY44" i="36"/>
  <c r="KD44" i="36" s="1"/>
  <c r="JR44" i="36"/>
  <c r="JJ44" i="36"/>
  <c r="JO44" i="36" s="1"/>
  <c r="IY44" i="36"/>
  <c r="IN44" i="36"/>
  <c r="IS44" i="36" s="1"/>
  <c r="IT44" i="36" s="1"/>
  <c r="HY44" i="36"/>
  <c r="HP44" i="36"/>
  <c r="HD44" i="36"/>
  <c r="HE44" i="36" s="1"/>
  <c r="GR44" i="36"/>
  <c r="GS44" i="36" s="1"/>
  <c r="GF44" i="36"/>
  <c r="GE44" i="36"/>
  <c r="FX44" i="36"/>
  <c r="GB44" i="36" s="1"/>
  <c r="FW44" i="36"/>
  <c r="FV44" i="36"/>
  <c r="GA44" i="36" s="1"/>
  <c r="FO44" i="36"/>
  <c r="FT44" i="36" s="1"/>
  <c r="FD44" i="36"/>
  <c r="FH44" i="36" s="1"/>
  <c r="FC44" i="36"/>
  <c r="FG44" i="36" s="1"/>
  <c r="EU44" i="36"/>
  <c r="EV44" i="36" s="1"/>
  <c r="EI44" i="36"/>
  <c r="EJ44" i="36" s="1"/>
  <c r="DX44" i="36"/>
  <c r="EB44" i="36" s="1"/>
  <c r="DW44" i="36"/>
  <c r="EA44" i="36" s="1"/>
  <c r="DQ44" i="36"/>
  <c r="DP44" i="36"/>
  <c r="DT44" i="36" s="1"/>
  <c r="DO44" i="36"/>
  <c r="DS44" i="36" s="1"/>
  <c r="DJ44" i="36"/>
  <c r="DI44" i="36"/>
  <c r="DA44" i="36"/>
  <c r="DB44" i="36" s="1"/>
  <c r="CO44" i="36"/>
  <c r="CC44" i="36"/>
  <c r="CD44" i="36" s="1"/>
  <c r="BV44" i="36"/>
  <c r="BS44" i="36"/>
  <c r="BM44" i="36"/>
  <c r="BG44" i="36"/>
  <c r="BA44" i="36"/>
  <c r="AZ44" i="36"/>
  <c r="AY44" i="36"/>
  <c r="AW44" i="36"/>
  <c r="AK44" i="36"/>
  <c r="AE44" i="36"/>
  <c r="MA36" i="36"/>
  <c r="LP36" i="36"/>
  <c r="LU36" i="36" s="1"/>
  <c r="LF36" i="36"/>
  <c r="LD36" i="36"/>
  <c r="LC36" i="36"/>
  <c r="KZ36" i="36"/>
  <c r="KO36" i="36"/>
  <c r="KD36" i="36"/>
  <c r="MA39" i="36"/>
  <c r="LP39" i="36"/>
  <c r="LU39" i="36" s="1"/>
  <c r="LF39" i="36"/>
  <c r="LC39" i="36"/>
  <c r="KU39" i="36"/>
  <c r="KJ39" i="36"/>
  <c r="KC39" i="36"/>
  <c r="KC58" i="36" s="1"/>
  <c r="JY39" i="36"/>
  <c r="JJ39" i="36"/>
  <c r="JS39" i="36" s="1"/>
  <c r="MA38" i="36"/>
  <c r="LP38" i="36"/>
  <c r="LQ38" i="36" s="1"/>
  <c r="LF38" i="36"/>
  <c r="LC38" i="36"/>
  <c r="KU38" i="36"/>
  <c r="KJ38" i="36"/>
  <c r="KO38" i="36" s="1"/>
  <c r="KP38" i="36" s="1"/>
  <c r="JY38" i="36"/>
  <c r="MA37" i="36"/>
  <c r="LP37" i="36"/>
  <c r="LQ37" i="36" s="1"/>
  <c r="LF37" i="36"/>
  <c r="LC37" i="36"/>
  <c r="KU37" i="36"/>
  <c r="KJ37" i="36"/>
  <c r="JY37" i="36"/>
  <c r="JJ37" i="36"/>
  <c r="IY37" i="36"/>
  <c r="JD37" i="36" s="1"/>
  <c r="IN37" i="36"/>
  <c r="IS37" i="36" s="1"/>
  <c r="HY37" i="36"/>
  <c r="HP37" i="36"/>
  <c r="HD37" i="36"/>
  <c r="HJ37" i="36" s="1"/>
  <c r="GR37" i="36"/>
  <c r="GX37" i="36" s="1"/>
  <c r="GF37" i="36"/>
  <c r="GE37" i="36"/>
  <c r="FX37" i="36"/>
  <c r="GB37" i="36" s="1"/>
  <c r="FW37" i="36"/>
  <c r="FV37" i="36"/>
  <c r="GA37" i="36" s="1"/>
  <c r="FO37" i="36"/>
  <c r="FT37" i="36" s="1"/>
  <c r="FD37" i="36"/>
  <c r="FH37" i="36" s="1"/>
  <c r="FC37" i="36"/>
  <c r="FG37" i="36" s="1"/>
  <c r="EU37" i="36"/>
  <c r="FA37" i="36" s="1"/>
  <c r="EI37" i="36"/>
  <c r="EO37" i="36" s="1"/>
  <c r="DX37" i="36"/>
  <c r="EB37" i="36" s="1"/>
  <c r="DW37" i="36"/>
  <c r="EA37" i="36" s="1"/>
  <c r="DQ37" i="36"/>
  <c r="DP37" i="36"/>
  <c r="DT37" i="36" s="1"/>
  <c r="DO37" i="36"/>
  <c r="DS37" i="36" s="1"/>
  <c r="DJ37" i="36"/>
  <c r="DI37" i="36"/>
  <c r="DA37" i="36"/>
  <c r="DG37" i="36" s="1"/>
  <c r="CO37" i="36"/>
  <c r="CP37" i="36" s="1"/>
  <c r="CC37" i="36"/>
  <c r="CI37" i="36" s="1"/>
  <c r="BV37" i="36"/>
  <c r="BS37" i="36"/>
  <c r="BT37" i="36" s="1"/>
  <c r="BM37" i="36"/>
  <c r="BG37" i="36"/>
  <c r="BA37" i="36"/>
  <c r="AZ37" i="36"/>
  <c r="AY37" i="36"/>
  <c r="AW37" i="36"/>
  <c r="AK37" i="36"/>
  <c r="AL37" i="36" s="1"/>
  <c r="AE37" i="36"/>
  <c r="J37" i="36"/>
  <c r="MA30" i="36"/>
  <c r="LP30" i="36"/>
  <c r="LF30" i="36"/>
  <c r="LI30" i="36" s="1"/>
  <c r="LC30" i="36"/>
  <c r="KU30" i="36"/>
  <c r="KZ30" i="36" s="1"/>
  <c r="LA30" i="36" s="1"/>
  <c r="KJ30" i="36"/>
  <c r="JY30" i="36"/>
  <c r="KD30" i="36" s="1"/>
  <c r="KE30" i="36" s="1"/>
  <c r="JR30" i="36"/>
  <c r="JJ30" i="36"/>
  <c r="IY30" i="36"/>
  <c r="IZ30" i="36" s="1"/>
  <c r="IB30" i="36"/>
  <c r="HY30" i="36"/>
  <c r="HP30" i="36"/>
  <c r="HD30" i="36"/>
  <c r="GR30" i="36"/>
  <c r="FO30" i="36"/>
  <c r="EU30" i="36"/>
  <c r="EI30" i="36"/>
  <c r="DA30" i="36"/>
  <c r="CO30" i="36"/>
  <c r="BV30" i="36"/>
  <c r="BS30" i="36"/>
  <c r="BM30" i="36"/>
  <c r="BG30" i="36"/>
  <c r="BA30" i="36"/>
  <c r="AZ30" i="36"/>
  <c r="AY30" i="36"/>
  <c r="AK30" i="36"/>
  <c r="AE30" i="36"/>
  <c r="MA41" i="36"/>
  <c r="LP41" i="36"/>
  <c r="LU41" i="36" s="1"/>
  <c r="LV41" i="36" s="1"/>
  <c r="LF41" i="36"/>
  <c r="LI41" i="36" s="1"/>
  <c r="LC41" i="36"/>
  <c r="KU41" i="36"/>
  <c r="KV41" i="36" s="1"/>
  <c r="KJ41" i="36"/>
  <c r="KK41" i="36" s="1"/>
  <c r="JY41" i="36"/>
  <c r="JZ41" i="36" s="1"/>
  <c r="JJ41" i="36"/>
  <c r="IY41" i="36"/>
  <c r="IN41" i="36"/>
  <c r="IS41" i="36" s="1"/>
  <c r="IT41" i="36" s="1"/>
  <c r="HY41" i="36"/>
  <c r="HP41" i="36"/>
  <c r="HD41" i="36"/>
  <c r="HJ41" i="36" s="1"/>
  <c r="GR41" i="36"/>
  <c r="FO41" i="36"/>
  <c r="EU41" i="36"/>
  <c r="EI41" i="36"/>
  <c r="DA41" i="36"/>
  <c r="CO41" i="36"/>
  <c r="BV41" i="36"/>
  <c r="BS41" i="36"/>
  <c r="BM41" i="36"/>
  <c r="BG41" i="36"/>
  <c r="BA41" i="36"/>
  <c r="AZ41" i="36"/>
  <c r="AY41" i="36"/>
  <c r="AK41" i="36"/>
  <c r="AE41" i="36"/>
  <c r="MA32" i="36"/>
  <c r="LP32" i="36"/>
  <c r="LF32" i="36"/>
  <c r="LI32" i="36" s="1"/>
  <c r="LC32" i="36"/>
  <c r="KU32" i="36"/>
  <c r="KZ32" i="36" s="1"/>
  <c r="LA32" i="36" s="1"/>
  <c r="KJ32" i="36"/>
  <c r="JY32" i="36"/>
  <c r="KD32" i="36" s="1"/>
  <c r="KE32" i="36" s="1"/>
  <c r="JR32" i="36"/>
  <c r="JJ32" i="36"/>
  <c r="IY32" i="36"/>
  <c r="IN32" i="36"/>
  <c r="HY32" i="36"/>
  <c r="HP32" i="36"/>
  <c r="HD32" i="36"/>
  <c r="HE32" i="36" s="1"/>
  <c r="GR32" i="36"/>
  <c r="GS32" i="36" s="1"/>
  <c r="GF32" i="36"/>
  <c r="GE32" i="36"/>
  <c r="FX32" i="36"/>
  <c r="FW32" i="36"/>
  <c r="FV32" i="36"/>
  <c r="FO32" i="36"/>
  <c r="FP32" i="36" s="1"/>
  <c r="FD32" i="36"/>
  <c r="FC32" i="36"/>
  <c r="EU32" i="36"/>
  <c r="EV32" i="36" s="1"/>
  <c r="EI32" i="36"/>
  <c r="DM32" i="36"/>
  <c r="DJ32" i="36"/>
  <c r="DI32" i="36"/>
  <c r="DA32" i="36"/>
  <c r="CO32" i="36"/>
  <c r="BV32" i="36"/>
  <c r="BS32" i="36"/>
  <c r="BM32" i="36"/>
  <c r="BG32" i="36"/>
  <c r="BA32" i="36"/>
  <c r="AZ32" i="36"/>
  <c r="AY32" i="36"/>
  <c r="AK32" i="36"/>
  <c r="AE32" i="36"/>
  <c r="MA25" i="36"/>
  <c r="LP25" i="36"/>
  <c r="LF25" i="36"/>
  <c r="LI25" i="36" s="1"/>
  <c r="LC25" i="36"/>
  <c r="KU25" i="36"/>
  <c r="KJ25" i="36"/>
  <c r="KO25" i="36" s="1"/>
  <c r="KP25" i="36" s="1"/>
  <c r="JY25" i="36"/>
  <c r="JR25" i="36"/>
  <c r="JJ25" i="36"/>
  <c r="IY25" i="36"/>
  <c r="IN25" i="36"/>
  <c r="HY25" i="36"/>
  <c r="HP25" i="36"/>
  <c r="HD25" i="36"/>
  <c r="HE25" i="36" s="1"/>
  <c r="GR25" i="36"/>
  <c r="GX25" i="36" s="1"/>
  <c r="GY25" i="36" s="1"/>
  <c r="GF25" i="36"/>
  <c r="GE25" i="36"/>
  <c r="FX25" i="36"/>
  <c r="GB25" i="36" s="1"/>
  <c r="FW25" i="36"/>
  <c r="FV25" i="36"/>
  <c r="GA25" i="36" s="1"/>
  <c r="FO25" i="36"/>
  <c r="FD25" i="36"/>
  <c r="FH25" i="36" s="1"/>
  <c r="FC25" i="36"/>
  <c r="FG25" i="36" s="1"/>
  <c r="EU25" i="36"/>
  <c r="EV25" i="36" s="1"/>
  <c r="EI25" i="36"/>
  <c r="DX25" i="36"/>
  <c r="EB25" i="36" s="1"/>
  <c r="DW25" i="36"/>
  <c r="EA25" i="36" s="1"/>
  <c r="DQ25" i="36"/>
  <c r="DP25" i="36"/>
  <c r="DT25" i="36" s="1"/>
  <c r="DO25" i="36"/>
  <c r="DS25" i="36" s="1"/>
  <c r="DJ25" i="36"/>
  <c r="DI25" i="36"/>
  <c r="DA25" i="36"/>
  <c r="CO25" i="36"/>
  <c r="CC25" i="36"/>
  <c r="BV25" i="36"/>
  <c r="BS25" i="36"/>
  <c r="BM25" i="36"/>
  <c r="BG25" i="36"/>
  <c r="BA25" i="36"/>
  <c r="AZ25" i="36"/>
  <c r="AY25" i="36"/>
  <c r="AW25" i="36"/>
  <c r="AK25" i="36"/>
  <c r="AE25" i="36"/>
  <c r="J25" i="36"/>
  <c r="MA33" i="36"/>
  <c r="LP33" i="36"/>
  <c r="LF33" i="36"/>
  <c r="LI33" i="36" s="1"/>
  <c r="LC33" i="36"/>
  <c r="KU33" i="36"/>
  <c r="KZ33" i="36" s="1"/>
  <c r="LA33" i="36" s="1"/>
  <c r="KJ33" i="36"/>
  <c r="KO33" i="36" s="1"/>
  <c r="KP33" i="36" s="1"/>
  <c r="JY33" i="36"/>
  <c r="KD33" i="36" s="1"/>
  <c r="KE33" i="36" s="1"/>
  <c r="JR33" i="36"/>
  <c r="JJ33" i="36"/>
  <c r="IY33" i="36"/>
  <c r="IN33" i="36"/>
  <c r="HY33" i="36"/>
  <c r="HP33" i="36"/>
  <c r="HD33" i="36"/>
  <c r="GR33" i="36"/>
  <c r="GF33" i="36"/>
  <c r="GE33" i="36"/>
  <c r="FX33" i="36"/>
  <c r="GB33" i="36" s="1"/>
  <c r="FW33" i="36"/>
  <c r="FV33" i="36"/>
  <c r="GA33" i="36" s="1"/>
  <c r="FO33" i="36"/>
  <c r="FP33" i="36" s="1"/>
  <c r="FD33" i="36"/>
  <c r="FH33" i="36" s="1"/>
  <c r="FC33" i="36"/>
  <c r="FG33" i="36" s="1"/>
  <c r="EU33" i="36"/>
  <c r="FA33" i="36" s="1"/>
  <c r="EI33" i="36"/>
  <c r="DX33" i="36"/>
  <c r="EB33" i="36" s="1"/>
  <c r="DW33" i="36"/>
  <c r="EA33" i="36" s="1"/>
  <c r="DQ33" i="36"/>
  <c r="DP33" i="36"/>
  <c r="DT33" i="36" s="1"/>
  <c r="DO33" i="36"/>
  <c r="DS33" i="36" s="1"/>
  <c r="DJ33" i="36"/>
  <c r="DI33" i="36"/>
  <c r="DA33" i="36"/>
  <c r="DG33" i="36" s="1"/>
  <c r="CO33" i="36"/>
  <c r="CP33" i="36" s="1"/>
  <c r="CC33" i="36"/>
  <c r="CI33" i="36" s="1"/>
  <c r="BV33" i="36"/>
  <c r="BS33" i="36"/>
  <c r="BT33" i="36" s="1"/>
  <c r="BM33" i="36"/>
  <c r="BG33" i="36"/>
  <c r="BA33" i="36"/>
  <c r="AZ33" i="36"/>
  <c r="AY33" i="36"/>
  <c r="AW33" i="36"/>
  <c r="AK33" i="36"/>
  <c r="AQ33" i="36" s="1"/>
  <c r="AR33" i="36" s="1"/>
  <c r="AE33" i="36"/>
  <c r="J33" i="36"/>
  <c r="MD21" i="36"/>
  <c r="MC21" i="36"/>
  <c r="MA21" i="36"/>
  <c r="LP21" i="36"/>
  <c r="LF21" i="36"/>
  <c r="LI21" i="36" s="1"/>
  <c r="LC21" i="36"/>
  <c r="KX21" i="36"/>
  <c r="KX58" i="36" s="1"/>
  <c r="KU21" i="36"/>
  <c r="KM21" i="36"/>
  <c r="KM58" i="36" s="1"/>
  <c r="KJ21" i="36"/>
  <c r="KA21" i="36"/>
  <c r="JY21" i="36"/>
  <c r="JR21" i="36"/>
  <c r="JN21" i="36"/>
  <c r="JN58" i="36" s="1"/>
  <c r="JM21" i="36"/>
  <c r="JL21" i="36"/>
  <c r="JJ21" i="36"/>
  <c r="JB21" i="36"/>
  <c r="IV21" i="36"/>
  <c r="IP21" i="36"/>
  <c r="IK21" i="36"/>
  <c r="HY21" i="36"/>
  <c r="HM21" i="36"/>
  <c r="HD21" i="36"/>
  <c r="HJ21" i="36" s="1"/>
  <c r="HK21" i="36" s="1"/>
  <c r="GR21" i="36"/>
  <c r="GF21" i="36"/>
  <c r="GE21" i="36"/>
  <c r="FX21" i="36"/>
  <c r="GB21" i="36" s="1"/>
  <c r="FW21" i="36"/>
  <c r="FV21" i="36"/>
  <c r="GA21" i="36" s="1"/>
  <c r="FQ21" i="36"/>
  <c r="FQ58" i="36" s="1"/>
  <c r="FO21" i="36"/>
  <c r="FP21" i="36" s="1"/>
  <c r="FD21" i="36"/>
  <c r="FH21" i="36" s="1"/>
  <c r="FC21" i="36"/>
  <c r="FG21" i="36" s="1"/>
  <c r="EU21" i="36"/>
  <c r="EV21" i="36" s="1"/>
  <c r="EI21" i="36"/>
  <c r="DX21" i="36"/>
  <c r="EB21" i="36" s="1"/>
  <c r="DW21" i="36"/>
  <c r="EA21" i="36" s="1"/>
  <c r="DQ21" i="36"/>
  <c r="DP21" i="36"/>
  <c r="DT21" i="36" s="1"/>
  <c r="DO21" i="36"/>
  <c r="DS21" i="36" s="1"/>
  <c r="DJ21" i="36"/>
  <c r="DI21" i="36"/>
  <c r="DC21" i="36"/>
  <c r="DA21" i="36"/>
  <c r="CO21" i="36"/>
  <c r="CP21" i="36" s="1"/>
  <c r="CC21" i="36"/>
  <c r="CI21" i="36" s="1"/>
  <c r="CJ21" i="36" s="1"/>
  <c r="BV21" i="36"/>
  <c r="BS21" i="36"/>
  <c r="BM21" i="36"/>
  <c r="BG21" i="36"/>
  <c r="BA21" i="36"/>
  <c r="AZ21" i="36"/>
  <c r="AY21" i="36"/>
  <c r="AW21" i="36"/>
  <c r="AK21" i="36"/>
  <c r="AL21" i="36" s="1"/>
  <c r="AE21" i="36"/>
  <c r="MA40" i="36"/>
  <c r="LP40" i="36"/>
  <c r="LU40" i="36" s="1"/>
  <c r="LV40" i="36" s="1"/>
  <c r="LF40" i="36"/>
  <c r="LI40" i="36" s="1"/>
  <c r="LC40" i="36"/>
  <c r="KU40" i="36"/>
  <c r="KV40" i="36" s="1"/>
  <c r="KJ40" i="36"/>
  <c r="JY40" i="36"/>
  <c r="JZ40" i="36" s="1"/>
  <c r="JJ40" i="36"/>
  <c r="IY40" i="36"/>
  <c r="JD40" i="36" s="1"/>
  <c r="JE40" i="36" s="1"/>
  <c r="IN40" i="36"/>
  <c r="IO40" i="36" s="1"/>
  <c r="HY40" i="36"/>
  <c r="HP40" i="36"/>
  <c r="HD40" i="36"/>
  <c r="GR40" i="36"/>
  <c r="GF40" i="36"/>
  <c r="GE40" i="36"/>
  <c r="FX40" i="36"/>
  <c r="GB40" i="36" s="1"/>
  <c r="FW40" i="36"/>
  <c r="FV40" i="36"/>
  <c r="GA40" i="36" s="1"/>
  <c r="FO40" i="36"/>
  <c r="FD40" i="36"/>
  <c r="FH40" i="36" s="1"/>
  <c r="FC40" i="36"/>
  <c r="FG40" i="36" s="1"/>
  <c r="EU40" i="36"/>
  <c r="EI40" i="36"/>
  <c r="DX40" i="36"/>
  <c r="EB40" i="36" s="1"/>
  <c r="DW40" i="36"/>
  <c r="EA40" i="36" s="1"/>
  <c r="DQ40" i="36"/>
  <c r="DP40" i="36"/>
  <c r="DT40" i="36" s="1"/>
  <c r="DO40" i="36"/>
  <c r="DS40" i="36" s="1"/>
  <c r="DJ40" i="36"/>
  <c r="DI40" i="36"/>
  <c r="DA40" i="36"/>
  <c r="CO40" i="36"/>
  <c r="BZ40" i="36"/>
  <c r="BV40" i="36"/>
  <c r="BS40" i="36"/>
  <c r="BT40" i="36" s="1"/>
  <c r="BM40" i="36"/>
  <c r="BG40" i="36"/>
  <c r="BA40" i="36"/>
  <c r="AZ40" i="36"/>
  <c r="AY40" i="36"/>
  <c r="AW40" i="36"/>
  <c r="AK40" i="36"/>
  <c r="AQ40" i="36" s="1"/>
  <c r="AR40" i="36" s="1"/>
  <c r="AE40" i="36"/>
  <c r="J40" i="36"/>
  <c r="MA42" i="36"/>
  <c r="LP42" i="36"/>
  <c r="LU42" i="36" s="1"/>
  <c r="LV42" i="36" s="1"/>
  <c r="LF42" i="36"/>
  <c r="LI42" i="36" s="1"/>
  <c r="LC42" i="36"/>
  <c r="KU42" i="36"/>
  <c r="KZ42" i="36" s="1"/>
  <c r="LA42" i="36" s="1"/>
  <c r="KJ42" i="36"/>
  <c r="JY42" i="36"/>
  <c r="KD42" i="36" s="1"/>
  <c r="KE42" i="36" s="1"/>
  <c r="JR42" i="36"/>
  <c r="JJ42" i="36"/>
  <c r="JO42" i="36" s="1"/>
  <c r="JP42" i="36" s="1"/>
  <c r="IY42" i="36"/>
  <c r="JD42" i="36" s="1"/>
  <c r="JE42" i="36" s="1"/>
  <c r="IK42" i="36"/>
  <c r="IN42" i="36" s="1"/>
  <c r="HY42" i="36"/>
  <c r="HM42" i="36"/>
  <c r="HP42" i="36" s="1"/>
  <c r="HD42" i="36"/>
  <c r="HE42" i="36" s="1"/>
  <c r="GR42" i="36"/>
  <c r="GX42" i="36" s="1"/>
  <c r="GY42" i="36" s="1"/>
  <c r="GF42" i="36"/>
  <c r="GE42" i="36"/>
  <c r="FX42" i="36"/>
  <c r="GB42" i="36" s="1"/>
  <c r="FV42" i="36"/>
  <c r="GA42" i="36" s="1"/>
  <c r="FO42" i="36"/>
  <c r="FP42" i="36" s="1"/>
  <c r="FD42" i="36"/>
  <c r="FH42" i="36" s="1"/>
  <c r="FC42" i="36"/>
  <c r="FG42" i="36" s="1"/>
  <c r="EU42" i="36"/>
  <c r="FA42" i="36" s="1"/>
  <c r="EI42" i="36"/>
  <c r="DX42" i="36"/>
  <c r="EB42" i="36" s="1"/>
  <c r="DW42" i="36"/>
  <c r="EA42" i="36" s="1"/>
  <c r="DQ42" i="36"/>
  <c r="DO42" i="36"/>
  <c r="DS42" i="36" s="1"/>
  <c r="DJ42" i="36"/>
  <c r="DI42" i="36"/>
  <c r="DC42" i="36"/>
  <c r="DA42" i="36"/>
  <c r="CO42" i="36"/>
  <c r="CP42" i="36" s="1"/>
  <c r="CC42" i="36"/>
  <c r="CI42" i="36" s="1"/>
  <c r="CJ42" i="36" s="1"/>
  <c r="BV42" i="36"/>
  <c r="BS42" i="36"/>
  <c r="BT42" i="36" s="1"/>
  <c r="BL42" i="36"/>
  <c r="BM42" i="36" s="1"/>
  <c r="BF42" i="36"/>
  <c r="BG42" i="36" s="1"/>
  <c r="BA42" i="36"/>
  <c r="AZ42" i="36"/>
  <c r="AY42" i="36"/>
  <c r="AW42" i="36"/>
  <c r="AH42" i="36"/>
  <c r="FW42" i="36" s="1"/>
  <c r="AE42" i="36"/>
  <c r="J42" i="36"/>
  <c r="MA29" i="36"/>
  <c r="LP29" i="36"/>
  <c r="LU29" i="36" s="1"/>
  <c r="LV29" i="36" s="1"/>
  <c r="LF29" i="36"/>
  <c r="LI29" i="36" s="1"/>
  <c r="LC29" i="36"/>
  <c r="KU29" i="36"/>
  <c r="KV29" i="36" s="1"/>
  <c r="KJ29" i="36"/>
  <c r="JY29" i="36"/>
  <c r="JZ29" i="36" s="1"/>
  <c r="JJ29" i="36"/>
  <c r="IY29" i="36"/>
  <c r="JD29" i="36" s="1"/>
  <c r="JE29" i="36" s="1"/>
  <c r="IN29" i="36"/>
  <c r="IS29" i="36" s="1"/>
  <c r="IT29" i="36" s="1"/>
  <c r="HY29" i="36"/>
  <c r="HP29" i="36"/>
  <c r="HF29" i="36"/>
  <c r="HD29" i="36"/>
  <c r="GR29" i="36"/>
  <c r="GF29" i="36"/>
  <c r="GE29" i="36"/>
  <c r="FX29" i="36"/>
  <c r="GB29" i="36" s="1"/>
  <c r="FW29" i="36"/>
  <c r="FV29" i="36"/>
  <c r="GA29" i="36" s="1"/>
  <c r="FO29" i="36"/>
  <c r="FD29" i="36"/>
  <c r="FH29" i="36" s="1"/>
  <c r="FC29" i="36"/>
  <c r="FG29" i="36" s="1"/>
  <c r="EU29" i="36"/>
  <c r="EK29" i="36"/>
  <c r="EI29" i="36"/>
  <c r="DW29" i="36"/>
  <c r="EA29" i="36" s="1"/>
  <c r="DQ29" i="36"/>
  <c r="DP29" i="36"/>
  <c r="DT29" i="36" s="1"/>
  <c r="DO29" i="36"/>
  <c r="DS29" i="36" s="1"/>
  <c r="DI29" i="36"/>
  <c r="DC29" i="36"/>
  <c r="DA29" i="36"/>
  <c r="CM29" i="36"/>
  <c r="CC29" i="36"/>
  <c r="CD29" i="36" s="1"/>
  <c r="BV29" i="36"/>
  <c r="BS29" i="36"/>
  <c r="BM29" i="36"/>
  <c r="BG29" i="36"/>
  <c r="BA29" i="36"/>
  <c r="AZ29" i="36"/>
  <c r="AY29" i="36"/>
  <c r="AW29" i="36"/>
  <c r="AK29" i="36"/>
  <c r="AL29" i="36" s="1"/>
  <c r="AE29" i="36"/>
  <c r="J29" i="36"/>
  <c r="MC26" i="36"/>
  <c r="MA26" i="36"/>
  <c r="LP26" i="36"/>
  <c r="LF26" i="36"/>
  <c r="LI26" i="36" s="1"/>
  <c r="LC26" i="36"/>
  <c r="KW26" i="36"/>
  <c r="KW58" i="36" s="1"/>
  <c r="KU26" i="36"/>
  <c r="KV26" i="36" s="1"/>
  <c r="KL26" i="36"/>
  <c r="KJ26" i="36"/>
  <c r="JY26" i="36"/>
  <c r="JJ26" i="36"/>
  <c r="JA26" i="36"/>
  <c r="IV26" i="36"/>
  <c r="IY26" i="36" s="1"/>
  <c r="IU26" i="36"/>
  <c r="IQ26" i="36"/>
  <c r="IK26" i="36"/>
  <c r="IN26" i="36" s="1"/>
  <c r="HY26" i="36"/>
  <c r="HP26" i="36"/>
  <c r="HD26" i="36"/>
  <c r="HJ26" i="36" s="1"/>
  <c r="HK26" i="36" s="1"/>
  <c r="GR26" i="36"/>
  <c r="GF26" i="36"/>
  <c r="GE26" i="36"/>
  <c r="FX26" i="36"/>
  <c r="GB26" i="36" s="1"/>
  <c r="FW26" i="36"/>
  <c r="FV26" i="36"/>
  <c r="GA26" i="36" s="1"/>
  <c r="FO26" i="36"/>
  <c r="FD26" i="36"/>
  <c r="FH26" i="36" s="1"/>
  <c r="FC26" i="36"/>
  <c r="FG26" i="36" s="1"/>
  <c r="EU26" i="36"/>
  <c r="EK26" i="36"/>
  <c r="EI26" i="36"/>
  <c r="DX26" i="36"/>
  <c r="EB26" i="36" s="1"/>
  <c r="DQ26" i="36"/>
  <c r="DP26" i="36"/>
  <c r="DT26" i="36" s="1"/>
  <c r="DO26" i="36"/>
  <c r="DS26" i="36" s="1"/>
  <c r="DJ26" i="36"/>
  <c r="DA26" i="36"/>
  <c r="DG26" i="36" s="1"/>
  <c r="DH26" i="36" s="1"/>
  <c r="CL26" i="36"/>
  <c r="CO26" i="36" s="1"/>
  <c r="CK26" i="36"/>
  <c r="BZ26" i="36"/>
  <c r="CC26" i="36" s="1"/>
  <c r="BY26" i="36"/>
  <c r="BV26" i="36"/>
  <c r="BS26" i="36"/>
  <c r="BT26" i="36" s="1"/>
  <c r="BM26" i="36"/>
  <c r="BG26" i="36"/>
  <c r="BA26" i="36"/>
  <c r="AZ26" i="36"/>
  <c r="AY26" i="36"/>
  <c r="AW26" i="36"/>
  <c r="AK26" i="36"/>
  <c r="AE26" i="36"/>
  <c r="J26" i="36"/>
  <c r="MA11" i="36"/>
  <c r="LP11" i="36"/>
  <c r="LU11" i="36" s="1"/>
  <c r="LV11" i="36" s="1"/>
  <c r="LF11" i="36"/>
  <c r="LI11" i="36" s="1"/>
  <c r="LC11" i="36"/>
  <c r="KU11" i="36"/>
  <c r="KV11" i="36" s="1"/>
  <c r="KL11" i="36"/>
  <c r="KL15" i="36" s="1"/>
  <c r="KJ11" i="36"/>
  <c r="JY11" i="36"/>
  <c r="JR11" i="36"/>
  <c r="JJ11" i="36"/>
  <c r="IY11" i="36"/>
  <c r="IZ11" i="36" s="1"/>
  <c r="IN11" i="36"/>
  <c r="IS11" i="36" s="1"/>
  <c r="IT11" i="36" s="1"/>
  <c r="HY11" i="36"/>
  <c r="HR11" i="36"/>
  <c r="HP11" i="36"/>
  <c r="HD11" i="36"/>
  <c r="HE11" i="36" s="1"/>
  <c r="GR11" i="36"/>
  <c r="GS11" i="36" s="1"/>
  <c r="GF11" i="36"/>
  <c r="GE11" i="36"/>
  <c r="FX11" i="36"/>
  <c r="GB11" i="36" s="1"/>
  <c r="FO11" i="36"/>
  <c r="FP11" i="36" s="1"/>
  <c r="FD11" i="36"/>
  <c r="FH11" i="36" s="1"/>
  <c r="EU11" i="36"/>
  <c r="FA11" i="36" s="1"/>
  <c r="FB11" i="36" s="1"/>
  <c r="EI11" i="36"/>
  <c r="EJ11" i="36" s="1"/>
  <c r="DX11" i="36"/>
  <c r="EB11" i="36" s="1"/>
  <c r="DQ11" i="36"/>
  <c r="DJ11" i="36"/>
  <c r="DD11" i="36"/>
  <c r="DA11" i="36"/>
  <c r="DB11" i="36" s="1"/>
  <c r="CL11" i="36"/>
  <c r="CO11" i="36" s="1"/>
  <c r="CP11" i="36" s="1"/>
  <c r="CK11" i="36"/>
  <c r="BZ11" i="36"/>
  <c r="CC11" i="36" s="1"/>
  <c r="BY11" i="36"/>
  <c r="BY15" i="36" s="1"/>
  <c r="BV11" i="36"/>
  <c r="BS11" i="36"/>
  <c r="BT11" i="36" s="1"/>
  <c r="BM11" i="36"/>
  <c r="BG11" i="36"/>
  <c r="BA11" i="36"/>
  <c r="AZ11" i="36"/>
  <c r="AY11" i="36"/>
  <c r="AW11" i="36"/>
  <c r="AH11" i="36"/>
  <c r="AG11" i="36"/>
  <c r="AG58" i="36" s="1"/>
  <c r="AE11" i="36"/>
  <c r="J11" i="36"/>
  <c r="MA28" i="36"/>
  <c r="LP28" i="36"/>
  <c r="LU28" i="36" s="1"/>
  <c r="LV28" i="36" s="1"/>
  <c r="LF28" i="36"/>
  <c r="LI28" i="36" s="1"/>
  <c r="LC28" i="36"/>
  <c r="KU28" i="36"/>
  <c r="KZ28" i="36" s="1"/>
  <c r="LA28" i="36" s="1"/>
  <c r="KJ28" i="36"/>
  <c r="KO28" i="36" s="1"/>
  <c r="KP28" i="36" s="1"/>
  <c r="JY28" i="36"/>
  <c r="KD28" i="36" s="1"/>
  <c r="KE28" i="36" s="1"/>
  <c r="JR28" i="36"/>
  <c r="JJ28" i="36"/>
  <c r="JO28" i="36" s="1"/>
  <c r="JP28" i="36" s="1"/>
  <c r="IY28" i="36"/>
  <c r="JD28" i="36" s="1"/>
  <c r="JE28" i="36" s="1"/>
  <c r="IN28" i="36"/>
  <c r="IS28" i="36" s="1"/>
  <c r="IT28" i="36" s="1"/>
  <c r="HY28" i="36"/>
  <c r="HP28" i="36"/>
  <c r="HD28" i="36"/>
  <c r="GR28" i="36"/>
  <c r="GF28" i="36"/>
  <c r="GE28" i="36"/>
  <c r="FX28" i="36"/>
  <c r="GB28" i="36" s="1"/>
  <c r="FV28" i="36"/>
  <c r="GA28" i="36" s="1"/>
  <c r="FO28" i="36"/>
  <c r="FD28" i="36"/>
  <c r="FH28" i="36" s="1"/>
  <c r="FC28" i="36"/>
  <c r="FG28" i="36" s="1"/>
  <c r="EU28" i="36"/>
  <c r="EI28" i="36"/>
  <c r="DX28" i="36"/>
  <c r="EB28" i="36" s="1"/>
  <c r="DW28" i="36"/>
  <c r="EA28" i="36" s="1"/>
  <c r="DQ28" i="36"/>
  <c r="DO28" i="36"/>
  <c r="DS28" i="36" s="1"/>
  <c r="DJ28" i="36"/>
  <c r="DI28" i="36"/>
  <c r="DA28" i="36"/>
  <c r="DG28" i="36" s="1"/>
  <c r="DH28" i="36" s="1"/>
  <c r="CO28" i="36"/>
  <c r="CU28" i="36" s="1"/>
  <c r="CV28" i="36" s="1"/>
  <c r="CC28" i="36"/>
  <c r="CI28" i="36" s="1"/>
  <c r="BV28" i="36"/>
  <c r="BS28" i="36"/>
  <c r="BT28" i="36" s="1"/>
  <c r="BM28" i="36"/>
  <c r="BG28" i="36"/>
  <c r="BA28" i="36"/>
  <c r="AZ28" i="36"/>
  <c r="AY28" i="36"/>
  <c r="AW28" i="36"/>
  <c r="AH28" i="36"/>
  <c r="AE28" i="36"/>
  <c r="J28" i="36"/>
  <c r="MA27" i="36"/>
  <c r="LP27" i="36"/>
  <c r="LF27" i="36"/>
  <c r="LI27" i="36" s="1"/>
  <c r="LC27" i="36"/>
  <c r="KU27" i="36"/>
  <c r="KZ27" i="36" s="1"/>
  <c r="LA27" i="36" s="1"/>
  <c r="KL27" i="36"/>
  <c r="KJ27" i="36"/>
  <c r="JY27" i="36"/>
  <c r="KD27" i="36" s="1"/>
  <c r="KE27" i="36" s="1"/>
  <c r="JR27" i="36"/>
  <c r="JJ27" i="36"/>
  <c r="JO27" i="36" s="1"/>
  <c r="JP27" i="36" s="1"/>
  <c r="IY27" i="36"/>
  <c r="JD27" i="36" s="1"/>
  <c r="JE27" i="36" s="1"/>
  <c r="IN27" i="36"/>
  <c r="IS27" i="36" s="1"/>
  <c r="IT27" i="36" s="1"/>
  <c r="HY27" i="36"/>
  <c r="HP27" i="36"/>
  <c r="HD27" i="36"/>
  <c r="GR27" i="36"/>
  <c r="GF27" i="36"/>
  <c r="GE27" i="36"/>
  <c r="FX27" i="36"/>
  <c r="GB27" i="36" s="1"/>
  <c r="FV27" i="36"/>
  <c r="GA27" i="36" s="1"/>
  <c r="FO27" i="36"/>
  <c r="FD27" i="36"/>
  <c r="FH27" i="36" s="1"/>
  <c r="FC27" i="36"/>
  <c r="FG27" i="36" s="1"/>
  <c r="EU27" i="36"/>
  <c r="EI27" i="36"/>
  <c r="DX27" i="36"/>
  <c r="EB27" i="36" s="1"/>
  <c r="DQ27" i="36"/>
  <c r="DO27" i="36"/>
  <c r="DS27" i="36" s="1"/>
  <c r="DJ27" i="36"/>
  <c r="DA27" i="36"/>
  <c r="DB27" i="36" s="1"/>
  <c r="CL27" i="36"/>
  <c r="CO27" i="36" s="1"/>
  <c r="CK27" i="36"/>
  <c r="DW27" i="36" s="1"/>
  <c r="EA27" i="36" s="1"/>
  <c r="BZ27" i="36"/>
  <c r="CC27" i="36" s="1"/>
  <c r="BY27" i="36"/>
  <c r="BV27" i="36"/>
  <c r="BS27" i="36"/>
  <c r="BT27" i="36" s="1"/>
  <c r="BM27" i="36"/>
  <c r="BG27" i="36"/>
  <c r="BA27" i="36"/>
  <c r="AZ27" i="36"/>
  <c r="AY27" i="36"/>
  <c r="AW27" i="36"/>
  <c r="AH27" i="36"/>
  <c r="AE27" i="36"/>
  <c r="J27" i="36"/>
  <c r="MA43" i="36"/>
  <c r="LP43" i="36"/>
  <c r="LF43" i="36"/>
  <c r="LI43" i="36" s="1"/>
  <c r="LC43" i="36"/>
  <c r="KU43" i="36"/>
  <c r="KZ43" i="36" s="1"/>
  <c r="LA43" i="36" s="1"/>
  <c r="KJ43" i="36"/>
  <c r="KO43" i="36" s="1"/>
  <c r="KP43" i="36" s="1"/>
  <c r="JY43" i="36"/>
  <c r="KD43" i="36" s="1"/>
  <c r="KE43" i="36" s="1"/>
  <c r="JR43" i="36"/>
  <c r="JJ43" i="36"/>
  <c r="IY43" i="36"/>
  <c r="IN43" i="36"/>
  <c r="HY43" i="36"/>
  <c r="HP43" i="36"/>
  <c r="HD43" i="36"/>
  <c r="HE43" i="36" s="1"/>
  <c r="GR43" i="36"/>
  <c r="GX43" i="36" s="1"/>
  <c r="GY43" i="36" s="1"/>
  <c r="GF43" i="36"/>
  <c r="GE43" i="36"/>
  <c r="FX43" i="36"/>
  <c r="GB43" i="36" s="1"/>
  <c r="FW43" i="36"/>
  <c r="FV43" i="36"/>
  <c r="GA43" i="36" s="1"/>
  <c r="FO43" i="36"/>
  <c r="FD43" i="36"/>
  <c r="FH43" i="36" s="1"/>
  <c r="FC43" i="36"/>
  <c r="FG43" i="36" s="1"/>
  <c r="EU43" i="36"/>
  <c r="FA43" i="36" s="1"/>
  <c r="EI43" i="36"/>
  <c r="EO43" i="36" s="1"/>
  <c r="EP43" i="36" s="1"/>
  <c r="DX43" i="36"/>
  <c r="EB43" i="36" s="1"/>
  <c r="DW43" i="36"/>
  <c r="EA43" i="36" s="1"/>
  <c r="DQ43" i="36"/>
  <c r="DP43" i="36"/>
  <c r="DT43" i="36" s="1"/>
  <c r="DO43" i="36"/>
  <c r="DS43" i="36" s="1"/>
  <c r="DJ43" i="36"/>
  <c r="DI43" i="36"/>
  <c r="DA43" i="36"/>
  <c r="DG43" i="36" s="1"/>
  <c r="CL43" i="36"/>
  <c r="CC43" i="36"/>
  <c r="CI43" i="36" s="1"/>
  <c r="CJ43" i="36" s="1"/>
  <c r="BV43" i="36"/>
  <c r="BS43" i="36"/>
  <c r="BT43" i="36" s="1"/>
  <c r="BM43" i="36"/>
  <c r="BG43" i="36"/>
  <c r="BA43" i="36"/>
  <c r="AZ43" i="36"/>
  <c r="AY43" i="36"/>
  <c r="AW43" i="36"/>
  <c r="AK43" i="36"/>
  <c r="AQ43" i="36" s="1"/>
  <c r="AR43" i="36" s="1"/>
  <c r="AE43" i="36"/>
  <c r="J43" i="36"/>
  <c r="MA31" i="36"/>
  <c r="LP31" i="36"/>
  <c r="LQ31" i="36" s="1"/>
  <c r="LF31" i="36"/>
  <c r="LI31" i="36" s="1"/>
  <c r="LC31" i="36"/>
  <c r="KU31" i="36"/>
  <c r="KJ31" i="36"/>
  <c r="JY31" i="36"/>
  <c r="JR31" i="36"/>
  <c r="JJ31" i="36"/>
  <c r="IY31" i="36"/>
  <c r="IZ31" i="36" s="1"/>
  <c r="IN31" i="36"/>
  <c r="IS31" i="36" s="1"/>
  <c r="IT31" i="36" s="1"/>
  <c r="HY31" i="36"/>
  <c r="HP31" i="36"/>
  <c r="HD31" i="36"/>
  <c r="HJ31" i="36" s="1"/>
  <c r="HK31" i="36" s="1"/>
  <c r="GR31" i="36"/>
  <c r="GS31" i="36" s="1"/>
  <c r="GF31" i="36"/>
  <c r="GE31" i="36"/>
  <c r="FX31" i="36"/>
  <c r="GB31" i="36" s="1"/>
  <c r="FW31" i="36"/>
  <c r="FV31" i="36"/>
  <c r="GA31" i="36" s="1"/>
  <c r="FO31" i="36"/>
  <c r="FT31" i="36" s="1"/>
  <c r="FD31" i="36"/>
  <c r="FH31" i="36" s="1"/>
  <c r="FC31" i="36"/>
  <c r="FG31" i="36" s="1"/>
  <c r="EU31" i="36"/>
  <c r="EI31" i="36"/>
  <c r="EO31" i="36" s="1"/>
  <c r="EP31" i="36" s="1"/>
  <c r="DX31" i="36"/>
  <c r="EB31" i="36" s="1"/>
  <c r="DW31" i="36"/>
  <c r="EA31" i="36" s="1"/>
  <c r="DQ31" i="36"/>
  <c r="DP31" i="36"/>
  <c r="DT31" i="36" s="1"/>
  <c r="DO31" i="36"/>
  <c r="DS31" i="36" s="1"/>
  <c r="DJ31" i="36"/>
  <c r="DI31" i="36"/>
  <c r="DA31" i="36"/>
  <c r="DB31" i="36" s="1"/>
  <c r="CO31" i="36"/>
  <c r="CU31" i="36" s="1"/>
  <c r="CV31" i="36" s="1"/>
  <c r="CC31" i="36"/>
  <c r="CD31" i="36" s="1"/>
  <c r="BV31" i="36"/>
  <c r="BS31" i="36"/>
  <c r="BM31" i="36"/>
  <c r="BG31" i="36"/>
  <c r="BA31" i="36"/>
  <c r="AZ31" i="36"/>
  <c r="AY31" i="36"/>
  <c r="AW31" i="36"/>
  <c r="AK31" i="36"/>
  <c r="AQ31" i="36" s="1"/>
  <c r="AR31" i="36" s="1"/>
  <c r="AE31" i="36"/>
  <c r="J31" i="36"/>
  <c r="MC24" i="36"/>
  <c r="MA24" i="36"/>
  <c r="LP24" i="36"/>
  <c r="LQ24" i="36" s="1"/>
  <c r="LF24" i="36"/>
  <c r="LI24" i="36" s="1"/>
  <c r="LC24" i="36"/>
  <c r="KU24" i="36"/>
  <c r="KZ24" i="36" s="1"/>
  <c r="LA24" i="36" s="1"/>
  <c r="KJ24" i="36"/>
  <c r="KK24" i="36" s="1"/>
  <c r="KA24" i="36"/>
  <c r="JY24" i="36"/>
  <c r="JJ24" i="36"/>
  <c r="JA24" i="36"/>
  <c r="IV24" i="36"/>
  <c r="IY24" i="36" s="1"/>
  <c r="IR24" i="36"/>
  <c r="IR58" i="36" s="1"/>
  <c r="IQ24" i="36"/>
  <c r="IM24" i="36"/>
  <c r="IM58" i="36" s="1"/>
  <c r="IK24" i="36"/>
  <c r="HY24" i="36"/>
  <c r="HM24" i="36"/>
  <c r="HP24" i="36" s="1"/>
  <c r="HG24" i="36"/>
  <c r="HF24" i="36"/>
  <c r="HD24" i="36"/>
  <c r="HE24" i="36" s="1"/>
  <c r="GW24" i="36"/>
  <c r="GR24" i="36"/>
  <c r="GS24" i="36" s="1"/>
  <c r="GF24" i="36"/>
  <c r="GE24" i="36"/>
  <c r="FX24" i="36"/>
  <c r="FV24" i="36"/>
  <c r="FR24" i="36"/>
  <c r="FO24" i="36"/>
  <c r="FD24" i="36"/>
  <c r="FC24" i="36"/>
  <c r="EZ24" i="36"/>
  <c r="EZ58" i="36" s="1"/>
  <c r="EX24" i="36"/>
  <c r="EX58" i="36" s="1"/>
  <c r="EU24" i="36"/>
  <c r="EV24" i="36" s="1"/>
  <c r="EN24" i="36"/>
  <c r="EL24" i="36"/>
  <c r="EK24" i="36"/>
  <c r="EI24" i="36"/>
  <c r="EJ24" i="36" s="1"/>
  <c r="DX24" i="36"/>
  <c r="DW24" i="36"/>
  <c r="DQ24" i="36"/>
  <c r="DO24" i="36"/>
  <c r="DJ24" i="36"/>
  <c r="DI24" i="36"/>
  <c r="DF24" i="36"/>
  <c r="DF58" i="36" s="1"/>
  <c r="DD24" i="36"/>
  <c r="DD58" i="36" s="1"/>
  <c r="DC24" i="36"/>
  <c r="DA24" i="36"/>
  <c r="CR24" i="36"/>
  <c r="CO24" i="36"/>
  <c r="CP24" i="36" s="1"/>
  <c r="CH24" i="36"/>
  <c r="CF24" i="36"/>
  <c r="CC24" i="36"/>
  <c r="CD24" i="36" s="1"/>
  <c r="BV24" i="36"/>
  <c r="BS24" i="36"/>
  <c r="BT24" i="36" s="1"/>
  <c r="BL24" i="36"/>
  <c r="BM24" i="36" s="1"/>
  <c r="BF24" i="36"/>
  <c r="BG24" i="36" s="1"/>
  <c r="BA24" i="36"/>
  <c r="AZ24" i="36"/>
  <c r="AY24" i="36"/>
  <c r="AW24" i="36"/>
  <c r="AH24" i="36"/>
  <c r="FW24" i="36" s="1"/>
  <c r="AE24" i="36"/>
  <c r="J24" i="36"/>
  <c r="LR58" i="36"/>
  <c r="KR58" i="36"/>
  <c r="KG58" i="36"/>
  <c r="KF58" i="36"/>
  <c r="KB58" i="36"/>
  <c r="JW58" i="36"/>
  <c r="JV58" i="36"/>
  <c r="JU58" i="36"/>
  <c r="JH58" i="36"/>
  <c r="JG58" i="36"/>
  <c r="JF58" i="36"/>
  <c r="JC58" i="36"/>
  <c r="IW58" i="36"/>
  <c r="HR58" i="36"/>
  <c r="GU58" i="36"/>
  <c r="MD20" i="36"/>
  <c r="MA20" i="36"/>
  <c r="LP20" i="36"/>
  <c r="LF20" i="36"/>
  <c r="LC20" i="36"/>
  <c r="KU20" i="36"/>
  <c r="KJ20" i="36"/>
  <c r="JY20" i="36"/>
  <c r="JR20" i="36"/>
  <c r="JJ20" i="36"/>
  <c r="IY20" i="36"/>
  <c r="IN20" i="36"/>
  <c r="HY20" i="36"/>
  <c r="HP20" i="36"/>
  <c r="HF20" i="36"/>
  <c r="HD20" i="36"/>
  <c r="GT20" i="36"/>
  <c r="GR20" i="36"/>
  <c r="GF20" i="36"/>
  <c r="GE20" i="36"/>
  <c r="FX20" i="36"/>
  <c r="FW20" i="36"/>
  <c r="FV20" i="36"/>
  <c r="FO20" i="36"/>
  <c r="FD20" i="36"/>
  <c r="FC20" i="36"/>
  <c r="EU20" i="36"/>
  <c r="EK20" i="36"/>
  <c r="EI20" i="36"/>
  <c r="DX20" i="36"/>
  <c r="DW20" i="36"/>
  <c r="DQ20" i="36"/>
  <c r="DP20" i="36"/>
  <c r="DO20" i="36"/>
  <c r="DJ20" i="36"/>
  <c r="DI20" i="36"/>
  <c r="DA20" i="36"/>
  <c r="CR20" i="36"/>
  <c r="CO20" i="36"/>
  <c r="CC20" i="36"/>
  <c r="BV20" i="36"/>
  <c r="BS20" i="36"/>
  <c r="BM20" i="36"/>
  <c r="BF20" i="36"/>
  <c r="BA20" i="36"/>
  <c r="AZ20" i="36"/>
  <c r="AY20" i="36"/>
  <c r="AW20" i="36"/>
  <c r="AK20" i="36"/>
  <c r="AL20" i="36" s="1"/>
  <c r="AE20" i="36"/>
  <c r="J20" i="36"/>
  <c r="MA10" i="36"/>
  <c r="LP10" i="36"/>
  <c r="LQ10" i="36" s="1"/>
  <c r="LF10" i="36"/>
  <c r="LI10" i="36" s="1"/>
  <c r="LC10" i="36"/>
  <c r="KU10" i="36"/>
  <c r="KJ10" i="36"/>
  <c r="KK10" i="36" s="1"/>
  <c r="JY10" i="36"/>
  <c r="JZ10" i="36" s="1"/>
  <c r="JR10" i="36"/>
  <c r="JJ10" i="36"/>
  <c r="JO10" i="36" s="1"/>
  <c r="JP10" i="36" s="1"/>
  <c r="IY10" i="36"/>
  <c r="JD10" i="36" s="1"/>
  <c r="JE10" i="36" s="1"/>
  <c r="IN10" i="36"/>
  <c r="IS10" i="36" s="1"/>
  <c r="IT10" i="36" s="1"/>
  <c r="HY10" i="36"/>
  <c r="HP10" i="36"/>
  <c r="HD10" i="36"/>
  <c r="HJ10" i="36" s="1"/>
  <c r="HK10" i="36" s="1"/>
  <c r="GR10" i="36"/>
  <c r="GX10" i="36" s="1"/>
  <c r="GY10" i="36" s="1"/>
  <c r="GF10" i="36"/>
  <c r="GE10" i="36"/>
  <c r="FX10" i="36"/>
  <c r="GB10" i="36" s="1"/>
  <c r="FV10" i="36"/>
  <c r="GA10" i="36" s="1"/>
  <c r="FO10" i="36"/>
  <c r="FT10" i="36" s="1"/>
  <c r="FU10" i="36" s="1"/>
  <c r="FD10" i="36"/>
  <c r="FH10" i="36" s="1"/>
  <c r="FC10" i="36"/>
  <c r="FG10" i="36" s="1"/>
  <c r="EU10" i="36"/>
  <c r="FA10" i="36" s="1"/>
  <c r="EI10" i="36"/>
  <c r="EO10" i="36" s="1"/>
  <c r="EP10" i="36" s="1"/>
  <c r="DX10" i="36"/>
  <c r="EB10" i="36" s="1"/>
  <c r="DW10" i="36"/>
  <c r="EA10" i="36" s="1"/>
  <c r="DQ10" i="36"/>
  <c r="DO10" i="36"/>
  <c r="DS10" i="36" s="1"/>
  <c r="DJ10" i="36"/>
  <c r="DI10" i="36"/>
  <c r="DA10" i="36"/>
  <c r="CO10" i="36"/>
  <c r="CU10" i="36" s="1"/>
  <c r="CV10" i="36" s="1"/>
  <c r="BZ10" i="36"/>
  <c r="BV10" i="36"/>
  <c r="BS10" i="36"/>
  <c r="BT10" i="36" s="1"/>
  <c r="BM10" i="36"/>
  <c r="BG10" i="36"/>
  <c r="BA10" i="36"/>
  <c r="AZ10" i="36"/>
  <c r="AY10" i="36"/>
  <c r="AW10" i="36"/>
  <c r="AH10" i="36"/>
  <c r="AK10" i="36" s="1"/>
  <c r="AE10" i="36"/>
  <c r="J10" i="36"/>
  <c r="MA9" i="36"/>
  <c r="LP9" i="36"/>
  <c r="LQ9" i="36" s="1"/>
  <c r="LF9" i="36"/>
  <c r="LI9" i="36" s="1"/>
  <c r="LC9" i="36"/>
  <c r="KU9" i="36"/>
  <c r="KZ9" i="36" s="1"/>
  <c r="LA9" i="36" s="1"/>
  <c r="KJ9" i="36"/>
  <c r="KO9" i="36" s="1"/>
  <c r="KP9" i="36" s="1"/>
  <c r="JY9" i="36"/>
  <c r="KD9" i="36" s="1"/>
  <c r="KE9" i="36" s="1"/>
  <c r="JR9" i="36"/>
  <c r="JJ9" i="36"/>
  <c r="JO9" i="36" s="1"/>
  <c r="JP9" i="36" s="1"/>
  <c r="IY9" i="36"/>
  <c r="IN9" i="36"/>
  <c r="IO9" i="36" s="1"/>
  <c r="HY9" i="36"/>
  <c r="HP9" i="36"/>
  <c r="HD9" i="36"/>
  <c r="HJ9" i="36" s="1"/>
  <c r="HK9" i="36" s="1"/>
  <c r="GR9" i="36"/>
  <c r="GS9" i="36" s="1"/>
  <c r="GF9" i="36"/>
  <c r="GE9" i="36"/>
  <c r="FX9" i="36"/>
  <c r="GB9" i="36" s="1"/>
  <c r="FV9" i="36"/>
  <c r="GA9" i="36" s="1"/>
  <c r="FO9" i="36"/>
  <c r="FT9" i="36" s="1"/>
  <c r="FD9" i="36"/>
  <c r="FH9" i="36" s="1"/>
  <c r="FC9" i="36"/>
  <c r="FG9" i="36" s="1"/>
  <c r="EU9" i="36"/>
  <c r="FA9" i="36" s="1"/>
  <c r="EI9" i="36"/>
  <c r="EO9" i="36" s="1"/>
  <c r="DX9" i="36"/>
  <c r="EB9" i="36" s="1"/>
  <c r="DQ9" i="36"/>
  <c r="DO9" i="36"/>
  <c r="DS9" i="36" s="1"/>
  <c r="DJ9" i="36"/>
  <c r="DA9" i="36"/>
  <c r="DB9" i="36" s="1"/>
  <c r="CL9" i="36"/>
  <c r="CO9" i="36" s="1"/>
  <c r="CK9" i="36"/>
  <c r="BZ9" i="36"/>
  <c r="BV9" i="36"/>
  <c r="BS9" i="36"/>
  <c r="BT9" i="36" s="1"/>
  <c r="BM9" i="36"/>
  <c r="BG9" i="36"/>
  <c r="BA9" i="36"/>
  <c r="AZ9" i="36"/>
  <c r="AY9" i="36"/>
  <c r="AW9" i="36"/>
  <c r="AN9" i="36"/>
  <c r="AH9" i="36"/>
  <c r="DP9" i="36" s="1"/>
  <c r="DT9" i="36" s="1"/>
  <c r="AE9" i="36"/>
  <c r="J9" i="36"/>
  <c r="MA8" i="36"/>
  <c r="LT8" i="36"/>
  <c r="LT15" i="36" s="1"/>
  <c r="LP8" i="36"/>
  <c r="LQ8" i="36" s="1"/>
  <c r="LF8" i="36"/>
  <c r="LI8" i="36" s="1"/>
  <c r="LC8" i="36"/>
  <c r="KU8" i="36"/>
  <c r="KZ8" i="36" s="1"/>
  <c r="LA8" i="36" s="1"/>
  <c r="KJ8" i="36"/>
  <c r="KO8" i="36" s="1"/>
  <c r="KP8" i="36" s="1"/>
  <c r="JY8" i="36"/>
  <c r="KD8" i="36" s="1"/>
  <c r="KE8" i="36" s="1"/>
  <c r="JR8" i="36"/>
  <c r="JM8" i="36"/>
  <c r="JM15" i="36" s="1"/>
  <c r="JL8" i="36"/>
  <c r="JJ8" i="36"/>
  <c r="IY8" i="36"/>
  <c r="JD8" i="36" s="1"/>
  <c r="JE8" i="36" s="1"/>
  <c r="IM8" i="36"/>
  <c r="IN8" i="36" s="1"/>
  <c r="IS8" i="36" s="1"/>
  <c r="IT8" i="36" s="1"/>
  <c r="HY8" i="36"/>
  <c r="HR8" i="36"/>
  <c r="HP8" i="36"/>
  <c r="HG8" i="36"/>
  <c r="HG15" i="36" s="1"/>
  <c r="HF8" i="36"/>
  <c r="HD8" i="36"/>
  <c r="GT8" i="36"/>
  <c r="GR8" i="36"/>
  <c r="GF8" i="36"/>
  <c r="GE8" i="36"/>
  <c r="FX8" i="36"/>
  <c r="GB8" i="36" s="1"/>
  <c r="FV8" i="36"/>
  <c r="GA8" i="36" s="1"/>
  <c r="FR8" i="36"/>
  <c r="FO8" i="36"/>
  <c r="FD8" i="36"/>
  <c r="FH8" i="36" s="1"/>
  <c r="FC8" i="36"/>
  <c r="FG8" i="36" s="1"/>
  <c r="EX8" i="36"/>
  <c r="EU8" i="36"/>
  <c r="EI8" i="36"/>
  <c r="EO8" i="36" s="1"/>
  <c r="EP8" i="36" s="1"/>
  <c r="DX8" i="36"/>
  <c r="EB8" i="36" s="1"/>
  <c r="DW8" i="36"/>
  <c r="EA8" i="36" s="1"/>
  <c r="DQ8" i="36"/>
  <c r="DO8" i="36"/>
  <c r="DS8" i="36" s="1"/>
  <c r="DJ8" i="36"/>
  <c r="DI8" i="36"/>
  <c r="DF8" i="36"/>
  <c r="DD8" i="36"/>
  <c r="DC8" i="36"/>
  <c r="DA8" i="36"/>
  <c r="CL8" i="36"/>
  <c r="CO8" i="36" s="1"/>
  <c r="CU8" i="36" s="1"/>
  <c r="CV8" i="36" s="1"/>
  <c r="BZ8" i="36"/>
  <c r="BV8" i="36"/>
  <c r="BS8" i="36"/>
  <c r="BL8" i="36"/>
  <c r="BM8" i="36" s="1"/>
  <c r="BG8" i="36"/>
  <c r="BA8" i="36"/>
  <c r="AZ8" i="36"/>
  <c r="AY8" i="36"/>
  <c r="AW8" i="36"/>
  <c r="AN8" i="36"/>
  <c r="AH8" i="36"/>
  <c r="DP8" i="36" s="1"/>
  <c r="DT8" i="36" s="1"/>
  <c r="AE8" i="36"/>
  <c r="J8" i="36"/>
  <c r="MA7" i="36"/>
  <c r="LP7" i="36"/>
  <c r="LQ7" i="36" s="1"/>
  <c r="LF7" i="36"/>
  <c r="LI7" i="36" s="1"/>
  <c r="LC7" i="36"/>
  <c r="KU7" i="36"/>
  <c r="KZ7" i="36" s="1"/>
  <c r="LA7" i="36" s="1"/>
  <c r="KJ7" i="36"/>
  <c r="KO7" i="36" s="1"/>
  <c r="KP7" i="36" s="1"/>
  <c r="JY7" i="36"/>
  <c r="KD7" i="36" s="1"/>
  <c r="KE7" i="36" s="1"/>
  <c r="JR7" i="36"/>
  <c r="JJ7" i="36"/>
  <c r="JK7" i="36" s="1"/>
  <c r="IY7" i="36"/>
  <c r="IZ7" i="36" s="1"/>
  <c r="IN7" i="36"/>
  <c r="IS7" i="36" s="1"/>
  <c r="IT7" i="36" s="1"/>
  <c r="HY7" i="36"/>
  <c r="HP7" i="36"/>
  <c r="HD7" i="36"/>
  <c r="HJ7" i="36" s="1"/>
  <c r="HK7" i="36" s="1"/>
  <c r="GR7" i="36"/>
  <c r="GX7" i="36" s="1"/>
  <c r="GY7" i="36" s="1"/>
  <c r="GF7" i="36"/>
  <c r="GE7" i="36"/>
  <c r="FX7" i="36"/>
  <c r="GB7" i="36" s="1"/>
  <c r="FW7" i="36"/>
  <c r="FV7" i="36"/>
  <c r="GA7" i="36" s="1"/>
  <c r="FO7" i="36"/>
  <c r="FD7" i="36"/>
  <c r="FH7" i="36" s="1"/>
  <c r="FC7" i="36"/>
  <c r="FG7" i="36" s="1"/>
  <c r="EU7" i="36"/>
  <c r="EI7" i="36"/>
  <c r="DX7" i="36"/>
  <c r="EB7" i="36" s="1"/>
  <c r="DW7" i="36"/>
  <c r="EA7" i="36" s="1"/>
  <c r="DQ7" i="36"/>
  <c r="DP7" i="36"/>
  <c r="DT7" i="36" s="1"/>
  <c r="DO7" i="36"/>
  <c r="DS7" i="36" s="1"/>
  <c r="DJ7" i="36"/>
  <c r="DI7" i="36"/>
  <c r="DF7" i="36"/>
  <c r="DA7" i="36"/>
  <c r="DB7" i="36" s="1"/>
  <c r="CO7" i="36"/>
  <c r="CU7" i="36" s="1"/>
  <c r="CV7" i="36" s="1"/>
  <c r="CC7" i="36"/>
  <c r="CD7" i="36" s="1"/>
  <c r="BV7" i="36"/>
  <c r="BS7" i="36"/>
  <c r="BM7" i="36"/>
  <c r="BG7" i="36"/>
  <c r="BA7" i="36"/>
  <c r="AZ7" i="36"/>
  <c r="AY7" i="36"/>
  <c r="AW7" i="36"/>
  <c r="AK7" i="36"/>
  <c r="AQ7" i="36" s="1"/>
  <c r="AR7" i="36" s="1"/>
  <c r="AE7" i="36"/>
  <c r="J7" i="36"/>
  <c r="MC6" i="36"/>
  <c r="MC15" i="36" s="1"/>
  <c r="MA6" i="36"/>
  <c r="LR6" i="36"/>
  <c r="LR15" i="36" s="1"/>
  <c r="LP6" i="36"/>
  <c r="LQ6" i="36" s="1"/>
  <c r="LF6" i="36"/>
  <c r="LI6" i="36" s="1"/>
  <c r="LC6" i="36"/>
  <c r="KW6" i="36"/>
  <c r="KW15" i="36" s="1"/>
  <c r="KU6" i="36"/>
  <c r="KM6" i="36"/>
  <c r="KM15" i="36" s="1"/>
  <c r="KJ6" i="36"/>
  <c r="KK6" i="36" s="1"/>
  <c r="KA6" i="36"/>
  <c r="KA15" i="36" s="1"/>
  <c r="JY6" i="36"/>
  <c r="JZ6" i="36" s="1"/>
  <c r="JR6" i="36"/>
  <c r="JL6" i="36"/>
  <c r="JJ6" i="36"/>
  <c r="JK6" i="36" s="1"/>
  <c r="JB6" i="36"/>
  <c r="JB15" i="36" s="1"/>
  <c r="JA6" i="36"/>
  <c r="IY6" i="36"/>
  <c r="IM6" i="36"/>
  <c r="IN6" i="36" s="1"/>
  <c r="HY6" i="36"/>
  <c r="HS6" i="36"/>
  <c r="HS15" i="36" s="1"/>
  <c r="HR6" i="36"/>
  <c r="HM6" i="36"/>
  <c r="HM15" i="36" s="1"/>
  <c r="HF6" i="36"/>
  <c r="HD6" i="36"/>
  <c r="GW6" i="36"/>
  <c r="GW15" i="36" s="1"/>
  <c r="HT105" i="36" s="1"/>
  <c r="GU6" i="36"/>
  <c r="GU15" i="36" s="1"/>
  <c r="GT6" i="36"/>
  <c r="GR6" i="36"/>
  <c r="GF6" i="36"/>
  <c r="GE6" i="36"/>
  <c r="FX6" i="36"/>
  <c r="GB6" i="36" s="1"/>
  <c r="FR6" i="36"/>
  <c r="FQ6" i="36"/>
  <c r="FQ15" i="36" s="1"/>
  <c r="FP97" i="36" s="1"/>
  <c r="FO6" i="36"/>
  <c r="FD6" i="36"/>
  <c r="FH6" i="36" s="1"/>
  <c r="EZ6" i="36"/>
  <c r="EZ15" i="36" s="1"/>
  <c r="EX6" i="36"/>
  <c r="EU6" i="36"/>
  <c r="EN6" i="36"/>
  <c r="EN15" i="36" s="1"/>
  <c r="EI6" i="36"/>
  <c r="DW6" i="36"/>
  <c r="EA6" i="36" s="1"/>
  <c r="DQ6" i="36"/>
  <c r="DI6" i="36"/>
  <c r="DF6" i="36"/>
  <c r="DD6" i="36"/>
  <c r="DA6" i="36"/>
  <c r="DB6" i="36" s="1"/>
  <c r="CR6" i="36"/>
  <c r="CR15" i="36" s="1"/>
  <c r="CM6" i="36"/>
  <c r="CL6" i="36"/>
  <c r="CF6" i="36"/>
  <c r="CF15" i="36" s="1"/>
  <c r="CA6" i="36"/>
  <c r="BV6" i="36"/>
  <c r="BS6" i="36"/>
  <c r="BL6" i="36"/>
  <c r="BG6" i="36"/>
  <c r="BA6" i="36"/>
  <c r="AZ6" i="36"/>
  <c r="AY6" i="36"/>
  <c r="AW6" i="36"/>
  <c r="AN6" i="36"/>
  <c r="AH6" i="36"/>
  <c r="FW6" i="36" s="1"/>
  <c r="AG6" i="36"/>
  <c r="FC6" i="36" s="1"/>
  <c r="FG6" i="36" s="1"/>
  <c r="AE6" i="36"/>
  <c r="J6" i="36"/>
  <c r="MA5" i="36"/>
  <c r="LP5" i="36"/>
  <c r="LF5" i="36"/>
  <c r="LC5" i="36"/>
  <c r="KU5" i="36"/>
  <c r="KJ5" i="36"/>
  <c r="JY5" i="36"/>
  <c r="JR5" i="36"/>
  <c r="JJ5" i="36"/>
  <c r="JA5" i="36"/>
  <c r="IY5" i="36"/>
  <c r="IM5" i="36"/>
  <c r="HY5" i="36"/>
  <c r="HP5" i="36"/>
  <c r="HD5" i="36"/>
  <c r="GR5" i="36"/>
  <c r="GF5" i="36"/>
  <c r="GE5" i="36"/>
  <c r="FX5" i="36"/>
  <c r="FW5" i="36"/>
  <c r="FV5" i="36"/>
  <c r="FO5" i="36"/>
  <c r="FD5" i="36"/>
  <c r="FH5" i="36" s="1"/>
  <c r="FC5" i="36"/>
  <c r="FG5" i="36" s="1"/>
  <c r="EU5" i="36"/>
  <c r="EI5" i="36"/>
  <c r="DW5" i="36"/>
  <c r="DQ5" i="36"/>
  <c r="DP5" i="36"/>
  <c r="DO5" i="36"/>
  <c r="DI5" i="36"/>
  <c r="DF5" i="36"/>
  <c r="DC5" i="36"/>
  <c r="DC15" i="36" s="1"/>
  <c r="DD97" i="36" s="1"/>
  <c r="DE97" i="36" s="1"/>
  <c r="DA5" i="36"/>
  <c r="CM5" i="36"/>
  <c r="CL5" i="36"/>
  <c r="CA5" i="36"/>
  <c r="BV5" i="36"/>
  <c r="BS5" i="36"/>
  <c r="BM5" i="36"/>
  <c r="BF5" i="36"/>
  <c r="BF15" i="36" s="1"/>
  <c r="BA5" i="36"/>
  <c r="AZ5" i="36"/>
  <c r="AY5" i="36"/>
  <c r="AW5" i="36"/>
  <c r="AK5" i="36"/>
  <c r="AQ5" i="36" s="1"/>
  <c r="AR5" i="36" s="1"/>
  <c r="AE5" i="36"/>
  <c r="J5" i="36"/>
  <c r="J15" i="36" s="1"/>
  <c r="FU15" i="35"/>
  <c r="FO15" i="35"/>
  <c r="FL15" i="35"/>
  <c r="EZ15" i="35"/>
  <c r="GJ15" i="35" s="1"/>
  <c r="CE15" i="35"/>
  <c r="S15" i="35"/>
  <c r="R15" i="35"/>
  <c r="Q15" i="35"/>
  <c r="FW13" i="35"/>
  <c r="FV13" i="35"/>
  <c r="FQ13" i="35"/>
  <c r="FP13" i="35"/>
  <c r="FF13" i="35"/>
  <c r="FI13" i="35" s="1"/>
  <c r="FC13" i="35"/>
  <c r="FB13" i="35"/>
  <c r="FA13" i="35"/>
  <c r="EY13" i="35"/>
  <c r="EX13" i="35"/>
  <c r="ES13" i="35"/>
  <c r="ER13" i="35"/>
  <c r="EM13" i="35"/>
  <c r="EL13" i="35"/>
  <c r="DZ13" i="35"/>
  <c r="DW13" i="35"/>
  <c r="DV13" i="35"/>
  <c r="DU13" i="35"/>
  <c r="DS13" i="35"/>
  <c r="DR13" i="35"/>
  <c r="DM13" i="35"/>
  <c r="DL13" i="35"/>
  <c r="DG13" i="35"/>
  <c r="DF13" i="35"/>
  <c r="CS13" i="35"/>
  <c r="CH13" i="35"/>
  <c r="CG13" i="35"/>
  <c r="CF13" i="35"/>
  <c r="FW12" i="35"/>
  <c r="FV12" i="35"/>
  <c r="FF12" i="35"/>
  <c r="FC12" i="35"/>
  <c r="GM12" i="35" s="1"/>
  <c r="FB12" i="35"/>
  <c r="FA12" i="35"/>
  <c r="DZ12" i="35"/>
  <c r="ED12" i="35" s="1"/>
  <c r="DW12" i="35"/>
  <c r="DY12" i="35" s="1"/>
  <c r="DV12" i="35"/>
  <c r="DS12" i="35"/>
  <c r="DR12" i="35"/>
  <c r="DM12" i="35"/>
  <c r="DL12" i="35"/>
  <c r="DG12" i="35"/>
  <c r="DF12" i="35"/>
  <c r="CS12" i="35"/>
  <c r="CD12" i="35"/>
  <c r="CA12" i="35"/>
  <c r="CA15" i="35" s="1"/>
  <c r="BU12" i="35"/>
  <c r="BT12" i="35"/>
  <c r="BO12" i="35"/>
  <c r="BN12" i="35"/>
  <c r="BI12" i="35"/>
  <c r="BH12" i="35"/>
  <c r="BC12" i="35"/>
  <c r="BD12" i="35" s="1"/>
  <c r="BB12" i="35"/>
  <c r="AW12" i="35"/>
  <c r="AV12" i="35"/>
  <c r="FW11" i="35"/>
  <c r="FV11" i="35"/>
  <c r="FQ11" i="35"/>
  <c r="FP11" i="35"/>
  <c r="FF11" i="35"/>
  <c r="FC11" i="35"/>
  <c r="FB11" i="35"/>
  <c r="FA11" i="35"/>
  <c r="EY11" i="35"/>
  <c r="EX11" i="35"/>
  <c r="ES11" i="35"/>
  <c r="ER11" i="35"/>
  <c r="EM11" i="35"/>
  <c r="EL11" i="35"/>
  <c r="DZ11" i="35"/>
  <c r="ED11" i="35" s="1"/>
  <c r="DW11" i="35"/>
  <c r="DV11" i="35"/>
  <c r="DU11" i="35"/>
  <c r="DS11" i="35"/>
  <c r="DR11" i="35"/>
  <c r="DM11" i="35"/>
  <c r="DL11" i="35"/>
  <c r="DH11" i="35"/>
  <c r="DG11" i="35"/>
  <c r="DF11" i="35"/>
  <c r="CV11" i="35"/>
  <c r="CZ11" i="35" s="1"/>
  <c r="CU11" i="35"/>
  <c r="CY11" i="35" s="1"/>
  <c r="CT11" i="35"/>
  <c r="CX11" i="35" s="1"/>
  <c r="CS11" i="35"/>
  <c r="CW11" i="35" s="1"/>
  <c r="CR11" i="35"/>
  <c r="CQ11" i="35"/>
  <c r="CP11" i="35"/>
  <c r="CH11" i="35"/>
  <c r="CG11" i="35"/>
  <c r="CF11" i="35"/>
  <c r="CD11" i="35"/>
  <c r="CC11" i="35"/>
  <c r="BX11" i="35"/>
  <c r="BW11" i="35"/>
  <c r="BR11" i="35"/>
  <c r="BQ11" i="35"/>
  <c r="BL11" i="35"/>
  <c r="BK11" i="35"/>
  <c r="BF11" i="35"/>
  <c r="BE11" i="35"/>
  <c r="AZ11" i="35"/>
  <c r="AY11" i="35"/>
  <c r="AT11" i="35"/>
  <c r="AS11" i="35"/>
  <c r="AO11" i="35"/>
  <c r="AN11" i="35"/>
  <c r="AM11" i="35"/>
  <c r="AH11" i="35"/>
  <c r="AG11" i="35"/>
  <c r="AB11" i="35"/>
  <c r="AA11" i="35"/>
  <c r="V11" i="35"/>
  <c r="U11" i="35"/>
  <c r="P11" i="35"/>
  <c r="O11" i="35"/>
  <c r="J11" i="35"/>
  <c r="I11" i="35"/>
  <c r="H11" i="35"/>
  <c r="FF14" i="35"/>
  <c r="FC14" i="35"/>
  <c r="EO14" i="35"/>
  <c r="EM14" i="35"/>
  <c r="EL14" i="35"/>
  <c r="DZ14" i="35"/>
  <c r="DW14" i="35"/>
  <c r="DU14" i="35"/>
  <c r="DP14" i="35"/>
  <c r="DM14" i="35"/>
  <c r="DJ14" i="35"/>
  <c r="DL14" i="35" s="1"/>
  <c r="DG14" i="35"/>
  <c r="DD14" i="35"/>
  <c r="DF14" i="35" s="1"/>
  <c r="CV14" i="35"/>
  <c r="CZ14" i="35" s="1"/>
  <c r="CS14" i="35"/>
  <c r="CH14" i="35"/>
  <c r="CG14" i="35"/>
  <c r="CF14" i="35"/>
  <c r="CD14" i="35"/>
  <c r="CC14" i="35"/>
  <c r="BX14" i="35"/>
  <c r="BW14" i="35"/>
  <c r="BR14" i="35"/>
  <c r="BQ14" i="35"/>
  <c r="BL14" i="35"/>
  <c r="BK14" i="35"/>
  <c r="BF14" i="35"/>
  <c r="BC14" i="35"/>
  <c r="BE14" i="35" s="1"/>
  <c r="AX14" i="35"/>
  <c r="AV14" i="35"/>
  <c r="CL14" i="35" s="1"/>
  <c r="AT14" i="35"/>
  <c r="AQ14" i="35"/>
  <c r="AS14" i="35" s="1"/>
  <c r="AN14" i="35"/>
  <c r="AK14" i="35"/>
  <c r="AM14" i="35" s="1"/>
  <c r="AH14" i="35"/>
  <c r="AG14" i="35"/>
  <c r="AB14" i="35"/>
  <c r="AA14" i="35"/>
  <c r="V14" i="35"/>
  <c r="U14" i="35"/>
  <c r="P14" i="35"/>
  <c r="O14" i="35"/>
  <c r="J14" i="35"/>
  <c r="I14" i="35"/>
  <c r="FW9" i="35"/>
  <c r="FV9" i="35"/>
  <c r="FQ9" i="35"/>
  <c r="FP9" i="35"/>
  <c r="FF9" i="35"/>
  <c r="EY9" i="35"/>
  <c r="EX9" i="35"/>
  <c r="FC9" i="35"/>
  <c r="FB9" i="35"/>
  <c r="EM9" i="35"/>
  <c r="EL9" i="35"/>
  <c r="DZ9" i="35"/>
  <c r="ED9" i="35" s="1"/>
  <c r="DW9" i="35"/>
  <c r="DV9" i="35"/>
  <c r="DU9" i="35"/>
  <c r="DS9" i="35"/>
  <c r="DR9" i="35"/>
  <c r="DM9" i="35"/>
  <c r="DL9" i="35"/>
  <c r="DG9" i="35"/>
  <c r="DF9" i="35"/>
  <c r="CV9" i="35"/>
  <c r="CZ9" i="35" s="1"/>
  <c r="CU9" i="35"/>
  <c r="CY9" i="35" s="1"/>
  <c r="CT9" i="35"/>
  <c r="CX9" i="35" s="1"/>
  <c r="CS9" i="35"/>
  <c r="CW9" i="35" s="1"/>
  <c r="CR9" i="35"/>
  <c r="CQ9" i="35"/>
  <c r="CP9" i="35"/>
  <c r="CH9" i="35"/>
  <c r="CG9" i="35"/>
  <c r="CF9" i="35"/>
  <c r="CD9" i="35"/>
  <c r="CC9" i="35"/>
  <c r="BX9" i="35"/>
  <c r="BW9" i="35"/>
  <c r="BR9" i="35"/>
  <c r="BQ9" i="35"/>
  <c r="BL9" i="35"/>
  <c r="BK9" i="35"/>
  <c r="BF9" i="35"/>
  <c r="BE9" i="35"/>
  <c r="AZ9" i="35"/>
  <c r="AY9" i="35"/>
  <c r="AT9" i="35"/>
  <c r="AS9" i="35"/>
  <c r="AN9" i="35"/>
  <c r="AM9" i="35"/>
  <c r="AH9" i="35"/>
  <c r="AG9" i="35"/>
  <c r="AB9" i="35"/>
  <c r="AA9" i="35"/>
  <c r="V9" i="35"/>
  <c r="U9" i="35"/>
  <c r="P9" i="35"/>
  <c r="O9" i="35"/>
  <c r="J9" i="35"/>
  <c r="I9" i="35"/>
  <c r="H9" i="35"/>
  <c r="FW5" i="35"/>
  <c r="FV5" i="35"/>
  <c r="FQ5" i="35"/>
  <c r="FP5" i="35"/>
  <c r="FF5" i="35"/>
  <c r="FC5" i="35"/>
  <c r="FA5" i="35"/>
  <c r="EY5" i="35"/>
  <c r="EX5" i="35"/>
  <c r="ES5" i="35"/>
  <c r="EP5" i="35"/>
  <c r="EM5" i="35"/>
  <c r="EL5" i="35"/>
  <c r="DZ5" i="35"/>
  <c r="ED5" i="35" s="1"/>
  <c r="DW5" i="35"/>
  <c r="DV5" i="35"/>
  <c r="DU5" i="35"/>
  <c r="DS5" i="35"/>
  <c r="DR5" i="35"/>
  <c r="DM5" i="35"/>
  <c r="DL5" i="35"/>
  <c r="DG5" i="35"/>
  <c r="DF5" i="35"/>
  <c r="CU5" i="35"/>
  <c r="CY5" i="35" s="1"/>
  <c r="CS5" i="35"/>
  <c r="CW5" i="35" s="1"/>
  <c r="CN5" i="35"/>
  <c r="CV5" i="35" s="1"/>
  <c r="CZ5" i="35" s="1"/>
  <c r="CR5" i="35"/>
  <c r="CH5" i="35"/>
  <c r="CG5" i="35"/>
  <c r="CF5" i="35"/>
  <c r="CD5" i="35"/>
  <c r="CC5" i="35"/>
  <c r="BX5" i="35"/>
  <c r="BW5" i="35"/>
  <c r="BR5" i="35"/>
  <c r="BQ5" i="35"/>
  <c r="BL5" i="35"/>
  <c r="BK5" i="35"/>
  <c r="BF5" i="35"/>
  <c r="BE5" i="35"/>
  <c r="AZ5" i="35"/>
  <c r="AY5" i="35"/>
  <c r="AT5" i="35"/>
  <c r="AS5" i="35"/>
  <c r="AN5" i="35"/>
  <c r="AM5" i="35"/>
  <c r="AH5" i="35"/>
  <c r="AG5" i="35"/>
  <c r="AB5" i="35"/>
  <c r="AA5" i="35"/>
  <c r="V5" i="35"/>
  <c r="U5" i="35"/>
  <c r="P5" i="35"/>
  <c r="O5" i="35"/>
  <c r="J5" i="35"/>
  <c r="I5" i="35"/>
  <c r="H5" i="35"/>
  <c r="FT6" i="35"/>
  <c r="FS6" i="35"/>
  <c r="FR6" i="35"/>
  <c r="FR15" i="35" s="1"/>
  <c r="FN6" i="35"/>
  <c r="FM6" i="35"/>
  <c r="FM15" i="35" s="1"/>
  <c r="EW6" i="35"/>
  <c r="EW15" i="35" s="1"/>
  <c r="EV6" i="35"/>
  <c r="EU6" i="35"/>
  <c r="EU15" i="35" s="1"/>
  <c r="ET6" i="35"/>
  <c r="ET15" i="35" s="1"/>
  <c r="EQ6" i="35"/>
  <c r="EP6" i="35"/>
  <c r="EO6" i="35"/>
  <c r="EN6" i="35"/>
  <c r="EN15" i="35" s="1"/>
  <c r="EK6" i="35"/>
  <c r="EK15" i="35" s="1"/>
  <c r="EJ6" i="35"/>
  <c r="EJ15" i="35" s="1"/>
  <c r="EI6" i="35"/>
  <c r="EI15" i="35" s="1"/>
  <c r="EH6" i="35"/>
  <c r="EH15" i="35" s="1"/>
  <c r="DT6" i="35"/>
  <c r="DT15" i="35" s="1"/>
  <c r="DQ6" i="35"/>
  <c r="DQ15" i="35" s="1"/>
  <c r="DP6" i="35"/>
  <c r="DO6" i="35"/>
  <c r="DN6" i="35"/>
  <c r="DN15" i="35" s="1"/>
  <c r="DJ6" i="35"/>
  <c r="DI6" i="35"/>
  <c r="DI15" i="35" s="1"/>
  <c r="DE6" i="35"/>
  <c r="DE15" i="35" s="1"/>
  <c r="DD6" i="35"/>
  <c r="DC6" i="35"/>
  <c r="DC15" i="35" s="1"/>
  <c r="DB6" i="35"/>
  <c r="DB15" i="35" s="1"/>
  <c r="BS15" i="35"/>
  <c r="BM15" i="35"/>
  <c r="BJ6" i="35"/>
  <c r="BG6" i="35"/>
  <c r="BG15" i="35" s="1"/>
  <c r="BA6" i="35"/>
  <c r="BA15" i="35" s="1"/>
  <c r="AX6" i="35"/>
  <c r="AU6" i="35"/>
  <c r="AU15" i="35" s="1"/>
  <c r="AR6" i="35"/>
  <c r="AP15" i="35"/>
  <c r="AL15" i="35"/>
  <c r="AJ15" i="35"/>
  <c r="AI15" i="35"/>
  <c r="AF6" i="35"/>
  <c r="AD15" i="35"/>
  <c r="AC15" i="35"/>
  <c r="Z6" i="35"/>
  <c r="Z15" i="35" s="1"/>
  <c r="Y15" i="35"/>
  <c r="X15" i="35"/>
  <c r="W15" i="35"/>
  <c r="U6" i="35"/>
  <c r="T6" i="35"/>
  <c r="T15" i="35" s="1"/>
  <c r="N6" i="35"/>
  <c r="L15" i="35"/>
  <c r="K6" i="35"/>
  <c r="K15" i="35" s="1"/>
  <c r="G6" i="35"/>
  <c r="G15" i="35" s="1"/>
  <c r="F6" i="35"/>
  <c r="F15" i="35" s="1"/>
  <c r="E6" i="35"/>
  <c r="E15" i="35" s="1"/>
  <c r="D6" i="35"/>
  <c r="D15" i="35" s="1"/>
  <c r="C6" i="35"/>
  <c r="C15" i="35" s="1"/>
  <c r="FW7" i="35"/>
  <c r="FV7" i="35"/>
  <c r="FQ7" i="35"/>
  <c r="FP7" i="35"/>
  <c r="FF7" i="35"/>
  <c r="GN7" i="35" s="1"/>
  <c r="FC7" i="35"/>
  <c r="FB7" i="35"/>
  <c r="FA7" i="35"/>
  <c r="EY7" i="35"/>
  <c r="EX7" i="35"/>
  <c r="ES7" i="35"/>
  <c r="ER7" i="35"/>
  <c r="EM7" i="35"/>
  <c r="EL7" i="35"/>
  <c r="DZ7" i="35"/>
  <c r="DW7" i="35"/>
  <c r="DV7" i="35"/>
  <c r="DU7" i="35"/>
  <c r="DS7" i="35"/>
  <c r="DR7" i="35"/>
  <c r="DM7" i="35"/>
  <c r="DL7" i="35"/>
  <c r="DG7" i="35"/>
  <c r="DF7" i="35"/>
  <c r="CS7" i="35"/>
  <c r="CN7" i="35"/>
  <c r="CO7" i="35" s="1"/>
  <c r="CM7" i="35"/>
  <c r="CL7" i="35"/>
  <c r="CH7" i="35"/>
  <c r="CG7" i="35"/>
  <c r="CF7" i="35"/>
  <c r="CD7" i="35"/>
  <c r="CC7" i="35"/>
  <c r="BX7" i="35"/>
  <c r="BW7" i="35"/>
  <c r="BR7" i="35"/>
  <c r="BQ7" i="35"/>
  <c r="BL7" i="35"/>
  <c r="BK7" i="35"/>
  <c r="BF7" i="35"/>
  <c r="BE7" i="35"/>
  <c r="AZ7" i="35"/>
  <c r="AY7" i="35"/>
  <c r="AT7" i="35"/>
  <c r="AS7" i="35"/>
  <c r="AN7" i="35"/>
  <c r="AM7" i="35"/>
  <c r="AH7" i="35"/>
  <c r="AG7" i="35"/>
  <c r="AB7" i="35"/>
  <c r="AA7" i="35"/>
  <c r="V7" i="35"/>
  <c r="U7" i="35"/>
  <c r="P7" i="35"/>
  <c r="O7" i="35"/>
  <c r="J7" i="35"/>
  <c r="I7" i="35"/>
  <c r="H7" i="35"/>
  <c r="JC81" i="36" l="1"/>
  <c r="AW15" i="36"/>
  <c r="BA58" i="36"/>
  <c r="AY15" i="36"/>
  <c r="AY58" i="36"/>
  <c r="JO29" i="36"/>
  <c r="JP29" i="36" s="1"/>
  <c r="JS29" i="36"/>
  <c r="JO37" i="36"/>
  <c r="JS37" i="36"/>
  <c r="AZ15" i="36"/>
  <c r="BA15" i="36"/>
  <c r="AZ58" i="36"/>
  <c r="JK24" i="36"/>
  <c r="JK40" i="36"/>
  <c r="JS40" i="36"/>
  <c r="JO41" i="36"/>
  <c r="JP41" i="36" s="1"/>
  <c r="JS41" i="36"/>
  <c r="JT41" i="36" s="1"/>
  <c r="JK26" i="36"/>
  <c r="JS26" i="36"/>
  <c r="CT14" i="35"/>
  <c r="CX14" i="35" s="1"/>
  <c r="HR6" i="35"/>
  <c r="EP14" i="35"/>
  <c r="HQ14" i="35"/>
  <c r="HQ15" i="35" s="1"/>
  <c r="HQ6" i="35"/>
  <c r="FB5" i="35"/>
  <c r="FD5" i="35" s="1"/>
  <c r="HR5" i="35"/>
  <c r="OL10" i="36"/>
  <c r="OM10" i="36" s="1"/>
  <c r="OL43" i="36"/>
  <c r="OM43" i="36" s="1"/>
  <c r="OL33" i="36"/>
  <c r="OM33" i="36" s="1"/>
  <c r="OL64" i="36"/>
  <c r="OM64" i="36" s="1"/>
  <c r="OL53" i="36"/>
  <c r="OM53" i="36" s="1"/>
  <c r="OL38" i="36"/>
  <c r="OM38" i="36" s="1"/>
  <c r="MU56" i="36"/>
  <c r="MY56" i="36" s="1"/>
  <c r="OL56" i="36"/>
  <c r="OM56" i="36" s="1"/>
  <c r="MT60" i="36"/>
  <c r="MX60" i="36" s="1"/>
  <c r="NA60" i="36" s="1"/>
  <c r="OK60" i="36"/>
  <c r="OL27" i="36"/>
  <c r="OM27" i="36" s="1"/>
  <c r="OL28" i="36"/>
  <c r="OM28" i="36" s="1"/>
  <c r="OL40" i="36"/>
  <c r="OM40" i="36" s="1"/>
  <c r="OL32" i="36"/>
  <c r="OM32" i="36" s="1"/>
  <c r="OL37" i="36"/>
  <c r="OM37" i="36" s="1"/>
  <c r="OL45" i="36"/>
  <c r="OM45" i="36" s="1"/>
  <c r="OL49" i="36"/>
  <c r="OM49" i="36" s="1"/>
  <c r="ON57" i="36"/>
  <c r="OL74" i="36"/>
  <c r="OM74" i="36" s="1"/>
  <c r="OL68" i="36"/>
  <c r="OM68" i="36" s="1"/>
  <c r="OL62" i="36"/>
  <c r="OM62" i="36" s="1"/>
  <c r="OL77" i="36"/>
  <c r="OL8" i="36"/>
  <c r="OM8" i="36" s="1"/>
  <c r="OL9" i="36"/>
  <c r="OM9" i="36" s="1"/>
  <c r="OL52" i="36"/>
  <c r="OM52" i="36" s="1"/>
  <c r="MU54" i="36"/>
  <c r="MY54" i="36" s="1"/>
  <c r="OL54" i="36"/>
  <c r="OM54" i="36" s="1"/>
  <c r="MF78" i="36"/>
  <c r="OL78" i="36"/>
  <c r="OL20" i="36"/>
  <c r="OM20" i="36" s="1"/>
  <c r="KH58" i="36"/>
  <c r="OK58" i="36" s="1"/>
  <c r="OL31" i="36"/>
  <c r="OM31" i="36" s="1"/>
  <c r="OL11" i="36"/>
  <c r="OM11" i="36" s="1"/>
  <c r="OL26" i="36"/>
  <c r="OM26" i="36" s="1"/>
  <c r="OL29" i="36"/>
  <c r="OM29" i="36" s="1"/>
  <c r="OL25" i="36"/>
  <c r="OM25" i="36" s="1"/>
  <c r="OL41" i="36"/>
  <c r="OM41" i="36" s="1"/>
  <c r="OL39" i="36"/>
  <c r="OM39" i="36" s="1"/>
  <c r="OL36" i="36"/>
  <c r="OM36" i="36" s="1"/>
  <c r="OL46" i="36"/>
  <c r="OM46" i="36" s="1"/>
  <c r="OL51" i="36"/>
  <c r="OM51" i="36" s="1"/>
  <c r="MU57" i="36"/>
  <c r="MY57" i="36" s="1"/>
  <c r="OL57" i="36"/>
  <c r="OL69" i="36"/>
  <c r="OM69" i="36" s="1"/>
  <c r="MU55" i="36"/>
  <c r="MY55" i="36" s="1"/>
  <c r="OL55" i="36"/>
  <c r="OM55" i="36" s="1"/>
  <c r="OL6" i="36"/>
  <c r="OM6" i="36" s="1"/>
  <c r="OL7" i="36"/>
  <c r="OM7" i="36" s="1"/>
  <c r="OL42" i="36"/>
  <c r="OM42" i="36" s="1"/>
  <c r="OL30" i="36"/>
  <c r="OM30" i="36" s="1"/>
  <c r="OL44" i="36"/>
  <c r="OM44" i="36" s="1"/>
  <c r="OL47" i="36"/>
  <c r="OM47" i="36" s="1"/>
  <c r="OL48" i="36"/>
  <c r="OM48" i="36" s="1"/>
  <c r="OL50" i="36"/>
  <c r="OM50" i="36" s="1"/>
  <c r="OL63" i="36"/>
  <c r="OM63" i="36" s="1"/>
  <c r="OL76" i="36"/>
  <c r="HT104" i="36"/>
  <c r="DD15" i="36"/>
  <c r="DD98" i="36" s="1"/>
  <c r="DE98" i="36" s="1"/>
  <c r="GT15" i="36"/>
  <c r="HF58" i="36"/>
  <c r="EL58" i="36"/>
  <c r="DA15" i="36"/>
  <c r="DB15" i="36" s="1"/>
  <c r="CF58" i="36"/>
  <c r="FR58" i="36"/>
  <c r="KW80" i="36"/>
  <c r="HV105" i="36"/>
  <c r="EN58" i="36"/>
  <c r="FR99" i="36" s="1"/>
  <c r="HG58" i="36"/>
  <c r="HU104" i="36" s="1"/>
  <c r="FS99" i="36"/>
  <c r="FS97" i="36"/>
  <c r="IE61" i="36"/>
  <c r="IE74" i="36"/>
  <c r="IE68" i="36"/>
  <c r="IE62" i="36"/>
  <c r="CA15" i="36"/>
  <c r="GT58" i="36"/>
  <c r="CH58" i="36"/>
  <c r="DF99" i="36" s="1"/>
  <c r="DG99" i="36" s="1"/>
  <c r="DP98" i="36"/>
  <c r="DQ98" i="36" s="1"/>
  <c r="FS98" i="36"/>
  <c r="IE69" i="36"/>
  <c r="FP99" i="36"/>
  <c r="EK58" i="36"/>
  <c r="FR97" i="36" s="1"/>
  <c r="DP99" i="36"/>
  <c r="DQ99" i="36" s="1"/>
  <c r="IE63" i="36"/>
  <c r="IE64" i="36"/>
  <c r="IE76" i="36"/>
  <c r="DO58" i="36"/>
  <c r="IE78" i="36"/>
  <c r="IE77" i="36"/>
  <c r="CI7" i="35"/>
  <c r="CJ7" i="35"/>
  <c r="EA7" i="35"/>
  <c r="EE7" i="35" s="1"/>
  <c r="EB20" i="36"/>
  <c r="FG20" i="36"/>
  <c r="FC58" i="36"/>
  <c r="FG58" i="36" s="1"/>
  <c r="EU15" i="36"/>
  <c r="EV15" i="36" s="1"/>
  <c r="GF15" i="36"/>
  <c r="EX15" i="36"/>
  <c r="BV58" i="36"/>
  <c r="DA58" i="36"/>
  <c r="DB58" i="36" s="1"/>
  <c r="EI58" i="36"/>
  <c r="FH20" i="36"/>
  <c r="FD58" i="36"/>
  <c r="FH58" i="36" s="1"/>
  <c r="GB20" i="36"/>
  <c r="FX58" i="36"/>
  <c r="GB58" i="36" s="1"/>
  <c r="GW58" i="36"/>
  <c r="HU105" i="36" s="1"/>
  <c r="DC58" i="36"/>
  <c r="DF97" i="36" s="1"/>
  <c r="DG97" i="36" s="1"/>
  <c r="DQ58" i="36"/>
  <c r="FT20" i="36"/>
  <c r="FO58" i="36"/>
  <c r="FP58" i="36" s="1"/>
  <c r="GE58" i="36"/>
  <c r="EA20" i="36"/>
  <c r="EU58" i="36"/>
  <c r="EV58" i="36" s="1"/>
  <c r="GA20" i="36"/>
  <c r="FV58" i="36"/>
  <c r="GA58" i="36" s="1"/>
  <c r="GF58" i="36"/>
  <c r="DT5" i="36"/>
  <c r="GA5" i="36"/>
  <c r="DT20" i="36"/>
  <c r="CL15" i="36"/>
  <c r="DF15" i="36"/>
  <c r="DD99" i="36" s="1"/>
  <c r="DE99" i="36" s="1"/>
  <c r="DQ15" i="36"/>
  <c r="GR15" i="36"/>
  <c r="FR15" i="36"/>
  <c r="IE7" i="36"/>
  <c r="BZ15" i="36"/>
  <c r="HE20" i="36"/>
  <c r="HD58" i="36"/>
  <c r="HE58" i="36" s="1"/>
  <c r="CL58" i="36"/>
  <c r="DW26" i="36"/>
  <c r="EA26" i="36" s="1"/>
  <c r="CK58" i="36"/>
  <c r="DJ29" i="36"/>
  <c r="IE29" i="36" s="1"/>
  <c r="CM58" i="36"/>
  <c r="IE30" i="36"/>
  <c r="EA5" i="36"/>
  <c r="GB5" i="36"/>
  <c r="FX15" i="36"/>
  <c r="HD15" i="36"/>
  <c r="HE15" i="36" s="1"/>
  <c r="HF15" i="36"/>
  <c r="BZ58" i="36"/>
  <c r="DS5" i="36"/>
  <c r="EI15" i="36"/>
  <c r="EJ15" i="36" s="1"/>
  <c r="FO15" i="36"/>
  <c r="FP15" i="36" s="1"/>
  <c r="GE15" i="36"/>
  <c r="BS58" i="36"/>
  <c r="BT58" i="36" s="1"/>
  <c r="CR58" i="36"/>
  <c r="DS20" i="36"/>
  <c r="GS20" i="36"/>
  <c r="GR58" i="36"/>
  <c r="GS58" i="36" s="1"/>
  <c r="BL58" i="36"/>
  <c r="BY58" i="36"/>
  <c r="IE57" i="36"/>
  <c r="MX5" i="36"/>
  <c r="NA5" i="36" s="1"/>
  <c r="MX7" i="36"/>
  <c r="NA7" i="36" s="1"/>
  <c r="MX8" i="36"/>
  <c r="NA8" i="36" s="1"/>
  <c r="BG20" i="36"/>
  <c r="BG58" i="36" s="1"/>
  <c r="BF58" i="36"/>
  <c r="MX24" i="36"/>
  <c r="NA24" i="36" s="1"/>
  <c r="IE42" i="36"/>
  <c r="MX42" i="36"/>
  <c r="NA42" i="36" s="1"/>
  <c r="MX30" i="36"/>
  <c r="NA30" i="36" s="1"/>
  <c r="MX39" i="36"/>
  <c r="NA39" i="36" s="1"/>
  <c r="IE46" i="36"/>
  <c r="MX46" i="36"/>
  <c r="IE49" i="36"/>
  <c r="MX49" i="36"/>
  <c r="MX57" i="36"/>
  <c r="MX61" i="36"/>
  <c r="NA61" i="36" s="1"/>
  <c r="MX69" i="36"/>
  <c r="NA69" i="36" s="1"/>
  <c r="MX78" i="36"/>
  <c r="BT5" i="36"/>
  <c r="BS15" i="36"/>
  <c r="CM15" i="36"/>
  <c r="IE9" i="36"/>
  <c r="MX9" i="36"/>
  <c r="NA9" i="36" s="1"/>
  <c r="IE10" i="36"/>
  <c r="MX10" i="36"/>
  <c r="NA10" i="36" s="1"/>
  <c r="IE43" i="36"/>
  <c r="MX43" i="36"/>
  <c r="NA43" i="36" s="1"/>
  <c r="IE27" i="36"/>
  <c r="IE21" i="36"/>
  <c r="MX21" i="36"/>
  <c r="NA21" i="36" s="1"/>
  <c r="IE33" i="36"/>
  <c r="MX33" i="36"/>
  <c r="NA33" i="36" s="1"/>
  <c r="IE44" i="36"/>
  <c r="MX44" i="36"/>
  <c r="IE47" i="36"/>
  <c r="MX47" i="36"/>
  <c r="IE48" i="36"/>
  <c r="MX48" i="36"/>
  <c r="IE51" i="36"/>
  <c r="MX51" i="36"/>
  <c r="MX63" i="36"/>
  <c r="NA63" i="36" s="1"/>
  <c r="MX64" i="36"/>
  <c r="NA64" i="36" s="1"/>
  <c r="MX76" i="36"/>
  <c r="MX77" i="36"/>
  <c r="MX79" i="36"/>
  <c r="IE8" i="36"/>
  <c r="DI9" i="36"/>
  <c r="GJ9" i="36" s="1"/>
  <c r="CK15" i="36"/>
  <c r="BT20" i="36"/>
  <c r="BM58" i="36"/>
  <c r="MX27" i="36"/>
  <c r="NA27" i="36" s="1"/>
  <c r="IE28" i="36"/>
  <c r="MX28" i="36"/>
  <c r="NA28" i="36" s="1"/>
  <c r="IE11" i="36"/>
  <c r="IE26" i="36"/>
  <c r="IE40" i="36"/>
  <c r="MX40" i="36"/>
  <c r="NA40" i="36" s="1"/>
  <c r="IE32" i="36"/>
  <c r="MX32" i="36"/>
  <c r="NA32" i="36" s="1"/>
  <c r="MX38" i="36"/>
  <c r="NA38" i="36" s="1"/>
  <c r="IE50" i="36"/>
  <c r="MX50" i="36"/>
  <c r="MX62" i="36"/>
  <c r="NA62" i="36" s="1"/>
  <c r="MY79" i="36"/>
  <c r="BV15" i="36"/>
  <c r="BM6" i="36"/>
  <c r="BM15" i="36" s="1"/>
  <c r="BL15" i="36"/>
  <c r="MX6" i="36"/>
  <c r="NA6" i="36" s="1"/>
  <c r="IE20" i="36"/>
  <c r="MX20" i="36"/>
  <c r="NA20" i="36" s="1"/>
  <c r="IE24" i="36"/>
  <c r="IE31" i="36"/>
  <c r="MX31" i="36"/>
  <c r="NA31" i="36" s="1"/>
  <c r="MX11" i="36"/>
  <c r="NA11" i="36" s="1"/>
  <c r="MX26" i="36"/>
  <c r="NA26" i="36" s="1"/>
  <c r="MX29" i="36"/>
  <c r="NA29" i="36" s="1"/>
  <c r="IE25" i="36"/>
  <c r="MX25" i="36"/>
  <c r="NA25" i="36" s="1"/>
  <c r="IE41" i="36"/>
  <c r="MX41" i="36"/>
  <c r="NA41" i="36" s="1"/>
  <c r="IE37" i="36"/>
  <c r="MX37" i="36"/>
  <c r="NA37" i="36" s="1"/>
  <c r="MX36" i="36"/>
  <c r="IE45" i="36"/>
  <c r="MX45" i="36"/>
  <c r="MX52" i="36"/>
  <c r="IE53" i="36"/>
  <c r="MX53" i="36"/>
  <c r="MX54" i="36"/>
  <c r="MX55" i="36"/>
  <c r="MX56" i="36"/>
  <c r="IE60" i="36"/>
  <c r="MX74" i="36"/>
  <c r="NA74" i="36" s="1"/>
  <c r="MX68" i="36"/>
  <c r="NA68" i="36" s="1"/>
  <c r="AA15" i="35"/>
  <c r="V15" i="35"/>
  <c r="GQ7" i="35"/>
  <c r="GM7" i="35"/>
  <c r="GK5" i="35"/>
  <c r="FI11" i="35"/>
  <c r="GN11" i="35"/>
  <c r="GL12" i="35"/>
  <c r="GQ5" i="35"/>
  <c r="GM5" i="35"/>
  <c r="FI9" i="35"/>
  <c r="GN9" i="35"/>
  <c r="GK13" i="35"/>
  <c r="GK7" i="35"/>
  <c r="ER6" i="35"/>
  <c r="FI5" i="35"/>
  <c r="GN5" i="35"/>
  <c r="GL11" i="35"/>
  <c r="FI12" i="35"/>
  <c r="GN12" i="35"/>
  <c r="GL13" i="35"/>
  <c r="GM14" i="35"/>
  <c r="GQ14" i="35"/>
  <c r="GK11" i="35"/>
  <c r="GL7" i="35"/>
  <c r="GQ11" i="35"/>
  <c r="GM11" i="35"/>
  <c r="FG12" i="35"/>
  <c r="FJ12" i="35" s="1"/>
  <c r="GK12" i="35"/>
  <c r="GM13" i="35"/>
  <c r="GQ13" i="35"/>
  <c r="U15" i="35"/>
  <c r="GJ32" i="36"/>
  <c r="GK44" i="36"/>
  <c r="GJ50" i="36"/>
  <c r="GK26" i="36"/>
  <c r="GK77" i="36"/>
  <c r="HQ10" i="36"/>
  <c r="HV33" i="36"/>
  <c r="HW33" i="36" s="1"/>
  <c r="HQ25" i="36"/>
  <c r="HQ62" i="36"/>
  <c r="HV77" i="36"/>
  <c r="IB77" i="36" s="1"/>
  <c r="HV7" i="36"/>
  <c r="IB7" i="36" s="1"/>
  <c r="HV46" i="36"/>
  <c r="IB46" i="36" s="1"/>
  <c r="HV76" i="36"/>
  <c r="HW76" i="36" s="1"/>
  <c r="HV45" i="36"/>
  <c r="IB45" i="36" s="1"/>
  <c r="HV48" i="36"/>
  <c r="IB48" i="36" s="1"/>
  <c r="HV49" i="36"/>
  <c r="HV50" i="36"/>
  <c r="HV74" i="36"/>
  <c r="HW74" i="36" s="1"/>
  <c r="HQ64" i="36"/>
  <c r="MU69" i="36"/>
  <c r="MV69" i="36" s="1"/>
  <c r="HQ9" i="36"/>
  <c r="HV47" i="36"/>
  <c r="IB47" i="36" s="1"/>
  <c r="HV68" i="36"/>
  <c r="HW68" i="36" s="1"/>
  <c r="GL9" i="35"/>
  <c r="BT15" i="35"/>
  <c r="IU58" i="36"/>
  <c r="MD58" i="36"/>
  <c r="MU49" i="36"/>
  <c r="MU50" i="36"/>
  <c r="IQ58" i="36"/>
  <c r="IQ81" i="36" s="1"/>
  <c r="MU26" i="36"/>
  <c r="MV26" i="36" s="1"/>
  <c r="MU32" i="36"/>
  <c r="MV32" i="36" s="1"/>
  <c r="MU47" i="36"/>
  <c r="IV80" i="36"/>
  <c r="MU63" i="36"/>
  <c r="MV63" i="36" s="1"/>
  <c r="MU64" i="36"/>
  <c r="MF105" i="36"/>
  <c r="KJ15" i="36"/>
  <c r="KK15" i="36" s="1"/>
  <c r="MU20" i="36"/>
  <c r="MV20" i="36" s="1"/>
  <c r="MU43" i="36"/>
  <c r="MV43" i="36" s="1"/>
  <c r="MU28" i="36"/>
  <c r="MD93" i="36"/>
  <c r="ME93" i="36" s="1"/>
  <c r="ME94" i="36" s="1"/>
  <c r="LS105" i="36"/>
  <c r="LU105" i="36" s="1"/>
  <c r="LS95" i="36" s="1"/>
  <c r="LS93" i="36" s="1"/>
  <c r="MU38" i="36"/>
  <c r="MF46" i="36"/>
  <c r="MU46" i="36"/>
  <c r="MU51" i="36"/>
  <c r="LH54" i="36"/>
  <c r="LH55" i="36"/>
  <c r="LH56" i="36"/>
  <c r="MF76" i="36"/>
  <c r="MU76" i="36"/>
  <c r="MB42" i="36"/>
  <c r="MU42" i="36"/>
  <c r="MB21" i="36"/>
  <c r="MU21" i="36"/>
  <c r="MU5" i="36"/>
  <c r="MF31" i="36"/>
  <c r="MU31" i="36"/>
  <c r="MB29" i="36"/>
  <c r="MU29" i="36"/>
  <c r="MU30" i="36"/>
  <c r="MF37" i="36"/>
  <c r="MU37" i="36"/>
  <c r="LG38" i="36"/>
  <c r="MF44" i="36"/>
  <c r="MU44" i="36"/>
  <c r="MF45" i="36"/>
  <c r="MU45" i="36"/>
  <c r="MF48" i="36"/>
  <c r="MU48" i="36"/>
  <c r="MB60" i="36"/>
  <c r="MB61" i="36"/>
  <c r="MB74" i="36"/>
  <c r="MU74" i="36"/>
  <c r="MF7" i="36"/>
  <c r="MU7" i="36"/>
  <c r="MF10" i="36"/>
  <c r="MU10" i="36"/>
  <c r="MB24" i="36"/>
  <c r="MU24" i="36"/>
  <c r="MB41" i="36"/>
  <c r="MU41" i="36"/>
  <c r="MB6" i="36"/>
  <c r="MU6" i="36"/>
  <c r="MF8" i="36"/>
  <c r="MU8" i="36"/>
  <c r="MU27" i="36"/>
  <c r="MF11" i="36"/>
  <c r="MU11" i="36"/>
  <c r="MU33" i="36"/>
  <c r="MU25" i="36"/>
  <c r="MU39" i="36"/>
  <c r="LG36" i="36"/>
  <c r="MU36" i="36"/>
  <c r="MU52" i="36"/>
  <c r="MU53" i="36"/>
  <c r="MU62" i="36"/>
  <c r="JO94" i="36"/>
  <c r="MB9" i="36"/>
  <c r="MU9" i="36"/>
  <c r="MB40" i="36"/>
  <c r="MU40" i="36"/>
  <c r="LH36" i="36"/>
  <c r="LG54" i="36"/>
  <c r="LG55" i="36"/>
  <c r="LG56" i="36"/>
  <c r="LP61" i="36"/>
  <c r="MU61" i="36" s="1"/>
  <c r="MB68" i="36"/>
  <c r="MU68" i="36"/>
  <c r="BI15" i="35"/>
  <c r="BU15" i="35"/>
  <c r="DX11" i="35"/>
  <c r="DX13" i="35"/>
  <c r="FG5" i="35"/>
  <c r="FJ5" i="35" s="1"/>
  <c r="CI14" i="35"/>
  <c r="BL6" i="35"/>
  <c r="CJ14" i="35"/>
  <c r="EA14" i="35"/>
  <c r="EE14" i="35" s="1"/>
  <c r="FH13" i="35"/>
  <c r="FK13" i="35" s="1"/>
  <c r="FW6" i="35"/>
  <c r="GE6" i="35"/>
  <c r="EC9" i="35"/>
  <c r="EG9" i="35" s="1"/>
  <c r="FT15" i="35"/>
  <c r="GF6" i="35"/>
  <c r="AK15" i="35"/>
  <c r="AM15" i="35" s="1"/>
  <c r="CJ5" i="35"/>
  <c r="CI9" i="35"/>
  <c r="FH11" i="35"/>
  <c r="FK11" i="35" s="1"/>
  <c r="EA13" i="35"/>
  <c r="AV15" i="35"/>
  <c r="BB15" i="35"/>
  <c r="BN15" i="35"/>
  <c r="J6" i="35"/>
  <c r="CQ5" i="35"/>
  <c r="EC5" i="35"/>
  <c r="EG5" i="35" s="1"/>
  <c r="H15" i="35"/>
  <c r="BF12" i="35"/>
  <c r="I15" i="35"/>
  <c r="BR6" i="35"/>
  <c r="ES9" i="35"/>
  <c r="CL12" i="35"/>
  <c r="FD13" i="35"/>
  <c r="DL6" i="35"/>
  <c r="J15" i="35"/>
  <c r="DH15" i="35"/>
  <c r="FQ15" i="35"/>
  <c r="DY5" i="35"/>
  <c r="EA9" i="35"/>
  <c r="EE9" i="35" s="1"/>
  <c r="EB11" i="35"/>
  <c r="EF11" i="35" s="1"/>
  <c r="FD11" i="35"/>
  <c r="EB13" i="35"/>
  <c r="EL15" i="35"/>
  <c r="HM80" i="36"/>
  <c r="BZ80" i="36"/>
  <c r="JA15" i="36"/>
  <c r="JM58" i="36"/>
  <c r="KA58" i="36"/>
  <c r="IM15" i="36"/>
  <c r="HV20" i="36"/>
  <c r="MB20" i="36"/>
  <c r="MA58" i="36"/>
  <c r="HY15" i="36"/>
  <c r="JO5" i="36"/>
  <c r="JJ15" i="36"/>
  <c r="JK15" i="36" s="1"/>
  <c r="KU15" i="36"/>
  <c r="KV15" i="36" s="1"/>
  <c r="MF5" i="36"/>
  <c r="MA15" i="36"/>
  <c r="HY58" i="36"/>
  <c r="KL58" i="36"/>
  <c r="JB58" i="36"/>
  <c r="MC58" i="36"/>
  <c r="JO20" i="36"/>
  <c r="KZ20" i="36"/>
  <c r="HP21" i="36"/>
  <c r="HM58" i="36"/>
  <c r="IY21" i="36"/>
  <c r="JD21" i="36" s="1"/>
  <c r="JE21" i="36" s="1"/>
  <c r="IV58" i="36"/>
  <c r="JR15" i="36"/>
  <c r="LC15" i="36"/>
  <c r="HR15" i="36"/>
  <c r="JL15" i="36"/>
  <c r="IO20" i="36"/>
  <c r="KD20" i="36"/>
  <c r="LI20" i="36"/>
  <c r="LF58" i="36"/>
  <c r="LI58" i="36" s="1"/>
  <c r="JA58" i="36"/>
  <c r="IN21" i="36"/>
  <c r="IS21" i="36" s="1"/>
  <c r="IT21" i="36" s="1"/>
  <c r="IK58" i="36"/>
  <c r="MC80" i="36"/>
  <c r="KO62" i="36"/>
  <c r="KP62" i="36" s="1"/>
  <c r="LU5" i="36"/>
  <c r="LP15" i="36"/>
  <c r="LQ15" i="36" s="1"/>
  <c r="IY15" i="36"/>
  <c r="IZ15" i="36" s="1"/>
  <c r="JY15" i="36"/>
  <c r="JZ15" i="36" s="1"/>
  <c r="IZ20" i="36"/>
  <c r="KO20" i="36"/>
  <c r="LQ20" i="36"/>
  <c r="LP58" i="36"/>
  <c r="LQ58" i="36" s="1"/>
  <c r="IP58" i="36"/>
  <c r="JL58" i="36"/>
  <c r="MB37" i="36"/>
  <c r="DY45" i="36"/>
  <c r="EC45" i="36" s="1"/>
  <c r="GK48" i="36"/>
  <c r="DW80" i="36"/>
  <c r="EA80" i="36" s="1"/>
  <c r="GK10" i="36"/>
  <c r="GJ28" i="36"/>
  <c r="BB40" i="36"/>
  <c r="BB25" i="36"/>
  <c r="J58" i="36"/>
  <c r="O58" i="36"/>
  <c r="T58" i="36"/>
  <c r="AL78" i="36"/>
  <c r="LG64" i="36"/>
  <c r="LJ64" i="36" s="1"/>
  <c r="GJ5" i="36"/>
  <c r="DC80" i="36"/>
  <c r="DP97" i="36" s="1"/>
  <c r="DQ97" i="36" s="1"/>
  <c r="DO80" i="36"/>
  <c r="DS80" i="36" s="1"/>
  <c r="FX80" i="36"/>
  <c r="GB80" i="36" s="1"/>
  <c r="GK25" i="36"/>
  <c r="BB52" i="36"/>
  <c r="DQ80" i="36"/>
  <c r="LS80" i="36"/>
  <c r="EJ62" i="36"/>
  <c r="JD24" i="36"/>
  <c r="JE24" i="36" s="1"/>
  <c r="KV30" i="36"/>
  <c r="LU64" i="36"/>
  <c r="LV64" i="36" s="1"/>
  <c r="GG5" i="36"/>
  <c r="BB9" i="36"/>
  <c r="AW58" i="36"/>
  <c r="KJ80" i="36"/>
  <c r="KK80" i="36" s="1"/>
  <c r="JK42" i="36"/>
  <c r="FY32" i="36"/>
  <c r="HZ57" i="36"/>
  <c r="IF57" i="36" s="1"/>
  <c r="AY80" i="36"/>
  <c r="BS80" i="36"/>
  <c r="BT80" i="36" s="1"/>
  <c r="GF80" i="36"/>
  <c r="IK80" i="36"/>
  <c r="JV80" i="36"/>
  <c r="LM80" i="36"/>
  <c r="EO6" i="36"/>
  <c r="EP6" i="36" s="1"/>
  <c r="KO24" i="36"/>
  <c r="KP24" i="36" s="1"/>
  <c r="GK21" i="36"/>
  <c r="DU47" i="36"/>
  <c r="BV80" i="36"/>
  <c r="HS80" i="36"/>
  <c r="KM80" i="36"/>
  <c r="LU10" i="36"/>
  <c r="LV10" i="36" s="1"/>
  <c r="KV20" i="36"/>
  <c r="MF40" i="36"/>
  <c r="JZ63" i="36"/>
  <c r="KV68" i="36"/>
  <c r="CP62" i="36"/>
  <c r="EJ77" i="36"/>
  <c r="BB5" i="36"/>
  <c r="JO7" i="36"/>
  <c r="JP7" i="36" s="1"/>
  <c r="LU7" i="36"/>
  <c r="LV7" i="36" s="1"/>
  <c r="AK8" i="36"/>
  <c r="FE8" i="36" s="1"/>
  <c r="FI8" i="36" s="1"/>
  <c r="GI9" i="36"/>
  <c r="IS40" i="36"/>
  <c r="IT40" i="36" s="1"/>
  <c r="DJ5" i="36"/>
  <c r="AL7" i="36"/>
  <c r="BB7" i="36"/>
  <c r="AK24" i="36"/>
  <c r="FE24" i="36" s="1"/>
  <c r="BB24" i="36"/>
  <c r="LU24" i="36"/>
  <c r="LV24" i="36" s="1"/>
  <c r="HE31" i="36"/>
  <c r="BB45" i="36"/>
  <c r="KO74" i="36"/>
  <c r="KP74" i="36" s="1"/>
  <c r="GI68" i="36"/>
  <c r="MB7" i="36"/>
  <c r="JO8" i="36"/>
  <c r="JP8" i="36" s="1"/>
  <c r="HZ31" i="36"/>
  <c r="DY48" i="36"/>
  <c r="BW51" i="36"/>
  <c r="BX51" i="36" s="1"/>
  <c r="GK61" i="36"/>
  <c r="KU58" i="36"/>
  <c r="KV58" i="36" s="1"/>
  <c r="FG24" i="36"/>
  <c r="KV24" i="36"/>
  <c r="FP31" i="36"/>
  <c r="GX31" i="36"/>
  <c r="GY31" i="36" s="1"/>
  <c r="HV31" i="36"/>
  <c r="HW31" i="36" s="1"/>
  <c r="IO31" i="36"/>
  <c r="MB31" i="36"/>
  <c r="GJ43" i="36"/>
  <c r="KZ21" i="36"/>
  <c r="LA21" i="36" s="1"/>
  <c r="FP44" i="36"/>
  <c r="BW69" i="36"/>
  <c r="BX69" i="36" s="1"/>
  <c r="BB77" i="36"/>
  <c r="IZ10" i="36"/>
  <c r="AQ20" i="36"/>
  <c r="DK61" i="36"/>
  <c r="DL61" i="36" s="1"/>
  <c r="GS61" i="36"/>
  <c r="JZ74" i="36"/>
  <c r="LD74" i="36"/>
  <c r="GJ68" i="36"/>
  <c r="HJ64" i="36"/>
  <c r="HK64" i="36" s="1"/>
  <c r="KZ62" i="36"/>
  <c r="LA62" i="36" s="1"/>
  <c r="DK78" i="36"/>
  <c r="DL78" i="36" s="1"/>
  <c r="AK6" i="36"/>
  <c r="DU6" i="36" s="1"/>
  <c r="MF9" i="36"/>
  <c r="HJ11" i="36"/>
  <c r="HK11" i="36" s="1"/>
  <c r="KO41" i="36"/>
  <c r="KP41" i="36" s="1"/>
  <c r="AQ37" i="36"/>
  <c r="FF37" i="36" s="1"/>
  <c r="FJ37" i="36" s="1"/>
  <c r="CU37" i="36"/>
  <c r="CV37" i="36" s="1"/>
  <c r="LU38" i="36"/>
  <c r="FY62" i="36"/>
  <c r="GG7" i="36"/>
  <c r="GH7" i="36" s="1"/>
  <c r="LG20" i="36"/>
  <c r="FT11" i="36"/>
  <c r="FU11" i="36" s="1"/>
  <c r="LQ40" i="36"/>
  <c r="BB37" i="36"/>
  <c r="HV37" i="36"/>
  <c r="IB37" i="36" s="1"/>
  <c r="EO44" i="36"/>
  <c r="EP44" i="36" s="1"/>
  <c r="EO45" i="36"/>
  <c r="EP45" i="36" s="1"/>
  <c r="BW50" i="36"/>
  <c r="BX50" i="36" s="1"/>
  <c r="HZ51" i="36"/>
  <c r="CI61" i="36"/>
  <c r="CJ61" i="36" s="1"/>
  <c r="GK74" i="36"/>
  <c r="HQ68" i="36"/>
  <c r="FE62" i="36"/>
  <c r="LD78" i="36"/>
  <c r="IS42" i="36"/>
  <c r="IT42" i="36" s="1"/>
  <c r="IO42" i="36"/>
  <c r="GK7" i="36"/>
  <c r="JD7" i="36"/>
  <c r="JE7" i="36" s="1"/>
  <c r="HZ43" i="36"/>
  <c r="GK40" i="36"/>
  <c r="LG40" i="36"/>
  <c r="LJ40" i="36" s="1"/>
  <c r="AQ21" i="36"/>
  <c r="AR21" i="36" s="1"/>
  <c r="BB21" i="36"/>
  <c r="CU21" i="36"/>
  <c r="CV21" i="36" s="1"/>
  <c r="AL33" i="36"/>
  <c r="CU33" i="36"/>
  <c r="CV33" i="36" s="1"/>
  <c r="IO44" i="36"/>
  <c r="DB45" i="36"/>
  <c r="FP45" i="36"/>
  <c r="LG47" i="36"/>
  <c r="GK63" i="36"/>
  <c r="LG61" i="36"/>
  <c r="LJ61" i="36" s="1"/>
  <c r="GS76" i="36"/>
  <c r="AW77" i="36"/>
  <c r="FY78" i="36"/>
  <c r="GC78" i="36" s="1"/>
  <c r="GJ78" i="36"/>
  <c r="MB8" i="36"/>
  <c r="CC10" i="36"/>
  <c r="DK10" i="36" s="1"/>
  <c r="IO10" i="36"/>
  <c r="IS20" i="36"/>
  <c r="FH24" i="36"/>
  <c r="LU31" i="36"/>
  <c r="LV31" i="36" s="1"/>
  <c r="AL43" i="36"/>
  <c r="KZ11" i="36"/>
  <c r="LA11" i="36" s="1"/>
  <c r="BW26" i="36"/>
  <c r="BX26" i="36" s="1"/>
  <c r="JT29" i="36"/>
  <c r="GS42" i="36"/>
  <c r="KV42" i="36"/>
  <c r="IZ40" i="36"/>
  <c r="LD21" i="36"/>
  <c r="DY44" i="36"/>
  <c r="EC44" i="36" s="1"/>
  <c r="JS44" i="36"/>
  <c r="JT44" i="36" s="1"/>
  <c r="HZ45" i="36"/>
  <c r="HJ60" i="36"/>
  <c r="HK60" i="36" s="1"/>
  <c r="KO63" i="36"/>
  <c r="KP63" i="36" s="1"/>
  <c r="FP61" i="36"/>
  <c r="AQ74" i="36"/>
  <c r="AR74" i="36" s="1"/>
  <c r="KV74" i="36"/>
  <c r="EV68" i="36"/>
  <c r="FP68" i="36"/>
  <c r="GS68" i="36"/>
  <c r="IS68" i="36"/>
  <c r="IT68" i="36" s="1"/>
  <c r="LD68" i="36"/>
  <c r="LE68" i="36" s="1"/>
  <c r="AV62" i="36"/>
  <c r="BA62" i="36" s="1"/>
  <c r="DK62" i="36"/>
  <c r="DL62" i="36" s="1"/>
  <c r="HV62" i="36"/>
  <c r="IB62" i="36" s="1"/>
  <c r="IZ62" i="36"/>
  <c r="AK69" i="36"/>
  <c r="FY69" i="36" s="1"/>
  <c r="GC69" i="36" s="1"/>
  <c r="BT69" i="36"/>
  <c r="LD76" i="36"/>
  <c r="CP7" i="36"/>
  <c r="FY7" i="36"/>
  <c r="GC7" i="36" s="1"/>
  <c r="HE9" i="36"/>
  <c r="IS9" i="36"/>
  <c r="IT9" i="36" s="1"/>
  <c r="MB10" i="36"/>
  <c r="GG20" i="36"/>
  <c r="DU43" i="36"/>
  <c r="FF43" i="36"/>
  <c r="FJ43" i="36" s="1"/>
  <c r="GS43" i="36"/>
  <c r="GX11" i="36"/>
  <c r="GY11" i="36" s="1"/>
  <c r="JD11" i="36"/>
  <c r="JE11" i="36" s="1"/>
  <c r="MB11" i="36"/>
  <c r="LD26" i="36"/>
  <c r="EO29" i="36"/>
  <c r="EP29" i="36" s="1"/>
  <c r="IZ29" i="36"/>
  <c r="KZ29" i="36"/>
  <c r="LA29" i="36" s="1"/>
  <c r="LQ29" i="36"/>
  <c r="AK42" i="36"/>
  <c r="FE42" i="36" s="1"/>
  <c r="FI42" i="36" s="1"/>
  <c r="BB42" i="36"/>
  <c r="DY42" i="36"/>
  <c r="EC42" i="36" s="1"/>
  <c r="EV42" i="36"/>
  <c r="JZ42" i="36"/>
  <c r="LQ42" i="36"/>
  <c r="AL40" i="36"/>
  <c r="HE21" i="36"/>
  <c r="GJ33" i="36"/>
  <c r="LG32" i="36"/>
  <c r="LJ32" i="36" s="1"/>
  <c r="LD39" i="36"/>
  <c r="LE39" i="36" s="1"/>
  <c r="DR46" i="36"/>
  <c r="GK47" i="36"/>
  <c r="DK74" i="36"/>
  <c r="DL74" i="36" s="1"/>
  <c r="KZ74" i="36"/>
  <c r="LA74" i="36" s="1"/>
  <c r="KD101" i="36"/>
  <c r="MF101" i="36"/>
  <c r="DK7" i="36"/>
  <c r="DL7" i="36" s="1"/>
  <c r="LG7" i="36"/>
  <c r="LJ7" i="36" s="1"/>
  <c r="LU8" i="36"/>
  <c r="LV8" i="36" s="1"/>
  <c r="EV9" i="36"/>
  <c r="DY10" i="36"/>
  <c r="EC10" i="36" s="1"/>
  <c r="CU20" i="36"/>
  <c r="HE26" i="36"/>
  <c r="EJ29" i="36"/>
  <c r="KD29" i="36"/>
  <c r="KE29" i="36" s="1"/>
  <c r="LG29" i="36"/>
  <c r="LJ29" i="36" s="1"/>
  <c r="DB42" i="36"/>
  <c r="GK42" i="36"/>
  <c r="DU40" i="36"/>
  <c r="FT21" i="36"/>
  <c r="FU21" i="36" s="1"/>
  <c r="DU33" i="36"/>
  <c r="GK45" i="36"/>
  <c r="GG49" i="36"/>
  <c r="FY49" i="36"/>
  <c r="GC49" i="36" s="1"/>
  <c r="GJ49" i="36"/>
  <c r="CC60" i="36"/>
  <c r="CD60" i="36" s="1"/>
  <c r="CP68" i="36"/>
  <c r="JZ68" i="36"/>
  <c r="BW64" i="36"/>
  <c r="BX64" i="36" s="1"/>
  <c r="GK64" i="36"/>
  <c r="GJ62" i="36"/>
  <c r="FA62" i="36"/>
  <c r="FB62" i="36" s="1"/>
  <c r="HE62" i="36"/>
  <c r="JO62" i="36"/>
  <c r="JP62" i="36" s="1"/>
  <c r="MF62" i="36"/>
  <c r="GK69" i="36"/>
  <c r="LG76" i="36"/>
  <c r="DX5" i="36"/>
  <c r="CO5" i="36"/>
  <c r="CU9" i="36"/>
  <c r="CV9" i="36" s="1"/>
  <c r="CP9" i="36"/>
  <c r="CU26" i="36"/>
  <c r="CV26" i="36" s="1"/>
  <c r="CP26" i="36"/>
  <c r="DO6" i="36"/>
  <c r="DS6" i="36" s="1"/>
  <c r="FV6" i="36"/>
  <c r="GA6" i="36" s="1"/>
  <c r="IS6" i="36"/>
  <c r="IT6" i="36" s="1"/>
  <c r="IO6" i="36"/>
  <c r="IS26" i="36"/>
  <c r="IT26" i="36" s="1"/>
  <c r="IO26" i="36"/>
  <c r="FT6" i="36"/>
  <c r="FU6" i="36" s="1"/>
  <c r="FP6" i="36"/>
  <c r="DP6" i="36"/>
  <c r="DT6" i="36" s="1"/>
  <c r="FE7" i="36"/>
  <c r="FI7" i="36" s="1"/>
  <c r="GS7" i="36"/>
  <c r="HQ7" i="36"/>
  <c r="IO7" i="36"/>
  <c r="JZ7" i="36"/>
  <c r="KK7" i="36"/>
  <c r="KV7" i="36"/>
  <c r="DB8" i="36"/>
  <c r="DG8" i="36"/>
  <c r="DH8" i="36" s="1"/>
  <c r="EV8" i="36"/>
  <c r="FW8" i="36"/>
  <c r="HJ8" i="36"/>
  <c r="HK8" i="36" s="1"/>
  <c r="IO8" i="36"/>
  <c r="JK8" i="36"/>
  <c r="AK9" i="36"/>
  <c r="DU9" i="36" s="1"/>
  <c r="FW9" i="36"/>
  <c r="LU9" i="36"/>
  <c r="LV9" i="36" s="1"/>
  <c r="DB10" i="36"/>
  <c r="EV10" i="36"/>
  <c r="HE10" i="36"/>
  <c r="JK10" i="36"/>
  <c r="JS10" i="36"/>
  <c r="JT10" i="36" s="1"/>
  <c r="KO10" i="36"/>
  <c r="KP10" i="36" s="1"/>
  <c r="GK20" i="36"/>
  <c r="GX20" i="36"/>
  <c r="HQ20" i="36"/>
  <c r="KD24" i="36"/>
  <c r="KE24" i="36" s="1"/>
  <c r="LG24" i="36"/>
  <c r="LJ24" i="36" s="1"/>
  <c r="EJ31" i="36"/>
  <c r="CD43" i="36"/>
  <c r="LG43" i="36"/>
  <c r="LJ43" i="36" s="1"/>
  <c r="IZ27" i="36"/>
  <c r="JZ27" i="36"/>
  <c r="KV27" i="36"/>
  <c r="BW28" i="36"/>
  <c r="BX28" i="36" s="1"/>
  <c r="CD28" i="36"/>
  <c r="DB28" i="36"/>
  <c r="IZ28" i="36"/>
  <c r="JZ28" i="36"/>
  <c r="KV28" i="36"/>
  <c r="EV11" i="36"/>
  <c r="IO11" i="36"/>
  <c r="LQ11" i="36"/>
  <c r="JO26" i="36"/>
  <c r="JP26" i="36" s="1"/>
  <c r="JS7" i="36"/>
  <c r="JT7" i="36" s="1"/>
  <c r="LG9" i="36"/>
  <c r="LJ9" i="36" s="1"/>
  <c r="DP10" i="36"/>
  <c r="DT10" i="36" s="1"/>
  <c r="GK31" i="36"/>
  <c r="FE43" i="36"/>
  <c r="FI43" i="36" s="1"/>
  <c r="DK28" i="36"/>
  <c r="DL28" i="36" s="1"/>
  <c r="LG5" i="36"/>
  <c r="LJ5" i="36" s="1"/>
  <c r="BB6" i="36"/>
  <c r="GJ6" i="36"/>
  <c r="GX6" i="36"/>
  <c r="GY6" i="36" s="1"/>
  <c r="HJ6" i="36"/>
  <c r="HK6" i="36" s="1"/>
  <c r="KZ6" i="36"/>
  <c r="LA6" i="36" s="1"/>
  <c r="HE7" i="36"/>
  <c r="HZ7" i="36"/>
  <c r="BB8" i="36"/>
  <c r="CC8" i="36"/>
  <c r="CI8" i="36" s="1"/>
  <c r="CP8" i="36"/>
  <c r="EJ8" i="36"/>
  <c r="FA8" i="36"/>
  <c r="FB8" i="36" s="1"/>
  <c r="IZ8" i="36"/>
  <c r="FP9" i="36"/>
  <c r="CP10" i="36"/>
  <c r="KD10" i="36"/>
  <c r="KE10" i="36" s="1"/>
  <c r="FP20" i="36"/>
  <c r="GJ20" i="36"/>
  <c r="DP24" i="36"/>
  <c r="EB24" i="36"/>
  <c r="JO24" i="36"/>
  <c r="JP24" i="36" s="1"/>
  <c r="AL31" i="36"/>
  <c r="BB31" i="36"/>
  <c r="BB43" i="36"/>
  <c r="CO43" i="36"/>
  <c r="DK43" i="36" s="1"/>
  <c r="EV43" i="36"/>
  <c r="HQ43" i="36"/>
  <c r="KK43" i="36"/>
  <c r="CP28" i="36"/>
  <c r="DY28" i="36"/>
  <c r="EC28" i="36" s="1"/>
  <c r="LQ28" i="36"/>
  <c r="CI29" i="36"/>
  <c r="CJ29" i="36" s="1"/>
  <c r="LD7" i="36"/>
  <c r="BW8" i="36"/>
  <c r="BX8" i="36" s="1"/>
  <c r="LG8" i="36"/>
  <c r="LJ8" i="36" s="1"/>
  <c r="LG10" i="36"/>
  <c r="LJ10" i="36" s="1"/>
  <c r="DU20" i="36"/>
  <c r="CI24" i="36"/>
  <c r="CJ24" i="36" s="1"/>
  <c r="LG31" i="36"/>
  <c r="LJ31" i="36" s="1"/>
  <c r="GS26" i="36"/>
  <c r="GX26" i="36"/>
  <c r="GY26" i="36" s="1"/>
  <c r="AQ29" i="36"/>
  <c r="AR29" i="36" s="1"/>
  <c r="CO29" i="36"/>
  <c r="DY29" i="36" s="1"/>
  <c r="EC29" i="36" s="1"/>
  <c r="IO29" i="36"/>
  <c r="JK29" i="36"/>
  <c r="HJ42" i="36"/>
  <c r="HK42" i="36" s="1"/>
  <c r="IZ42" i="36"/>
  <c r="JS42" i="36"/>
  <c r="JT42" i="36" s="1"/>
  <c r="LG42" i="36"/>
  <c r="LJ42" i="36" s="1"/>
  <c r="GJ40" i="36"/>
  <c r="KZ40" i="36"/>
  <c r="LA40" i="36" s="1"/>
  <c r="BB33" i="36"/>
  <c r="FT33" i="36"/>
  <c r="FZ33" i="36" s="1"/>
  <c r="GD33" i="36" s="1"/>
  <c r="FY33" i="36"/>
  <c r="GC33" i="36" s="1"/>
  <c r="KK33" i="36"/>
  <c r="LD33" i="36"/>
  <c r="LG25" i="36"/>
  <c r="LJ25" i="36" s="1"/>
  <c r="DK32" i="36"/>
  <c r="FA32" i="36"/>
  <c r="FB32" i="36" s="1"/>
  <c r="GX32" i="36"/>
  <c r="GY32" i="36" s="1"/>
  <c r="KV32" i="36"/>
  <c r="IO41" i="36"/>
  <c r="KZ41" i="36"/>
  <c r="LA41" i="36" s="1"/>
  <c r="DY37" i="36"/>
  <c r="EC37" i="36" s="1"/>
  <c r="LG37" i="36"/>
  <c r="LU37" i="36"/>
  <c r="LV37" i="36" s="1"/>
  <c r="KK38" i="36"/>
  <c r="LG39" i="36"/>
  <c r="MF39" i="36"/>
  <c r="MF36" i="36"/>
  <c r="ON36" i="36" s="1"/>
  <c r="BB44" i="36"/>
  <c r="FA44" i="36"/>
  <c r="FB44" i="36" s="1"/>
  <c r="GG45" i="36"/>
  <c r="GH45" i="36" s="1"/>
  <c r="EV45" i="36"/>
  <c r="BW46" i="36"/>
  <c r="BW47" i="36"/>
  <c r="DU49" i="36"/>
  <c r="BB50" i="36"/>
  <c r="LG50" i="36"/>
  <c r="MF50" i="36"/>
  <c r="HJ51" i="36"/>
  <c r="LG52" i="36"/>
  <c r="MF54" i="36"/>
  <c r="HE60" i="36"/>
  <c r="LD63" i="36"/>
  <c r="GJ61" i="36"/>
  <c r="EJ74" i="36"/>
  <c r="BW68" i="36"/>
  <c r="BX68" i="36" s="1"/>
  <c r="BT68" i="36"/>
  <c r="DZ68" i="36"/>
  <c r="ED68" i="36" s="1"/>
  <c r="GJ21" i="36"/>
  <c r="KO21" i="36"/>
  <c r="KP21" i="36" s="1"/>
  <c r="HZ30" i="36"/>
  <c r="DU37" i="36"/>
  <c r="FY37" i="36"/>
  <c r="GC37" i="36" s="1"/>
  <c r="GK37" i="36"/>
  <c r="BW45" i="36"/>
  <c r="BX45" i="36" s="1"/>
  <c r="AQ46" i="36"/>
  <c r="AR46" i="36" s="1"/>
  <c r="GJ46" i="36"/>
  <c r="BB47" i="36"/>
  <c r="MF47" i="36"/>
  <c r="GJ48" i="36"/>
  <c r="AL49" i="36"/>
  <c r="BW49" i="36"/>
  <c r="BX49" i="36" s="1"/>
  <c r="EO49" i="36"/>
  <c r="FT49" i="36"/>
  <c r="FZ49" i="36" s="1"/>
  <c r="GD49" i="36" s="1"/>
  <c r="DU50" i="36"/>
  <c r="BB53" i="36"/>
  <c r="LG53" i="36"/>
  <c r="MF56" i="36"/>
  <c r="DW60" i="36"/>
  <c r="EA60" i="36" s="1"/>
  <c r="IY60" i="36"/>
  <c r="JD60" i="36" s="1"/>
  <c r="GJ63" i="36"/>
  <c r="KV63" i="36"/>
  <c r="CP61" i="36"/>
  <c r="GG61" i="36"/>
  <c r="GH61" i="36" s="1"/>
  <c r="EV61" i="36"/>
  <c r="FY61" i="36"/>
  <c r="GC61" i="36" s="1"/>
  <c r="AZ74" i="36"/>
  <c r="BB74" i="36" s="1"/>
  <c r="DU74" i="36"/>
  <c r="DU68" i="36"/>
  <c r="GG68" i="36"/>
  <c r="GH68" i="36" s="1"/>
  <c r="EJ68" i="36"/>
  <c r="FF33" i="36"/>
  <c r="FJ33" i="36" s="1"/>
  <c r="FE33" i="36"/>
  <c r="FI33" i="36" s="1"/>
  <c r="JZ33" i="36"/>
  <c r="KV33" i="36"/>
  <c r="HV25" i="36"/>
  <c r="HW25" i="36" s="1"/>
  <c r="KK25" i="36"/>
  <c r="HJ32" i="36"/>
  <c r="HK32" i="36" s="1"/>
  <c r="KD41" i="36"/>
  <c r="KE41" i="36" s="1"/>
  <c r="LD41" i="36"/>
  <c r="LQ41" i="36"/>
  <c r="JO39" i="36"/>
  <c r="AQ48" i="36"/>
  <c r="AR48" i="36" s="1"/>
  <c r="BW48" i="36"/>
  <c r="FE49" i="36"/>
  <c r="FI49" i="36" s="1"/>
  <c r="GK49" i="36"/>
  <c r="GK50" i="36"/>
  <c r="LD52" i="36"/>
  <c r="KZ60" i="36"/>
  <c r="LA60" i="36" s="1"/>
  <c r="AZ63" i="36"/>
  <c r="BB63" i="36" s="1"/>
  <c r="BW63" i="36"/>
  <c r="BX63" i="36" s="1"/>
  <c r="DU61" i="36"/>
  <c r="EJ61" i="36"/>
  <c r="AQ68" i="36"/>
  <c r="AR68" i="36" s="1"/>
  <c r="FY68" i="36"/>
  <c r="GC68" i="36" s="1"/>
  <c r="DK68" i="36"/>
  <c r="CD68" i="36"/>
  <c r="DB68" i="36"/>
  <c r="DY68" i="36"/>
  <c r="EC68" i="36" s="1"/>
  <c r="HE68" i="36"/>
  <c r="HJ68" i="36"/>
  <c r="HK68" i="36" s="1"/>
  <c r="KD64" i="36"/>
  <c r="KE64" i="36" s="1"/>
  <c r="JZ64" i="36"/>
  <c r="KZ26" i="36"/>
  <c r="LA26" i="36" s="1"/>
  <c r="DX29" i="36"/>
  <c r="EB29" i="36" s="1"/>
  <c r="GJ29" i="36"/>
  <c r="CD42" i="36"/>
  <c r="KK21" i="36"/>
  <c r="KV21" i="36"/>
  <c r="CD33" i="36"/>
  <c r="DK33" i="36"/>
  <c r="DL33" i="36" s="1"/>
  <c r="EV33" i="36"/>
  <c r="GK33" i="36"/>
  <c r="HZ32" i="36"/>
  <c r="JK41" i="36"/>
  <c r="JZ30" i="36"/>
  <c r="BW44" i="36"/>
  <c r="BX44" i="36" s="1"/>
  <c r="DU44" i="36"/>
  <c r="GG44" i="36"/>
  <c r="GH44" i="36" s="1"/>
  <c r="GX44" i="36"/>
  <c r="GY44" i="36" s="1"/>
  <c r="JD44" i="36"/>
  <c r="LG44" i="36"/>
  <c r="LJ44" i="36" s="1"/>
  <c r="DU45" i="36"/>
  <c r="CD46" i="36"/>
  <c r="GK46" i="36"/>
  <c r="DR48" i="36"/>
  <c r="FE48" i="36"/>
  <c r="FI48" i="36" s="1"/>
  <c r="FA49" i="36"/>
  <c r="FF49" i="36" s="1"/>
  <c r="FJ49" i="36" s="1"/>
  <c r="FY50" i="36"/>
  <c r="GC50" i="36" s="1"/>
  <c r="BB51" i="36"/>
  <c r="LG51" i="36"/>
  <c r="MF51" i="36"/>
  <c r="GI61" i="36"/>
  <c r="FE68" i="36"/>
  <c r="FI68" i="36" s="1"/>
  <c r="HZ68" i="36"/>
  <c r="KO68" i="36"/>
  <c r="KP68" i="36" s="1"/>
  <c r="LD62" i="36"/>
  <c r="GG69" i="36"/>
  <c r="GH69" i="36" s="1"/>
  <c r="HZ69" i="36"/>
  <c r="JS69" i="36"/>
  <c r="JT69" i="36" s="1"/>
  <c r="LG69" i="36"/>
  <c r="LJ69" i="36" s="1"/>
  <c r="GJ76" i="36"/>
  <c r="DU77" i="36"/>
  <c r="JS78" i="36"/>
  <c r="CH94" i="36"/>
  <c r="CG94" i="36" s="1"/>
  <c r="EL94" i="36"/>
  <c r="EK94" i="36" s="1"/>
  <c r="HE64" i="36"/>
  <c r="HV64" i="36"/>
  <c r="HW64" i="36" s="1"/>
  <c r="KV64" i="36"/>
  <c r="MB64" i="36"/>
  <c r="AQ62" i="36"/>
  <c r="CI62" i="36"/>
  <c r="CJ62" i="36" s="1"/>
  <c r="DY62" i="36"/>
  <c r="EC62" i="36" s="1"/>
  <c r="FP62" i="36"/>
  <c r="GK62" i="36"/>
  <c r="GS62" i="36"/>
  <c r="IO62" i="36"/>
  <c r="JZ62" i="36"/>
  <c r="KK62" i="36"/>
  <c r="KV62" i="36"/>
  <c r="LU62" i="36"/>
  <c r="LV62" i="36" s="1"/>
  <c r="EJ69" i="36"/>
  <c r="FW69" i="36"/>
  <c r="HV69" i="36"/>
  <c r="HW69" i="36" s="1"/>
  <c r="IS69" i="36"/>
  <c r="IT69" i="36" s="1"/>
  <c r="JO69" i="36"/>
  <c r="JP69" i="36" s="1"/>
  <c r="AV76" i="36"/>
  <c r="BA76" i="36" s="1"/>
  <c r="JS76" i="36"/>
  <c r="KO76" i="36"/>
  <c r="AL77" i="36"/>
  <c r="BB78" i="36"/>
  <c r="DU78" i="36"/>
  <c r="J80" i="36"/>
  <c r="FC80" i="36"/>
  <c r="FG80" i="36" s="1"/>
  <c r="AO93" i="36"/>
  <c r="CS93" i="36"/>
  <c r="DD94" i="36"/>
  <c r="DC94" i="36" s="1"/>
  <c r="MF64" i="36"/>
  <c r="DB62" i="36"/>
  <c r="DR62" i="36"/>
  <c r="FT62" i="36"/>
  <c r="FU62" i="36" s="1"/>
  <c r="HZ62" i="36"/>
  <c r="JS62" i="36"/>
  <c r="JT62" i="36" s="1"/>
  <c r="GK76" i="36"/>
  <c r="FT78" i="36"/>
  <c r="FZ78" i="36" s="1"/>
  <c r="GD78" i="36" s="1"/>
  <c r="BW62" i="36"/>
  <c r="BX62" i="36" s="1"/>
  <c r="GG62" i="36"/>
  <c r="EV62" i="36"/>
  <c r="LG62" i="36"/>
  <c r="LJ62" i="36" s="1"/>
  <c r="MB62" i="36"/>
  <c r="DK69" i="36"/>
  <c r="EV69" i="36"/>
  <c r="HJ69" i="36"/>
  <c r="HK69" i="36" s="1"/>
  <c r="JD69" i="36"/>
  <c r="JE69" i="36" s="1"/>
  <c r="DK76" i="36"/>
  <c r="EJ76" i="36"/>
  <c r="HQ76" i="36"/>
  <c r="CI77" i="36"/>
  <c r="HZ77" i="36"/>
  <c r="AW78" i="36"/>
  <c r="GK78" i="36"/>
  <c r="FL92" i="36"/>
  <c r="KD93" i="36"/>
  <c r="KD94" i="36" s="1"/>
  <c r="EX94" i="36"/>
  <c r="EW94" i="36" s="1"/>
  <c r="IS101" i="36"/>
  <c r="JS6" i="36"/>
  <c r="JT6" i="36" s="1"/>
  <c r="GJ7" i="36"/>
  <c r="DK20" i="36"/>
  <c r="CI20" i="36"/>
  <c r="FE31" i="36"/>
  <c r="FI31" i="36" s="1"/>
  <c r="EV31" i="36"/>
  <c r="AL26" i="36"/>
  <c r="AQ26" i="36"/>
  <c r="AR26" i="36" s="1"/>
  <c r="IZ6" i="36"/>
  <c r="LG6" i="36"/>
  <c r="LJ6" i="36" s="1"/>
  <c r="LU6" i="36"/>
  <c r="LV6" i="36" s="1"/>
  <c r="DR7" i="36"/>
  <c r="DV7" i="36" s="1"/>
  <c r="DU7" i="36"/>
  <c r="EJ7" i="36"/>
  <c r="FP8" i="36"/>
  <c r="GK9" i="36"/>
  <c r="HZ9" i="36"/>
  <c r="IZ9" i="36"/>
  <c r="JD9" i="36"/>
  <c r="JE9" i="36" s="1"/>
  <c r="FA31" i="36"/>
  <c r="FF31" i="36" s="1"/>
  <c r="FJ31" i="36" s="1"/>
  <c r="HQ31" i="36"/>
  <c r="JD31" i="36"/>
  <c r="JE31" i="36" s="1"/>
  <c r="DM28" i="36"/>
  <c r="DN28" i="36" s="1"/>
  <c r="KK28" i="36"/>
  <c r="LD28" i="36"/>
  <c r="EO26" i="36"/>
  <c r="EP26" i="36" s="1"/>
  <c r="EJ26" i="36"/>
  <c r="JO21" i="36"/>
  <c r="JP21" i="36" s="1"/>
  <c r="JK21" i="36"/>
  <c r="GG29" i="36"/>
  <c r="GH29" i="36" s="1"/>
  <c r="EV29" i="36"/>
  <c r="KO32" i="36"/>
  <c r="KP32" i="36" s="1"/>
  <c r="LD32" i="36"/>
  <c r="KK32" i="36"/>
  <c r="GG8" i="36"/>
  <c r="FT24" i="36"/>
  <c r="FU24" i="36" s="1"/>
  <c r="BW31" i="36"/>
  <c r="BX31" i="36" s="1"/>
  <c r="BT31" i="36"/>
  <c r="JS31" i="36"/>
  <c r="JT31" i="36" s="1"/>
  <c r="JK31" i="36"/>
  <c r="FY43" i="36"/>
  <c r="GC43" i="36" s="1"/>
  <c r="FP43" i="36"/>
  <c r="KO27" i="36"/>
  <c r="KP27" i="36" s="1"/>
  <c r="KK27" i="36"/>
  <c r="LG28" i="36"/>
  <c r="LJ28" i="36" s="1"/>
  <c r="FY26" i="36"/>
  <c r="GC26" i="36" s="1"/>
  <c r="FP26" i="36"/>
  <c r="FT26" i="36"/>
  <c r="FU26" i="36" s="1"/>
  <c r="GG40" i="36"/>
  <c r="EJ40" i="36"/>
  <c r="FY40" i="36"/>
  <c r="GC40" i="36" s="1"/>
  <c r="FP40" i="36"/>
  <c r="GX40" i="36"/>
  <c r="GY40" i="36" s="1"/>
  <c r="GS40" i="36"/>
  <c r="GS21" i="36"/>
  <c r="GX21" i="36"/>
  <c r="GY21" i="36" s="1"/>
  <c r="HV8" i="36"/>
  <c r="HQ8" i="36"/>
  <c r="DH43" i="36"/>
  <c r="KK26" i="36"/>
  <c r="KO26" i="36"/>
  <c r="KP26" i="36" s="1"/>
  <c r="JO6" i="36"/>
  <c r="JP6" i="36" s="1"/>
  <c r="KD6" i="36"/>
  <c r="KE6" i="36" s="1"/>
  <c r="BW7" i="36"/>
  <c r="BX7" i="36" s="1"/>
  <c r="EJ6" i="36"/>
  <c r="HE6" i="36"/>
  <c r="KV6" i="36"/>
  <c r="BT7" i="36"/>
  <c r="EV7" i="36"/>
  <c r="FP7" i="36"/>
  <c r="DY8" i="36"/>
  <c r="EC8" i="36" s="1"/>
  <c r="GK8" i="36"/>
  <c r="GJ8" i="36"/>
  <c r="GX8" i="36"/>
  <c r="GY8" i="36" s="1"/>
  <c r="GS8" i="36"/>
  <c r="GG9" i="36"/>
  <c r="GH9" i="36" s="1"/>
  <c r="EJ9" i="36"/>
  <c r="GX9" i="36"/>
  <c r="GY9" i="36" s="1"/>
  <c r="HV9" i="36"/>
  <c r="HW9" i="36" s="1"/>
  <c r="GG10" i="36"/>
  <c r="EJ10" i="36"/>
  <c r="JO31" i="36"/>
  <c r="JP31" i="36" s="1"/>
  <c r="DR43" i="36"/>
  <c r="DV43" i="36" s="1"/>
  <c r="DB43" i="36"/>
  <c r="GG43" i="36"/>
  <c r="GH43" i="36" s="1"/>
  <c r="EJ43" i="36"/>
  <c r="FT43" i="36"/>
  <c r="FU43" i="36" s="1"/>
  <c r="HJ43" i="36"/>
  <c r="HK43" i="36" s="1"/>
  <c r="CI27" i="36"/>
  <c r="CJ27" i="36" s="1"/>
  <c r="CD27" i="36"/>
  <c r="DG27" i="36"/>
  <c r="DH27" i="36" s="1"/>
  <c r="LD27" i="36"/>
  <c r="CJ28" i="36"/>
  <c r="DZ28" i="36"/>
  <c r="ED28" i="36" s="1"/>
  <c r="HV11" i="36"/>
  <c r="HW11" i="36" s="1"/>
  <c r="HZ11" i="36"/>
  <c r="HQ11" i="36"/>
  <c r="JS11" i="36"/>
  <c r="JT11" i="36" s="1"/>
  <c r="JK11" i="36"/>
  <c r="JO11" i="36"/>
  <c r="JP11" i="36" s="1"/>
  <c r="DU26" i="36"/>
  <c r="GG26" i="36"/>
  <c r="GH26" i="36" s="1"/>
  <c r="FE26" i="36"/>
  <c r="FI26" i="36" s="1"/>
  <c r="EV26" i="36"/>
  <c r="FA26" i="36"/>
  <c r="HQ26" i="36"/>
  <c r="HZ26" i="36"/>
  <c r="HV26" i="36"/>
  <c r="HW26" i="36" s="1"/>
  <c r="JZ26" i="36"/>
  <c r="KD26" i="36"/>
  <c r="KE26" i="36" s="1"/>
  <c r="HV42" i="36"/>
  <c r="HZ42" i="36"/>
  <c r="HQ42" i="36"/>
  <c r="LD40" i="36"/>
  <c r="KK40" i="36"/>
  <c r="KO40" i="36"/>
  <c r="KP40" i="36" s="1"/>
  <c r="GG21" i="36"/>
  <c r="EJ21" i="36"/>
  <c r="EO21" i="36"/>
  <c r="EP21" i="36" s="1"/>
  <c r="BW9" i="36"/>
  <c r="BX9" i="36" s="1"/>
  <c r="DY9" i="36"/>
  <c r="EC9" i="36" s="1"/>
  <c r="BB10" i="36"/>
  <c r="HZ10" i="36"/>
  <c r="FY20" i="36"/>
  <c r="HZ20" i="36"/>
  <c r="DU31" i="36"/>
  <c r="GG31" i="36"/>
  <c r="GH31" i="36" s="1"/>
  <c r="HV43" i="36"/>
  <c r="HW43" i="36" s="1"/>
  <c r="LD43" i="36"/>
  <c r="BB11" i="36"/>
  <c r="DG11" i="36"/>
  <c r="DH11" i="36" s="1"/>
  <c r="GG11" i="36"/>
  <c r="GH11" i="36" s="1"/>
  <c r="LG11" i="36"/>
  <c r="LJ11" i="36" s="1"/>
  <c r="DY26" i="36"/>
  <c r="EC26" i="36" s="1"/>
  <c r="DB26" i="36"/>
  <c r="DR26" i="36"/>
  <c r="FE40" i="36"/>
  <c r="FI40" i="36" s="1"/>
  <c r="EV40" i="36"/>
  <c r="HJ40" i="36"/>
  <c r="HK40" i="36" s="1"/>
  <c r="HE40" i="36"/>
  <c r="JT40" i="36"/>
  <c r="DK21" i="36"/>
  <c r="DL21" i="36" s="1"/>
  <c r="CD21" i="36"/>
  <c r="DG21" i="36"/>
  <c r="DH21" i="36" s="1"/>
  <c r="DY21" i="36"/>
  <c r="EC21" i="36" s="1"/>
  <c r="DB21" i="36"/>
  <c r="DR21" i="36"/>
  <c r="GS33" i="36"/>
  <c r="GX33" i="36"/>
  <c r="GY33" i="36" s="1"/>
  <c r="FE32" i="36"/>
  <c r="KD51" i="36"/>
  <c r="LD51" i="36"/>
  <c r="GX29" i="36"/>
  <c r="GY29" i="36" s="1"/>
  <c r="GS29" i="36"/>
  <c r="KK29" i="36"/>
  <c r="LD29" i="36"/>
  <c r="GG42" i="36"/>
  <c r="GH42" i="36" s="1"/>
  <c r="EJ42" i="36"/>
  <c r="LD42" i="36"/>
  <c r="KK42" i="36"/>
  <c r="HV40" i="36"/>
  <c r="HW40" i="36" s="1"/>
  <c r="HQ40" i="36"/>
  <c r="HZ40" i="36"/>
  <c r="FE21" i="36"/>
  <c r="FI21" i="36" s="1"/>
  <c r="LG21" i="36"/>
  <c r="LJ21" i="36" s="1"/>
  <c r="HE33" i="36"/>
  <c r="HJ33" i="36"/>
  <c r="HK33" i="36" s="1"/>
  <c r="KD50" i="36"/>
  <c r="LD50" i="36"/>
  <c r="JS9" i="36"/>
  <c r="JT9" i="36" s="1"/>
  <c r="BW10" i="36"/>
  <c r="BX10" i="36" s="1"/>
  <c r="HV10" i="36"/>
  <c r="HW10" i="36" s="1"/>
  <c r="GX24" i="36"/>
  <c r="GY24" i="36" s="1"/>
  <c r="LG27" i="36"/>
  <c r="LJ27" i="36" s="1"/>
  <c r="GK28" i="36"/>
  <c r="EO11" i="36"/>
  <c r="DR29" i="36"/>
  <c r="DB29" i="36"/>
  <c r="FY29" i="36"/>
  <c r="GC29" i="36" s="1"/>
  <c r="FP29" i="36"/>
  <c r="HJ29" i="36"/>
  <c r="HK29" i="36" s="1"/>
  <c r="HE29" i="36"/>
  <c r="KO29" i="36"/>
  <c r="KP29" i="36" s="1"/>
  <c r="CU42" i="36"/>
  <c r="CV42" i="36" s="1"/>
  <c r="EO42" i="36"/>
  <c r="EP42" i="36" s="1"/>
  <c r="FT42" i="36"/>
  <c r="FU42" i="36" s="1"/>
  <c r="KO42" i="36"/>
  <c r="KP42" i="36" s="1"/>
  <c r="JO40" i="36"/>
  <c r="JP40" i="36" s="1"/>
  <c r="KD40" i="36"/>
  <c r="KE40" i="36" s="1"/>
  <c r="FA21" i="36"/>
  <c r="FE46" i="36"/>
  <c r="FI46" i="36" s="1"/>
  <c r="FA46" i="36"/>
  <c r="HZ48" i="36"/>
  <c r="LG26" i="36"/>
  <c r="LJ26" i="36" s="1"/>
  <c r="GJ42" i="36"/>
  <c r="DU21" i="36"/>
  <c r="DR33" i="36"/>
  <c r="DV33" i="36" s="1"/>
  <c r="HZ33" i="36"/>
  <c r="GJ25" i="36"/>
  <c r="BW32" i="36"/>
  <c r="BW30" i="36"/>
  <c r="DK37" i="36"/>
  <c r="DL37" i="36" s="1"/>
  <c r="LD47" i="36"/>
  <c r="DU48" i="36"/>
  <c r="LG48" i="36"/>
  <c r="LG49" i="36"/>
  <c r="LG57" i="36"/>
  <c r="LG30" i="36"/>
  <c r="LJ30" i="36" s="1"/>
  <c r="FE47" i="36"/>
  <c r="FI47" i="36" s="1"/>
  <c r="LD53" i="36"/>
  <c r="BB26" i="36"/>
  <c r="BB29" i="36"/>
  <c r="DU29" i="36"/>
  <c r="BW42" i="36"/>
  <c r="BX42" i="36" s="1"/>
  <c r="DK42" i="36"/>
  <c r="FY21" i="36"/>
  <c r="GC21" i="36" s="1"/>
  <c r="GS25" i="36"/>
  <c r="FT32" i="36"/>
  <c r="HV32" i="36"/>
  <c r="JZ32" i="36"/>
  <c r="BW41" i="36"/>
  <c r="DU46" i="36"/>
  <c r="FA47" i="36"/>
  <c r="HZ47" i="36"/>
  <c r="JS47" i="36"/>
  <c r="FA48" i="36"/>
  <c r="JS50" i="36"/>
  <c r="DS6" i="35"/>
  <c r="CJ9" i="35"/>
  <c r="CJ11" i="35"/>
  <c r="EA11" i="35"/>
  <c r="EE11" i="35" s="1"/>
  <c r="FG11" i="35"/>
  <c r="FJ11" i="35" s="1"/>
  <c r="BK12" i="35"/>
  <c r="CF12" i="35"/>
  <c r="EA12" i="35" s="1"/>
  <c r="EE12" i="35" s="1"/>
  <c r="FG13" i="35"/>
  <c r="FJ13" i="35" s="1"/>
  <c r="AS6" i="35"/>
  <c r="CP7" i="35"/>
  <c r="FH7" i="35"/>
  <c r="FK7" i="35" s="1"/>
  <c r="I6" i="35"/>
  <c r="O6" i="35"/>
  <c r="AM6" i="35"/>
  <c r="AT6" i="35"/>
  <c r="BQ6" i="35"/>
  <c r="DJ15" i="35"/>
  <c r="DL15" i="35" s="1"/>
  <c r="EM15" i="35"/>
  <c r="BJ12" i="35"/>
  <c r="BL12" i="35" s="1"/>
  <c r="BK6" i="35"/>
  <c r="EM6" i="35"/>
  <c r="ER9" i="35"/>
  <c r="AR15" i="35"/>
  <c r="AT15" i="35" s="1"/>
  <c r="CI11" i="35"/>
  <c r="BH15" i="35"/>
  <c r="AZ14" i="35"/>
  <c r="EO15" i="35"/>
  <c r="ER5" i="35"/>
  <c r="FA9" i="35"/>
  <c r="FD9" i="35" s="1"/>
  <c r="BQ12" i="35"/>
  <c r="CQ7" i="35"/>
  <c r="AW14" i="35"/>
  <c r="AY14" i="35" s="1"/>
  <c r="BE12" i="35"/>
  <c r="CC40" i="36"/>
  <c r="DK40" i="36" s="1"/>
  <c r="BG5" i="36"/>
  <c r="BG15" i="36" s="1"/>
  <c r="KO5" i="36"/>
  <c r="KK5" i="36"/>
  <c r="DX6" i="36"/>
  <c r="EB6" i="36" s="1"/>
  <c r="CO6" i="36"/>
  <c r="DG5" i="36"/>
  <c r="DJ6" i="36"/>
  <c r="GK6" i="36" s="1"/>
  <c r="AL5" i="36"/>
  <c r="CC5" i="36"/>
  <c r="DB5" i="36"/>
  <c r="DR5" i="36"/>
  <c r="FT5" i="36"/>
  <c r="FP5" i="36"/>
  <c r="GX5" i="36"/>
  <c r="GS5" i="36"/>
  <c r="HV5" i="36"/>
  <c r="HZ5" i="36"/>
  <c r="HQ5" i="36"/>
  <c r="IN5" i="36"/>
  <c r="OL5" i="36" s="1"/>
  <c r="OM5" i="36" s="1"/>
  <c r="BT6" i="36"/>
  <c r="DU10" i="36"/>
  <c r="JD5" i="36"/>
  <c r="IZ5" i="36"/>
  <c r="DU5" i="36"/>
  <c r="EO5" i="36"/>
  <c r="EJ5" i="36"/>
  <c r="KZ5" i="36"/>
  <c r="LD5" i="36"/>
  <c r="KV5" i="36"/>
  <c r="AL10" i="36"/>
  <c r="FE10" i="36"/>
  <c r="FI10" i="36" s="1"/>
  <c r="AQ10" i="36"/>
  <c r="AR10" i="36" s="1"/>
  <c r="FE5" i="36"/>
  <c r="FI5" i="36" s="1"/>
  <c r="FA5" i="36"/>
  <c r="EV5" i="36"/>
  <c r="FY5" i="36"/>
  <c r="KD5" i="36"/>
  <c r="JZ5" i="36"/>
  <c r="DR10" i="36"/>
  <c r="HJ5" i="36"/>
  <c r="HE5" i="36"/>
  <c r="FA6" i="36"/>
  <c r="GG6" i="36"/>
  <c r="HZ8" i="36"/>
  <c r="GI10" i="36"/>
  <c r="DR20" i="36"/>
  <c r="DG20" i="36"/>
  <c r="KD31" i="36"/>
  <c r="KE31" i="36" s="1"/>
  <c r="JZ31" i="36"/>
  <c r="JD43" i="36"/>
  <c r="JE43" i="36" s="1"/>
  <c r="IZ43" i="36"/>
  <c r="MF27" i="36"/>
  <c r="MB27" i="36"/>
  <c r="MF26" i="36"/>
  <c r="MB26" i="36"/>
  <c r="DR25" i="36"/>
  <c r="DG25" i="36"/>
  <c r="DY25" i="36"/>
  <c r="EC25" i="36" s="1"/>
  <c r="DB25" i="36"/>
  <c r="JD32" i="36"/>
  <c r="JE32" i="36" s="1"/>
  <c r="IZ32" i="36"/>
  <c r="FU45" i="36"/>
  <c r="HJ74" i="36"/>
  <c r="HK74" i="36" s="1"/>
  <c r="HZ74" i="36"/>
  <c r="HE74" i="36"/>
  <c r="FE64" i="36"/>
  <c r="FI64" i="36" s="1"/>
  <c r="FA64" i="36"/>
  <c r="GG64" i="36"/>
  <c r="EV64" i="36"/>
  <c r="EV6" i="36"/>
  <c r="GS6" i="36"/>
  <c r="HP6" i="36"/>
  <c r="KO6" i="36"/>
  <c r="KP6" i="36" s="1"/>
  <c r="LD6" i="36"/>
  <c r="MF6" i="36"/>
  <c r="CI7" i="36"/>
  <c r="DY7" i="36"/>
  <c r="EC7" i="36" s="1"/>
  <c r="EO7" i="36"/>
  <c r="FA7" i="36"/>
  <c r="FT7" i="36"/>
  <c r="BT8" i="36"/>
  <c r="FT8" i="36"/>
  <c r="HE8" i="36"/>
  <c r="JZ8" i="36"/>
  <c r="KK8" i="36"/>
  <c r="KV8" i="36"/>
  <c r="LD8" i="36"/>
  <c r="CC9" i="36"/>
  <c r="DG9" i="36"/>
  <c r="EP9" i="36"/>
  <c r="FB9" i="36"/>
  <c r="FU9" i="36"/>
  <c r="JZ9" i="36"/>
  <c r="KK9" i="36"/>
  <c r="KV9" i="36"/>
  <c r="LD9" i="36"/>
  <c r="DG10" i="36"/>
  <c r="FB10" i="36"/>
  <c r="FY10" i="36"/>
  <c r="GC10" i="36" s="1"/>
  <c r="FW10" i="36"/>
  <c r="GS10" i="36"/>
  <c r="LD10" i="36"/>
  <c r="KV10" i="36"/>
  <c r="BB20" i="36"/>
  <c r="CP20" i="36"/>
  <c r="DB20" i="36"/>
  <c r="DY20" i="36"/>
  <c r="EO20" i="36"/>
  <c r="FE20" i="36"/>
  <c r="FA20" i="36"/>
  <c r="HJ20" i="36"/>
  <c r="KK20" i="36"/>
  <c r="BW24" i="36"/>
  <c r="BX24" i="36" s="1"/>
  <c r="GA24" i="36"/>
  <c r="GK24" i="36"/>
  <c r="LD24" i="36"/>
  <c r="JZ24" i="36"/>
  <c r="CP31" i="36"/>
  <c r="BW43" i="36"/>
  <c r="BX43" i="36" s="1"/>
  <c r="LU43" i="36"/>
  <c r="LV43" i="36" s="1"/>
  <c r="LQ43" i="36"/>
  <c r="BB27" i="36"/>
  <c r="DY27" i="36"/>
  <c r="EC27" i="36" s="1"/>
  <c r="CP27" i="36"/>
  <c r="DK27" i="36"/>
  <c r="DL27" i="36" s="1"/>
  <c r="EO27" i="36"/>
  <c r="EJ27" i="36"/>
  <c r="GG27" i="36"/>
  <c r="GX27" i="36"/>
  <c r="GY27" i="36" s="1"/>
  <c r="GS27" i="36"/>
  <c r="HV27" i="36"/>
  <c r="HZ27" i="36"/>
  <c r="HQ27" i="36"/>
  <c r="IO27" i="36"/>
  <c r="JK27" i="36"/>
  <c r="EO28" i="36"/>
  <c r="EJ28" i="36"/>
  <c r="GG28" i="36"/>
  <c r="GX28" i="36"/>
  <c r="GY28" i="36" s="1"/>
  <c r="GS28" i="36"/>
  <c r="HV28" i="36"/>
  <c r="HZ28" i="36"/>
  <c r="HQ28" i="36"/>
  <c r="IO28" i="36"/>
  <c r="JK28" i="36"/>
  <c r="MF28" i="36"/>
  <c r="FV11" i="36"/>
  <c r="GA11" i="36" s="1"/>
  <c r="FC11" i="36"/>
  <c r="FG11" i="36" s="1"/>
  <c r="DO11" i="36"/>
  <c r="DS11" i="36" s="1"/>
  <c r="BW11" i="36"/>
  <c r="BX11" i="36" s="1"/>
  <c r="DK11" i="36"/>
  <c r="DL11" i="36" s="1"/>
  <c r="CI11" i="36"/>
  <c r="CU11" i="36"/>
  <c r="CV11" i="36" s="1"/>
  <c r="DI26" i="36"/>
  <c r="GJ26" i="36" s="1"/>
  <c r="JZ21" i="36"/>
  <c r="KD21" i="36"/>
  <c r="KE21" i="36" s="1"/>
  <c r="GG33" i="36"/>
  <c r="EO33" i="36"/>
  <c r="EJ33" i="36"/>
  <c r="KD25" i="36"/>
  <c r="KE25" i="36" s="1"/>
  <c r="JZ25" i="36"/>
  <c r="KO30" i="36"/>
  <c r="KP30" i="36" s="1"/>
  <c r="KK30" i="36"/>
  <c r="CJ37" i="36"/>
  <c r="KD38" i="36"/>
  <c r="KE38" i="36" s="1"/>
  <c r="JZ38" i="36"/>
  <c r="KO39" i="36"/>
  <c r="KP39" i="36" s="1"/>
  <c r="KK39" i="36"/>
  <c r="FU44" i="36"/>
  <c r="GG46" i="36"/>
  <c r="EO46" i="36"/>
  <c r="LD48" i="36"/>
  <c r="KO48" i="36"/>
  <c r="LN80" i="36"/>
  <c r="OK80" i="36" s="1"/>
  <c r="LP60" i="36"/>
  <c r="MU60" i="36" s="1"/>
  <c r="JS20" i="36"/>
  <c r="JK20" i="36"/>
  <c r="JJ58" i="36"/>
  <c r="JK58" i="36" s="1"/>
  <c r="DY31" i="36"/>
  <c r="EC31" i="36" s="1"/>
  <c r="FZ31" i="36"/>
  <c r="GD31" i="36" s="1"/>
  <c r="FU31" i="36"/>
  <c r="KZ31" i="36"/>
  <c r="LA31" i="36" s="1"/>
  <c r="LD31" i="36"/>
  <c r="KV31" i="36"/>
  <c r="GK27" i="36"/>
  <c r="FW28" i="36"/>
  <c r="DP28" i="36"/>
  <c r="DT28" i="36" s="1"/>
  <c r="AK28" i="36"/>
  <c r="FY28" i="36" s="1"/>
  <c r="GC28" i="36" s="1"/>
  <c r="DY11" i="36"/>
  <c r="EC11" i="36" s="1"/>
  <c r="JT26" i="36"/>
  <c r="IZ26" i="36"/>
  <c r="FB42" i="36"/>
  <c r="DR40" i="36"/>
  <c r="DV40" i="36" s="1"/>
  <c r="DG40" i="36"/>
  <c r="DY40" i="36"/>
  <c r="EC40" i="36" s="1"/>
  <c r="DB40" i="36"/>
  <c r="CJ33" i="36"/>
  <c r="BW25" i="36"/>
  <c r="BX25" i="36" s="1"/>
  <c r="BT25" i="36"/>
  <c r="FY25" i="36"/>
  <c r="GC25" i="36" s="1"/>
  <c r="FT25" i="36"/>
  <c r="FP25" i="36"/>
  <c r="KZ25" i="36"/>
  <c r="LA25" i="36" s="1"/>
  <c r="LD25" i="36"/>
  <c r="KV25" i="36"/>
  <c r="MF30" i="36"/>
  <c r="MB30" i="36"/>
  <c r="KZ38" i="36"/>
  <c r="LA38" i="36" s="1"/>
  <c r="LD38" i="36"/>
  <c r="KV38" i="36"/>
  <c r="CU44" i="36"/>
  <c r="CV44" i="36" s="1"/>
  <c r="CP44" i="36"/>
  <c r="CU46" i="36"/>
  <c r="CV46" i="36" s="1"/>
  <c r="DK46" i="36"/>
  <c r="DL46" i="36" s="1"/>
  <c r="CP46" i="36"/>
  <c r="CU50" i="36"/>
  <c r="CV50" i="36" s="1"/>
  <c r="CP50" i="36"/>
  <c r="JD74" i="36"/>
  <c r="JE74" i="36" s="1"/>
  <c r="JS74" i="36"/>
  <c r="JT74" i="36" s="1"/>
  <c r="IZ74" i="36"/>
  <c r="JK5" i="36"/>
  <c r="LI5" i="36"/>
  <c r="LQ5" i="36"/>
  <c r="MB5" i="36"/>
  <c r="CC6" i="36"/>
  <c r="DG6" i="36"/>
  <c r="DG7" i="36"/>
  <c r="JS8" i="36"/>
  <c r="JT8" i="36" s="1"/>
  <c r="DW9" i="36"/>
  <c r="EA9" i="36" s="1"/>
  <c r="JK9" i="36"/>
  <c r="FP10" i="36"/>
  <c r="KZ10" i="36"/>
  <c r="LA10" i="36" s="1"/>
  <c r="CD20" i="36"/>
  <c r="EJ20" i="36"/>
  <c r="EV20" i="36"/>
  <c r="JD20" i="36"/>
  <c r="JZ20" i="36"/>
  <c r="LU20" i="36"/>
  <c r="MF20" i="36"/>
  <c r="JR58" i="36"/>
  <c r="FP24" i="36"/>
  <c r="GG24" i="36"/>
  <c r="HJ24" i="36"/>
  <c r="HK24" i="36" s="1"/>
  <c r="IN24" i="36"/>
  <c r="DK31" i="36"/>
  <c r="CI31" i="36"/>
  <c r="DR31" i="36"/>
  <c r="DV31" i="36" s="1"/>
  <c r="DG31" i="36"/>
  <c r="FY31" i="36"/>
  <c r="GC31" i="36" s="1"/>
  <c r="GJ31" i="36"/>
  <c r="KO31" i="36"/>
  <c r="KP31" i="36" s="1"/>
  <c r="KK31" i="36"/>
  <c r="FB43" i="36"/>
  <c r="GK43" i="36"/>
  <c r="IS43" i="36"/>
  <c r="IT43" i="36" s="1"/>
  <c r="IO43" i="36"/>
  <c r="JO43" i="36"/>
  <c r="JP43" i="36" s="1"/>
  <c r="JS43" i="36"/>
  <c r="JT43" i="36" s="1"/>
  <c r="JK43" i="36"/>
  <c r="JZ43" i="36"/>
  <c r="KV43" i="36"/>
  <c r="BW27" i="36"/>
  <c r="BX27" i="36" s="1"/>
  <c r="CU27" i="36"/>
  <c r="CV27" i="36" s="1"/>
  <c r="FT27" i="36"/>
  <c r="FP27" i="36"/>
  <c r="LU27" i="36"/>
  <c r="LV27" i="36" s="1"/>
  <c r="LQ27" i="36"/>
  <c r="BB28" i="36"/>
  <c r="FT28" i="36"/>
  <c r="FP28" i="36"/>
  <c r="MB28" i="36"/>
  <c r="FW11" i="36"/>
  <c r="DP11" i="36"/>
  <c r="DT11" i="36" s="1"/>
  <c r="AK11" i="36"/>
  <c r="CD11" i="36"/>
  <c r="KD11" i="36"/>
  <c r="KE11" i="36" s="1"/>
  <c r="JZ11" i="36"/>
  <c r="JD26" i="36"/>
  <c r="JE26" i="36" s="1"/>
  <c r="BW29" i="36"/>
  <c r="BX29" i="36" s="1"/>
  <c r="BT29" i="36"/>
  <c r="BW40" i="36"/>
  <c r="BX40" i="36" s="1"/>
  <c r="BW21" i="36"/>
  <c r="BX21" i="36" s="1"/>
  <c r="BT21" i="36"/>
  <c r="BW33" i="36"/>
  <c r="BX33" i="36" s="1"/>
  <c r="JD33" i="36"/>
  <c r="JE33" i="36" s="1"/>
  <c r="IZ33" i="36"/>
  <c r="CI25" i="36"/>
  <c r="CD25" i="36"/>
  <c r="DK25" i="36"/>
  <c r="DL25" i="36" s="1"/>
  <c r="EO25" i="36"/>
  <c r="GG25" i="36"/>
  <c r="EJ25" i="36"/>
  <c r="JD41" i="36"/>
  <c r="JE41" i="36" s="1"/>
  <c r="IZ41" i="36"/>
  <c r="FB45" i="36"/>
  <c r="FY46" i="36"/>
  <c r="GC46" i="36" s="1"/>
  <c r="FT46" i="36"/>
  <c r="FE50" i="36"/>
  <c r="FI50" i="36" s="1"/>
  <c r="FA50" i="36"/>
  <c r="EV50" i="36"/>
  <c r="MF53" i="36"/>
  <c r="FO80" i="36"/>
  <c r="FP60" i="36"/>
  <c r="FT60" i="36"/>
  <c r="JD6" i="36"/>
  <c r="JE6" i="36" s="1"/>
  <c r="GJ10" i="36"/>
  <c r="LD20" i="36"/>
  <c r="DK24" i="36"/>
  <c r="CU24" i="36"/>
  <c r="DG24" i="36"/>
  <c r="DB24" i="36"/>
  <c r="DY24" i="36"/>
  <c r="EO24" i="36"/>
  <c r="GJ24" i="36"/>
  <c r="HV24" i="36"/>
  <c r="HZ24" i="36"/>
  <c r="HQ24" i="36"/>
  <c r="IZ24" i="36"/>
  <c r="MF43" i="36"/>
  <c r="MB43" i="36"/>
  <c r="FW27" i="36"/>
  <c r="DP27" i="36"/>
  <c r="DT27" i="36" s="1"/>
  <c r="AK27" i="36"/>
  <c r="FY27" i="36" s="1"/>
  <c r="GC27" i="36" s="1"/>
  <c r="FA27" i="36"/>
  <c r="EV27" i="36"/>
  <c r="HJ27" i="36"/>
  <c r="HK27" i="36" s="1"/>
  <c r="HE27" i="36"/>
  <c r="JS27" i="36"/>
  <c r="FA28" i="36"/>
  <c r="EV28" i="36"/>
  <c r="HJ28" i="36"/>
  <c r="HK28" i="36" s="1"/>
  <c r="HE28" i="36"/>
  <c r="JS28" i="36"/>
  <c r="DI11" i="36"/>
  <c r="GJ11" i="36" s="1"/>
  <c r="DW11" i="36"/>
  <c r="EA11" i="36" s="1"/>
  <c r="GK11" i="36"/>
  <c r="KO11" i="36"/>
  <c r="KP11" i="36" s="1"/>
  <c r="LD11" i="36"/>
  <c r="KK11" i="36"/>
  <c r="CI26" i="36"/>
  <c r="DK26" i="36"/>
  <c r="DL26" i="36" s="1"/>
  <c r="CD26" i="36"/>
  <c r="LU26" i="36"/>
  <c r="LV26" i="36" s="1"/>
  <c r="LQ26" i="36"/>
  <c r="HV29" i="36"/>
  <c r="HZ29" i="36"/>
  <c r="HQ29" i="36"/>
  <c r="CU40" i="36"/>
  <c r="CV40" i="36" s="1"/>
  <c r="CP40" i="36"/>
  <c r="LG33" i="36"/>
  <c r="LJ33" i="36" s="1"/>
  <c r="LU25" i="36"/>
  <c r="LV25" i="36" s="1"/>
  <c r="LQ25" i="36"/>
  <c r="GG32" i="36"/>
  <c r="EJ32" i="36"/>
  <c r="KD39" i="36"/>
  <c r="KE39" i="36" s="1"/>
  <c r="JZ39" i="36"/>
  <c r="CU45" i="36"/>
  <c r="CV45" i="36" s="1"/>
  <c r="CP45" i="36"/>
  <c r="JS46" i="36"/>
  <c r="CU47" i="36"/>
  <c r="DZ47" i="36" s="1"/>
  <c r="DK47" i="36"/>
  <c r="DY47" i="36"/>
  <c r="JS48" i="36"/>
  <c r="JD48" i="36"/>
  <c r="FA24" i="36"/>
  <c r="MF24" i="36"/>
  <c r="DI27" i="36"/>
  <c r="GJ27" i="36" s="1"/>
  <c r="DG29" i="36"/>
  <c r="FA29" i="36"/>
  <c r="FE29" i="36"/>
  <c r="FI29" i="36" s="1"/>
  <c r="FT29" i="36"/>
  <c r="MF29" i="36"/>
  <c r="DG42" i="36"/>
  <c r="MF42" i="36"/>
  <c r="EO40" i="36"/>
  <c r="FA40" i="36"/>
  <c r="FT40" i="36"/>
  <c r="LU21" i="36"/>
  <c r="LV21" i="36" s="1"/>
  <c r="LQ21" i="36"/>
  <c r="LU33" i="36"/>
  <c r="LV33" i="36" s="1"/>
  <c r="LQ33" i="36"/>
  <c r="DU25" i="36"/>
  <c r="IS25" i="36"/>
  <c r="IT25" i="36" s="1"/>
  <c r="IO25" i="36"/>
  <c r="JO25" i="36"/>
  <c r="JP25" i="36" s="1"/>
  <c r="JS25" i="36"/>
  <c r="JT25" i="36" s="1"/>
  <c r="JK25" i="36"/>
  <c r="LU32" i="36"/>
  <c r="LV32" i="36" s="1"/>
  <c r="LQ32" i="36"/>
  <c r="LD30" i="36"/>
  <c r="BW37" i="36"/>
  <c r="BX37" i="36" s="1"/>
  <c r="GG37" i="36"/>
  <c r="KD37" i="36"/>
  <c r="KE37" i="36" s="1"/>
  <c r="JZ37" i="36"/>
  <c r="KZ37" i="36"/>
  <c r="LA37" i="36" s="1"/>
  <c r="LD37" i="36"/>
  <c r="KV37" i="36"/>
  <c r="MF38" i="36"/>
  <c r="MB38" i="36"/>
  <c r="JS45" i="36"/>
  <c r="JD45" i="36"/>
  <c r="BB46" i="36"/>
  <c r="HZ46" i="36"/>
  <c r="LG46" i="36"/>
  <c r="GG47" i="36"/>
  <c r="DK48" i="36"/>
  <c r="BB49" i="36"/>
  <c r="HZ49" i="36"/>
  <c r="LD49" i="36"/>
  <c r="AQ50" i="36"/>
  <c r="AR50" i="36" s="1"/>
  <c r="AL50" i="36"/>
  <c r="AH58" i="36"/>
  <c r="DS24" i="36"/>
  <c r="EA24" i="36"/>
  <c r="GB24" i="36"/>
  <c r="MF21" i="36"/>
  <c r="IS33" i="36"/>
  <c r="IT33" i="36" s="1"/>
  <c r="IO33" i="36"/>
  <c r="JO33" i="36"/>
  <c r="JP33" i="36" s="1"/>
  <c r="JS33" i="36"/>
  <c r="JT33" i="36" s="1"/>
  <c r="JK33" i="36"/>
  <c r="CU25" i="36"/>
  <c r="CV25" i="36" s="1"/>
  <c r="CP25" i="36"/>
  <c r="FE25" i="36"/>
  <c r="FI25" i="36" s="1"/>
  <c r="FA25" i="36"/>
  <c r="MF25" i="36"/>
  <c r="MB25" i="36"/>
  <c r="GK32" i="36"/>
  <c r="IS32" i="36"/>
  <c r="IT32" i="36" s="1"/>
  <c r="IO32" i="36"/>
  <c r="JO32" i="36"/>
  <c r="JP32" i="36" s="1"/>
  <c r="JS32" i="36"/>
  <c r="JT32" i="36" s="1"/>
  <c r="JK32" i="36"/>
  <c r="LU30" i="36"/>
  <c r="LV30" i="36" s="1"/>
  <c r="LQ30" i="36"/>
  <c r="GI37" i="36"/>
  <c r="FE37" i="36"/>
  <c r="FI37" i="36" s="1"/>
  <c r="GJ37" i="36"/>
  <c r="KZ39" i="36"/>
  <c r="KV39" i="36"/>
  <c r="DK44" i="36"/>
  <c r="CI44" i="36"/>
  <c r="DR44" i="36"/>
  <c r="DG44" i="36"/>
  <c r="GJ44" i="36"/>
  <c r="HV44" i="36"/>
  <c r="HZ44" i="36"/>
  <c r="HQ44" i="36"/>
  <c r="LD44" i="36"/>
  <c r="KO44" i="36"/>
  <c r="FY45" i="36"/>
  <c r="GC45" i="36" s="1"/>
  <c r="AQ45" i="36"/>
  <c r="AR45" i="36" s="1"/>
  <c r="DK45" i="36"/>
  <c r="CI45" i="36"/>
  <c r="DR45" i="36"/>
  <c r="DG45" i="36"/>
  <c r="GJ45" i="36"/>
  <c r="CJ46" i="36"/>
  <c r="DY46" i="36"/>
  <c r="EC46" i="36" s="1"/>
  <c r="LD46" i="36"/>
  <c r="GJ47" i="36"/>
  <c r="GG48" i="36"/>
  <c r="EO48" i="36"/>
  <c r="FY48" i="36"/>
  <c r="GC48" i="36" s="1"/>
  <c r="FT48" i="36"/>
  <c r="DR49" i="36"/>
  <c r="DV49" i="36" s="1"/>
  <c r="DY49" i="36"/>
  <c r="DG49" i="36"/>
  <c r="DZ49" i="36" s="1"/>
  <c r="CI50" i="36"/>
  <c r="CD50" i="36"/>
  <c r="DR50" i="36"/>
  <c r="DG50" i="36"/>
  <c r="DY50" i="36"/>
  <c r="EC50" i="36" s="1"/>
  <c r="DB50" i="36"/>
  <c r="GG50" i="36"/>
  <c r="EO50" i="36"/>
  <c r="HZ50" i="36"/>
  <c r="MF55" i="36"/>
  <c r="CU64" i="36"/>
  <c r="CV64" i="36" s="1"/>
  <c r="CP64" i="36"/>
  <c r="CV62" i="36"/>
  <c r="DZ62" i="36"/>
  <c r="ED62" i="36" s="1"/>
  <c r="DP42" i="36"/>
  <c r="DT42" i="36" s="1"/>
  <c r="MF33" i="36"/>
  <c r="MB33" i="36"/>
  <c r="AQ25" i="36"/>
  <c r="AR25" i="36" s="1"/>
  <c r="AL25" i="36"/>
  <c r="HZ25" i="36"/>
  <c r="JD25" i="36"/>
  <c r="JE25" i="36" s="1"/>
  <c r="IZ25" i="36"/>
  <c r="MF32" i="36"/>
  <c r="MB32" i="36"/>
  <c r="HV41" i="36"/>
  <c r="HZ41" i="36"/>
  <c r="HQ41" i="36"/>
  <c r="LG41" i="36"/>
  <c r="LJ41" i="36" s="1"/>
  <c r="MF41" i="36"/>
  <c r="JO30" i="36"/>
  <c r="JP30" i="36" s="1"/>
  <c r="JS30" i="36"/>
  <c r="JT30" i="36" s="1"/>
  <c r="JK30" i="36"/>
  <c r="HZ37" i="36"/>
  <c r="KO37" i="36"/>
  <c r="KP37" i="36" s="1"/>
  <c r="KK37" i="36"/>
  <c r="AQ44" i="36"/>
  <c r="AR44" i="36" s="1"/>
  <c r="FY44" i="36"/>
  <c r="GC44" i="36" s="1"/>
  <c r="AL44" i="36"/>
  <c r="FE44" i="36"/>
  <c r="FI44" i="36" s="1"/>
  <c r="FE45" i="36"/>
  <c r="FI45" i="36" s="1"/>
  <c r="LD45" i="36"/>
  <c r="KO45" i="36"/>
  <c r="AQ47" i="36"/>
  <c r="AL47" i="36"/>
  <c r="DR47" i="36"/>
  <c r="FY47" i="36"/>
  <c r="GC47" i="36" s="1"/>
  <c r="DK49" i="36"/>
  <c r="CI49" i="36"/>
  <c r="JS49" i="36"/>
  <c r="BT50" i="36"/>
  <c r="DK50" i="36"/>
  <c r="DL50" i="36" s="1"/>
  <c r="EJ50" i="36"/>
  <c r="FT50" i="36"/>
  <c r="MF52" i="36"/>
  <c r="HZ53" i="36"/>
  <c r="IF53" i="36" s="1"/>
  <c r="LH57" i="36"/>
  <c r="DG63" i="36"/>
  <c r="DY63" i="36"/>
  <c r="EC63" i="36" s="1"/>
  <c r="DB63" i="36"/>
  <c r="MF63" i="36"/>
  <c r="MB63" i="36"/>
  <c r="AZ68" i="36"/>
  <c r="BB68" i="36" s="1"/>
  <c r="AW68" i="36"/>
  <c r="DY33" i="36"/>
  <c r="EC33" i="36" s="1"/>
  <c r="DR37" i="36"/>
  <c r="GT80" i="36"/>
  <c r="GX60" i="36"/>
  <c r="HR80" i="36"/>
  <c r="EO63" i="36"/>
  <c r="EJ63" i="36"/>
  <c r="GX63" i="36"/>
  <c r="GY63" i="36" s="1"/>
  <c r="GS63" i="36"/>
  <c r="IS63" i="36"/>
  <c r="IT63" i="36" s="1"/>
  <c r="IO63" i="36"/>
  <c r="AQ61" i="36"/>
  <c r="AR61" i="36" s="1"/>
  <c r="FE61" i="36"/>
  <c r="FI61" i="36" s="1"/>
  <c r="AL61" i="36"/>
  <c r="KD61" i="36"/>
  <c r="KE61" i="36" s="1"/>
  <c r="JZ61" i="36"/>
  <c r="JD64" i="36"/>
  <c r="JE64" i="36" s="1"/>
  <c r="JS64" i="36"/>
  <c r="JT64" i="36" s="1"/>
  <c r="IZ64" i="36"/>
  <c r="HQ33" i="36"/>
  <c r="HQ32" i="36"/>
  <c r="CD37" i="36"/>
  <c r="FT47" i="36"/>
  <c r="CI48" i="36"/>
  <c r="DG48" i="36"/>
  <c r="DZ48" i="36" s="1"/>
  <c r="MF49" i="36"/>
  <c r="AU80" i="36"/>
  <c r="AZ60" i="36"/>
  <c r="AW60" i="36"/>
  <c r="BM80" i="36"/>
  <c r="BN80" i="36" s="1"/>
  <c r="BW60" i="36"/>
  <c r="BN60" i="36"/>
  <c r="DS60" i="36"/>
  <c r="EI80" i="36"/>
  <c r="EJ80" i="36" s="1"/>
  <c r="EO60" i="36"/>
  <c r="GG60" i="36"/>
  <c r="EJ60" i="36"/>
  <c r="FW63" i="36"/>
  <c r="DP63" i="36"/>
  <c r="DT63" i="36" s="1"/>
  <c r="AK63" i="36"/>
  <c r="DR63" i="36" s="1"/>
  <c r="CI63" i="36"/>
  <c r="CD63" i="36"/>
  <c r="DK63" i="36"/>
  <c r="DL63" i="36" s="1"/>
  <c r="FA63" i="36"/>
  <c r="EV63" i="36"/>
  <c r="FT63" i="36"/>
  <c r="FP63" i="36"/>
  <c r="GG63" i="36"/>
  <c r="HJ63" i="36"/>
  <c r="HK63" i="36" s="1"/>
  <c r="HE63" i="36"/>
  <c r="JD63" i="36"/>
  <c r="JE63" i="36" s="1"/>
  <c r="IZ63" i="36"/>
  <c r="LG63" i="36"/>
  <c r="LJ63" i="36" s="1"/>
  <c r="AZ61" i="36"/>
  <c r="BB61" i="36" s="1"/>
  <c r="AW61" i="36"/>
  <c r="BW61" i="36"/>
  <c r="BX61" i="36" s="1"/>
  <c r="BN61" i="36"/>
  <c r="JD68" i="36"/>
  <c r="JE68" i="36" s="1"/>
  <c r="JS68" i="36"/>
  <c r="JT68" i="36" s="1"/>
  <c r="IZ68" i="36"/>
  <c r="AZ64" i="36"/>
  <c r="BB64" i="36" s="1"/>
  <c r="AW64" i="36"/>
  <c r="KV60" i="36"/>
  <c r="CU63" i="36"/>
  <c r="CV63" i="36" s="1"/>
  <c r="CP63" i="36"/>
  <c r="HV63" i="36"/>
  <c r="HZ63" i="36"/>
  <c r="HQ63" i="36"/>
  <c r="JO63" i="36"/>
  <c r="JP63" i="36" s="1"/>
  <c r="JS63" i="36"/>
  <c r="JT63" i="36" s="1"/>
  <c r="JK63" i="36"/>
  <c r="LU63" i="36"/>
  <c r="LV63" i="36" s="1"/>
  <c r="LQ63" i="36"/>
  <c r="KR80" i="36"/>
  <c r="KU61" i="36"/>
  <c r="KU80" i="36" s="1"/>
  <c r="KV80" i="36" s="1"/>
  <c r="GJ69" i="36"/>
  <c r="MF77" i="36"/>
  <c r="LF80" i="36"/>
  <c r="LI80" i="36" s="1"/>
  <c r="AE80" i="36"/>
  <c r="DI60" i="36"/>
  <c r="DT60" i="36"/>
  <c r="EU80" i="36"/>
  <c r="HY80" i="36"/>
  <c r="JJ80" i="36"/>
  <c r="JK80" i="36" s="1"/>
  <c r="JO60" i="36"/>
  <c r="CU74" i="36"/>
  <c r="CV74" i="36" s="1"/>
  <c r="CP74" i="36"/>
  <c r="FE74" i="36"/>
  <c r="FI74" i="36" s="1"/>
  <c r="FA74" i="36"/>
  <c r="DM68" i="36"/>
  <c r="DN68" i="36" s="1"/>
  <c r="GJ77" i="36"/>
  <c r="AH80" i="36"/>
  <c r="FW80" i="36" s="1"/>
  <c r="BG80" i="36"/>
  <c r="BH80" i="36" s="1"/>
  <c r="CL80" i="36"/>
  <c r="DA80" i="36"/>
  <c r="EV60" i="36"/>
  <c r="FA60" i="36"/>
  <c r="GR80" i="36"/>
  <c r="GS80" i="36" s="1"/>
  <c r="HG80" i="36"/>
  <c r="HZ60" i="36"/>
  <c r="IN60" i="36"/>
  <c r="JK60" i="36"/>
  <c r="KK60" i="36"/>
  <c r="KO60" i="36"/>
  <c r="LC80" i="36"/>
  <c r="LG60" i="36"/>
  <c r="LJ60" i="36" s="1"/>
  <c r="MF60" i="36"/>
  <c r="BN63" i="36"/>
  <c r="DR61" i="36"/>
  <c r="DG61" i="36"/>
  <c r="DY61" i="36"/>
  <c r="EC61" i="36" s="1"/>
  <c r="FB61" i="36"/>
  <c r="FU61" i="36"/>
  <c r="HJ61" i="36"/>
  <c r="HK61" i="36" s="1"/>
  <c r="HP61" i="36"/>
  <c r="IO61" i="36"/>
  <c r="IZ61" i="36"/>
  <c r="EV74" i="36"/>
  <c r="GG74" i="36"/>
  <c r="LQ74" i="36"/>
  <c r="DR68" i="36"/>
  <c r="EP68" i="36"/>
  <c r="FB68" i="36"/>
  <c r="GK68" i="36"/>
  <c r="LQ68" i="36"/>
  <c r="CJ64" i="36"/>
  <c r="EP64" i="36"/>
  <c r="FY64" i="36"/>
  <c r="GC64" i="36" s="1"/>
  <c r="FT64" i="36"/>
  <c r="GJ64" i="36"/>
  <c r="GS64" i="36"/>
  <c r="KK64" i="36"/>
  <c r="LD64" i="36"/>
  <c r="BN62" i="36"/>
  <c r="EP62" i="36"/>
  <c r="HJ76" i="36"/>
  <c r="HE76" i="36"/>
  <c r="Y80" i="36"/>
  <c r="Z80" i="36" s="1"/>
  <c r="AK60" i="36"/>
  <c r="BH60" i="36"/>
  <c r="BT60" i="36"/>
  <c r="CO60" i="36"/>
  <c r="DB60" i="36"/>
  <c r="DG60" i="36"/>
  <c r="DJ80" i="36"/>
  <c r="FW60" i="36"/>
  <c r="GE80" i="36"/>
  <c r="GK60" i="36"/>
  <c r="GS60" i="36"/>
  <c r="HD80" i="36"/>
  <c r="HE80" i="36" s="1"/>
  <c r="HQ60" i="36"/>
  <c r="HV60" i="36"/>
  <c r="JL80" i="36"/>
  <c r="JR80" i="36"/>
  <c r="JY60" i="36"/>
  <c r="MA80" i="36"/>
  <c r="DB61" i="36"/>
  <c r="JO61" i="36"/>
  <c r="JP61" i="36" s="1"/>
  <c r="JS61" i="36"/>
  <c r="JT61" i="36" s="1"/>
  <c r="KK61" i="36"/>
  <c r="MF61" i="36"/>
  <c r="BW74" i="36"/>
  <c r="BX74" i="36" s="1"/>
  <c r="CI74" i="36"/>
  <c r="CD74" i="36"/>
  <c r="DR74" i="36"/>
  <c r="DG74" i="36"/>
  <c r="DY74" i="36"/>
  <c r="EC74" i="36" s="1"/>
  <c r="DB74" i="36"/>
  <c r="EP74" i="36"/>
  <c r="FY74" i="36"/>
  <c r="GC74" i="36" s="1"/>
  <c r="FT74" i="36"/>
  <c r="GJ74" i="36"/>
  <c r="GS74" i="36"/>
  <c r="HQ74" i="36"/>
  <c r="IO74" i="36"/>
  <c r="JK74" i="36"/>
  <c r="LG74" i="36"/>
  <c r="LJ74" i="36" s="1"/>
  <c r="MF74" i="36"/>
  <c r="AL68" i="36"/>
  <c r="JK68" i="36"/>
  <c r="LG68" i="36"/>
  <c r="LJ68" i="36" s="1"/>
  <c r="MF68" i="36"/>
  <c r="AL64" i="36"/>
  <c r="CD64" i="36"/>
  <c r="DR64" i="36"/>
  <c r="DV64" i="36" s="1"/>
  <c r="DG64" i="36"/>
  <c r="DY64" i="36"/>
  <c r="EC64" i="36" s="1"/>
  <c r="DB64" i="36"/>
  <c r="DK64" i="36"/>
  <c r="DL64" i="36" s="1"/>
  <c r="DU64" i="36"/>
  <c r="EJ64" i="36"/>
  <c r="FP64" i="36"/>
  <c r="HZ64" i="36"/>
  <c r="IO64" i="36"/>
  <c r="JK64" i="36"/>
  <c r="DY69" i="36"/>
  <c r="MF69" i="36"/>
  <c r="MB69" i="36"/>
  <c r="HV78" i="36"/>
  <c r="IB78" i="36" s="1"/>
  <c r="HZ78" i="36"/>
  <c r="BW76" i="36"/>
  <c r="FT76" i="36"/>
  <c r="FY76" i="36"/>
  <c r="FP76" i="36"/>
  <c r="LD77" i="36"/>
  <c r="KZ77" i="36"/>
  <c r="KC96" i="36"/>
  <c r="KC94" i="36"/>
  <c r="JZ69" i="36"/>
  <c r="KK69" i="36"/>
  <c r="KV69" i="36"/>
  <c r="LD69" i="36"/>
  <c r="LQ69" i="36"/>
  <c r="CI69" i="36"/>
  <c r="DG69" i="36"/>
  <c r="DZ69" i="36" s="1"/>
  <c r="EO69" i="36"/>
  <c r="FA69" i="36"/>
  <c r="HQ69" i="36"/>
  <c r="JK69" i="36"/>
  <c r="BW77" i="36"/>
  <c r="BX77" i="36" s="1"/>
  <c r="DY77" i="36"/>
  <c r="EC77" i="36" s="1"/>
  <c r="DB77" i="36"/>
  <c r="DR77" i="36"/>
  <c r="DV77" i="36" s="1"/>
  <c r="JS77" i="36"/>
  <c r="CI78" i="36"/>
  <c r="CD78" i="36"/>
  <c r="DR78" i="36"/>
  <c r="DV78" i="36" s="1"/>
  <c r="DG78" i="36"/>
  <c r="DY78" i="36"/>
  <c r="EC78" i="36" s="1"/>
  <c r="DB78" i="36"/>
  <c r="GG78" i="36"/>
  <c r="EO78" i="36"/>
  <c r="GU93" i="36"/>
  <c r="GU94" i="36"/>
  <c r="FE76" i="36"/>
  <c r="FA76" i="36"/>
  <c r="FE77" i="36"/>
  <c r="FI77" i="36" s="1"/>
  <c r="FA77" i="36"/>
  <c r="T80" i="36"/>
  <c r="JD93" i="36"/>
  <c r="JC93" i="36"/>
  <c r="EV76" i="36"/>
  <c r="GG76" i="36"/>
  <c r="HZ76" i="36"/>
  <c r="CU77" i="36"/>
  <c r="CV77" i="36" s="1"/>
  <c r="DH77" i="36"/>
  <c r="DK77" i="36"/>
  <c r="DL77" i="36" s="1"/>
  <c r="EV77" i="36"/>
  <c r="FY77" i="36"/>
  <c r="GC77" i="36" s="1"/>
  <c r="FT77" i="36"/>
  <c r="GG77" i="36"/>
  <c r="CU78" i="36"/>
  <c r="CV78" i="36" s="1"/>
  <c r="CP78" i="36"/>
  <c r="FE78" i="36"/>
  <c r="FI78" i="36" s="1"/>
  <c r="FA78" i="36"/>
  <c r="JD78" i="36"/>
  <c r="KO78" i="36"/>
  <c r="IR100" i="36"/>
  <c r="IR101" i="36" s="1"/>
  <c r="KO100" i="36"/>
  <c r="KN100" i="36"/>
  <c r="KN101" i="36" s="1"/>
  <c r="FV80" i="36"/>
  <c r="GA80" i="36" s="1"/>
  <c r="JF100" i="36"/>
  <c r="KZ101" i="36"/>
  <c r="JD100" i="36"/>
  <c r="JD101" i="36" s="1"/>
  <c r="KY100" i="36"/>
  <c r="KY101" i="36" s="1"/>
  <c r="DX80" i="36"/>
  <c r="EB80" i="36" s="1"/>
  <c r="FD80" i="36"/>
  <c r="FH80" i="36" s="1"/>
  <c r="GY93" i="36"/>
  <c r="GX93" i="36"/>
  <c r="JN93" i="36"/>
  <c r="JN94" i="36" s="1"/>
  <c r="KZ93" i="36"/>
  <c r="KZ94" i="36" s="1"/>
  <c r="KY93" i="36"/>
  <c r="KY94" i="36" s="1"/>
  <c r="JN101" i="36"/>
  <c r="LT101" i="36"/>
  <c r="JO100" i="36"/>
  <c r="JO101" i="36" s="1"/>
  <c r="LU100" i="36"/>
  <c r="LU101" i="36" s="1"/>
  <c r="JC101" i="36"/>
  <c r="IR92" i="36"/>
  <c r="KN93" i="36"/>
  <c r="KC100" i="36"/>
  <c r="KC101" i="36" s="1"/>
  <c r="ME100" i="36"/>
  <c r="ME101" i="36" s="1"/>
  <c r="CR7" i="35"/>
  <c r="AB15" i="35"/>
  <c r="N15" i="35"/>
  <c r="P15" i="35" s="1"/>
  <c r="CN6" i="35"/>
  <c r="CF6" i="35"/>
  <c r="DF6" i="35"/>
  <c r="EQ15" i="35"/>
  <c r="ES6" i="35"/>
  <c r="FQ6" i="35"/>
  <c r="FH9" i="35"/>
  <c r="FK9" i="35" s="1"/>
  <c r="CC12" i="35"/>
  <c r="BO15" i="35"/>
  <c r="CW7" i="35"/>
  <c r="FD7" i="35"/>
  <c r="CS6" i="35"/>
  <c r="CW6" i="35" s="1"/>
  <c r="V6" i="35"/>
  <c r="AN6" i="35"/>
  <c r="CG6" i="35"/>
  <c r="DG15" i="35"/>
  <c r="DO15" i="35"/>
  <c r="DS15" i="35" s="1"/>
  <c r="DU6" i="35"/>
  <c r="DZ6" i="35"/>
  <c r="ED6" i="35" s="1"/>
  <c r="FF6" i="35"/>
  <c r="FC6" i="35"/>
  <c r="FN15" i="35"/>
  <c r="FP15" i="35" s="1"/>
  <c r="FP6" i="35"/>
  <c r="CT5" i="35"/>
  <c r="CX5" i="35" s="1"/>
  <c r="CP5" i="35"/>
  <c r="EB5" i="35"/>
  <c r="EF5" i="35" s="1"/>
  <c r="DX5" i="35"/>
  <c r="DY9" i="35"/>
  <c r="CQ14" i="35"/>
  <c r="CR14" i="35"/>
  <c r="CU7" i="35"/>
  <c r="CY7" i="35" s="1"/>
  <c r="DY7" i="35"/>
  <c r="EC7" i="35"/>
  <c r="M15" i="35"/>
  <c r="O15" i="35" s="1"/>
  <c r="CM6" i="35"/>
  <c r="AB6" i="35"/>
  <c r="AF15" i="35"/>
  <c r="AH15" i="35" s="1"/>
  <c r="AH6" i="35"/>
  <c r="AN15" i="35"/>
  <c r="AZ6" i="35"/>
  <c r="BD15" i="35"/>
  <c r="BF6" i="35"/>
  <c r="BX6" i="35"/>
  <c r="CD15" i="35"/>
  <c r="CD6" i="35"/>
  <c r="CH6" i="35"/>
  <c r="CL6" i="35"/>
  <c r="CT6" i="35" s="1"/>
  <c r="CX6" i="35" s="1"/>
  <c r="FA6" i="35"/>
  <c r="FS15" i="35"/>
  <c r="EB9" i="35"/>
  <c r="EF9" i="35" s="1"/>
  <c r="DX9" i="35"/>
  <c r="EC11" i="35"/>
  <c r="EG11" i="35" s="1"/>
  <c r="DY11" i="35"/>
  <c r="DD15" i="35"/>
  <c r="DF15" i="35" s="1"/>
  <c r="CV7" i="35"/>
  <c r="CZ7" i="35" s="1"/>
  <c r="ED7" i="35"/>
  <c r="FG7" i="35"/>
  <c r="EV15" i="35"/>
  <c r="EX15" i="35" s="1"/>
  <c r="EX6" i="35"/>
  <c r="FB6" i="35"/>
  <c r="EA5" i="35"/>
  <c r="EE5" i="35" s="1"/>
  <c r="FH5" i="35"/>
  <c r="FK5" i="35" s="1"/>
  <c r="FB14" i="35"/>
  <c r="BP12" i="35"/>
  <c r="BR12" i="35" s="1"/>
  <c r="CT7" i="35"/>
  <c r="CX7" i="35" s="1"/>
  <c r="DX7" i="35"/>
  <c r="EB7" i="35"/>
  <c r="FE7" i="35"/>
  <c r="FI7" i="35"/>
  <c r="H6" i="35"/>
  <c r="P6" i="35"/>
  <c r="AA6" i="35"/>
  <c r="AE15" i="35"/>
  <c r="AG15" i="35" s="1"/>
  <c r="AG6" i="35"/>
  <c r="AY6" i="35"/>
  <c r="BC15" i="35"/>
  <c r="BE6" i="35"/>
  <c r="BW6" i="35"/>
  <c r="CC15" i="35"/>
  <c r="CC6" i="35"/>
  <c r="DG6" i="35"/>
  <c r="DK15" i="35"/>
  <c r="DM15" i="35" s="1"/>
  <c r="DM6" i="35"/>
  <c r="DP15" i="35"/>
  <c r="DV6" i="35"/>
  <c r="DR6" i="35"/>
  <c r="DW6" i="35"/>
  <c r="EL6" i="35"/>
  <c r="EY6" i="35"/>
  <c r="CI5" i="35"/>
  <c r="FE5" i="35"/>
  <c r="DV14" i="35"/>
  <c r="FA14" i="35"/>
  <c r="ES14" i="35"/>
  <c r="AY12" i="35"/>
  <c r="CM12" i="35"/>
  <c r="AX12" i="35"/>
  <c r="AX15" i="35" s="1"/>
  <c r="CG12" i="35"/>
  <c r="EB12" i="35" s="1"/>
  <c r="EF12" i="35" s="1"/>
  <c r="AQ15" i="35"/>
  <c r="AS15" i="35" s="1"/>
  <c r="EY15" i="35"/>
  <c r="AO15" i="35"/>
  <c r="EC14" i="35"/>
  <c r="EG14" i="35" s="1"/>
  <c r="DY14" i="35"/>
  <c r="FE11" i="35"/>
  <c r="DX12" i="35"/>
  <c r="FH12" i="35"/>
  <c r="FK12" i="35" s="1"/>
  <c r="FE13" i="35"/>
  <c r="EP15" i="35"/>
  <c r="FV6" i="35"/>
  <c r="BW12" i="35"/>
  <c r="BV12" i="35"/>
  <c r="EC13" i="35"/>
  <c r="DY13" i="35"/>
  <c r="LU61" i="36" l="1"/>
  <c r="LV61" i="36" s="1"/>
  <c r="MY49" i="36"/>
  <c r="BW6" i="36"/>
  <c r="BX6" i="36" s="1"/>
  <c r="JS24" i="36"/>
  <c r="JT24" i="36" s="1"/>
  <c r="BB15" i="36"/>
  <c r="LQ61" i="36"/>
  <c r="MT80" i="36"/>
  <c r="MX80" i="36" s="1"/>
  <c r="NA80" i="36" s="1"/>
  <c r="CL15" i="35"/>
  <c r="HT5" i="35"/>
  <c r="HR15" i="35"/>
  <c r="IG53" i="36"/>
  <c r="GL5" i="35"/>
  <c r="GP5" i="35" s="1"/>
  <c r="DZ15" i="35"/>
  <c r="ED15" i="35" s="1"/>
  <c r="HU6" i="35"/>
  <c r="HU15" i="35"/>
  <c r="ER14" i="35"/>
  <c r="HR14" i="35"/>
  <c r="HT6" i="35"/>
  <c r="DF98" i="36"/>
  <c r="DG98" i="36" s="1"/>
  <c r="MG49" i="36"/>
  <c r="ON49" i="36"/>
  <c r="MG43" i="36"/>
  <c r="ON43" i="36"/>
  <c r="MG68" i="36"/>
  <c r="ON68" i="36"/>
  <c r="MG74" i="36"/>
  <c r="ON74" i="36"/>
  <c r="CC80" i="36"/>
  <c r="CD80" i="36" s="1"/>
  <c r="MG63" i="36"/>
  <c r="ON63" i="36"/>
  <c r="MG33" i="36"/>
  <c r="ON33" i="36"/>
  <c r="MG21" i="36"/>
  <c r="ON21" i="36"/>
  <c r="MG6" i="36"/>
  <c r="ON6" i="36"/>
  <c r="MG27" i="36"/>
  <c r="ON27" i="36"/>
  <c r="MG64" i="36"/>
  <c r="ON64" i="36"/>
  <c r="MG47" i="36"/>
  <c r="ON47" i="36"/>
  <c r="ON39" i="36"/>
  <c r="MG7" i="36"/>
  <c r="ON7" i="36"/>
  <c r="MG45" i="36"/>
  <c r="ON45" i="36"/>
  <c r="OL61" i="36"/>
  <c r="OM61" i="36" s="1"/>
  <c r="MG78" i="36"/>
  <c r="ON78" i="36"/>
  <c r="OL21" i="36"/>
  <c r="OM21" i="36" s="1"/>
  <c r="MG41" i="36"/>
  <c r="ON41" i="36"/>
  <c r="MG42" i="36"/>
  <c r="ON42" i="36"/>
  <c r="MG30" i="36"/>
  <c r="ON30" i="36"/>
  <c r="MG46" i="36"/>
  <c r="ON46" i="36"/>
  <c r="MG69" i="36"/>
  <c r="ON69" i="36"/>
  <c r="MG61" i="36"/>
  <c r="MG77" i="36"/>
  <c r="ON77" i="36"/>
  <c r="MG32" i="36"/>
  <c r="ON32" i="36"/>
  <c r="MG29" i="36"/>
  <c r="ON29" i="36"/>
  <c r="MG53" i="36"/>
  <c r="ON53" i="36"/>
  <c r="ON20" i="36"/>
  <c r="MG51" i="36"/>
  <c r="ON51" i="36"/>
  <c r="MG50" i="36"/>
  <c r="ON50" i="36"/>
  <c r="MG40" i="36"/>
  <c r="ON40" i="36"/>
  <c r="MG11" i="36"/>
  <c r="ON11" i="36"/>
  <c r="MG37" i="36"/>
  <c r="ON37" i="36"/>
  <c r="ON76" i="36"/>
  <c r="OL24" i="36"/>
  <c r="OM24" i="36" s="1"/>
  <c r="MG24" i="36"/>
  <c r="MG28" i="36"/>
  <c r="ON28" i="36"/>
  <c r="MG56" i="36"/>
  <c r="ON56" i="36"/>
  <c r="MG52" i="36"/>
  <c r="ON52" i="36"/>
  <c r="MG55" i="36"/>
  <c r="ON55" i="36"/>
  <c r="MG25" i="36"/>
  <c r="ON25" i="36"/>
  <c r="MG38" i="36"/>
  <c r="ON38" i="36"/>
  <c r="MG26" i="36"/>
  <c r="ON26" i="36"/>
  <c r="MG54" i="36"/>
  <c r="ON54" i="36"/>
  <c r="MG62" i="36"/>
  <c r="ON62" i="36"/>
  <c r="MG9" i="36"/>
  <c r="ON9" i="36"/>
  <c r="MB15" i="36"/>
  <c r="MG8" i="36"/>
  <c r="ON8" i="36"/>
  <c r="MG10" i="36"/>
  <c r="ON10" i="36"/>
  <c r="MG48" i="36"/>
  <c r="ON48" i="36"/>
  <c r="ON44" i="36"/>
  <c r="MG31" i="36"/>
  <c r="ON31" i="36"/>
  <c r="OL60" i="36"/>
  <c r="OM60" i="36" s="1"/>
  <c r="FZ20" i="36"/>
  <c r="GD20" i="36" s="1"/>
  <c r="HU103" i="36"/>
  <c r="FG9" i="35"/>
  <c r="FJ9" i="35" s="1"/>
  <c r="HT103" i="36"/>
  <c r="HW7" i="36"/>
  <c r="IF28" i="36"/>
  <c r="IG28" i="36" s="1"/>
  <c r="GO5" i="35"/>
  <c r="FR98" i="36"/>
  <c r="FR92" i="36" s="1"/>
  <c r="FR94" i="36" s="1"/>
  <c r="IF64" i="36"/>
  <c r="IG64" i="36" s="1"/>
  <c r="CR12" i="35"/>
  <c r="FP98" i="36"/>
  <c r="IF44" i="36"/>
  <c r="IG44" i="36" s="1"/>
  <c r="IF76" i="36"/>
  <c r="IG76" i="36" s="1"/>
  <c r="IF63" i="36"/>
  <c r="IG63" i="36" s="1"/>
  <c r="IF41" i="36"/>
  <c r="IG41" i="36" s="1"/>
  <c r="IF74" i="36"/>
  <c r="IG74" i="36" s="1"/>
  <c r="IF62" i="36"/>
  <c r="IG62" i="36" s="1"/>
  <c r="IF69" i="36"/>
  <c r="IG69" i="36" s="1"/>
  <c r="IF68" i="36"/>
  <c r="IG68" i="36" s="1"/>
  <c r="FW58" i="36"/>
  <c r="DP58" i="36"/>
  <c r="DT58" i="36" s="1"/>
  <c r="IF78" i="36"/>
  <c r="IG78" i="36" s="1"/>
  <c r="HV103" i="36"/>
  <c r="HV104" i="36"/>
  <c r="IE80" i="36"/>
  <c r="FW15" i="36"/>
  <c r="IF77" i="36"/>
  <c r="IG77" i="36" s="1"/>
  <c r="CJ77" i="36"/>
  <c r="BK15" i="35"/>
  <c r="GJ58" i="36"/>
  <c r="GP12" i="35"/>
  <c r="DI58" i="36"/>
  <c r="FI20" i="36"/>
  <c r="IF31" i="36"/>
  <c r="IG31" i="36" s="1"/>
  <c r="EO58" i="36"/>
  <c r="EP58" i="36" s="1"/>
  <c r="GH20" i="36"/>
  <c r="GG58" i="36"/>
  <c r="GH58" i="36" s="1"/>
  <c r="GO7" i="35"/>
  <c r="CC58" i="36"/>
  <c r="CD58" i="36" s="1"/>
  <c r="DW58" i="36"/>
  <c r="EA58" i="36" s="1"/>
  <c r="DX58" i="36"/>
  <c r="EB58" i="36" s="1"/>
  <c r="EC20" i="36"/>
  <c r="BW20" i="36"/>
  <c r="BX20" i="36" s="1"/>
  <c r="FV15" i="36"/>
  <c r="FU20" i="36"/>
  <c r="FT58" i="36"/>
  <c r="FU58" i="36" s="1"/>
  <c r="IF25" i="36"/>
  <c r="IG25" i="36" s="1"/>
  <c r="FA58" i="36"/>
  <c r="FB58" i="36" s="1"/>
  <c r="GC20" i="36"/>
  <c r="IF51" i="36"/>
  <c r="IG51" i="36" s="1"/>
  <c r="DI15" i="36"/>
  <c r="DJ58" i="36"/>
  <c r="DG15" i="36"/>
  <c r="GY20" i="36"/>
  <c r="GX58" i="36"/>
  <c r="GY58" i="36" s="1"/>
  <c r="IF46" i="36"/>
  <c r="IG46" i="36" s="1"/>
  <c r="GC5" i="36"/>
  <c r="EO15" i="36"/>
  <c r="GK5" i="36"/>
  <c r="DJ15" i="36"/>
  <c r="GH5" i="36"/>
  <c r="GG15" i="36"/>
  <c r="DO15" i="36"/>
  <c r="CO58" i="36"/>
  <c r="FT15" i="36"/>
  <c r="HK20" i="36"/>
  <c r="HJ58" i="36"/>
  <c r="HK58" i="36" s="1"/>
  <c r="HJ15" i="36"/>
  <c r="EJ58" i="36"/>
  <c r="GX15" i="36"/>
  <c r="DV5" i="36"/>
  <c r="CJ20" i="36"/>
  <c r="GK29" i="36"/>
  <c r="GK58" i="36" s="1"/>
  <c r="DP15" i="36"/>
  <c r="DK60" i="36"/>
  <c r="IF60" i="36" s="1"/>
  <c r="IG60" i="36" s="1"/>
  <c r="IF37" i="36"/>
  <c r="IG37" i="36" s="1"/>
  <c r="IF24" i="36"/>
  <c r="IG24" i="36" s="1"/>
  <c r="DG58" i="36"/>
  <c r="DH58" i="36" s="1"/>
  <c r="FA15" i="36"/>
  <c r="EB5" i="36"/>
  <c r="DX15" i="36"/>
  <c r="CV20" i="36"/>
  <c r="DS58" i="36"/>
  <c r="DW15" i="36"/>
  <c r="IA76" i="36"/>
  <c r="CC15" i="36"/>
  <c r="CD15" i="36" s="1"/>
  <c r="IF47" i="36"/>
  <c r="IG47" i="36" s="1"/>
  <c r="IF48" i="36"/>
  <c r="IG48" i="36" s="1"/>
  <c r="MY77" i="36"/>
  <c r="IA63" i="36"/>
  <c r="IF49" i="36"/>
  <c r="IG49" i="36" s="1"/>
  <c r="IF27" i="36"/>
  <c r="IG27" i="36" s="1"/>
  <c r="IA74" i="36"/>
  <c r="IA62" i="36"/>
  <c r="IF30" i="36"/>
  <c r="MY36" i="36"/>
  <c r="IF11" i="36"/>
  <c r="IG11" i="36" s="1"/>
  <c r="IA69" i="36"/>
  <c r="IF32" i="36"/>
  <c r="IG32" i="36" s="1"/>
  <c r="MY78" i="36"/>
  <c r="MV64" i="36"/>
  <c r="IE58" i="36"/>
  <c r="IE97" i="36" s="1"/>
  <c r="IE5" i="36"/>
  <c r="IE6" i="36"/>
  <c r="IA64" i="36"/>
  <c r="IF50" i="36"/>
  <c r="IG50" i="36" s="1"/>
  <c r="IF33" i="36"/>
  <c r="IG33" i="36" s="1"/>
  <c r="IF26" i="36"/>
  <c r="IG26" i="36" s="1"/>
  <c r="IA68" i="36"/>
  <c r="IF7" i="36"/>
  <c r="IG7" i="36" s="1"/>
  <c r="IF45" i="36"/>
  <c r="IG45" i="36" s="1"/>
  <c r="DL10" i="36"/>
  <c r="IF10" i="36"/>
  <c r="IG10" i="36" s="1"/>
  <c r="DL43" i="36"/>
  <c r="IF43" i="36"/>
  <c r="IG43" i="36" s="1"/>
  <c r="DL20" i="36"/>
  <c r="DL42" i="36"/>
  <c r="IF42" i="36"/>
  <c r="IG42" i="36" s="1"/>
  <c r="CP5" i="36"/>
  <c r="CO15" i="36"/>
  <c r="EA6" i="35"/>
  <c r="EE6" i="35" s="1"/>
  <c r="GF15" i="35"/>
  <c r="GL6" i="35"/>
  <c r="GH6" i="35"/>
  <c r="GP7" i="35"/>
  <c r="GQ6" i="35"/>
  <c r="GM6" i="35"/>
  <c r="BW15" i="35"/>
  <c r="GO11" i="35"/>
  <c r="GO13" i="35"/>
  <c r="GE15" i="35"/>
  <c r="GK6" i="35"/>
  <c r="GI6" i="35"/>
  <c r="AW15" i="35"/>
  <c r="AY15" i="35" s="1"/>
  <c r="FI6" i="35"/>
  <c r="GN6" i="35"/>
  <c r="BQ15" i="35"/>
  <c r="GO12" i="35"/>
  <c r="GP13" i="35"/>
  <c r="GP11" i="35"/>
  <c r="DL40" i="36"/>
  <c r="IF40" i="36"/>
  <c r="IG40" i="36" s="1"/>
  <c r="AL24" i="36"/>
  <c r="AQ24" i="36"/>
  <c r="FZ24" i="36" s="1"/>
  <c r="DM8" i="36"/>
  <c r="DN8" i="36" s="1"/>
  <c r="DR24" i="36"/>
  <c r="MF93" i="36"/>
  <c r="MF94" i="36" s="1"/>
  <c r="LH76" i="36"/>
  <c r="DR9" i="36"/>
  <c r="IO21" i="36"/>
  <c r="HP15" i="36"/>
  <c r="HQ15" i="36" s="1"/>
  <c r="LH50" i="36"/>
  <c r="IB31" i="36"/>
  <c r="HV21" i="36"/>
  <c r="HW21" i="36" s="1"/>
  <c r="MY69" i="36"/>
  <c r="NB69" i="36" s="1"/>
  <c r="CI60" i="36"/>
  <c r="CI80" i="36" s="1"/>
  <c r="CI10" i="36"/>
  <c r="CJ10" i="36" s="1"/>
  <c r="HZ21" i="36"/>
  <c r="HQ21" i="36"/>
  <c r="BF15" i="35"/>
  <c r="BE15" i="35"/>
  <c r="GL14" i="35"/>
  <c r="FG14" i="35"/>
  <c r="FJ14" i="35" s="1"/>
  <c r="GK14" i="35"/>
  <c r="GP9" i="35"/>
  <c r="FE9" i="35"/>
  <c r="GK9" i="35"/>
  <c r="DM20" i="36"/>
  <c r="AQ6" i="36"/>
  <c r="AR6" i="36" s="1"/>
  <c r="GI6" i="36"/>
  <c r="GK80" i="36"/>
  <c r="DV37" i="36"/>
  <c r="MY50" i="36"/>
  <c r="MY9" i="36"/>
  <c r="NB9" i="36" s="1"/>
  <c r="MY52" i="36"/>
  <c r="MY25" i="36"/>
  <c r="NB25" i="36" s="1"/>
  <c r="MY27" i="36"/>
  <c r="NB27" i="36" s="1"/>
  <c r="MY10" i="36"/>
  <c r="NB10" i="36" s="1"/>
  <c r="MY37" i="36"/>
  <c r="NB37" i="36" s="1"/>
  <c r="MY21" i="36"/>
  <c r="NB21" i="36" s="1"/>
  <c r="MY28" i="36"/>
  <c r="NB28" i="36" s="1"/>
  <c r="MY47" i="36"/>
  <c r="FY6" i="36"/>
  <c r="GC6" i="36" s="1"/>
  <c r="MY40" i="36"/>
  <c r="NB40" i="36" s="1"/>
  <c r="MY62" i="36"/>
  <c r="NB62" i="36" s="1"/>
  <c r="MY33" i="36"/>
  <c r="NB33" i="36" s="1"/>
  <c r="MY6" i="36"/>
  <c r="NB6" i="36" s="1"/>
  <c r="MY74" i="36"/>
  <c r="NB74" i="36" s="1"/>
  <c r="MY48" i="36"/>
  <c r="MY44" i="36"/>
  <c r="MY31" i="36"/>
  <c r="NB31" i="36" s="1"/>
  <c r="MY76" i="36"/>
  <c r="MY38" i="36"/>
  <c r="NB38" i="36" s="1"/>
  <c r="MY43" i="36"/>
  <c r="NB43" i="36" s="1"/>
  <c r="MY64" i="36"/>
  <c r="NB64" i="36" s="1"/>
  <c r="MY32" i="36"/>
  <c r="NB32" i="36" s="1"/>
  <c r="MY11" i="36"/>
  <c r="NB11" i="36" s="1"/>
  <c r="MY24" i="36"/>
  <c r="NB24" i="36" s="1"/>
  <c r="MY7" i="36"/>
  <c r="NB7" i="36" s="1"/>
  <c r="MY30" i="36"/>
  <c r="NB30" i="36" s="1"/>
  <c r="MY42" i="36"/>
  <c r="NB42" i="36" s="1"/>
  <c r="MY51" i="36"/>
  <c r="MY20" i="36"/>
  <c r="NB20" i="36" s="1"/>
  <c r="MY63" i="36"/>
  <c r="NB63" i="36" s="1"/>
  <c r="MY26" i="36"/>
  <c r="NB26" i="36" s="1"/>
  <c r="MY68" i="36"/>
  <c r="NB68" i="36" s="1"/>
  <c r="MY53" i="36"/>
  <c r="MY39" i="36"/>
  <c r="NB39" i="36" s="1"/>
  <c r="MY8" i="36"/>
  <c r="NB8" i="36" s="1"/>
  <c r="MY41" i="36"/>
  <c r="NB41" i="36" s="1"/>
  <c r="MY45" i="36"/>
  <c r="MY29" i="36"/>
  <c r="NB29" i="36" s="1"/>
  <c r="MY5" i="36"/>
  <c r="NB5" i="36" s="1"/>
  <c r="MY46" i="36"/>
  <c r="LG15" i="36"/>
  <c r="LJ15" i="36" s="1"/>
  <c r="MX15" i="36"/>
  <c r="NA15" i="36" s="1"/>
  <c r="MV28" i="36"/>
  <c r="MU80" i="36"/>
  <c r="MV60" i="36"/>
  <c r="MV61" i="36"/>
  <c r="LE41" i="36"/>
  <c r="LE33" i="36"/>
  <c r="LE74" i="36"/>
  <c r="MV11" i="36"/>
  <c r="MV31" i="36"/>
  <c r="HW62" i="36"/>
  <c r="LH53" i="36"/>
  <c r="FY9" i="36"/>
  <c r="GC9" i="36" s="1"/>
  <c r="DU24" i="36"/>
  <c r="LE27" i="36"/>
  <c r="FY24" i="36"/>
  <c r="FE6" i="36"/>
  <c r="FI6" i="36" s="1"/>
  <c r="LE62" i="36"/>
  <c r="LE63" i="36"/>
  <c r="LE21" i="36"/>
  <c r="MV68" i="36"/>
  <c r="MV40" i="36"/>
  <c r="MV9" i="36"/>
  <c r="MV8" i="36"/>
  <c r="MV41" i="36"/>
  <c r="MV24" i="36"/>
  <c r="MV7" i="36"/>
  <c r="MV74" i="36"/>
  <c r="MV30" i="36"/>
  <c r="MV42" i="36"/>
  <c r="LH44" i="36"/>
  <c r="LK44" i="36" s="1"/>
  <c r="LE7" i="36"/>
  <c r="LE43" i="36"/>
  <c r="LE32" i="36"/>
  <c r="LE28" i="36"/>
  <c r="DR6" i="36"/>
  <c r="LC58" i="36"/>
  <c r="GL7" i="36"/>
  <c r="LE26" i="36"/>
  <c r="MV62" i="36"/>
  <c r="MV25" i="36"/>
  <c r="MV27" i="36"/>
  <c r="MV29" i="36"/>
  <c r="MV5" i="36"/>
  <c r="MU15" i="36"/>
  <c r="LE29" i="36"/>
  <c r="LH51" i="36"/>
  <c r="LH52" i="36"/>
  <c r="LH39" i="36"/>
  <c r="MV33" i="36"/>
  <c r="MV6" i="36"/>
  <c r="MV10" i="36"/>
  <c r="MV37" i="36"/>
  <c r="MV21" i="36"/>
  <c r="MU58" i="36"/>
  <c r="MV38" i="36"/>
  <c r="CM14" i="35"/>
  <c r="ES15" i="35"/>
  <c r="FF15" i="35"/>
  <c r="CT12" i="35"/>
  <c r="AZ15" i="35"/>
  <c r="ER15" i="35"/>
  <c r="BJ15" i="35"/>
  <c r="BL15" i="35" s="1"/>
  <c r="CF15" i="35"/>
  <c r="CI12" i="35"/>
  <c r="KZ15" i="36"/>
  <c r="LA15" i="36" s="1"/>
  <c r="MG20" i="36"/>
  <c r="MF58" i="36"/>
  <c r="KO15" i="36"/>
  <c r="KP15" i="36" s="1"/>
  <c r="KP20" i="36"/>
  <c r="KO58" i="36"/>
  <c r="KP58" i="36" s="1"/>
  <c r="JS21" i="36"/>
  <c r="JT21" i="36" s="1"/>
  <c r="LV20" i="36"/>
  <c r="LU58" i="36"/>
  <c r="LV58" i="36" s="1"/>
  <c r="DM37" i="36"/>
  <c r="DN37" i="36" s="1"/>
  <c r="DZ26" i="36"/>
  <c r="ED26" i="36" s="1"/>
  <c r="KD15" i="36"/>
  <c r="KE15" i="36" s="1"/>
  <c r="JD15" i="36"/>
  <c r="JE15" i="36" s="1"/>
  <c r="GL10" i="36"/>
  <c r="DV48" i="36"/>
  <c r="LH7" i="36"/>
  <c r="LK7" i="36" s="1"/>
  <c r="IY58" i="36"/>
  <c r="IZ58" i="36" s="1"/>
  <c r="IN58" i="36"/>
  <c r="IO58" i="36" s="1"/>
  <c r="JP5" i="36"/>
  <c r="JO15" i="36"/>
  <c r="JP15" i="36" s="1"/>
  <c r="HP58" i="36"/>
  <c r="LJ20" i="36"/>
  <c r="KE20" i="36"/>
  <c r="LA20" i="36"/>
  <c r="IB64" i="36"/>
  <c r="IZ21" i="36"/>
  <c r="IT20" i="36"/>
  <c r="LV5" i="36"/>
  <c r="LU15" i="36"/>
  <c r="LV15" i="36" s="1"/>
  <c r="JP20" i="36"/>
  <c r="MG5" i="36"/>
  <c r="MF15" i="36"/>
  <c r="HW20" i="36"/>
  <c r="DZ37" i="36"/>
  <c r="ED37" i="36" s="1"/>
  <c r="JE20" i="36"/>
  <c r="JT20" i="36"/>
  <c r="LD15" i="36"/>
  <c r="JS5" i="36"/>
  <c r="JS15" i="36" s="1"/>
  <c r="JT15" i="36" s="1"/>
  <c r="IN15" i="36"/>
  <c r="IO15" i="36" s="1"/>
  <c r="IB25" i="36"/>
  <c r="KJ58" i="36"/>
  <c r="KK58" i="36" s="1"/>
  <c r="JY58" i="36"/>
  <c r="JZ58" i="36" s="1"/>
  <c r="FE63" i="36"/>
  <c r="FI63" i="36" s="1"/>
  <c r="FZ61" i="36"/>
  <c r="GD61" i="36" s="1"/>
  <c r="DV61" i="36"/>
  <c r="GL69" i="36"/>
  <c r="GL47" i="36"/>
  <c r="GI44" i="36"/>
  <c r="FU33" i="36"/>
  <c r="GI31" i="36"/>
  <c r="FY42" i="36"/>
  <c r="GC42" i="36" s="1"/>
  <c r="GI33" i="36"/>
  <c r="DZ21" i="36"/>
  <c r="ED21" i="36" s="1"/>
  <c r="DR42" i="36"/>
  <c r="FB31" i="36"/>
  <c r="IB42" i="36"/>
  <c r="FZ68" i="36"/>
  <c r="GD68" i="36" s="1"/>
  <c r="DV68" i="36"/>
  <c r="AQ42" i="36"/>
  <c r="AR42" i="36" s="1"/>
  <c r="DU42" i="36"/>
  <c r="DV29" i="36"/>
  <c r="GL62" i="36"/>
  <c r="IY80" i="36"/>
  <c r="IZ80" i="36" s="1"/>
  <c r="CD40" i="36"/>
  <c r="BB58" i="36"/>
  <c r="HW42" i="36"/>
  <c r="AL42" i="36"/>
  <c r="DV26" i="36"/>
  <c r="FF26" i="36"/>
  <c r="FJ26" i="36" s="1"/>
  <c r="IB68" i="36"/>
  <c r="AL6" i="36"/>
  <c r="GL37" i="36"/>
  <c r="FF32" i="36"/>
  <c r="GH62" i="36"/>
  <c r="IZ60" i="36"/>
  <c r="FZ26" i="36"/>
  <c r="GD26" i="36" s="1"/>
  <c r="GL61" i="36"/>
  <c r="DU28" i="36"/>
  <c r="GL20" i="36"/>
  <c r="GL11" i="36"/>
  <c r="DV46" i="36"/>
  <c r="GI74" i="36"/>
  <c r="DP80" i="36"/>
  <c r="DT80" i="36" s="1"/>
  <c r="CI40" i="36"/>
  <c r="CJ40" i="36" s="1"/>
  <c r="GI8" i="36"/>
  <c r="DY6" i="36"/>
  <c r="EC6" i="36" s="1"/>
  <c r="CU5" i="36"/>
  <c r="GL43" i="36"/>
  <c r="FY8" i="36"/>
  <c r="GC8" i="36" s="1"/>
  <c r="DZ33" i="36"/>
  <c r="ED33" i="36" s="1"/>
  <c r="LH29" i="36"/>
  <c r="LK29" i="36" s="1"/>
  <c r="FF48" i="36"/>
  <c r="FJ48" i="36" s="1"/>
  <c r="DK29" i="36"/>
  <c r="DL29" i="36" s="1"/>
  <c r="IB8" i="36"/>
  <c r="FZ21" i="36"/>
  <c r="GD21" i="36" s="1"/>
  <c r="IB69" i="36"/>
  <c r="GL49" i="36"/>
  <c r="FZ48" i="36"/>
  <c r="GD48" i="36" s="1"/>
  <c r="IB11" i="36"/>
  <c r="IB20" i="36"/>
  <c r="HW8" i="36"/>
  <c r="FF10" i="36"/>
  <c r="FJ10" i="36" s="1"/>
  <c r="AQ69" i="36"/>
  <c r="AR69" i="36" s="1"/>
  <c r="GL68" i="36"/>
  <c r="GI77" i="36"/>
  <c r="GI21" i="36"/>
  <c r="FF68" i="36"/>
  <c r="FJ68" i="36" s="1"/>
  <c r="DY5" i="36"/>
  <c r="GL40" i="36"/>
  <c r="LH74" i="36"/>
  <c r="LK74" i="36" s="1"/>
  <c r="FF46" i="36"/>
  <c r="FJ46" i="36" s="1"/>
  <c r="DV21" i="36"/>
  <c r="DU69" i="36"/>
  <c r="FF62" i="36"/>
  <c r="DR69" i="36"/>
  <c r="AQ8" i="36"/>
  <c r="FZ8" i="36" s="1"/>
  <c r="GD8" i="36" s="1"/>
  <c r="DV74" i="36"/>
  <c r="DL68" i="36"/>
  <c r="GI47" i="36"/>
  <c r="DM21" i="36"/>
  <c r="DN21" i="36" s="1"/>
  <c r="LH26" i="36"/>
  <c r="LK26" i="36" s="1"/>
  <c r="DM33" i="36"/>
  <c r="DN33" i="36" s="1"/>
  <c r="GI26" i="36"/>
  <c r="LH46" i="36"/>
  <c r="GH40" i="36"/>
  <c r="GI42" i="36"/>
  <c r="GI43" i="36"/>
  <c r="FZ46" i="36"/>
  <c r="GD46" i="36" s="1"/>
  <c r="IB40" i="36"/>
  <c r="GL42" i="36"/>
  <c r="FB26" i="36"/>
  <c r="IB43" i="36"/>
  <c r="AR20" i="36"/>
  <c r="CJ8" i="36"/>
  <c r="DZ8" i="36"/>
  <c r="ED8" i="36" s="1"/>
  <c r="GH10" i="36"/>
  <c r="DT24" i="36"/>
  <c r="AL69" i="36"/>
  <c r="AV69" i="36"/>
  <c r="AV80" i="36" s="1"/>
  <c r="AW80" i="36" s="1"/>
  <c r="DM62" i="36"/>
  <c r="DN62" i="36" s="1"/>
  <c r="GI45" i="36"/>
  <c r="FZ43" i="36"/>
  <c r="GD43" i="36" s="1"/>
  <c r="IB10" i="36"/>
  <c r="IB33" i="36"/>
  <c r="IB26" i="36"/>
  <c r="DV20" i="36"/>
  <c r="DU8" i="36"/>
  <c r="FE69" i="36"/>
  <c r="FI69" i="36" s="1"/>
  <c r="AL8" i="36"/>
  <c r="CD10" i="36"/>
  <c r="DR8" i="36"/>
  <c r="FZ37" i="36"/>
  <c r="GD37" i="36" s="1"/>
  <c r="AR37" i="36"/>
  <c r="IB9" i="36"/>
  <c r="FF61" i="36"/>
  <c r="FJ61" i="36" s="1"/>
  <c r="FY63" i="36"/>
  <c r="GC63" i="36" s="1"/>
  <c r="GL48" i="36"/>
  <c r="HJ80" i="36"/>
  <c r="HK80" i="36" s="1"/>
  <c r="AZ80" i="36"/>
  <c r="DM48" i="36"/>
  <c r="DM47" i="36"/>
  <c r="AQ9" i="36"/>
  <c r="AL9" i="36"/>
  <c r="DM77" i="36"/>
  <c r="DN77" i="36" s="1"/>
  <c r="DV45" i="36"/>
  <c r="FZ62" i="36"/>
  <c r="GI62" i="36"/>
  <c r="CU43" i="36"/>
  <c r="CP43" i="36"/>
  <c r="GM68" i="36"/>
  <c r="FF45" i="36"/>
  <c r="FJ45" i="36" s="1"/>
  <c r="LH62" i="36"/>
  <c r="LK62" i="36" s="1"/>
  <c r="GI49" i="36"/>
  <c r="LH63" i="36"/>
  <c r="LK63" i="36" s="1"/>
  <c r="CU29" i="36"/>
  <c r="CV29" i="36" s="1"/>
  <c r="CP29" i="36"/>
  <c r="DK8" i="36"/>
  <c r="CD8" i="36"/>
  <c r="FE9" i="36"/>
  <c r="FI9" i="36" s="1"/>
  <c r="DY43" i="36"/>
  <c r="EC43" i="36" s="1"/>
  <c r="IB32" i="36"/>
  <c r="HW32" i="36"/>
  <c r="FE27" i="36"/>
  <c r="FI27" i="36" s="1"/>
  <c r="LH48" i="36"/>
  <c r="DZ27" i="36"/>
  <c r="ED27" i="36" s="1"/>
  <c r="FZ32" i="36"/>
  <c r="FU32" i="36"/>
  <c r="GI32" i="36"/>
  <c r="GM32" i="36" s="1"/>
  <c r="LH40" i="36"/>
  <c r="LK40" i="36" s="1"/>
  <c r="LE40" i="36"/>
  <c r="LH32" i="36"/>
  <c r="LK32" i="36" s="1"/>
  <c r="LH41" i="36"/>
  <c r="LK41" i="36" s="1"/>
  <c r="DU27" i="36"/>
  <c r="LH47" i="36"/>
  <c r="GI11" i="36"/>
  <c r="EP11" i="36"/>
  <c r="LH42" i="36"/>
  <c r="LK42" i="36" s="1"/>
  <c r="LE42" i="36"/>
  <c r="GL21" i="36"/>
  <c r="GH21" i="36"/>
  <c r="FF21" i="36"/>
  <c r="FJ21" i="36" s="1"/>
  <c r="FB21" i="36"/>
  <c r="GH8" i="36"/>
  <c r="CJ6" i="35"/>
  <c r="FE6" i="35"/>
  <c r="FV15" i="35"/>
  <c r="KO103" i="36"/>
  <c r="KO101" i="36"/>
  <c r="LE69" i="36"/>
  <c r="LH69" i="36"/>
  <c r="LK69" i="36" s="1"/>
  <c r="DZ74" i="36"/>
  <c r="ED74" i="36" s="1"/>
  <c r="DH74" i="36"/>
  <c r="MB80" i="36"/>
  <c r="IB60" i="36"/>
  <c r="HW60" i="36"/>
  <c r="FF74" i="36"/>
  <c r="FJ74" i="36" s="1"/>
  <c r="FB74" i="36"/>
  <c r="JO80" i="36"/>
  <c r="JP80" i="36" s="1"/>
  <c r="JP60" i="36"/>
  <c r="EV80" i="36"/>
  <c r="FB63" i="36"/>
  <c r="CJ63" i="36"/>
  <c r="DM63" i="36"/>
  <c r="DN63" i="36" s="1"/>
  <c r="GG80" i="36"/>
  <c r="GH60" i="36"/>
  <c r="LU93" i="36"/>
  <c r="LU94" i="36" s="1"/>
  <c r="LT93" i="36"/>
  <c r="LT94" i="36" s="1"/>
  <c r="GL77" i="36"/>
  <c r="GH77" i="36"/>
  <c r="EP78" i="36"/>
  <c r="GI78" i="36"/>
  <c r="DZ78" i="36"/>
  <c r="ED78" i="36" s="1"/>
  <c r="DH78" i="36"/>
  <c r="FB69" i="36"/>
  <c r="FU74" i="36"/>
  <c r="FZ74" i="36"/>
  <c r="GD74" i="36" s="1"/>
  <c r="AK80" i="36"/>
  <c r="FY80" i="36" s="1"/>
  <c r="GC80" i="36" s="1"/>
  <c r="AQ60" i="36"/>
  <c r="FZ60" i="36" s="1"/>
  <c r="GD60" i="36" s="1"/>
  <c r="AL60" i="36"/>
  <c r="HK76" i="36"/>
  <c r="IB76" i="36"/>
  <c r="GL74" i="36"/>
  <c r="GH74" i="36"/>
  <c r="HZ61" i="36"/>
  <c r="IF61" i="36" s="1"/>
  <c r="IG61" i="36" s="1"/>
  <c r="HQ61" i="36"/>
  <c r="HV61" i="36"/>
  <c r="DZ61" i="36"/>
  <c r="ED61" i="36" s="1"/>
  <c r="DH61" i="36"/>
  <c r="KO80" i="36"/>
  <c r="KP80" i="36" s="1"/>
  <c r="KP60" i="36"/>
  <c r="IA60" i="36"/>
  <c r="FE60" i="36"/>
  <c r="FI60" i="36" s="1"/>
  <c r="DU60" i="36"/>
  <c r="EP63" i="36"/>
  <c r="GI63" i="36"/>
  <c r="FF47" i="36"/>
  <c r="FJ47" i="36" s="1"/>
  <c r="AR47" i="36"/>
  <c r="EP50" i="36"/>
  <c r="GI50" i="36"/>
  <c r="DZ50" i="36"/>
  <c r="ED50" i="36" s="1"/>
  <c r="DH50" i="36"/>
  <c r="DV44" i="36"/>
  <c r="BB60" i="36"/>
  <c r="EP40" i="36"/>
  <c r="GI40" i="36"/>
  <c r="FZ29" i="36"/>
  <c r="GD29" i="36" s="1"/>
  <c r="FU29" i="36"/>
  <c r="FF44" i="36"/>
  <c r="FJ44" i="36" s="1"/>
  <c r="GH32" i="36"/>
  <c r="GL32" i="36"/>
  <c r="GI24" i="36"/>
  <c r="GI58" i="36" s="1"/>
  <c r="EP24" i="36"/>
  <c r="DH24" i="36"/>
  <c r="DZ24" i="36"/>
  <c r="DL24" i="36"/>
  <c r="LE20" i="36"/>
  <c r="LH20" i="36"/>
  <c r="FT80" i="36"/>
  <c r="FU60" i="36"/>
  <c r="EP25" i="36"/>
  <c r="GI25" i="36"/>
  <c r="GL26" i="36"/>
  <c r="AL11" i="36"/>
  <c r="AQ11" i="36"/>
  <c r="FY11" i="36"/>
  <c r="GC11" i="36" s="1"/>
  <c r="DR11" i="36"/>
  <c r="FE11" i="36"/>
  <c r="FI11" i="36" s="1"/>
  <c r="FU27" i="36"/>
  <c r="AL28" i="36"/>
  <c r="AQ28" i="36"/>
  <c r="AR28" i="36" s="1"/>
  <c r="DR28" i="36"/>
  <c r="CJ11" i="36"/>
  <c r="DM11" i="36"/>
  <c r="IB28" i="36"/>
  <c r="HW28" i="36"/>
  <c r="GI27" i="36"/>
  <c r="EP27" i="36"/>
  <c r="GI20" i="36"/>
  <c r="EP20" i="36"/>
  <c r="DH10" i="36"/>
  <c r="DZ10" i="36"/>
  <c r="ED10" i="36" s="1"/>
  <c r="FZ7" i="36"/>
  <c r="GD7" i="36" s="1"/>
  <c r="FU7" i="36"/>
  <c r="CJ7" i="36"/>
  <c r="DM7" i="36"/>
  <c r="DN7" i="36" s="1"/>
  <c r="HQ6" i="36"/>
  <c r="HV6" i="36"/>
  <c r="HZ6" i="36"/>
  <c r="HZ15" i="36" s="1"/>
  <c r="FF64" i="36"/>
  <c r="FJ64" i="36" s="1"/>
  <c r="FB64" i="36"/>
  <c r="DZ25" i="36"/>
  <c r="ED25" i="36" s="1"/>
  <c r="DH25" i="36"/>
  <c r="LE5" i="36"/>
  <c r="KN94" i="36"/>
  <c r="KN96" i="36"/>
  <c r="FZ77" i="36"/>
  <c r="GD77" i="36" s="1"/>
  <c r="FU77" i="36"/>
  <c r="GL76" i="36"/>
  <c r="GH76" i="36"/>
  <c r="FF77" i="36"/>
  <c r="FJ77" i="36" s="1"/>
  <c r="FB77" i="36"/>
  <c r="GH78" i="36"/>
  <c r="GL78" i="36"/>
  <c r="GI69" i="36"/>
  <c r="EP69" i="36"/>
  <c r="FZ76" i="36"/>
  <c r="FU76" i="36"/>
  <c r="DZ64" i="36"/>
  <c r="ED64" i="36" s="1"/>
  <c r="DH64" i="36"/>
  <c r="DM74" i="36"/>
  <c r="DN74" i="36" s="1"/>
  <c r="CJ74" i="36"/>
  <c r="DR60" i="36"/>
  <c r="CO80" i="36"/>
  <c r="CP80" i="36" s="1"/>
  <c r="CU60" i="36"/>
  <c r="DZ60" i="36" s="1"/>
  <c r="ED60" i="36" s="1"/>
  <c r="CP60" i="36"/>
  <c r="LE64" i="36"/>
  <c r="LH64" i="36"/>
  <c r="LK64" i="36" s="1"/>
  <c r="FU64" i="36"/>
  <c r="FZ64" i="36"/>
  <c r="GD64" i="36" s="1"/>
  <c r="DM64" i="36"/>
  <c r="DN64" i="36" s="1"/>
  <c r="MF80" i="36"/>
  <c r="MG60" i="36"/>
  <c r="HP80" i="36"/>
  <c r="FA80" i="36"/>
  <c r="FB60" i="36"/>
  <c r="DI80" i="36"/>
  <c r="GJ80" i="36" s="1"/>
  <c r="GJ60" i="36"/>
  <c r="LH68" i="36"/>
  <c r="LK68" i="36" s="1"/>
  <c r="KZ61" i="36"/>
  <c r="ON61" i="36" s="1"/>
  <c r="LD61" i="36"/>
  <c r="MY61" i="36" s="1"/>
  <c r="NB61" i="36" s="1"/>
  <c r="KV61" i="36"/>
  <c r="GL63" i="36"/>
  <c r="GH63" i="36"/>
  <c r="DZ63" i="36"/>
  <c r="ED63" i="36" s="1"/>
  <c r="DH63" i="36"/>
  <c r="IB41" i="36"/>
  <c r="HW41" i="36"/>
  <c r="GH50" i="36"/>
  <c r="GL50" i="36"/>
  <c r="DV50" i="36"/>
  <c r="DM46" i="36"/>
  <c r="DN46" i="36" s="1"/>
  <c r="CJ45" i="36"/>
  <c r="DM45" i="36"/>
  <c r="DN45" i="36" s="1"/>
  <c r="IB44" i="36"/>
  <c r="HW44" i="36"/>
  <c r="CJ44" i="36"/>
  <c r="DM44" i="36"/>
  <c r="DN44" i="36" s="1"/>
  <c r="LE30" i="36"/>
  <c r="LH30" i="36"/>
  <c r="LK30" i="36" s="1"/>
  <c r="DM26" i="36"/>
  <c r="DN26" i="36" s="1"/>
  <c r="CJ26" i="36"/>
  <c r="JT27" i="36"/>
  <c r="LH27" i="36"/>
  <c r="LK27" i="36" s="1"/>
  <c r="FB27" i="36"/>
  <c r="LH43" i="36"/>
  <c r="LK43" i="36" s="1"/>
  <c r="IB24" i="36"/>
  <c r="HW24" i="36"/>
  <c r="EC24" i="36"/>
  <c r="DZ46" i="36"/>
  <c r="ED46" i="36" s="1"/>
  <c r="CJ31" i="36"/>
  <c r="DM31" i="36"/>
  <c r="DN31" i="36" s="1"/>
  <c r="DH7" i="36"/>
  <c r="DZ7" i="36"/>
  <c r="ED7" i="36" s="1"/>
  <c r="FU25" i="36"/>
  <c r="FZ25" i="36"/>
  <c r="GD25" i="36" s="1"/>
  <c r="DH40" i="36"/>
  <c r="DZ40" i="36"/>
  <c r="ED40" i="36" s="1"/>
  <c r="LE31" i="36"/>
  <c r="LH31" i="36"/>
  <c r="LK31" i="36" s="1"/>
  <c r="LP80" i="36"/>
  <c r="LQ80" i="36" s="1"/>
  <c r="LQ60" i="36"/>
  <c r="LU60" i="36"/>
  <c r="FZ44" i="36"/>
  <c r="GD44" i="36" s="1"/>
  <c r="GI28" i="36"/>
  <c r="GM28" i="36" s="1"/>
  <c r="EP28" i="36"/>
  <c r="AK58" i="36"/>
  <c r="CI9" i="36"/>
  <c r="DK9" i="36"/>
  <c r="IF9" i="36" s="1"/>
  <c r="IG9" i="36" s="1"/>
  <c r="CD9" i="36"/>
  <c r="FF7" i="36"/>
  <c r="FJ7" i="36" s="1"/>
  <c r="FB7" i="36"/>
  <c r="MB58" i="36"/>
  <c r="DV25" i="36"/>
  <c r="DZ20" i="36"/>
  <c r="DH20" i="36"/>
  <c r="DV10" i="36"/>
  <c r="LA5" i="36"/>
  <c r="GI5" i="36"/>
  <c r="EP5" i="36"/>
  <c r="FU5" i="36"/>
  <c r="FZ5" i="36"/>
  <c r="CD5" i="36"/>
  <c r="CI5" i="36"/>
  <c r="DK5" i="36"/>
  <c r="LH49" i="36"/>
  <c r="LE37" i="36"/>
  <c r="LH37" i="36"/>
  <c r="FZ40" i="36"/>
  <c r="GD40" i="36" s="1"/>
  <c r="FU40" i="36"/>
  <c r="DH42" i="36"/>
  <c r="DZ42" i="36"/>
  <c r="ED42" i="36" s="1"/>
  <c r="FF29" i="36"/>
  <c r="FJ29" i="36" s="1"/>
  <c r="FB29" i="36"/>
  <c r="FB24" i="36"/>
  <c r="DM42" i="36"/>
  <c r="DN42" i="36" s="1"/>
  <c r="HW29" i="36"/>
  <c r="IB29" i="36"/>
  <c r="JT28" i="36"/>
  <c r="LH28" i="36"/>
  <c r="LK28" i="36" s="1"/>
  <c r="FB28" i="36"/>
  <c r="DM24" i="36"/>
  <c r="FY60" i="36"/>
  <c r="GC60" i="36" s="1"/>
  <c r="FU28" i="36"/>
  <c r="DL31" i="36"/>
  <c r="GL31" i="36"/>
  <c r="GL24" i="36"/>
  <c r="GH24" i="36"/>
  <c r="DH6" i="36"/>
  <c r="LE38" i="36"/>
  <c r="LH38" i="36"/>
  <c r="LE25" i="36"/>
  <c r="LH25" i="36"/>
  <c r="LK25" i="36" s="1"/>
  <c r="JO58" i="36"/>
  <c r="JP58" i="36" s="1"/>
  <c r="GI46" i="36"/>
  <c r="GH33" i="36"/>
  <c r="GL33" i="36"/>
  <c r="GL27" i="36"/>
  <c r="GH27" i="36"/>
  <c r="FI24" i="36"/>
  <c r="FB20" i="36"/>
  <c r="FF20" i="36"/>
  <c r="LE9" i="36"/>
  <c r="LH9" i="36"/>
  <c r="LK9" i="36" s="1"/>
  <c r="LE8" i="36"/>
  <c r="LH8" i="36"/>
  <c r="LK8" i="36" s="1"/>
  <c r="EP7" i="36"/>
  <c r="GI7" i="36"/>
  <c r="LE6" i="36"/>
  <c r="LH6" i="36"/>
  <c r="LK6" i="36" s="1"/>
  <c r="LH33" i="36"/>
  <c r="LK33" i="36" s="1"/>
  <c r="GH6" i="36"/>
  <c r="HK5" i="36"/>
  <c r="KE5" i="36"/>
  <c r="FF5" i="36"/>
  <c r="FJ5" i="36" s="1"/>
  <c r="FB5" i="36"/>
  <c r="IB5" i="36"/>
  <c r="HW5" i="36"/>
  <c r="GY5" i="36"/>
  <c r="DZ11" i="36"/>
  <c r="ED11" i="36" s="1"/>
  <c r="DH5" i="36"/>
  <c r="KP5" i="36"/>
  <c r="GX80" i="36"/>
  <c r="GY80" i="36" s="1"/>
  <c r="GY60" i="36"/>
  <c r="FZ50" i="36"/>
  <c r="GD50" i="36" s="1"/>
  <c r="DV47" i="36"/>
  <c r="DL45" i="36"/>
  <c r="GL45" i="36"/>
  <c r="DL44" i="36"/>
  <c r="GL44" i="36"/>
  <c r="FF78" i="36"/>
  <c r="FJ78" i="36" s="1"/>
  <c r="FB78" i="36"/>
  <c r="GI76" i="36"/>
  <c r="GM76" i="36" s="1"/>
  <c r="FF76" i="36"/>
  <c r="FB76" i="36"/>
  <c r="GV93" i="36"/>
  <c r="GT93" i="36"/>
  <c r="DM78" i="36"/>
  <c r="DN78" i="36" s="1"/>
  <c r="CJ78" i="36"/>
  <c r="DZ77" i="36"/>
  <c r="ED77" i="36" s="1"/>
  <c r="DM69" i="36"/>
  <c r="JY80" i="36"/>
  <c r="JZ80" i="36" s="1"/>
  <c r="KD60" i="36"/>
  <c r="JZ60" i="36"/>
  <c r="DG80" i="36"/>
  <c r="DH60" i="36"/>
  <c r="GI64" i="36"/>
  <c r="IB74" i="36"/>
  <c r="IN80" i="36"/>
  <c r="IO80" i="36" s="1"/>
  <c r="IO60" i="36"/>
  <c r="IS60" i="36"/>
  <c r="DY60" i="36"/>
  <c r="EC60" i="36" s="1"/>
  <c r="DB80" i="36"/>
  <c r="LG80" i="36"/>
  <c r="LJ80" i="36" s="1"/>
  <c r="DM61" i="36"/>
  <c r="IB63" i="36"/>
  <c r="HW63" i="36"/>
  <c r="LD60" i="36"/>
  <c r="MY60" i="36" s="1"/>
  <c r="NB60" i="36" s="1"/>
  <c r="FU63" i="36"/>
  <c r="AQ63" i="36"/>
  <c r="AR63" i="36" s="1"/>
  <c r="AL63" i="36"/>
  <c r="JD80" i="36"/>
  <c r="JE80" i="36" s="1"/>
  <c r="JE60" i="36"/>
  <c r="EO80" i="36"/>
  <c r="EP80" i="36" s="1"/>
  <c r="GI60" i="36"/>
  <c r="EP60" i="36"/>
  <c r="BW80" i="36"/>
  <c r="BX80" i="36" s="1"/>
  <c r="BX60" i="36"/>
  <c r="FZ47" i="36"/>
  <c r="GD47" i="36" s="1"/>
  <c r="DM49" i="36"/>
  <c r="LH45" i="36"/>
  <c r="JS60" i="36"/>
  <c r="DM50" i="36"/>
  <c r="DN50" i="36" s="1"/>
  <c r="CJ50" i="36"/>
  <c r="GI48" i="36"/>
  <c r="DH45" i="36"/>
  <c r="DZ45" i="36"/>
  <c r="ED45" i="36" s="1"/>
  <c r="DH44" i="36"/>
  <c r="DZ44" i="36"/>
  <c r="ED44" i="36" s="1"/>
  <c r="FF25" i="36"/>
  <c r="FJ25" i="36" s="1"/>
  <c r="FB25" i="36"/>
  <c r="DU63" i="36"/>
  <c r="FF40" i="36"/>
  <c r="FJ40" i="36" s="1"/>
  <c r="FB40" i="36"/>
  <c r="DH29" i="36"/>
  <c r="GI29" i="36"/>
  <c r="LE11" i="36"/>
  <c r="LH11" i="36"/>
  <c r="LK11" i="36" s="1"/>
  <c r="FE28" i="36"/>
  <c r="FI28" i="36" s="1"/>
  <c r="AL27" i="36"/>
  <c r="DR27" i="36"/>
  <c r="AQ27" i="36"/>
  <c r="AR27" i="36" s="1"/>
  <c r="CV24" i="36"/>
  <c r="FZ10" i="36"/>
  <c r="GD10" i="36" s="1"/>
  <c r="FO92" i="36"/>
  <c r="FP80" i="36"/>
  <c r="FF50" i="36"/>
  <c r="FJ50" i="36" s="1"/>
  <c r="FB50" i="36"/>
  <c r="GL25" i="36"/>
  <c r="GH25" i="36"/>
  <c r="DM25" i="36"/>
  <c r="DN25" i="36" s="1"/>
  <c r="CJ25" i="36"/>
  <c r="DM27" i="36"/>
  <c r="DN27" i="36" s="1"/>
  <c r="DH31" i="36"/>
  <c r="DZ31" i="36"/>
  <c r="ED31" i="36" s="1"/>
  <c r="IO24" i="36"/>
  <c r="IS24" i="36"/>
  <c r="IT24" i="36" s="1"/>
  <c r="DK6" i="36"/>
  <c r="CD6" i="36"/>
  <c r="CI6" i="36"/>
  <c r="GL46" i="36"/>
  <c r="GL28" i="36"/>
  <c r="GH28" i="36"/>
  <c r="IB27" i="36"/>
  <c r="HW27" i="36"/>
  <c r="LH24" i="36"/>
  <c r="LK24" i="36" s="1"/>
  <c r="LE24" i="36"/>
  <c r="LH10" i="36"/>
  <c r="LK10" i="36" s="1"/>
  <c r="LE10" i="36"/>
  <c r="DH9" i="36"/>
  <c r="DZ9" i="36"/>
  <c r="ED9" i="36" s="1"/>
  <c r="FU8" i="36"/>
  <c r="GL64" i="36"/>
  <c r="GH64" i="36"/>
  <c r="FZ45" i="36"/>
  <c r="GD45" i="36" s="1"/>
  <c r="FB6" i="36"/>
  <c r="DU11" i="36"/>
  <c r="JE5" i="36"/>
  <c r="IS5" i="36"/>
  <c r="IS15" i="36" s="1"/>
  <c r="IT15" i="36" s="1"/>
  <c r="IO5" i="36"/>
  <c r="BW5" i="36"/>
  <c r="BW15" i="36" s="1"/>
  <c r="CP6" i="36"/>
  <c r="CU6" i="36"/>
  <c r="CV6" i="36" s="1"/>
  <c r="EC6" i="35"/>
  <c r="EG6" i="35" s="1"/>
  <c r="DY6" i="35"/>
  <c r="CU12" i="35"/>
  <c r="CP12" i="35"/>
  <c r="FC15" i="35"/>
  <c r="FW15" i="35"/>
  <c r="DX6" i="35"/>
  <c r="EB6" i="35"/>
  <c r="EF6" i="35" s="1"/>
  <c r="FH6" i="35"/>
  <c r="FD6" i="35"/>
  <c r="FG6" i="35"/>
  <c r="FJ6" i="35" s="1"/>
  <c r="FB15" i="35"/>
  <c r="BP15" i="35"/>
  <c r="BR15" i="35" s="1"/>
  <c r="DV15" i="35"/>
  <c r="CN12" i="35"/>
  <c r="CN15" i="35" s="1"/>
  <c r="AZ12" i="35"/>
  <c r="DX14" i="35"/>
  <c r="EB14" i="35"/>
  <c r="EF14" i="35" s="1"/>
  <c r="FH14" i="35"/>
  <c r="FK14" i="35" s="1"/>
  <c r="FJ7" i="35"/>
  <c r="DU15" i="35"/>
  <c r="DW15" i="35"/>
  <c r="CH12" i="35"/>
  <c r="BX12" i="35"/>
  <c r="BV15" i="35"/>
  <c r="BX15" i="35" s="1"/>
  <c r="FA15" i="35"/>
  <c r="GK15" i="35" s="1"/>
  <c r="DR15" i="35"/>
  <c r="EF7" i="35"/>
  <c r="CG15" i="35"/>
  <c r="CU6" i="35"/>
  <c r="CY6" i="35" s="1"/>
  <c r="CP6" i="35"/>
  <c r="EG7" i="35"/>
  <c r="CI6" i="35"/>
  <c r="CS15" i="35"/>
  <c r="CW15" i="35" s="1"/>
  <c r="CV6" i="35"/>
  <c r="CZ6" i="35" s="1"/>
  <c r="CQ6" i="35"/>
  <c r="CO6" i="35"/>
  <c r="CO15" i="35" s="1"/>
  <c r="EA15" i="35"/>
  <c r="DK80" i="36" l="1"/>
  <c r="DL80" i="36" s="1"/>
  <c r="CP14" i="35"/>
  <c r="CM15" i="35"/>
  <c r="DL58" i="36"/>
  <c r="HT15" i="35"/>
  <c r="DV6" i="36"/>
  <c r="ON60" i="36"/>
  <c r="ON5" i="36"/>
  <c r="MG80" i="36"/>
  <c r="MG15" i="36"/>
  <c r="ON15" i="36"/>
  <c r="OO15" i="36" s="1"/>
  <c r="OL15" i="36"/>
  <c r="OM15" i="36" s="1"/>
  <c r="ON24" i="36"/>
  <c r="AR24" i="36"/>
  <c r="MG58" i="36"/>
  <c r="OL80" i="36"/>
  <c r="OM80" i="36" s="1"/>
  <c r="OL58" i="36"/>
  <c r="OM58" i="36" s="1"/>
  <c r="GO9" i="35"/>
  <c r="GL15" i="35"/>
  <c r="DM10" i="36"/>
  <c r="DN10" i="36" s="1"/>
  <c r="FF24" i="36"/>
  <c r="FJ24" i="36" s="1"/>
  <c r="FR93" i="36"/>
  <c r="FQ93" i="36" s="1"/>
  <c r="IF20" i="36"/>
  <c r="IG20" i="36" s="1"/>
  <c r="DR58" i="36"/>
  <c r="DY58" i="36"/>
  <c r="EC58" i="36" s="1"/>
  <c r="CJ80" i="36"/>
  <c r="IE94" i="36"/>
  <c r="CT15" i="35"/>
  <c r="CX15" i="35" s="1"/>
  <c r="FE58" i="36"/>
  <c r="FI58" i="36" s="1"/>
  <c r="CI58" i="36"/>
  <c r="FY58" i="36"/>
  <c r="GC58" i="36" s="1"/>
  <c r="CU58" i="36"/>
  <c r="CV58" i="36" s="1"/>
  <c r="DR15" i="36"/>
  <c r="GP6" i="35"/>
  <c r="ED20" i="36"/>
  <c r="FJ20" i="36"/>
  <c r="IE15" i="36"/>
  <c r="BW58" i="36"/>
  <c r="BX58" i="36" s="1"/>
  <c r="DK58" i="36"/>
  <c r="DK15" i="36"/>
  <c r="GD5" i="36"/>
  <c r="GI15" i="36"/>
  <c r="GL60" i="36"/>
  <c r="CP58" i="36"/>
  <c r="CP15" i="36"/>
  <c r="CV5" i="36"/>
  <c r="CU15" i="36"/>
  <c r="FY15" i="36"/>
  <c r="FU15" i="36"/>
  <c r="GM8" i="36"/>
  <c r="GH15" i="36"/>
  <c r="DL60" i="36"/>
  <c r="EC5" i="36"/>
  <c r="DY15" i="36"/>
  <c r="DN20" i="36"/>
  <c r="MX58" i="36"/>
  <c r="NA58" i="36" s="1"/>
  <c r="HZ58" i="36"/>
  <c r="IF21" i="36"/>
  <c r="IG21" i="36" s="1"/>
  <c r="IA61" i="36"/>
  <c r="IF80" i="36"/>
  <c r="IF5" i="36"/>
  <c r="IG5" i="36" s="1"/>
  <c r="CI15" i="36"/>
  <c r="IF29" i="36"/>
  <c r="IG29" i="36" s="1"/>
  <c r="DL8" i="36"/>
  <c r="IF8" i="36"/>
  <c r="IG8" i="36" s="1"/>
  <c r="DL6" i="36"/>
  <c r="IF6" i="36"/>
  <c r="IG6" i="36" s="1"/>
  <c r="FI15" i="35"/>
  <c r="GN15" i="35"/>
  <c r="GO6" i="35"/>
  <c r="GH15" i="35"/>
  <c r="DV24" i="36"/>
  <c r="KZ58" i="36"/>
  <c r="LA58" i="36" s="1"/>
  <c r="FZ42" i="36"/>
  <c r="GD42" i="36" s="1"/>
  <c r="IB21" i="36"/>
  <c r="IB58" i="36" s="1"/>
  <c r="HV58" i="36"/>
  <c r="HW58" i="36" s="1"/>
  <c r="CJ60" i="36"/>
  <c r="FF6" i="36"/>
  <c r="FJ6" i="36" s="1"/>
  <c r="FZ6" i="36"/>
  <c r="GD6" i="36" s="1"/>
  <c r="HQ80" i="36"/>
  <c r="GM20" i="36"/>
  <c r="HQ58" i="36"/>
  <c r="CU14" i="35"/>
  <c r="CY14" i="35" s="1"/>
  <c r="GP14" i="35"/>
  <c r="GO14" i="35"/>
  <c r="CR15" i="35"/>
  <c r="LH15" i="36"/>
  <c r="LK15" i="36" s="1"/>
  <c r="LH5" i="36"/>
  <c r="LK5" i="36" s="1"/>
  <c r="JT5" i="36"/>
  <c r="LH21" i="36"/>
  <c r="LK21" i="36" s="1"/>
  <c r="MY15" i="36"/>
  <c r="NB15" i="36" s="1"/>
  <c r="GM37" i="36"/>
  <c r="GM49" i="36"/>
  <c r="GM47" i="36"/>
  <c r="GC24" i="36"/>
  <c r="GM62" i="36"/>
  <c r="LE15" i="36"/>
  <c r="MV15" i="36"/>
  <c r="FF42" i="36"/>
  <c r="FJ42" i="36" s="1"/>
  <c r="MV58" i="36"/>
  <c r="MV80" i="36"/>
  <c r="CI15" i="35"/>
  <c r="EE15" i="35"/>
  <c r="FG15" i="35"/>
  <c r="FJ15" i="35" s="1"/>
  <c r="KD58" i="36"/>
  <c r="KE58" i="36" s="1"/>
  <c r="DV42" i="36"/>
  <c r="HV15" i="36"/>
  <c r="HW15" i="36" s="1"/>
  <c r="IS58" i="36"/>
  <c r="IT58" i="36" s="1"/>
  <c r="LD58" i="36"/>
  <c r="MY58" i="36" s="1"/>
  <c r="NB58" i="36" s="1"/>
  <c r="JD58" i="36"/>
  <c r="JE58" i="36" s="1"/>
  <c r="LG58" i="36"/>
  <c r="LJ58" i="36" s="1"/>
  <c r="LK20" i="36"/>
  <c r="JS58" i="36"/>
  <c r="JT58" i="36" s="1"/>
  <c r="GM42" i="36"/>
  <c r="FF60" i="36"/>
  <c r="FJ60" i="36" s="1"/>
  <c r="DZ5" i="36"/>
  <c r="FF69" i="36"/>
  <c r="FJ69" i="36" s="1"/>
  <c r="GM48" i="36"/>
  <c r="DM40" i="36"/>
  <c r="DN40" i="36" s="1"/>
  <c r="GM33" i="36"/>
  <c r="DV8" i="36"/>
  <c r="GM26" i="36"/>
  <c r="DV69" i="36"/>
  <c r="DZ29" i="36"/>
  <c r="ED29" i="36" s="1"/>
  <c r="DY80" i="36"/>
  <c r="EC80" i="36" s="1"/>
  <c r="GM45" i="36"/>
  <c r="FF28" i="36"/>
  <c r="FJ28" i="36" s="1"/>
  <c r="GM63" i="36"/>
  <c r="GL29" i="36"/>
  <c r="GL58" i="36" s="1"/>
  <c r="GM64" i="36"/>
  <c r="GM21" i="36"/>
  <c r="FZ69" i="36"/>
  <c r="GD69" i="36" s="1"/>
  <c r="BA69" i="36"/>
  <c r="AW69" i="36"/>
  <c r="AR8" i="36"/>
  <c r="FF8" i="36"/>
  <c r="FJ8" i="36" s="1"/>
  <c r="CV43" i="36"/>
  <c r="DZ43" i="36"/>
  <c r="ED43" i="36" s="1"/>
  <c r="DM43" i="36"/>
  <c r="AR9" i="36"/>
  <c r="FZ9" i="36"/>
  <c r="GD9" i="36" s="1"/>
  <c r="FF9" i="36"/>
  <c r="FJ9" i="36" s="1"/>
  <c r="FZ63" i="36"/>
  <c r="GD63" i="36" s="1"/>
  <c r="HZ80" i="36"/>
  <c r="FF63" i="36"/>
  <c r="FJ63" i="36" s="1"/>
  <c r="GL8" i="36"/>
  <c r="DM29" i="36"/>
  <c r="DN29" i="36" s="1"/>
  <c r="DV9" i="36"/>
  <c r="GM44" i="36"/>
  <c r="GM69" i="36"/>
  <c r="DV11" i="36"/>
  <c r="GM77" i="36"/>
  <c r="GM27" i="36"/>
  <c r="EB15" i="35"/>
  <c r="EF15" i="35" s="1"/>
  <c r="DY15" i="35"/>
  <c r="DM5" i="36"/>
  <c r="CJ5" i="36"/>
  <c r="GM31" i="36"/>
  <c r="IT5" i="36"/>
  <c r="DN61" i="36"/>
  <c r="GM61" i="36"/>
  <c r="KD80" i="36"/>
  <c r="KE80" i="36" s="1"/>
  <c r="KE60" i="36"/>
  <c r="CU80" i="36"/>
  <c r="CV80" i="36" s="1"/>
  <c r="CV60" i="36"/>
  <c r="GM25" i="36"/>
  <c r="FU80" i="36"/>
  <c r="HW61" i="36"/>
  <c r="IB61" i="36"/>
  <c r="IB80" i="36" s="1"/>
  <c r="AQ80" i="36"/>
  <c r="AR80" i="36" s="1"/>
  <c r="AR60" i="36"/>
  <c r="HV80" i="36"/>
  <c r="HW80" i="36" s="1"/>
  <c r="LA61" i="36"/>
  <c r="KZ80" i="36"/>
  <c r="LA80" i="36" s="1"/>
  <c r="GD24" i="36"/>
  <c r="CJ6" i="36"/>
  <c r="DM6" i="36"/>
  <c r="JS80" i="36"/>
  <c r="JT80" i="36" s="1"/>
  <c r="JT60" i="36"/>
  <c r="GI80" i="36"/>
  <c r="LD80" i="36"/>
  <c r="MY80" i="36" s="1"/>
  <c r="NB80" i="36" s="1"/>
  <c r="LH60" i="36"/>
  <c r="LE60" i="36"/>
  <c r="DH80" i="36"/>
  <c r="DV63" i="36"/>
  <c r="GM7" i="36"/>
  <c r="GM46" i="36"/>
  <c r="DZ6" i="36"/>
  <c r="ED6" i="36" s="1"/>
  <c r="FZ28" i="36"/>
  <c r="GD28" i="36" s="1"/>
  <c r="DN24" i="36"/>
  <c r="DL9" i="36"/>
  <c r="GL9" i="36"/>
  <c r="FF27" i="36"/>
  <c r="FJ27" i="36" s="1"/>
  <c r="HW6" i="36"/>
  <c r="IB6" i="36"/>
  <c r="IB15" i="36" s="1"/>
  <c r="AQ58" i="36"/>
  <c r="AR58" i="36" s="1"/>
  <c r="FZ27" i="36"/>
  <c r="GD27" i="36" s="1"/>
  <c r="AR11" i="36"/>
  <c r="FF11" i="36"/>
  <c r="FJ11" i="36" s="1"/>
  <c r="FZ11" i="36"/>
  <c r="GD11" i="36" s="1"/>
  <c r="ED24" i="36"/>
  <c r="GM24" i="36"/>
  <c r="AL80" i="36"/>
  <c r="DU80" i="36"/>
  <c r="FE80" i="36"/>
  <c r="FI80" i="36" s="1"/>
  <c r="GM74" i="36"/>
  <c r="GL6" i="36"/>
  <c r="GH80" i="36"/>
  <c r="BX5" i="36"/>
  <c r="DV27" i="36"/>
  <c r="IS80" i="36"/>
  <c r="IT80" i="36" s="1"/>
  <c r="IT60" i="36"/>
  <c r="DL5" i="36"/>
  <c r="GL5" i="36"/>
  <c r="DM9" i="36"/>
  <c r="CJ9" i="36"/>
  <c r="AL58" i="36"/>
  <c r="DU58" i="36"/>
  <c r="LU80" i="36"/>
  <c r="LV80" i="36" s="1"/>
  <c r="LV60" i="36"/>
  <c r="LE61" i="36"/>
  <c r="LH61" i="36"/>
  <c r="LK61" i="36" s="1"/>
  <c r="FB80" i="36"/>
  <c r="DR80" i="36"/>
  <c r="DV60" i="36"/>
  <c r="DN11" i="36"/>
  <c r="GM11" i="36"/>
  <c r="DV28" i="36"/>
  <c r="GM50" i="36"/>
  <c r="DM60" i="36"/>
  <c r="GM60" i="36" s="1"/>
  <c r="GM78" i="36"/>
  <c r="EC12" i="35"/>
  <c r="CJ12" i="35"/>
  <c r="FD15" i="35"/>
  <c r="CV12" i="35"/>
  <c r="CQ12" i="35"/>
  <c r="FE15" i="35"/>
  <c r="FK6" i="35"/>
  <c r="FH15" i="35"/>
  <c r="FK15" i="35" s="1"/>
  <c r="CH15" i="35"/>
  <c r="CJ15" i="35" s="1"/>
  <c r="DX15" i="35"/>
  <c r="GL80" i="36" l="1"/>
  <c r="ON58" i="36"/>
  <c r="OO58" i="36" s="1"/>
  <c r="ON80" i="36"/>
  <c r="OO80" i="36" s="1"/>
  <c r="GM10" i="36"/>
  <c r="DM58" i="36"/>
  <c r="DN58" i="36" s="1"/>
  <c r="CP15" i="35"/>
  <c r="CU15" i="35"/>
  <c r="CY15" i="35" s="1"/>
  <c r="IF58" i="36"/>
  <c r="IG58" i="36" s="1"/>
  <c r="FZ58" i="36"/>
  <c r="GD58" i="36" s="1"/>
  <c r="DZ58" i="36"/>
  <c r="ED58" i="36" s="1"/>
  <c r="FF58" i="36"/>
  <c r="FJ58" i="36" s="1"/>
  <c r="ED5" i="36"/>
  <c r="DZ15" i="36"/>
  <c r="IF15" i="36"/>
  <c r="IG15" i="36" s="1"/>
  <c r="FZ15" i="36"/>
  <c r="DN5" i="36"/>
  <c r="DM15" i="36"/>
  <c r="DN15" i="36" s="1"/>
  <c r="DL15" i="36"/>
  <c r="IF94" i="36"/>
  <c r="IG80" i="36"/>
  <c r="FF80" i="36"/>
  <c r="FJ80" i="36" s="1"/>
  <c r="GP15" i="35"/>
  <c r="GO15" i="35"/>
  <c r="LE58" i="36"/>
  <c r="LE80" i="36"/>
  <c r="GM40" i="36"/>
  <c r="LH58" i="36"/>
  <c r="LK58" i="36" s="1"/>
  <c r="DV80" i="36"/>
  <c r="BB69" i="36"/>
  <c r="BA80" i="36"/>
  <c r="GM29" i="36"/>
  <c r="DZ80" i="36"/>
  <c r="ED80" i="36" s="1"/>
  <c r="DN43" i="36"/>
  <c r="GM43" i="36"/>
  <c r="GM5" i="36"/>
  <c r="DV58" i="36"/>
  <c r="LK60" i="36"/>
  <c r="LH80" i="36"/>
  <c r="LK80" i="36" s="1"/>
  <c r="DN9" i="36"/>
  <c r="GM9" i="36"/>
  <c r="DN6" i="36"/>
  <c r="GM6" i="36"/>
  <c r="FZ80" i="36"/>
  <c r="GD80" i="36" s="1"/>
  <c r="DM80" i="36"/>
  <c r="DN80" i="36" s="1"/>
  <c r="DN60" i="36"/>
  <c r="CQ15" i="35"/>
  <c r="CV15" i="35"/>
  <c r="CZ15" i="35" s="1"/>
  <c r="EG12" i="35"/>
  <c r="EC15" i="35"/>
  <c r="EG15" i="35" s="1"/>
  <c r="IF97" i="36" l="1"/>
  <c r="GM58" i="36"/>
  <c r="BB80" i="36"/>
  <c r="GM80" i="36"/>
  <c r="GG9" i="35" l="1"/>
  <c r="GC9" i="35"/>
  <c r="GA15" i="35"/>
  <c r="GC15" i="35" s="1"/>
  <c r="GG15" i="35" l="1"/>
  <c r="GI9" i="35"/>
  <c r="GQ9" i="35"/>
  <c r="GM9" i="35"/>
  <c r="GI15" i="35" l="1"/>
  <c r="GM15" i="35"/>
  <c r="GQ15" i="35"/>
  <c r="Z1" i="33"/>
</calcChain>
</file>

<file path=xl/comments1.xml><?xml version="1.0" encoding="utf-8"?>
<comments xmlns="http://schemas.openxmlformats.org/spreadsheetml/2006/main">
  <authors>
    <author>Author</author>
  </authors>
  <commentList>
    <comment ref="A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AH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Hire due to 5 weeks Billing..</t>
        </r>
      </text>
    </comment>
    <comment ref="A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Extra Hongkong billing 1.35Cr</t>
        </r>
      </text>
    </comment>
    <comment ref="AD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Empl in Bench</t>
        </r>
      </text>
    </comment>
    <comment ref="A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 Empl in Bench</t>
        </r>
      </text>
    </comment>
    <comment ref="AE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- Bench Billing</t>
        </r>
      </text>
    </comment>
    <comment ref="AI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- Bench Billing</t>
        </r>
      </text>
    </comment>
    <comment ref="AI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Extra AWS Billing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E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ANZ - Joning bouns not included in Cost, added now..</t>
        </r>
      </text>
    </comment>
    <comment ref="K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after Funding Cost
2,30,69,511 - NP 
1,72,76,827 - PBT</t>
        </r>
      </text>
    </comment>
    <comment ref="D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D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D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J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Rev is higer due to Bench Billing (old)</t>
        </r>
      </text>
    </comment>
    <comment ref="J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GP is higher due to bench billing (old)</t>
        </r>
      </text>
    </comment>
    <comment ref="J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NP is higher due to bench billing</t>
        </r>
      </text>
    </comment>
    <comment ref="LN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SOW Billing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O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T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J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22 23- 10lac's</t>
        </r>
      </text>
    </comment>
    <comment ref="QY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23 UNDER TRAINING</t>
        </r>
      </text>
    </comment>
    <comment ref="Q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Y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I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J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J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BD Exp</t>
        </r>
      </text>
    </comment>
    <comment ref="J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K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K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L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O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C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Q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T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I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42418</t>
        </r>
      </text>
    </comment>
    <comment ref="J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K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Billing &amp; Cost Added Now.</t>
        </r>
      </text>
    </comment>
    <comment ref="K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K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Q4 Rebate 2022</t>
        </r>
      </text>
    </comment>
    <comment ref="K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L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Q4 Rebate 2022</t>
        </r>
      </text>
    </comment>
    <comment ref="L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O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Billing &amp; Cost Added Now.</t>
        </r>
      </text>
    </comment>
    <comment ref="Q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Q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RT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Cost Including Zetamine</t>
        </r>
      </text>
    </comment>
    <comment ref="S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C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Vendor Payments</t>
        </r>
      </text>
    </comment>
    <comment ref="GU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payment</t>
        </r>
      </text>
    </comment>
    <comment ref="IK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C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IP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JA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JL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IK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I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C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N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Y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RY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SJ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SU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Q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JB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2022 23</t>
        </r>
      </text>
    </comment>
    <comment ref="Q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-2023 24  Rs.1751803</t>
        </r>
      </text>
    </comment>
    <comment ref="OS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Margin due to Leaves</t>
        </r>
      </text>
    </comment>
    <comment ref="NI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ALY TEAM EXP</t>
        </r>
      </text>
    </comment>
    <comment ref="G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Maternity</t>
        </r>
      </text>
    </comment>
    <comment ref="JL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M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RPO Service, no Hiring yet due to Hire freez</t>
        </r>
      </text>
    </comment>
    <comment ref="KG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RPO Service, no Hiring yet due to Hire freez</t>
        </r>
      </text>
    </comment>
    <comment ref="IK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Prft</t>
        </r>
      </text>
    </comment>
    <comment ref="I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J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O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P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AH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Inclding Vendor 50%share</t>
        </r>
      </text>
    </comment>
    <comment ref="BZ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CL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vixi</t>
        </r>
      </text>
    </comment>
    <comment ref="HS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KD Cost Included
</t>
        </r>
      </text>
    </comment>
    <comment ref="I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I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G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G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X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L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with Arrear salary &amp; Billing</t>
        </r>
      </text>
    </comment>
    <comment ref="LS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O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PS Vendor - Varaha 481232</t>
        </r>
      </text>
    </comment>
    <comment ref="PC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PS Vendor - Varaha</t>
        </r>
      </text>
    </comment>
    <comment ref="PN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T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Y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Screening Cost</t>
        </r>
      </text>
    </comment>
    <comment ref="RE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RZ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S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S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T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Profit</t>
        </r>
      </text>
    </comment>
    <comment ref="I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M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 + Joining Bonus 481010</t>
        </r>
      </text>
    </comment>
    <comment ref="KX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Y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 + Joining Bonus 481010</t>
        </r>
      </text>
    </comment>
    <comment ref="JM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B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M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LS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PWC BD EXP</t>
        </r>
      </text>
    </comment>
    <comment ref="OR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JOING BONUS RS.2.30LAC;S</t>
        </r>
      </text>
    </comment>
    <comment ref="OX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BZ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CL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CR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- vixi Invoice</t>
        </r>
      </text>
    </comment>
    <comment ref="IK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VENOR PROFIT</t>
        </r>
      </text>
    </comment>
    <comment ref="IV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KG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KR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LM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QY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RD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IV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Y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RT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Sidharth Jain - Obscond, salary paid &amp; Billing Rejected</t>
        </r>
      </text>
    </comment>
    <comment ref="LS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CA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 Poor Performance,no billing</t>
        </r>
      </text>
    </comment>
    <comment ref="IQ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J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JM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PI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KX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LS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MD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MO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NJ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NU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OF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OR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PC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PN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C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N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Y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RT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JB9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of Managed servive Port</t>
        </r>
      </text>
    </comment>
    <comment ref="TE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Old Chennai Rental Deposit Reversal</t>
        </r>
      </text>
    </comment>
    <comment ref="SP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Linkdhn</t>
        </r>
      </text>
    </comment>
    <comment ref="TE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Linkdhn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D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IG198780-Extension Po-IG208134</t>
        </r>
      </text>
    </comment>
    <comment ref="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 days leave paid,bt invoicedas per timesheet for 28 days</t>
        </r>
      </text>
    </comment>
    <comment ref="CK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pay-approx amt</t>
        </r>
      </text>
    </comment>
    <comment ref="C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last mnth as f&amp;F
</t>
        </r>
      </text>
    </comment>
    <comment ref="K19" authorId="0" shapeId="0">
      <text>
        <r>
          <rPr>
            <b/>
            <sz val="11"/>
            <color indexed="81"/>
            <rFont val="Tahoma"/>
            <family val="2"/>
          </rPr>
          <t>Author:</t>
        </r>
        <r>
          <rPr>
            <sz val="11"/>
            <color indexed="81"/>
            <rFont val="Tahoma"/>
            <family val="2"/>
          </rPr>
          <t xml:space="preserve">
2 resources Shifted to DC Migrati shifted to SSOon &amp; 1 resource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Synantac-sesurity tr to it security</t>
        </r>
      </text>
    </comment>
    <comment ref="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synatac security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removed synatac security</t>
        </r>
      </text>
    </comment>
    <comment ref="C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pay-f&amp;F case,so approx amt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5 consultants
</t>
        </r>
      </text>
    </comment>
    <comment ref="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
 cons</t>
        </r>
      </text>
    </comment>
    <comment ref="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Aug-18</t>
        </r>
      </text>
    </comment>
    <comment ref="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
 cons</t>
        </r>
      </text>
    </comment>
    <comment ref="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</t>
        </r>
      </text>
    </comment>
    <comment ref="B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resources as consultant</t>
        </r>
      </text>
    </comment>
    <comment ref="B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6 consultants
</t>
        </r>
      </text>
    </comment>
    <comment ref="B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pay F&amp;F-Ankur gadwal
</t>
        </r>
      </text>
    </comment>
    <comment ref="B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Ankur gadwal lwd-15-3-19 raised in this po</t>
        </r>
      </text>
    </comment>
    <comment ref="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days leave</t>
        </r>
      </text>
    </comment>
    <comment ref="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days leave</t>
        </r>
      </text>
    </comment>
    <comment ref="CZ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f&amp;f-ganesh kumar reddy-paid in f&amp;f-32551  &amp; sarthi was absconded</t>
        </r>
      </text>
    </comment>
    <comment ref="AX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inj feb-19
</t>
        </r>
      </text>
    </comment>
    <comment ref="BB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amt added in salary for resource pavan</t>
        </r>
      </text>
    </comment>
    <comment ref="BC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for Jan-19 mnth in 2 po's</t>
        </r>
      </text>
    </comment>
    <comment ref="B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may-19</t>
        </r>
      </text>
    </comment>
    <comment ref="C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couns</t>
        </r>
      </text>
    </comment>
    <comment ref="C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 couns mode</t>
        </r>
      </text>
    </comment>
    <comment ref="D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Mobile allowance 4400
</t>
        </r>
      </text>
    </comment>
    <comment ref="T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approx.billing</t>
        </r>
      </text>
    </comment>
    <comment ref="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</t>
        </r>
      </text>
    </comment>
    <comment ref="A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Feb-19
</t>
        </r>
      </text>
    </comment>
    <comment ref="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cons added</t>
        </r>
      </text>
    </comment>
    <comment ref="J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Jun-18
</t>
        </r>
      </text>
    </comment>
    <comment ref="N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6059-paid in jun-18 payout</t>
        </r>
      </text>
    </comment>
    <comment ref="O31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T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Aug-18</t>
        </r>
      </text>
    </comment>
    <comment ref="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added cons.</t>
        </r>
      </text>
    </comment>
    <comment ref="A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Nov-18
</t>
        </r>
      </text>
    </comment>
    <comment ref="BB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3 cons mode+added arrears (nov+dec-1828+26029)
</t>
        </r>
      </text>
    </comment>
    <comment ref="CL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
</t>
        </r>
      </text>
    </comment>
    <comment ref="CU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Few resoreces11 shifted to T&amp;T 7 added 4 couns &amp; arrerasadded from Sep-19 payout</t>
        </r>
      </text>
    </comment>
    <comment ref="DP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DEC-19</t>
        </r>
      </text>
    </comment>
    <comment ref="DT35" authorId="0" shapeId="0">
      <text>
        <r>
          <rPr>
            <b/>
            <sz val="9"/>
            <color indexed="81"/>
            <rFont val="Tahoma"/>
            <family val="2"/>
          </rPr>
          <t>Author: 
Allowance included-24624</t>
        </r>
      </text>
    </comment>
    <comment ref="G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</t>
        </r>
      </text>
    </comment>
    <comment ref="G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G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G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HC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J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</t>
        </r>
      </text>
    </comment>
    <comment ref="J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JW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K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3 counsultant</t>
        </r>
      </text>
    </comment>
    <comment ref="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9 cons</t>
        </r>
      </text>
    </comment>
    <comment ref="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sep-18
</t>
        </r>
      </text>
    </comment>
    <comment ref="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oct-18
</t>
        </r>
      </text>
    </comment>
    <comment ref="AD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oct-18
</t>
        </r>
      </text>
    </comment>
    <comment ref="A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leave Bal</t>
        </r>
      </text>
    </comment>
    <comment ref="A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leave Bal</t>
        </r>
      </text>
    </comment>
    <comment ref="B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f&amp;f added+1 cons mode</t>
        </r>
      </text>
    </comment>
    <comment ref="CU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couns mode</t>
        </r>
      </text>
    </comment>
    <comment ref="DO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f&amp;f-prathmesh-20000+backup resource-9000+Ranjit Shinde+46000</t>
        </r>
      </text>
    </comment>
    <comment ref="D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DEC-19</t>
        </r>
      </text>
    </comment>
    <comment ref="DT40" authorId="0" shapeId="0">
      <text>
        <r>
          <rPr>
            <b/>
            <sz val="9"/>
            <color indexed="81"/>
            <rFont val="Tahoma"/>
            <family val="2"/>
          </rPr>
          <t xml:space="preserve">Author
9500 Back up resource
</t>
        </r>
      </text>
    </comment>
    <comment ref="G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N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X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AC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PARESH NAIK 'S salary from 14-8-18
</t>
        </r>
      </text>
    </comment>
    <comment ref="FO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Yet to Pay</t>
        </r>
      </text>
    </comment>
    <comment ref="FT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Thire is 2 employees</t>
        </r>
      </text>
    </comment>
    <comment ref="CU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arrears from July-19</t>
        </r>
      </text>
    </comment>
    <comment ref="DE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arrears added from Sep-19 payout</t>
        </r>
      </text>
    </comment>
    <comment ref="HN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HS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KR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HN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HS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KR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DT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f&amp;F added lwd-15-11-19 &amp; 14650-added allowance
</t>
        </r>
      </text>
    </comment>
    <comment ref="FY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D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I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N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S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X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N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Months salaries</t>
        </r>
      </text>
    </comment>
    <comment ref="JR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Months salaries</t>
        </r>
      </text>
    </comment>
    <comment ref="HM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HR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KQ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M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NA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NF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QD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QI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QN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TL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TQ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T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B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BL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C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CZ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D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MB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PJ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SR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NQ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PO</t>
        </r>
      </text>
    </comment>
    <comment ref="NU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 new Resources
</t>
        </r>
      </text>
    </comment>
    <comment ref="S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resoure sal will pay next mnth</t>
        </r>
      </text>
    </comment>
    <comment ref="X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resoure f&amp;f sal will pay </t>
        </r>
      </text>
    </comment>
    <comment ref="EI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night shift allow 2400</t>
        </r>
      </text>
    </comment>
    <comment ref="GI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N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S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X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PK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Raise and Approval pending</t>
        </r>
      </text>
    </comment>
    <comment ref="PF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Included Mar'23 Billing also.</t>
        </r>
      </text>
    </comment>
    <comment ref="PZ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20% Discount</t>
        </r>
      </text>
    </comment>
    <comment ref="TH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20% Discount</t>
        </r>
      </text>
    </comment>
    <comment ref="PK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Bill, PO issue</t>
        </r>
      </text>
    </comment>
    <comment ref="P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HDFC AMS Project closed and employees are shifted to this project.</t>
        </r>
      </text>
    </comment>
    <comment ref="Q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lwd-44972</t>
        </r>
      </text>
    </comment>
    <comment ref="T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HDFC AMS Project closed and employees are shifted to this project.</t>
        </r>
      </text>
    </comment>
    <comment ref="T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lwd-44972</t>
        </r>
      </text>
    </comment>
    <comment ref="SR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Billed</t>
        </r>
      </text>
    </comment>
    <comment ref="UA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Lab setup cost+ Attendance machine cost</t>
        </r>
      </text>
    </comment>
    <comment ref="UG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Apx Billiing</t>
        </r>
      </text>
    </comment>
    <comment ref="N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Resources sal paid in Jun-18-payout
</t>
        </r>
      </text>
    </comment>
    <comment ref="O102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
</t>
        </r>
      </text>
    </comment>
    <comment ref="Y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sep-18</t>
        </r>
      </text>
    </comment>
    <comment ref="BB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 &amp; f yet to pay bt added in salary</t>
        </r>
      </text>
    </comment>
    <comment ref="BC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</t>
        </r>
      </text>
    </comment>
    <comment ref="BL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 f added</t>
        </r>
      </text>
    </comment>
    <comment ref="CK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 f added</t>
        </r>
      </text>
    </comment>
    <comment ref="CU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ARREARS  paid in july-19</t>
        </r>
      </text>
    </comment>
    <comment ref="DO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new joinee-on 11-10-19</t>
        </r>
      </text>
    </comment>
    <comment ref="LY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PG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SO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KG1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 PG </t>
        </r>
      </text>
    </comment>
    <comment ref="TH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TM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TR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QX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C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H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SM110" authorId="0" shapeId="0">
      <text>
        <r>
          <rPr>
            <b/>
            <sz val="9"/>
            <color indexed="81"/>
            <rFont val="Tahoma"/>
            <family val="2"/>
          </rPr>
          <t>VINAY M
1st April24 to 14th April'24</t>
        </r>
      </text>
    </comment>
    <comment ref="UK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D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RI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TV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 laptop's</t>
        </r>
      </text>
    </comment>
    <comment ref="UL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TV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 laptop</t>
        </r>
      </text>
    </comment>
    <comment ref="UB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 Laptop's</t>
        </r>
      </text>
    </comment>
    <comment ref="SM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Cost Start from 1st Feb'24</t>
        </r>
      </text>
    </comment>
    <comment ref="SN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Start from 15th Jan'24</t>
        </r>
      </text>
    </comment>
    <comment ref="UK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4L Brokerage + 44K commision</t>
        </r>
      </text>
    </comment>
    <comment ref="G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 -6 Emploees as per PO</t>
        </r>
      </text>
    </comment>
    <comment ref="SM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Start from 15th April'24</t>
        </r>
      </text>
    </comment>
    <comment ref="SN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Start from 15th April 24</t>
        </r>
      </text>
    </comment>
    <comment ref="SW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Alchemy + Vendor - 11</t>
        </r>
      </text>
    </comment>
    <comment ref="UA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 Reduced</t>
        </r>
      </text>
    </comment>
    <comment ref="UF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vijay upadhyaya cost-20000 &amp; ADDED ROUTING COST-1257532 &amp; ADDED 1 CONFEE-87000 &amp; ADDED ALLOWANCE-</t>
        </r>
      </text>
    </comment>
    <comment ref="SM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Till Mar'24 Exp + April Actual spend</t>
        </r>
      </text>
    </comment>
    <comment ref="SR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PO</t>
        </r>
      </text>
    </comment>
    <comment ref="TB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Subba Cost -3lac's</t>
        </r>
      </text>
    </comment>
    <comment ref="TG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TEAM LEASE EXP ADDED NOW</t>
        </r>
      </text>
    </comment>
    <comment ref="TV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 715,000 reduced</t>
        </r>
      </text>
    </comment>
    <comment ref="UA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</t>
        </r>
      </text>
    </comment>
    <comment ref="UG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 Value Reduced</t>
        </r>
      </text>
    </comment>
    <comment ref="UF1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TEAM- 5 Empl including Archit</t>
        </r>
      </text>
    </comment>
    <comment ref="JR1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Expenses are not booked during the Year</t>
        </r>
      </text>
    </comment>
    <comment ref="MB1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 2Lac Payment</t>
        </r>
      </text>
    </comment>
    <comment ref="PK1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 | Po Rate Revised</t>
        </r>
      </text>
    </comment>
    <comment ref="SS1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 | Po Rate Revised</t>
        </r>
      </text>
    </comment>
    <comment ref="KL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GETTA FIX INVOICE NOT YET RECEIVED</t>
        </r>
      </text>
    </comment>
    <comment ref="PT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</t>
        </r>
      </text>
    </comment>
    <comment ref="TB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</t>
        </r>
      </text>
    </comment>
    <comment ref="PT1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 Getafix</t>
        </r>
      </text>
    </comment>
    <comment ref="AW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Salary+cons mode (1 resource's billing period is Nov-18</t>
        </r>
      </text>
    </comment>
    <comment ref="BB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added billing period- oct-18 mnth as paid in Jan-19 in cons mode..</t>
        </r>
      </text>
    </comment>
    <comment ref="BC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1 mar 19
</t>
        </r>
      </text>
    </comment>
    <comment ref="CL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</t>
        </r>
      </text>
    </comment>
    <comment ref="CP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paid in jun-19 arrears sheet-10586 &amp; 1 arrears from july-19-14284amt</t>
        </r>
      </text>
    </comment>
    <comment ref="CU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arrears from july-19-3467/-</t>
        </r>
      </text>
    </comment>
    <comment ref="CV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JULY-19</t>
        </r>
      </text>
    </comment>
    <comment ref="CZ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counsmode+1 arrears added from Sep-19 payout</t>
        </r>
      </text>
    </comment>
    <comment ref="DA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SEP-19</t>
        </r>
      </text>
    </comment>
    <comment ref="DF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OCT-19</t>
        </r>
      </text>
    </comment>
    <comment ref="DT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69200 Nov-19 Allowance
+10800 Back Up Resource
</t>
        </r>
      </text>
    </comment>
    <comment ref="DU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jan-2020</t>
        </r>
      </text>
    </comment>
    <comment ref="FO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Internet Bill</t>
        </r>
      </text>
    </comment>
    <comment ref="TL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NEW joinee &amp; lwd &amp; allowances
</t>
        </r>
      </text>
    </comment>
    <comment ref="AI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Yet Raised</t>
        </r>
      </text>
    </comment>
    <comment ref="BB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1-cons mode+3 F&amp;f added in this salary</t>
        </r>
      </text>
    </comment>
    <comment ref="CL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</t>
        </r>
      </text>
    </comment>
    <comment ref="DK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raise-will raise in Nov-19</t>
        </r>
      </text>
    </comment>
    <comment ref="DT148" authorId="0" shapeId="0">
      <text>
        <r>
          <rPr>
            <b/>
            <sz val="9"/>
            <color indexed="81"/>
            <rFont val="Tahoma"/>
            <family val="2"/>
          </rPr>
          <t xml:space="preserve">Author 
2000 Nov-19 allowance
</t>
        </r>
      </text>
    </comment>
    <comment ref="DU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Jan-2020</t>
        </r>
      </text>
    </comment>
    <comment ref="HN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HS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PE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Mar'2 Cot considered here
</t>
        </r>
      </text>
    </comment>
    <comment ref="TL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TQ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TV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MI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MN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PQ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PV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SY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TD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NT1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Joine</t>
        </r>
      </text>
    </comment>
    <comment ref="PT1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10450 allowance and Rev added</t>
        </r>
      </text>
    </comment>
    <comment ref="PJ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Allowance</t>
        </r>
      </text>
    </comment>
    <comment ref="PK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Allow Billed</t>
        </r>
      </text>
    </comment>
    <comment ref="SM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Travel Exp - Chintan
Monthly Bill- Mar &amp; April</t>
        </r>
      </text>
    </comment>
    <comment ref="SR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Chintan Pay</t>
        </r>
      </text>
    </comment>
    <comment ref="TL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 21800</t>
        </r>
      </text>
    </comment>
    <comment ref="TM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Chintan Hotel Exp</t>
        </r>
      </text>
    </comment>
    <comment ref="TQ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Chintan fee + TA Exp</t>
        </r>
      </text>
    </comment>
    <comment ref="TR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WEEL BILLING</t>
        </r>
      </text>
    </comment>
    <comment ref="PJ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Trave cost + Allowance+Postage charges 126454+
Laptop Accessiories</t>
        </r>
      </text>
    </comment>
    <comment ref="PO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-1Cr will be charged next 10 months on 10L each + Laptop Charges 17Lac's Charged next 10months</t>
        </r>
      </text>
    </comment>
    <comment ref="PP175" authorId="0" shapeId="0">
      <text>
        <r>
          <rPr>
            <b/>
            <sz val="9"/>
            <color indexed="81"/>
            <rFont val="Tahoma"/>
            <family val="2"/>
          </rPr>
          <t>Billing from 15.05.23 to 30.06.23</t>
        </r>
      </text>
    </comment>
    <comment ref="PT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MAIL DT 2-8-23 FROM Santu-added-
hcl allowances-207100 &amp; added ankit inv mail dt 1-8-23-20000&amp; added 10lacs cost (per month fixed)</t>
        </r>
      </text>
    </comment>
    <comment ref="QD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TRAVEL EXP-153438
</t>
        </r>
      </text>
    </comment>
    <comment ref="QY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</t>
        </r>
      </text>
    </comment>
    <comment ref="RD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Jan. Feb'24 billing yet to raise any changes will alter it</t>
        </r>
      </text>
    </comment>
    <comment ref="RI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FEB'24
</t>
        </r>
      </text>
    </comment>
    <comment ref="SN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MAR'24
</t>
        </r>
      </text>
    </comment>
    <comment ref="SS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APRIL'24 Penatly</t>
        </r>
      </text>
    </comment>
    <comment ref="SW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ENCASH</t>
        </r>
      </text>
    </comment>
    <comment ref="SX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May &amp; June - 2 months Penality Charged here</t>
        </r>
      </text>
    </comment>
    <comment ref="UL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Jan. Feb'24 billing yet to raise any changes will alter it</t>
        </r>
      </text>
    </comment>
    <comment ref="UQ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FEB'24
</t>
        </r>
      </text>
    </comment>
    <comment ref="PT1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BOTH EXP AND REV ADDED 54038
</t>
        </r>
      </text>
    </comment>
    <comment ref="PF1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Mar'23 Billing added
</t>
        </r>
      </text>
    </comment>
    <comment ref="PT1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33200 Allowance added both in Exp and Rev</t>
        </r>
      </text>
    </comment>
    <comment ref="MD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PL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ST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EI2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Dinesh G - Obscnd due to Late Confirmation from HR</t>
        </r>
      </text>
    </comment>
    <comment ref="PJ2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APPROX.-Cognis_Invoice_085_Completion of iteration 2 MAIL DT 16-6-23 FROM INDRANIL</t>
        </r>
      </text>
    </comment>
    <comment ref="PK2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MAIL DT 21-6-23 BILLING for line no.2 &amp; 3 </t>
        </r>
      </text>
    </comment>
    <comment ref="GU2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Santu Extra Salary 50K</t>
        </r>
      </text>
    </comment>
    <comment ref="PV2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Brokerage 2K</t>
        </r>
      </text>
    </comment>
    <comment ref="UH2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Reduced Rain sitting cost</t>
        </r>
      </text>
    </comment>
    <comment ref="QK2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Aninda Travel Exp</t>
        </r>
      </text>
    </comment>
    <comment ref="PV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Q1 Target Incentive.</t>
        </r>
      </text>
    </comment>
    <comment ref="QU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 Q2</t>
        </r>
      </text>
    </comment>
    <comment ref="QZ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Indusin Project Incentive + Team Incentive</t>
        </r>
      </text>
    </comment>
    <comment ref="MN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Brokerage Pune Office</t>
        </r>
      </text>
    </comment>
    <comment ref="MX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QF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TN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TD2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LAPTO RETURN HCL PROJECT + LAPTOP SENT TO INDUS</t>
        </r>
      </text>
    </comment>
    <comment ref="UC2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TOWARDS MSHCL PAYMENT CLEARING</t>
        </r>
      </text>
    </comment>
    <comment ref="TI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N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S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X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UC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UH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NM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NR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NW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OB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E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Funding Cost 15%</t>
        </r>
      </text>
    </comment>
    <comment ref="MX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QZ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E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J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H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M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R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X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Increase in Margin due to stoppage of PS Feee</t>
        </r>
      </text>
    </comment>
    <comment ref="R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time Fee $375</t>
        </r>
      </text>
    </comment>
    <comment ref="X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Increase in Margin due to stoppage of PS Feee</t>
        </r>
      </text>
    </comment>
    <comment ref="Q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Now Added one Billing and Exp</t>
        </r>
      </text>
    </comment>
    <comment ref="Q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Books Rev and Exp punched in Cuurent month</t>
        </r>
      </text>
    </comment>
    <comment ref="T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 from India and charged back.</t>
        </r>
      </text>
    </comment>
    <comment ref="AA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 from India and charged back.</t>
        </r>
      </text>
    </comment>
    <comment ref="YC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-New Client Requirement</t>
        </r>
      </text>
    </comment>
    <comment ref="H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Discount is Changed based on HCL - $.149304</t>
        </r>
      </text>
    </comment>
    <comment ref="H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Diff Discount Charged</t>
        </r>
      </text>
    </comment>
    <comment ref="MV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Portal Payment</t>
        </r>
      </text>
    </comment>
    <comment ref="N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Portal Payment</t>
        </r>
      </text>
    </comment>
    <comment ref="RC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- Portal Payment</t>
        </r>
      </text>
    </comment>
    <comment ref="YL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Annul Payment</t>
        </r>
      </text>
    </comment>
    <comment ref="XR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FY 23 24 Bal Profit -33881 into 6 Intsallments</t>
        </r>
      </text>
    </comment>
    <comment ref="F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Billing, paid to One ON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A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in Bench</t>
        </r>
      </text>
    </comment>
    <comment ref="B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 Employees in Bench</t>
        </r>
      </text>
    </comment>
    <comment ref="B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 Employees in Bench Other Bench Billing done </t>
        </r>
      </text>
    </comment>
    <comment ref="B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Employees in Bench Other Bench Billing done 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Bench Billing Done</t>
        </r>
      </text>
    </comment>
    <comment ref="B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Bench Billing up to Sep'24.</t>
        </r>
      </text>
    </comment>
    <comment ref="C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SOW Billing - Dec'24 &amp; Jan'25</t>
        </r>
      </text>
    </comment>
    <comment ref="Z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Old Expenses vendor..Feb &amp; Mar</t>
        </r>
      </text>
    </comment>
    <comment ref="B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B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B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C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Adding Last Year Profit, Mar'23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PF|Sindh fund</t>
        </r>
      </text>
    </comment>
    <comment ref="D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PF|Sindh fund</t>
        </r>
      </text>
    </comment>
    <comment ref="F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due to Year end closure.</t>
        </r>
      </text>
    </comment>
    <comment ref="F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AWS 2024 Inoice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B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Abscond - mukesh</t>
        </r>
      </text>
    </comment>
    <comment ref="BU51" authorId="0" shapeId="0">
      <text>
        <r>
          <rPr>
            <b/>
            <sz val="9"/>
            <color indexed="81"/>
            <rFont val="Tahoma"/>
            <family val="2"/>
          </rPr>
          <t>Author:
50% salary considered for Guru</t>
        </r>
      </text>
    </comment>
    <comment ref="CI51" authorId="0" shapeId="0">
      <text>
        <r>
          <rPr>
            <b/>
            <sz val="9"/>
            <color indexed="81"/>
            <rFont val="Tahoma"/>
            <family val="2"/>
          </rPr>
          <t>Author:
50% salary considered for Guru</t>
        </r>
      </text>
    </comment>
    <comment ref="BQ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to Wipro</t>
        </r>
      </text>
    </comment>
    <comment ref="AF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 Sndip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A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CONFEE</t>
        </r>
      </text>
    </comment>
    <comment ref="B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ADJUSTMENT</t>
        </r>
      </text>
    </comment>
    <comment ref="D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CONFEE</t>
        </r>
      </text>
    </comment>
    <comment ref="E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ADJUSTMENT</t>
        </r>
      </text>
    </comment>
    <comment ref="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Vixi Cost</t>
        </r>
      </text>
    </comment>
    <comment ref="CX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Vixi Cost</t>
        </r>
      </text>
    </comment>
    <comment ref="B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NON BILLABE RESOURCE</t>
        </r>
      </text>
    </comment>
    <comment ref="EM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NON BILLABE RESOURCE</t>
        </r>
      </text>
    </comment>
    <comment ref="U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BA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LEAVES PAID</t>
        </r>
      </text>
    </comment>
    <comment ref="EI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LEAVES PAID</t>
        </r>
      </text>
    </comment>
    <comment ref="V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 Poor Performance,no billing</t>
        </r>
      </text>
    </comment>
    <comment ref="BN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Traning Cost Rs.6983850 &amp; Pratian Expenses are charged in Q1 of 2023 24</t>
        </r>
      </text>
    </comment>
    <comment ref="EV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Traning Cost Rs.6983850 &amp; Pratian Expenses are charged in Q1 of 2023 24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YoY - Summary!$CK$5:$CK$12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YoYSummaryCK5CK121"/>
        </x15:connection>
      </ext>
    </extLst>
  </connection>
</connections>
</file>

<file path=xl/sharedStrings.xml><?xml version="1.0" encoding="utf-8"?>
<sst xmlns="http://schemas.openxmlformats.org/spreadsheetml/2006/main" count="6050" uniqueCount="1087">
  <si>
    <t>SL. No</t>
  </si>
  <si>
    <t>STRATEGIC ACCOUNTS</t>
  </si>
  <si>
    <t>Total</t>
  </si>
  <si>
    <t>Mar'22</t>
  </si>
  <si>
    <t>Q2 20-21</t>
  </si>
  <si>
    <t>HC</t>
  </si>
  <si>
    <t>Sales</t>
  </si>
  <si>
    <t>Vendor Pay</t>
  </si>
  <si>
    <t>Margin</t>
  </si>
  <si>
    <t>%</t>
  </si>
  <si>
    <t>USD</t>
  </si>
  <si>
    <t>INR</t>
  </si>
  <si>
    <t>HCL</t>
  </si>
  <si>
    <t>Mphasis</t>
  </si>
  <si>
    <t>Virtusa</t>
  </si>
  <si>
    <t>Emids</t>
  </si>
  <si>
    <t>Infoceft</t>
  </si>
  <si>
    <t>Happiest Minds</t>
  </si>
  <si>
    <t>Per Hour</t>
  </si>
  <si>
    <t>Per Hr</t>
  </si>
  <si>
    <t>Per hr</t>
  </si>
  <si>
    <t>Salaries</t>
  </si>
  <si>
    <t>B Payment</t>
  </si>
  <si>
    <t>Other Exp</t>
  </si>
  <si>
    <t>Discount 4% HCL</t>
  </si>
  <si>
    <t>Taxes - Empoyeer</t>
  </si>
  <si>
    <t xml:space="preserve">Miscl Exp - B </t>
  </si>
  <si>
    <t>Salary- B Pay - Intrnal</t>
  </si>
  <si>
    <t>Payroll Charges</t>
  </si>
  <si>
    <t>Portal Exp</t>
  </si>
  <si>
    <t>Rental &amp; Deposit</t>
  </si>
  <si>
    <t>BGV Charges</t>
  </si>
  <si>
    <t>Total Exp</t>
  </si>
  <si>
    <t>NP</t>
  </si>
  <si>
    <t>Funding Cost</t>
  </si>
  <si>
    <t>PBT</t>
  </si>
  <si>
    <t>Less : Corp Tax</t>
  </si>
  <si>
    <t>PAT</t>
  </si>
  <si>
    <t>Aug'22 (Raised in Sep)</t>
  </si>
  <si>
    <t>Sep'22 (Raised in Oct)</t>
  </si>
  <si>
    <t>SALES</t>
  </si>
  <si>
    <t>Client</t>
  </si>
  <si>
    <t>Aug'22</t>
  </si>
  <si>
    <t>Sep'22</t>
  </si>
  <si>
    <t>Managed Services Details</t>
  </si>
  <si>
    <t>Project Name</t>
  </si>
  <si>
    <t>Po No</t>
  </si>
  <si>
    <t>PO Validity</t>
  </si>
  <si>
    <t>PO Value - PM</t>
  </si>
  <si>
    <t>From</t>
  </si>
  <si>
    <t>To</t>
  </si>
  <si>
    <t>CTC</t>
  </si>
  <si>
    <t>Revenue</t>
  </si>
  <si>
    <t>IBM - MS</t>
  </si>
  <si>
    <t>ANZ</t>
  </si>
  <si>
    <t>IG250670</t>
  </si>
  <si>
    <t>IOCL</t>
  </si>
  <si>
    <t>BOI</t>
  </si>
  <si>
    <t>P6TFNLO1</t>
  </si>
  <si>
    <t>P6TFNP01</t>
  </si>
  <si>
    <t>NSDC</t>
  </si>
  <si>
    <t>IG257790</t>
  </si>
  <si>
    <t>HDB/ HBDFS  Finalcial</t>
  </si>
  <si>
    <t>P6TR6301</t>
  </si>
  <si>
    <t>MRF</t>
  </si>
  <si>
    <t>IG247388</t>
  </si>
  <si>
    <t>GODREJ ONE</t>
  </si>
  <si>
    <t>IG249404</t>
  </si>
  <si>
    <t>Clsd</t>
  </si>
  <si>
    <t>CDSL</t>
  </si>
  <si>
    <t>IG253618</t>
  </si>
  <si>
    <t>IG261155</t>
  </si>
  <si>
    <t>Sunpharma Project-PMO</t>
  </si>
  <si>
    <t>Axis Bank</t>
  </si>
  <si>
    <t>Avance Financial services</t>
  </si>
  <si>
    <t>IG261883</t>
  </si>
  <si>
    <t>Axis Bank- Fastag (Qtr)</t>
  </si>
  <si>
    <t>CIBIC - Advait (Qtr) - Sampark</t>
  </si>
  <si>
    <t>IG252645</t>
  </si>
  <si>
    <t>Best Seller Project -  (Qtr)</t>
  </si>
  <si>
    <t>IG257806</t>
  </si>
  <si>
    <t>Vodefone - Security</t>
  </si>
  <si>
    <t>P6W5P501</t>
  </si>
  <si>
    <t>ToT - IBM</t>
  </si>
  <si>
    <t>Kyndryl - MS</t>
  </si>
  <si>
    <t>Vodafone - NOC</t>
  </si>
  <si>
    <t>Vodafone Siebel / SCRM</t>
  </si>
  <si>
    <t>NOC- Nippon</t>
  </si>
  <si>
    <t>Bajaj Alliance</t>
  </si>
  <si>
    <t>ICICI Digital</t>
  </si>
  <si>
    <t xml:space="preserve">HUL </t>
  </si>
  <si>
    <t>BIAL</t>
  </si>
  <si>
    <t>BIAL - WMS</t>
  </si>
  <si>
    <t>Vodafone PMPC</t>
  </si>
  <si>
    <t>IK003983</t>
  </si>
  <si>
    <t>Lupin</t>
  </si>
  <si>
    <t>IK004091</t>
  </si>
  <si>
    <t>Suryodaya Bank</t>
  </si>
  <si>
    <t>IK003747</t>
  </si>
  <si>
    <t>IK004029</t>
  </si>
  <si>
    <t>CBI</t>
  </si>
  <si>
    <t>ToT - Kyndryl</t>
  </si>
  <si>
    <t>HTD - PWC</t>
  </si>
  <si>
    <t>IBM Capitve</t>
  </si>
  <si>
    <t>IBM GTS</t>
  </si>
  <si>
    <t>P6LZDR01</t>
  </si>
  <si>
    <t>IBM - GBS</t>
  </si>
  <si>
    <t>IBM GBS (migrted frm Hydai)</t>
  </si>
  <si>
    <t>IBM - Ranga</t>
  </si>
  <si>
    <t>HP - MS</t>
  </si>
  <si>
    <t>HP</t>
  </si>
  <si>
    <t>6800174280</t>
  </si>
  <si>
    <t>13</t>
  </si>
  <si>
    <t>L&amp;T - MS</t>
  </si>
  <si>
    <t>Defence</t>
  </si>
  <si>
    <t>BOL000736</t>
  </si>
  <si>
    <t>P0L007885</t>
  </si>
  <si>
    <t>NSE IT-LTD</t>
  </si>
  <si>
    <t>NSE IT-LIMITED</t>
  </si>
  <si>
    <t>PWC</t>
  </si>
  <si>
    <t>TOTAL AMOUNT</t>
  </si>
  <si>
    <t>Expenses</t>
  </si>
  <si>
    <t>Operational Exp - Total</t>
  </si>
  <si>
    <t>L&amp;T - Metro (Qtr)</t>
  </si>
  <si>
    <t>IBM -MS</t>
  </si>
  <si>
    <t>SBI Project</t>
  </si>
  <si>
    <t>Gammon Project</t>
  </si>
  <si>
    <t>Indigrid Project</t>
  </si>
  <si>
    <t>MaximoData load</t>
  </si>
  <si>
    <t>Vedanta/VM ware</t>
  </si>
  <si>
    <t>End Point Encryption</t>
  </si>
  <si>
    <t>Defense Robotics Project</t>
  </si>
  <si>
    <t>INDIA BUSINESS - T &amp; M</t>
  </si>
  <si>
    <t>July'22</t>
  </si>
  <si>
    <t>Category</t>
  </si>
  <si>
    <t>Account Lead</t>
  </si>
  <si>
    <t>Salary</t>
  </si>
  <si>
    <t>GM</t>
  </si>
  <si>
    <t>NP %</t>
  </si>
  <si>
    <t>GP-%</t>
  </si>
  <si>
    <t>Enterprise A/c</t>
  </si>
  <si>
    <t>IT - SI</t>
  </si>
  <si>
    <t>Strategic A/c</t>
  </si>
  <si>
    <t>Shell/ Randstad</t>
  </si>
  <si>
    <t>IT Captive</t>
  </si>
  <si>
    <t>Archana</t>
  </si>
  <si>
    <t>Lowes Services</t>
  </si>
  <si>
    <t>Dell</t>
  </si>
  <si>
    <t>Zebra</t>
  </si>
  <si>
    <t>Oracle</t>
  </si>
  <si>
    <t>All State</t>
  </si>
  <si>
    <t>EPSILON</t>
  </si>
  <si>
    <t>Deloite</t>
  </si>
  <si>
    <t>Reministreet</t>
  </si>
  <si>
    <t>Sabre</t>
  </si>
  <si>
    <t>Team Incentive</t>
  </si>
  <si>
    <t>Audit Fees</t>
  </si>
  <si>
    <t>Rates &amp; Taxes / Bank charges</t>
  </si>
  <si>
    <t>Renewal Charge</t>
  </si>
  <si>
    <t>Insurance</t>
  </si>
  <si>
    <t>Legal Charges</t>
  </si>
  <si>
    <t xml:space="preserve">Miscl Exp </t>
  </si>
  <si>
    <t>Visa Charges</t>
  </si>
  <si>
    <t>Write off</t>
  </si>
  <si>
    <t>Oct'22</t>
  </si>
  <si>
    <t>On the Web Technologies</t>
  </si>
  <si>
    <t>Nov'22</t>
  </si>
  <si>
    <t>Harman</t>
  </si>
  <si>
    <t>TOTAL</t>
  </si>
  <si>
    <t>April'22</t>
  </si>
  <si>
    <t>May'22</t>
  </si>
  <si>
    <t>June'22</t>
  </si>
  <si>
    <t>CGNAT Vodafone (Qtr) -outworks</t>
  </si>
  <si>
    <t>2022 23</t>
  </si>
  <si>
    <t>LOB</t>
  </si>
  <si>
    <t>NM</t>
  </si>
  <si>
    <t>BUH</t>
  </si>
  <si>
    <t>Arindam</t>
  </si>
  <si>
    <t>Ram</t>
  </si>
  <si>
    <t xml:space="preserve">USA </t>
  </si>
  <si>
    <t>Canada</t>
  </si>
  <si>
    <t>Dec'22</t>
  </si>
  <si>
    <t>Q2</t>
  </si>
  <si>
    <t>Q3</t>
  </si>
  <si>
    <t>TOT</t>
  </si>
  <si>
    <t>Jan'23</t>
  </si>
  <si>
    <t>Dassault Systems</t>
  </si>
  <si>
    <t>GP</t>
  </si>
  <si>
    <t>Feb'23</t>
  </si>
  <si>
    <t>Feb'22 (Raised in Mar)</t>
  </si>
  <si>
    <t>Onetime</t>
  </si>
  <si>
    <t>Mar'23</t>
  </si>
  <si>
    <t>Jan'22 (Raised in Feb)</t>
  </si>
  <si>
    <t>April'22 (Raised in May) - $75</t>
  </si>
  <si>
    <t>May'22 (Raised in June) - $75</t>
  </si>
  <si>
    <t>June'22 (Raised in July) - $ 75</t>
  </si>
  <si>
    <t>July'22 (Raised in Aug)</t>
  </si>
  <si>
    <t>Oct'22 (Raised in Nov)</t>
  </si>
  <si>
    <t>Nov'22 (Raised in Dec)</t>
  </si>
  <si>
    <t>Dec'22 (Raised in Jan)</t>
  </si>
  <si>
    <t>Total - 2022 23</t>
  </si>
  <si>
    <t>Q1  22-23</t>
  </si>
  <si>
    <t>Q2 22-23</t>
  </si>
  <si>
    <t>Q3 22-23</t>
  </si>
  <si>
    <t>Q4 22-23</t>
  </si>
  <si>
    <t>Tanisha Syts</t>
  </si>
  <si>
    <t>Mar'21</t>
  </si>
  <si>
    <t>Jan'23 (Raised in Feb)</t>
  </si>
  <si>
    <t>Feb'23 (Raised in Mar)</t>
  </si>
  <si>
    <t>Q3 20-21</t>
  </si>
  <si>
    <t>Q4 20-21</t>
  </si>
  <si>
    <t>April'20 (Raised in May)</t>
  </si>
  <si>
    <t>May'20 (Raised in June)</t>
  </si>
  <si>
    <t>June'20 (Raised in July)</t>
  </si>
  <si>
    <t>July'20 (Raised in Aug)</t>
  </si>
  <si>
    <t>Aug'20 (Raised in Sep)</t>
  </si>
  <si>
    <t>Sep'20 (Raised in Oct)</t>
  </si>
  <si>
    <t>Oct'20 (Raised in Nov)</t>
  </si>
  <si>
    <t>Nov'20 (Raised in Dec)</t>
  </si>
  <si>
    <t>Dec'20 (Raised in Jan)</t>
  </si>
  <si>
    <t>Jan'21 (Raised in Feb)</t>
  </si>
  <si>
    <t>Feb'21 (Raised in Mar)</t>
  </si>
  <si>
    <t>April'21 (Raised in May)</t>
  </si>
  <si>
    <t>May'21 (Raised in June)</t>
  </si>
  <si>
    <t>June'21 (Raised in July)</t>
  </si>
  <si>
    <t>July'21 (Raised in Aug)</t>
  </si>
  <si>
    <t>Aug'21 (Raised in Sep)</t>
  </si>
  <si>
    <t>Sep'21 (Raised in Oct)</t>
  </si>
  <si>
    <t>Oct'21 (Raised in Nov)</t>
  </si>
  <si>
    <t>Nov'21 (Raised in Dec)</t>
  </si>
  <si>
    <t>Dec'21 (Raised in Jan)</t>
  </si>
  <si>
    <t>Total - 2021 22</t>
  </si>
  <si>
    <t>Q1  20-21</t>
  </si>
  <si>
    <t xml:space="preserve"> </t>
  </si>
  <si>
    <t>Rent</t>
  </si>
  <si>
    <t>BGV</t>
  </si>
  <si>
    <t>Audit fee</t>
  </si>
  <si>
    <t>Delloitte</t>
  </si>
  <si>
    <t>1</t>
  </si>
  <si>
    <t>Bank of Baroda</t>
  </si>
  <si>
    <t>IG267152</t>
  </si>
  <si>
    <t>BIAL-SIFY</t>
  </si>
  <si>
    <t>Bharti Airtel -Open Source DB)</t>
  </si>
  <si>
    <t>IK007763</t>
  </si>
  <si>
    <t>Adiya Birla</t>
  </si>
  <si>
    <t>HCL-MS</t>
  </si>
  <si>
    <t>April'23</t>
  </si>
  <si>
    <t>May'23</t>
  </si>
  <si>
    <t>Rev-%</t>
  </si>
  <si>
    <t>June'23</t>
  </si>
  <si>
    <t>July'23</t>
  </si>
  <si>
    <t>Aug'23</t>
  </si>
  <si>
    <t>Sep'23</t>
  </si>
  <si>
    <t>Oct'23</t>
  </si>
  <si>
    <t>KD</t>
  </si>
  <si>
    <t>Note:</t>
  </si>
  <si>
    <t>Only Active &amp; Salary Paid employees</t>
  </si>
  <si>
    <t>April'23 (Raised in May) - $80</t>
  </si>
  <si>
    <t>GAP Inc</t>
  </si>
  <si>
    <t>May'23 (Raised in June) - $80</t>
  </si>
  <si>
    <t>Mar'23 @80</t>
  </si>
  <si>
    <t>IMC</t>
  </si>
  <si>
    <t>P6XV6M01</t>
  </si>
  <si>
    <t>P6XTR701</t>
  </si>
  <si>
    <t>P6XFYN01</t>
  </si>
  <si>
    <t>P6XPFY01</t>
  </si>
  <si>
    <t>P6W7K501</t>
  </si>
  <si>
    <t>IG264138</t>
  </si>
  <si>
    <t>P6XX8Z01</t>
  </si>
  <si>
    <t>P6Y5LT01</t>
  </si>
  <si>
    <t>IG267990</t>
  </si>
  <si>
    <t>IK005771</t>
  </si>
  <si>
    <t>P6VNDZ01</t>
  </si>
  <si>
    <t>P6VRWX01</t>
  </si>
  <si>
    <t>IK008082</t>
  </si>
  <si>
    <t>234000|142000</t>
  </si>
  <si>
    <t>P6WJVL01</t>
  </si>
  <si>
    <t>IK007784</t>
  </si>
  <si>
    <t>IK007162</t>
  </si>
  <si>
    <t>IK007820</t>
  </si>
  <si>
    <t>GPM</t>
  </si>
  <si>
    <t>GPM-%</t>
  </si>
  <si>
    <t>Singapore</t>
  </si>
  <si>
    <t>June'23 (Raised in July) - $ 80</t>
  </si>
  <si>
    <t>Q1 2022 23</t>
  </si>
  <si>
    <t>GPM%</t>
  </si>
  <si>
    <t>Q1 -2021 22</t>
  </si>
  <si>
    <t>Q2 2021 22</t>
  </si>
  <si>
    <t>Q3 2021 22</t>
  </si>
  <si>
    <t>Q4 2021 22</t>
  </si>
  <si>
    <t>Bank Charges</t>
  </si>
  <si>
    <t>City Union Bank</t>
  </si>
  <si>
    <t>IG269131</t>
  </si>
  <si>
    <t>SBI YONO</t>
  </si>
  <si>
    <t>IK008484</t>
  </si>
  <si>
    <t>IK008412</t>
  </si>
  <si>
    <t>GPM -%</t>
  </si>
  <si>
    <t>Aug'23 (Raised in Sep)</t>
  </si>
  <si>
    <t>Airtel Africa</t>
  </si>
  <si>
    <t>P6YQTX01</t>
  </si>
  <si>
    <t>P6YRKM01</t>
  </si>
  <si>
    <t>5000123494</t>
  </si>
  <si>
    <t>Sep'23 (Raised in Oct)</t>
  </si>
  <si>
    <t xml:space="preserve">IG266969 </t>
  </si>
  <si>
    <t>IG269586</t>
  </si>
  <si>
    <t>IBM - Routing</t>
  </si>
  <si>
    <t>EBITDA</t>
  </si>
  <si>
    <t>Add : Depreciation</t>
  </si>
  <si>
    <t>Bank Interest Charges</t>
  </si>
  <si>
    <t>Depriciation &amp; Amorat cost / Other</t>
  </si>
  <si>
    <t>Funding Cost - Director fee charges</t>
  </si>
  <si>
    <t>Add : Bank Interest</t>
  </si>
  <si>
    <t>Kotak</t>
  </si>
  <si>
    <t>5000142616</t>
  </si>
  <si>
    <t>App's Application Maint Support</t>
  </si>
  <si>
    <t>Nov'23</t>
  </si>
  <si>
    <t>MPR (Monthly Progress Report)</t>
  </si>
  <si>
    <t>BU - Teams</t>
  </si>
  <si>
    <t>GROWTH</t>
  </si>
  <si>
    <t>2021 22</t>
  </si>
  <si>
    <t>Q4</t>
  </si>
  <si>
    <t>Comparision 2022 vs 2023</t>
  </si>
  <si>
    <t>Q1 23 24</t>
  </si>
  <si>
    <t>Q4 vs Q1</t>
  </si>
  <si>
    <t>Q1 vs Q2 -2024</t>
  </si>
  <si>
    <t>PAT - Aprx</t>
  </si>
  <si>
    <t>NPM-%</t>
  </si>
  <si>
    <t>PAT%</t>
  </si>
  <si>
    <t>NP-%</t>
  </si>
  <si>
    <t>GM-%</t>
  </si>
  <si>
    <t>NM-%</t>
  </si>
  <si>
    <t>PAT -Aprx</t>
  </si>
  <si>
    <t>PAT-%</t>
  </si>
  <si>
    <t>HC-%</t>
  </si>
  <si>
    <t>S-%</t>
  </si>
  <si>
    <t>Rev</t>
  </si>
  <si>
    <t>HC%</t>
  </si>
  <si>
    <t>Rev%</t>
  </si>
  <si>
    <t>NP%</t>
  </si>
  <si>
    <t>Rajesh</t>
  </si>
  <si>
    <t>Aninda</t>
  </si>
  <si>
    <t>Jan'22</t>
  </si>
  <si>
    <t>Feb'22</t>
  </si>
  <si>
    <t>TOTAL - 2021 22</t>
  </si>
  <si>
    <t>Growth - Mar vs Sep'22</t>
  </si>
  <si>
    <t>Growth - Aug vs Sep'22</t>
  </si>
  <si>
    <t>Mar'22 vs Nov'22</t>
  </si>
  <si>
    <t>Mar'22 vs Dec'22</t>
  </si>
  <si>
    <t>Q3 vs Q2 - Comparison</t>
  </si>
  <si>
    <t>Q4 2022 23</t>
  </si>
  <si>
    <t>Q1</t>
  </si>
  <si>
    <t>Growth - Comparison - Q1 vs Q2</t>
  </si>
  <si>
    <t>SBU Head</t>
  </si>
  <si>
    <t>LE</t>
  </si>
  <si>
    <t>Leave encash</t>
  </si>
  <si>
    <t>Team Cost</t>
  </si>
  <si>
    <t>Opr Cost</t>
  </si>
  <si>
    <t>SALARY</t>
  </si>
  <si>
    <t>REVENUE</t>
  </si>
  <si>
    <t>Lev Ench</t>
  </si>
  <si>
    <t>Net Margin</t>
  </si>
  <si>
    <t>GP -%</t>
  </si>
  <si>
    <t>GROSS MARGIN</t>
  </si>
  <si>
    <t>MARGIN</t>
  </si>
  <si>
    <t>Sales-%</t>
  </si>
  <si>
    <t>Salary Cost</t>
  </si>
  <si>
    <t>Leav Encsh</t>
  </si>
  <si>
    <t>Salary Cost (CTC)</t>
  </si>
  <si>
    <t>Accenture - BPO PAYROLL</t>
  </si>
  <si>
    <t>BPO / IT ES</t>
  </si>
  <si>
    <t>Accenture - BPO /AO</t>
  </si>
  <si>
    <t>Accenture- Mservice</t>
  </si>
  <si>
    <t>MS</t>
  </si>
  <si>
    <t>IBM - CWF</t>
  </si>
  <si>
    <t>IBM - DOW/BPS</t>
  </si>
  <si>
    <t xml:space="preserve">SI/ Captive </t>
  </si>
  <si>
    <t>IBM - HUL/CPS</t>
  </si>
  <si>
    <t>Accenture - IDB / Tech</t>
  </si>
  <si>
    <t>IBM - GTS / Kyndral</t>
  </si>
  <si>
    <t>IBM - DSG</t>
  </si>
  <si>
    <t>HCL - APPS</t>
  </si>
  <si>
    <t>HCL - ERS</t>
  </si>
  <si>
    <t>Engineering</t>
  </si>
  <si>
    <t>HCL - INFRA</t>
  </si>
  <si>
    <t>HCL - GIT FMS</t>
  </si>
  <si>
    <t>HCL - BTIS</t>
  </si>
  <si>
    <t>Capgemini</t>
  </si>
  <si>
    <t>WIPRO</t>
  </si>
  <si>
    <t>Danske IT (Apps &amp; Infra)</t>
  </si>
  <si>
    <t>Infosys / Primus</t>
  </si>
  <si>
    <t>HP - APPS &amp; Infra</t>
  </si>
  <si>
    <t>COGNIZANT</t>
  </si>
  <si>
    <t>FSS (Financail)</t>
  </si>
  <si>
    <t>Winwire</t>
  </si>
  <si>
    <t>Informatica</t>
  </si>
  <si>
    <t>Tata Elaxi</t>
  </si>
  <si>
    <t>Teqfocus Solutions Pvt Ltd</t>
  </si>
  <si>
    <t>Target</t>
  </si>
  <si>
    <t>Concentrix Daksh</t>
  </si>
  <si>
    <t xml:space="preserve">L&amp;T </t>
  </si>
  <si>
    <t>Sify-Technologies</t>
  </si>
  <si>
    <t>T-System Information</t>
  </si>
  <si>
    <t>Coforge Ltd</t>
  </si>
  <si>
    <t>IBM - DOMESTIC</t>
  </si>
  <si>
    <t>IBM - SWG / MSC</t>
  </si>
  <si>
    <t>Mindtree</t>
  </si>
  <si>
    <t>Sony / Dynpro</t>
  </si>
  <si>
    <t>Mavrin System</t>
  </si>
  <si>
    <t>Veritas Technology</t>
  </si>
  <si>
    <t>AC</t>
  </si>
  <si>
    <t>Cost</t>
  </si>
  <si>
    <t>SW</t>
  </si>
  <si>
    <t>AR</t>
  </si>
  <si>
    <t xml:space="preserve">Supprt Team </t>
  </si>
  <si>
    <t>FF &amp; Arrear Salaries &amp; Vendor are not Included in the above sheet..</t>
  </si>
  <si>
    <t>Other Cos</t>
  </si>
  <si>
    <t>Team Exp Charged based MIS, mutiple TL are working with mutiple Clients</t>
  </si>
  <si>
    <t>Gru</t>
  </si>
  <si>
    <t xml:space="preserve">New Team </t>
  </si>
  <si>
    <t>New Team Salary &amp; Exp not Charged Yet</t>
  </si>
  <si>
    <t>New Team</t>
  </si>
  <si>
    <t>KD Cost</t>
  </si>
  <si>
    <t>Funding cost | Bank Intrs</t>
  </si>
  <si>
    <t>MS Fuding</t>
  </si>
  <si>
    <t>MS Fund</t>
  </si>
  <si>
    <t>MS Exp</t>
  </si>
  <si>
    <t>Commu</t>
  </si>
  <si>
    <t>Diwali Gift Exp</t>
  </si>
  <si>
    <t>Office maint</t>
  </si>
  <si>
    <t>power</t>
  </si>
  <si>
    <t>compl</t>
  </si>
  <si>
    <t>Screening, others Exp</t>
  </si>
  <si>
    <t>Computer Access</t>
  </si>
  <si>
    <t>Repaire &amp; Miant</t>
  </si>
  <si>
    <t>Local Convy</t>
  </si>
  <si>
    <t>Hosue keeping</t>
  </si>
  <si>
    <t>Staff welfare</t>
  </si>
  <si>
    <t>Incentive-legacy</t>
  </si>
  <si>
    <t>Incentive</t>
  </si>
  <si>
    <t>Veritas</t>
  </si>
  <si>
    <t>Allstate</t>
  </si>
  <si>
    <t>Info</t>
  </si>
  <si>
    <t>BPO</t>
  </si>
  <si>
    <t>Acc Tec</t>
  </si>
  <si>
    <t>SI</t>
  </si>
  <si>
    <t>Capg</t>
  </si>
  <si>
    <t>Legacy</t>
  </si>
  <si>
    <t>HR | Diwali +FA</t>
  </si>
  <si>
    <t>July'23 (Raised in Aug) -$ 80</t>
  </si>
  <si>
    <t>Aug'23 (Raised in Sep) - $ 80</t>
  </si>
  <si>
    <t>Oct'23 (Raised in Nov)</t>
  </si>
  <si>
    <t>Nov'23 (Raised in Dec)</t>
  </si>
  <si>
    <t>Dec'23 (Raised in Jan)</t>
  </si>
  <si>
    <t>Total - 2023 24</t>
  </si>
  <si>
    <t>Q1  23-24</t>
  </si>
  <si>
    <t>Rebate</t>
  </si>
  <si>
    <t>Routing Fee</t>
  </si>
  <si>
    <t>Passthrogh</t>
  </si>
  <si>
    <t xml:space="preserve">Rebate </t>
  </si>
  <si>
    <t>Passthrough</t>
  </si>
  <si>
    <t>SG&amp;D Exp from India</t>
  </si>
  <si>
    <t>SG&amp;D Exp from USA</t>
  </si>
  <si>
    <t>Discount 3.5 to 4% HCL</t>
  </si>
  <si>
    <t>Rates &amp; Taxs (Franchise)</t>
  </si>
  <si>
    <t>Other Exp paid to other Counties</t>
  </si>
  <si>
    <t>EBDITA</t>
  </si>
  <si>
    <t>Jan</t>
  </si>
  <si>
    <t>Oct'22 (Raised in Nov) @60</t>
  </si>
  <si>
    <t>Nov'22 (Raised in Dec) @60</t>
  </si>
  <si>
    <t>Dec'22 (Raised in Jan) @60</t>
  </si>
  <si>
    <t>Mar'23 @60</t>
  </si>
  <si>
    <t>April'23 (Raised in May) @60</t>
  </si>
  <si>
    <t>May'23 @60</t>
  </si>
  <si>
    <t>June'23 (Raised in July) @60</t>
  </si>
  <si>
    <t>Dec'23</t>
  </si>
  <si>
    <t>CAD</t>
  </si>
  <si>
    <t>SG&amp;D Exp</t>
  </si>
  <si>
    <t>Others Exp</t>
  </si>
  <si>
    <t>Amount Paid from CAN</t>
  </si>
  <si>
    <t>Less : Corp Tax 26.5%</t>
  </si>
  <si>
    <t>Tax @20.5%</t>
  </si>
  <si>
    <t>Permanent Staff</t>
  </si>
  <si>
    <t>Sl.N0</t>
  </si>
  <si>
    <t>TL</t>
  </si>
  <si>
    <t xml:space="preserve">Feb </t>
  </si>
  <si>
    <t>Mar</t>
  </si>
  <si>
    <t>April'18</t>
  </si>
  <si>
    <t>May'18</t>
  </si>
  <si>
    <t>June '18</t>
  </si>
  <si>
    <t xml:space="preserve">July </t>
  </si>
  <si>
    <t xml:space="preserve">Aug </t>
  </si>
  <si>
    <t xml:space="preserve">Sep </t>
  </si>
  <si>
    <t xml:space="preserve">Oct </t>
  </si>
  <si>
    <t xml:space="preserve">Nov </t>
  </si>
  <si>
    <t xml:space="preserve">Dec </t>
  </si>
  <si>
    <t xml:space="preserve">Jan </t>
  </si>
  <si>
    <t>Total Billed Amount</t>
  </si>
  <si>
    <t>May'19 (April)</t>
  </si>
  <si>
    <t>June '19 (May)</t>
  </si>
  <si>
    <t>July '19 (June)</t>
  </si>
  <si>
    <t xml:space="preserve">Aug'19 (July) </t>
  </si>
  <si>
    <t>Sep'19 (Aug)</t>
  </si>
  <si>
    <t xml:space="preserve">Oct'19 (Sep) </t>
  </si>
  <si>
    <t>Nov'19 (Oct)</t>
  </si>
  <si>
    <t>Dec'19 (Nov)</t>
  </si>
  <si>
    <t xml:space="preserve">Jan'20 (Dec) </t>
  </si>
  <si>
    <t xml:space="preserve">Feb'20 (Jan) </t>
  </si>
  <si>
    <t>Mar'20 (Feb)</t>
  </si>
  <si>
    <t>Mar'20</t>
  </si>
  <si>
    <t>April'20    (Raised in May)</t>
  </si>
  <si>
    <t>May'20              (Raised in June)</t>
  </si>
  <si>
    <t>June'20            (Raised in July)</t>
  </si>
  <si>
    <t>July'20            (Raised in Aug)</t>
  </si>
  <si>
    <t>Aug'20  (Raised in Sep)</t>
  </si>
  <si>
    <t>Sep'20</t>
  </si>
  <si>
    <t>Oct'20</t>
  </si>
  <si>
    <t>Nov'20</t>
  </si>
  <si>
    <t>Dec'20</t>
  </si>
  <si>
    <t>Jan'21</t>
  </si>
  <si>
    <t>Feb'21</t>
  </si>
  <si>
    <t>April'21</t>
  </si>
  <si>
    <t>May'21</t>
  </si>
  <si>
    <t>June'21</t>
  </si>
  <si>
    <t>July'21</t>
  </si>
  <si>
    <t>Aug'21</t>
  </si>
  <si>
    <t>Sep'21</t>
  </si>
  <si>
    <t>Oct'21</t>
  </si>
  <si>
    <t>Nov'21</t>
  </si>
  <si>
    <t>Dec'21</t>
  </si>
  <si>
    <t>TOTAL -  2021 22</t>
  </si>
  <si>
    <t>TOTAL -          2022 23</t>
  </si>
  <si>
    <t>Jan'24</t>
  </si>
  <si>
    <t>Feb'24</t>
  </si>
  <si>
    <t>Mar'24</t>
  </si>
  <si>
    <t>XL Health Care</t>
  </si>
  <si>
    <t>Guru</t>
  </si>
  <si>
    <t>Sonata Software</t>
  </si>
  <si>
    <t>Wibmo/ Enstage</t>
  </si>
  <si>
    <t>Tata Elexi</t>
  </si>
  <si>
    <t>TechM</t>
  </si>
  <si>
    <t>Wipro</t>
  </si>
  <si>
    <t>`</t>
  </si>
  <si>
    <t>Pratian</t>
  </si>
  <si>
    <t>Hexaware</t>
  </si>
  <si>
    <t>EMIDS</t>
  </si>
  <si>
    <t/>
  </si>
  <si>
    <t>HGS</t>
  </si>
  <si>
    <t xml:space="preserve">Affine </t>
  </si>
  <si>
    <t>Delloite</t>
  </si>
  <si>
    <t>Brillio</t>
  </si>
  <si>
    <t>FSS</t>
  </si>
  <si>
    <t>IDFC</t>
  </si>
  <si>
    <t>HEICO</t>
  </si>
  <si>
    <t>Cosmo First</t>
  </si>
  <si>
    <t>Remini</t>
  </si>
  <si>
    <t>Gallaragh</t>
  </si>
  <si>
    <t>AMAT</t>
  </si>
  <si>
    <t>Extentia</t>
  </si>
  <si>
    <t>Spicejet</t>
  </si>
  <si>
    <t>Persistent System</t>
  </si>
  <si>
    <t>RAMCO</t>
  </si>
  <si>
    <t>MPHASIS</t>
  </si>
  <si>
    <t>CYBAGE</t>
  </si>
  <si>
    <t>L&amp;T</t>
  </si>
  <si>
    <t>Moon Raft</t>
  </si>
  <si>
    <t>AECOM-AECOM</t>
  </si>
  <si>
    <t>FASOOS</t>
  </si>
  <si>
    <t>ESC- Proveen Tech</t>
  </si>
  <si>
    <t>24/7</t>
  </si>
  <si>
    <t>Robert Bosch</t>
  </si>
  <si>
    <t>Nexer group</t>
  </si>
  <si>
    <t>CTS - MSP Passthrogh</t>
  </si>
  <si>
    <t>Infosys (Conversion)</t>
  </si>
  <si>
    <t>Total Amount</t>
  </si>
  <si>
    <t>Salary- Internal</t>
  </si>
  <si>
    <t>Op's &amp; Portal Chags</t>
  </si>
  <si>
    <t>Rebate - Capgemini</t>
  </si>
  <si>
    <t>Funding Charges</t>
  </si>
  <si>
    <t>TDS@28%</t>
  </si>
  <si>
    <t>April'23 ( Raised in May)</t>
  </si>
  <si>
    <t>May'23 (Raised in June)</t>
  </si>
  <si>
    <t>June'23 (Raised in July)</t>
  </si>
  <si>
    <t>July'23 (Raised in Aug)</t>
  </si>
  <si>
    <t>Sep'23 ( Raised in Oct)</t>
  </si>
  <si>
    <t>Dec '23 (Raised in Jan'24)</t>
  </si>
  <si>
    <t>Jan'24 (Raised in Feb'23)</t>
  </si>
  <si>
    <t>Feb'24 (Raised in Mar'23)</t>
  </si>
  <si>
    <t>TOTAL - 2023-24</t>
  </si>
  <si>
    <t xml:space="preserve">MARGIN </t>
  </si>
  <si>
    <t>FSS (Financail Software Systm)</t>
  </si>
  <si>
    <t>ERNST &amp; YOUNG</t>
  </si>
  <si>
    <t>ToT - T&amp;M</t>
  </si>
  <si>
    <t>June'23 (Raised in Jan) @60</t>
  </si>
  <si>
    <t>July'23 (Raised in Aug) @60</t>
  </si>
  <si>
    <t>Aug'23 (Raised in Aug) @60</t>
  </si>
  <si>
    <t>Sep'23 (Raised in Oct) @60</t>
  </si>
  <si>
    <t>SGD</t>
  </si>
  <si>
    <t>SG &amp;A Exp</t>
  </si>
  <si>
    <t>Insurnace</t>
  </si>
  <si>
    <t>Corporate Tax</t>
  </si>
  <si>
    <t>A partial tax exemption is eligible for first SGD 300,000 of chargeable income</t>
  </si>
  <si>
    <t>Local Convy &amp; Travel</t>
  </si>
  <si>
    <t>Q2 vs Q3</t>
  </si>
  <si>
    <t>UBI Project</t>
  </si>
  <si>
    <t>IG272426</t>
  </si>
  <si>
    <t>Indusind Bank</t>
  </si>
  <si>
    <t>captive</t>
  </si>
  <si>
    <t>bpo</t>
  </si>
  <si>
    <t>HR</t>
  </si>
  <si>
    <t>Oct'23 (Raised in Nov) @60</t>
  </si>
  <si>
    <t>Nov'23 (Raised in Nov) @60</t>
  </si>
  <si>
    <t>Dec'23 (Raised in Jan) @60</t>
  </si>
  <si>
    <t>Jan'24 (Raised in Feb) @60</t>
  </si>
  <si>
    <t>Less : Corp Tax @20.5%</t>
  </si>
  <si>
    <t>2022 - 23 - Closing</t>
  </si>
  <si>
    <t>FT</t>
  </si>
  <si>
    <t>Salry</t>
  </si>
  <si>
    <t>Ops Cost</t>
  </si>
  <si>
    <t>Fund</t>
  </si>
  <si>
    <t>Ops</t>
  </si>
  <si>
    <t>fund</t>
  </si>
  <si>
    <t>Jan'24 (Raised in Jan)</t>
  </si>
  <si>
    <t>Feb'24 (Raised in Jan)</t>
  </si>
  <si>
    <t>PS Fee</t>
  </si>
  <si>
    <t>21%+7%</t>
  </si>
  <si>
    <t>July'23 to Oct'23 (Raised in Aug) @60</t>
  </si>
  <si>
    <t>Nov'23 (Raised in dec) @60</t>
  </si>
  <si>
    <t>Dec'23 (Raised in jan)</t>
  </si>
  <si>
    <t>Jan'24 (Raised in Feb)</t>
  </si>
  <si>
    <t>2 Employees Exited</t>
  </si>
  <si>
    <t>IG272554</t>
  </si>
  <si>
    <t>IG272712</t>
  </si>
  <si>
    <t>IG272718</t>
  </si>
  <si>
    <t>IG272680</t>
  </si>
  <si>
    <t>IG272681</t>
  </si>
  <si>
    <t>IG272553</t>
  </si>
  <si>
    <t>Feb'24 (Raised in Feb) @60</t>
  </si>
  <si>
    <t>F&amp;A</t>
  </si>
  <si>
    <t>Naukri Exp</t>
  </si>
  <si>
    <t>RJ</t>
  </si>
  <si>
    <t>Particulars</t>
  </si>
  <si>
    <t>Apri'23</t>
  </si>
  <si>
    <t>Captive</t>
  </si>
  <si>
    <t>USA</t>
  </si>
  <si>
    <t>Serum Institute</t>
  </si>
  <si>
    <t>TOTAL - 2023 24</t>
  </si>
  <si>
    <t>Blue Cloud</t>
  </si>
  <si>
    <t>Kyndral (GTS)</t>
  </si>
  <si>
    <t>Cognizant</t>
  </si>
  <si>
    <t>KPMG</t>
  </si>
  <si>
    <t>Infosys-Engineering</t>
  </si>
  <si>
    <t>Depreciatiom</t>
  </si>
  <si>
    <t>CSR Exp / Leave Eansch/ Grauity</t>
  </si>
  <si>
    <t>2023 24</t>
  </si>
  <si>
    <t>NPM</t>
  </si>
  <si>
    <t>2023 - 24 - Closing</t>
  </si>
  <si>
    <t>Apri'24</t>
  </si>
  <si>
    <t>May'24</t>
  </si>
  <si>
    <t>June'24</t>
  </si>
  <si>
    <t>July'24</t>
  </si>
  <si>
    <t>Aug'24</t>
  </si>
  <si>
    <t>Sep'24</t>
  </si>
  <si>
    <t>Oct'24</t>
  </si>
  <si>
    <t>Nov'24</t>
  </si>
  <si>
    <t>Dec'24</t>
  </si>
  <si>
    <t>Jan'25</t>
  </si>
  <si>
    <t>Feb'25</t>
  </si>
  <si>
    <t>Mar'25</t>
  </si>
  <si>
    <t>Japan</t>
  </si>
  <si>
    <t>April'24 (Raised in May) - $80</t>
  </si>
  <si>
    <t>April'24 (Raised in May) @60</t>
  </si>
  <si>
    <t>May'24 @60</t>
  </si>
  <si>
    <t>June'24 (Raised in July) @60</t>
  </si>
  <si>
    <t>Mar'25 @60</t>
  </si>
  <si>
    <t>New Project| New Addition</t>
  </si>
  <si>
    <t>Client Name</t>
  </si>
  <si>
    <t>May'18 (April'18)</t>
  </si>
  <si>
    <t>June'18 (May'18)</t>
  </si>
  <si>
    <t>July'18 (June'18)</t>
  </si>
  <si>
    <t>Aug'17 (July'18)</t>
  </si>
  <si>
    <t>Sep (Aug'18)</t>
  </si>
  <si>
    <t>Oct'18 (Sep'18)</t>
  </si>
  <si>
    <t>Nov'18 (Oct'18)</t>
  </si>
  <si>
    <t>Dec'18 (Nov'18)</t>
  </si>
  <si>
    <t>Jan'19 (Dec'18)</t>
  </si>
  <si>
    <t>Feb'19 (Jan'19)</t>
  </si>
  <si>
    <t>Mar'19 (Feb'19)</t>
  </si>
  <si>
    <t xml:space="preserve">April'19 (Mar'19) </t>
  </si>
  <si>
    <t>GRAND TOTAL 2018 19</t>
  </si>
  <si>
    <t>Q4 (2M)</t>
  </si>
  <si>
    <t>May'19 (April'19)</t>
  </si>
  <si>
    <t xml:space="preserve">June'19 (May'19) </t>
  </si>
  <si>
    <t>July'19 (June'19)</t>
  </si>
  <si>
    <t>Aug'19 (July'19)</t>
  </si>
  <si>
    <t>Sep (Aug'19)</t>
  </si>
  <si>
    <t>Oct'19 (Sep'19)</t>
  </si>
  <si>
    <t>Nov'19 (Oct'19)</t>
  </si>
  <si>
    <t>Dec'19 (Nov'19)</t>
  </si>
  <si>
    <t>Jan'20 (Dec'19)</t>
  </si>
  <si>
    <t>Feb'20 (Jan'20)</t>
  </si>
  <si>
    <t>Mar'20 (Feb'20)</t>
  </si>
  <si>
    <t>Total - 2019 20</t>
  </si>
  <si>
    <t>Q1 - 2019 20</t>
  </si>
  <si>
    <t>Q2 -2019 20</t>
  </si>
  <si>
    <t>Q3- 2019 20</t>
  </si>
  <si>
    <t>Q4- 2019 20</t>
  </si>
  <si>
    <t>June'19 (Raised in July)</t>
  </si>
  <si>
    <t>July'20 (Raised in Aug'20)</t>
  </si>
  <si>
    <t>Aug (Raised in Sep'20)</t>
  </si>
  <si>
    <t>Total - 2020 21</t>
  </si>
  <si>
    <t>Q1 - 2020 21</t>
  </si>
  <si>
    <t>Q2 - 2020 21</t>
  </si>
  <si>
    <t xml:space="preserve">Q4 </t>
  </si>
  <si>
    <t>ToT - 2021 22</t>
  </si>
  <si>
    <t>April'22 (Raised in May)</t>
  </si>
  <si>
    <t>May'22 (Raised in June)</t>
  </si>
  <si>
    <t>June'22 (Raised in July)</t>
  </si>
  <si>
    <t>TOT - 2022 23</t>
  </si>
  <si>
    <t>Q1 - 2022 23</t>
  </si>
  <si>
    <t>Q2 - 2022 23</t>
  </si>
  <si>
    <t>April'23 (Raised in May)</t>
  </si>
  <si>
    <t>Feb'24 (Raised in mar)</t>
  </si>
  <si>
    <t>Q1 - 2023 24</t>
  </si>
  <si>
    <t>April'24 (Raised in May)</t>
  </si>
  <si>
    <t>Dec'24 (Raised in Jan)</t>
  </si>
  <si>
    <t>Jan'25 (Raised in Jan)</t>
  </si>
  <si>
    <t>Feb'25 (Raised in mar)</t>
  </si>
  <si>
    <t>Billing</t>
  </si>
  <si>
    <t>BILLING</t>
  </si>
  <si>
    <t>IBM-FIXBID</t>
  </si>
  <si>
    <t>VODAFONE</t>
  </si>
  <si>
    <t>IG198725</t>
  </si>
  <si>
    <t>-</t>
  </si>
  <si>
    <t>IG198780</t>
  </si>
  <si>
    <t>IG200828</t>
  </si>
  <si>
    <t>Twitter</t>
  </si>
  <si>
    <t>IG206123</t>
  </si>
  <si>
    <t>BOI - Routing</t>
  </si>
  <si>
    <t>IG205825</t>
  </si>
  <si>
    <t>ATC-IBM Guwahati</t>
  </si>
  <si>
    <t>IG205961</t>
  </si>
  <si>
    <t>IG208134</t>
  </si>
  <si>
    <t>TELSTRA</t>
  </si>
  <si>
    <t>IG209481</t>
  </si>
  <si>
    <t>IG209482</t>
  </si>
  <si>
    <t>IG209480</t>
  </si>
  <si>
    <t>P6B6Q901</t>
  </si>
  <si>
    <t>P6B6Q501</t>
  </si>
  <si>
    <t>DC Migration</t>
  </si>
  <si>
    <t>IG210085</t>
  </si>
  <si>
    <t xml:space="preserve">VODAFONE- PMC             </t>
  </si>
  <si>
    <t>IG205951</t>
  </si>
  <si>
    <t>IT Security</t>
  </si>
  <si>
    <t>IG216947</t>
  </si>
  <si>
    <t>STATE STREET</t>
  </si>
  <si>
    <t>IG271628</t>
  </si>
  <si>
    <t>5</t>
  </si>
  <si>
    <t>SYNANTAC Security</t>
  </si>
  <si>
    <t>IG217796</t>
  </si>
  <si>
    <t>IRL</t>
  </si>
  <si>
    <t>P6F8YV01</t>
  </si>
  <si>
    <t>shifted to Domestic</t>
  </si>
  <si>
    <t>L&amp;T - Onetime</t>
  </si>
  <si>
    <t>SYNDICATE - GBS</t>
  </si>
  <si>
    <t>IG229476</t>
  </si>
  <si>
    <t>Mahinadra Finance</t>
  </si>
  <si>
    <t>IG230200</t>
  </si>
  <si>
    <t>HSBC -IT Operation</t>
  </si>
  <si>
    <t>IG224888</t>
  </si>
  <si>
    <t xml:space="preserve">Nayaraa Energy </t>
  </si>
  <si>
    <t>IG225783</t>
  </si>
  <si>
    <t>JET SSO</t>
  </si>
  <si>
    <t>IG225370</t>
  </si>
  <si>
    <t>VODAFONE BI</t>
  </si>
  <si>
    <t>IG230963</t>
  </si>
  <si>
    <t xml:space="preserve">VODAFONE- SSO </t>
  </si>
  <si>
    <t>IG208179</t>
  </si>
  <si>
    <t>Bajaj Project</t>
  </si>
  <si>
    <t>P6NGP501</t>
  </si>
  <si>
    <t>United Braveries</t>
  </si>
  <si>
    <t>P6PVXD01</t>
  </si>
  <si>
    <t>Marrico</t>
  </si>
  <si>
    <t>IG243758</t>
  </si>
  <si>
    <t xml:space="preserve">Vodafone - SSO </t>
  </si>
  <si>
    <t>IG243662</t>
  </si>
  <si>
    <t>Hyundai</t>
  </si>
  <si>
    <t>P6PSSM01</t>
  </si>
  <si>
    <t xml:space="preserve">Ansible Project </t>
  </si>
  <si>
    <t>IG244548</t>
  </si>
  <si>
    <t xml:space="preserve">ICICI Prudential project </t>
  </si>
  <si>
    <t>IG251140</t>
  </si>
  <si>
    <t>SYNDICATE BANK</t>
  </si>
  <si>
    <t>IG237286</t>
  </si>
  <si>
    <t>NSE-Routing</t>
  </si>
  <si>
    <t xml:space="preserve">IG240398 </t>
  </si>
  <si>
    <t>AMHI Project</t>
  </si>
  <si>
    <t xml:space="preserve"> IG244550</t>
  </si>
  <si>
    <t>PMPC Project</t>
  </si>
  <si>
    <t>IG250192</t>
  </si>
  <si>
    <t>SHAREKHAN</t>
  </si>
  <si>
    <t>IG247673</t>
  </si>
  <si>
    <t>Vodafone - T&amp;T</t>
  </si>
  <si>
    <t>IG243077</t>
  </si>
  <si>
    <t>VodaIDEA - Network</t>
  </si>
  <si>
    <t>IG242695</t>
  </si>
  <si>
    <t>IG254666</t>
  </si>
  <si>
    <t xml:space="preserve"> IG244833</t>
  </si>
  <si>
    <t>Solarwind</t>
  </si>
  <si>
    <t>IG241281</t>
  </si>
  <si>
    <t>IG242467</t>
  </si>
  <si>
    <t>P6P3XS01</t>
  </si>
  <si>
    <t>SCRM Application</t>
  </si>
  <si>
    <t xml:space="preserve">IG242379 </t>
  </si>
  <si>
    <t>IG244448</t>
  </si>
  <si>
    <t>IG244647</t>
  </si>
  <si>
    <t>IG248533</t>
  </si>
  <si>
    <t>IG256212</t>
  </si>
  <si>
    <t>HDFC - Fastag (Qtr)</t>
  </si>
  <si>
    <t>IG258316</t>
  </si>
  <si>
    <t>Clsed</t>
  </si>
  <si>
    <t>IG260286</t>
  </si>
  <si>
    <t>HDFC - Fastag - Monthly</t>
  </si>
  <si>
    <t>P6WNJ601</t>
  </si>
  <si>
    <t xml:space="preserve">P6TF7201 </t>
  </si>
  <si>
    <t>IG262579</t>
  </si>
  <si>
    <t>Tamilnadu Mercantile Bank</t>
  </si>
  <si>
    <t>P6YDSY01</t>
  </si>
  <si>
    <t>Vodafone - Network</t>
  </si>
  <si>
    <t>Shifted to HCL</t>
  </si>
  <si>
    <t>HDFC - Fastag (Month)</t>
  </si>
  <si>
    <t>HDFC_AMS Support</t>
  </si>
  <si>
    <t>IG265887</t>
  </si>
  <si>
    <t>BOI AMS Support (Qtr)</t>
  </si>
  <si>
    <t>4</t>
  </si>
  <si>
    <t>IG255178</t>
  </si>
  <si>
    <t>P6P3XV01</t>
  </si>
  <si>
    <t>IK008698</t>
  </si>
  <si>
    <t>IK008271</t>
  </si>
  <si>
    <t>IK008645</t>
  </si>
  <si>
    <t>IK007854</t>
  </si>
  <si>
    <t>IK005086/IK008773</t>
  </si>
  <si>
    <t>5000122095</t>
  </si>
  <si>
    <t>ToT - MS</t>
  </si>
  <si>
    <t>Captive A/c</t>
  </si>
  <si>
    <t>HPEPO225406</t>
  </si>
  <si>
    <t>232308</t>
  </si>
  <si>
    <t>HEWO00015429</t>
  </si>
  <si>
    <t>6800192295</t>
  </si>
  <si>
    <t>06L040862</t>
  </si>
  <si>
    <t>DS - MS</t>
  </si>
  <si>
    <t>DL - MS</t>
  </si>
  <si>
    <t>Non Billable</t>
  </si>
  <si>
    <t>HEWO00015537/HEWO00015594/HEWO00015593/86</t>
  </si>
  <si>
    <t>HEWO00015623</t>
  </si>
  <si>
    <t>HEWO00015900</t>
  </si>
  <si>
    <t>HEWO00016189/6800195115</t>
  </si>
  <si>
    <t>Defence -New</t>
  </si>
  <si>
    <t>B0L000736</t>
  </si>
  <si>
    <t>P0L008893</t>
  </si>
  <si>
    <t>Defence - Crimson inv - Vendor</t>
  </si>
  <si>
    <t>PWC - New</t>
  </si>
  <si>
    <t xml:space="preserve">PWC </t>
  </si>
  <si>
    <t>IBM GTS - Routing</t>
  </si>
  <si>
    <t>P6PGNV01</t>
  </si>
  <si>
    <t>IBM GBS</t>
  </si>
  <si>
    <t>P6PJS701</t>
  </si>
  <si>
    <t>3</t>
  </si>
  <si>
    <t>P6NZMG01</t>
  </si>
  <si>
    <t>Capitve -  Total</t>
  </si>
  <si>
    <t>Captive - ToT</t>
  </si>
  <si>
    <t>IG231477</t>
  </si>
  <si>
    <t>Maximo Implem</t>
  </si>
  <si>
    <t>IG249215</t>
  </si>
  <si>
    <t>IG255893</t>
  </si>
  <si>
    <t>IG257776</t>
  </si>
  <si>
    <t>IG248558</t>
  </si>
  <si>
    <t>IG247003</t>
  </si>
  <si>
    <r>
      <t xml:space="preserve">Cognis </t>
    </r>
    <r>
      <rPr>
        <sz val="8"/>
        <color theme="1"/>
        <rFont val="Calibri"/>
        <family val="2"/>
        <scheme val="minor"/>
      </rPr>
      <t xml:space="preserve">Completion of OVM, OEM and Java Upgrade </t>
    </r>
  </si>
  <si>
    <t>IG265477</t>
  </si>
  <si>
    <t xml:space="preserve"> IG269979</t>
  </si>
  <si>
    <t xml:space="preserve">Defense implementation </t>
  </si>
  <si>
    <t>P0L007438</t>
  </si>
  <si>
    <t>Defense implementation (ROS)</t>
  </si>
  <si>
    <t>10L003981</t>
  </si>
  <si>
    <t>10L004083</t>
  </si>
  <si>
    <t>Defense implementation (CDS project) counter drone / GUI</t>
  </si>
  <si>
    <t>10L004297</t>
  </si>
  <si>
    <t>Implemantation -  Total</t>
  </si>
  <si>
    <t>Support Team Cost</t>
  </si>
  <si>
    <t>Bang Pending</t>
  </si>
  <si>
    <t>Power Charges</t>
  </si>
  <si>
    <t>Pending</t>
  </si>
  <si>
    <t xml:space="preserve">Discount  </t>
  </si>
  <si>
    <t>BD Payment</t>
  </si>
  <si>
    <t>Noc</t>
  </si>
  <si>
    <t>Laptop Hire charges</t>
  </si>
  <si>
    <t>Communication Exp</t>
  </si>
  <si>
    <t>Cloud Ofiice 365 Portal Charges</t>
  </si>
  <si>
    <t>Complce Charges</t>
  </si>
  <si>
    <t>Travel Exp &amp; Hotel Exp</t>
  </si>
  <si>
    <t>Audit Fee</t>
  </si>
  <si>
    <t>CSR Spend</t>
  </si>
  <si>
    <t>Leave encashment &amp; Grauity</t>
  </si>
  <si>
    <t>Less : Corp Tax @25.168%</t>
  </si>
  <si>
    <t>Indirect Exp</t>
  </si>
  <si>
    <t>Communict</t>
  </si>
  <si>
    <t>Postage</t>
  </si>
  <si>
    <t>Off Exp</t>
  </si>
  <si>
    <t>Rent - Offce</t>
  </si>
  <si>
    <t>Compu Acces</t>
  </si>
  <si>
    <t>Travel Exp</t>
  </si>
  <si>
    <t>Screening</t>
  </si>
  <si>
    <t>Prof Charg</t>
  </si>
  <si>
    <t>Funding cost</t>
  </si>
  <si>
    <t>Bank Interest</t>
  </si>
  <si>
    <t>Other Offce Exp / Compu Acce/ Staff welfare Other exp</t>
  </si>
  <si>
    <t>Office Exp</t>
  </si>
  <si>
    <t>IBM - GCC</t>
  </si>
  <si>
    <t>April'24</t>
  </si>
  <si>
    <t>AB</t>
  </si>
  <si>
    <t>April'24 ( Raised in May)</t>
  </si>
  <si>
    <t>May'24 (Raised in June)</t>
  </si>
  <si>
    <t>June'24 (Raised in July)</t>
  </si>
  <si>
    <t>Oct'24 (Raised in Nov)</t>
  </si>
  <si>
    <t>Nov'24 (Raised in Dec)</t>
  </si>
  <si>
    <t>Dec '24 (Raised in Jan'24)</t>
  </si>
  <si>
    <t xml:space="preserve">Feb'25 </t>
  </si>
  <si>
    <t>TOTAL - 2024-25</t>
  </si>
  <si>
    <t>2024 - 25 - Closing</t>
  </si>
  <si>
    <t>Q1 vs Q2</t>
  </si>
  <si>
    <t>2024 25</t>
  </si>
  <si>
    <t>Mar'24 @ 1.80 &amp; 0.55</t>
  </si>
  <si>
    <t>JPY</t>
  </si>
  <si>
    <t>Salary Exp-Internal</t>
  </si>
  <si>
    <t>Less : Corp Tax @34%</t>
  </si>
  <si>
    <t>Only Active Employees details</t>
  </si>
  <si>
    <t>EY is not Included</t>
  </si>
  <si>
    <t>Vendor Not Included</t>
  </si>
  <si>
    <t>Allowance&amp; Arrears not included</t>
  </si>
  <si>
    <t>May'24 (Raised in June) - $80</t>
  </si>
  <si>
    <t>June'24 (Raised in July) - $ 80</t>
  </si>
  <si>
    <t>July'24 (Raised in Aug) -$ 80</t>
  </si>
  <si>
    <t>Sep'24 (Raised in Oct)</t>
  </si>
  <si>
    <t>Feb'25 (Raised in Jan)</t>
  </si>
  <si>
    <t>PST</t>
  </si>
  <si>
    <t>SIEM ASP Project</t>
  </si>
  <si>
    <t>IG274099</t>
  </si>
  <si>
    <t>AVIVA</t>
  </si>
  <si>
    <t>IG274100</t>
  </si>
  <si>
    <t>Transition PO for 3 Months (Infra)</t>
  </si>
  <si>
    <t>IG274770</t>
  </si>
  <si>
    <t>Royal Enfield</t>
  </si>
  <si>
    <t>ProActive Team Salary \ Sales Team</t>
  </si>
  <si>
    <t>EXP</t>
  </si>
  <si>
    <t>Setup Exp</t>
  </si>
  <si>
    <t>BD Exp</t>
  </si>
  <si>
    <t>Workday</t>
  </si>
  <si>
    <t>ARB</t>
  </si>
  <si>
    <t>Other CSR +Dep</t>
  </si>
  <si>
    <t>135000| 285000</t>
  </si>
  <si>
    <t>5000120665</t>
  </si>
  <si>
    <t>Stellanties</t>
  </si>
  <si>
    <t>Q1 2024 25</t>
  </si>
  <si>
    <t>June'24 (Raised in Nov) @1.88</t>
  </si>
  <si>
    <t>Aditya Birla</t>
  </si>
  <si>
    <t>Compl Exp</t>
  </si>
  <si>
    <t>Hongkong</t>
  </si>
  <si>
    <t>June'24 @60</t>
  </si>
  <si>
    <t>July'24 (Raised in Aug)</t>
  </si>
  <si>
    <t>July'24 @60</t>
  </si>
  <si>
    <t>July'24 (Raised in Nov) @1.88</t>
  </si>
  <si>
    <t>Q1  24-25</t>
  </si>
  <si>
    <t>July'24 (Raised in July) @60</t>
  </si>
  <si>
    <t>INDIA BUSINESS</t>
  </si>
  <si>
    <t>6</t>
  </si>
  <si>
    <t>UlteraTech</t>
  </si>
  <si>
    <t>IG275182</t>
  </si>
  <si>
    <t>BFL</t>
  </si>
  <si>
    <t>MSIL</t>
  </si>
  <si>
    <t>On Call support charge</t>
  </si>
  <si>
    <t>IG273685</t>
  </si>
  <si>
    <t>IG274769</t>
  </si>
  <si>
    <t>PRI Line - Onetime</t>
  </si>
  <si>
    <t>P451250001102</t>
  </si>
  <si>
    <t>Courier | Postage Chgrs</t>
  </si>
  <si>
    <t>Aug'24 (Raised in Aug) -$ 80</t>
  </si>
  <si>
    <t>Aug'24 (Raised in July) @60</t>
  </si>
  <si>
    <t>Rental Charges</t>
  </si>
  <si>
    <t>OTher Exp</t>
  </si>
  <si>
    <t>SUD</t>
  </si>
  <si>
    <t>5000238220</t>
  </si>
  <si>
    <t>Automobile</t>
  </si>
  <si>
    <t>Accenture</t>
  </si>
  <si>
    <t>Rent - Bang + GH +PG</t>
  </si>
  <si>
    <t>CSR Old Exp</t>
  </si>
  <si>
    <t>Repaire &amp; Main</t>
  </si>
  <si>
    <t>Q2 24-25</t>
  </si>
  <si>
    <t>Aug'24 (Raised in Sep)</t>
  </si>
  <si>
    <t>TOTAL - 2024 25</t>
  </si>
  <si>
    <t>Auidt fee</t>
  </si>
  <si>
    <t>July'24 (Raised in July)</t>
  </si>
  <si>
    <t xml:space="preserve">Annual            2024 25 </t>
  </si>
  <si>
    <t>Aug'24 (Raised in Jan) @60</t>
  </si>
  <si>
    <t>Sep'24 (Raised in Jan)</t>
  </si>
  <si>
    <t>Oct'24 (Raised in sep)</t>
  </si>
  <si>
    <t>Salary -External Non Billabe</t>
  </si>
  <si>
    <t>Incentives\ Ref Bonus</t>
  </si>
  <si>
    <t xml:space="preserve">Billing </t>
  </si>
  <si>
    <t>17days each</t>
  </si>
  <si>
    <t>Other Exp | Portal</t>
  </si>
  <si>
    <t>Aug'24 @60</t>
  </si>
  <si>
    <t>Professional Chags</t>
  </si>
  <si>
    <t>Rental&amp; others</t>
  </si>
  <si>
    <t>Rates &amp; Taxes</t>
  </si>
  <si>
    <t>Rain Industry (Transition po)</t>
  </si>
  <si>
    <t>IG277661</t>
  </si>
  <si>
    <t>5000186852</t>
  </si>
  <si>
    <t>UBI (TEJAS)</t>
  </si>
  <si>
    <t xml:space="preserve">Managed Service -Total </t>
  </si>
  <si>
    <t>Deloitte</t>
  </si>
  <si>
    <t>Grp - Rev</t>
  </si>
  <si>
    <t>Grp - GPM</t>
  </si>
  <si>
    <t>Grp - NP</t>
  </si>
  <si>
    <t>ToT</t>
  </si>
  <si>
    <t>E&amp;Y</t>
  </si>
  <si>
    <t>ARC</t>
  </si>
  <si>
    <t>BPO | HTD</t>
  </si>
  <si>
    <t>BPO|HTD</t>
  </si>
  <si>
    <t>2</t>
  </si>
  <si>
    <t>IG278176</t>
  </si>
  <si>
    <t>IG278305</t>
  </si>
  <si>
    <t>ODC -(offsite data services) - Rent</t>
  </si>
  <si>
    <t>COST (Sal)</t>
  </si>
  <si>
    <t>HCL - Onetime (SOW)</t>
  </si>
  <si>
    <t>HCL - BPO</t>
  </si>
  <si>
    <t>RB</t>
  </si>
  <si>
    <t>Sapient (Alchemy Learnsoft)</t>
  </si>
  <si>
    <t>EY</t>
  </si>
  <si>
    <t>Adm Cost</t>
  </si>
  <si>
    <t>Fund Cost</t>
  </si>
  <si>
    <t>On rev</t>
  </si>
  <si>
    <t>On Marg</t>
  </si>
  <si>
    <t xml:space="preserve">Infra - O&amp;M Support </t>
  </si>
  <si>
    <t xml:space="preserve">Infra - O&amp;M Support (10 Res) </t>
  </si>
  <si>
    <r>
      <rPr>
        <b/>
        <sz val="11"/>
        <color rgb="FF894807"/>
        <rFont val="Calibri"/>
        <family val="2"/>
        <scheme val="minor"/>
      </rPr>
      <t>Infra -</t>
    </r>
    <r>
      <rPr>
        <b/>
        <sz val="10"/>
        <color rgb="FF894807"/>
        <rFont val="Calibri"/>
        <family val="2"/>
        <scheme val="minor"/>
      </rPr>
      <t xml:space="preserve">  O&amp;M Support</t>
    </r>
  </si>
  <si>
    <r>
      <rPr>
        <b/>
        <sz val="11"/>
        <color rgb="FF894807"/>
        <rFont val="Calibri"/>
        <family val="2"/>
        <scheme val="minor"/>
      </rPr>
      <t>AMS</t>
    </r>
    <r>
      <rPr>
        <b/>
        <sz val="10"/>
        <color rgb="FF894807"/>
        <rFont val="Calibri"/>
        <family val="2"/>
        <scheme val="minor"/>
      </rPr>
      <t xml:space="preserve"> Support - 5Year (Rupa)</t>
    </r>
  </si>
  <si>
    <t>AMS - PCR - IBL App (20 Res)</t>
  </si>
  <si>
    <t>IBL</t>
  </si>
  <si>
    <t>Cognizant - BPO</t>
  </si>
  <si>
    <t>Subikash</t>
  </si>
  <si>
    <t>Engg</t>
  </si>
  <si>
    <t>SK</t>
  </si>
  <si>
    <t>Subscrip</t>
  </si>
  <si>
    <t>Egg</t>
  </si>
  <si>
    <t>Nov'24 (Raised in dec)</t>
  </si>
  <si>
    <t>Dec'24 (Raised in jan)</t>
  </si>
  <si>
    <t>Jan'25 (Raised in Feb)</t>
  </si>
  <si>
    <t>Sabbatical Program</t>
  </si>
  <si>
    <t>Desktop / Laptop Provision-30</t>
  </si>
  <si>
    <t>Desktop / Laptop Provision- 35</t>
  </si>
  <si>
    <t>Desktop / Laptop Provision-39</t>
  </si>
  <si>
    <t>Other Exp (Support Team Salary+Capital Exp)</t>
  </si>
  <si>
    <t>5000191225</t>
  </si>
  <si>
    <t>5000214147</t>
  </si>
  <si>
    <t>5000266456</t>
  </si>
  <si>
    <t>HCL /hp</t>
  </si>
  <si>
    <t>exit</t>
  </si>
  <si>
    <t>Elec</t>
  </si>
  <si>
    <t>Securi</t>
  </si>
  <si>
    <t>Other exp</t>
  </si>
  <si>
    <t>Sep'24 (Raised in Oct) @60</t>
  </si>
  <si>
    <t>Oct'24 (Raised in Nov) @60</t>
  </si>
  <si>
    <t>Nov'24 (Raised in Nov) @60</t>
  </si>
  <si>
    <t>Dec'24 (Raised in Jan) @60</t>
  </si>
  <si>
    <t>Jan'25 (Raised in Feb) @60</t>
  </si>
  <si>
    <t>Feb'25 (Raised in Feb) @60</t>
  </si>
  <si>
    <t>Reliance Industries</t>
  </si>
  <si>
    <t>Auidt fee &amp; Others</t>
  </si>
  <si>
    <t>Annual -     2022-23</t>
  </si>
  <si>
    <t>Annual -          2023 24</t>
  </si>
  <si>
    <t>April'24 @1.88</t>
  </si>
  <si>
    <t>May'24 @1.88</t>
  </si>
  <si>
    <t>Others Charges</t>
  </si>
  <si>
    <t>Sep'24 ( Raised in Oct)</t>
  </si>
  <si>
    <t>SAPIENT</t>
  </si>
  <si>
    <t>ACCENTURE ENGG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</si>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</sst>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(* #,##0.00_);_(* \(#,##0.00\);_(* &quot;-&quot;??_);_(@_)"/>
    <numFmt numFmtId="164" formatCode="_ * #,##0_ ;_ * \-#,##0_ ;_ * &quot;-&quot;??_ ;_ @_ "/>
    <numFmt numFmtId="165" formatCode="_(* #,##0_);_(* \(#,##0\);_(* &quot;-&quot;??_);_(@_)"/>
    <numFmt numFmtId="166" formatCode="_ * #,##0.00_ ;_ * \-#,##0.00_ ;_ * &quot;-&quot;??_ ;_ @_ "/>
    <numFmt numFmtId="167" formatCode="0;[Red]0"/>
    <numFmt numFmtId="168" formatCode="dd\-mmm\-yyyy"/>
    <numFmt numFmtId="169" formatCode="#,##0;[Red]#,##0"/>
    <numFmt numFmtId="170" formatCode="[$-409]d\-mmm\-yy;@"/>
    <numFmt numFmtId="171" formatCode="0.00;[Red]0.00"/>
    <numFmt numFmtId="172" formatCode="_(* #,##0.0_);_(* \(#,##0.0\);_(* &quot;-&quot;??_);_(@_)"/>
    <numFmt numFmtId="173" formatCode="_ * #,##0.0_ ;_ * \-#,##0.0_ ;_ * &quot;-&quot;??_ ;_ @_ "/>
    <numFmt numFmtId="174" formatCode="0.0%"/>
  </numFmts>
  <fonts count="1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.5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33CC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.5"/>
      <color rgb="FF0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9.5"/>
      <color theme="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9.5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.5"/>
      <color theme="1"/>
      <name val="Calibri"/>
      <family val="2"/>
      <scheme val="minor"/>
    </font>
    <font>
      <b/>
      <sz val="10"/>
      <color theme="0"/>
      <name val="Arial"/>
      <family val="2"/>
    </font>
    <font>
      <sz val="11"/>
      <color rgb="FF0033CC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  <font>
      <sz val="10"/>
      <color theme="0"/>
      <name val="Arial"/>
      <family val="2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1.5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0"/>
      <color rgb="FFC00000"/>
      <name val="Arial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2"/>
      <color theme="0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99CC"/>
      <name val="Calibri"/>
      <family val="2"/>
      <scheme val="minor"/>
    </font>
    <font>
      <b/>
      <u val="singleAccounting"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0"/>
      <color rgb="FF0033CC"/>
      <name val="Calibri"/>
      <family val="2"/>
      <scheme val="minor"/>
    </font>
    <font>
      <sz val="9"/>
      <color rgb="FF040C28"/>
      <name val="Arial"/>
      <family val="2"/>
    </font>
    <font>
      <u/>
      <sz val="11"/>
      <color theme="10"/>
      <name val="Calibri"/>
      <family val="2"/>
      <scheme val="minor"/>
    </font>
    <font>
      <sz val="10"/>
      <color theme="4" tint="-0.499984740745262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1"/>
      <color theme="1"/>
      <name val="Arial"/>
      <family val="2"/>
    </font>
    <font>
      <b/>
      <u/>
      <sz val="14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D0E153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theme="4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9"/>
      <color rgb="FF0033CC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10.5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2"/>
      <color rgb="FF0033CC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0"/>
      <color rgb="FF336699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u/>
      <sz val="14"/>
      <color theme="5"/>
      <name val="Arial Black"/>
      <family val="2"/>
    </font>
    <font>
      <b/>
      <i/>
      <sz val="11"/>
      <color theme="0"/>
      <name val="Calibri"/>
      <family val="2"/>
      <scheme val="minor"/>
    </font>
    <font>
      <sz val="11.5"/>
      <color rgb="FFC0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0"/>
      <color rgb="FFAA3222"/>
      <name val="Arial"/>
      <family val="2"/>
    </font>
    <font>
      <b/>
      <sz val="13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.5"/>
      <color rgb="FFFF0000"/>
      <name val="Calibri"/>
      <family val="2"/>
      <scheme val="minor"/>
    </font>
    <font>
      <sz val="10"/>
      <color rgb="FF894807"/>
      <name val="Arial"/>
      <family val="2"/>
    </font>
    <font>
      <sz val="10"/>
      <color rgb="FFB74B09"/>
      <name val="Arial"/>
      <family val="2"/>
    </font>
    <font>
      <b/>
      <sz val="10"/>
      <color rgb="FF76301A"/>
      <name val="Arial"/>
      <family val="2"/>
    </font>
    <font>
      <b/>
      <sz val="10"/>
      <color rgb="FF894807"/>
      <name val="Calibri"/>
      <family val="2"/>
      <scheme val="minor"/>
    </font>
    <font>
      <b/>
      <sz val="11"/>
      <color rgb="FF894807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theme="4" tint="-0.499984740745262"/>
      <name val="Calibri"/>
      <family val="2"/>
      <scheme val="minor"/>
    </font>
    <font>
      <b/>
      <sz val="11.5"/>
      <color rgb="FF0070C0"/>
      <name val="Calibri"/>
      <family val="2"/>
      <scheme val="minor"/>
    </font>
    <font>
      <b/>
      <sz val="10"/>
      <color rgb="FFAA3222"/>
      <name val="Arial"/>
      <family val="2"/>
    </font>
    <font>
      <b/>
      <sz val="8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AE87E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69ADCB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31696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82A9B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2977B1"/>
        <bgColor indexed="64"/>
      </patternFill>
    </fill>
  </fills>
  <borders count="77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indexed="64"/>
      </right>
      <top style="thin">
        <color theme="0" tint="-0.34998626667073579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2"/>
      </bottom>
      <diagonal/>
    </border>
    <border>
      <left/>
      <right/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/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/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/>
      <diagonal/>
    </border>
    <border>
      <left style="thin">
        <color theme="2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/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/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2"/>
      </top>
      <bottom/>
      <diagonal/>
    </border>
    <border>
      <left style="thin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 style="thin">
        <color indexed="64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2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/>
      <diagonal/>
    </border>
    <border>
      <left/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2"/>
      </bottom>
      <diagonal/>
    </border>
    <border>
      <left/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/>
      <right/>
      <top style="thin">
        <color theme="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/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/>
      <right style="thin">
        <color theme="0" tint="-4.9989318521683403E-2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/>
      <bottom style="thin">
        <color theme="2"/>
      </bottom>
      <diagonal/>
    </border>
    <border>
      <left style="thin">
        <color theme="2"/>
      </left>
      <right style="thin">
        <color indexed="64"/>
      </right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/>
      <top/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34998626667073579"/>
      </top>
      <bottom/>
      <diagonal/>
    </border>
    <border>
      <left style="thin">
        <color theme="0" tint="-0.499984740745262"/>
      </left>
      <right/>
      <top style="thin">
        <color theme="0" tint="-0.34998626667073579"/>
      </top>
      <bottom/>
      <diagonal/>
    </border>
    <border>
      <left/>
      <right style="thin">
        <color theme="0" tint="-0.499984740745262"/>
      </right>
      <top style="thin">
        <color theme="0" tint="-0.34998626667073579"/>
      </top>
      <bottom/>
      <diagonal/>
    </border>
    <border>
      <left style="thin">
        <color theme="0" tint="-0.499984740745262"/>
      </left>
      <right/>
      <top/>
      <bottom style="thin">
        <color indexed="64"/>
      </bottom>
      <diagonal/>
    </border>
    <border>
      <left/>
      <right style="thin">
        <color theme="0" tint="-0.499984740745262"/>
      </right>
      <top/>
      <bottom style="thin">
        <color indexed="64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2"/>
      </left>
      <right/>
      <top style="thin">
        <color theme="0" tint="-0.34998626667073579"/>
      </top>
      <bottom/>
      <diagonal/>
    </border>
    <border>
      <left/>
      <right style="thin">
        <color theme="2"/>
      </right>
      <top style="thin">
        <color theme="0" tint="-0.34998626667073579"/>
      </top>
      <bottom/>
      <diagonal/>
    </border>
    <border>
      <left/>
      <right style="thin">
        <color theme="2"/>
      </right>
      <top/>
      <bottom style="thin">
        <color indexed="64"/>
      </bottom>
      <diagonal/>
    </border>
    <border>
      <left style="thin">
        <color theme="1" tint="0.499984740745262"/>
      </left>
      <right/>
      <top style="thin">
        <color indexed="64"/>
      </top>
      <bottom/>
      <diagonal/>
    </border>
    <border>
      <left/>
      <right style="thin">
        <color theme="1" tint="0.499984740745262"/>
      </right>
      <top style="thin">
        <color indexed="64"/>
      </top>
      <bottom/>
      <diagonal/>
    </border>
    <border>
      <left style="thin">
        <color theme="2"/>
      </left>
      <right/>
      <top style="thin">
        <color indexed="64"/>
      </top>
      <bottom/>
      <diagonal/>
    </border>
    <border>
      <left/>
      <right style="thin">
        <color theme="2"/>
      </right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/>
      <diagonal/>
    </border>
    <border>
      <left style="thin">
        <color indexed="64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indexed="64"/>
      </left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medium">
        <color indexed="64"/>
      </right>
      <top/>
      <bottom style="thin">
        <color theme="0" tint="-4.9989318521683403E-2"/>
      </bottom>
      <diagonal/>
    </border>
    <border>
      <left/>
      <right style="thin">
        <color theme="2"/>
      </right>
      <top style="thin">
        <color theme="0" tint="-4.9989318521683403E-2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/>
      <bottom/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theme="2"/>
      </right>
      <top/>
      <bottom style="thin">
        <color theme="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/>
      <bottom style="thin">
        <color theme="0" tint="-4.9989318521683403E-2"/>
      </bottom>
      <diagonal/>
    </border>
    <border>
      <left/>
      <right style="thin">
        <color theme="2"/>
      </right>
      <top/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thin">
        <color theme="2"/>
      </bottom>
      <diagonal/>
    </border>
    <border>
      <left/>
      <right/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2"/>
      </bottom>
      <diagonal/>
    </border>
    <border>
      <left/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1" tint="0.499984740745262"/>
      </left>
      <right/>
      <top style="thin">
        <color theme="0" tint="-0.34998626667073579"/>
      </top>
      <bottom/>
      <diagonal/>
    </border>
    <border>
      <left/>
      <right style="thin">
        <color theme="1" tint="0.499984740745262"/>
      </right>
      <top style="thin">
        <color theme="0" tint="-0.34998626667073579"/>
      </top>
      <bottom/>
      <diagonal/>
    </border>
    <border>
      <left/>
      <right style="thin">
        <color theme="1" tint="0.499984740745262"/>
      </right>
      <top/>
      <bottom style="thin">
        <color indexed="64"/>
      </bottom>
      <diagonal/>
    </border>
    <border>
      <left/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/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2"/>
      </bottom>
      <diagonal/>
    </border>
    <border>
      <left style="thin">
        <color theme="6" tint="0.79998168889431442"/>
      </left>
      <right/>
      <top/>
      <bottom style="thin">
        <color theme="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2"/>
      </bottom>
      <diagonal/>
    </border>
    <border>
      <left style="thin">
        <color theme="1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/>
      <top/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1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theme="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theme="2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816888943144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theme="6" tint="0.79998168889431442"/>
      </left>
      <right/>
      <top/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/>
      <diagonal/>
    </border>
    <border>
      <left style="thin">
        <color theme="6" tint="0.79998168889431442"/>
      </left>
      <right/>
      <top style="thin">
        <color theme="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/>
      <diagonal/>
    </border>
    <border>
      <left style="thin">
        <color theme="1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theme="2"/>
      </left>
      <right/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/>
      <bottom/>
      <diagonal/>
    </border>
    <border>
      <left style="thin">
        <color theme="6" tint="0.79998168889431442"/>
      </left>
      <right style="thin">
        <color theme="6" tint="0.79998168889431442"/>
      </right>
      <top/>
      <bottom/>
      <diagonal/>
    </border>
    <border>
      <left style="thin">
        <color theme="6" tint="0.79998168889431442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2"/>
      </right>
      <top/>
      <bottom/>
      <diagonal/>
    </border>
    <border>
      <left style="thin">
        <color theme="0" tint="-4.9989318521683403E-2"/>
      </left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indexed="64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2"/>
      </left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/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theme="2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1"/>
      </right>
      <top style="thin">
        <color theme="2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theme="2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theme="1" tint="0.499984740745262"/>
      </right>
      <top style="thin">
        <color theme="2"/>
      </top>
      <bottom style="thin">
        <color theme="2"/>
      </bottom>
      <diagonal/>
    </border>
    <border>
      <left style="thin">
        <color theme="1" tint="0.499984740745262"/>
      </left>
      <right/>
      <top style="thin">
        <color theme="2"/>
      </top>
      <bottom style="thin">
        <color theme="2"/>
      </bottom>
      <diagonal/>
    </border>
    <border>
      <left/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/>
      <diagonal/>
    </border>
    <border>
      <left/>
      <right style="thin">
        <color indexed="64"/>
      </right>
      <top style="thin">
        <color theme="2"/>
      </top>
      <bottom/>
      <diagonal/>
    </border>
    <border>
      <left/>
      <right style="thin">
        <color theme="1"/>
      </right>
      <top style="thin">
        <color theme="2"/>
      </top>
      <bottom/>
      <diagonal/>
    </border>
    <border>
      <left style="thin">
        <color theme="1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1" tint="0.499984740745262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theme="0" tint="-0.34998626667073579"/>
      </top>
      <bottom/>
      <diagonal/>
    </border>
    <border>
      <left style="thin">
        <color theme="0" tint="-0.14996795556505021"/>
      </left>
      <right/>
      <top/>
      <bottom style="thin">
        <color indexed="64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medium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0" tint="-4.9989318521683403E-2"/>
      </top>
      <bottom/>
      <diagonal/>
    </border>
    <border>
      <left style="medium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medium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/>
      <diagonal/>
    </border>
    <border>
      <left/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theme="4" tint="0.79998168889431442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79998168889431442"/>
      </bottom>
      <diagonal/>
    </border>
    <border>
      <left/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indexed="64"/>
      </top>
      <bottom style="thin">
        <color theme="6" tint="0.79998168889431442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/>
      <diagonal/>
    </border>
    <border>
      <left/>
      <right style="thin">
        <color theme="6" tint="0.79998168889431442"/>
      </right>
      <top style="thin">
        <color indexed="64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/>
      <diagonal/>
    </border>
    <border>
      <left style="thin">
        <color theme="6" tint="0.79998168889431442"/>
      </left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2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 style="thin">
        <color theme="6" tint="0.79998168889431442"/>
      </left>
      <right style="thin">
        <color indexed="64"/>
      </right>
      <top/>
      <bottom/>
      <diagonal/>
    </border>
    <border>
      <left/>
      <right style="thin">
        <color theme="6" tint="0.79998168889431442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1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indexed="64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indexed="64"/>
      </right>
      <top/>
      <bottom style="thin">
        <color theme="6" tint="0.79998168889431442"/>
      </bottom>
      <diagonal/>
    </border>
    <border>
      <left/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5117038483843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4" tint="0.79995117038483843"/>
      </right>
      <top style="thin">
        <color theme="2"/>
      </top>
      <bottom style="thin">
        <color theme="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theme="4" tint="0.79998168889431442"/>
      </top>
      <bottom style="thin">
        <color theme="6" tint="0.79998168889431442"/>
      </bottom>
      <diagonal/>
    </border>
    <border>
      <left style="thin">
        <color theme="1"/>
      </left>
      <right/>
      <top/>
      <bottom style="thin">
        <color theme="2"/>
      </bottom>
      <diagonal/>
    </border>
    <border>
      <left style="thin">
        <color theme="4" tint="0.79995117038483843"/>
      </left>
      <right style="thin">
        <color indexed="64"/>
      </right>
      <top/>
      <bottom style="thin">
        <color theme="2"/>
      </bottom>
      <diagonal/>
    </border>
    <border>
      <left style="thin">
        <color theme="4" tint="0.79995117038483843"/>
      </left>
      <right style="thin">
        <color theme="4" tint="0.79995117038483843"/>
      </right>
      <top/>
      <bottom style="thin">
        <color theme="2"/>
      </bottom>
      <diagonal/>
    </border>
    <border>
      <left/>
      <right style="medium">
        <color indexed="64"/>
      </right>
      <top style="thin">
        <color theme="0" tint="-4.9989318521683403E-2"/>
      </top>
      <bottom/>
      <diagonal/>
    </border>
    <border>
      <left style="medium">
        <color indexed="64"/>
      </left>
      <right/>
      <top/>
      <bottom style="thin">
        <color theme="2"/>
      </bottom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5117038483843"/>
      </left>
      <right/>
      <top style="thin">
        <color theme="6" tint="0.79998168889431442"/>
      </top>
      <bottom style="thin">
        <color theme="2"/>
      </bottom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 style="thin">
        <color theme="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2"/>
      </bottom>
      <diagonal/>
    </border>
    <border>
      <left style="thin">
        <color theme="6" tint="0.79995117038483843"/>
      </left>
      <right/>
      <top/>
      <bottom style="thin">
        <color theme="2"/>
      </bottom>
      <diagonal/>
    </border>
    <border>
      <left style="thin">
        <color theme="1"/>
      </left>
      <right/>
      <top style="thin">
        <color theme="2"/>
      </top>
      <bottom style="thin">
        <color theme="2"/>
      </bottom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 style="thin">
        <color theme="2"/>
      </bottom>
      <diagonal/>
    </border>
    <border>
      <left style="medium">
        <color indexed="64"/>
      </left>
      <right/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/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 style="medium">
        <color indexed="64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0" tint="-4.9989318521683403E-2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6" tint="0.79998168889431442"/>
      </top>
      <bottom/>
      <diagonal/>
    </border>
    <border>
      <left style="thin">
        <color theme="6" tint="0.79995117038483843"/>
      </left>
      <right style="thin">
        <color theme="6" tint="0.79995117038483843"/>
      </right>
      <top/>
      <bottom/>
      <diagonal/>
    </border>
    <border>
      <left style="thin">
        <color theme="6" tint="0.79995117038483843"/>
      </left>
      <right/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hair">
        <color auto="1"/>
      </top>
      <bottom style="thin">
        <color theme="6" tint="0.79998168889431442"/>
      </bottom>
      <diagonal/>
    </border>
    <border>
      <left/>
      <right/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indexed="64"/>
      </left>
      <right/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/>
      <bottom style="thin">
        <color theme="0" tint="-4.9989318521683403E-2"/>
      </bottom>
      <diagonal/>
    </border>
    <border>
      <left style="medium">
        <color indexed="64"/>
      </left>
      <right/>
      <top/>
      <bottom style="thin">
        <color theme="6" tint="0.79998168889431442"/>
      </bottom>
      <diagonal/>
    </border>
    <border>
      <left style="thin">
        <color theme="4" tint="0.79995117038483843"/>
      </left>
      <right style="thin">
        <color indexed="64"/>
      </right>
      <top/>
      <bottom/>
      <diagonal/>
    </border>
    <border>
      <left style="thin">
        <color theme="4" tint="0.79995117038483843"/>
      </left>
      <right style="thin">
        <color theme="4" tint="0.79995117038483843"/>
      </right>
      <top/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2"/>
      </left>
      <right style="medium">
        <color indexed="64"/>
      </right>
      <top style="thin">
        <color theme="2"/>
      </top>
      <bottom/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4" tint="0.79995117038483843"/>
      </left>
      <right/>
      <top style="thin">
        <color theme="6" tint="0.79998168889431442"/>
      </top>
      <bottom/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/>
      <diagonal/>
    </border>
    <border>
      <left/>
      <right style="thin">
        <color indexed="64"/>
      </right>
      <top style="thin">
        <color theme="6" tint="0.79998168889431442"/>
      </top>
      <bottom/>
      <diagonal/>
    </border>
    <border>
      <left/>
      <right style="thin">
        <color theme="4" tint="0.79995117038483843"/>
      </right>
      <top style="thin">
        <color theme="2"/>
      </top>
      <bottom/>
      <diagonal/>
    </border>
    <border>
      <left/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/>
      <diagonal/>
    </border>
    <border>
      <left/>
      <right style="thin">
        <color indexed="64"/>
      </right>
      <top style="thin">
        <color theme="4" tint="0.79998168889431442"/>
      </top>
      <bottom/>
      <diagonal/>
    </border>
    <border>
      <left/>
      <right style="thin">
        <color theme="6" tint="0.79998168889431442"/>
      </right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4" tint="0.79995117038483843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4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indexed="64"/>
      </top>
      <bottom style="thin">
        <color indexed="64"/>
      </bottom>
      <diagonal/>
    </border>
    <border>
      <left style="thin">
        <color theme="6" tint="0.79995117038483843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4" tint="0.7999511703848384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indexed="64"/>
      </top>
      <bottom style="thin">
        <color theme="2"/>
      </bottom>
      <diagonal/>
    </border>
    <border>
      <left style="medium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4" tint="0.79995117038483843"/>
      </left>
      <right/>
      <top/>
      <bottom style="thin">
        <color theme="2"/>
      </bottom>
      <diagonal/>
    </border>
    <border>
      <left style="thin">
        <color indexed="64"/>
      </left>
      <right style="thin">
        <color theme="4" tint="0.79998168889431442"/>
      </right>
      <top/>
      <bottom style="thin">
        <color theme="2"/>
      </bottom>
      <diagonal/>
    </border>
    <border>
      <left style="thin">
        <color theme="4" tint="0.79998168889431442"/>
      </left>
      <right style="thin">
        <color theme="4" tint="0.79998168889431442"/>
      </right>
      <top/>
      <bottom style="thin">
        <color theme="2"/>
      </bottom>
      <diagonal/>
    </border>
    <border>
      <left/>
      <right style="thin">
        <color indexed="64"/>
      </right>
      <top/>
      <bottom style="thin">
        <color theme="6" tint="0.79998168889431442"/>
      </bottom>
      <diagonal/>
    </border>
    <border>
      <left/>
      <right style="thin">
        <color theme="4" tint="0.79995117038483843"/>
      </right>
      <top/>
      <bottom style="thin">
        <color theme="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medium">
        <color indexed="64"/>
      </right>
      <top/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/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indexed="64"/>
      </bottom>
      <diagonal/>
    </border>
    <border>
      <left style="medium">
        <color theme="1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6" tint="0.79998168889431442"/>
      </bottom>
      <diagonal/>
    </border>
    <border>
      <left style="medium">
        <color theme="1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theme="1"/>
      </right>
      <top/>
      <bottom/>
      <diagonal/>
    </border>
    <border>
      <left/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 style="thin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medium">
        <color theme="1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medium">
        <color theme="1"/>
      </right>
      <top style="thin">
        <color indexed="64"/>
      </top>
      <bottom/>
      <diagonal/>
    </border>
    <border>
      <left style="thin">
        <color theme="1"/>
      </left>
      <right/>
      <top style="thin">
        <color theme="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/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/>
      <diagonal/>
    </border>
    <border>
      <left style="thin">
        <color theme="0" tint="-4.9989318521683403E-2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2"/>
      </top>
      <bottom/>
      <diagonal/>
    </border>
    <border>
      <left style="thin">
        <color indexed="64"/>
      </left>
      <right style="thin">
        <color theme="4" tint="0.79995117038483843"/>
      </right>
      <top style="thin">
        <color theme="2"/>
      </top>
      <bottom/>
      <diagonal/>
    </border>
    <border>
      <left style="medium">
        <color indexed="64"/>
      </left>
      <right style="thin">
        <color theme="0" tint="-4.9989318521683403E-2"/>
      </right>
      <top/>
      <bottom/>
      <diagonal/>
    </border>
    <border>
      <left style="thin">
        <color theme="1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indexed="64"/>
      </right>
      <top/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/>
      <top style="thin">
        <color theme="6" tint="0.7999816888943144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0" tint="-4.9989318521683403E-2"/>
      </bottom>
      <diagonal/>
    </border>
    <border>
      <left/>
      <right/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1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/>
      <diagonal/>
    </border>
    <border>
      <left/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2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6" tint="0.79998168889431442"/>
      </bottom>
      <diagonal/>
    </border>
    <border>
      <left style="thin">
        <color theme="2"/>
      </left>
      <right/>
      <top style="thin">
        <color theme="2"/>
      </top>
      <bottom style="thin">
        <color theme="6" tint="0.79998168889431442"/>
      </bottom>
      <diagonal/>
    </border>
    <border>
      <left/>
      <right style="thin">
        <color theme="4" tint="0.79995117038483843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0" tint="-4.9989318521683403E-2"/>
      </top>
      <bottom style="thin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/>
      <top/>
      <bottom style="thin">
        <color theme="6" tint="0.79998168889431442"/>
      </bottom>
      <diagonal/>
    </border>
    <border>
      <left style="thin">
        <color theme="1"/>
      </left>
      <right/>
      <top/>
      <bottom style="thin">
        <color theme="6" tint="0.79998168889431442"/>
      </bottom>
      <diagonal/>
    </border>
    <border>
      <left style="thin">
        <color indexed="64"/>
      </left>
      <right style="thin">
        <color theme="2"/>
      </right>
      <top/>
      <bottom style="thin">
        <color theme="6" tint="0.79998168889431442"/>
      </bottom>
      <diagonal/>
    </border>
    <border>
      <left style="thin">
        <color theme="2"/>
      </left>
      <right style="thin">
        <color theme="2"/>
      </right>
      <top/>
      <bottom style="thin">
        <color theme="6" tint="0.79998168889431442"/>
      </bottom>
      <diagonal/>
    </border>
    <border>
      <left style="thin">
        <color theme="2"/>
      </left>
      <right style="thin">
        <color indexed="64"/>
      </right>
      <top/>
      <bottom style="thin">
        <color theme="6" tint="0.79998168889431442"/>
      </bottom>
      <diagonal/>
    </border>
    <border>
      <left style="thin">
        <color theme="4" tint="0.79995117038483843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6" tint="0.7999816888943144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indexed="64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medium">
        <color indexed="64"/>
      </left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theme="0" tint="-0.34998626667073579"/>
      </right>
      <top/>
      <bottom style="thin">
        <color theme="6" tint="0.79998168889431442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2"/>
      </bottom>
      <diagonal/>
    </border>
    <border>
      <left style="thin">
        <color indexed="64"/>
      </left>
      <right/>
      <top style="thin">
        <color theme="1"/>
      </top>
      <bottom style="thin">
        <color theme="0" tint="-4.9989318521683403E-2"/>
      </bottom>
      <diagonal/>
    </border>
    <border>
      <left/>
      <right/>
      <top style="thin">
        <color theme="1"/>
      </top>
      <bottom style="thin">
        <color theme="0" tint="-4.9989318521683403E-2"/>
      </bottom>
      <diagonal/>
    </border>
    <border>
      <left/>
      <right style="thin">
        <color theme="2"/>
      </right>
      <top style="thin">
        <color theme="1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1"/>
      </top>
      <bottom style="thin">
        <color theme="0" tint="-4.9989318521683403E-2"/>
      </bottom>
      <diagonal/>
    </border>
    <border>
      <left/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1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theme="0" tint="-0.34998626667073579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/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6" tint="0.79998168889431442"/>
      </top>
      <bottom/>
      <diagonal/>
    </border>
    <border>
      <left style="thin">
        <color theme="6" tint="0.79998168889431442"/>
      </left>
      <right/>
      <top style="thin">
        <color theme="6" tint="0.79998168889431442"/>
      </top>
      <bottom/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indexed="64"/>
      </left>
      <right/>
      <top style="thin">
        <color theme="6" tint="0.79998168889431442"/>
      </top>
      <bottom/>
      <diagonal/>
    </border>
    <border>
      <left style="thin">
        <color theme="0" tint="-0.34998626667073579"/>
      </left>
      <right style="thin">
        <color theme="2"/>
      </right>
      <top style="thin">
        <color theme="2"/>
      </top>
      <bottom/>
      <diagonal/>
    </border>
    <border>
      <left style="medium">
        <color indexed="64"/>
      </left>
      <right/>
      <top style="thin">
        <color theme="6" tint="0.79998168889431442"/>
      </top>
      <bottom/>
      <diagonal/>
    </border>
    <border>
      <left/>
      <right style="thin">
        <color theme="0" tint="-0.34998626667073579"/>
      </right>
      <top style="thin">
        <color theme="6" tint="0.79998168889431442"/>
      </top>
      <bottom/>
      <diagonal/>
    </border>
    <border>
      <left/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/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0.34998626667073579"/>
      </left>
      <right/>
      <top style="thin">
        <color theme="2"/>
      </top>
      <bottom/>
      <diagonal/>
    </border>
    <border>
      <left style="thin">
        <color theme="6" tint="0.79998168889431442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6" tint="0.79998168889431442"/>
      </right>
      <top/>
      <bottom/>
      <diagonal/>
    </border>
    <border>
      <left style="thin">
        <color theme="0" tint="-0.34998626667073579"/>
      </left>
      <right style="thin">
        <color theme="2"/>
      </right>
      <top/>
      <bottom/>
      <diagonal/>
    </border>
    <border>
      <left style="thin">
        <color theme="6" tint="0.79998168889431442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/>
      <diagonal/>
    </border>
    <border>
      <left style="thin">
        <color theme="2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6" tint="0.79998168889431442"/>
      </right>
      <top/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theme="2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theme="2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/>
      <diagonal/>
    </border>
    <border>
      <left style="thin">
        <color theme="0" tint="-4.9989318521683403E-2"/>
      </left>
      <right/>
      <top style="thin">
        <color indexed="64"/>
      </top>
      <bottom/>
      <diagonal/>
    </border>
    <border>
      <left/>
      <right style="thin">
        <color theme="0" tint="-4.9989318521683403E-2"/>
      </right>
      <top style="thin">
        <color indexed="64"/>
      </top>
      <bottom/>
      <diagonal/>
    </border>
    <border>
      <left/>
      <right/>
      <top style="thin">
        <color theme="0" tint="-4.9989318521683403E-2"/>
      </top>
      <bottom style="medium">
        <color indexed="64"/>
      </bottom>
      <diagonal/>
    </border>
    <border>
      <left style="thin">
        <color theme="1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0" tint="-4.9989318521683403E-2"/>
      </bottom>
      <diagonal/>
    </border>
    <border>
      <left style="thin">
        <color theme="6" tint="0.79995117038483843"/>
      </left>
      <right/>
      <top/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4" tint="0.7999816888943144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theme="6" tint="0.7999816888943144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6" tint="0.79998168889431442"/>
      </bottom>
      <diagonal/>
    </border>
    <border>
      <left style="thin">
        <color theme="6" tint="0.79995117038483843"/>
      </left>
      <right/>
      <top/>
      <bottom style="thin">
        <color theme="6" tint="0.7999816888943144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medium">
        <color indexed="64"/>
      </right>
      <top/>
      <bottom/>
      <diagonal/>
    </border>
    <border>
      <left/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6" tint="0.79998168889431442"/>
      </bottom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5117038483843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/>
      <top style="thin">
        <color theme="0" tint="-4.9989318521683403E-2"/>
      </top>
      <bottom/>
      <diagonal/>
    </border>
    <border>
      <left style="thin">
        <color indexed="64"/>
      </left>
      <right style="thin">
        <color theme="4" tint="0.79998168889431442"/>
      </right>
      <top style="thin">
        <color theme="0" tint="-4.9989318521683403E-2"/>
      </top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medium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/>
      <top style="thin">
        <color indexed="64"/>
      </top>
      <bottom/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0" tint="-4.9989318521683403E-2"/>
      </bottom>
      <diagonal/>
    </border>
    <border>
      <left/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medium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2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thin">
        <color theme="2"/>
      </left>
      <right style="thin">
        <color theme="2"/>
      </right>
      <top style="medium">
        <color indexed="64"/>
      </top>
      <bottom style="medium">
        <color indexed="64"/>
      </bottom>
      <diagonal/>
    </border>
    <border>
      <left/>
      <right style="thin">
        <color theme="2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2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0.14996795556505021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6795556505021"/>
      </left>
      <right/>
      <top style="thin">
        <color theme="0" tint="-4.9989318521683403E-2"/>
      </top>
      <bottom/>
      <diagonal/>
    </border>
    <border>
      <left/>
      <right style="thin">
        <color theme="0" tint="-0.14996795556505021"/>
      </right>
      <top style="thin">
        <color theme="0" tint="-4.9989318521683403E-2"/>
      </top>
      <bottom/>
      <diagonal/>
    </border>
    <border>
      <left style="thin">
        <color theme="0" tint="-0.14996795556505021"/>
      </left>
      <right/>
      <top/>
      <bottom style="thin">
        <color theme="0" tint="-4.9989318521683403E-2"/>
      </bottom>
      <diagonal/>
    </border>
    <border>
      <left/>
      <right style="thin">
        <color theme="0" tint="-0.14996795556505021"/>
      </right>
      <top/>
      <bottom style="thin">
        <color theme="0" tint="-4.9989318521683403E-2"/>
      </bottom>
      <diagonal/>
    </border>
    <border>
      <left style="thin">
        <color theme="0" tint="-0.1499679555650502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 tint="-0.14996795556505021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/>
      <right style="medium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0.34998626667073579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/>
      <top style="thin">
        <color theme="0" tint="-4.9989318521683403E-2"/>
      </top>
      <bottom/>
      <diagonal/>
    </border>
    <border>
      <left/>
      <right style="thin">
        <color theme="0" tint="-0.34998626667073579"/>
      </right>
      <top style="thin">
        <color theme="0" tint="-4.9989318521683403E-2"/>
      </top>
      <bottom/>
      <diagonal/>
    </border>
    <border>
      <left style="thin">
        <color theme="0" tint="-0.34998626667073579"/>
      </left>
      <right/>
      <top/>
      <bottom style="thin">
        <color theme="0" tint="-4.9989318521683403E-2"/>
      </bottom>
      <diagonal/>
    </border>
    <border>
      <left/>
      <right style="thin">
        <color theme="0" tint="-0.34998626667073579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14996795556505021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 style="thin">
        <color theme="0" tint="-4.9989318521683403E-2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0" fontId="23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7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6909">
    <xf numFmtId="0" fontId="0" fillId="0" borderId="0" xfId="0"/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9" fontId="0" fillId="2" borderId="0" xfId="2" applyFont="1" applyFill="1" applyBorder="1"/>
    <xf numFmtId="0" fontId="7" fillId="2" borderId="0" xfId="0" applyFont="1" applyFill="1" applyBorder="1"/>
    <xf numFmtId="0" fontId="0" fillId="2" borderId="6" xfId="0" applyFont="1" applyFill="1" applyBorder="1" applyAlignment="1">
      <alignment horizontal="center" vertical="center"/>
    </xf>
    <xf numFmtId="49" fontId="8" fillId="2" borderId="0" xfId="0" applyNumberFormat="1" applyFont="1" applyFill="1" applyBorder="1" applyAlignment="1">
      <alignment horizontal="left" vertical="center"/>
    </xf>
    <xf numFmtId="9" fontId="4" fillId="2" borderId="10" xfId="2" applyFont="1" applyFill="1" applyBorder="1" applyAlignment="1">
      <alignment horizontal="center" vertical="center"/>
    </xf>
    <xf numFmtId="164" fontId="0" fillId="2" borderId="0" xfId="0" applyNumberFormat="1" applyFont="1" applyFill="1" applyBorder="1" applyAlignment="1">
      <alignment vertical="center"/>
    </xf>
    <xf numFmtId="164" fontId="0" fillId="2" borderId="0" xfId="0" applyNumberFormat="1" applyFill="1" applyBorder="1" applyAlignment="1">
      <alignment vertical="center"/>
    </xf>
    <xf numFmtId="9" fontId="0" fillId="2" borderId="10" xfId="2" applyFont="1" applyFill="1" applyBorder="1" applyAlignment="1">
      <alignment vertical="center"/>
    </xf>
    <xf numFmtId="0" fontId="0" fillId="2" borderId="6" xfId="0" applyFill="1" applyBorder="1" applyAlignment="1">
      <alignment horizontal="center" vertical="center"/>
    </xf>
    <xf numFmtId="0" fontId="0" fillId="2" borderId="6" xfId="0" applyFill="1" applyBorder="1"/>
    <xf numFmtId="0" fontId="0" fillId="2" borderId="6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10" xfId="0" applyFill="1" applyBorder="1"/>
    <xf numFmtId="164" fontId="0" fillId="2" borderId="0" xfId="0" applyNumberFormat="1" applyFill="1" applyBorder="1"/>
    <xf numFmtId="9" fontId="0" fillId="2" borderId="10" xfId="2" applyFont="1" applyFill="1" applyBorder="1"/>
    <xf numFmtId="1" fontId="0" fillId="2" borderId="6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center"/>
    </xf>
    <xf numFmtId="0" fontId="9" fillId="2" borderId="0" xfId="0" applyFont="1" applyFill="1" applyBorder="1" applyAlignment="1">
      <alignment vertical="center"/>
    </xf>
    <xf numFmtId="0" fontId="10" fillId="2" borderId="6" xfId="0" applyFont="1" applyFill="1" applyBorder="1"/>
    <xf numFmtId="0" fontId="11" fillId="2" borderId="0" xfId="0" applyFont="1" applyFill="1" applyBorder="1" applyAlignment="1">
      <alignment horizontal="right"/>
    </xf>
    <xf numFmtId="0" fontId="10" fillId="2" borderId="0" xfId="0" applyFont="1" applyFill="1" applyBorder="1"/>
    <xf numFmtId="0" fontId="10" fillId="2" borderId="10" xfId="0" applyFont="1" applyFill="1" applyBorder="1"/>
    <xf numFmtId="0" fontId="12" fillId="2" borderId="0" xfId="0" applyFont="1" applyFill="1" applyBorder="1"/>
    <xf numFmtId="0" fontId="13" fillId="2" borderId="10" xfId="0" applyFont="1" applyFill="1" applyBorder="1"/>
    <xf numFmtId="0" fontId="3" fillId="2" borderId="0" xfId="0" applyFont="1" applyFill="1" applyBorder="1"/>
    <xf numFmtId="0" fontId="10" fillId="2" borderId="6" xfId="0" applyFont="1" applyFill="1" applyBorder="1" applyAlignment="1">
      <alignment horizontal="center"/>
    </xf>
    <xf numFmtId="0" fontId="3" fillId="2" borderId="10" xfId="0" applyFont="1" applyFill="1" applyBorder="1"/>
    <xf numFmtId="9" fontId="10" fillId="2" borderId="10" xfId="2" applyFont="1" applyFill="1" applyBorder="1"/>
    <xf numFmtId="0" fontId="14" fillId="2" borderId="0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" fontId="0" fillId="2" borderId="0" xfId="0" applyNumberFormat="1" applyFont="1" applyFill="1" applyBorder="1"/>
    <xf numFmtId="1" fontId="0" fillId="2" borderId="0" xfId="0" applyNumberFormat="1" applyFill="1" applyBorder="1"/>
    <xf numFmtId="0" fontId="0" fillId="2" borderId="19" xfId="0" applyFont="1" applyFill="1" applyBorder="1"/>
    <xf numFmtId="0" fontId="3" fillId="2" borderId="20" xfId="0" applyFont="1" applyFill="1" applyBorder="1" applyAlignment="1">
      <alignment horizontal="right"/>
    </xf>
    <xf numFmtId="0" fontId="0" fillId="2" borderId="20" xfId="0" applyFont="1" applyFill="1" applyBorder="1"/>
    <xf numFmtId="0" fontId="0" fillId="2" borderId="23" xfId="0" applyFont="1" applyFill="1" applyBorder="1"/>
    <xf numFmtId="9" fontId="0" fillId="2" borderId="23" xfId="2" applyFont="1" applyFill="1" applyBorder="1"/>
    <xf numFmtId="0" fontId="0" fillId="2" borderId="19" xfId="0" applyFont="1" applyFill="1" applyBorder="1" applyAlignment="1">
      <alignment horizontal="center"/>
    </xf>
    <xf numFmtId="0" fontId="3" fillId="2" borderId="19" xfId="0" applyFont="1" applyFill="1" applyBorder="1"/>
    <xf numFmtId="0" fontId="3" fillId="2" borderId="20" xfId="0" applyFont="1" applyFill="1" applyBorder="1"/>
    <xf numFmtId="9" fontId="3" fillId="2" borderId="23" xfId="2" applyFont="1" applyFill="1" applyBorder="1"/>
    <xf numFmtId="0" fontId="3" fillId="2" borderId="15" xfId="0" applyFont="1" applyFill="1" applyBorder="1"/>
    <xf numFmtId="9" fontId="3" fillId="2" borderId="18" xfId="2" applyFont="1" applyFill="1" applyBorder="1"/>
    <xf numFmtId="9" fontId="0" fillId="2" borderId="18" xfId="2" applyFont="1" applyFill="1" applyBorder="1"/>
    <xf numFmtId="9" fontId="3" fillId="0" borderId="10" xfId="2" applyFont="1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4" xfId="0" applyFill="1" applyBorder="1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9" fontId="0" fillId="2" borderId="31" xfId="2" applyFont="1" applyFill="1" applyBorder="1"/>
    <xf numFmtId="9" fontId="0" fillId="2" borderId="0" xfId="2" applyFont="1" applyFill="1" applyBorder="1" applyAlignment="1">
      <alignment vertical="center"/>
    </xf>
    <xf numFmtId="9" fontId="0" fillId="2" borderId="15" xfId="2" applyFont="1" applyFill="1" applyBorder="1"/>
    <xf numFmtId="164" fontId="0" fillId="2" borderId="12" xfId="0" applyNumberFormat="1" applyFill="1" applyBorder="1" applyAlignment="1">
      <alignment vertical="center"/>
    </xf>
    <xf numFmtId="164" fontId="0" fillId="2" borderId="13" xfId="0" applyNumberFormat="1" applyFill="1" applyBorder="1" applyAlignment="1">
      <alignment vertical="center"/>
    </xf>
    <xf numFmtId="164" fontId="0" fillId="2" borderId="6" xfId="0" applyNumberFormat="1" applyFill="1" applyBorder="1" applyAlignment="1">
      <alignment vertical="center"/>
    </xf>
    <xf numFmtId="164" fontId="0" fillId="2" borderId="2" xfId="0" applyNumberFormat="1" applyFill="1" applyBorder="1" applyAlignment="1">
      <alignment vertical="center"/>
    </xf>
    <xf numFmtId="0" fontId="17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9" fontId="12" fillId="2" borderId="0" xfId="2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0" fontId="12" fillId="2" borderId="0" xfId="0" applyFont="1" applyFill="1" applyBorder="1" applyAlignment="1">
      <alignment vertical="center"/>
    </xf>
    <xf numFmtId="9" fontId="4" fillId="2" borderId="0" xfId="2" applyFont="1" applyFill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/>
    </xf>
    <xf numFmtId="9" fontId="4" fillId="2" borderId="10" xfId="2" applyFont="1" applyFill="1" applyBorder="1" applyAlignment="1">
      <alignment vertical="center"/>
    </xf>
    <xf numFmtId="9" fontId="4" fillId="2" borderId="0" xfId="2" applyFont="1" applyFill="1" applyBorder="1" applyAlignment="1">
      <alignment vertical="center"/>
    </xf>
    <xf numFmtId="9" fontId="4" fillId="2" borderId="62" xfId="2" applyFont="1" applyFill="1" applyBorder="1" applyAlignment="1">
      <alignment horizontal="center" vertical="center"/>
    </xf>
    <xf numFmtId="9" fontId="12" fillId="2" borderId="10" xfId="2" applyFont="1" applyFill="1" applyBorder="1" applyAlignment="1">
      <alignment vertical="center"/>
    </xf>
    <xf numFmtId="9" fontId="4" fillId="0" borderId="62" xfId="2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horizontal="center" vertical="center"/>
    </xf>
    <xf numFmtId="164" fontId="4" fillId="2" borderId="0" xfId="0" applyNumberFormat="1" applyFont="1" applyFill="1" applyAlignment="1">
      <alignment vertical="center"/>
    </xf>
    <xf numFmtId="9" fontId="27" fillId="2" borderId="62" xfId="2" applyFont="1" applyFill="1" applyBorder="1" applyAlignment="1">
      <alignment horizontal="center" vertical="center"/>
    </xf>
    <xf numFmtId="9" fontId="4" fillId="2" borderId="73" xfId="2" applyFont="1" applyFill="1" applyBorder="1" applyAlignment="1">
      <alignment horizontal="center" vertical="center"/>
    </xf>
    <xf numFmtId="9" fontId="4" fillId="2" borderId="59" xfId="2" applyFont="1" applyFill="1" applyBorder="1" applyAlignment="1">
      <alignment horizontal="center" vertical="center"/>
    </xf>
    <xf numFmtId="9" fontId="12" fillId="2" borderId="71" xfId="2" applyFont="1" applyFill="1" applyBorder="1" applyAlignment="1">
      <alignment vertical="center"/>
    </xf>
    <xf numFmtId="9" fontId="12" fillId="2" borderId="77" xfId="2" applyFont="1" applyFill="1" applyBorder="1" applyAlignment="1">
      <alignment vertical="center"/>
    </xf>
    <xf numFmtId="9" fontId="4" fillId="2" borderId="0" xfId="2" applyFont="1" applyFill="1" applyBorder="1" applyAlignment="1">
      <alignment horizontal="center" vertical="center"/>
    </xf>
    <xf numFmtId="9" fontId="12" fillId="2" borderId="87" xfId="2" applyFont="1" applyFill="1" applyBorder="1" applyAlignment="1">
      <alignment vertical="center"/>
    </xf>
    <xf numFmtId="0" fontId="12" fillId="2" borderId="0" xfId="0" applyFont="1" applyFill="1" applyBorder="1" applyAlignment="1">
      <alignment horizontal="center" vertical="center"/>
    </xf>
    <xf numFmtId="9" fontId="12" fillId="2" borderId="18" xfId="2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12" fillId="2" borderId="10" xfId="0" applyFont="1" applyFill="1" applyBorder="1" applyAlignment="1">
      <alignment vertical="center"/>
    </xf>
    <xf numFmtId="0" fontId="4" fillId="2" borderId="0" xfId="0" applyFont="1" applyFill="1" applyAlignment="1">
      <alignment horizontal="left" vertical="center"/>
    </xf>
    <xf numFmtId="9" fontId="4" fillId="2" borderId="87" xfId="2" applyFont="1" applyFill="1" applyBorder="1" applyAlignment="1">
      <alignment horizontal="center" vertical="center"/>
    </xf>
    <xf numFmtId="9" fontId="4" fillId="2" borderId="77" xfId="2" applyFont="1" applyFill="1" applyBorder="1" applyAlignment="1">
      <alignment horizontal="center" vertical="center"/>
    </xf>
    <xf numFmtId="9" fontId="4" fillId="2" borderId="63" xfId="2" applyFont="1" applyFill="1" applyBorder="1" applyAlignment="1">
      <alignment horizontal="center" vertical="center"/>
    </xf>
    <xf numFmtId="9" fontId="4" fillId="2" borderId="69" xfId="2" applyFont="1" applyFill="1" applyBorder="1" applyAlignment="1">
      <alignment horizontal="center" vertical="center"/>
    </xf>
    <xf numFmtId="164" fontId="4" fillId="2" borderId="67" xfId="0" applyNumberFormat="1" applyFont="1" applyFill="1" applyBorder="1" applyAlignment="1">
      <alignment vertical="center"/>
    </xf>
    <xf numFmtId="164" fontId="4" fillId="2" borderId="76" xfId="0" applyNumberFormat="1" applyFont="1" applyFill="1" applyBorder="1" applyAlignment="1">
      <alignment vertical="center"/>
    </xf>
    <xf numFmtId="9" fontId="12" fillId="2" borderId="62" xfId="2" applyFont="1" applyFill="1" applyBorder="1" applyAlignment="1">
      <alignment horizontal="center" vertical="center"/>
    </xf>
    <xf numFmtId="9" fontId="12" fillId="2" borderId="73" xfId="2" applyFont="1" applyFill="1" applyBorder="1" applyAlignment="1">
      <alignment horizontal="center" vertical="center"/>
    </xf>
    <xf numFmtId="9" fontId="12" fillId="4" borderId="23" xfId="2" applyFont="1" applyFill="1" applyBorder="1" applyAlignment="1">
      <alignment horizontal="center" vertical="center"/>
    </xf>
    <xf numFmtId="164" fontId="12" fillId="2" borderId="0" xfId="0" applyNumberFormat="1" applyFont="1" applyFill="1" applyAlignment="1">
      <alignment vertical="center"/>
    </xf>
    <xf numFmtId="165" fontId="12" fillId="2" borderId="0" xfId="1" applyNumberFormat="1" applyFont="1" applyFill="1" applyAlignment="1">
      <alignment vertical="center"/>
    </xf>
    <xf numFmtId="0" fontId="21" fillId="2" borderId="0" xfId="0" applyFont="1" applyFill="1" applyAlignment="1">
      <alignment horizontal="center" vertical="center"/>
    </xf>
    <xf numFmtId="0" fontId="4" fillId="2" borderId="66" xfId="0" applyFont="1" applyFill="1" applyBorder="1" applyAlignment="1">
      <alignment vertical="center"/>
    </xf>
    <xf numFmtId="164" fontId="4" fillId="2" borderId="66" xfId="0" applyNumberFormat="1" applyFont="1" applyFill="1" applyBorder="1" applyAlignment="1">
      <alignment vertical="center"/>
    </xf>
    <xf numFmtId="9" fontId="4" fillId="2" borderId="102" xfId="2" applyFont="1" applyFill="1" applyBorder="1" applyAlignment="1">
      <alignment vertical="center"/>
    </xf>
    <xf numFmtId="165" fontId="4" fillId="2" borderId="44" xfId="1" applyNumberFormat="1" applyFont="1" applyFill="1" applyBorder="1" applyAlignment="1">
      <alignment vertical="center"/>
    </xf>
    <xf numFmtId="9" fontId="4" fillId="2" borderId="44" xfId="2" applyFont="1" applyFill="1" applyBorder="1" applyAlignment="1">
      <alignment vertical="center"/>
    </xf>
    <xf numFmtId="165" fontId="4" fillId="2" borderId="0" xfId="1" applyNumberFormat="1" applyFont="1" applyFill="1" applyBorder="1" applyAlignment="1">
      <alignment vertical="center"/>
    </xf>
    <xf numFmtId="0" fontId="4" fillId="2" borderId="104" xfId="0" applyFont="1" applyFill="1" applyBorder="1" applyAlignment="1">
      <alignment horizontal="center" vertical="center"/>
    </xf>
    <xf numFmtId="0" fontId="4" fillId="2" borderId="67" xfId="0" applyFont="1" applyFill="1" applyBorder="1" applyAlignment="1">
      <alignment vertical="center"/>
    </xf>
    <xf numFmtId="0" fontId="4" fillId="2" borderId="67" xfId="0" applyFont="1" applyFill="1" applyBorder="1" applyAlignment="1">
      <alignment horizontal="center" vertical="center"/>
    </xf>
    <xf numFmtId="0" fontId="4" fillId="2" borderId="70" xfId="0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vertical="center"/>
    </xf>
    <xf numFmtId="164" fontId="4" fillId="0" borderId="67" xfId="0" applyNumberFormat="1" applyFont="1" applyFill="1" applyBorder="1" applyAlignment="1">
      <alignment vertical="center"/>
    </xf>
    <xf numFmtId="9" fontId="4" fillId="0" borderId="71" xfId="2" applyFont="1" applyFill="1" applyBorder="1" applyAlignment="1">
      <alignment vertical="center"/>
    </xf>
    <xf numFmtId="9" fontId="4" fillId="2" borderId="109" xfId="2" applyFont="1" applyFill="1" applyBorder="1" applyAlignment="1">
      <alignment vertical="center"/>
    </xf>
    <xf numFmtId="165" fontId="4" fillId="2" borderId="34" xfId="1" applyNumberFormat="1" applyFont="1" applyFill="1" applyBorder="1" applyAlignment="1">
      <alignment vertical="center"/>
    </xf>
    <xf numFmtId="9" fontId="4" fillId="2" borderId="34" xfId="2" applyFont="1" applyFill="1" applyBorder="1" applyAlignment="1">
      <alignment vertical="center"/>
    </xf>
    <xf numFmtId="0" fontId="4" fillId="0" borderId="67" xfId="0" applyFont="1" applyFill="1" applyBorder="1" applyAlignment="1">
      <alignment vertical="center"/>
    </xf>
    <xf numFmtId="0" fontId="4" fillId="0" borderId="67" xfId="0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12" fillId="2" borderId="0" xfId="0" applyFont="1" applyFill="1" applyBorder="1" applyAlignment="1">
      <alignment horizontal="right" vertical="center"/>
    </xf>
    <xf numFmtId="0" fontId="25" fillId="2" borderId="0" xfId="0" applyFont="1" applyFill="1" applyBorder="1" applyAlignment="1">
      <alignment horizontal="center" vertical="center"/>
    </xf>
    <xf numFmtId="165" fontId="4" fillId="2" borderId="0" xfId="1" applyNumberFormat="1" applyFont="1" applyFill="1" applyAlignment="1">
      <alignment vertical="center"/>
    </xf>
    <xf numFmtId="9" fontId="4" fillId="2" borderId="87" xfId="2" applyFont="1" applyFill="1" applyBorder="1" applyAlignment="1">
      <alignment vertical="center"/>
    </xf>
    <xf numFmtId="165" fontId="4" fillId="2" borderId="65" xfId="1" applyNumberFormat="1" applyFont="1" applyFill="1" applyBorder="1" applyAlignment="1">
      <alignment vertical="center"/>
    </xf>
    <xf numFmtId="165" fontId="4" fillId="2" borderId="66" xfId="1" applyNumberFormat="1" applyFont="1" applyFill="1" applyBorder="1" applyAlignment="1">
      <alignment vertical="center"/>
    </xf>
    <xf numFmtId="165" fontId="4" fillId="2" borderId="70" xfId="1" applyNumberFormat="1" applyFont="1" applyFill="1" applyBorder="1" applyAlignment="1">
      <alignment vertical="center"/>
    </xf>
    <xf numFmtId="165" fontId="4" fillId="2" borderId="67" xfId="1" applyNumberFormat="1" applyFont="1" applyFill="1" applyBorder="1" applyAlignment="1">
      <alignment vertical="center"/>
    </xf>
    <xf numFmtId="165" fontId="4" fillId="2" borderId="108" xfId="1" applyNumberFormat="1" applyFont="1" applyFill="1" applyBorder="1" applyAlignment="1">
      <alignment vertical="center"/>
    </xf>
    <xf numFmtId="165" fontId="4" fillId="2" borderId="107" xfId="1" applyNumberFormat="1" applyFont="1" applyFill="1" applyBorder="1" applyAlignment="1">
      <alignment vertical="center"/>
    </xf>
    <xf numFmtId="165" fontId="4" fillId="2" borderId="117" xfId="1" applyNumberFormat="1" applyFont="1" applyFill="1" applyBorder="1" applyAlignment="1">
      <alignment vertical="center"/>
    </xf>
    <xf numFmtId="165" fontId="4" fillId="2" borderId="37" xfId="1" applyNumberFormat="1" applyFont="1" applyFill="1" applyBorder="1" applyAlignment="1">
      <alignment vertical="center"/>
    </xf>
    <xf numFmtId="9" fontId="4" fillId="2" borderId="37" xfId="2" applyFont="1" applyFill="1" applyBorder="1" applyAlignment="1">
      <alignment vertical="center"/>
    </xf>
    <xf numFmtId="0" fontId="4" fillId="2" borderId="117" xfId="0" applyFont="1" applyFill="1" applyBorder="1" applyAlignment="1">
      <alignment horizontal="center" vertical="center"/>
    </xf>
    <xf numFmtId="164" fontId="4" fillId="2" borderId="37" xfId="0" applyNumberFormat="1" applyFont="1" applyFill="1" applyBorder="1" applyAlignment="1">
      <alignment vertical="center"/>
    </xf>
    <xf numFmtId="165" fontId="4" fillId="2" borderId="68" xfId="1" applyNumberFormat="1" applyFont="1" applyFill="1" applyBorder="1" applyAlignment="1">
      <alignment vertical="center"/>
    </xf>
    <xf numFmtId="165" fontId="4" fillId="2" borderId="115" xfId="1" applyNumberFormat="1" applyFont="1" applyFill="1" applyBorder="1" applyAlignment="1">
      <alignment vertical="center"/>
    </xf>
    <xf numFmtId="165" fontId="4" fillId="2" borderId="86" xfId="1" applyNumberFormat="1" applyFont="1" applyFill="1" applyBorder="1" applyAlignment="1">
      <alignment vertical="center"/>
    </xf>
    <xf numFmtId="165" fontId="4" fillId="2" borderId="0" xfId="2" applyNumberFormat="1" applyFont="1" applyFill="1" applyBorder="1" applyAlignment="1">
      <alignment vertical="center"/>
    </xf>
    <xf numFmtId="0" fontId="0" fillId="2" borderId="12" xfId="0" applyFill="1" applyBorder="1"/>
    <xf numFmtId="0" fontId="0" fillId="2" borderId="13" xfId="0" applyFill="1" applyBorder="1"/>
    <xf numFmtId="9" fontId="12" fillId="2" borderId="54" xfId="2" applyFont="1" applyFill="1" applyBorder="1" applyAlignment="1">
      <alignment horizontal="center" vertical="center"/>
    </xf>
    <xf numFmtId="9" fontId="4" fillId="2" borderId="123" xfId="2" applyFont="1" applyFill="1" applyBorder="1" applyAlignment="1">
      <alignment horizontal="center" vertical="center"/>
    </xf>
    <xf numFmtId="164" fontId="4" fillId="2" borderId="34" xfId="0" applyNumberFormat="1" applyFont="1" applyFill="1" applyBorder="1" applyAlignment="1">
      <alignment vertical="center"/>
    </xf>
    <xf numFmtId="165" fontId="4" fillId="2" borderId="126" xfId="1" applyNumberFormat="1" applyFont="1" applyFill="1" applyBorder="1" applyAlignment="1">
      <alignment vertical="center"/>
    </xf>
    <xf numFmtId="165" fontId="4" fillId="2" borderId="127" xfId="1" applyNumberFormat="1" applyFont="1" applyFill="1" applyBorder="1" applyAlignment="1">
      <alignment vertical="center"/>
    </xf>
    <xf numFmtId="0" fontId="4" fillId="2" borderId="37" xfId="0" applyFont="1" applyFill="1" applyBorder="1" applyAlignment="1">
      <alignment vertical="center"/>
    </xf>
    <xf numFmtId="9" fontId="4" fillId="2" borderId="69" xfId="2" applyFont="1" applyFill="1" applyBorder="1" applyAlignment="1">
      <alignment vertical="center"/>
    </xf>
    <xf numFmtId="9" fontId="4" fillId="2" borderId="63" xfId="2" applyFont="1" applyFill="1" applyBorder="1" applyAlignment="1">
      <alignment vertical="center"/>
    </xf>
    <xf numFmtId="43" fontId="4" fillId="2" borderId="37" xfId="1" applyFont="1" applyFill="1" applyBorder="1" applyAlignment="1">
      <alignment vertical="center"/>
    </xf>
    <xf numFmtId="9" fontId="4" fillId="2" borderId="125" xfId="2" applyFont="1" applyFill="1" applyBorder="1" applyAlignment="1">
      <alignment vertical="center"/>
    </xf>
    <xf numFmtId="9" fontId="4" fillId="2" borderId="96" xfId="2" applyFont="1" applyFill="1" applyBorder="1" applyAlignment="1">
      <alignment vertical="center"/>
    </xf>
    <xf numFmtId="165" fontId="4" fillId="2" borderId="0" xfId="0" applyNumberFormat="1" applyFont="1" applyFill="1" applyBorder="1" applyAlignment="1">
      <alignment vertical="center"/>
    </xf>
    <xf numFmtId="0" fontId="4" fillId="2" borderId="70" xfId="0" applyFont="1" applyFill="1" applyBorder="1" applyAlignment="1">
      <alignment vertical="center"/>
    </xf>
    <xf numFmtId="9" fontId="4" fillId="2" borderId="118" xfId="2" applyFont="1" applyFill="1" applyBorder="1" applyAlignment="1">
      <alignment horizontal="center" vertical="center"/>
    </xf>
    <xf numFmtId="9" fontId="4" fillId="2" borderId="37" xfId="2" applyFont="1" applyFill="1" applyBorder="1" applyAlignment="1">
      <alignment horizontal="center" vertical="center"/>
    </xf>
    <xf numFmtId="9" fontId="4" fillId="2" borderId="130" xfId="2" applyFont="1" applyFill="1" applyBorder="1" applyAlignment="1">
      <alignment horizontal="center" vertical="center"/>
    </xf>
    <xf numFmtId="165" fontId="4" fillId="2" borderId="0" xfId="1" applyNumberFormat="1" applyFont="1" applyFill="1" applyBorder="1" applyAlignment="1">
      <alignment horizontal="center" vertical="center"/>
    </xf>
    <xf numFmtId="165" fontId="4" fillId="2" borderId="37" xfId="1" applyNumberFormat="1" applyFont="1" applyFill="1" applyBorder="1" applyAlignment="1">
      <alignment horizontal="center" vertical="center"/>
    </xf>
    <xf numFmtId="165" fontId="12" fillId="2" borderId="0" xfId="1" applyNumberFormat="1" applyFont="1" applyFill="1" applyBorder="1" applyAlignment="1">
      <alignment vertical="center"/>
    </xf>
    <xf numFmtId="165" fontId="4" fillId="2" borderId="6" xfId="1" applyNumberFormat="1" applyFont="1" applyFill="1" applyBorder="1" applyAlignment="1">
      <alignment horizontal="center" vertical="center"/>
    </xf>
    <xf numFmtId="165" fontId="4" fillId="2" borderId="117" xfId="1" applyNumberFormat="1" applyFont="1" applyFill="1" applyBorder="1" applyAlignment="1">
      <alignment horizontal="center" vertical="center"/>
    </xf>
    <xf numFmtId="165" fontId="4" fillId="2" borderId="6" xfId="1" applyNumberFormat="1" applyFont="1" applyFill="1" applyBorder="1" applyAlignment="1">
      <alignment vertical="center"/>
    </xf>
    <xf numFmtId="9" fontId="4" fillId="0" borderId="130" xfId="2" applyFont="1" applyFill="1" applyBorder="1" applyAlignment="1">
      <alignment horizontal="center" vertical="center"/>
    </xf>
    <xf numFmtId="9" fontId="4" fillId="2" borderId="141" xfId="2" applyFont="1" applyFill="1" applyBorder="1" applyAlignment="1">
      <alignment horizontal="center" vertical="center"/>
    </xf>
    <xf numFmtId="0" fontId="0" fillId="2" borderId="0" xfId="0" applyFill="1"/>
    <xf numFmtId="9" fontId="4" fillId="2" borderId="105" xfId="2" applyFont="1" applyFill="1" applyBorder="1" applyAlignment="1">
      <alignment vertical="center"/>
    </xf>
    <xf numFmtId="9" fontId="4" fillId="2" borderId="142" xfId="2" applyFont="1" applyFill="1" applyBorder="1" applyAlignment="1">
      <alignment horizontal="center" vertical="center"/>
    </xf>
    <xf numFmtId="164" fontId="0" fillId="2" borderId="0" xfId="6" applyNumberFormat="1" applyFont="1" applyFill="1" applyBorder="1" applyAlignment="1">
      <alignment vertical="center"/>
    </xf>
    <xf numFmtId="164" fontId="0" fillId="2" borderId="0" xfId="6" applyNumberFormat="1" applyFont="1" applyFill="1" applyBorder="1"/>
    <xf numFmtId="0" fontId="20" fillId="2" borderId="0" xfId="0" applyFont="1" applyFill="1" applyBorder="1"/>
    <xf numFmtId="0" fontId="37" fillId="2" borderId="0" xfId="0" applyFont="1" applyFill="1" applyBorder="1"/>
    <xf numFmtId="0" fontId="38" fillId="2" borderId="0" xfId="0" applyFont="1" applyFill="1" applyBorder="1" applyAlignment="1">
      <alignment vertical="center"/>
    </xf>
    <xf numFmtId="164" fontId="0" fillId="2" borderId="13" xfId="6" applyNumberFormat="1" applyFont="1" applyFill="1" applyBorder="1" applyAlignment="1">
      <alignment vertical="center"/>
    </xf>
    <xf numFmtId="164" fontId="0" fillId="2" borderId="6" xfId="6" applyNumberFormat="1" applyFont="1" applyFill="1" applyBorder="1" applyAlignment="1">
      <alignment vertical="center"/>
    </xf>
    <xf numFmtId="164" fontId="1" fillId="2" borderId="0" xfId="6" applyNumberFormat="1" applyFont="1" applyFill="1" applyBorder="1"/>
    <xf numFmtId="165" fontId="1" fillId="2" borderId="0" xfId="6" applyNumberFormat="1" applyFont="1" applyFill="1" applyBorder="1"/>
    <xf numFmtId="164" fontId="0" fillId="2" borderId="20" xfId="6" applyNumberFormat="1" applyFont="1" applyFill="1" applyBorder="1"/>
    <xf numFmtId="164" fontId="3" fillId="2" borderId="20" xfId="6" applyNumberFormat="1" applyFont="1" applyFill="1" applyBorder="1"/>
    <xf numFmtId="43" fontId="0" fillId="2" borderId="15" xfId="6" applyNumberFormat="1" applyFont="1" applyFill="1" applyBorder="1"/>
    <xf numFmtId="164" fontId="15" fillId="2" borderId="15" xfId="6" applyNumberFormat="1" applyFont="1" applyFill="1" applyBorder="1" applyAlignment="1">
      <alignment vertical="center"/>
    </xf>
    <xf numFmtId="164" fontId="0" fillId="2" borderId="15" xfId="6" applyNumberFormat="1" applyFont="1" applyFill="1" applyBorder="1"/>
    <xf numFmtId="164" fontId="3" fillId="2" borderId="15" xfId="6" applyNumberFormat="1" applyFont="1" applyFill="1" applyBorder="1"/>
    <xf numFmtId="9" fontId="4" fillId="0" borderId="71" xfId="2" applyFont="1" applyFill="1" applyBorder="1" applyAlignment="1">
      <alignment horizontal="center" vertical="center"/>
    </xf>
    <xf numFmtId="165" fontId="4" fillId="2" borderId="6" xfId="0" applyNumberFormat="1" applyFont="1" applyFill="1" applyBorder="1" applyAlignment="1">
      <alignment vertical="center"/>
    </xf>
    <xf numFmtId="165" fontId="4" fillId="2" borderId="33" xfId="0" applyNumberFormat="1" applyFont="1" applyFill="1" applyBorder="1" applyAlignment="1">
      <alignment vertical="center"/>
    </xf>
    <xf numFmtId="165" fontId="4" fillId="2" borderId="34" xfId="0" applyNumberFormat="1" applyFont="1" applyFill="1" applyBorder="1" applyAlignment="1">
      <alignment vertical="center"/>
    </xf>
    <xf numFmtId="165" fontId="4" fillId="2" borderId="117" xfId="0" applyNumberFormat="1" applyFont="1" applyFill="1" applyBorder="1" applyAlignment="1">
      <alignment vertical="center"/>
    </xf>
    <xf numFmtId="165" fontId="4" fillId="2" borderId="37" xfId="0" applyNumberFormat="1" applyFont="1" applyFill="1" applyBorder="1" applyAlignment="1">
      <alignment vertical="center"/>
    </xf>
    <xf numFmtId="165" fontId="4" fillId="2" borderId="128" xfId="0" applyNumberFormat="1" applyFont="1" applyFill="1" applyBorder="1" applyAlignment="1">
      <alignment vertical="center"/>
    </xf>
    <xf numFmtId="165" fontId="4" fillId="2" borderId="125" xfId="0" applyNumberFormat="1" applyFont="1" applyFill="1" applyBorder="1" applyAlignment="1">
      <alignment vertical="center"/>
    </xf>
    <xf numFmtId="165" fontId="4" fillId="2" borderId="129" xfId="0" applyNumberFormat="1" applyFont="1" applyFill="1" applyBorder="1" applyAlignment="1">
      <alignment vertical="center"/>
    </xf>
    <xf numFmtId="9" fontId="4" fillId="2" borderId="138" xfId="2" applyFont="1" applyFill="1" applyBorder="1" applyAlignment="1">
      <alignment vertical="center"/>
    </xf>
    <xf numFmtId="43" fontId="4" fillId="2" borderId="63" xfId="1" applyFont="1" applyFill="1" applyBorder="1" applyAlignment="1">
      <alignment vertical="center"/>
    </xf>
    <xf numFmtId="165" fontId="4" fillId="2" borderId="127" xfId="0" applyNumberFormat="1" applyFont="1" applyFill="1" applyBorder="1" applyAlignment="1">
      <alignment vertical="center"/>
    </xf>
    <xf numFmtId="9" fontId="4" fillId="2" borderId="127" xfId="2" applyFont="1" applyFill="1" applyBorder="1" applyAlignment="1">
      <alignment vertical="center"/>
    </xf>
    <xf numFmtId="165" fontId="4" fillId="2" borderId="137" xfId="1" applyNumberFormat="1" applyFont="1" applyFill="1" applyBorder="1" applyAlignment="1">
      <alignment vertical="center"/>
    </xf>
    <xf numFmtId="165" fontId="4" fillId="2" borderId="129" xfId="1" applyNumberFormat="1" applyFont="1" applyFill="1" applyBorder="1" applyAlignment="1">
      <alignment vertical="center"/>
    </xf>
    <xf numFmtId="9" fontId="4" fillId="2" borderId="145" xfId="2" applyFont="1" applyFill="1" applyBorder="1" applyAlignment="1">
      <alignment vertical="center"/>
    </xf>
    <xf numFmtId="165" fontId="4" fillId="2" borderId="34" xfId="2" applyNumberFormat="1" applyFont="1" applyFill="1" applyBorder="1" applyAlignment="1">
      <alignment vertical="center"/>
    </xf>
    <xf numFmtId="9" fontId="4" fillId="2" borderId="101" xfId="2" applyFont="1" applyFill="1" applyBorder="1" applyAlignment="1">
      <alignment vertical="center"/>
    </xf>
    <xf numFmtId="165" fontId="4" fillId="2" borderId="33" xfId="2" applyNumberFormat="1" applyFont="1" applyFill="1" applyBorder="1" applyAlignment="1">
      <alignment vertical="center"/>
    </xf>
    <xf numFmtId="164" fontId="0" fillId="2" borderId="13" xfId="6" applyNumberFormat="1" applyFont="1" applyFill="1" applyBorder="1"/>
    <xf numFmtId="164" fontId="0" fillId="2" borderId="30" xfId="6" applyNumberFormat="1" applyFont="1" applyFill="1" applyBorder="1"/>
    <xf numFmtId="9" fontId="4" fillId="0" borderId="118" xfId="2" applyFont="1" applyFill="1" applyBorder="1" applyAlignment="1">
      <alignment horizontal="center" vertical="center"/>
    </xf>
    <xf numFmtId="164" fontId="4" fillId="2" borderId="67" xfId="6" applyNumberFormat="1" applyFont="1" applyFill="1" applyBorder="1" applyAlignment="1">
      <alignment vertical="center"/>
    </xf>
    <xf numFmtId="164" fontId="4" fillId="2" borderId="70" xfId="6" applyNumberFormat="1" applyFont="1" applyFill="1" applyBorder="1" applyAlignment="1">
      <alignment vertical="center"/>
    </xf>
    <xf numFmtId="9" fontId="12" fillId="2" borderId="37" xfId="2" applyFont="1" applyFill="1" applyBorder="1" applyAlignment="1">
      <alignment vertical="center"/>
    </xf>
    <xf numFmtId="164" fontId="4" fillId="2" borderId="86" xfId="0" applyNumberFormat="1" applyFont="1" applyFill="1" applyBorder="1" applyAlignment="1">
      <alignment vertical="center"/>
    </xf>
    <xf numFmtId="165" fontId="4" fillId="2" borderId="70" xfId="1" applyNumberFormat="1" applyFont="1" applyFill="1" applyBorder="1" applyAlignment="1">
      <alignment horizontal="center" vertical="center"/>
    </xf>
    <xf numFmtId="165" fontId="4" fillId="2" borderId="67" xfId="1" applyNumberFormat="1" applyFont="1" applyFill="1" applyBorder="1" applyAlignment="1">
      <alignment horizontal="center" vertical="center"/>
    </xf>
    <xf numFmtId="165" fontId="4" fillId="2" borderId="86" xfId="1" applyNumberFormat="1" applyFont="1" applyFill="1" applyBorder="1" applyAlignment="1">
      <alignment horizontal="center" vertical="center"/>
    </xf>
    <xf numFmtId="165" fontId="4" fillId="0" borderId="70" xfId="1" applyNumberFormat="1" applyFont="1" applyFill="1" applyBorder="1" applyAlignment="1">
      <alignment horizontal="center" vertical="center"/>
    </xf>
    <xf numFmtId="165" fontId="4" fillId="0" borderId="67" xfId="1" applyNumberFormat="1" applyFont="1" applyFill="1" applyBorder="1" applyAlignment="1">
      <alignment horizontal="center" vertical="center"/>
    </xf>
    <xf numFmtId="9" fontId="4" fillId="2" borderId="105" xfId="2" applyFont="1" applyFill="1" applyBorder="1" applyAlignment="1">
      <alignment horizontal="center" vertical="center"/>
    </xf>
    <xf numFmtId="9" fontId="12" fillId="2" borderId="87" xfId="2" applyFont="1" applyFill="1" applyBorder="1" applyAlignment="1">
      <alignment horizontal="center" vertical="center"/>
    </xf>
    <xf numFmtId="9" fontId="12" fillId="2" borderId="138" xfId="2" applyFont="1" applyFill="1" applyBorder="1" applyAlignment="1">
      <alignment vertical="center"/>
    </xf>
    <xf numFmtId="9" fontId="12" fillId="2" borderId="63" xfId="2" applyFont="1" applyFill="1" applyBorder="1" applyAlignment="1">
      <alignment vertical="center"/>
    </xf>
    <xf numFmtId="9" fontId="12" fillId="2" borderId="96" xfId="2" applyFont="1" applyFill="1" applyBorder="1" applyAlignment="1">
      <alignment vertical="center"/>
    </xf>
    <xf numFmtId="9" fontId="12" fillId="2" borderId="71" xfId="2" applyFont="1" applyFill="1" applyBorder="1" applyAlignment="1">
      <alignment horizontal="center" vertical="center"/>
    </xf>
    <xf numFmtId="9" fontId="4" fillId="2" borderId="18" xfId="2" applyFont="1" applyFill="1" applyBorder="1" applyAlignment="1">
      <alignment horizontal="center" vertical="center"/>
    </xf>
    <xf numFmtId="9" fontId="4" fillId="2" borderId="112" xfId="2" applyFont="1" applyFill="1" applyBorder="1" applyAlignment="1">
      <alignment horizontal="center" vertical="center"/>
    </xf>
    <xf numFmtId="9" fontId="4" fillId="2" borderId="145" xfId="2" applyFont="1" applyFill="1" applyBorder="1" applyAlignment="1">
      <alignment horizontal="center" vertical="center"/>
    </xf>
    <xf numFmtId="165" fontId="4" fillId="2" borderId="33" xfId="1" applyNumberFormat="1" applyFont="1" applyFill="1" applyBorder="1" applyAlignment="1">
      <alignment vertical="center"/>
    </xf>
    <xf numFmtId="164" fontId="4" fillId="2" borderId="127" xfId="0" applyNumberFormat="1" applyFont="1" applyFill="1" applyBorder="1" applyAlignment="1">
      <alignment vertical="center"/>
    </xf>
    <xf numFmtId="49" fontId="0" fillId="2" borderId="0" xfId="0" applyNumberFormat="1" applyFont="1" applyFill="1" applyBorder="1" applyAlignment="1">
      <alignment horizontal="left" vertical="center"/>
    </xf>
    <xf numFmtId="0" fontId="8" fillId="2" borderId="0" xfId="0" applyFont="1" applyFill="1" applyBorder="1" applyAlignment="1">
      <alignment vertical="center"/>
    </xf>
    <xf numFmtId="0" fontId="0" fillId="2" borderId="155" xfId="0" applyFill="1" applyBorder="1"/>
    <xf numFmtId="0" fontId="0" fillId="2" borderId="18" xfId="0" applyFill="1" applyBorder="1"/>
    <xf numFmtId="0" fontId="0" fillId="2" borderId="14" xfId="0" applyFont="1" applyFill="1" applyBorder="1"/>
    <xf numFmtId="0" fontId="0" fillId="2" borderId="15" xfId="0" applyFont="1" applyFill="1" applyBorder="1"/>
    <xf numFmtId="164" fontId="15" fillId="2" borderId="0" xfId="6" applyNumberFormat="1" applyFont="1" applyFill="1" applyBorder="1" applyAlignment="1">
      <alignment vertical="center"/>
    </xf>
    <xf numFmtId="43" fontId="0" fillId="2" borderId="0" xfId="6" applyNumberFormat="1" applyFont="1" applyFill="1" applyBorder="1"/>
    <xf numFmtId="9" fontId="12" fillId="2" borderId="0" xfId="2" applyFont="1" applyFill="1" applyBorder="1" applyAlignment="1">
      <alignment vertical="center"/>
    </xf>
    <xf numFmtId="9" fontId="4" fillId="2" borderId="67" xfId="2" applyFont="1" applyFill="1" applyBorder="1" applyAlignment="1">
      <alignment vertical="center"/>
    </xf>
    <xf numFmtId="9" fontId="4" fillId="2" borderId="77" xfId="2" applyFont="1" applyFill="1" applyBorder="1" applyAlignment="1">
      <alignment vertical="center"/>
    </xf>
    <xf numFmtId="9" fontId="4" fillId="0" borderId="63" xfId="2" applyFont="1" applyFill="1" applyBorder="1" applyAlignment="1">
      <alignment vertical="center"/>
    </xf>
    <xf numFmtId="165" fontId="4" fillId="2" borderId="117" xfId="2" applyNumberFormat="1" applyFont="1" applyFill="1" applyBorder="1" applyAlignment="1">
      <alignment vertical="center"/>
    </xf>
    <xf numFmtId="165" fontId="4" fillId="2" borderId="37" xfId="2" applyNumberFormat="1" applyFont="1" applyFill="1" applyBorder="1" applyAlignment="1">
      <alignment vertical="center"/>
    </xf>
    <xf numFmtId="0" fontId="42" fillId="2" borderId="0" xfId="0" applyFont="1" applyFill="1" applyBorder="1"/>
    <xf numFmtId="165" fontId="0" fillId="2" borderId="0" xfId="0" applyNumberFormat="1" applyFill="1" applyBorder="1"/>
    <xf numFmtId="165" fontId="0" fillId="2" borderId="0" xfId="6" applyNumberFormat="1" applyFont="1" applyFill="1" applyBorder="1"/>
    <xf numFmtId="164" fontId="0" fillId="2" borderId="12" xfId="6" applyNumberFormat="1" applyFont="1" applyFill="1" applyBorder="1" applyAlignment="1">
      <alignment vertical="center"/>
    </xf>
    <xf numFmtId="164" fontId="0" fillId="2" borderId="2" xfId="6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163" xfId="6" applyNumberFormat="1" applyFont="1" applyFill="1" applyBorder="1" applyAlignment="1">
      <alignment vertical="center"/>
    </xf>
    <xf numFmtId="164" fontId="0" fillId="2" borderId="164" xfId="0" applyNumberFormat="1" applyFill="1" applyBorder="1" applyAlignment="1">
      <alignment vertical="center"/>
    </xf>
    <xf numFmtId="164" fontId="0" fillId="2" borderId="12" xfId="6" applyNumberFormat="1" applyFont="1" applyFill="1" applyBorder="1"/>
    <xf numFmtId="164" fontId="0" fillId="2" borderId="6" xfId="6" applyNumberFormat="1" applyFont="1" applyFill="1" applyBorder="1" applyAlignment="1">
      <alignment horizontal="center" vertical="center"/>
    </xf>
    <xf numFmtId="164" fontId="0" fillId="2" borderId="12" xfId="6" applyNumberFormat="1" applyFont="1" applyFill="1" applyBorder="1" applyAlignment="1">
      <alignment horizontal="center" vertical="center"/>
    </xf>
    <xf numFmtId="164" fontId="0" fillId="2" borderId="6" xfId="0" applyNumberFormat="1" applyFill="1" applyBorder="1"/>
    <xf numFmtId="164" fontId="0" fillId="2" borderId="12" xfId="0" applyNumberFormat="1" applyFill="1" applyBorder="1"/>
    <xf numFmtId="164" fontId="0" fillId="2" borderId="13" xfId="0" applyNumberFormat="1" applyFill="1" applyBorder="1"/>
    <xf numFmtId="164" fontId="0" fillId="2" borderId="6" xfId="6" applyNumberFormat="1" applyFont="1" applyFill="1" applyBorder="1"/>
    <xf numFmtId="164" fontId="0" fillId="2" borderId="0" xfId="6" applyNumberFormat="1" applyFont="1" applyFill="1" applyBorder="1" applyAlignment="1">
      <alignment horizontal="center" vertical="center"/>
    </xf>
    <xf numFmtId="0" fontId="0" fillId="2" borderId="163" xfId="0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43" fillId="2" borderId="0" xfId="0" applyFont="1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4" fillId="2" borderId="58" xfId="6" applyNumberFormat="1" applyFont="1" applyFill="1" applyBorder="1" applyAlignment="1">
      <alignment vertical="center"/>
    </xf>
    <xf numFmtId="164" fontId="4" fillId="2" borderId="56" xfId="6" applyNumberFormat="1" applyFont="1" applyFill="1" applyBorder="1" applyAlignment="1">
      <alignment vertical="center"/>
    </xf>
    <xf numFmtId="0" fontId="4" fillId="2" borderId="34" xfId="0" applyFont="1" applyFill="1" applyBorder="1" applyAlignment="1">
      <alignment vertical="center"/>
    </xf>
    <xf numFmtId="164" fontId="0" fillId="2" borderId="155" xfId="6" applyNumberFormat="1" applyFont="1" applyFill="1" applyBorder="1" applyAlignment="1">
      <alignment vertical="center"/>
    </xf>
    <xf numFmtId="164" fontId="0" fillId="2" borderId="167" xfId="6" applyNumberFormat="1" applyFont="1" applyFill="1" applyBorder="1" applyAlignment="1">
      <alignment vertical="center"/>
    </xf>
    <xf numFmtId="164" fontId="0" fillId="2" borderId="2" xfId="6" applyNumberFormat="1" applyFont="1" applyFill="1" applyBorder="1" applyAlignment="1">
      <alignment vertical="center"/>
    </xf>
    <xf numFmtId="164" fontId="0" fillId="2" borderId="155" xfId="6" applyNumberFormat="1" applyFont="1" applyFill="1" applyBorder="1"/>
    <xf numFmtId="164" fontId="10" fillId="2" borderId="0" xfId="6" applyNumberFormat="1" applyFont="1" applyFill="1" applyBorder="1"/>
    <xf numFmtId="164" fontId="10" fillId="2" borderId="6" xfId="6" applyNumberFormat="1" applyFont="1" applyFill="1" applyBorder="1"/>
    <xf numFmtId="0" fontId="0" fillId="2" borderId="10" xfId="0" applyFont="1" applyFill="1" applyBorder="1"/>
    <xf numFmtId="43" fontId="0" fillId="2" borderId="20" xfId="6" applyNumberFormat="1" applyFont="1" applyFill="1" applyBorder="1"/>
    <xf numFmtId="164" fontId="15" fillId="2" borderId="20" xfId="6" applyNumberFormat="1" applyFont="1" applyFill="1" applyBorder="1" applyAlignment="1">
      <alignment vertical="center"/>
    </xf>
    <xf numFmtId="0" fontId="4" fillId="2" borderId="0" xfId="0" applyFont="1" applyFill="1" applyBorder="1"/>
    <xf numFmtId="0" fontId="5" fillId="2" borderId="0" xfId="0" applyFont="1" applyFill="1" applyBorder="1"/>
    <xf numFmtId="0" fontId="45" fillId="2" borderId="0" xfId="0" applyFont="1" applyFill="1" applyBorder="1"/>
    <xf numFmtId="0" fontId="46" fillId="0" borderId="0" xfId="0" applyFont="1" applyFill="1" applyBorder="1"/>
    <xf numFmtId="0" fontId="0" fillId="2" borderId="0" xfId="0" applyFont="1" applyFill="1" applyBorder="1" applyAlignment="1">
      <alignment horizontal="center" vertical="center"/>
    </xf>
    <xf numFmtId="9" fontId="5" fillId="2" borderId="10" xfId="2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vertical="center"/>
    </xf>
    <xf numFmtId="9" fontId="5" fillId="2" borderId="0" xfId="2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9" fontId="4" fillId="2" borderId="13" xfId="2" applyFont="1" applyFill="1" applyBorder="1" applyAlignment="1">
      <alignment horizontal="center" vertical="center"/>
    </xf>
    <xf numFmtId="164" fontId="0" fillId="2" borderId="122" xfId="6" applyNumberFormat="1" applyFont="1" applyFill="1" applyBorder="1" applyAlignment="1">
      <alignment vertical="center"/>
    </xf>
    <xf numFmtId="164" fontId="0" fillId="2" borderId="88" xfId="6" applyNumberFormat="1" applyFont="1" applyFill="1" applyBorder="1" applyAlignment="1">
      <alignment vertical="center"/>
    </xf>
    <xf numFmtId="164" fontId="1" fillId="2" borderId="0" xfId="6" applyNumberFormat="1" applyFont="1" applyFill="1" applyBorder="1" applyAlignment="1">
      <alignment vertical="center"/>
    </xf>
    <xf numFmtId="164" fontId="0" fillId="2" borderId="174" xfId="6" applyNumberFormat="1" applyFont="1" applyFill="1" applyBorder="1" applyAlignment="1">
      <alignment horizontal="center" vertical="center"/>
    </xf>
    <xf numFmtId="164" fontId="0" fillId="2" borderId="175" xfId="6" applyNumberFormat="1" applyFont="1" applyFill="1" applyBorder="1" applyAlignment="1">
      <alignment vertical="center"/>
    </xf>
    <xf numFmtId="164" fontId="0" fillId="2" borderId="176" xfId="6" applyNumberFormat="1" applyFont="1" applyFill="1" applyBorder="1" applyAlignment="1">
      <alignment horizontal="center" vertical="center"/>
    </xf>
    <xf numFmtId="164" fontId="0" fillId="2" borderId="177" xfId="6" applyNumberFormat="1" applyFont="1" applyFill="1" applyBorder="1" applyAlignment="1">
      <alignment vertical="center"/>
    </xf>
    <xf numFmtId="164" fontId="0" fillId="2" borderId="176" xfId="0" applyNumberFormat="1" applyFont="1" applyFill="1" applyBorder="1" applyAlignment="1">
      <alignment vertical="center"/>
    </xf>
    <xf numFmtId="164" fontId="0" fillId="2" borderId="2" xfId="0" applyNumberFormat="1" applyFont="1" applyFill="1" applyBorder="1" applyAlignment="1">
      <alignment vertical="center"/>
    </xf>
    <xf numFmtId="164" fontId="0" fillId="2" borderId="155" xfId="6" applyNumberFormat="1" applyFont="1" applyFill="1" applyBorder="1" applyAlignment="1">
      <alignment horizontal="center" vertical="center"/>
    </xf>
    <xf numFmtId="164" fontId="0" fillId="2" borderId="122" xfId="6" applyNumberFormat="1" applyFont="1" applyFill="1" applyBorder="1" applyAlignment="1">
      <alignment horizontal="center" vertical="center"/>
    </xf>
    <xf numFmtId="164" fontId="0" fillId="2" borderId="122" xfId="0" applyNumberFormat="1" applyFont="1" applyFill="1" applyBorder="1" applyAlignment="1">
      <alignment vertical="center"/>
    </xf>
    <xf numFmtId="166" fontId="0" fillId="2" borderId="6" xfId="6" applyFont="1" applyFill="1" applyBorder="1" applyAlignment="1">
      <alignment horizontal="center" vertical="center"/>
    </xf>
    <xf numFmtId="164" fontId="0" fillId="2" borderId="178" xfId="6" applyNumberFormat="1" applyFont="1" applyFill="1" applyBorder="1" applyAlignment="1">
      <alignment vertical="center"/>
    </xf>
    <xf numFmtId="164" fontId="0" fillId="2" borderId="179" xfId="6" applyNumberFormat="1" applyFont="1" applyFill="1" applyBorder="1" applyAlignment="1">
      <alignment vertical="center"/>
    </xf>
    <xf numFmtId="0" fontId="4" fillId="2" borderId="10" xfId="0" applyFont="1" applyFill="1" applyBorder="1"/>
    <xf numFmtId="0" fontId="5" fillId="2" borderId="10" xfId="0" applyFont="1" applyFill="1" applyBorder="1"/>
    <xf numFmtId="0" fontId="10" fillId="2" borderId="26" xfId="0" applyFont="1" applyFill="1" applyBorder="1"/>
    <xf numFmtId="0" fontId="36" fillId="2" borderId="10" xfId="0" applyFont="1" applyFill="1" applyBorder="1"/>
    <xf numFmtId="0" fontId="47" fillId="2" borderId="0" xfId="0" applyFont="1" applyFill="1" applyBorder="1" applyAlignment="1">
      <alignment horizontal="center"/>
    </xf>
    <xf numFmtId="165" fontId="47" fillId="2" borderId="0" xfId="0" applyNumberFormat="1" applyFont="1" applyFill="1" applyBorder="1" applyAlignment="1">
      <alignment horizontal="center"/>
    </xf>
    <xf numFmtId="0" fontId="48" fillId="2" borderId="10" xfId="0" applyFont="1" applyFill="1" applyBorder="1"/>
    <xf numFmtId="0" fontId="47" fillId="2" borderId="0" xfId="0" applyFont="1" applyFill="1" applyBorder="1"/>
    <xf numFmtId="1" fontId="47" fillId="2" borderId="0" xfId="0" applyNumberFormat="1" applyFont="1" applyFill="1" applyBorder="1"/>
    <xf numFmtId="165" fontId="47" fillId="2" borderId="0" xfId="0" applyNumberFormat="1" applyFont="1" applyFill="1" applyBorder="1"/>
    <xf numFmtId="0" fontId="48" fillId="2" borderId="0" xfId="0" applyFont="1" applyFill="1" applyBorder="1"/>
    <xf numFmtId="0" fontId="10" fillId="2" borderId="12" xfId="0" applyFont="1" applyFill="1" applyBorder="1"/>
    <xf numFmtId="0" fontId="48" fillId="2" borderId="182" xfId="0" applyFont="1" applyFill="1" applyBorder="1"/>
    <xf numFmtId="0" fontId="47" fillId="2" borderId="0" xfId="0" applyFont="1" applyFill="1" applyBorder="1" applyAlignment="1">
      <alignment vertical="center"/>
    </xf>
    <xf numFmtId="0" fontId="48" fillId="2" borderId="182" xfId="0" applyFont="1" applyFill="1" applyBorder="1" applyAlignment="1">
      <alignment vertical="center"/>
    </xf>
    <xf numFmtId="0" fontId="35" fillId="2" borderId="13" xfId="0" applyFont="1" applyFill="1" applyBorder="1"/>
    <xf numFmtId="0" fontId="35" fillId="2" borderId="0" xfId="0" applyFont="1" applyFill="1" applyBorder="1"/>
    <xf numFmtId="0" fontId="35" fillId="2" borderId="10" xfId="0" applyFont="1" applyFill="1" applyBorder="1"/>
    <xf numFmtId="0" fontId="45" fillId="2" borderId="6" xfId="0" applyFont="1" applyFill="1" applyBorder="1"/>
    <xf numFmtId="0" fontId="46" fillId="2" borderId="1" xfId="0" applyFont="1" applyFill="1" applyBorder="1"/>
    <xf numFmtId="0" fontId="46" fillId="2" borderId="0" xfId="0" applyFont="1" applyFill="1" applyBorder="1"/>
    <xf numFmtId="0" fontId="49" fillId="2" borderId="0" xfId="0" applyFont="1" applyFill="1" applyBorder="1"/>
    <xf numFmtId="164" fontId="10" fillId="2" borderId="6" xfId="6" applyNumberFormat="1" applyFont="1" applyFill="1" applyBorder="1" applyAlignment="1">
      <alignment vertical="center"/>
    </xf>
    <xf numFmtId="164" fontId="10" fillId="2" borderId="0" xfId="6" applyNumberFormat="1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0" fillId="2" borderId="2" xfId="0" applyFont="1" applyFill="1" applyBorder="1"/>
    <xf numFmtId="0" fontId="45" fillId="2" borderId="10" xfId="0" applyFont="1" applyFill="1" applyBorder="1"/>
    <xf numFmtId="43" fontId="0" fillId="2" borderId="0" xfId="0" applyNumberFormat="1" applyFill="1" applyBorder="1"/>
    <xf numFmtId="166" fontId="0" fillId="2" borderId="0" xfId="6" applyFont="1" applyFill="1" applyBorder="1"/>
    <xf numFmtId="164" fontId="0" fillId="2" borderId="0" xfId="6" applyNumberFormat="1" applyFont="1" applyFill="1" applyBorder="1" applyAlignment="1">
      <alignment horizontal="right"/>
    </xf>
    <xf numFmtId="166" fontId="1" fillId="2" borderId="0" xfId="6" applyFont="1" applyFill="1" applyBorder="1"/>
    <xf numFmtId="166" fontId="0" fillId="2" borderId="0" xfId="6" applyFont="1" applyFill="1" applyBorder="1" applyAlignment="1">
      <alignment horizontal="right"/>
    </xf>
    <xf numFmtId="164" fontId="0" fillId="2" borderId="19" xfId="6" applyNumberFormat="1" applyFont="1" applyFill="1" applyBorder="1" applyAlignment="1">
      <alignment horizontal="center" vertical="center"/>
    </xf>
    <xf numFmtId="164" fontId="0" fillId="2" borderId="20" xfId="6" applyNumberFormat="1" applyFont="1" applyFill="1" applyBorder="1" applyAlignment="1">
      <alignment vertical="center"/>
    </xf>
    <xf numFmtId="0" fontId="0" fillId="2" borderId="20" xfId="0" applyFont="1" applyFill="1" applyBorder="1" applyAlignment="1">
      <alignment vertical="center"/>
    </xf>
    <xf numFmtId="164" fontId="0" fillId="2" borderId="18" xfId="6" applyNumberFormat="1" applyFont="1" applyFill="1" applyBorder="1"/>
    <xf numFmtId="9" fontId="4" fillId="2" borderId="10" xfId="2" applyFont="1" applyFill="1" applyBorder="1"/>
    <xf numFmtId="164" fontId="31" fillId="0" borderId="0" xfId="6" applyNumberFormat="1" applyFont="1" applyFill="1" applyBorder="1" applyAlignment="1">
      <alignment vertical="center"/>
    </xf>
    <xf numFmtId="9" fontId="0" fillId="2" borderId="13" xfId="2" applyFont="1" applyFill="1" applyBorder="1"/>
    <xf numFmtId="164" fontId="15" fillId="0" borderId="0" xfId="6" applyNumberFormat="1" applyFont="1" applyFill="1" applyBorder="1" applyAlignment="1">
      <alignment vertical="center"/>
    </xf>
    <xf numFmtId="9" fontId="1" fillId="2" borderId="0" xfId="2" applyFont="1" applyFill="1" applyBorder="1"/>
    <xf numFmtId="0" fontId="46" fillId="2" borderId="6" xfId="0" applyFont="1" applyFill="1" applyBorder="1"/>
    <xf numFmtId="164" fontId="1" fillId="0" borderId="0" xfId="6" applyNumberFormat="1" applyFont="1" applyFill="1" applyBorder="1"/>
    <xf numFmtId="9" fontId="3" fillId="0" borderId="0" xfId="2" applyFont="1" applyFill="1" applyBorder="1"/>
    <xf numFmtId="164" fontId="0" fillId="2" borderId="14" xfId="6" applyNumberFormat="1" applyFont="1" applyFill="1" applyBorder="1" applyAlignment="1">
      <alignment vertical="center"/>
    </xf>
    <xf numFmtId="164" fontId="0" fillId="2" borderId="15" xfId="6" applyNumberFormat="1" applyFont="1" applyFill="1" applyBorder="1" applyAlignment="1">
      <alignment vertical="center"/>
    </xf>
    <xf numFmtId="0" fontId="0" fillId="2" borderId="15" xfId="0" applyFill="1" applyBorder="1" applyAlignment="1">
      <alignment vertical="center"/>
    </xf>
    <xf numFmtId="164" fontId="0" fillId="2" borderId="10" xfId="6" applyNumberFormat="1" applyFont="1" applyFill="1" applyBorder="1"/>
    <xf numFmtId="9" fontId="12" fillId="2" borderId="10" xfId="2" applyFont="1" applyFill="1" applyBorder="1"/>
    <xf numFmtId="165" fontId="4" fillId="2" borderId="34" xfId="1" applyNumberFormat="1" applyFont="1" applyFill="1" applyBorder="1" applyAlignment="1">
      <alignment horizontal="center" vertical="center"/>
    </xf>
    <xf numFmtId="9" fontId="4" fillId="2" borderId="34" xfId="2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vertical="center"/>
    </xf>
    <xf numFmtId="9" fontId="12" fillId="2" borderId="63" xfId="2" applyFont="1" applyFill="1" applyBorder="1" applyAlignment="1">
      <alignment horizontal="center" vertical="center"/>
    </xf>
    <xf numFmtId="49" fontId="4" fillId="2" borderId="70" xfId="6" applyNumberFormat="1" applyFont="1" applyFill="1" applyBorder="1" applyAlignment="1">
      <alignment horizontal="center" vertical="center"/>
    </xf>
    <xf numFmtId="49" fontId="4" fillId="2" borderId="106" xfId="6" applyNumberFormat="1" applyFont="1" applyFill="1" applyBorder="1" applyAlignment="1">
      <alignment horizontal="center" vertical="center"/>
    </xf>
    <xf numFmtId="165" fontId="4" fillId="0" borderId="66" xfId="1" applyNumberFormat="1" applyFont="1" applyFill="1" applyBorder="1" applyAlignment="1">
      <alignment horizontal="center" vertical="center"/>
    </xf>
    <xf numFmtId="164" fontId="4" fillId="2" borderId="117" xfId="6" applyNumberFormat="1" applyFont="1" applyFill="1" applyBorder="1" applyAlignment="1">
      <alignment vertical="center"/>
    </xf>
    <xf numFmtId="164" fontId="4" fillId="2" borderId="37" xfId="6" applyNumberFormat="1" applyFont="1" applyFill="1" applyBorder="1" applyAlignment="1">
      <alignment vertical="center"/>
    </xf>
    <xf numFmtId="164" fontId="4" fillId="2" borderId="68" xfId="6" applyNumberFormat="1" applyFont="1" applyFill="1" applyBorder="1" applyAlignment="1">
      <alignment vertical="center"/>
    </xf>
    <xf numFmtId="164" fontId="4" fillId="2" borderId="111" xfId="0" applyNumberFormat="1" applyFont="1" applyFill="1" applyBorder="1" applyAlignment="1">
      <alignment vertical="center"/>
    </xf>
    <xf numFmtId="165" fontId="4" fillId="0" borderId="37" xfId="1" applyNumberFormat="1" applyFont="1" applyFill="1" applyBorder="1" applyAlignment="1">
      <alignment horizontal="center" vertical="center"/>
    </xf>
    <xf numFmtId="9" fontId="4" fillId="0" borderId="63" xfId="2" applyFont="1" applyFill="1" applyBorder="1" applyAlignment="1">
      <alignment horizontal="center" vertical="center"/>
    </xf>
    <xf numFmtId="43" fontId="4" fillId="2" borderId="127" xfId="1" applyFont="1" applyFill="1" applyBorder="1" applyAlignment="1">
      <alignment vertical="center"/>
    </xf>
    <xf numFmtId="43" fontId="4" fillId="2" borderId="145" xfId="1" applyFont="1" applyFill="1" applyBorder="1" applyAlignment="1">
      <alignment vertical="center"/>
    </xf>
    <xf numFmtId="9" fontId="4" fillId="2" borderId="102" xfId="2" applyFont="1" applyFill="1" applyBorder="1" applyAlignment="1">
      <alignment horizontal="center" vertical="center"/>
    </xf>
    <xf numFmtId="9" fontId="4" fillId="0" borderId="10" xfId="2" applyFont="1" applyFill="1" applyBorder="1" applyAlignment="1">
      <alignment horizontal="center" vertical="center"/>
    </xf>
    <xf numFmtId="164" fontId="4" fillId="2" borderId="53" xfId="0" applyNumberFormat="1" applyFont="1" applyFill="1" applyBorder="1" applyAlignment="1">
      <alignment vertical="center"/>
    </xf>
    <xf numFmtId="9" fontId="12" fillId="2" borderId="123" xfId="2" applyFont="1" applyFill="1" applyBorder="1" applyAlignment="1">
      <alignment horizontal="center" vertical="center"/>
    </xf>
    <xf numFmtId="9" fontId="12" fillId="2" borderId="69" xfId="2" applyFont="1" applyFill="1" applyBorder="1" applyAlignment="1">
      <alignment vertical="center"/>
    </xf>
    <xf numFmtId="9" fontId="12" fillId="0" borderId="118" xfId="2" applyFont="1" applyFill="1" applyBorder="1" applyAlignment="1">
      <alignment horizontal="center" vertical="center"/>
    </xf>
    <xf numFmtId="164" fontId="4" fillId="2" borderId="56" xfId="0" applyNumberFormat="1" applyFont="1" applyFill="1" applyBorder="1" applyAlignment="1">
      <alignment vertical="center"/>
    </xf>
    <xf numFmtId="164" fontId="4" fillId="0" borderId="56" xfId="0" applyNumberFormat="1" applyFont="1" applyFill="1" applyBorder="1" applyAlignment="1">
      <alignment vertical="center"/>
    </xf>
    <xf numFmtId="9" fontId="12" fillId="2" borderId="146" xfId="2" applyFont="1" applyFill="1" applyBorder="1" applyAlignment="1">
      <alignment vertical="center"/>
    </xf>
    <xf numFmtId="9" fontId="12" fillId="2" borderId="102" xfId="2" applyFont="1" applyFill="1" applyBorder="1" applyAlignment="1">
      <alignment vertical="center"/>
    </xf>
    <xf numFmtId="9" fontId="12" fillId="2" borderId="109" xfId="2" applyFont="1" applyFill="1" applyBorder="1" applyAlignment="1">
      <alignment vertical="center"/>
    </xf>
    <xf numFmtId="0" fontId="12" fillId="2" borderId="10" xfId="0" applyFont="1" applyFill="1" applyBorder="1"/>
    <xf numFmtId="0" fontId="42" fillId="2" borderId="117" xfId="0" applyFont="1" applyFill="1" applyBorder="1" applyAlignment="1">
      <alignment vertical="center"/>
    </xf>
    <xf numFmtId="0" fontId="0" fillId="2" borderId="18" xfId="0" applyFont="1" applyFill="1" applyBorder="1"/>
    <xf numFmtId="0" fontId="13" fillId="2" borderId="6" xfId="0" applyFont="1" applyFill="1" applyBorder="1"/>
    <xf numFmtId="165" fontId="4" fillId="2" borderId="127" xfId="1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68" fontId="5" fillId="2" borderId="67" xfId="4" applyNumberFormat="1" applyFont="1" applyFill="1" applyBorder="1" applyAlignment="1">
      <alignment horizontal="center" vertical="center"/>
    </xf>
    <xf numFmtId="168" fontId="5" fillId="2" borderId="67" xfId="3" applyNumberFormat="1" applyFont="1" applyFill="1" applyBorder="1" applyAlignment="1">
      <alignment horizontal="center" vertical="center"/>
    </xf>
    <xf numFmtId="168" fontId="52" fillId="2" borderId="67" xfId="4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64" fontId="5" fillId="2" borderId="0" xfId="0" applyNumberFormat="1" applyFont="1" applyFill="1" applyAlignment="1">
      <alignment horizontal="center" vertical="center"/>
    </xf>
    <xf numFmtId="9" fontId="4" fillId="2" borderId="146" xfId="2" applyFont="1" applyFill="1" applyBorder="1" applyAlignment="1">
      <alignment vertical="center"/>
    </xf>
    <xf numFmtId="165" fontId="4" fillId="2" borderId="124" xfId="1" applyNumberFormat="1" applyFont="1" applyFill="1" applyBorder="1" applyAlignment="1">
      <alignment vertical="center"/>
    </xf>
    <xf numFmtId="165" fontId="4" fillId="2" borderId="69" xfId="0" applyNumberFormat="1" applyFont="1" applyFill="1" applyBorder="1" applyAlignment="1">
      <alignment vertical="center"/>
    </xf>
    <xf numFmtId="167" fontId="4" fillId="2" borderId="117" xfId="1" applyNumberFormat="1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164" fontId="3" fillId="2" borderId="0" xfId="0" applyNumberFormat="1" applyFont="1" applyFill="1" applyBorder="1"/>
    <xf numFmtId="0" fontId="0" fillId="2" borderId="0" xfId="0" applyFill="1" applyAlignment="1">
      <alignment vertical="center"/>
    </xf>
    <xf numFmtId="165" fontId="12" fillId="2" borderId="0" xfId="6" applyNumberFormat="1" applyFont="1" applyFill="1" applyBorder="1" applyAlignment="1">
      <alignment vertical="center"/>
    </xf>
    <xf numFmtId="164" fontId="4" fillId="0" borderId="67" xfId="6" applyNumberFormat="1" applyFont="1" applyFill="1" applyBorder="1" applyAlignment="1">
      <alignment vertical="center"/>
    </xf>
    <xf numFmtId="0" fontId="32" fillId="2" borderId="0" xfId="0" applyFont="1" applyFill="1" applyBorder="1" applyAlignment="1">
      <alignment vertical="center"/>
    </xf>
    <xf numFmtId="0" fontId="32" fillId="2" borderId="0" xfId="0" applyFont="1" applyFill="1" applyAlignment="1">
      <alignment horizontal="left" vertical="center"/>
    </xf>
    <xf numFmtId="9" fontId="13" fillId="2" borderId="10" xfId="2" applyFont="1" applyFill="1" applyBorder="1"/>
    <xf numFmtId="165" fontId="42" fillId="2" borderId="37" xfId="1" applyNumberFormat="1" applyFont="1" applyFill="1" applyBorder="1" applyAlignment="1">
      <alignment vertical="center"/>
    </xf>
    <xf numFmtId="0" fontId="4" fillId="2" borderId="65" xfId="0" applyFont="1" applyFill="1" applyBorder="1" applyAlignment="1">
      <alignment vertical="center"/>
    </xf>
    <xf numFmtId="164" fontId="4" fillId="0" borderId="70" xfId="6" applyNumberFormat="1" applyFont="1" applyFill="1" applyBorder="1" applyAlignment="1">
      <alignment horizontal="center" vertical="center"/>
    </xf>
    <xf numFmtId="0" fontId="4" fillId="2" borderId="117" xfId="0" applyFont="1" applyFill="1" applyBorder="1" applyAlignment="1">
      <alignment vertical="center"/>
    </xf>
    <xf numFmtId="9" fontId="4" fillId="2" borderId="6" xfId="2" applyFont="1" applyFill="1" applyBorder="1" applyAlignment="1">
      <alignment vertical="center"/>
    </xf>
    <xf numFmtId="164" fontId="12" fillId="2" borderId="108" xfId="6" applyNumberFormat="1" applyFont="1" applyFill="1" applyBorder="1" applyAlignment="1">
      <alignment horizontal="center" vertical="center"/>
    </xf>
    <xf numFmtId="164" fontId="12" fillId="2" borderId="70" xfId="6" applyNumberFormat="1" applyFont="1" applyFill="1" applyBorder="1" applyAlignment="1">
      <alignment horizontal="center" vertical="center"/>
    </xf>
    <xf numFmtId="164" fontId="12" fillId="0" borderId="108" xfId="6" applyNumberFormat="1" applyFont="1" applyFill="1" applyBorder="1" applyAlignment="1">
      <alignment horizontal="center" vertical="center"/>
    </xf>
    <xf numFmtId="164" fontId="5" fillId="2" borderId="0" xfId="0" applyNumberFormat="1" applyFont="1" applyFill="1" applyBorder="1" applyAlignment="1">
      <alignment horizontal="center" vertical="center"/>
    </xf>
    <xf numFmtId="9" fontId="12" fillId="2" borderId="37" xfId="2" applyFont="1" applyFill="1" applyBorder="1" applyAlignment="1">
      <alignment horizontal="center" vertical="center"/>
    </xf>
    <xf numFmtId="165" fontId="4" fillId="2" borderId="33" xfId="1" applyNumberFormat="1" applyFont="1" applyFill="1" applyBorder="1" applyAlignment="1">
      <alignment horizontal="center" vertical="center"/>
    </xf>
    <xf numFmtId="165" fontId="4" fillId="2" borderId="0" xfId="0" applyNumberFormat="1" applyFont="1" applyFill="1" applyAlignment="1">
      <alignment vertical="center"/>
    </xf>
    <xf numFmtId="9" fontId="4" fillId="2" borderId="15" xfId="2" applyFont="1" applyFill="1" applyBorder="1" applyAlignment="1">
      <alignment horizontal="center" vertical="center"/>
    </xf>
    <xf numFmtId="165" fontId="42" fillId="2" borderId="117" xfId="1" applyNumberFormat="1" applyFont="1" applyFill="1" applyBorder="1" applyAlignment="1">
      <alignment vertical="center"/>
    </xf>
    <xf numFmtId="165" fontId="44" fillId="12" borderId="2" xfId="1" applyNumberFormat="1" applyFont="1" applyFill="1" applyBorder="1" applyAlignment="1">
      <alignment horizontal="center" vertical="center"/>
    </xf>
    <xf numFmtId="167" fontId="4" fillId="2" borderId="117" xfId="2" applyNumberFormat="1" applyFont="1" applyFill="1" applyBorder="1" applyAlignment="1">
      <alignment vertical="center"/>
    </xf>
    <xf numFmtId="165" fontId="4" fillId="2" borderId="63" xfId="2" applyNumberFormat="1" applyFont="1" applyFill="1" applyBorder="1" applyAlignment="1">
      <alignment vertical="center"/>
    </xf>
    <xf numFmtId="165" fontId="4" fillId="2" borderId="85" xfId="1" applyNumberFormat="1" applyFont="1" applyFill="1" applyBorder="1" applyAlignment="1">
      <alignment vertical="center"/>
    </xf>
    <xf numFmtId="165" fontId="4" fillId="0" borderId="67" xfId="1" applyNumberFormat="1" applyFont="1" applyFill="1" applyBorder="1" applyAlignment="1">
      <alignment vertical="center"/>
    </xf>
    <xf numFmtId="165" fontId="4" fillId="0" borderId="66" xfId="1" applyNumberFormat="1" applyFont="1" applyFill="1" applyBorder="1" applyAlignment="1">
      <alignment vertical="center"/>
    </xf>
    <xf numFmtId="167" fontId="12" fillId="2" borderId="0" xfId="0" applyNumberFormat="1" applyFont="1" applyFill="1" applyAlignment="1">
      <alignment vertical="center"/>
    </xf>
    <xf numFmtId="167" fontId="4" fillId="2" borderId="0" xfId="0" applyNumberFormat="1" applyFont="1" applyFill="1" applyAlignment="1">
      <alignment vertical="center"/>
    </xf>
    <xf numFmtId="9" fontId="4" fillId="0" borderId="105" xfId="2" applyFont="1" applyFill="1" applyBorder="1" applyAlignment="1">
      <alignment vertical="center"/>
    </xf>
    <xf numFmtId="0" fontId="4" fillId="2" borderId="37" xfId="0" applyFont="1" applyFill="1" applyBorder="1" applyAlignment="1">
      <alignment horizontal="center" vertical="center"/>
    </xf>
    <xf numFmtId="9" fontId="12" fillId="2" borderId="0" xfId="2" applyFont="1" applyFill="1" applyBorder="1" applyAlignment="1">
      <alignment horizontal="center" vertical="center"/>
    </xf>
    <xf numFmtId="9" fontId="25" fillId="2" borderId="0" xfId="2" applyFont="1" applyFill="1" applyBorder="1" applyAlignment="1">
      <alignment horizontal="center" vertical="center"/>
    </xf>
    <xf numFmtId="9" fontId="12" fillId="2" borderId="0" xfId="2" applyFont="1" applyFill="1" applyAlignment="1">
      <alignment horizontal="center" vertical="center"/>
    </xf>
    <xf numFmtId="165" fontId="12" fillId="2" borderId="0" xfId="1" applyNumberFormat="1" applyFont="1" applyFill="1" applyBorder="1" applyAlignment="1">
      <alignment horizontal="center" vertical="center"/>
    </xf>
    <xf numFmtId="9" fontId="4" fillId="0" borderId="77" xfId="2" applyFont="1" applyFill="1" applyBorder="1" applyAlignment="1">
      <alignment vertical="center"/>
    </xf>
    <xf numFmtId="165" fontId="12" fillId="2" borderId="0" xfId="0" applyNumberFormat="1" applyFont="1" applyFill="1" applyAlignment="1">
      <alignment vertical="center"/>
    </xf>
    <xf numFmtId="165" fontId="4" fillId="0" borderId="107" xfId="1" applyNumberFormat="1" applyFont="1" applyFill="1" applyBorder="1" applyAlignment="1">
      <alignment vertical="center"/>
    </xf>
    <xf numFmtId="9" fontId="12" fillId="4" borderId="79" xfId="2" applyFont="1" applyFill="1" applyBorder="1" applyAlignment="1">
      <alignment horizontal="center" vertical="center"/>
    </xf>
    <xf numFmtId="9" fontId="12" fillId="2" borderId="40" xfId="2" applyFont="1" applyFill="1" applyBorder="1" applyAlignment="1">
      <alignment horizontal="center" vertical="center"/>
    </xf>
    <xf numFmtId="9" fontId="12" fillId="2" borderId="10" xfId="2" applyFont="1" applyFill="1" applyBorder="1" applyAlignment="1">
      <alignment horizontal="center" vertical="center"/>
    </xf>
    <xf numFmtId="9" fontId="12" fillId="3" borderId="23" xfId="2" applyFont="1" applyFill="1" applyBorder="1" applyAlignment="1">
      <alignment horizontal="center" vertical="center"/>
    </xf>
    <xf numFmtId="164" fontId="12" fillId="2" borderId="18" xfId="6" applyNumberFormat="1" applyFont="1" applyFill="1" applyBorder="1" applyAlignment="1">
      <alignment horizontal="center" vertical="center"/>
    </xf>
    <xf numFmtId="164" fontId="4" fillId="2" borderId="107" xfId="6" applyNumberFormat="1" applyFont="1" applyFill="1" applyBorder="1" applyAlignment="1">
      <alignment vertical="center"/>
    </xf>
    <xf numFmtId="164" fontId="4" fillId="0" borderId="107" xfId="6" applyNumberFormat="1" applyFont="1" applyFill="1" applyBorder="1" applyAlignment="1">
      <alignment vertical="center"/>
    </xf>
    <xf numFmtId="165" fontId="4" fillId="0" borderId="140" xfId="6" applyNumberFormat="1" applyFont="1" applyFill="1" applyBorder="1" applyAlignment="1">
      <alignment horizontal="center" vertical="center"/>
    </xf>
    <xf numFmtId="164" fontId="4" fillId="11" borderId="67" xfId="6" applyNumberFormat="1" applyFont="1" applyFill="1" applyBorder="1" applyAlignment="1">
      <alignment vertical="center"/>
    </xf>
    <xf numFmtId="164" fontId="4" fillId="2" borderId="70" xfId="6" applyNumberFormat="1" applyFont="1" applyFill="1" applyBorder="1" applyAlignment="1">
      <alignment horizontal="center" vertical="center"/>
    </xf>
    <xf numFmtId="164" fontId="4" fillId="2" borderId="108" xfId="6" applyNumberFormat="1" applyFont="1" applyFill="1" applyBorder="1" applyAlignment="1">
      <alignment horizontal="center" vertical="center"/>
    </xf>
    <xf numFmtId="9" fontId="12" fillId="0" borderId="71" xfId="2" applyFont="1" applyFill="1" applyBorder="1" applyAlignment="1">
      <alignment vertical="center"/>
    </xf>
    <xf numFmtId="9" fontId="4" fillId="2" borderId="66" xfId="2" applyFont="1" applyFill="1" applyBorder="1" applyAlignment="1">
      <alignment vertical="center"/>
    </xf>
    <xf numFmtId="164" fontId="12" fillId="6" borderId="67" xfId="6" applyNumberFormat="1" applyFont="1" applyFill="1" applyBorder="1" applyAlignment="1">
      <alignment vertical="center"/>
    </xf>
    <xf numFmtId="164" fontId="0" fillId="13" borderId="12" xfId="6" applyNumberFormat="1" applyFont="1" applyFill="1" applyBorder="1" applyAlignment="1">
      <alignment vertical="center"/>
    </xf>
    <xf numFmtId="164" fontId="0" fillId="13" borderId="0" xfId="6" applyNumberFormat="1" applyFont="1" applyFill="1" applyBorder="1" applyAlignment="1">
      <alignment vertical="center"/>
    </xf>
    <xf numFmtId="165" fontId="4" fillId="2" borderId="67" xfId="6" applyNumberFormat="1" applyFont="1" applyFill="1" applyBorder="1" applyAlignment="1">
      <alignment horizontal="center" vertical="center"/>
    </xf>
    <xf numFmtId="164" fontId="4" fillId="6" borderId="67" xfId="6" applyNumberFormat="1" applyFont="1" applyFill="1" applyBorder="1" applyAlignment="1">
      <alignment vertical="center"/>
    </xf>
    <xf numFmtId="164" fontId="4" fillId="2" borderId="2" xfId="6" applyNumberFormat="1" applyFont="1" applyFill="1" applyBorder="1" applyAlignment="1">
      <alignment vertical="center"/>
    </xf>
    <xf numFmtId="9" fontId="12" fillId="4" borderId="20" xfId="2" applyFont="1" applyFill="1" applyBorder="1" applyAlignment="1">
      <alignment horizontal="center" vertical="center"/>
    </xf>
    <xf numFmtId="9" fontId="12" fillId="3" borderId="20" xfId="2" applyFont="1" applyFill="1" applyBorder="1" applyAlignment="1">
      <alignment horizontal="center" vertical="center"/>
    </xf>
    <xf numFmtId="9" fontId="12" fillId="2" borderId="124" xfId="2" applyFont="1" applyFill="1" applyBorder="1" applyAlignment="1">
      <alignment vertical="center"/>
    </xf>
    <xf numFmtId="9" fontId="12" fillId="0" borderId="105" xfId="2" applyFont="1" applyFill="1" applyBorder="1" applyAlignment="1">
      <alignment vertical="center"/>
    </xf>
    <xf numFmtId="164" fontId="12" fillId="2" borderId="0" xfId="6" applyNumberFormat="1" applyFont="1" applyFill="1" applyBorder="1" applyAlignment="1">
      <alignment vertical="center"/>
    </xf>
    <xf numFmtId="0" fontId="4" fillId="2" borderId="63" xfId="0" applyFont="1" applyFill="1" applyBorder="1" applyAlignment="1">
      <alignment vertical="center"/>
    </xf>
    <xf numFmtId="164" fontId="4" fillId="2" borderId="125" xfId="6" applyNumberFormat="1" applyFont="1" applyFill="1" applyBorder="1" applyAlignment="1">
      <alignment vertical="center"/>
    </xf>
    <xf numFmtId="164" fontId="12" fillId="2" borderId="125" xfId="6" applyNumberFormat="1" applyFont="1" applyFill="1" applyBorder="1" applyAlignment="1">
      <alignment vertical="center"/>
    </xf>
    <xf numFmtId="164" fontId="4" fillId="2" borderId="194" xfId="6" applyNumberFormat="1" applyFont="1" applyFill="1" applyBorder="1" applyAlignment="1">
      <alignment vertical="center"/>
    </xf>
    <xf numFmtId="9" fontId="3" fillId="2" borderId="15" xfId="2" applyFont="1" applyFill="1" applyBorder="1"/>
    <xf numFmtId="164" fontId="4" fillId="0" borderId="66" xfId="6" applyNumberFormat="1" applyFont="1" applyFill="1" applyBorder="1" applyAlignment="1">
      <alignment vertical="center"/>
    </xf>
    <xf numFmtId="9" fontId="4" fillId="0" borderId="101" xfId="2" applyFont="1" applyFill="1" applyBorder="1" applyAlignment="1">
      <alignment vertical="center"/>
    </xf>
    <xf numFmtId="9" fontId="4" fillId="2" borderId="109" xfId="2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vertical="center"/>
    </xf>
    <xf numFmtId="0" fontId="41" fillId="2" borderId="0" xfId="0" applyFont="1" applyFill="1" applyBorder="1"/>
    <xf numFmtId="164" fontId="42" fillId="2" borderId="0" xfId="6" applyNumberFormat="1" applyFont="1" applyFill="1" applyBorder="1"/>
    <xf numFmtId="9" fontId="42" fillId="2" borderId="0" xfId="2" applyFont="1" applyFill="1" applyBorder="1"/>
    <xf numFmtId="164" fontId="42" fillId="2" borderId="0" xfId="6" applyNumberFormat="1" applyFont="1" applyFill="1" applyBorder="1" applyAlignment="1">
      <alignment horizontal="center"/>
    </xf>
    <xf numFmtId="0" fontId="4" fillId="15" borderId="0" xfId="0" applyFont="1" applyFill="1" applyBorder="1"/>
    <xf numFmtId="0" fontId="3" fillId="15" borderId="0" xfId="0" applyFont="1" applyFill="1" applyBorder="1" applyAlignment="1">
      <alignment horizontal="center"/>
    </xf>
    <xf numFmtId="0" fontId="12" fillId="15" borderId="0" xfId="0" applyFont="1" applyFill="1" applyBorder="1" applyAlignment="1">
      <alignment horizontal="center"/>
    </xf>
    <xf numFmtId="9" fontId="0" fillId="15" borderId="0" xfId="2" applyFont="1" applyFill="1" applyBorder="1"/>
    <xf numFmtId="0" fontId="0" fillId="15" borderId="0" xfId="0" applyFill="1" applyBorder="1"/>
    <xf numFmtId="9" fontId="3" fillId="2" borderId="0" xfId="2" applyFont="1" applyFill="1" applyBorder="1"/>
    <xf numFmtId="164" fontId="41" fillId="2" borderId="0" xfId="6" applyNumberFormat="1" applyFont="1" applyFill="1" applyBorder="1" applyAlignment="1">
      <alignment horizontal="center" vertical="center"/>
    </xf>
    <xf numFmtId="164" fontId="41" fillId="2" borderId="0" xfId="6" applyNumberFormat="1" applyFont="1" applyFill="1" applyBorder="1" applyAlignment="1">
      <alignment vertical="center"/>
    </xf>
    <xf numFmtId="165" fontId="41" fillId="2" borderId="0" xfId="1" applyNumberFormat="1" applyFont="1" applyFill="1" applyBorder="1" applyAlignment="1">
      <alignment vertical="center"/>
    </xf>
    <xf numFmtId="164" fontId="44" fillId="9" borderId="1" xfId="6" applyNumberFormat="1" applyFont="1" applyFill="1" applyBorder="1" applyAlignment="1">
      <alignment horizontal="center" vertical="center"/>
    </xf>
    <xf numFmtId="164" fontId="44" fillId="9" borderId="2" xfId="6" applyNumberFormat="1" applyFont="1" applyFill="1" applyBorder="1" applyAlignment="1">
      <alignment horizontal="center" vertical="center"/>
    </xf>
    <xf numFmtId="0" fontId="44" fillId="9" borderId="26" xfId="0" applyFont="1" applyFill="1" applyBorder="1" applyAlignment="1">
      <alignment horizontal="center" vertical="center"/>
    </xf>
    <xf numFmtId="0" fontId="21" fillId="17" borderId="1" xfId="0" applyFont="1" applyFill="1" applyBorder="1" applyAlignment="1">
      <alignment horizontal="center" vertical="center"/>
    </xf>
    <xf numFmtId="0" fontId="2" fillId="17" borderId="2" xfId="0" applyFont="1" applyFill="1" applyBorder="1" applyAlignment="1">
      <alignment horizontal="center" vertical="center"/>
    </xf>
    <xf numFmtId="9" fontId="2" fillId="17" borderId="2" xfId="2" applyFont="1" applyFill="1" applyBorder="1" applyAlignment="1">
      <alignment horizontal="center" vertical="center"/>
    </xf>
    <xf numFmtId="165" fontId="44" fillId="9" borderId="2" xfId="1" applyNumberFormat="1" applyFont="1" applyFill="1" applyBorder="1" applyAlignment="1">
      <alignment horizontal="center" vertical="center"/>
    </xf>
    <xf numFmtId="9" fontId="2" fillId="17" borderId="26" xfId="2" applyFont="1" applyFill="1" applyBorder="1" applyAlignment="1">
      <alignment horizontal="center" vertical="center"/>
    </xf>
    <xf numFmtId="0" fontId="42" fillId="2" borderId="33" xfId="0" applyFont="1" applyFill="1" applyBorder="1" applyAlignment="1">
      <alignment vertical="center"/>
    </xf>
    <xf numFmtId="164" fontId="42" fillId="2" borderId="34" xfId="6" applyNumberFormat="1" applyFont="1" applyFill="1" applyBorder="1" applyAlignment="1">
      <alignment vertical="center"/>
    </xf>
    <xf numFmtId="165" fontId="42" fillId="2" borderId="34" xfId="6" applyNumberFormat="1" applyFont="1" applyFill="1" applyBorder="1" applyAlignment="1">
      <alignment vertical="center"/>
    </xf>
    <xf numFmtId="9" fontId="42" fillId="2" borderId="34" xfId="2" applyFont="1" applyFill="1" applyBorder="1" applyAlignment="1">
      <alignment vertical="center"/>
    </xf>
    <xf numFmtId="9" fontId="42" fillId="2" borderId="69" xfId="2" applyFont="1" applyFill="1" applyBorder="1" applyAlignment="1">
      <alignment vertical="center"/>
    </xf>
    <xf numFmtId="164" fontId="42" fillId="2" borderId="33" xfId="6" applyNumberFormat="1" applyFont="1" applyFill="1" applyBorder="1" applyAlignment="1">
      <alignment vertical="center"/>
    </xf>
    <xf numFmtId="164" fontId="42" fillId="10" borderId="34" xfId="6" applyNumberFormat="1" applyFont="1" applyFill="1" applyBorder="1" applyAlignment="1">
      <alignment vertical="center"/>
    </xf>
    <xf numFmtId="164" fontId="42" fillId="2" borderId="33" xfId="6" applyNumberFormat="1" applyFont="1" applyFill="1" applyBorder="1" applyAlignment="1">
      <alignment horizontal="center" vertical="center"/>
    </xf>
    <xf numFmtId="164" fontId="57" fillId="2" borderId="34" xfId="6" applyNumberFormat="1" applyFont="1" applyFill="1" applyBorder="1" applyAlignment="1">
      <alignment vertical="center"/>
    </xf>
    <xf numFmtId="164" fontId="42" fillId="2" borderId="34" xfId="6" applyNumberFormat="1" applyFont="1" applyFill="1" applyBorder="1" applyAlignment="1">
      <alignment horizontal="center" vertical="center"/>
    </xf>
    <xf numFmtId="164" fontId="42" fillId="2" borderId="37" xfId="0" applyNumberFormat="1" applyFont="1" applyFill="1" applyBorder="1" applyAlignment="1">
      <alignment horizontal="center" vertical="center"/>
    </xf>
    <xf numFmtId="164" fontId="42" fillId="2" borderId="34" xfId="0" applyNumberFormat="1" applyFont="1" applyFill="1" applyBorder="1" applyAlignment="1">
      <alignment horizontal="center" vertical="center"/>
    </xf>
    <xf numFmtId="164" fontId="57" fillId="2" borderId="33" xfId="0" applyNumberFormat="1" applyFont="1" applyFill="1" applyBorder="1" applyAlignment="1">
      <alignment vertical="center"/>
    </xf>
    <xf numFmtId="9" fontId="57" fillId="2" borderId="34" xfId="2" applyFont="1" applyFill="1" applyBorder="1" applyAlignment="1">
      <alignment vertical="center"/>
    </xf>
    <xf numFmtId="9" fontId="57" fillId="2" borderId="69" xfId="2" applyFont="1" applyFill="1" applyBorder="1" applyAlignment="1">
      <alignment vertical="center"/>
    </xf>
    <xf numFmtId="0" fontId="42" fillId="2" borderId="34" xfId="0" applyFont="1" applyFill="1" applyBorder="1"/>
    <xf numFmtId="9" fontId="42" fillId="2" borderId="37" xfId="2" applyFont="1" applyFill="1" applyBorder="1" applyAlignment="1">
      <alignment vertical="center"/>
    </xf>
    <xf numFmtId="9" fontId="42" fillId="2" borderId="63" xfId="2" applyFont="1" applyFill="1" applyBorder="1" applyAlignment="1">
      <alignment vertical="center"/>
    </xf>
    <xf numFmtId="164" fontId="42" fillId="2" borderId="33" xfId="0" applyNumberFormat="1" applyFont="1" applyFill="1" applyBorder="1" applyAlignment="1">
      <alignment vertical="center"/>
    </xf>
    <xf numFmtId="164" fontId="42" fillId="2" borderId="34" xfId="0" applyNumberFormat="1" applyFont="1" applyFill="1" applyBorder="1" applyAlignment="1">
      <alignment vertical="center"/>
    </xf>
    <xf numFmtId="0" fontId="42" fillId="2" borderId="33" xfId="0" applyFont="1" applyFill="1" applyBorder="1" applyAlignment="1">
      <alignment horizontal="center" vertical="center"/>
    </xf>
    <xf numFmtId="165" fontId="42" fillId="2" borderId="34" xfId="1" applyNumberFormat="1" applyFont="1" applyFill="1" applyBorder="1" applyAlignment="1">
      <alignment horizontal="center" vertical="center"/>
    </xf>
    <xf numFmtId="165" fontId="42" fillId="2" borderId="37" xfId="1" applyNumberFormat="1" applyFont="1" applyFill="1" applyBorder="1" applyAlignment="1">
      <alignment horizontal="center" vertical="center"/>
    </xf>
    <xf numFmtId="9" fontId="42" fillId="2" borderId="37" xfId="2" applyFont="1" applyFill="1" applyBorder="1" applyAlignment="1">
      <alignment horizontal="center" vertical="center"/>
    </xf>
    <xf numFmtId="9" fontId="42" fillId="2" borderId="63" xfId="2" applyFont="1" applyFill="1" applyBorder="1" applyAlignment="1">
      <alignment horizontal="center" vertical="center"/>
    </xf>
    <xf numFmtId="165" fontId="42" fillId="2" borderId="33" xfId="0" applyNumberFormat="1" applyFont="1" applyFill="1" applyBorder="1" applyAlignment="1">
      <alignment horizontal="center" vertical="center"/>
    </xf>
    <xf numFmtId="165" fontId="42" fillId="2" borderId="34" xfId="0" applyNumberFormat="1" applyFont="1" applyFill="1" applyBorder="1" applyAlignment="1">
      <alignment horizontal="center" vertical="center"/>
    </xf>
    <xf numFmtId="164" fontId="42" fillId="2" borderId="70" xfId="0" applyNumberFormat="1" applyFont="1" applyFill="1" applyBorder="1" applyAlignment="1">
      <alignment vertical="center"/>
    </xf>
    <xf numFmtId="164" fontId="42" fillId="2" borderId="67" xfId="0" applyNumberFormat="1" applyFont="1" applyFill="1" applyBorder="1" applyAlignment="1">
      <alignment vertical="center"/>
    </xf>
    <xf numFmtId="9" fontId="42" fillId="2" borderId="67" xfId="2" applyFont="1" applyFill="1" applyBorder="1" applyAlignment="1">
      <alignment vertical="center"/>
    </xf>
    <xf numFmtId="9" fontId="42" fillId="2" borderId="71" xfId="2" applyFont="1" applyFill="1" applyBorder="1" applyAlignment="1">
      <alignment vertical="center"/>
    </xf>
    <xf numFmtId="166" fontId="42" fillId="2" borderId="69" xfId="6" applyFont="1" applyFill="1" applyBorder="1" applyAlignment="1">
      <alignment vertical="center"/>
    </xf>
    <xf numFmtId="164" fontId="57" fillId="2" borderId="117" xfId="0" applyNumberFormat="1" applyFont="1" applyFill="1" applyBorder="1" applyAlignment="1">
      <alignment vertical="center"/>
    </xf>
    <xf numFmtId="164" fontId="42" fillId="2" borderId="37" xfId="0" applyNumberFormat="1" applyFont="1" applyFill="1" applyBorder="1" applyAlignment="1">
      <alignment vertical="center"/>
    </xf>
    <xf numFmtId="9" fontId="57" fillId="2" borderId="37" xfId="2" applyFont="1" applyFill="1" applyBorder="1" applyAlignment="1">
      <alignment vertical="center"/>
    </xf>
    <xf numFmtId="0" fontId="42" fillId="2" borderId="117" xfId="0" applyFont="1" applyFill="1" applyBorder="1" applyAlignment="1">
      <alignment horizontal="center" vertical="center"/>
    </xf>
    <xf numFmtId="164" fontId="42" fillId="2" borderId="37" xfId="6" applyNumberFormat="1" applyFont="1" applyFill="1" applyBorder="1" applyAlignment="1">
      <alignment vertical="center"/>
    </xf>
    <xf numFmtId="164" fontId="42" fillId="2" borderId="117" xfId="6" applyNumberFormat="1" applyFont="1" applyFill="1" applyBorder="1" applyAlignment="1">
      <alignment vertical="center"/>
    </xf>
    <xf numFmtId="164" fontId="42" fillId="2" borderId="117" xfId="6" applyNumberFormat="1" applyFont="1" applyFill="1" applyBorder="1" applyAlignment="1">
      <alignment horizontal="center" vertical="center"/>
    </xf>
    <xf numFmtId="164" fontId="42" fillId="2" borderId="37" xfId="6" applyNumberFormat="1" applyFont="1" applyFill="1" applyBorder="1" applyAlignment="1">
      <alignment horizontal="center" vertical="center"/>
    </xf>
    <xf numFmtId="0" fontId="42" fillId="2" borderId="37" xfId="0" applyFont="1" applyFill="1" applyBorder="1"/>
    <xf numFmtId="164" fontId="42" fillId="2" borderId="117" xfId="0" applyNumberFormat="1" applyFont="1" applyFill="1" applyBorder="1" applyAlignment="1">
      <alignment vertical="center"/>
    </xf>
    <xf numFmtId="164" fontId="57" fillId="2" borderId="37" xfId="0" applyNumberFormat="1" applyFont="1" applyFill="1" applyBorder="1" applyAlignment="1">
      <alignment vertical="center"/>
    </xf>
    <xf numFmtId="9" fontId="57" fillId="2" borderId="63" xfId="2" applyFont="1" applyFill="1" applyBorder="1" applyAlignment="1">
      <alignment vertical="center"/>
    </xf>
    <xf numFmtId="166" fontId="42" fillId="2" borderId="117" xfId="6" applyFont="1" applyFill="1" applyBorder="1" applyAlignment="1">
      <alignment vertical="center"/>
    </xf>
    <xf numFmtId="164" fontId="57" fillId="2" borderId="37" xfId="6" applyNumberFormat="1" applyFont="1" applyFill="1" applyBorder="1" applyAlignment="1">
      <alignment vertical="center"/>
    </xf>
    <xf numFmtId="166" fontId="42" fillId="2" borderId="37" xfId="6" applyFont="1" applyFill="1" applyBorder="1" applyAlignment="1">
      <alignment vertical="center"/>
    </xf>
    <xf numFmtId="166" fontId="42" fillId="2" borderId="34" xfId="6" applyFont="1" applyFill="1" applyBorder="1" applyAlignment="1">
      <alignment vertical="center"/>
    </xf>
    <xf numFmtId="43" fontId="42" fillId="2" borderId="34" xfId="1" applyFont="1" applyFill="1" applyBorder="1" applyAlignment="1">
      <alignment vertical="center"/>
    </xf>
    <xf numFmtId="166" fontId="42" fillId="2" borderId="63" xfId="6" applyFont="1" applyFill="1" applyBorder="1" applyAlignment="1">
      <alignment vertical="center"/>
    </xf>
    <xf numFmtId="43" fontId="42" fillId="2" borderId="37" xfId="1" applyFont="1" applyFill="1" applyBorder="1" applyAlignment="1">
      <alignment vertical="center"/>
    </xf>
    <xf numFmtId="43" fontId="42" fillId="2" borderId="63" xfId="1" applyFont="1" applyFill="1" applyBorder="1" applyAlignment="1">
      <alignment vertical="center"/>
    </xf>
    <xf numFmtId="43" fontId="42" fillId="2" borderId="37" xfId="1" applyFont="1" applyFill="1" applyBorder="1" applyAlignment="1">
      <alignment horizontal="center" vertical="center"/>
    </xf>
    <xf numFmtId="43" fontId="42" fillId="2" borderId="63" xfId="1" applyFont="1" applyFill="1" applyBorder="1" applyAlignment="1">
      <alignment horizontal="center" vertical="center"/>
    </xf>
    <xf numFmtId="166" fontId="42" fillId="2" borderId="18" xfId="6" applyFont="1" applyFill="1" applyBorder="1" applyAlignment="1">
      <alignment vertical="center"/>
    </xf>
    <xf numFmtId="164" fontId="42" fillId="2" borderId="14" xfId="6" applyNumberFormat="1" applyFont="1" applyFill="1" applyBorder="1" applyAlignment="1">
      <alignment vertical="center"/>
    </xf>
    <xf numFmtId="164" fontId="42" fillId="2" borderId="15" xfId="6" applyNumberFormat="1" applyFont="1" applyFill="1" applyBorder="1" applyAlignment="1">
      <alignment vertical="center"/>
    </xf>
    <xf numFmtId="166" fontId="42" fillId="2" borderId="15" xfId="6" applyFont="1" applyFill="1" applyBorder="1" applyAlignment="1">
      <alignment vertical="center"/>
    </xf>
    <xf numFmtId="164" fontId="42" fillId="2" borderId="14" xfId="6" applyNumberFormat="1" applyFont="1" applyFill="1" applyBorder="1" applyAlignment="1">
      <alignment horizontal="center" vertical="center"/>
    </xf>
    <xf numFmtId="164" fontId="42" fillId="2" borderId="15" xfId="6" applyNumberFormat="1" applyFont="1" applyFill="1" applyBorder="1" applyAlignment="1">
      <alignment horizontal="center" vertical="center"/>
    </xf>
    <xf numFmtId="164" fontId="42" fillId="2" borderId="15" xfId="0" applyNumberFormat="1" applyFont="1" applyFill="1" applyBorder="1" applyAlignment="1">
      <alignment horizontal="center" vertical="center"/>
    </xf>
    <xf numFmtId="164" fontId="42" fillId="2" borderId="14" xfId="0" applyNumberFormat="1" applyFont="1" applyFill="1" applyBorder="1" applyAlignment="1">
      <alignment vertical="center"/>
    </xf>
    <xf numFmtId="164" fontId="42" fillId="2" borderId="15" xfId="0" applyNumberFormat="1" applyFont="1" applyFill="1" applyBorder="1" applyAlignment="1">
      <alignment vertical="center"/>
    </xf>
    <xf numFmtId="9" fontId="42" fillId="2" borderId="15" xfId="2" applyFont="1" applyFill="1" applyBorder="1" applyAlignment="1">
      <alignment vertical="center"/>
    </xf>
    <xf numFmtId="9" fontId="42" fillId="2" borderId="18" xfId="2" applyFont="1" applyFill="1" applyBorder="1" applyAlignment="1">
      <alignment vertical="center"/>
    </xf>
    <xf numFmtId="165" fontId="42" fillId="2" borderId="6" xfId="0" applyNumberFormat="1" applyFont="1" applyFill="1" applyBorder="1" applyAlignment="1">
      <alignment horizontal="center" vertical="center"/>
    </xf>
    <xf numFmtId="9" fontId="42" fillId="2" borderId="0" xfId="2" applyFont="1" applyFill="1" applyBorder="1" applyAlignment="1">
      <alignment vertical="center"/>
    </xf>
    <xf numFmtId="9" fontId="42" fillId="2" borderId="10" xfId="2" applyFont="1" applyFill="1" applyBorder="1" applyAlignment="1">
      <alignment vertical="center"/>
    </xf>
    <xf numFmtId="164" fontId="58" fillId="9" borderId="15" xfId="6" applyNumberFormat="1" applyFont="1" applyFill="1" applyBorder="1" applyAlignment="1">
      <alignment vertical="center"/>
    </xf>
    <xf numFmtId="9" fontId="58" fillId="9" borderId="15" xfId="2" applyFont="1" applyFill="1" applyBorder="1" applyAlignment="1">
      <alignment vertical="center"/>
    </xf>
    <xf numFmtId="9" fontId="58" fillId="9" borderId="18" xfId="2" applyFont="1" applyFill="1" applyBorder="1" applyAlignment="1">
      <alignment vertical="center"/>
    </xf>
    <xf numFmtId="164" fontId="58" fillId="9" borderId="14" xfId="6" applyNumberFormat="1" applyFont="1" applyFill="1" applyBorder="1" applyAlignment="1">
      <alignment horizontal="center" vertical="center"/>
    </xf>
    <xf numFmtId="0" fontId="59" fillId="2" borderId="0" xfId="0" applyFont="1" applyFill="1" applyBorder="1" applyAlignment="1">
      <alignment vertical="center"/>
    </xf>
    <xf numFmtId="164" fontId="58" fillId="12" borderId="19" xfId="6" applyNumberFormat="1" applyFont="1" applyFill="1" applyBorder="1" applyAlignment="1">
      <alignment horizontal="center" vertical="center"/>
    </xf>
    <xf numFmtId="164" fontId="58" fillId="12" borderId="20" xfId="6" applyNumberFormat="1" applyFont="1" applyFill="1" applyBorder="1" applyAlignment="1">
      <alignment vertical="center"/>
    </xf>
    <xf numFmtId="9" fontId="44" fillId="12" borderId="20" xfId="2" applyFont="1" applyFill="1" applyBorder="1" applyAlignment="1">
      <alignment vertical="center"/>
    </xf>
    <xf numFmtId="9" fontId="44" fillId="12" borderId="23" xfId="2" applyFont="1" applyFill="1" applyBorder="1" applyAlignment="1">
      <alignment vertical="center"/>
    </xf>
    <xf numFmtId="164" fontId="42" fillId="2" borderId="0" xfId="0" applyNumberFormat="1" applyFont="1" applyFill="1" applyBorder="1"/>
    <xf numFmtId="0" fontId="3" fillId="18" borderId="0" xfId="0" applyFont="1" applyFill="1" applyBorder="1"/>
    <xf numFmtId="164" fontId="3" fillId="18" borderId="0" xfId="6" applyNumberFormat="1" applyFont="1" applyFill="1" applyBorder="1"/>
    <xf numFmtId="43" fontId="3" fillId="2" borderId="0" xfId="0" applyNumberFormat="1" applyFont="1" applyFill="1" applyBorder="1"/>
    <xf numFmtId="164" fontId="3" fillId="2" borderId="0" xfId="6" applyNumberFormat="1" applyFont="1" applyFill="1" applyBorder="1"/>
    <xf numFmtId="1" fontId="3" fillId="2" borderId="0" xfId="0" applyNumberFormat="1" applyFont="1" applyFill="1" applyBorder="1"/>
    <xf numFmtId="0" fontId="4" fillId="2" borderId="0" xfId="0" applyFont="1" applyFill="1" applyBorder="1" applyAlignment="1">
      <alignment horizontal="center"/>
    </xf>
    <xf numFmtId="165" fontId="4" fillId="2" borderId="0" xfId="0" applyNumberFormat="1" applyFont="1" applyFill="1" applyBorder="1"/>
    <xf numFmtId="164" fontId="0" fillId="2" borderId="0" xfId="2" applyNumberFormat="1" applyFont="1" applyFill="1" applyBorder="1"/>
    <xf numFmtId="165" fontId="4" fillId="2" borderId="0" xfId="0" applyNumberFormat="1" applyFont="1" applyFill="1" applyBorder="1" applyAlignment="1">
      <alignment horizontal="center"/>
    </xf>
    <xf numFmtId="164" fontId="4" fillId="2" borderId="0" xfId="6" applyNumberFormat="1" applyFont="1" applyFill="1" applyBorder="1" applyAlignment="1">
      <alignment horizontal="center"/>
    </xf>
    <xf numFmtId="165" fontId="3" fillId="2" borderId="0" xfId="0" applyNumberFormat="1" applyFont="1" applyFill="1" applyBorder="1"/>
    <xf numFmtId="0" fontId="13" fillId="2" borderId="0" xfId="0" applyFont="1" applyFill="1" applyAlignment="1">
      <alignment vertical="center"/>
    </xf>
    <xf numFmtId="171" fontId="12" fillId="2" borderId="0" xfId="0" applyNumberFormat="1" applyFont="1" applyFill="1" applyAlignment="1">
      <alignment vertical="center"/>
    </xf>
    <xf numFmtId="164" fontId="12" fillId="2" borderId="0" xfId="5" applyNumberFormat="1" applyFont="1" applyFill="1" applyAlignment="1">
      <alignment vertical="center"/>
    </xf>
    <xf numFmtId="172" fontId="12" fillId="2" borderId="0" xfId="1" applyNumberFormat="1" applyFont="1" applyFill="1" applyAlignment="1">
      <alignment vertical="center"/>
    </xf>
    <xf numFmtId="0" fontId="61" fillId="2" borderId="0" xfId="0" applyFont="1" applyFill="1" applyAlignment="1">
      <alignment vertical="center"/>
    </xf>
    <xf numFmtId="0" fontId="5" fillId="2" borderId="67" xfId="0" applyFont="1" applyFill="1" applyBorder="1" applyAlignment="1">
      <alignment horizontal="center" vertical="center"/>
    </xf>
    <xf numFmtId="1" fontId="4" fillId="2" borderId="37" xfId="0" applyNumberFormat="1" applyFont="1" applyFill="1" applyBorder="1" applyAlignment="1">
      <alignment horizontal="center" vertical="center"/>
    </xf>
    <xf numFmtId="1" fontId="4" fillId="2" borderId="117" xfId="0" applyNumberFormat="1" applyFont="1" applyFill="1" applyBorder="1" applyAlignment="1">
      <alignment horizontal="center" vertical="center"/>
    </xf>
    <xf numFmtId="0" fontId="4" fillId="2" borderId="63" xfId="0" applyFont="1" applyFill="1" applyBorder="1" applyAlignment="1">
      <alignment horizontal="center" vertical="center"/>
    </xf>
    <xf numFmtId="165" fontId="4" fillId="0" borderId="88" xfId="1" applyNumberFormat="1" applyFont="1" applyFill="1" applyBorder="1" applyAlignment="1">
      <alignment vertical="center"/>
    </xf>
    <xf numFmtId="0" fontId="4" fillId="0" borderId="70" xfId="0" applyFont="1" applyFill="1" applyBorder="1" applyAlignment="1">
      <alignment horizontal="center" vertical="center"/>
    </xf>
    <xf numFmtId="164" fontId="4" fillId="0" borderId="67" xfId="5" applyNumberFormat="1" applyFont="1" applyFill="1" applyBorder="1" applyAlignment="1">
      <alignment vertical="center"/>
    </xf>
    <xf numFmtId="165" fontId="4" fillId="0" borderId="70" xfId="1" applyNumberFormat="1" applyFont="1" applyFill="1" applyBorder="1" applyAlignment="1">
      <alignment vertical="center"/>
    </xf>
    <xf numFmtId="1" fontId="4" fillId="0" borderId="117" xfId="2" applyNumberFormat="1" applyFont="1" applyFill="1" applyBorder="1" applyAlignment="1">
      <alignment horizontal="center" vertical="center"/>
    </xf>
    <xf numFmtId="165" fontId="4" fillId="0" borderId="37" xfId="2" applyNumberFormat="1" applyFont="1" applyFill="1" applyBorder="1" applyAlignment="1">
      <alignment vertical="center"/>
    </xf>
    <xf numFmtId="9" fontId="4" fillId="0" borderId="37" xfId="2" applyFont="1" applyFill="1" applyBorder="1" applyAlignment="1">
      <alignment vertical="center"/>
    </xf>
    <xf numFmtId="171" fontId="4" fillId="0" borderId="0" xfId="2" applyNumberFormat="1" applyFont="1" applyFill="1" applyBorder="1" applyAlignment="1">
      <alignment vertical="center"/>
    </xf>
    <xf numFmtId="167" fontId="4" fillId="0" borderId="196" xfId="2" applyNumberFormat="1" applyFont="1" applyFill="1" applyBorder="1" applyAlignment="1">
      <alignment vertical="center"/>
    </xf>
    <xf numFmtId="9" fontId="4" fillId="0" borderId="88" xfId="2" applyFont="1" applyFill="1" applyBorder="1" applyAlignment="1">
      <alignment vertical="center"/>
    </xf>
    <xf numFmtId="165" fontId="4" fillId="0" borderId="88" xfId="2" applyNumberFormat="1" applyFont="1" applyFill="1" applyBorder="1" applyAlignment="1">
      <alignment vertical="center"/>
    </xf>
    <xf numFmtId="9" fontId="12" fillId="0" borderId="0" xfId="2" applyFont="1" applyFill="1" applyBorder="1" applyAlignment="1">
      <alignment vertical="center"/>
    </xf>
    <xf numFmtId="0" fontId="4" fillId="2" borderId="57" xfId="0" applyFont="1" applyFill="1" applyBorder="1" applyAlignment="1">
      <alignment horizontal="center" vertical="center"/>
    </xf>
    <xf numFmtId="164" fontId="4" fillId="2" borderId="58" xfId="5" applyNumberFormat="1" applyFont="1" applyFill="1" applyBorder="1" applyAlignment="1">
      <alignment vertical="center"/>
    </xf>
    <xf numFmtId="164" fontId="4" fillId="2" borderId="52" xfId="5" applyNumberFormat="1" applyFont="1" applyFill="1" applyBorder="1" applyAlignment="1">
      <alignment vertical="center"/>
    </xf>
    <xf numFmtId="9" fontId="4" fillId="2" borderId="62" xfId="2" applyFont="1" applyFill="1" applyBorder="1" applyAlignment="1">
      <alignment vertical="center"/>
    </xf>
    <xf numFmtId="165" fontId="4" fillId="2" borderId="57" xfId="1" applyNumberFormat="1" applyFont="1" applyFill="1" applyBorder="1" applyAlignment="1">
      <alignment vertical="center"/>
    </xf>
    <xf numFmtId="165" fontId="4" fillId="2" borderId="58" xfId="1" applyNumberFormat="1" applyFont="1" applyFill="1" applyBorder="1" applyAlignment="1">
      <alignment vertical="center"/>
    </xf>
    <xf numFmtId="0" fontId="4" fillId="2" borderId="201" xfId="0" applyFont="1" applyFill="1" applyBorder="1" applyAlignment="1">
      <alignment horizontal="center" vertical="center"/>
    </xf>
    <xf numFmtId="164" fontId="4" fillId="2" borderId="94" xfId="5" applyNumberFormat="1" applyFont="1" applyFill="1" applyBorder="1" applyAlignment="1">
      <alignment vertical="center"/>
    </xf>
    <xf numFmtId="9" fontId="4" fillId="2" borderId="202" xfId="2" applyFont="1" applyFill="1" applyBorder="1" applyAlignment="1">
      <alignment vertical="center"/>
    </xf>
    <xf numFmtId="165" fontId="4" fillId="2" borderId="41" xfId="1" applyNumberFormat="1" applyFont="1" applyFill="1" applyBorder="1" applyAlignment="1">
      <alignment vertical="center"/>
    </xf>
    <xf numFmtId="9" fontId="4" fillId="2" borderId="41" xfId="2" applyFont="1" applyFill="1" applyBorder="1" applyAlignment="1">
      <alignment vertical="center"/>
    </xf>
    <xf numFmtId="165" fontId="4" fillId="2" borderId="66" xfId="2" applyNumberFormat="1" applyFont="1" applyFill="1" applyBorder="1" applyAlignment="1">
      <alignment vertical="center"/>
    </xf>
    <xf numFmtId="165" fontId="4" fillId="2" borderId="105" xfId="1" applyNumberFormat="1" applyFont="1" applyFill="1" applyBorder="1" applyAlignment="1">
      <alignment vertical="center"/>
    </xf>
    <xf numFmtId="164" fontId="4" fillId="2" borderId="117" xfId="0" applyNumberFormat="1" applyFont="1" applyFill="1" applyBorder="1" applyAlignment="1">
      <alignment vertical="center"/>
    </xf>
    <xf numFmtId="38" fontId="4" fillId="2" borderId="37" xfId="0" applyNumberFormat="1" applyFont="1" applyFill="1" applyBorder="1" applyAlignment="1">
      <alignment vertical="center"/>
    </xf>
    <xf numFmtId="164" fontId="32" fillId="2" borderId="6" xfId="0" applyNumberFormat="1" applyFont="1" applyFill="1" applyBorder="1" applyAlignment="1">
      <alignment vertical="center"/>
    </xf>
    <xf numFmtId="164" fontId="32" fillId="2" borderId="0" xfId="0" applyNumberFormat="1" applyFont="1" applyFill="1" applyBorder="1" applyAlignment="1">
      <alignment vertical="center"/>
    </xf>
    <xf numFmtId="9" fontId="32" fillId="2" borderId="0" xfId="2" applyFont="1" applyFill="1" applyBorder="1" applyAlignment="1">
      <alignment vertical="center"/>
    </xf>
    <xf numFmtId="9" fontId="32" fillId="2" borderId="10" xfId="2" applyFont="1" applyFill="1" applyBorder="1" applyAlignment="1">
      <alignment vertical="center"/>
    </xf>
    <xf numFmtId="165" fontId="4" fillId="2" borderId="10" xfId="0" applyNumberFormat="1" applyFont="1" applyFill="1" applyBorder="1" applyAlignment="1">
      <alignment vertical="center"/>
    </xf>
    <xf numFmtId="169" fontId="4" fillId="2" borderId="70" xfId="1" applyNumberFormat="1" applyFont="1" applyFill="1" applyBorder="1" applyAlignment="1">
      <alignment horizontal="center" vertical="center"/>
    </xf>
    <xf numFmtId="164" fontId="4" fillId="2" borderId="127" xfId="2" applyNumberFormat="1" applyFont="1" applyFill="1" applyBorder="1" applyAlignment="1">
      <alignment vertical="center"/>
    </xf>
    <xf numFmtId="164" fontId="4" fillId="2" borderId="67" xfId="5" applyNumberFormat="1" applyFont="1" applyFill="1" applyBorder="1" applyAlignment="1">
      <alignment vertical="center"/>
    </xf>
    <xf numFmtId="1" fontId="4" fillId="2" borderId="117" xfId="2" applyNumberFormat="1" applyFont="1" applyFill="1" applyBorder="1" applyAlignment="1">
      <alignment horizontal="center" vertical="center"/>
    </xf>
    <xf numFmtId="171" fontId="4" fillId="2" borderId="0" xfId="2" applyNumberFormat="1" applyFont="1" applyFill="1" applyBorder="1" applyAlignment="1">
      <alignment vertical="center"/>
    </xf>
    <xf numFmtId="165" fontId="4" fillId="2" borderId="88" xfId="1" applyNumberFormat="1" applyFont="1" applyFill="1" applyBorder="1" applyAlignment="1">
      <alignment vertical="center"/>
    </xf>
    <xf numFmtId="167" fontId="4" fillId="2" borderId="196" xfId="2" applyNumberFormat="1" applyFont="1" applyFill="1" applyBorder="1" applyAlignment="1">
      <alignment vertical="center"/>
    </xf>
    <xf numFmtId="167" fontId="4" fillId="2" borderId="117" xfId="0" applyNumberFormat="1" applyFont="1" applyFill="1" applyBorder="1" applyAlignment="1">
      <alignment horizontal="center" vertical="center"/>
    </xf>
    <xf numFmtId="164" fontId="4" fillId="0" borderId="37" xfId="6" applyNumberFormat="1" applyFont="1" applyFill="1" applyBorder="1" applyAlignment="1">
      <alignment vertical="center"/>
    </xf>
    <xf numFmtId="164" fontId="4" fillId="19" borderId="67" xfId="6" applyNumberFormat="1" applyFont="1" applyFill="1" applyBorder="1" applyAlignment="1">
      <alignment vertical="center"/>
    </xf>
    <xf numFmtId="0" fontId="4" fillId="2" borderId="152" xfId="0" applyFont="1" applyFill="1" applyBorder="1" applyAlignment="1">
      <alignment vertical="center"/>
    </xf>
    <xf numFmtId="0" fontId="5" fillId="2" borderId="152" xfId="0" applyFont="1" applyFill="1" applyBorder="1" applyAlignment="1">
      <alignment horizontal="center" vertical="center"/>
    </xf>
    <xf numFmtId="1" fontId="4" fillId="2" borderId="0" xfId="0" applyNumberFormat="1" applyFont="1" applyFill="1" applyBorder="1" applyAlignment="1">
      <alignment horizontal="center" vertical="center"/>
    </xf>
    <xf numFmtId="1" fontId="4" fillId="2" borderId="6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83" xfId="0" applyFont="1" applyFill="1" applyBorder="1" applyAlignment="1">
      <alignment horizontal="center" vertical="center"/>
    </xf>
    <xf numFmtId="164" fontId="4" fillId="2" borderId="152" xfId="5" applyNumberFormat="1" applyFont="1" applyFill="1" applyBorder="1" applyAlignment="1">
      <alignment vertical="center"/>
    </xf>
    <xf numFmtId="9" fontId="4" fillId="2" borderId="74" xfId="2" applyFont="1" applyFill="1" applyBorder="1" applyAlignment="1">
      <alignment vertical="center"/>
    </xf>
    <xf numFmtId="0" fontId="4" fillId="2" borderId="196" xfId="0" applyFont="1" applyFill="1" applyBorder="1" applyAlignment="1">
      <alignment horizontal="center" vertical="center"/>
    </xf>
    <xf numFmtId="164" fontId="4" fillId="2" borderId="53" xfId="5" applyNumberFormat="1" applyFont="1" applyFill="1" applyBorder="1" applyAlignment="1">
      <alignment vertical="center"/>
    </xf>
    <xf numFmtId="9" fontId="4" fillId="2" borderId="54" xfId="2" applyFont="1" applyFill="1" applyBorder="1" applyAlignment="1">
      <alignment vertical="center"/>
    </xf>
    <xf numFmtId="165" fontId="4" fillId="2" borderId="196" xfId="1" applyNumberFormat="1" applyFont="1" applyFill="1" applyBorder="1" applyAlignment="1">
      <alignment vertical="center"/>
    </xf>
    <xf numFmtId="165" fontId="4" fillId="2" borderId="53" xfId="1" applyNumberFormat="1" applyFont="1" applyFill="1" applyBorder="1" applyAlignment="1">
      <alignment vertical="center"/>
    </xf>
    <xf numFmtId="165" fontId="4" fillId="2" borderId="183" xfId="1" applyNumberFormat="1" applyFont="1" applyFill="1" applyBorder="1" applyAlignment="1">
      <alignment vertical="center"/>
    </xf>
    <xf numFmtId="165" fontId="4" fillId="2" borderId="152" xfId="1" applyNumberFormat="1" applyFont="1" applyFill="1" applyBorder="1" applyAlignment="1">
      <alignment vertical="center"/>
    </xf>
    <xf numFmtId="165" fontId="4" fillId="2" borderId="187" xfId="1" applyNumberFormat="1" applyFont="1" applyFill="1" applyBorder="1" applyAlignment="1">
      <alignment vertical="center"/>
    </xf>
    <xf numFmtId="9" fontId="4" fillId="2" borderId="186" xfId="2" applyFont="1" applyFill="1" applyBorder="1" applyAlignment="1">
      <alignment vertical="center"/>
    </xf>
    <xf numFmtId="165" fontId="4" fillId="2" borderId="6" xfId="2" applyNumberFormat="1" applyFont="1" applyFill="1" applyBorder="1" applyAlignment="1">
      <alignment vertical="center"/>
    </xf>
    <xf numFmtId="164" fontId="4" fillId="2" borderId="6" xfId="0" applyNumberFormat="1" applyFont="1" applyFill="1" applyBorder="1" applyAlignment="1">
      <alignment vertical="center"/>
    </xf>
    <xf numFmtId="164" fontId="4" fillId="2" borderId="0" xfId="0" applyNumberFormat="1" applyFont="1" applyFill="1" applyBorder="1" applyAlignment="1">
      <alignment vertical="center"/>
    </xf>
    <xf numFmtId="38" fontId="4" fillId="2" borderId="0" xfId="0" applyNumberFormat="1" applyFont="1" applyFill="1" applyBorder="1" applyAlignment="1">
      <alignment vertical="center"/>
    </xf>
    <xf numFmtId="165" fontId="4" fillId="2" borderId="186" xfId="1" applyNumberFormat="1" applyFont="1" applyFill="1" applyBorder="1" applyAlignment="1">
      <alignment vertical="center"/>
    </xf>
    <xf numFmtId="169" fontId="4" fillId="2" borderId="65" xfId="1" applyNumberFormat="1" applyFont="1" applyFill="1" applyBorder="1" applyAlignment="1">
      <alignment horizontal="center" vertical="center"/>
    </xf>
    <xf numFmtId="165" fontId="4" fillId="4" borderId="0" xfId="1" applyNumberFormat="1" applyFont="1" applyFill="1" applyBorder="1" applyAlignment="1">
      <alignment vertical="center"/>
    </xf>
    <xf numFmtId="164" fontId="4" fillId="19" borderId="37" xfId="6" applyNumberFormat="1" applyFont="1" applyFill="1" applyBorder="1" applyAlignment="1">
      <alignment vertical="center"/>
    </xf>
    <xf numFmtId="164" fontId="4" fillId="0" borderId="58" xfId="5" applyNumberFormat="1" applyFont="1" applyFill="1" applyBorder="1" applyAlignment="1">
      <alignment vertical="center"/>
    </xf>
    <xf numFmtId="0" fontId="4" fillId="0" borderId="201" xfId="0" applyFont="1" applyFill="1" applyBorder="1" applyAlignment="1">
      <alignment horizontal="center" vertical="center"/>
    </xf>
    <xf numFmtId="164" fontId="4" fillId="0" borderId="94" xfId="5" applyNumberFormat="1" applyFont="1" applyFill="1" applyBorder="1" applyAlignment="1">
      <alignment vertical="center"/>
    </xf>
    <xf numFmtId="165" fontId="4" fillId="4" borderId="41" xfId="1" applyNumberFormat="1" applyFont="1" applyFill="1" applyBorder="1" applyAlignment="1">
      <alignment vertical="center"/>
    </xf>
    <xf numFmtId="0" fontId="4" fillId="0" borderId="57" xfId="0" applyFont="1" applyFill="1" applyBorder="1" applyAlignment="1">
      <alignment horizontal="center" vertical="center"/>
    </xf>
    <xf numFmtId="9" fontId="4" fillId="0" borderId="62" xfId="2" applyFont="1" applyFill="1" applyBorder="1" applyAlignment="1">
      <alignment vertical="center"/>
    </xf>
    <xf numFmtId="165" fontId="4" fillId="4" borderId="37" xfId="1" applyNumberFormat="1" applyFont="1" applyFill="1" applyBorder="1" applyAlignment="1">
      <alignment vertical="center"/>
    </xf>
    <xf numFmtId="165" fontId="4" fillId="4" borderId="127" xfId="1" applyNumberFormat="1" applyFont="1" applyFill="1" applyBorder="1" applyAlignment="1">
      <alignment vertical="center"/>
    </xf>
    <xf numFmtId="167" fontId="4" fillId="0" borderId="117" xfId="0" applyNumberFormat="1" applyFont="1" applyFill="1" applyBorder="1" applyAlignment="1">
      <alignment horizontal="center" vertical="center"/>
    </xf>
    <xf numFmtId="9" fontId="4" fillId="0" borderId="202" xfId="2" applyFont="1" applyFill="1" applyBorder="1" applyAlignment="1">
      <alignment vertical="center"/>
    </xf>
    <xf numFmtId="43" fontId="4" fillId="2" borderId="66" xfId="1" applyFont="1" applyFill="1" applyBorder="1" applyAlignment="1">
      <alignment vertical="center"/>
    </xf>
    <xf numFmtId="164" fontId="4" fillId="2" borderId="0" xfId="5" applyNumberFormat="1" applyFont="1" applyFill="1" applyBorder="1" applyAlignment="1">
      <alignment vertical="center"/>
    </xf>
    <xf numFmtId="0" fontId="4" fillId="2" borderId="107" xfId="0" applyFont="1" applyFill="1" applyBorder="1" applyAlignment="1">
      <alignment vertical="center"/>
    </xf>
    <xf numFmtId="0" fontId="4" fillId="2" borderId="127" xfId="0" applyFont="1" applyFill="1" applyBorder="1" applyAlignment="1">
      <alignment horizontal="center" vertical="center"/>
    </xf>
    <xf numFmtId="0" fontId="4" fillId="2" borderId="126" xfId="0" applyFont="1" applyFill="1" applyBorder="1" applyAlignment="1">
      <alignment horizontal="center" vertical="center"/>
    </xf>
    <xf numFmtId="1" fontId="4" fillId="2" borderId="126" xfId="0" applyNumberFormat="1" applyFont="1" applyFill="1" applyBorder="1" applyAlignment="1">
      <alignment horizontal="center" vertical="center"/>
    </xf>
    <xf numFmtId="0" fontId="4" fillId="2" borderId="145" xfId="0" applyFont="1" applyFill="1" applyBorder="1" applyAlignment="1">
      <alignment horizontal="center" vertical="center"/>
    </xf>
    <xf numFmtId="0" fontId="4" fillId="2" borderId="108" xfId="0" applyFont="1" applyFill="1" applyBorder="1" applyAlignment="1">
      <alignment horizontal="center" vertical="center"/>
    </xf>
    <xf numFmtId="164" fontId="4" fillId="2" borderId="107" xfId="5" applyNumberFormat="1" applyFont="1" applyFill="1" applyBorder="1" applyAlignment="1">
      <alignment vertical="center"/>
    </xf>
    <xf numFmtId="9" fontId="4" fillId="0" borderId="117" xfId="2" applyFont="1" applyFill="1" applyBorder="1" applyAlignment="1">
      <alignment horizontal="center" vertical="center"/>
    </xf>
    <xf numFmtId="165" fontId="4" fillId="0" borderId="57" xfId="1" applyNumberFormat="1" applyFont="1" applyFill="1" applyBorder="1" applyAlignment="1">
      <alignment vertical="center"/>
    </xf>
    <xf numFmtId="165" fontId="4" fillId="0" borderId="58" xfId="1" applyNumberFormat="1" applyFont="1" applyFill="1" applyBorder="1" applyAlignment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center" vertical="center"/>
    </xf>
    <xf numFmtId="1" fontId="4" fillId="2" borderId="33" xfId="0" applyNumberFormat="1" applyFont="1" applyFill="1" applyBorder="1" applyAlignment="1">
      <alignment horizontal="center" vertical="center"/>
    </xf>
    <xf numFmtId="0" fontId="4" fillId="2" borderId="69" xfId="0" applyFont="1" applyFill="1" applyBorder="1" applyAlignment="1">
      <alignment horizontal="center" vertical="center"/>
    </xf>
    <xf numFmtId="0" fontId="4" fillId="2" borderId="65" xfId="0" applyFont="1" applyFill="1" applyBorder="1" applyAlignment="1">
      <alignment horizontal="center" vertical="center"/>
    </xf>
    <xf numFmtId="164" fontId="4" fillId="2" borderId="66" xfId="5" applyNumberFormat="1" applyFont="1" applyFill="1" applyBorder="1" applyAlignment="1">
      <alignment vertical="center"/>
    </xf>
    <xf numFmtId="167" fontId="4" fillId="0" borderId="33" xfId="2" applyNumberFormat="1" applyFont="1" applyFill="1" applyBorder="1" applyAlignment="1">
      <alignment vertical="center"/>
    </xf>
    <xf numFmtId="165" fontId="4" fillId="0" borderId="34" xfId="1" applyNumberFormat="1" applyFont="1" applyFill="1" applyBorder="1" applyAlignment="1">
      <alignment vertical="center"/>
    </xf>
    <xf numFmtId="171" fontId="4" fillId="0" borderId="34" xfId="2" applyNumberFormat="1" applyFont="1" applyFill="1" applyBorder="1" applyAlignment="1">
      <alignment vertical="center"/>
    </xf>
    <xf numFmtId="0" fontId="4" fillId="0" borderId="33" xfId="0" applyFont="1" applyFill="1" applyBorder="1" applyAlignment="1">
      <alignment horizontal="center" vertical="center"/>
    </xf>
    <xf numFmtId="164" fontId="4" fillId="0" borderId="34" xfId="5" applyNumberFormat="1" applyFont="1" applyFill="1" applyBorder="1" applyAlignment="1">
      <alignment vertical="center"/>
    </xf>
    <xf numFmtId="9" fontId="4" fillId="0" borderId="69" xfId="2" applyFont="1" applyFill="1" applyBorder="1" applyAlignment="1">
      <alignment vertical="center"/>
    </xf>
    <xf numFmtId="165" fontId="4" fillId="0" borderId="33" xfId="1" applyNumberFormat="1" applyFont="1" applyFill="1" applyBorder="1" applyAlignment="1">
      <alignment vertical="center"/>
    </xf>
    <xf numFmtId="9" fontId="4" fillId="2" borderId="204" xfId="2" applyFont="1" applyFill="1" applyBorder="1" applyAlignment="1">
      <alignment vertical="center"/>
    </xf>
    <xf numFmtId="164" fontId="4" fillId="2" borderId="33" xfId="0" applyNumberFormat="1" applyFont="1" applyFill="1" applyBorder="1" applyAlignment="1">
      <alignment vertical="center"/>
    </xf>
    <xf numFmtId="38" fontId="4" fillId="2" borderId="34" xfId="1" applyNumberFormat="1" applyFont="1" applyFill="1" applyBorder="1" applyAlignment="1">
      <alignment vertical="center"/>
    </xf>
    <xf numFmtId="172" fontId="4" fillId="2" borderId="34" xfId="1" applyNumberFormat="1" applyFont="1" applyFill="1" applyBorder="1" applyAlignment="1">
      <alignment vertical="center"/>
    </xf>
    <xf numFmtId="167" fontId="4" fillId="0" borderId="6" xfId="2" applyNumberFormat="1" applyFont="1" applyFill="1" applyBorder="1" applyAlignment="1">
      <alignment vertical="center"/>
    </xf>
    <xf numFmtId="165" fontId="4" fillId="0" borderId="0" xfId="1" applyNumberFormat="1" applyFont="1" applyFill="1" applyBorder="1" applyAlignment="1">
      <alignment vertical="center"/>
    </xf>
    <xf numFmtId="0" fontId="4" fillId="0" borderId="6" xfId="0" applyFont="1" applyFill="1" applyBorder="1" applyAlignment="1">
      <alignment horizontal="center" vertical="center"/>
    </xf>
    <xf numFmtId="164" fontId="4" fillId="0" borderId="0" xfId="5" applyNumberFormat="1" applyFont="1" applyFill="1" applyBorder="1" applyAlignment="1">
      <alignment vertical="center"/>
    </xf>
    <xf numFmtId="9" fontId="4" fillId="0" borderId="10" xfId="2" applyFont="1" applyFill="1" applyBorder="1" applyAlignment="1">
      <alignment vertical="center"/>
    </xf>
    <xf numFmtId="165" fontId="4" fillId="0" borderId="6" xfId="1" applyNumberFormat="1" applyFont="1" applyFill="1" applyBorder="1" applyAlignment="1">
      <alignment vertical="center"/>
    </xf>
    <xf numFmtId="9" fontId="4" fillId="2" borderId="122" xfId="2" applyFont="1" applyFill="1" applyBorder="1" applyAlignment="1">
      <alignment vertical="center"/>
    </xf>
    <xf numFmtId="165" fontId="4" fillId="2" borderId="101" xfId="1" applyNumberFormat="1" applyFont="1" applyFill="1" applyBorder="1" applyAlignment="1">
      <alignment vertical="center"/>
    </xf>
    <xf numFmtId="9" fontId="4" fillId="2" borderId="117" xfId="2" applyFont="1" applyFill="1" applyBorder="1" applyAlignment="1">
      <alignment vertical="center"/>
    </xf>
    <xf numFmtId="0" fontId="4" fillId="2" borderId="68" xfId="0" applyFont="1" applyFill="1" applyBorder="1" applyAlignment="1">
      <alignment horizontal="center" vertical="center"/>
    </xf>
    <xf numFmtId="43" fontId="4" fillId="2" borderId="71" xfId="1" applyFont="1" applyFill="1" applyBorder="1" applyAlignment="1">
      <alignment vertical="center"/>
    </xf>
    <xf numFmtId="164" fontId="4" fillId="2" borderId="152" xfId="0" applyNumberFormat="1" applyFont="1" applyFill="1" applyBorder="1" applyAlignment="1">
      <alignment vertical="center"/>
    </xf>
    <xf numFmtId="9" fontId="4" fillId="0" borderId="109" xfId="2" applyFont="1" applyFill="1" applyBorder="1" applyAlignment="1">
      <alignment vertical="center"/>
    </xf>
    <xf numFmtId="9" fontId="4" fillId="0" borderId="126" xfId="2" applyFont="1" applyFill="1" applyBorder="1" applyAlignment="1">
      <alignment horizontal="center" vertical="center"/>
    </xf>
    <xf numFmtId="165" fontId="4" fillId="0" borderId="127" xfId="2" applyNumberFormat="1" applyFont="1" applyFill="1" applyBorder="1" applyAlignment="1">
      <alignment vertical="center"/>
    </xf>
    <xf numFmtId="9" fontId="4" fillId="0" borderId="127" xfId="2" applyFont="1" applyFill="1" applyBorder="1" applyAlignment="1">
      <alignment vertical="center"/>
    </xf>
    <xf numFmtId="9" fontId="4" fillId="0" borderId="0" xfId="2" applyFont="1" applyFill="1" applyBorder="1" applyAlignment="1">
      <alignment vertical="center"/>
    </xf>
    <xf numFmtId="38" fontId="4" fillId="2" borderId="0" xfId="1" applyNumberFormat="1" applyFont="1" applyFill="1" applyBorder="1" applyAlignment="1">
      <alignment vertical="center"/>
    </xf>
    <xf numFmtId="165" fontId="4" fillId="2" borderId="152" xfId="2" applyNumberFormat="1" applyFont="1" applyFill="1" applyBorder="1" applyAlignment="1">
      <alignment vertical="center"/>
    </xf>
    <xf numFmtId="172" fontId="4" fillId="2" borderId="0" xfId="1" applyNumberFormat="1" applyFont="1" applyFill="1" applyBorder="1" applyAlignment="1">
      <alignment vertical="center"/>
    </xf>
    <xf numFmtId="171" fontId="4" fillId="2" borderId="127" xfId="2" applyNumberFormat="1" applyFont="1" applyFill="1" applyBorder="1" applyAlignment="1">
      <alignment vertical="center"/>
    </xf>
    <xf numFmtId="171" fontId="4" fillId="2" borderId="126" xfId="2" applyNumberFormat="1" applyFont="1" applyFill="1" applyBorder="1" applyAlignment="1">
      <alignment vertical="center"/>
    </xf>
    <xf numFmtId="165" fontId="4" fillId="2" borderId="127" xfId="2" applyNumberFormat="1" applyFont="1" applyFill="1" applyBorder="1" applyAlignment="1">
      <alignment vertical="center"/>
    </xf>
    <xf numFmtId="171" fontId="4" fillId="2" borderId="145" xfId="2" applyNumberFormat="1" applyFont="1" applyFill="1" applyBorder="1" applyAlignment="1">
      <alignment vertical="center"/>
    </xf>
    <xf numFmtId="167" fontId="4" fillId="2" borderId="126" xfId="1" applyNumberFormat="1" applyFont="1" applyFill="1" applyBorder="1" applyAlignment="1">
      <alignment horizontal="center" vertical="center"/>
    </xf>
    <xf numFmtId="164" fontId="4" fillId="3" borderId="58" xfId="6" applyNumberFormat="1" applyFont="1" applyFill="1" applyBorder="1" applyAlignment="1">
      <alignment vertical="center"/>
    </xf>
    <xf numFmtId="164" fontId="4" fillId="0" borderId="0" xfId="6" applyNumberFormat="1" applyFont="1" applyFill="1" applyBorder="1" applyAlignment="1">
      <alignment vertical="center"/>
    </xf>
    <xf numFmtId="165" fontId="4" fillId="0" borderId="56" xfId="1" applyNumberFormat="1" applyFont="1" applyFill="1" applyBorder="1" applyAlignment="1">
      <alignment vertical="center"/>
    </xf>
    <xf numFmtId="1" fontId="4" fillId="2" borderId="63" xfId="2" applyNumberFormat="1" applyFont="1" applyFill="1" applyBorder="1" applyAlignment="1">
      <alignment vertical="center"/>
    </xf>
    <xf numFmtId="43" fontId="4" fillId="2" borderId="67" xfId="1" applyFont="1" applyFill="1" applyBorder="1" applyAlignment="1">
      <alignment vertical="center"/>
    </xf>
    <xf numFmtId="0" fontId="5" fillId="2" borderId="107" xfId="0" applyFont="1" applyFill="1" applyBorder="1" applyAlignment="1">
      <alignment horizontal="center" vertical="center"/>
    </xf>
    <xf numFmtId="164" fontId="4" fillId="2" borderId="34" xfId="5" applyNumberFormat="1" applyFont="1" applyFill="1" applyBorder="1" applyAlignment="1">
      <alignment vertical="center"/>
    </xf>
    <xf numFmtId="167" fontId="4" fillId="0" borderId="205" xfId="2" applyNumberFormat="1" applyFont="1" applyFill="1" applyBorder="1" applyAlignment="1">
      <alignment vertical="center"/>
    </xf>
    <xf numFmtId="165" fontId="4" fillId="0" borderId="206" xfId="1" applyNumberFormat="1" applyFont="1" applyFill="1" applyBorder="1" applyAlignment="1">
      <alignment vertical="center"/>
    </xf>
    <xf numFmtId="0" fontId="4" fillId="0" borderId="185" xfId="0" applyFont="1" applyFill="1" applyBorder="1" applyAlignment="1">
      <alignment horizontal="center" vertical="center"/>
    </xf>
    <xf numFmtId="164" fontId="4" fillId="0" borderId="121" xfId="5" applyNumberFormat="1" applyFont="1" applyFill="1" applyBorder="1" applyAlignment="1">
      <alignment vertical="center"/>
    </xf>
    <xf numFmtId="9" fontId="4" fillId="0" borderId="123" xfId="2" applyFont="1" applyFill="1" applyBorder="1" applyAlignment="1">
      <alignment vertical="center"/>
    </xf>
    <xf numFmtId="165" fontId="4" fillId="0" borderId="185" xfId="1" applyNumberFormat="1" applyFont="1" applyFill="1" applyBorder="1" applyAlignment="1">
      <alignment vertical="center"/>
    </xf>
    <xf numFmtId="165" fontId="4" fillId="0" borderId="121" xfId="1" applyNumberFormat="1" applyFont="1" applyFill="1" applyBorder="1" applyAlignment="1">
      <alignment vertical="center"/>
    </xf>
    <xf numFmtId="165" fontId="4" fillId="2" borderId="121" xfId="1" applyNumberFormat="1" applyFont="1" applyFill="1" applyBorder="1" applyAlignment="1">
      <alignment vertical="center"/>
    </xf>
    <xf numFmtId="9" fontId="4" fillId="2" borderId="123" xfId="2" applyFont="1" applyFill="1" applyBorder="1" applyAlignment="1">
      <alignment vertical="center"/>
    </xf>
    <xf numFmtId="0" fontId="4" fillId="2" borderId="120" xfId="0" applyFont="1" applyFill="1" applyBorder="1" applyAlignment="1">
      <alignment horizontal="center" vertical="center"/>
    </xf>
    <xf numFmtId="164" fontId="4" fillId="2" borderId="124" xfId="5" applyNumberFormat="1" applyFont="1" applyFill="1" applyBorder="1" applyAlignment="1">
      <alignment vertical="center"/>
    </xf>
    <xf numFmtId="9" fontId="4" fillId="2" borderId="124" xfId="2" applyFont="1" applyFill="1" applyBorder="1" applyAlignment="1">
      <alignment vertical="center"/>
    </xf>
    <xf numFmtId="165" fontId="4" fillId="2" borderId="105" xfId="1" applyNumberFormat="1" applyFont="1" applyFill="1" applyBorder="1" applyAlignment="1">
      <alignment horizontal="center" vertical="center"/>
    </xf>
    <xf numFmtId="165" fontId="4" fillId="2" borderId="68" xfId="1" applyNumberFormat="1" applyFont="1" applyFill="1" applyBorder="1" applyAlignment="1">
      <alignment horizontal="center" vertical="center"/>
    </xf>
    <xf numFmtId="0" fontId="5" fillId="2" borderId="66" xfId="0" applyFont="1" applyFill="1" applyBorder="1" applyAlignment="1">
      <alignment horizontal="center" vertical="center"/>
    </xf>
    <xf numFmtId="9" fontId="4" fillId="0" borderId="34" xfId="2" applyFont="1" applyFill="1" applyBorder="1" applyAlignment="1">
      <alignment vertical="center"/>
    </xf>
    <xf numFmtId="171" fontId="4" fillId="2" borderId="117" xfId="2" applyNumberFormat="1" applyFont="1" applyFill="1" applyBorder="1" applyAlignment="1">
      <alignment vertical="center"/>
    </xf>
    <xf numFmtId="171" fontId="4" fillId="2" borderId="63" xfId="2" applyNumberFormat="1" applyFont="1" applyFill="1" applyBorder="1" applyAlignment="1">
      <alignment vertical="center"/>
    </xf>
    <xf numFmtId="9" fontId="12" fillId="0" borderId="34" xfId="2" applyFont="1" applyFill="1" applyBorder="1" applyAlignment="1">
      <alignment vertical="center"/>
    </xf>
    <xf numFmtId="43" fontId="4" fillId="2" borderId="107" xfId="1" applyFont="1" applyFill="1" applyBorder="1" applyAlignment="1">
      <alignment vertical="center"/>
    </xf>
    <xf numFmtId="43" fontId="4" fillId="2" borderId="109" xfId="1" applyFont="1" applyFill="1" applyBorder="1" applyAlignment="1">
      <alignment vertical="center"/>
    </xf>
    <xf numFmtId="9" fontId="61" fillId="2" borderId="109" xfId="2" applyFont="1" applyFill="1" applyBorder="1" applyAlignment="1">
      <alignment vertical="center"/>
    </xf>
    <xf numFmtId="0" fontId="4" fillId="2" borderId="195" xfId="0" applyFont="1" applyFill="1" applyBorder="1" applyAlignment="1">
      <alignment horizontal="center" vertical="center"/>
    </xf>
    <xf numFmtId="167" fontId="4" fillId="2" borderId="6" xfId="2" applyNumberFormat="1" applyFont="1" applyFill="1" applyBorder="1" applyAlignment="1">
      <alignment vertical="center"/>
    </xf>
    <xf numFmtId="171" fontId="4" fillId="2" borderId="6" xfId="2" applyNumberFormat="1" applyFont="1" applyFill="1" applyBorder="1" applyAlignment="1">
      <alignment vertical="center"/>
    </xf>
    <xf numFmtId="0" fontId="4" fillId="2" borderId="200" xfId="0" applyFont="1" applyFill="1" applyBorder="1" applyAlignment="1">
      <alignment horizontal="center" vertical="center"/>
    </xf>
    <xf numFmtId="9" fontId="4" fillId="2" borderId="59" xfId="2" applyFont="1" applyFill="1" applyBorder="1" applyAlignment="1">
      <alignment vertical="center"/>
    </xf>
    <xf numFmtId="165" fontId="4" fillId="2" borderId="200" xfId="1" applyNumberFormat="1" applyFont="1" applyFill="1" applyBorder="1" applyAlignment="1">
      <alignment vertical="center"/>
    </xf>
    <xf numFmtId="165" fontId="4" fillId="2" borderId="52" xfId="1" applyNumberFormat="1" applyFont="1" applyFill="1" applyBorder="1" applyAlignment="1">
      <alignment vertical="center"/>
    </xf>
    <xf numFmtId="0" fontId="4" fillId="2" borderId="208" xfId="0" applyFont="1" applyFill="1" applyBorder="1" applyAlignment="1">
      <alignment horizontal="center" vertical="center"/>
    </xf>
    <xf numFmtId="164" fontId="4" fillId="2" borderId="97" xfId="5" applyNumberFormat="1" applyFont="1" applyFill="1" applyBorder="1" applyAlignment="1">
      <alignment vertical="center"/>
    </xf>
    <xf numFmtId="164" fontId="4" fillId="2" borderId="97" xfId="0" applyNumberFormat="1" applyFont="1" applyFill="1" applyBorder="1" applyAlignment="1">
      <alignment vertical="center"/>
    </xf>
    <xf numFmtId="9" fontId="4" fillId="2" borderId="141" xfId="2" applyFont="1" applyFill="1" applyBorder="1" applyAlignment="1">
      <alignment vertical="center"/>
    </xf>
    <xf numFmtId="165" fontId="4" fillId="2" borderId="40" xfId="1" applyNumberFormat="1" applyFont="1" applyFill="1" applyBorder="1" applyAlignment="1">
      <alignment vertical="center"/>
    </xf>
    <xf numFmtId="9" fontId="4" fillId="2" borderId="40" xfId="2" applyFont="1" applyFill="1" applyBorder="1" applyAlignment="1">
      <alignment vertical="center"/>
    </xf>
    <xf numFmtId="165" fontId="4" fillId="2" borderId="137" xfId="0" applyNumberFormat="1" applyFont="1" applyFill="1" applyBorder="1" applyAlignment="1">
      <alignment vertical="center"/>
    </xf>
    <xf numFmtId="165" fontId="4" fillId="2" borderId="149" xfId="1" applyNumberFormat="1" applyFont="1" applyFill="1" applyBorder="1" applyAlignment="1">
      <alignment vertical="center"/>
    </xf>
    <xf numFmtId="9" fontId="4" fillId="2" borderId="129" xfId="2" applyFont="1" applyFill="1" applyBorder="1" applyAlignment="1">
      <alignment vertical="center"/>
    </xf>
    <xf numFmtId="165" fontId="4" fillId="0" borderId="37" xfId="1" applyNumberFormat="1" applyFont="1" applyFill="1" applyBorder="1" applyAlignment="1">
      <alignment vertical="center"/>
    </xf>
    <xf numFmtId="164" fontId="4" fillId="0" borderId="67" xfId="0" applyNumberFormat="1" applyFont="1" applyFill="1" applyBorder="1" applyAlignment="1">
      <alignment horizontal="center" vertical="center"/>
    </xf>
    <xf numFmtId="164" fontId="4" fillId="0" borderId="67" xfId="2" applyNumberFormat="1" applyFont="1" applyFill="1" applyBorder="1" applyAlignment="1">
      <alignment vertical="center"/>
    </xf>
    <xf numFmtId="167" fontId="4" fillId="0" borderId="33" xfId="2" applyNumberFormat="1" applyFont="1" applyFill="1" applyBorder="1" applyAlignment="1">
      <alignment horizontal="center" vertical="center"/>
    </xf>
    <xf numFmtId="165" fontId="4" fillId="0" borderId="34" xfId="2" applyNumberFormat="1" applyFont="1" applyFill="1" applyBorder="1" applyAlignment="1">
      <alignment vertical="center"/>
    </xf>
    <xf numFmtId="0" fontId="4" fillId="0" borderId="110" xfId="0" applyFont="1" applyFill="1" applyBorder="1" applyAlignment="1">
      <alignment horizontal="center" vertical="center"/>
    </xf>
    <xf numFmtId="164" fontId="4" fillId="0" borderId="111" xfId="5" applyNumberFormat="1" applyFont="1" applyFill="1" applyBorder="1" applyAlignment="1">
      <alignment vertical="center"/>
    </xf>
    <xf numFmtId="165" fontId="4" fillId="2" borderId="209" xfId="1" applyNumberFormat="1" applyFont="1" applyFill="1" applyBorder="1" applyAlignment="1">
      <alignment vertical="center"/>
    </xf>
    <xf numFmtId="9" fontId="4" fillId="2" borderId="112" xfId="2" applyFont="1" applyFill="1" applyBorder="1" applyAlignment="1">
      <alignment vertical="center"/>
    </xf>
    <xf numFmtId="165" fontId="4" fillId="2" borderId="210" xfId="1" applyNumberFormat="1" applyFont="1" applyFill="1" applyBorder="1" applyAlignment="1">
      <alignment vertical="center"/>
    </xf>
    <xf numFmtId="9" fontId="4" fillId="2" borderId="209" xfId="2" applyFont="1" applyFill="1" applyBorder="1" applyAlignment="1">
      <alignment vertical="center"/>
    </xf>
    <xf numFmtId="0" fontId="4" fillId="0" borderId="117" xfId="0" applyFont="1" applyFill="1" applyBorder="1" applyAlignment="1">
      <alignment horizontal="center" vertical="center"/>
    </xf>
    <xf numFmtId="164" fontId="4" fillId="19" borderId="58" xfId="6" applyNumberFormat="1" applyFont="1" applyFill="1" applyBorder="1" applyAlignment="1">
      <alignment vertical="center"/>
    </xf>
    <xf numFmtId="164" fontId="4" fillId="0" borderId="105" xfId="6" applyNumberFormat="1" applyFont="1" applyFill="1" applyBorder="1" applyAlignment="1">
      <alignment vertical="center"/>
    </xf>
    <xf numFmtId="0" fontId="5" fillId="0" borderId="67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165" fontId="4" fillId="0" borderId="211" xfId="1" applyNumberFormat="1" applyFont="1" applyFill="1" applyBorder="1" applyAlignment="1">
      <alignment vertical="center"/>
    </xf>
    <xf numFmtId="167" fontId="4" fillId="0" borderId="117" xfId="2" applyNumberFormat="1" applyFont="1" applyFill="1" applyBorder="1" applyAlignment="1">
      <alignment horizontal="center" vertical="center"/>
    </xf>
    <xf numFmtId="167" fontId="4" fillId="0" borderId="117" xfId="2" applyNumberFormat="1" applyFont="1" applyFill="1" applyBorder="1" applyAlignment="1">
      <alignment vertical="center"/>
    </xf>
    <xf numFmtId="164" fontId="4" fillId="2" borderId="41" xfId="0" applyNumberFormat="1" applyFont="1" applyFill="1" applyBorder="1" applyAlignment="1">
      <alignment vertical="center"/>
    </xf>
    <xf numFmtId="165" fontId="4" fillId="2" borderId="36" xfId="1" applyNumberFormat="1" applyFont="1" applyFill="1" applyBorder="1" applyAlignment="1">
      <alignment vertical="center"/>
    </xf>
    <xf numFmtId="38" fontId="4" fillId="2" borderId="37" xfId="1" applyNumberFormat="1" applyFont="1" applyFill="1" applyBorder="1" applyAlignment="1">
      <alignment vertical="center"/>
    </xf>
    <xf numFmtId="172" fontId="4" fillId="2" borderId="70" xfId="1" applyNumberFormat="1" applyFont="1" applyFill="1" applyBorder="1" applyAlignment="1">
      <alignment vertical="center"/>
    </xf>
    <xf numFmtId="165" fontId="4" fillId="2" borderId="37" xfId="1" applyNumberFormat="1" applyFont="1" applyFill="1" applyBorder="1"/>
    <xf numFmtId="165" fontId="0" fillId="0" borderId="37" xfId="1" applyNumberFormat="1" applyFont="1" applyBorder="1"/>
    <xf numFmtId="0" fontId="4" fillId="0" borderId="203" xfId="0" applyFont="1" applyFill="1" applyBorder="1" applyAlignment="1">
      <alignment horizontal="center" vertical="center"/>
    </xf>
    <xf numFmtId="164" fontId="4" fillId="0" borderId="60" xfId="5" applyNumberFormat="1" applyFont="1" applyFill="1" applyBorder="1" applyAlignment="1">
      <alignment vertical="center"/>
    </xf>
    <xf numFmtId="165" fontId="4" fillId="0" borderId="60" xfId="1" applyNumberFormat="1" applyFont="1" applyFill="1" applyBorder="1" applyAlignment="1">
      <alignment vertical="center"/>
    </xf>
    <xf numFmtId="9" fontId="4" fillId="0" borderId="73" xfId="2" applyFont="1" applyFill="1" applyBorder="1" applyAlignment="1">
      <alignment vertical="center"/>
    </xf>
    <xf numFmtId="165" fontId="4" fillId="0" borderId="203" xfId="1" applyNumberFormat="1" applyFont="1" applyFill="1" applyBorder="1" applyAlignment="1">
      <alignment vertical="center"/>
    </xf>
    <xf numFmtId="165" fontId="4" fillId="2" borderId="60" xfId="1" applyNumberFormat="1" applyFont="1" applyFill="1" applyBorder="1" applyAlignment="1">
      <alignment vertical="center"/>
    </xf>
    <xf numFmtId="9" fontId="4" fillId="2" borderId="73" xfId="2" applyFont="1" applyFill="1" applyBorder="1" applyAlignment="1">
      <alignment vertical="center"/>
    </xf>
    <xf numFmtId="0" fontId="4" fillId="2" borderId="212" xfId="0" applyFont="1" applyFill="1" applyBorder="1" applyAlignment="1">
      <alignment horizontal="center" vertical="center"/>
    </xf>
    <xf numFmtId="164" fontId="4" fillId="2" borderId="95" xfId="5" applyNumberFormat="1" applyFont="1" applyFill="1" applyBorder="1" applyAlignment="1">
      <alignment vertical="center"/>
    </xf>
    <xf numFmtId="9" fontId="4" fillId="2" borderId="213" xfId="2" applyFont="1" applyFill="1" applyBorder="1" applyAlignment="1">
      <alignment vertical="center"/>
    </xf>
    <xf numFmtId="165" fontId="4" fillId="2" borderId="64" xfId="1" applyNumberFormat="1" applyFont="1" applyFill="1" applyBorder="1" applyAlignment="1">
      <alignment vertical="center"/>
    </xf>
    <xf numFmtId="164" fontId="4" fillId="2" borderId="72" xfId="0" applyNumberFormat="1" applyFont="1" applyFill="1" applyBorder="1" applyAlignment="1">
      <alignment vertical="center"/>
    </xf>
    <xf numFmtId="165" fontId="4" fillId="2" borderId="72" xfId="1" applyNumberFormat="1" applyFont="1" applyFill="1" applyBorder="1" applyAlignment="1">
      <alignment vertical="center"/>
    </xf>
    <xf numFmtId="9" fontId="4" fillId="2" borderId="72" xfId="2" applyFont="1" applyFill="1" applyBorder="1" applyAlignment="1">
      <alignment vertical="center"/>
    </xf>
    <xf numFmtId="9" fontId="4" fillId="0" borderId="54" xfId="2" applyFont="1" applyFill="1" applyBorder="1" applyAlignment="1">
      <alignment vertical="center"/>
    </xf>
    <xf numFmtId="43" fontId="4" fillId="2" borderId="102" xfId="1" applyFont="1" applyFill="1" applyBorder="1" applyAlignment="1">
      <alignment vertical="center"/>
    </xf>
    <xf numFmtId="164" fontId="4" fillId="0" borderId="37" xfId="5" applyNumberFormat="1" applyFont="1" applyFill="1" applyBorder="1" applyAlignment="1">
      <alignment vertical="center"/>
    </xf>
    <xf numFmtId="9" fontId="4" fillId="0" borderId="118" xfId="2" applyFont="1" applyFill="1" applyBorder="1" applyAlignment="1">
      <alignment vertical="center"/>
    </xf>
    <xf numFmtId="164" fontId="4" fillId="2" borderId="37" xfId="5" applyNumberFormat="1" applyFont="1" applyFill="1" applyBorder="1" applyAlignment="1">
      <alignment vertical="center"/>
    </xf>
    <xf numFmtId="165" fontId="4" fillId="2" borderId="126" xfId="0" applyNumberFormat="1" applyFont="1" applyFill="1" applyBorder="1" applyAlignment="1">
      <alignment vertical="center"/>
    </xf>
    <xf numFmtId="172" fontId="4" fillId="2" borderId="65" xfId="1" applyNumberFormat="1" applyFont="1" applyFill="1" applyBorder="1" applyAlignment="1">
      <alignment vertical="center"/>
    </xf>
    <xf numFmtId="43" fontId="4" fillId="2" borderId="117" xfId="1" applyFont="1" applyFill="1" applyBorder="1" applyAlignment="1">
      <alignment vertical="center"/>
    </xf>
    <xf numFmtId="164" fontId="4" fillId="2" borderId="126" xfId="0" applyNumberFormat="1" applyFont="1" applyFill="1" applyBorder="1" applyAlignment="1">
      <alignment vertical="center"/>
    </xf>
    <xf numFmtId="38" fontId="4" fillId="2" borderId="127" xfId="1" applyNumberFormat="1" applyFont="1" applyFill="1" applyBorder="1" applyAlignment="1">
      <alignment vertical="center"/>
    </xf>
    <xf numFmtId="165" fontId="4" fillId="14" borderId="37" xfId="1" applyNumberFormat="1" applyFont="1" applyFill="1" applyBorder="1" applyAlignment="1">
      <alignment vertical="center"/>
    </xf>
    <xf numFmtId="9" fontId="4" fillId="2" borderId="152" xfId="2" applyFont="1" applyFill="1" applyBorder="1" applyAlignment="1">
      <alignment vertical="center"/>
    </xf>
    <xf numFmtId="0" fontId="12" fillId="2" borderId="0" xfId="0" applyFont="1" applyFill="1" applyAlignment="1">
      <alignment horizontal="right" vertical="center"/>
    </xf>
    <xf numFmtId="0" fontId="5" fillId="2" borderId="0" xfId="0" applyFont="1" applyFill="1" applyBorder="1" applyAlignment="1">
      <alignment horizontal="center" vertical="center"/>
    </xf>
    <xf numFmtId="167" fontId="4" fillId="2" borderId="0" xfId="0" applyNumberFormat="1" applyFont="1" applyFill="1" applyBorder="1" applyAlignment="1">
      <alignment vertical="center"/>
    </xf>
    <xf numFmtId="171" fontId="4" fillId="2" borderId="0" xfId="0" applyNumberFormat="1" applyFont="1" applyFill="1" applyBorder="1" applyAlignment="1">
      <alignment vertical="center"/>
    </xf>
    <xf numFmtId="165" fontId="32" fillId="2" borderId="0" xfId="1" applyNumberFormat="1" applyFont="1" applyFill="1" applyBorder="1" applyAlignment="1">
      <alignment vertical="center"/>
    </xf>
    <xf numFmtId="167" fontId="4" fillId="2" borderId="0" xfId="2" applyNumberFormat="1" applyFont="1" applyFill="1" applyBorder="1" applyAlignment="1">
      <alignment vertical="center"/>
    </xf>
    <xf numFmtId="165" fontId="12" fillId="2" borderId="0" xfId="0" applyNumberFormat="1" applyFont="1" applyFill="1" applyBorder="1" applyAlignment="1">
      <alignment vertical="center"/>
    </xf>
    <xf numFmtId="165" fontId="4" fillId="2" borderId="0" xfId="0" applyNumberFormat="1" applyFont="1" applyFill="1" applyBorder="1" applyAlignment="1">
      <alignment horizontal="center" vertical="center"/>
    </xf>
    <xf numFmtId="0" fontId="64" fillId="2" borderId="0" xfId="0" applyFont="1" applyFill="1" applyBorder="1" applyAlignment="1">
      <alignment horizontal="center" vertical="center"/>
    </xf>
    <xf numFmtId="165" fontId="25" fillId="2" borderId="0" xfId="1" applyNumberFormat="1" applyFont="1" applyFill="1" applyBorder="1" applyAlignment="1">
      <alignment horizontal="center" vertical="center"/>
    </xf>
    <xf numFmtId="43" fontId="4" fillId="2" borderId="0" xfId="0" applyNumberFormat="1" applyFont="1" applyFill="1" applyBorder="1" applyAlignment="1">
      <alignment vertical="center"/>
    </xf>
    <xf numFmtId="165" fontId="65" fillId="2" borderId="0" xfId="0" applyNumberFormat="1" applyFont="1" applyFill="1" applyBorder="1" applyAlignment="1">
      <alignment vertical="center"/>
    </xf>
    <xf numFmtId="43" fontId="4" fillId="2" borderId="0" xfId="1" applyNumberFormat="1" applyFont="1" applyFill="1" applyBorder="1" applyAlignment="1">
      <alignment vertical="center"/>
    </xf>
    <xf numFmtId="164" fontId="4" fillId="2" borderId="0" xfId="6" applyNumberFormat="1" applyFont="1" applyFill="1" applyBorder="1" applyAlignment="1">
      <alignment vertical="center"/>
    </xf>
    <xf numFmtId="165" fontId="49" fillId="2" borderId="0" xfId="1" applyNumberFormat="1" applyFont="1" applyFill="1" applyBorder="1" applyAlignment="1">
      <alignment vertical="center"/>
    </xf>
    <xf numFmtId="165" fontId="17" fillId="2" borderId="0" xfId="1" applyNumberFormat="1" applyFont="1" applyFill="1" applyBorder="1" applyAlignment="1">
      <alignment vertical="center"/>
    </xf>
    <xf numFmtId="165" fontId="66" fillId="2" borderId="0" xfId="1" applyNumberFormat="1" applyFont="1" applyFill="1" applyBorder="1" applyAlignment="1">
      <alignment vertical="center"/>
    </xf>
    <xf numFmtId="165" fontId="67" fillId="2" borderId="0" xfId="1" applyNumberFormat="1" applyFont="1" applyFill="1" applyBorder="1" applyAlignment="1">
      <alignment vertical="center"/>
    </xf>
    <xf numFmtId="165" fontId="68" fillId="2" borderId="0" xfId="1" applyNumberFormat="1" applyFont="1" applyFill="1" applyBorder="1" applyAlignment="1">
      <alignment vertical="center"/>
    </xf>
    <xf numFmtId="165" fontId="69" fillId="2" borderId="0" xfId="1" applyNumberFormat="1" applyFont="1" applyFill="1" applyBorder="1" applyAlignment="1">
      <alignment vertical="center"/>
    </xf>
    <xf numFmtId="165" fontId="67" fillId="2" borderId="0" xfId="0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horizontal="center" vertical="center"/>
    </xf>
    <xf numFmtId="171" fontId="4" fillId="2" borderId="0" xfId="0" applyNumberFormat="1" applyFont="1" applyFill="1" applyAlignment="1">
      <alignment vertical="center"/>
    </xf>
    <xf numFmtId="164" fontId="4" fillId="2" borderId="0" xfId="5" applyNumberFormat="1" applyFont="1" applyFill="1" applyAlignment="1">
      <alignment vertical="center"/>
    </xf>
    <xf numFmtId="172" fontId="4" fillId="2" borderId="0" xfId="1" applyNumberFormat="1" applyFont="1" applyFill="1" applyAlignment="1">
      <alignment vertical="center"/>
    </xf>
    <xf numFmtId="165" fontId="49" fillId="2" borderId="0" xfId="1" applyNumberFormat="1" applyFont="1" applyFill="1" applyAlignment="1">
      <alignment vertical="center"/>
    </xf>
    <xf numFmtId="165" fontId="4" fillId="4" borderId="0" xfId="1" applyNumberFormat="1" applyFont="1" applyFill="1" applyAlignment="1">
      <alignment vertical="center"/>
    </xf>
    <xf numFmtId="9" fontId="16" fillId="3" borderId="10" xfId="2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horizontal="center" vertical="center" wrapText="1"/>
    </xf>
    <xf numFmtId="164" fontId="16" fillId="3" borderId="6" xfId="6" applyNumberFormat="1" applyFont="1" applyFill="1" applyBorder="1" applyAlignment="1">
      <alignment horizontal="center" vertical="center" wrapText="1"/>
    </xf>
    <xf numFmtId="164" fontId="13" fillId="3" borderId="15" xfId="6" applyNumberFormat="1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/>
    </xf>
    <xf numFmtId="164" fontId="13" fillId="3" borderId="16" xfId="6" applyNumberFormat="1" applyFont="1" applyFill="1" applyBorder="1" applyAlignment="1">
      <alignment horizontal="center" vertical="center" wrapText="1"/>
    </xf>
    <xf numFmtId="0" fontId="13" fillId="3" borderId="17" xfId="0" applyFont="1" applyFill="1" applyBorder="1" applyAlignment="1">
      <alignment horizontal="center" vertical="center"/>
    </xf>
    <xf numFmtId="9" fontId="13" fillId="3" borderId="18" xfId="2" applyFont="1" applyFill="1" applyBorder="1" applyAlignment="1">
      <alignment horizontal="center" vertical="center" wrapText="1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vertical="center"/>
    </xf>
    <xf numFmtId="164" fontId="13" fillId="3" borderId="14" xfId="6" applyNumberFormat="1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vertical="center"/>
    </xf>
    <xf numFmtId="165" fontId="0" fillId="2" borderId="0" xfId="6" applyNumberFormat="1" applyFont="1" applyFill="1" applyBorder="1" applyAlignment="1">
      <alignment vertical="center"/>
    </xf>
    <xf numFmtId="165" fontId="1" fillId="2" borderId="0" xfId="6" applyNumberFormat="1" applyFont="1" applyFill="1" applyBorder="1" applyAlignment="1">
      <alignment vertical="center"/>
    </xf>
    <xf numFmtId="165" fontId="0" fillId="2" borderId="0" xfId="0" applyNumberFormat="1" applyFill="1" applyBorder="1" applyAlignment="1">
      <alignment vertical="center"/>
    </xf>
    <xf numFmtId="164" fontId="0" fillId="2" borderId="174" xfId="6" applyNumberFormat="1" applyFont="1" applyFill="1" applyBorder="1" applyAlignment="1">
      <alignment vertical="center"/>
    </xf>
    <xf numFmtId="164" fontId="0" fillId="6" borderId="0" xfId="6" applyNumberFormat="1" applyFont="1" applyFill="1" applyBorder="1" applyAlignment="1">
      <alignment horizontal="center" vertical="center"/>
    </xf>
    <xf numFmtId="164" fontId="0" fillId="6" borderId="163" xfId="6" applyNumberFormat="1" applyFont="1" applyFill="1" applyBorder="1" applyAlignment="1">
      <alignment vertical="center"/>
    </xf>
    <xf numFmtId="164" fontId="0" fillId="6" borderId="0" xfId="6" applyNumberFormat="1" applyFont="1" applyFill="1" applyBorder="1" applyAlignment="1">
      <alignment vertical="center"/>
    </xf>
    <xf numFmtId="164" fontId="0" fillId="6" borderId="12" xfId="6" applyNumberFormat="1" applyFont="1" applyFill="1" applyBorder="1" applyAlignment="1">
      <alignment vertical="center"/>
    </xf>
    <xf numFmtId="166" fontId="0" fillId="2" borderId="163" xfId="6" applyFont="1" applyFill="1" applyBorder="1" applyAlignment="1">
      <alignment vertical="center"/>
    </xf>
    <xf numFmtId="166" fontId="0" fillId="2" borderId="10" xfId="6" applyFont="1" applyFill="1" applyBorder="1" applyAlignment="1">
      <alignment vertical="center"/>
    </xf>
    <xf numFmtId="0" fontId="0" fillId="2" borderId="167" xfId="0" applyFill="1" applyBorder="1"/>
    <xf numFmtId="0" fontId="0" fillId="2" borderId="164" xfId="0" applyFill="1" applyBorder="1" applyAlignment="1">
      <alignment vertical="center"/>
    </xf>
    <xf numFmtId="0" fontId="9" fillId="20" borderId="19" xfId="0" applyFont="1" applyFill="1" applyBorder="1" applyAlignment="1">
      <alignment vertical="center"/>
    </xf>
    <xf numFmtId="0" fontId="9" fillId="20" borderId="20" xfId="0" applyFont="1" applyFill="1" applyBorder="1" applyAlignment="1">
      <alignment horizontal="right" vertical="center"/>
    </xf>
    <xf numFmtId="164" fontId="9" fillId="20" borderId="20" xfId="6" applyNumberFormat="1" applyFont="1" applyFill="1" applyBorder="1" applyAlignment="1">
      <alignment vertical="center"/>
    </xf>
    <xf numFmtId="164" fontId="9" fillId="20" borderId="21" xfId="6" applyNumberFormat="1" applyFont="1" applyFill="1" applyBorder="1" applyAlignment="1">
      <alignment vertical="center"/>
    </xf>
    <xf numFmtId="164" fontId="9" fillId="20" borderId="22" xfId="6" applyNumberFormat="1" applyFont="1" applyFill="1" applyBorder="1" applyAlignment="1">
      <alignment vertical="center"/>
    </xf>
    <xf numFmtId="9" fontId="9" fillId="20" borderId="20" xfId="2" applyFont="1" applyFill="1" applyBorder="1" applyAlignment="1">
      <alignment vertical="center"/>
    </xf>
    <xf numFmtId="9" fontId="9" fillId="20" borderId="23" xfId="2" applyFont="1" applyFill="1" applyBorder="1" applyAlignment="1">
      <alignment vertical="center"/>
    </xf>
    <xf numFmtId="164" fontId="9" fillId="20" borderId="156" xfId="6" applyNumberFormat="1" applyFont="1" applyFill="1" applyBorder="1" applyAlignment="1">
      <alignment vertical="center"/>
    </xf>
    <xf numFmtId="164" fontId="9" fillId="20" borderId="168" xfId="6" applyNumberFormat="1" applyFont="1" applyFill="1" applyBorder="1" applyAlignment="1">
      <alignment vertical="center"/>
    </xf>
    <xf numFmtId="164" fontId="9" fillId="20" borderId="19" xfId="6" applyNumberFormat="1" applyFont="1" applyFill="1" applyBorder="1" applyAlignment="1">
      <alignment vertical="center"/>
    </xf>
    <xf numFmtId="164" fontId="9" fillId="20" borderId="25" xfId="6" applyNumberFormat="1" applyFont="1" applyFill="1" applyBorder="1" applyAlignment="1">
      <alignment vertical="center"/>
    </xf>
    <xf numFmtId="164" fontId="9" fillId="20" borderId="24" xfId="6" applyNumberFormat="1" applyFont="1" applyFill="1" applyBorder="1" applyAlignment="1">
      <alignment vertical="center"/>
    </xf>
    <xf numFmtId="164" fontId="3" fillId="2" borderId="0" xfId="6" applyNumberFormat="1" applyFont="1" applyFill="1" applyBorder="1" applyAlignment="1">
      <alignment vertical="center"/>
    </xf>
    <xf numFmtId="0" fontId="3" fillId="2" borderId="2" xfId="0" applyFont="1" applyFill="1" applyBorder="1"/>
    <xf numFmtId="9" fontId="3" fillId="2" borderId="10" xfId="2" applyFont="1" applyFill="1" applyBorder="1"/>
    <xf numFmtId="164" fontId="10" fillId="2" borderId="0" xfId="0" applyNumberFormat="1" applyFont="1" applyFill="1" applyBorder="1"/>
    <xf numFmtId="0" fontId="13" fillId="2" borderId="0" xfId="0" applyFont="1" applyFill="1" applyBorder="1" applyAlignment="1">
      <alignment horizontal="right"/>
    </xf>
    <xf numFmtId="0" fontId="13" fillId="2" borderId="10" xfId="0" applyFont="1" applyFill="1" applyBorder="1" applyAlignment="1">
      <alignment horizontal="right"/>
    </xf>
    <xf numFmtId="43" fontId="1" fillId="2" borderId="0" xfId="6" applyNumberFormat="1" applyFont="1" applyFill="1" applyBorder="1"/>
    <xf numFmtId="164" fontId="0" fillId="2" borderId="10" xfId="0" applyNumberFormat="1" applyFill="1" applyBorder="1"/>
    <xf numFmtId="10" fontId="0" fillId="2" borderId="6" xfId="2" applyNumberFormat="1" applyFont="1" applyFill="1" applyBorder="1" applyAlignment="1">
      <alignment horizontal="center"/>
    </xf>
    <xf numFmtId="0" fontId="0" fillId="2" borderId="216" xfId="0" applyFill="1" applyBorder="1"/>
    <xf numFmtId="0" fontId="0" fillId="2" borderId="217" xfId="0" applyFill="1" applyBorder="1"/>
    <xf numFmtId="0" fontId="0" fillId="2" borderId="218" xfId="0" applyFill="1" applyBorder="1"/>
    <xf numFmtId="164" fontId="0" fillId="4" borderId="0" xfId="6" applyNumberFormat="1" applyFont="1" applyFill="1" applyBorder="1" applyAlignment="1">
      <alignment horizontal="right"/>
    </xf>
    <xf numFmtId="164" fontId="0" fillId="4" borderId="0" xfId="6" applyNumberFormat="1" applyFont="1" applyFill="1" applyBorder="1"/>
    <xf numFmtId="164" fontId="1" fillId="2" borderId="20" xfId="6" applyNumberFormat="1" applyFont="1" applyFill="1" applyBorder="1"/>
    <xf numFmtId="9" fontId="4" fillId="2" borderId="23" xfId="2" applyFont="1" applyFill="1" applyBorder="1"/>
    <xf numFmtId="9" fontId="5" fillId="2" borderId="23" xfId="2" applyFont="1" applyFill="1" applyBorder="1"/>
    <xf numFmtId="0" fontId="5" fillId="2" borderId="20" xfId="0" applyFont="1" applyFill="1" applyBorder="1"/>
    <xf numFmtId="0" fontId="0" fillId="2" borderId="21" xfId="0" applyFont="1" applyFill="1" applyBorder="1"/>
    <xf numFmtId="0" fontId="0" fillId="2" borderId="22" xfId="0" applyFont="1" applyFill="1" applyBorder="1"/>
    <xf numFmtId="166" fontId="0" fillId="2" borderId="22" xfId="6" applyFont="1" applyFill="1" applyBorder="1"/>
    <xf numFmtId="0" fontId="45" fillId="2" borderId="19" xfId="0" applyFont="1" applyFill="1" applyBorder="1"/>
    <xf numFmtId="0" fontId="45" fillId="2" borderId="20" xfId="0" applyFont="1" applyFill="1" applyBorder="1"/>
    <xf numFmtId="9" fontId="1" fillId="2" borderId="20" xfId="2" applyFont="1" applyFill="1" applyBorder="1"/>
    <xf numFmtId="0" fontId="46" fillId="2" borderId="19" xfId="0" applyFont="1" applyFill="1" applyBorder="1"/>
    <xf numFmtId="0" fontId="46" fillId="2" borderId="20" xfId="0" applyFont="1" applyFill="1" applyBorder="1"/>
    <xf numFmtId="164" fontId="3" fillId="0" borderId="20" xfId="6" applyNumberFormat="1" applyFont="1" applyFill="1" applyBorder="1"/>
    <xf numFmtId="9" fontId="3" fillId="0" borderId="20" xfId="2" applyFont="1" applyFill="1" applyBorder="1"/>
    <xf numFmtId="9" fontId="3" fillId="0" borderId="23" xfId="2" applyFont="1" applyFill="1" applyBorder="1"/>
    <xf numFmtId="165" fontId="0" fillId="2" borderId="30" xfId="6" applyNumberFormat="1" applyFont="1" applyFill="1" applyBorder="1"/>
    <xf numFmtId="165" fontId="0" fillId="2" borderId="15" xfId="6" applyNumberFormat="1" applyFont="1" applyFill="1" applyBorder="1"/>
    <xf numFmtId="164" fontId="0" fillId="10" borderId="0" xfId="0" applyNumberFormat="1" applyFill="1" applyBorder="1"/>
    <xf numFmtId="0" fontId="3" fillId="2" borderId="0" xfId="0" applyFont="1" applyFill="1" applyBorder="1" applyAlignment="1">
      <alignment horizontal="left"/>
    </xf>
    <xf numFmtId="0" fontId="0" fillId="2" borderId="20" xfId="0" applyFont="1" applyFill="1" applyBorder="1" applyAlignment="1">
      <alignment horizontal="center"/>
    </xf>
    <xf numFmtId="0" fontId="9" fillId="2" borderId="19" xfId="0" applyFont="1" applyFill="1" applyBorder="1" applyAlignment="1"/>
    <xf numFmtId="164" fontId="17" fillId="2" borderId="0" xfId="6" applyNumberFormat="1" applyFont="1" applyFill="1" applyAlignment="1">
      <alignment vertical="center"/>
    </xf>
    <xf numFmtId="0" fontId="17" fillId="2" borderId="0" xfId="0" applyFont="1" applyFill="1" applyBorder="1" applyAlignment="1">
      <alignment vertical="center"/>
    </xf>
    <xf numFmtId="166" fontId="17" fillId="2" borderId="0" xfId="6" applyFont="1" applyFill="1" applyAlignment="1">
      <alignment vertical="center"/>
    </xf>
    <xf numFmtId="0" fontId="12" fillId="3" borderId="19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/>
    </xf>
    <xf numFmtId="0" fontId="12" fillId="3" borderId="222" xfId="0" applyFont="1" applyFill="1" applyBorder="1" applyAlignment="1">
      <alignment horizontal="center" vertical="center"/>
    </xf>
    <xf numFmtId="0" fontId="12" fillId="3" borderId="223" xfId="0" applyFont="1" applyFill="1" applyBorder="1" applyAlignment="1">
      <alignment horizontal="center" vertical="center"/>
    </xf>
    <xf numFmtId="0" fontId="12" fillId="3" borderId="223" xfId="0" applyFont="1" applyFill="1" applyBorder="1" applyAlignment="1">
      <alignment horizontal="center" vertical="center" wrapText="1"/>
    </xf>
    <xf numFmtId="164" fontId="12" fillId="3" borderId="223" xfId="6" applyNumberFormat="1" applyFont="1" applyFill="1" applyBorder="1" applyAlignment="1">
      <alignment horizontal="center" vertical="center" wrapText="1"/>
    </xf>
    <xf numFmtId="0" fontId="4" fillId="3" borderId="223" xfId="0" applyFont="1" applyFill="1" applyBorder="1" applyAlignment="1">
      <alignment horizontal="center" vertical="center"/>
    </xf>
    <xf numFmtId="0" fontId="4" fillId="3" borderId="224" xfId="0" applyFont="1" applyFill="1" applyBorder="1" applyAlignment="1">
      <alignment horizontal="center" vertical="center"/>
    </xf>
    <xf numFmtId="164" fontId="12" fillId="3" borderId="225" xfId="6" applyNumberFormat="1" applyFont="1" applyFill="1" applyBorder="1" applyAlignment="1">
      <alignment horizontal="center" vertical="center" wrapText="1"/>
    </xf>
    <xf numFmtId="0" fontId="12" fillId="3" borderId="225" xfId="0" applyFont="1" applyFill="1" applyBorder="1" applyAlignment="1">
      <alignment horizontal="center" vertical="center" wrapText="1"/>
    </xf>
    <xf numFmtId="0" fontId="12" fillId="3" borderId="226" xfId="0" applyFont="1" applyFill="1" applyBorder="1" applyAlignment="1">
      <alignment horizontal="center" vertical="center" wrapText="1"/>
    </xf>
    <xf numFmtId="164" fontId="12" fillId="3" borderId="19" xfId="6" applyNumberFormat="1" applyFont="1" applyFill="1" applyBorder="1" applyAlignment="1">
      <alignment horizontal="center" vertical="center" wrapText="1"/>
    </xf>
    <xf numFmtId="164" fontId="12" fillId="3" borderId="227" xfId="6" applyNumberFormat="1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164" fontId="12" fillId="3" borderId="20" xfId="6" applyNumberFormat="1" applyFont="1" applyFill="1" applyBorder="1" applyAlignment="1">
      <alignment horizontal="center" vertical="center" wrapText="1"/>
    </xf>
    <xf numFmtId="0" fontId="12" fillId="3" borderId="32" xfId="0" applyFont="1" applyFill="1" applyBorder="1" applyAlignment="1">
      <alignment horizontal="center" vertical="center" wrapText="1"/>
    </xf>
    <xf numFmtId="164" fontId="12" fillId="3" borderId="23" xfId="6" applyNumberFormat="1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center" vertical="center"/>
    </xf>
    <xf numFmtId="164" fontId="12" fillId="3" borderId="228" xfId="6" applyNumberFormat="1" applyFont="1" applyFill="1" applyBorder="1" applyAlignment="1">
      <alignment horizontal="center" vertical="center" wrapText="1"/>
    </xf>
    <xf numFmtId="166" fontId="12" fillId="3" borderId="229" xfId="6" applyFont="1" applyFill="1" applyBorder="1" applyAlignment="1">
      <alignment horizontal="center" vertical="center" wrapText="1"/>
    </xf>
    <xf numFmtId="0" fontId="4" fillId="2" borderId="230" xfId="0" applyFont="1" applyFill="1" applyBorder="1" applyAlignment="1">
      <alignment horizontal="center" vertical="center"/>
    </xf>
    <xf numFmtId="0" fontId="18" fillId="2" borderId="231" xfId="0" applyFont="1" applyFill="1" applyBorder="1" applyAlignment="1">
      <alignment vertical="center"/>
    </xf>
    <xf numFmtId="0" fontId="18" fillId="2" borderId="231" xfId="0" applyFont="1" applyFill="1" applyBorder="1" applyAlignment="1">
      <alignment horizontal="center" vertical="center"/>
    </xf>
    <xf numFmtId="164" fontId="28" fillId="2" borderId="231" xfId="6" applyNumberFormat="1" applyFont="1" applyFill="1" applyBorder="1" applyAlignment="1">
      <alignment vertical="center"/>
    </xf>
    <xf numFmtId="0" fontId="28" fillId="2" borderId="231" xfId="0" applyFont="1" applyFill="1" applyBorder="1" applyAlignment="1">
      <alignment vertical="center"/>
    </xf>
    <xf numFmtId="164" fontId="18" fillId="2" borderId="231" xfId="6" applyNumberFormat="1" applyFont="1" applyFill="1" applyBorder="1" applyAlignment="1">
      <alignment vertical="center"/>
    </xf>
    <xf numFmtId="164" fontId="4" fillId="2" borderId="231" xfId="6" applyNumberFormat="1" applyFont="1" applyFill="1" applyBorder="1" applyAlignment="1">
      <alignment vertical="center"/>
    </xf>
    <xf numFmtId="164" fontId="26" fillId="2" borderId="231" xfId="6" applyNumberFormat="1" applyFont="1" applyFill="1" applyBorder="1" applyAlignment="1">
      <alignment vertical="center"/>
    </xf>
    <xf numFmtId="0" fontId="4" fillId="2" borderId="231" xfId="0" applyFont="1" applyFill="1" applyBorder="1" applyAlignment="1">
      <alignment vertical="center"/>
    </xf>
    <xf numFmtId="166" fontId="4" fillId="2" borderId="231" xfId="6" applyFont="1" applyFill="1" applyBorder="1" applyAlignment="1">
      <alignment vertical="center"/>
    </xf>
    <xf numFmtId="0" fontId="4" fillId="2" borderId="232" xfId="0" applyFont="1" applyFill="1" applyBorder="1" applyAlignment="1">
      <alignment vertical="center"/>
    </xf>
    <xf numFmtId="164" fontId="4" fillId="2" borderId="233" xfId="6" applyNumberFormat="1" applyFont="1" applyFill="1" applyBorder="1" applyAlignment="1">
      <alignment vertical="center"/>
    </xf>
    <xf numFmtId="166" fontId="4" fillId="2" borderId="233" xfId="6" applyFont="1" applyFill="1" applyBorder="1" applyAlignment="1">
      <alignment vertical="center"/>
    </xf>
    <xf numFmtId="164" fontId="12" fillId="2" borderId="39" xfId="6" applyNumberFormat="1" applyFont="1" applyFill="1" applyBorder="1" applyAlignment="1">
      <alignment vertical="center"/>
    </xf>
    <xf numFmtId="166" fontId="4" fillId="2" borderId="234" xfId="6" applyFont="1" applyFill="1" applyBorder="1" applyAlignment="1">
      <alignment vertical="center"/>
    </xf>
    <xf numFmtId="164" fontId="4" fillId="2" borderId="52" xfId="6" applyNumberFormat="1" applyFont="1" applyFill="1" applyBorder="1" applyAlignment="1">
      <alignment vertical="center"/>
    </xf>
    <xf numFmtId="0" fontId="4" fillId="2" borderId="52" xfId="0" applyFont="1" applyFill="1" applyBorder="1" applyAlignment="1">
      <alignment vertical="center"/>
    </xf>
    <xf numFmtId="166" fontId="4" fillId="2" borderId="52" xfId="6" applyFont="1" applyFill="1" applyBorder="1" applyAlignment="1">
      <alignment vertical="center"/>
    </xf>
    <xf numFmtId="164" fontId="4" fillId="2" borderId="235" xfId="6" applyNumberFormat="1" applyFont="1" applyFill="1" applyBorder="1" applyAlignment="1">
      <alignment vertical="center"/>
    </xf>
    <xf numFmtId="164" fontId="4" fillId="2" borderId="200" xfId="6" applyNumberFormat="1" applyFont="1" applyFill="1" applyBorder="1" applyAlignment="1">
      <alignment vertical="center"/>
    </xf>
    <xf numFmtId="164" fontId="4" fillId="2" borderId="43" xfId="6" applyNumberFormat="1" applyFont="1" applyFill="1" applyBorder="1" applyAlignment="1">
      <alignment vertical="center"/>
    </xf>
    <xf numFmtId="164" fontId="12" fillId="2" borderId="130" xfId="6" applyNumberFormat="1" applyFont="1" applyFill="1" applyBorder="1" applyAlignment="1">
      <alignment vertical="center"/>
    </xf>
    <xf numFmtId="166" fontId="4" fillId="2" borderId="85" xfId="6" applyFont="1" applyFill="1" applyBorder="1" applyAlignment="1">
      <alignment vertical="center"/>
    </xf>
    <xf numFmtId="164" fontId="4" fillId="2" borderId="86" xfId="6" applyNumberFormat="1" applyFont="1" applyFill="1" applyBorder="1" applyAlignment="1">
      <alignment vertical="center"/>
    </xf>
    <xf numFmtId="166" fontId="4" fillId="2" borderId="86" xfId="6" applyFont="1" applyFill="1" applyBorder="1" applyAlignment="1">
      <alignment vertical="center"/>
    </xf>
    <xf numFmtId="166" fontId="4" fillId="2" borderId="134" xfId="6" applyFont="1" applyFill="1" applyBorder="1" applyAlignment="1">
      <alignment vertical="center"/>
    </xf>
    <xf numFmtId="164" fontId="4" fillId="2" borderId="85" xfId="6" applyNumberFormat="1" applyFont="1" applyFill="1" applyBorder="1" applyAlignment="1">
      <alignment vertical="center"/>
    </xf>
    <xf numFmtId="164" fontId="4" fillId="2" borderId="236" xfId="6" applyNumberFormat="1" applyFont="1" applyFill="1" applyBorder="1" applyAlignment="1">
      <alignment vertical="center"/>
    </xf>
    <xf numFmtId="164" fontId="12" fillId="2" borderId="237" xfId="6" applyNumberFormat="1" applyFont="1" applyFill="1" applyBorder="1" applyAlignment="1">
      <alignment vertical="center"/>
    </xf>
    <xf numFmtId="164" fontId="4" fillId="2" borderId="87" xfId="6" applyNumberFormat="1" applyFont="1" applyFill="1" applyBorder="1" applyAlignment="1">
      <alignment vertical="center"/>
    </xf>
    <xf numFmtId="0" fontId="4" fillId="2" borderId="238" xfId="0" applyFont="1" applyFill="1" applyBorder="1" applyAlignment="1">
      <alignment horizontal="center" vertical="center"/>
    </xf>
    <xf numFmtId="0" fontId="4" fillId="2" borderId="239" xfId="0" applyFont="1" applyFill="1" applyBorder="1" applyAlignment="1">
      <alignment vertical="center"/>
    </xf>
    <xf numFmtId="0" fontId="18" fillId="2" borderId="239" xfId="0" applyFont="1" applyFill="1" applyBorder="1" applyAlignment="1">
      <alignment horizontal="center" vertical="center"/>
    </xf>
    <xf numFmtId="164" fontId="4" fillId="2" borderId="239" xfId="6" applyNumberFormat="1" applyFont="1" applyFill="1" applyBorder="1" applyAlignment="1">
      <alignment vertical="center"/>
    </xf>
    <xf numFmtId="164" fontId="26" fillId="2" borderId="239" xfId="6" applyNumberFormat="1" applyFont="1" applyFill="1" applyBorder="1" applyAlignment="1">
      <alignment vertical="center"/>
    </xf>
    <xf numFmtId="0" fontId="4" fillId="2" borderId="240" xfId="0" applyFont="1" applyFill="1" applyBorder="1" applyAlignment="1">
      <alignment vertical="center"/>
    </xf>
    <xf numFmtId="164" fontId="4" fillId="2" borderId="241" xfId="6" applyNumberFormat="1" applyFont="1" applyFill="1" applyBorder="1" applyAlignment="1">
      <alignment vertical="center"/>
    </xf>
    <xf numFmtId="164" fontId="12" fillId="2" borderId="36" xfId="6" applyNumberFormat="1" applyFont="1" applyFill="1" applyBorder="1" applyAlignment="1">
      <alignment vertical="center"/>
    </xf>
    <xf numFmtId="166" fontId="4" fillId="2" borderId="242" xfId="6" applyFont="1" applyFill="1" applyBorder="1" applyAlignment="1">
      <alignment vertical="center"/>
    </xf>
    <xf numFmtId="0" fontId="4" fillId="2" borderId="58" xfId="0" applyFont="1" applyFill="1" applyBorder="1" applyAlignment="1">
      <alignment vertical="center"/>
    </xf>
    <xf numFmtId="166" fontId="4" fillId="2" borderId="58" xfId="6" applyFont="1" applyFill="1" applyBorder="1" applyAlignment="1">
      <alignment vertical="center"/>
    </xf>
    <xf numFmtId="164" fontId="4" fillId="2" borderId="243" xfId="6" applyNumberFormat="1" applyFont="1" applyFill="1" applyBorder="1" applyAlignment="1">
      <alignment vertical="center"/>
    </xf>
    <xf numFmtId="164" fontId="4" fillId="2" borderId="57" xfId="6" applyNumberFormat="1" applyFont="1" applyFill="1" applyBorder="1" applyAlignment="1">
      <alignment vertical="center"/>
    </xf>
    <xf numFmtId="166" fontId="4" fillId="2" borderId="243" xfId="6" applyFont="1" applyFill="1" applyBorder="1" applyAlignment="1">
      <alignment vertical="center"/>
    </xf>
    <xf numFmtId="164" fontId="4" fillId="2" borderId="244" xfId="6" applyNumberFormat="1" applyFont="1" applyFill="1" applyBorder="1" applyAlignment="1">
      <alignment vertical="center"/>
    </xf>
    <xf numFmtId="164" fontId="12" fillId="2" borderId="61" xfId="6" applyNumberFormat="1" applyFont="1" applyFill="1" applyBorder="1" applyAlignment="1">
      <alignment vertical="center"/>
    </xf>
    <xf numFmtId="166" fontId="4" fillId="2" borderId="70" xfId="6" applyFont="1" applyFill="1" applyBorder="1" applyAlignment="1">
      <alignment vertical="center"/>
    </xf>
    <xf numFmtId="166" fontId="4" fillId="2" borderId="105" xfId="6" applyFont="1" applyFill="1" applyBorder="1" applyAlignment="1">
      <alignment vertical="center"/>
    </xf>
    <xf numFmtId="166" fontId="4" fillId="2" borderId="67" xfId="6" applyFont="1" applyFill="1" applyBorder="1" applyAlignment="1">
      <alignment vertical="center"/>
    </xf>
    <xf numFmtId="164" fontId="4" fillId="2" borderId="245" xfId="6" applyNumberFormat="1" applyFont="1" applyFill="1" applyBorder="1" applyAlignment="1">
      <alignment vertical="center"/>
    </xf>
    <xf numFmtId="164" fontId="12" fillId="2" borderId="246" xfId="6" applyNumberFormat="1" applyFont="1" applyFill="1" applyBorder="1" applyAlignment="1">
      <alignment vertical="center"/>
    </xf>
    <xf numFmtId="166" fontId="4" fillId="2" borderId="239" xfId="6" applyFont="1" applyFill="1" applyBorder="1" applyAlignment="1">
      <alignment vertical="center"/>
    </xf>
    <xf numFmtId="166" fontId="4" fillId="2" borderId="241" xfId="6" applyFont="1" applyFill="1" applyBorder="1" applyAlignment="1">
      <alignment vertical="center"/>
    </xf>
    <xf numFmtId="0" fontId="18" fillId="2" borderId="239" xfId="0" applyFont="1" applyFill="1" applyBorder="1" applyAlignment="1">
      <alignment vertical="center"/>
    </xf>
    <xf numFmtId="164" fontId="18" fillId="2" borderId="239" xfId="6" applyNumberFormat="1" applyFont="1" applyFill="1" applyBorder="1" applyAlignment="1">
      <alignment vertical="center"/>
    </xf>
    <xf numFmtId="164" fontId="4" fillId="2" borderId="239" xfId="6" quotePrefix="1" applyNumberFormat="1" applyFont="1" applyFill="1" applyBorder="1" applyAlignment="1">
      <alignment vertical="center"/>
    </xf>
    <xf numFmtId="164" fontId="4" fillId="2" borderId="247" xfId="6" applyNumberFormat="1" applyFont="1" applyFill="1" applyBorder="1" applyAlignment="1">
      <alignment vertical="center"/>
    </xf>
    <xf numFmtId="164" fontId="4" fillId="2" borderId="231" xfId="6" quotePrefix="1" applyNumberFormat="1" applyFont="1" applyFill="1" applyBorder="1" applyAlignment="1">
      <alignment vertical="center"/>
    </xf>
    <xf numFmtId="164" fontId="4" fillId="2" borderId="248" xfId="6" applyNumberFormat="1" applyFont="1" applyFill="1" applyBorder="1" applyAlignment="1">
      <alignment vertical="center"/>
    </xf>
    <xf numFmtId="0" fontId="4" fillId="2" borderId="239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vertical="center"/>
    </xf>
    <xf numFmtId="164" fontId="4" fillId="2" borderId="67" xfId="6" quotePrefix="1" applyNumberFormat="1" applyFont="1" applyFill="1" applyBorder="1" applyAlignment="1">
      <alignment vertical="center"/>
    </xf>
    <xf numFmtId="0" fontId="4" fillId="2" borderId="231" xfId="0" applyFont="1" applyFill="1" applyBorder="1" applyAlignment="1">
      <alignment horizontal="center" vertical="center"/>
    </xf>
    <xf numFmtId="164" fontId="4" fillId="2" borderId="105" xfId="6" applyNumberFormat="1" applyFont="1" applyFill="1" applyBorder="1" applyAlignment="1">
      <alignment vertical="center"/>
    </xf>
    <xf numFmtId="0" fontId="4" fillId="2" borderId="249" xfId="0" applyFont="1" applyFill="1" applyBorder="1" applyAlignment="1">
      <alignment horizontal="center" vertical="center"/>
    </xf>
    <xf numFmtId="0" fontId="4" fillId="2" borderId="250" xfId="0" applyFont="1" applyFill="1" applyBorder="1" applyAlignment="1">
      <alignment vertical="center"/>
    </xf>
    <xf numFmtId="0" fontId="4" fillId="2" borderId="250" xfId="0" applyFont="1" applyFill="1" applyBorder="1" applyAlignment="1">
      <alignment horizontal="center" vertical="center"/>
    </xf>
    <xf numFmtId="164" fontId="4" fillId="2" borderId="250" xfId="6" applyNumberFormat="1" applyFont="1" applyFill="1" applyBorder="1" applyAlignment="1">
      <alignment vertical="center"/>
    </xf>
    <xf numFmtId="164" fontId="4" fillId="2" borderId="250" xfId="6" quotePrefix="1" applyNumberFormat="1" applyFont="1" applyFill="1" applyBorder="1" applyAlignment="1">
      <alignment vertical="center"/>
    </xf>
    <xf numFmtId="164" fontId="26" fillId="2" borderId="250" xfId="6" applyNumberFormat="1" applyFont="1" applyFill="1" applyBorder="1" applyAlignment="1">
      <alignment vertical="center"/>
    </xf>
    <xf numFmtId="0" fontId="4" fillId="2" borderId="251" xfId="0" applyFont="1" applyFill="1" applyBorder="1" applyAlignment="1">
      <alignment vertical="center"/>
    </xf>
    <xf numFmtId="164" fontId="4" fillId="2" borderId="252" xfId="6" applyNumberFormat="1" applyFont="1" applyFill="1" applyBorder="1" applyAlignment="1">
      <alignment vertical="center"/>
    </xf>
    <xf numFmtId="164" fontId="4" fillId="2" borderId="253" xfId="6" applyNumberFormat="1" applyFont="1" applyFill="1" applyBorder="1" applyAlignment="1">
      <alignment vertical="center"/>
    </xf>
    <xf numFmtId="164" fontId="12" fillId="2" borderId="120" xfId="6" applyNumberFormat="1" applyFont="1" applyFill="1" applyBorder="1" applyAlignment="1">
      <alignment vertical="center"/>
    </xf>
    <xf numFmtId="166" fontId="4" fillId="2" borderId="254" xfId="6" applyFont="1" applyFill="1" applyBorder="1" applyAlignment="1">
      <alignment vertical="center"/>
    </xf>
    <xf numFmtId="164" fontId="4" fillId="2" borderId="121" xfId="6" applyNumberFormat="1" applyFont="1" applyFill="1" applyBorder="1" applyAlignment="1">
      <alignment vertical="center"/>
    </xf>
    <xf numFmtId="0" fontId="4" fillId="2" borderId="121" xfId="0" applyFont="1" applyFill="1" applyBorder="1" applyAlignment="1">
      <alignment vertical="center"/>
    </xf>
    <xf numFmtId="164" fontId="4" fillId="2" borderId="255" xfId="6" applyNumberFormat="1" applyFont="1" applyFill="1" applyBorder="1" applyAlignment="1">
      <alignment vertical="center"/>
    </xf>
    <xf numFmtId="164" fontId="4" fillId="2" borderId="111" xfId="6" applyNumberFormat="1" applyFont="1" applyFill="1" applyBorder="1" applyAlignment="1">
      <alignment vertical="center"/>
    </xf>
    <xf numFmtId="166" fontId="4" fillId="2" borderId="111" xfId="6" applyFont="1" applyFill="1" applyBorder="1" applyAlignment="1">
      <alignment vertical="center"/>
    </xf>
    <xf numFmtId="164" fontId="4" fillId="2" borderId="151" xfId="6" applyNumberFormat="1" applyFont="1" applyFill="1" applyBorder="1" applyAlignment="1">
      <alignment vertical="center"/>
    </xf>
    <xf numFmtId="164" fontId="4" fillId="2" borderId="110" xfId="6" applyNumberFormat="1" applyFont="1" applyFill="1" applyBorder="1" applyAlignment="1">
      <alignment vertical="center"/>
    </xf>
    <xf numFmtId="0" fontId="4" fillId="2" borderId="256" xfId="0" applyFont="1" applyFill="1" applyBorder="1" applyAlignment="1">
      <alignment horizontal="center" vertical="center"/>
    </xf>
    <xf numFmtId="0" fontId="4" fillId="2" borderId="257" xfId="0" applyFont="1" applyFill="1" applyBorder="1" applyAlignment="1">
      <alignment vertical="center"/>
    </xf>
    <xf numFmtId="0" fontId="4" fillId="2" borderId="257" xfId="0" applyFont="1" applyFill="1" applyBorder="1" applyAlignment="1">
      <alignment horizontal="center" vertical="center"/>
    </xf>
    <xf numFmtId="164" fontId="4" fillId="2" borderId="257" xfId="6" applyNumberFormat="1" applyFont="1" applyFill="1" applyBorder="1" applyAlignment="1">
      <alignment vertical="center"/>
    </xf>
    <xf numFmtId="164" fontId="4" fillId="2" borderId="257" xfId="6" quotePrefix="1" applyNumberFormat="1" applyFont="1" applyFill="1" applyBorder="1" applyAlignment="1">
      <alignment vertical="center"/>
    </xf>
    <xf numFmtId="164" fontId="26" fillId="2" borderId="257" xfId="6" applyNumberFormat="1" applyFont="1" applyFill="1" applyBorder="1" applyAlignment="1">
      <alignment vertical="center"/>
    </xf>
    <xf numFmtId="0" fontId="4" fillId="2" borderId="258" xfId="0" applyFont="1" applyFill="1" applyBorder="1" applyAlignment="1">
      <alignment vertical="center"/>
    </xf>
    <xf numFmtId="164" fontId="4" fillId="2" borderId="259" xfId="6" applyNumberFormat="1" applyFont="1" applyFill="1" applyBorder="1" applyAlignment="1">
      <alignment vertical="center"/>
    </xf>
    <xf numFmtId="164" fontId="4" fillId="2" borderId="260" xfId="6" applyNumberFormat="1" applyFont="1" applyFill="1" applyBorder="1" applyAlignment="1">
      <alignment vertical="center"/>
    </xf>
    <xf numFmtId="164" fontId="12" fillId="2" borderId="117" xfId="6" applyNumberFormat="1" applyFont="1" applyFill="1" applyBorder="1" applyAlignment="1">
      <alignment vertical="center"/>
    </xf>
    <xf numFmtId="166" fontId="4" fillId="2" borderId="261" xfId="6" applyFont="1" applyFill="1" applyBorder="1" applyAlignment="1">
      <alignment vertical="center"/>
    </xf>
    <xf numFmtId="0" fontId="4" fillId="2" borderId="56" xfId="0" applyFont="1" applyFill="1" applyBorder="1" applyAlignment="1">
      <alignment vertical="center"/>
    </xf>
    <xf numFmtId="164" fontId="4" fillId="2" borderId="262" xfId="6" applyNumberFormat="1" applyFont="1" applyFill="1" applyBorder="1" applyAlignment="1">
      <alignment vertical="center"/>
    </xf>
    <xf numFmtId="166" fontId="4" fillId="2" borderId="263" xfId="6" applyFont="1" applyFill="1" applyBorder="1" applyAlignment="1">
      <alignment vertical="center"/>
    </xf>
    <xf numFmtId="166" fontId="4" fillId="2" borderId="151" xfId="6" applyFont="1" applyFill="1" applyBorder="1" applyAlignment="1">
      <alignment vertical="center"/>
    </xf>
    <xf numFmtId="0" fontId="4" fillId="2" borderId="264" xfId="0" applyFont="1" applyFill="1" applyBorder="1" applyAlignment="1">
      <alignment horizontal="center" vertical="center"/>
    </xf>
    <xf numFmtId="0" fontId="4" fillId="2" borderId="265" xfId="0" applyFont="1" applyFill="1" applyBorder="1" applyAlignment="1">
      <alignment vertical="center"/>
    </xf>
    <xf numFmtId="0" fontId="4" fillId="2" borderId="265" xfId="0" applyFont="1" applyFill="1" applyBorder="1" applyAlignment="1">
      <alignment horizontal="center" vertical="center"/>
    </xf>
    <xf numFmtId="0" fontId="4" fillId="2" borderId="234" xfId="0" applyFont="1" applyFill="1" applyBorder="1" applyAlignment="1">
      <alignment vertical="center"/>
    </xf>
    <xf numFmtId="166" fontId="4" fillId="2" borderId="204" xfId="6" applyFont="1" applyFill="1" applyBorder="1" applyAlignment="1">
      <alignment vertical="center"/>
    </xf>
    <xf numFmtId="164" fontId="4" fillId="2" borderId="208" xfId="6" applyNumberFormat="1" applyFont="1" applyFill="1" applyBorder="1" applyAlignment="1">
      <alignment vertical="center"/>
    </xf>
    <xf numFmtId="166" fontId="4" fillId="2" borderId="250" xfId="6" applyFont="1" applyFill="1" applyBorder="1" applyAlignment="1">
      <alignment vertical="center"/>
    </xf>
    <xf numFmtId="166" fontId="4" fillId="2" borderId="252" xfId="6" applyFont="1" applyFill="1" applyBorder="1" applyAlignment="1">
      <alignment vertical="center"/>
    </xf>
    <xf numFmtId="0" fontId="4" fillId="2" borderId="254" xfId="0" applyFont="1" applyFill="1" applyBorder="1" applyAlignment="1">
      <alignment vertical="center"/>
    </xf>
    <xf numFmtId="0" fontId="4" fillId="2" borderId="266" xfId="0" applyFont="1" applyFill="1" applyBorder="1" applyAlignment="1">
      <alignment horizontal="center" vertical="center"/>
    </xf>
    <xf numFmtId="0" fontId="4" fillId="2" borderId="267" xfId="0" applyFont="1" applyFill="1" applyBorder="1" applyAlignment="1">
      <alignment vertical="center"/>
    </xf>
    <xf numFmtId="0" fontId="4" fillId="2" borderId="267" xfId="0" applyFont="1" applyFill="1" applyBorder="1" applyAlignment="1">
      <alignment horizontal="center" vertical="center"/>
    </xf>
    <xf numFmtId="164" fontId="4" fillId="2" borderId="267" xfId="6" applyNumberFormat="1" applyFont="1" applyFill="1" applyBorder="1" applyAlignment="1">
      <alignment vertical="center"/>
    </xf>
    <xf numFmtId="164" fontId="26" fillId="2" borderId="267" xfId="6" applyNumberFormat="1" applyFont="1" applyFill="1" applyBorder="1" applyAlignment="1">
      <alignment vertical="center"/>
    </xf>
    <xf numFmtId="166" fontId="4" fillId="2" borderId="267" xfId="6" applyFont="1" applyFill="1" applyBorder="1" applyAlignment="1">
      <alignment vertical="center"/>
    </xf>
    <xf numFmtId="0" fontId="4" fillId="2" borderId="268" xfId="0" applyFont="1" applyFill="1" applyBorder="1" applyAlignment="1">
      <alignment vertical="center"/>
    </xf>
    <xf numFmtId="164" fontId="4" fillId="2" borderId="269" xfId="6" applyNumberFormat="1" applyFont="1" applyFill="1" applyBorder="1" applyAlignment="1">
      <alignment vertical="center"/>
    </xf>
    <xf numFmtId="166" fontId="4" fillId="2" borderId="269" xfId="6" applyFont="1" applyFill="1" applyBorder="1" applyAlignment="1">
      <alignment vertical="center"/>
    </xf>
    <xf numFmtId="164" fontId="4" fillId="2" borderId="270" xfId="6" applyNumberFormat="1" applyFont="1" applyFill="1" applyBorder="1" applyAlignment="1">
      <alignment vertical="center"/>
    </xf>
    <xf numFmtId="164" fontId="12" fillId="2" borderId="33" xfId="6" applyNumberFormat="1" applyFont="1" applyFill="1" applyBorder="1" applyAlignment="1">
      <alignment vertical="center"/>
    </xf>
    <xf numFmtId="0" fontId="4" fillId="2" borderId="271" xfId="0" applyFont="1" applyFill="1" applyBorder="1" applyAlignment="1">
      <alignment vertical="center"/>
    </xf>
    <xf numFmtId="0" fontId="4" fillId="2" borderId="103" xfId="0" applyFont="1" applyFill="1" applyBorder="1" applyAlignment="1">
      <alignment vertical="center"/>
    </xf>
    <xf numFmtId="164" fontId="4" fillId="2" borderId="204" xfId="6" applyNumberFormat="1" applyFont="1" applyFill="1" applyBorder="1" applyAlignment="1">
      <alignment vertical="center"/>
    </xf>
    <xf numFmtId="164" fontId="4" fillId="2" borderId="185" xfId="6" applyNumberFormat="1" applyFont="1" applyFill="1" applyBorder="1" applyAlignment="1">
      <alignment vertical="center"/>
    </xf>
    <xf numFmtId="166" fontId="4" fillId="2" borderId="255" xfId="6" applyFont="1" applyFill="1" applyBorder="1" applyAlignment="1">
      <alignment vertical="center"/>
    </xf>
    <xf numFmtId="164" fontId="4" fillId="2" borderId="272" xfId="6" applyNumberFormat="1" applyFont="1" applyFill="1" applyBorder="1" applyAlignment="1">
      <alignment vertical="center"/>
    </xf>
    <xf numFmtId="164" fontId="12" fillId="2" borderId="272" xfId="6" applyNumberFormat="1" applyFont="1" applyFill="1" applyBorder="1" applyAlignment="1">
      <alignment vertical="center"/>
    </xf>
    <xf numFmtId="166" fontId="4" fillId="2" borderId="106" xfId="6" applyFont="1" applyFill="1" applyBorder="1" applyAlignment="1">
      <alignment vertical="center"/>
    </xf>
    <xf numFmtId="166" fontId="4" fillId="2" borderId="103" xfId="6" applyFont="1" applyFill="1" applyBorder="1" applyAlignment="1">
      <alignment vertical="center"/>
    </xf>
    <xf numFmtId="166" fontId="4" fillId="2" borderId="34" xfId="6" applyFont="1" applyFill="1" applyBorder="1" applyAlignment="1">
      <alignment vertical="center"/>
    </xf>
    <xf numFmtId="166" fontId="4" fillId="2" borderId="66" xfId="6" applyFont="1" applyFill="1" applyBorder="1" applyAlignment="1">
      <alignment vertical="center"/>
    </xf>
    <xf numFmtId="166" fontId="4" fillId="2" borderId="101" xfId="6" applyFont="1" applyFill="1" applyBorder="1" applyAlignment="1">
      <alignment vertical="center"/>
    </xf>
    <xf numFmtId="166" fontId="4" fillId="2" borderId="115" xfId="6" applyFont="1" applyFill="1" applyBorder="1" applyAlignment="1">
      <alignment vertical="center"/>
    </xf>
    <xf numFmtId="166" fontId="4" fillId="2" borderId="65" xfId="6" applyFont="1" applyFill="1" applyBorder="1" applyAlignment="1">
      <alignment vertical="center"/>
    </xf>
    <xf numFmtId="164" fontId="4" fillId="2" borderId="205" xfId="6" applyNumberFormat="1" applyFont="1" applyFill="1" applyBorder="1" applyAlignment="1">
      <alignment vertical="center"/>
    </xf>
    <xf numFmtId="164" fontId="4" fillId="2" borderId="35" xfId="6" applyNumberFormat="1" applyFont="1" applyFill="1" applyBorder="1" applyAlignment="1">
      <alignment vertical="center"/>
    </xf>
    <xf numFmtId="164" fontId="12" fillId="2" borderId="69" xfId="6" applyNumberFormat="1" applyFont="1" applyFill="1" applyBorder="1" applyAlignment="1">
      <alignment vertical="center"/>
    </xf>
    <xf numFmtId="166" fontId="4" fillId="2" borderId="33" xfId="6" applyFont="1" applyFill="1" applyBorder="1" applyAlignment="1">
      <alignment vertical="center"/>
    </xf>
    <xf numFmtId="164" fontId="4" fillId="2" borderId="66" xfId="6" applyNumberFormat="1" applyFont="1" applyFill="1" applyBorder="1" applyAlignment="1">
      <alignment vertical="center"/>
    </xf>
    <xf numFmtId="164" fontId="4" fillId="2" borderId="273" xfId="6" applyNumberFormat="1" applyFont="1" applyFill="1" applyBorder="1" applyAlignment="1">
      <alignment vertical="center"/>
    </xf>
    <xf numFmtId="166" fontId="4" fillId="2" borderId="0" xfId="6" applyFont="1" applyFill="1" applyBorder="1" applyAlignment="1">
      <alignment vertical="center"/>
    </xf>
    <xf numFmtId="166" fontId="4" fillId="2" borderId="152" xfId="6" applyFont="1" applyFill="1" applyBorder="1" applyAlignment="1">
      <alignment vertical="center"/>
    </xf>
    <xf numFmtId="166" fontId="4" fillId="2" borderId="186" xfId="6" applyFont="1" applyFill="1" applyBorder="1" applyAlignment="1">
      <alignment vertical="center"/>
    </xf>
    <xf numFmtId="166" fontId="4" fillId="2" borderId="187" xfId="6" applyFont="1" applyFill="1" applyBorder="1" applyAlignment="1">
      <alignment vertical="center"/>
    </xf>
    <xf numFmtId="166" fontId="4" fillId="2" borderId="183" xfId="6" applyFont="1" applyFill="1" applyBorder="1" applyAlignment="1">
      <alignment vertical="center"/>
    </xf>
    <xf numFmtId="164" fontId="18" fillId="2" borderId="267" xfId="6" applyNumberFormat="1" applyFont="1" applyFill="1" applyBorder="1" applyAlignment="1">
      <alignment vertical="center"/>
    </xf>
    <xf numFmtId="164" fontId="4" fillId="2" borderId="103" xfId="6" applyNumberFormat="1" applyFont="1" applyFill="1" applyBorder="1" applyAlignment="1">
      <alignment vertical="center"/>
    </xf>
    <xf numFmtId="164" fontId="4" fillId="2" borderId="97" xfId="6" applyNumberFormat="1" applyFont="1" applyFill="1" applyBorder="1" applyAlignment="1">
      <alignment vertical="center"/>
    </xf>
    <xf numFmtId="166" fontId="4" fillId="2" borderId="97" xfId="6" applyFont="1" applyFill="1" applyBorder="1" applyAlignment="1">
      <alignment vertical="center"/>
    </xf>
    <xf numFmtId="166" fontId="4" fillId="2" borderId="150" xfId="6" applyFont="1" applyFill="1" applyBorder="1" applyAlignment="1">
      <alignment vertical="center"/>
    </xf>
    <xf numFmtId="166" fontId="4" fillId="2" borderId="132" xfId="6" applyFont="1" applyFill="1" applyBorder="1" applyAlignment="1">
      <alignment vertical="center"/>
    </xf>
    <xf numFmtId="164" fontId="18" fillId="2" borderId="257" xfId="6" applyNumberFormat="1" applyFont="1" applyFill="1" applyBorder="1" applyAlignment="1">
      <alignment vertical="center"/>
    </xf>
    <xf numFmtId="166" fontId="4" fillId="2" borderId="257" xfId="6" applyFont="1" applyFill="1" applyBorder="1" applyAlignment="1">
      <alignment vertical="center"/>
    </xf>
    <xf numFmtId="164" fontId="4" fillId="2" borderId="274" xfId="6" applyNumberFormat="1" applyFont="1" applyFill="1" applyBorder="1" applyAlignment="1">
      <alignment vertical="center"/>
    </xf>
    <xf numFmtId="0" fontId="4" fillId="2" borderId="261" xfId="0" applyFont="1" applyFill="1" applyBorder="1" applyAlignment="1">
      <alignment vertical="center"/>
    </xf>
    <xf numFmtId="164" fontId="4" fillId="2" borderId="106" xfId="6" applyNumberFormat="1" applyFont="1" applyFill="1" applyBorder="1" applyAlignment="1">
      <alignment vertical="center"/>
    </xf>
    <xf numFmtId="166" fontId="4" fillId="2" borderId="262" xfId="6" applyFont="1" applyFill="1" applyBorder="1" applyAlignment="1">
      <alignment vertical="center"/>
    </xf>
    <xf numFmtId="164" fontId="4" fillId="2" borderId="38" xfId="6" applyNumberFormat="1" applyFont="1" applyFill="1" applyBorder="1" applyAlignment="1">
      <alignment vertical="center"/>
    </xf>
    <xf numFmtId="164" fontId="12" fillId="2" borderId="38" xfId="6" applyNumberFormat="1" applyFont="1" applyFill="1" applyBorder="1" applyAlignment="1">
      <alignment vertical="center"/>
    </xf>
    <xf numFmtId="166" fontId="4" fillId="2" borderId="68" xfId="6" applyFont="1" applyFill="1" applyBorder="1" applyAlignment="1">
      <alignment vertical="center"/>
    </xf>
    <xf numFmtId="0" fontId="4" fillId="2" borderId="235" xfId="0" applyFont="1" applyFill="1" applyBorder="1" applyAlignment="1">
      <alignment vertical="center"/>
    </xf>
    <xf numFmtId="164" fontId="4" fillId="2" borderId="34" xfId="6" applyNumberFormat="1" applyFont="1" applyFill="1" applyBorder="1" applyAlignment="1">
      <alignment vertical="center"/>
    </xf>
    <xf numFmtId="0" fontId="4" fillId="2" borderId="101" xfId="0" applyFont="1" applyFill="1" applyBorder="1" applyAlignment="1">
      <alignment vertical="center"/>
    </xf>
    <xf numFmtId="0" fontId="4" fillId="2" borderId="115" xfId="0" applyFont="1" applyFill="1" applyBorder="1" applyAlignment="1">
      <alignment vertical="center"/>
    </xf>
    <xf numFmtId="164" fontId="4" fillId="2" borderId="65" xfId="6" applyNumberFormat="1" applyFont="1" applyFill="1" applyBorder="1" applyAlignment="1">
      <alignment vertical="center"/>
    </xf>
    <xf numFmtId="0" fontId="4" fillId="2" borderId="57" xfId="0" applyFont="1" applyFill="1" applyBorder="1" applyAlignment="1">
      <alignment vertical="center"/>
    </xf>
    <xf numFmtId="0" fontId="4" fillId="2" borderId="243" xfId="0" applyFont="1" applyFill="1" applyBorder="1" applyAlignment="1">
      <alignment vertical="center"/>
    </xf>
    <xf numFmtId="0" fontId="4" fillId="2" borderId="36" xfId="0" applyFont="1" applyFill="1" applyBorder="1" applyAlignment="1">
      <alignment vertical="center"/>
    </xf>
    <xf numFmtId="164" fontId="4" fillId="2" borderId="41" xfId="6" applyNumberFormat="1" applyFont="1" applyFill="1" applyBorder="1" applyAlignment="1">
      <alignment vertical="center"/>
    </xf>
    <xf numFmtId="0" fontId="4" fillId="2" borderId="94" xfId="0" applyFont="1" applyFill="1" applyBorder="1" applyAlignment="1">
      <alignment vertical="center"/>
    </xf>
    <xf numFmtId="0" fontId="4" fillId="2" borderId="131" xfId="0" applyFont="1" applyFill="1" applyBorder="1" applyAlignment="1">
      <alignment vertical="center"/>
    </xf>
    <xf numFmtId="0" fontId="4" fillId="2" borderId="139" xfId="0" applyFont="1" applyFill="1" applyBorder="1" applyAlignment="1">
      <alignment vertical="center"/>
    </xf>
    <xf numFmtId="164" fontId="4" fillId="2" borderId="201" xfId="6" applyNumberFormat="1" applyFont="1" applyFill="1" applyBorder="1" applyAlignment="1">
      <alignment vertical="center"/>
    </xf>
    <xf numFmtId="0" fontId="12" fillId="2" borderId="238" xfId="0" applyFont="1" applyFill="1" applyBorder="1" applyAlignment="1">
      <alignment horizontal="center" vertical="center"/>
    </xf>
    <xf numFmtId="0" fontId="4" fillId="2" borderId="242" xfId="0" applyFont="1" applyFill="1" applyBorder="1" applyAlignment="1">
      <alignment vertical="center"/>
    </xf>
    <xf numFmtId="16" fontId="4" fillId="2" borderId="239" xfId="0" quotePrefix="1" applyNumberFormat="1" applyFont="1" applyFill="1" applyBorder="1" applyAlignment="1">
      <alignment vertical="center"/>
    </xf>
    <xf numFmtId="16" fontId="4" fillId="2" borderId="239" xfId="0" quotePrefix="1" applyNumberFormat="1" applyFont="1" applyFill="1" applyBorder="1" applyAlignment="1">
      <alignment horizontal="center" vertical="center"/>
    </xf>
    <xf numFmtId="0" fontId="12" fillId="2" borderId="275" xfId="0" applyFont="1" applyFill="1" applyBorder="1" applyAlignment="1">
      <alignment horizontal="center" vertical="center"/>
    </xf>
    <xf numFmtId="16" fontId="4" fillId="2" borderId="276" xfId="0" quotePrefix="1" applyNumberFormat="1" applyFont="1" applyFill="1" applyBorder="1" applyAlignment="1">
      <alignment vertical="center"/>
    </xf>
    <xf numFmtId="16" fontId="4" fillId="2" borderId="276" xfId="0" quotePrefix="1" applyNumberFormat="1" applyFont="1" applyFill="1" applyBorder="1" applyAlignment="1">
      <alignment horizontal="center" vertical="center"/>
    </xf>
    <xf numFmtId="164" fontId="4" fillId="2" borderId="276" xfId="6" applyNumberFormat="1" applyFont="1" applyFill="1" applyBorder="1" applyAlignment="1">
      <alignment vertical="center"/>
    </xf>
    <xf numFmtId="164" fontId="26" fillId="2" borderId="276" xfId="6" applyNumberFormat="1" applyFont="1" applyFill="1" applyBorder="1" applyAlignment="1">
      <alignment vertical="center"/>
    </xf>
    <xf numFmtId="0" fontId="4" fillId="2" borderId="276" xfId="0" applyFont="1" applyFill="1" applyBorder="1" applyAlignment="1">
      <alignment vertical="center"/>
    </xf>
    <xf numFmtId="166" fontId="4" fillId="2" borderId="276" xfId="6" applyFont="1" applyFill="1" applyBorder="1" applyAlignment="1">
      <alignment vertical="center"/>
    </xf>
    <xf numFmtId="0" fontId="4" fillId="2" borderId="277" xfId="0" applyFont="1" applyFill="1" applyBorder="1" applyAlignment="1">
      <alignment vertical="center"/>
    </xf>
    <xf numFmtId="164" fontId="4" fillId="2" borderId="278" xfId="6" applyNumberFormat="1" applyFont="1" applyFill="1" applyBorder="1" applyAlignment="1">
      <alignment vertical="center"/>
    </xf>
    <xf numFmtId="166" fontId="4" fillId="2" borderId="278" xfId="6" applyFont="1" applyFill="1" applyBorder="1" applyAlignment="1">
      <alignment vertical="center"/>
    </xf>
    <xf numFmtId="164" fontId="4" fillId="2" borderId="279" xfId="6" applyNumberFormat="1" applyFont="1" applyFill="1" applyBorder="1" applyAlignment="1">
      <alignment vertical="center"/>
    </xf>
    <xf numFmtId="164" fontId="12" fillId="2" borderId="64" xfId="6" applyNumberFormat="1" applyFont="1" applyFill="1" applyBorder="1" applyAlignment="1">
      <alignment vertical="center"/>
    </xf>
    <xf numFmtId="0" fontId="4" fillId="2" borderId="280" xfId="0" applyFont="1" applyFill="1" applyBorder="1" applyAlignment="1">
      <alignment vertical="center"/>
    </xf>
    <xf numFmtId="0" fontId="4" fillId="2" borderId="60" xfId="0" applyFont="1" applyFill="1" applyBorder="1" applyAlignment="1">
      <alignment vertical="center"/>
    </xf>
    <xf numFmtId="164" fontId="4" fillId="2" borderId="281" xfId="6" applyNumberFormat="1" applyFont="1" applyFill="1" applyBorder="1" applyAlignment="1">
      <alignment vertical="center"/>
    </xf>
    <xf numFmtId="0" fontId="4" fillId="2" borderId="203" xfId="0" applyFont="1" applyFill="1" applyBorder="1" applyAlignment="1">
      <alignment vertical="center"/>
    </xf>
    <xf numFmtId="0" fontId="4" fillId="2" borderId="281" xfId="0" applyFont="1" applyFill="1" applyBorder="1" applyAlignment="1">
      <alignment vertical="center"/>
    </xf>
    <xf numFmtId="166" fontId="4" fillId="2" borderId="282" xfId="6" applyFont="1" applyFill="1" applyBorder="1" applyAlignment="1">
      <alignment vertical="center"/>
    </xf>
    <xf numFmtId="0" fontId="12" fillId="2" borderId="283" xfId="0" applyFont="1" applyFill="1" applyBorder="1" applyAlignment="1">
      <alignment horizontal="center" vertical="center"/>
    </xf>
    <xf numFmtId="16" fontId="4" fillId="2" borderId="284" xfId="0" quotePrefix="1" applyNumberFormat="1" applyFont="1" applyFill="1" applyBorder="1" applyAlignment="1">
      <alignment vertical="center"/>
    </xf>
    <xf numFmtId="16" fontId="4" fillId="2" borderId="284" xfId="0" quotePrefix="1" applyNumberFormat="1" applyFont="1" applyFill="1" applyBorder="1" applyAlignment="1">
      <alignment horizontal="center" vertical="center"/>
    </xf>
    <xf numFmtId="164" fontId="4" fillId="2" borderId="284" xfId="6" applyNumberFormat="1" applyFont="1" applyFill="1" applyBorder="1" applyAlignment="1">
      <alignment vertical="center"/>
    </xf>
    <xf numFmtId="164" fontId="26" fillId="2" borderId="284" xfId="6" applyNumberFormat="1" applyFont="1" applyFill="1" applyBorder="1" applyAlignment="1">
      <alignment vertical="center"/>
    </xf>
    <xf numFmtId="0" fontId="4" fillId="2" borderId="284" xfId="0" applyFont="1" applyFill="1" applyBorder="1" applyAlignment="1">
      <alignment vertical="center"/>
    </xf>
    <xf numFmtId="166" fontId="4" fillId="2" borderId="284" xfId="6" applyFont="1" applyFill="1" applyBorder="1" applyAlignment="1">
      <alignment vertical="center"/>
    </xf>
    <xf numFmtId="0" fontId="4" fillId="2" borderId="285" xfId="0" applyFont="1" applyFill="1" applyBorder="1" applyAlignment="1">
      <alignment vertical="center"/>
    </xf>
    <xf numFmtId="164" fontId="4" fillId="2" borderId="286" xfId="6" applyNumberFormat="1" applyFont="1" applyFill="1" applyBorder="1" applyAlignment="1">
      <alignment vertical="center"/>
    </xf>
    <xf numFmtId="166" fontId="4" fillId="2" borderId="286" xfId="6" applyFont="1" applyFill="1" applyBorder="1" applyAlignment="1">
      <alignment vertical="center"/>
    </xf>
    <xf numFmtId="164" fontId="4" fillId="2" borderId="287" xfId="6" applyNumberFormat="1" applyFont="1" applyFill="1" applyBorder="1" applyAlignment="1">
      <alignment vertical="center"/>
    </xf>
    <xf numFmtId="164" fontId="12" fillId="2" borderId="6" xfId="6" applyNumberFormat="1" applyFont="1" applyFill="1" applyBorder="1" applyAlignment="1">
      <alignment vertical="center"/>
    </xf>
    <xf numFmtId="0" fontId="4" fillId="2" borderId="288" xfId="0" applyFont="1" applyFill="1" applyBorder="1" applyAlignment="1">
      <alignment vertical="center"/>
    </xf>
    <xf numFmtId="0" fontId="4" fillId="2" borderId="53" xfId="0" applyFont="1" applyFill="1" applyBorder="1" applyAlignment="1">
      <alignment vertical="center"/>
    </xf>
    <xf numFmtId="164" fontId="4" fillId="2" borderId="122" xfId="6" applyNumberFormat="1" applyFont="1" applyFill="1" applyBorder="1" applyAlignment="1">
      <alignment vertical="center"/>
    </xf>
    <xf numFmtId="0" fontId="4" fillId="2" borderId="196" xfId="0" applyFont="1" applyFill="1" applyBorder="1" applyAlignment="1">
      <alignment vertical="center"/>
    </xf>
    <xf numFmtId="0" fontId="4" fillId="2" borderId="122" xfId="0" applyFont="1" applyFill="1" applyBorder="1" applyAlignment="1">
      <alignment vertical="center"/>
    </xf>
    <xf numFmtId="164" fontId="12" fillId="0" borderId="130" xfId="6" applyNumberFormat="1" applyFont="1" applyFill="1" applyBorder="1" applyAlignment="1">
      <alignment vertical="center"/>
    </xf>
    <xf numFmtId="0" fontId="4" fillId="2" borderId="39" xfId="0" applyFont="1" applyFill="1" applyBorder="1" applyAlignment="1">
      <alignment vertical="center"/>
    </xf>
    <xf numFmtId="164" fontId="4" fillId="2" borderId="40" xfId="6" applyNumberFormat="1" applyFont="1" applyFill="1" applyBorder="1" applyAlignment="1">
      <alignment vertical="center"/>
    </xf>
    <xf numFmtId="0" fontId="4" fillId="2" borderId="97" xfId="0" applyFont="1" applyFill="1" applyBorder="1" applyAlignment="1">
      <alignment vertical="center"/>
    </xf>
    <xf numFmtId="0" fontId="4" fillId="2" borderId="132" xfId="0" applyFont="1" applyFill="1" applyBorder="1" applyAlignment="1">
      <alignment vertical="center"/>
    </xf>
    <xf numFmtId="0" fontId="4" fillId="2" borderId="150" xfId="0" applyFont="1" applyFill="1" applyBorder="1" applyAlignment="1">
      <alignment vertical="center"/>
    </xf>
    <xf numFmtId="166" fontId="4" fillId="2" borderId="39" xfId="6" applyFont="1" applyFill="1" applyBorder="1" applyAlignment="1">
      <alignment vertical="center"/>
    </xf>
    <xf numFmtId="164" fontId="12" fillId="0" borderId="61" xfId="6" applyNumberFormat="1" applyFont="1" applyFill="1" applyBorder="1" applyAlignment="1">
      <alignment vertical="center"/>
    </xf>
    <xf numFmtId="164" fontId="4" fillId="2" borderId="289" xfId="6" applyNumberFormat="1" applyFont="1" applyFill="1" applyBorder="1" applyAlignment="1">
      <alignment vertical="center"/>
    </xf>
    <xf numFmtId="164" fontId="4" fillId="2" borderId="36" xfId="6" applyNumberFormat="1" applyFont="1" applyFill="1" applyBorder="1" applyAlignment="1">
      <alignment vertical="center"/>
    </xf>
    <xf numFmtId="166" fontId="4" fillId="2" borderId="36" xfId="6" applyFont="1" applyFill="1" applyBorder="1" applyAlignment="1">
      <alignment vertical="center"/>
    </xf>
    <xf numFmtId="0" fontId="12" fillId="2" borderId="290" xfId="0" applyFont="1" applyFill="1" applyBorder="1" applyAlignment="1">
      <alignment horizontal="center" vertical="center"/>
    </xf>
    <xf numFmtId="0" fontId="12" fillId="2" borderId="291" xfId="0" applyFont="1" applyFill="1" applyBorder="1" applyAlignment="1">
      <alignment vertical="center"/>
    </xf>
    <xf numFmtId="0" fontId="12" fillId="2" borderId="291" xfId="0" applyFont="1" applyFill="1" applyBorder="1" applyAlignment="1">
      <alignment horizontal="center" vertical="center"/>
    </xf>
    <xf numFmtId="164" fontId="4" fillId="2" borderId="291" xfId="6" applyNumberFormat="1" applyFont="1" applyFill="1" applyBorder="1" applyAlignment="1">
      <alignment vertical="center"/>
    </xf>
    <xf numFmtId="0" fontId="4" fillId="2" borderId="291" xfId="0" applyFont="1" applyFill="1" applyBorder="1" applyAlignment="1">
      <alignment vertical="center"/>
    </xf>
    <xf numFmtId="0" fontId="4" fillId="2" borderId="292" xfId="0" applyFont="1" applyFill="1" applyBorder="1" applyAlignment="1">
      <alignment vertical="center"/>
    </xf>
    <xf numFmtId="164" fontId="4" fillId="2" borderId="293" xfId="6" applyNumberFormat="1" applyFont="1" applyFill="1" applyBorder="1" applyAlignment="1">
      <alignment vertical="center"/>
    </xf>
    <xf numFmtId="0" fontId="4" fillId="2" borderId="293" xfId="0" applyFont="1" applyFill="1" applyBorder="1" applyAlignment="1">
      <alignment vertical="center"/>
    </xf>
    <xf numFmtId="0" fontId="4" fillId="2" borderId="294" xfId="0" applyFont="1" applyFill="1" applyBorder="1" applyAlignment="1">
      <alignment vertical="center"/>
    </xf>
    <xf numFmtId="164" fontId="12" fillId="2" borderId="42" xfId="6" applyNumberFormat="1" applyFont="1" applyFill="1" applyBorder="1" applyAlignment="1">
      <alignment vertical="center"/>
    </xf>
    <xf numFmtId="0" fontId="4" fillId="2" borderId="295" xfId="0" applyFont="1" applyFill="1" applyBorder="1" applyAlignment="1">
      <alignment vertical="center"/>
    </xf>
    <xf numFmtId="0" fontId="4" fillId="2" borderId="296" xfId="0" applyFont="1" applyFill="1" applyBorder="1" applyAlignment="1">
      <alignment vertical="center"/>
    </xf>
    <xf numFmtId="164" fontId="4" fillId="2" borderId="297" xfId="6" applyNumberFormat="1" applyFont="1" applyFill="1" applyBorder="1" applyAlignment="1">
      <alignment vertical="center"/>
    </xf>
    <xf numFmtId="0" fontId="4" fillId="2" borderId="298" xfId="0" applyFont="1" applyFill="1" applyBorder="1" applyAlignment="1">
      <alignment vertical="center"/>
    </xf>
    <xf numFmtId="0" fontId="4" fillId="2" borderId="297" xfId="0" applyFont="1" applyFill="1" applyBorder="1" applyAlignment="1">
      <alignment vertical="center"/>
    </xf>
    <xf numFmtId="0" fontId="4" fillId="2" borderId="89" xfId="0" applyFont="1" applyFill="1" applyBorder="1" applyAlignment="1">
      <alignment vertical="center"/>
    </xf>
    <xf numFmtId="164" fontId="12" fillId="0" borderId="299" xfId="6" applyNumberFormat="1" applyFont="1" applyFill="1" applyBorder="1" applyAlignment="1">
      <alignment vertical="center"/>
    </xf>
    <xf numFmtId="0" fontId="4" fillId="2" borderId="42" xfId="0" applyFont="1" applyFill="1" applyBorder="1" applyAlignment="1">
      <alignment vertical="center"/>
    </xf>
    <xf numFmtId="164" fontId="4" fillId="2" borderId="98" xfId="6" applyNumberFormat="1" applyFont="1" applyFill="1" applyBorder="1" applyAlignment="1">
      <alignment vertical="center"/>
    </xf>
    <xf numFmtId="166" fontId="4" fillId="2" borderId="207" xfId="6" applyFont="1" applyFill="1" applyBorder="1" applyAlignment="1">
      <alignment vertical="center"/>
    </xf>
    <xf numFmtId="0" fontId="4" fillId="2" borderId="300" xfId="0" applyFont="1" applyFill="1" applyBorder="1" applyAlignment="1">
      <alignment vertical="center"/>
    </xf>
    <xf numFmtId="0" fontId="4" fillId="2" borderId="301" xfId="0" applyFont="1" applyFill="1" applyBorder="1" applyAlignment="1">
      <alignment vertical="center"/>
    </xf>
    <xf numFmtId="0" fontId="4" fillId="2" borderId="302" xfId="0" applyFont="1" applyFill="1" applyBorder="1" applyAlignment="1">
      <alignment vertical="center"/>
    </xf>
    <xf numFmtId="164" fontId="4" fillId="2" borderId="303" xfId="6" applyNumberFormat="1" applyFont="1" applyFill="1" applyBorder="1" applyAlignment="1">
      <alignment vertical="center"/>
    </xf>
    <xf numFmtId="164" fontId="4" fillId="2" borderId="304" xfId="6" applyNumberFormat="1" applyFont="1" applyFill="1" applyBorder="1" applyAlignment="1">
      <alignment vertical="center"/>
    </xf>
    <xf numFmtId="164" fontId="12" fillId="2" borderId="305" xfId="6" applyNumberFormat="1" applyFont="1" applyFill="1" applyBorder="1" applyAlignment="1">
      <alignment vertical="center"/>
    </xf>
    <xf numFmtId="166" fontId="4" fillId="2" borderId="303" xfId="6" applyFont="1" applyFill="1" applyBorder="1" applyAlignment="1">
      <alignment vertical="center"/>
    </xf>
    <xf numFmtId="164" fontId="12" fillId="14" borderId="284" xfId="6" applyNumberFormat="1" applyFont="1" applyFill="1" applyBorder="1" applyAlignment="1">
      <alignment horizontal="center" vertical="center"/>
    </xf>
    <xf numFmtId="164" fontId="12" fillId="14" borderId="284" xfId="6" applyNumberFormat="1" applyFont="1" applyFill="1" applyBorder="1" applyAlignment="1">
      <alignment vertical="center"/>
    </xf>
    <xf numFmtId="164" fontId="12" fillId="14" borderId="285" xfId="6" applyNumberFormat="1" applyFont="1" applyFill="1" applyBorder="1" applyAlignment="1">
      <alignment vertical="center"/>
    </xf>
    <xf numFmtId="164" fontId="12" fillId="14" borderId="286" xfId="6" applyNumberFormat="1" applyFont="1" applyFill="1" applyBorder="1" applyAlignment="1">
      <alignment vertical="center"/>
    </xf>
    <xf numFmtId="164" fontId="12" fillId="14" borderId="287" xfId="6" applyNumberFormat="1" applyFont="1" applyFill="1" applyBorder="1" applyAlignment="1">
      <alignment vertical="center"/>
    </xf>
    <xf numFmtId="164" fontId="12" fillId="14" borderId="6" xfId="6" applyNumberFormat="1" applyFont="1" applyFill="1" applyBorder="1" applyAlignment="1">
      <alignment vertical="center"/>
    </xf>
    <xf numFmtId="164" fontId="12" fillId="14" borderId="227" xfId="6" applyNumberFormat="1" applyFont="1" applyFill="1" applyBorder="1" applyAlignment="1">
      <alignment vertical="center"/>
    </xf>
    <xf numFmtId="164" fontId="12" fillId="14" borderId="20" xfId="6" applyNumberFormat="1" applyFont="1" applyFill="1" applyBorder="1" applyAlignment="1">
      <alignment vertical="center"/>
    </xf>
    <xf numFmtId="164" fontId="12" fillId="14" borderId="19" xfId="6" applyNumberFormat="1" applyFont="1" applyFill="1" applyBorder="1" applyAlignment="1">
      <alignment vertical="center"/>
    </xf>
    <xf numFmtId="164" fontId="12" fillId="14" borderId="32" xfId="6" applyNumberFormat="1" applyFont="1" applyFill="1" applyBorder="1" applyAlignment="1">
      <alignment vertical="center"/>
    </xf>
    <xf numFmtId="164" fontId="12" fillId="14" borderId="10" xfId="6" applyNumberFormat="1" applyFont="1" applyFill="1" applyBorder="1" applyAlignment="1">
      <alignment vertical="center"/>
    </xf>
    <xf numFmtId="164" fontId="12" fillId="14" borderId="0" xfId="6" applyNumberFormat="1" applyFont="1" applyFill="1" applyBorder="1" applyAlignment="1">
      <alignment vertical="center"/>
    </xf>
    <xf numFmtId="164" fontId="12" fillId="14" borderId="228" xfId="6" applyNumberFormat="1" applyFont="1" applyFill="1" applyBorder="1" applyAlignment="1">
      <alignment vertical="center"/>
    </xf>
    <xf numFmtId="164" fontId="12" fillId="14" borderId="306" xfId="6" applyNumberFormat="1" applyFont="1" applyFill="1" applyBorder="1" applyAlignment="1">
      <alignment vertical="center"/>
    </xf>
    <xf numFmtId="164" fontId="12" fillId="2" borderId="0" xfId="2" applyNumberFormat="1" applyFont="1" applyFill="1" applyAlignment="1">
      <alignment vertical="center"/>
    </xf>
    <xf numFmtId="164" fontId="12" fillId="2" borderId="0" xfId="6" applyNumberFormat="1" applyFont="1" applyFill="1" applyAlignment="1">
      <alignment vertical="center"/>
    </xf>
    <xf numFmtId="0" fontId="4" fillId="2" borderId="47" xfId="0" applyFont="1" applyFill="1" applyBorder="1" applyAlignment="1">
      <alignment vertical="center"/>
    </xf>
    <xf numFmtId="0" fontId="4" fillId="2" borderId="44" xfId="0" applyFont="1" applyFill="1" applyBorder="1" applyAlignment="1">
      <alignment vertical="center"/>
    </xf>
    <xf numFmtId="0" fontId="4" fillId="2" borderId="44" xfId="0" applyFont="1" applyFill="1" applyBorder="1" applyAlignment="1">
      <alignment horizontal="center" vertical="center"/>
    </xf>
    <xf numFmtId="0" fontId="4" fillId="2" borderId="91" xfId="0" applyFont="1" applyFill="1" applyBorder="1" applyAlignment="1">
      <alignment vertical="center"/>
    </xf>
    <xf numFmtId="0" fontId="4" fillId="2" borderId="92" xfId="0" applyFont="1" applyFill="1" applyBorder="1" applyAlignment="1">
      <alignment vertical="center"/>
    </xf>
    <xf numFmtId="0" fontId="4" fillId="2" borderId="92" xfId="0" applyFont="1" applyFill="1" applyBorder="1" applyAlignment="1">
      <alignment horizontal="center" vertical="center"/>
    </xf>
    <xf numFmtId="166" fontId="4" fillId="2" borderId="92" xfId="6" applyFont="1" applyFill="1" applyBorder="1" applyAlignment="1">
      <alignment vertical="center"/>
    </xf>
    <xf numFmtId="164" fontId="4" fillId="2" borderId="92" xfId="6" applyNumberFormat="1" applyFont="1" applyFill="1" applyBorder="1" applyAlignment="1">
      <alignment vertical="center"/>
    </xf>
    <xf numFmtId="164" fontId="4" fillId="2" borderId="133" xfId="6" applyNumberFormat="1" applyFont="1" applyFill="1" applyBorder="1" applyAlignment="1">
      <alignment vertical="center"/>
    </xf>
    <xf numFmtId="0" fontId="4" fillId="2" borderId="307" xfId="0" applyFont="1" applyFill="1" applyBorder="1" applyAlignment="1">
      <alignment vertical="center"/>
    </xf>
    <xf numFmtId="0" fontId="4" fillId="2" borderId="199" xfId="0" applyFont="1" applyFill="1" applyBorder="1" applyAlignment="1">
      <alignment vertical="center"/>
    </xf>
    <xf numFmtId="0" fontId="4" fillId="2" borderId="133" xfId="0" applyFont="1" applyFill="1" applyBorder="1" applyAlignment="1">
      <alignment vertical="center"/>
    </xf>
    <xf numFmtId="0" fontId="4" fillId="2" borderId="45" xfId="0" applyFont="1" applyFill="1" applyBorder="1" applyAlignment="1">
      <alignment vertical="center"/>
    </xf>
    <xf numFmtId="164" fontId="12" fillId="2" borderId="46" xfId="6" applyNumberFormat="1" applyFont="1" applyFill="1" applyBorder="1" applyAlignment="1">
      <alignment vertical="center"/>
    </xf>
    <xf numFmtId="0" fontId="4" fillId="2" borderId="48" xfId="0" applyFont="1" applyFill="1" applyBorder="1" applyAlignment="1">
      <alignment vertical="center"/>
    </xf>
    <xf numFmtId="0" fontId="4" fillId="2" borderId="50" xfId="0" applyFont="1" applyFill="1" applyBorder="1" applyAlignment="1">
      <alignment vertical="center"/>
    </xf>
    <xf numFmtId="164" fontId="4" fillId="2" borderId="50" xfId="6" applyNumberFormat="1" applyFont="1" applyFill="1" applyBorder="1" applyAlignment="1">
      <alignment vertical="center"/>
    </xf>
    <xf numFmtId="164" fontId="4" fillId="2" borderId="199" xfId="6" applyNumberFormat="1" applyFont="1" applyFill="1" applyBorder="1" applyAlignment="1">
      <alignment vertical="center"/>
    </xf>
    <xf numFmtId="164" fontId="4" fillId="2" borderId="308" xfId="6" applyNumberFormat="1" applyFont="1" applyFill="1" applyBorder="1" applyAlignment="1">
      <alignment vertical="center"/>
    </xf>
    <xf numFmtId="166" fontId="12" fillId="2" borderId="309" xfId="6" applyFont="1" applyFill="1" applyBorder="1" applyAlignment="1">
      <alignment vertical="center"/>
    </xf>
    <xf numFmtId="164" fontId="12" fillId="2" borderId="41" xfId="6" applyNumberFormat="1" applyFont="1" applyFill="1" applyBorder="1" applyAlignment="1">
      <alignment horizontal="center" vertical="center"/>
    </xf>
    <xf numFmtId="164" fontId="12" fillId="2" borderId="139" xfId="6" applyNumberFormat="1" applyFont="1" applyFill="1" applyBorder="1" applyAlignment="1">
      <alignment vertical="center"/>
    </xf>
    <xf numFmtId="164" fontId="12" fillId="2" borderId="94" xfId="6" applyNumberFormat="1" applyFont="1" applyFill="1" applyBorder="1" applyAlignment="1">
      <alignment vertical="center"/>
    </xf>
    <xf numFmtId="164" fontId="4" fillId="2" borderId="94" xfId="6" applyNumberFormat="1" applyFont="1" applyFill="1" applyBorder="1" applyAlignment="1">
      <alignment vertical="center"/>
    </xf>
    <xf numFmtId="164" fontId="4" fillId="2" borderId="94" xfId="6" applyNumberFormat="1" applyFont="1" applyFill="1" applyBorder="1" applyAlignment="1">
      <alignment horizontal="center" vertical="center"/>
    </xf>
    <xf numFmtId="164" fontId="4" fillId="2" borderId="131" xfId="6" applyNumberFormat="1" applyFont="1" applyFill="1" applyBorder="1" applyAlignment="1">
      <alignment vertical="center"/>
    </xf>
    <xf numFmtId="164" fontId="4" fillId="2" borderId="139" xfId="6" applyNumberFormat="1" applyFont="1" applyFill="1" applyBorder="1" applyAlignment="1">
      <alignment vertical="center"/>
    </xf>
    <xf numFmtId="164" fontId="4" fillId="2" borderId="0" xfId="6" applyNumberFormat="1" applyFont="1" applyFill="1" applyAlignment="1">
      <alignment vertical="center"/>
    </xf>
    <xf numFmtId="164" fontId="4" fillId="2" borderId="62" xfId="6" applyNumberFormat="1" applyFont="1" applyFill="1" applyBorder="1" applyAlignment="1">
      <alignment vertical="center"/>
    </xf>
    <xf numFmtId="165" fontId="4" fillId="2" borderId="36" xfId="6" applyNumberFormat="1" applyFont="1" applyFill="1" applyBorder="1" applyAlignment="1">
      <alignment vertical="center"/>
    </xf>
    <xf numFmtId="165" fontId="4" fillId="2" borderId="58" xfId="6" applyNumberFormat="1" applyFont="1" applyFill="1" applyBorder="1" applyAlignment="1">
      <alignment vertical="center"/>
    </xf>
    <xf numFmtId="165" fontId="4" fillId="2" borderId="243" xfId="6" applyNumberFormat="1" applyFont="1" applyFill="1" applyBorder="1" applyAlignment="1">
      <alignment vertical="center"/>
    </xf>
    <xf numFmtId="164" fontId="4" fillId="2" borderId="312" xfId="6" applyNumberFormat="1" applyFont="1" applyFill="1" applyBorder="1" applyAlignment="1">
      <alignment vertical="center"/>
    </xf>
    <xf numFmtId="164" fontId="12" fillId="2" borderId="310" xfId="6" applyNumberFormat="1" applyFont="1" applyFill="1" applyBorder="1" applyAlignment="1">
      <alignment horizontal="left" vertical="center"/>
    </xf>
    <xf numFmtId="164" fontId="12" fillId="2" borderId="311" xfId="6" applyNumberFormat="1" applyFont="1" applyFill="1" applyBorder="1" applyAlignment="1">
      <alignment horizontal="left" vertical="center"/>
    </xf>
    <xf numFmtId="165" fontId="4" fillId="2" borderId="57" xfId="6" applyNumberFormat="1" applyFont="1" applyFill="1" applyBorder="1" applyAlignment="1">
      <alignment vertical="center"/>
    </xf>
    <xf numFmtId="165" fontId="4" fillId="2" borderId="244" xfId="6" applyNumberFormat="1" applyFont="1" applyFill="1" applyBorder="1" applyAlignment="1">
      <alignment vertical="center"/>
    </xf>
    <xf numFmtId="164" fontId="4" fillId="2" borderId="313" xfId="6" applyNumberFormat="1" applyFont="1" applyFill="1" applyBorder="1" applyAlignment="1">
      <alignment vertical="center"/>
    </xf>
    <xf numFmtId="165" fontId="4" fillId="2" borderId="314" xfId="6" applyNumberFormat="1" applyFont="1" applyFill="1" applyBorder="1" applyAlignment="1">
      <alignment vertical="center"/>
    </xf>
    <xf numFmtId="164" fontId="12" fillId="2" borderId="64" xfId="6" applyNumberFormat="1" applyFont="1" applyFill="1" applyBorder="1" applyAlignment="1">
      <alignment horizontal="left" vertical="center"/>
    </xf>
    <xf numFmtId="164" fontId="12" fillId="2" borderId="72" xfId="6" applyNumberFormat="1" applyFont="1" applyFill="1" applyBorder="1" applyAlignment="1">
      <alignment horizontal="left" vertical="center"/>
    </xf>
    <xf numFmtId="164" fontId="12" fillId="2" borderId="72" xfId="6" applyNumberFormat="1" applyFont="1" applyFill="1" applyBorder="1" applyAlignment="1">
      <alignment horizontal="center" vertical="center"/>
    </xf>
    <xf numFmtId="164" fontId="12" fillId="2" borderId="140" xfId="6" applyNumberFormat="1" applyFont="1" applyFill="1" applyBorder="1" applyAlignment="1">
      <alignment vertical="center"/>
    </xf>
    <xf numFmtId="164" fontId="12" fillId="2" borderId="95" xfId="6" applyNumberFormat="1" applyFont="1" applyFill="1" applyBorder="1" applyAlignment="1">
      <alignment vertical="center"/>
    </xf>
    <xf numFmtId="164" fontId="4" fillId="2" borderId="95" xfId="6" applyNumberFormat="1" applyFont="1" applyFill="1" applyBorder="1" applyAlignment="1">
      <alignment vertical="center"/>
    </xf>
    <xf numFmtId="164" fontId="4" fillId="2" borderId="95" xfId="6" applyNumberFormat="1" applyFont="1" applyFill="1" applyBorder="1" applyAlignment="1">
      <alignment horizontal="center" vertical="center"/>
    </xf>
    <xf numFmtId="165" fontId="4" fillId="2" borderId="72" xfId="6" applyNumberFormat="1" applyFont="1" applyFill="1" applyBorder="1" applyAlignment="1">
      <alignment vertical="center"/>
    </xf>
    <xf numFmtId="165" fontId="4" fillId="2" borderId="64" xfId="6" applyNumberFormat="1" applyFont="1" applyFill="1" applyBorder="1" applyAlignment="1">
      <alignment vertical="center"/>
    </xf>
    <xf numFmtId="165" fontId="4" fillId="2" borderId="315" xfId="6" applyNumberFormat="1" applyFont="1" applyFill="1" applyBorder="1" applyAlignment="1">
      <alignment vertical="center"/>
    </xf>
    <xf numFmtId="164" fontId="12" fillId="2" borderId="316" xfId="6" applyNumberFormat="1" applyFont="1" applyFill="1" applyBorder="1" applyAlignment="1">
      <alignment vertical="center"/>
    </xf>
    <xf numFmtId="165" fontId="4" fillId="2" borderId="60" xfId="6" applyNumberFormat="1" applyFont="1" applyFill="1" applyBorder="1" applyAlignment="1">
      <alignment vertical="center"/>
    </xf>
    <xf numFmtId="165" fontId="4" fillId="2" borderId="281" xfId="6" applyNumberFormat="1" applyFont="1" applyFill="1" applyBorder="1" applyAlignment="1">
      <alignment vertical="center"/>
    </xf>
    <xf numFmtId="164" fontId="4" fillId="2" borderId="317" xfId="6" applyNumberFormat="1" applyFont="1" applyFill="1" applyBorder="1" applyAlignment="1">
      <alignment vertical="center"/>
    </xf>
    <xf numFmtId="164" fontId="12" fillId="2" borderId="306" xfId="6" applyNumberFormat="1" applyFont="1" applyFill="1" applyBorder="1" applyAlignment="1">
      <alignment vertical="center"/>
    </xf>
    <xf numFmtId="164" fontId="4" fillId="0" borderId="58" xfId="6" applyNumberFormat="1" applyFont="1" applyFill="1" applyBorder="1" applyAlignment="1">
      <alignment vertical="center"/>
    </xf>
    <xf numFmtId="0" fontId="4" fillId="2" borderId="98" xfId="0" applyFont="1" applyFill="1" applyBorder="1" applyAlignment="1">
      <alignment vertical="center"/>
    </xf>
    <xf numFmtId="0" fontId="4" fillId="2" borderId="98" xfId="0" applyFont="1" applyFill="1" applyBorder="1" applyAlignment="1">
      <alignment horizontal="center" vertical="center"/>
    </xf>
    <xf numFmtId="0" fontId="4" fillId="2" borderId="300" xfId="0" applyFont="1" applyFill="1" applyBorder="1" applyAlignment="1">
      <alignment horizontal="center" vertical="center"/>
    </xf>
    <xf numFmtId="166" fontId="4" fillId="2" borderId="300" xfId="6" applyFont="1" applyFill="1" applyBorder="1" applyAlignment="1">
      <alignment vertical="center"/>
    </xf>
    <xf numFmtId="164" fontId="4" fillId="2" borderId="300" xfId="6" applyNumberFormat="1" applyFont="1" applyFill="1" applyBorder="1" applyAlignment="1">
      <alignment vertical="center"/>
    </xf>
    <xf numFmtId="164" fontId="4" fillId="2" borderId="301" xfId="6" applyNumberFormat="1" applyFont="1" applyFill="1" applyBorder="1" applyAlignment="1">
      <alignment vertical="center"/>
    </xf>
    <xf numFmtId="0" fontId="4" fillId="2" borderId="303" xfId="0" applyFont="1" applyFill="1" applyBorder="1" applyAlignment="1">
      <alignment vertical="center"/>
    </xf>
    <xf numFmtId="164" fontId="12" fillId="2" borderId="299" xfId="6" applyNumberFormat="1" applyFont="1" applyFill="1" applyBorder="1" applyAlignment="1">
      <alignment vertical="center"/>
    </xf>
    <xf numFmtId="166" fontId="12" fillId="2" borderId="318" xfId="6" applyFont="1" applyFill="1" applyBorder="1" applyAlignment="1">
      <alignment vertical="center"/>
    </xf>
    <xf numFmtId="164" fontId="4" fillId="2" borderId="319" xfId="6" applyNumberFormat="1" applyFont="1" applyFill="1" applyBorder="1" applyAlignment="1">
      <alignment vertical="center"/>
    </xf>
    <xf numFmtId="0" fontId="12" fillId="3" borderId="15" xfId="0" applyFont="1" applyFill="1" applyBorder="1" applyAlignment="1">
      <alignment horizontal="center" vertical="center"/>
    </xf>
    <xf numFmtId="164" fontId="12" fillId="3" borderId="143" xfId="0" applyNumberFormat="1" applyFont="1" applyFill="1" applyBorder="1" applyAlignment="1">
      <alignment vertical="center"/>
    </xf>
    <xf numFmtId="164" fontId="12" fillId="3" borderId="153" xfId="0" applyNumberFormat="1" applyFont="1" applyFill="1" applyBorder="1" applyAlignment="1">
      <alignment vertical="center"/>
    </xf>
    <xf numFmtId="0" fontId="12" fillId="3" borderId="153" xfId="0" applyFont="1" applyFill="1" applyBorder="1" applyAlignment="1">
      <alignment vertical="center"/>
    </xf>
    <xf numFmtId="164" fontId="12" fillId="3" borderId="153" xfId="6" applyNumberFormat="1" applyFont="1" applyFill="1" applyBorder="1" applyAlignment="1">
      <alignment vertical="center"/>
    </xf>
    <xf numFmtId="164" fontId="12" fillId="3" borderId="154" xfId="6" applyNumberFormat="1" applyFont="1" applyFill="1" applyBorder="1" applyAlignment="1">
      <alignment vertical="center"/>
    </xf>
    <xf numFmtId="164" fontId="12" fillId="3" borderId="20" xfId="0" applyNumberFormat="1" applyFont="1" applyFill="1" applyBorder="1" applyAlignment="1">
      <alignment vertical="center"/>
    </xf>
    <xf numFmtId="164" fontId="12" fillId="3" borderId="19" xfId="0" applyNumberFormat="1" applyFont="1" applyFill="1" applyBorder="1" applyAlignment="1">
      <alignment vertical="center"/>
    </xf>
    <xf numFmtId="164" fontId="12" fillId="3" borderId="32" xfId="0" applyNumberFormat="1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164" fontId="12" fillId="3" borderId="14" xfId="0" applyNumberFormat="1" applyFont="1" applyFill="1" applyBorder="1" applyAlignment="1">
      <alignment vertical="center"/>
    </xf>
    <xf numFmtId="164" fontId="12" fillId="3" borderId="228" xfId="0" applyNumberFormat="1" applyFont="1" applyFill="1" applyBorder="1" applyAlignment="1">
      <alignment vertical="center"/>
    </xf>
    <xf numFmtId="164" fontId="12" fillId="3" borderId="321" xfId="0" applyNumberFormat="1" applyFont="1" applyFill="1" applyBorder="1" applyAlignment="1">
      <alignment vertical="center"/>
    </xf>
    <xf numFmtId="164" fontId="25" fillId="2" borderId="0" xfId="2" applyNumberFormat="1" applyFont="1" applyFill="1" applyAlignment="1">
      <alignment vertical="center"/>
    </xf>
    <xf numFmtId="0" fontId="4" fillId="2" borderId="20" xfId="0" applyFont="1" applyFill="1" applyBorder="1" applyAlignment="1">
      <alignment horizontal="center" vertical="center"/>
    </xf>
    <xf numFmtId="166" fontId="4" fillId="2" borderId="20" xfId="6" applyFont="1" applyFill="1" applyBorder="1" applyAlignment="1">
      <alignment horizontal="center" vertical="center"/>
    </xf>
    <xf numFmtId="164" fontId="4" fillId="2" borderId="20" xfId="6" applyNumberFormat="1" applyFont="1" applyFill="1" applyBorder="1" applyAlignment="1">
      <alignment horizontal="center" vertical="center"/>
    </xf>
    <xf numFmtId="9" fontId="4" fillId="2" borderId="20" xfId="2" applyFont="1" applyFill="1" applyBorder="1" applyAlignment="1">
      <alignment horizontal="center" vertical="center"/>
    </xf>
    <xf numFmtId="9" fontId="4" fillId="2" borderId="19" xfId="2" applyFont="1" applyFill="1" applyBorder="1" applyAlignment="1">
      <alignment horizontal="center" vertical="center"/>
    </xf>
    <xf numFmtId="9" fontId="4" fillId="2" borderId="32" xfId="2" applyFont="1" applyFill="1" applyBorder="1" applyAlignment="1">
      <alignment horizontal="center" vertical="center"/>
    </xf>
    <xf numFmtId="9" fontId="12" fillId="2" borderId="23" xfId="2" applyFont="1" applyFill="1" applyBorder="1" applyAlignment="1">
      <alignment horizontal="center" vertical="center"/>
    </xf>
    <xf numFmtId="9" fontId="4" fillId="2" borderId="78" xfId="2" applyFont="1" applyFill="1" applyBorder="1" applyAlignment="1">
      <alignment horizontal="center" vertical="center"/>
    </xf>
    <xf numFmtId="9" fontId="26" fillId="2" borderId="20" xfId="2" applyFont="1" applyFill="1" applyBorder="1" applyAlignment="1">
      <alignment horizontal="center" vertical="center"/>
    </xf>
    <xf numFmtId="9" fontId="26" fillId="2" borderId="80" xfId="2" applyFont="1" applyFill="1" applyBorder="1" applyAlignment="1">
      <alignment horizontal="center" vertical="center"/>
    </xf>
    <xf numFmtId="9" fontId="4" fillId="2" borderId="80" xfId="2" applyFont="1" applyFill="1" applyBorder="1" applyAlignment="1">
      <alignment horizontal="center" vertical="center"/>
    </xf>
    <xf numFmtId="9" fontId="32" fillId="2" borderId="80" xfId="2" applyFont="1" applyFill="1" applyBorder="1" applyAlignment="1">
      <alignment horizontal="center" vertical="center"/>
    </xf>
    <xf numFmtId="9" fontId="26" fillId="2" borderId="84" xfId="2" applyFont="1" applyFill="1" applyBorder="1" applyAlignment="1">
      <alignment horizontal="center" vertical="center"/>
    </xf>
    <xf numFmtId="9" fontId="4" fillId="2" borderId="81" xfId="2" applyFont="1" applyFill="1" applyBorder="1" applyAlignment="1">
      <alignment horizontal="center" vertical="center"/>
    </xf>
    <xf numFmtId="9" fontId="4" fillId="2" borderId="82" xfId="2" applyFont="1" applyFill="1" applyBorder="1" applyAlignment="1">
      <alignment horizontal="center" vertical="center"/>
    </xf>
    <xf numFmtId="9" fontId="4" fillId="2" borderId="322" xfId="2" applyFont="1" applyFill="1" applyBorder="1" applyAlignment="1">
      <alignment horizontal="center" vertical="center"/>
    </xf>
    <xf numFmtId="9" fontId="12" fillId="2" borderId="229" xfId="2" applyFont="1" applyFill="1" applyBorder="1" applyAlignment="1">
      <alignment horizontal="center" vertical="center"/>
    </xf>
    <xf numFmtId="9" fontId="5" fillId="2" borderId="20" xfId="2" applyFont="1" applyFill="1" applyBorder="1" applyAlignment="1">
      <alignment horizontal="center" vertical="center"/>
    </xf>
    <xf numFmtId="9" fontId="5" fillId="2" borderId="80" xfId="2" applyFont="1" applyFill="1" applyBorder="1" applyAlignment="1">
      <alignment horizontal="center" vertical="center"/>
    </xf>
    <xf numFmtId="9" fontId="5" fillId="2" borderId="82" xfId="2" applyFont="1" applyFill="1" applyBorder="1" applyAlignment="1">
      <alignment horizontal="center" vertical="center"/>
    </xf>
    <xf numFmtId="9" fontId="4" fillId="2" borderId="0" xfId="2" applyFont="1" applyFill="1" applyAlignment="1">
      <alignment horizontal="center" vertical="center"/>
    </xf>
    <xf numFmtId="164" fontId="4" fillId="2" borderId="0" xfId="6" applyNumberFormat="1" applyFont="1" applyFill="1" applyAlignment="1">
      <alignment horizontal="center" vertical="center"/>
    </xf>
    <xf numFmtId="0" fontId="72" fillId="2" borderId="0" xfId="7" applyFill="1" applyAlignment="1">
      <alignment horizontal="center" vertical="center"/>
    </xf>
    <xf numFmtId="164" fontId="12" fillId="2" borderId="0" xfId="6" applyNumberFormat="1" applyFont="1" applyFill="1" applyAlignment="1">
      <alignment horizontal="center" vertical="center"/>
    </xf>
    <xf numFmtId="164" fontId="72" fillId="2" borderId="0" xfId="7" applyNumberFormat="1" applyFill="1" applyAlignment="1">
      <alignment horizontal="center" vertical="center"/>
    </xf>
    <xf numFmtId="166" fontId="4" fillId="2" borderId="0" xfId="6" applyFont="1" applyFill="1" applyAlignment="1">
      <alignment vertical="center"/>
    </xf>
    <xf numFmtId="43" fontId="4" fillId="2" borderId="0" xfId="0" applyNumberFormat="1" applyFont="1" applyFill="1" applyAlignment="1">
      <alignment vertical="center"/>
    </xf>
    <xf numFmtId="166" fontId="12" fillId="2" borderId="0" xfId="6" applyFont="1" applyFill="1" applyAlignment="1">
      <alignment vertical="center"/>
    </xf>
    <xf numFmtId="0" fontId="4" fillId="2" borderId="325" xfId="0" applyFont="1" applyFill="1" applyBorder="1" applyAlignment="1">
      <alignment horizontal="center" vertical="center"/>
    </xf>
    <xf numFmtId="164" fontId="4" fillId="2" borderId="147" xfId="6" applyNumberFormat="1" applyFont="1" applyFill="1" applyBorder="1" applyAlignment="1">
      <alignment vertical="center"/>
    </xf>
    <xf numFmtId="9" fontId="4" fillId="2" borderId="148" xfId="2" applyFont="1" applyFill="1" applyBorder="1" applyAlignment="1">
      <alignment vertical="center"/>
    </xf>
    <xf numFmtId="0" fontId="4" fillId="2" borderId="85" xfId="0" applyFont="1" applyFill="1" applyBorder="1" applyAlignment="1">
      <alignment horizontal="center" vertical="center"/>
    </xf>
    <xf numFmtId="0" fontId="4" fillId="0" borderId="86" xfId="0" applyNumberFormat="1" applyFont="1" applyBorder="1"/>
    <xf numFmtId="164" fontId="4" fillId="0" borderId="86" xfId="6" applyNumberFormat="1" applyFont="1" applyFill="1" applyBorder="1" applyAlignment="1">
      <alignment vertical="center"/>
    </xf>
    <xf numFmtId="164" fontId="4" fillId="0" borderId="129" xfId="6" applyNumberFormat="1" applyFont="1" applyBorder="1"/>
    <xf numFmtId="164" fontId="12" fillId="2" borderId="137" xfId="0" applyNumberFormat="1" applyFont="1" applyFill="1" applyBorder="1" applyAlignment="1">
      <alignment vertical="center"/>
    </xf>
    <xf numFmtId="164" fontId="12" fillId="2" borderId="37" xfId="0" applyNumberFormat="1" applyFont="1" applyFill="1" applyBorder="1" applyAlignment="1">
      <alignment vertical="center"/>
    </xf>
    <xf numFmtId="1" fontId="4" fillId="2" borderId="33" xfId="0" applyNumberFormat="1" applyFont="1" applyFill="1" applyBorder="1" applyAlignment="1">
      <alignment vertical="center"/>
    </xf>
    <xf numFmtId="0" fontId="4" fillId="2" borderId="106" xfId="0" applyFont="1" applyFill="1" applyBorder="1" applyAlignment="1">
      <alignment horizontal="center" vertical="center"/>
    </xf>
    <xf numFmtId="9" fontId="4" fillId="2" borderId="118" xfId="2" applyFont="1" applyFill="1" applyBorder="1" applyAlignment="1">
      <alignment vertical="center"/>
    </xf>
    <xf numFmtId="164" fontId="12" fillId="2" borderId="117" xfId="0" applyNumberFormat="1" applyFont="1" applyFill="1" applyBorder="1" applyAlignment="1">
      <alignment vertical="center"/>
    </xf>
    <xf numFmtId="1" fontId="4" fillId="2" borderId="117" xfId="0" applyNumberFormat="1" applyFont="1" applyFill="1" applyBorder="1" applyAlignment="1">
      <alignment vertical="center"/>
    </xf>
    <xf numFmtId="166" fontId="4" fillId="0" borderId="67" xfId="6" applyFont="1" applyFill="1" applyBorder="1" applyAlignment="1">
      <alignment horizontal="left"/>
    </xf>
    <xf numFmtId="164" fontId="4" fillId="0" borderId="56" xfId="6" applyNumberFormat="1" applyFont="1" applyFill="1" applyBorder="1" applyAlignment="1">
      <alignment vertical="center"/>
    </xf>
    <xf numFmtId="164" fontId="4" fillId="0" borderId="70" xfId="6" applyNumberFormat="1" applyFont="1" applyFill="1" applyBorder="1" applyAlignment="1">
      <alignment vertical="center"/>
    </xf>
    <xf numFmtId="9" fontId="26" fillId="2" borderId="105" xfId="2" applyFont="1" applyFill="1" applyBorder="1" applyAlignment="1">
      <alignment horizontal="center" vertical="center"/>
    </xf>
    <xf numFmtId="9" fontId="32" fillId="2" borderId="105" xfId="2" applyFont="1" applyFill="1" applyBorder="1" applyAlignment="1">
      <alignment vertical="center"/>
    </xf>
    <xf numFmtId="9" fontId="32" fillId="0" borderId="71" xfId="2" applyFont="1" applyFill="1" applyBorder="1" applyAlignment="1">
      <alignment horizontal="center" vertical="center"/>
    </xf>
    <xf numFmtId="164" fontId="4" fillId="0" borderId="37" xfId="6" applyNumberFormat="1" applyFont="1" applyBorder="1"/>
    <xf numFmtId="166" fontId="4" fillId="0" borderId="37" xfId="6" applyFont="1" applyBorder="1"/>
    <xf numFmtId="4" fontId="4" fillId="0" borderId="67" xfId="0" applyNumberFormat="1" applyFont="1" applyFill="1" applyBorder="1" applyAlignment="1">
      <alignment horizontal="center" vertical="center" wrapText="1"/>
    </xf>
    <xf numFmtId="0" fontId="4" fillId="0" borderId="106" xfId="0" applyFont="1" applyFill="1" applyBorder="1" applyAlignment="1">
      <alignment horizontal="center" vertical="center"/>
    </xf>
    <xf numFmtId="0" fontId="4" fillId="0" borderId="37" xfId="0" applyNumberFormat="1" applyFont="1" applyBorder="1"/>
    <xf numFmtId="4" fontId="4" fillId="0" borderId="37" xfId="0" applyNumberFormat="1" applyFont="1" applyFill="1" applyBorder="1" applyAlignment="1">
      <alignment horizontal="center" vertical="center" wrapText="1"/>
    </xf>
    <xf numFmtId="166" fontId="4" fillId="0" borderId="67" xfId="6" applyFont="1" applyFill="1" applyBorder="1" applyAlignment="1">
      <alignment horizontal="right" vertical="center"/>
    </xf>
    <xf numFmtId="165" fontId="4" fillId="0" borderId="67" xfId="8" applyNumberFormat="1" applyFont="1" applyFill="1" applyBorder="1" applyAlignment="1">
      <alignment horizontal="center" vertical="center" wrapText="1"/>
    </xf>
    <xf numFmtId="164" fontId="26" fillId="2" borderId="117" xfId="0" applyNumberFormat="1" applyFont="1" applyFill="1" applyBorder="1" applyAlignment="1">
      <alignment vertical="center"/>
    </xf>
    <xf numFmtId="164" fontId="26" fillId="2" borderId="37" xfId="0" applyNumberFormat="1" applyFont="1" applyFill="1" applyBorder="1" applyAlignment="1">
      <alignment vertical="center"/>
    </xf>
    <xf numFmtId="9" fontId="26" fillId="2" borderId="63" xfId="2" applyFont="1" applyFill="1" applyBorder="1" applyAlignment="1">
      <alignment vertical="center"/>
    </xf>
    <xf numFmtId="164" fontId="26" fillId="2" borderId="37" xfId="6" applyNumberFormat="1" applyFont="1" applyFill="1" applyBorder="1" applyAlignment="1">
      <alignment vertical="center"/>
    </xf>
    <xf numFmtId="9" fontId="26" fillId="2" borderId="37" xfId="2" applyFont="1" applyFill="1" applyBorder="1" applyAlignment="1">
      <alignment vertical="center"/>
    </xf>
    <xf numFmtId="164" fontId="26" fillId="2" borderId="0" xfId="0" applyNumberFormat="1" applyFont="1" applyFill="1" applyAlignment="1">
      <alignment vertical="center"/>
    </xf>
    <xf numFmtId="0" fontId="12" fillId="0" borderId="117" xfId="0" applyFont="1" applyFill="1" applyBorder="1" applyAlignment="1">
      <alignment vertical="center"/>
    </xf>
    <xf numFmtId="0" fontId="26" fillId="2" borderId="70" xfId="0" applyFont="1" applyFill="1" applyBorder="1" applyAlignment="1">
      <alignment horizontal="center" vertical="center"/>
    </xf>
    <xf numFmtId="164" fontId="26" fillId="2" borderId="67" xfId="6" applyNumberFormat="1" applyFont="1" applyFill="1" applyBorder="1" applyAlignment="1">
      <alignment vertical="center"/>
    </xf>
    <xf numFmtId="166" fontId="4" fillId="2" borderId="117" xfId="6" applyFont="1" applyFill="1" applyBorder="1" applyAlignment="1">
      <alignment vertical="center"/>
    </xf>
    <xf numFmtId="166" fontId="4" fillId="2" borderId="63" xfId="6" applyFont="1" applyFill="1" applyBorder="1" applyAlignment="1">
      <alignment vertical="center"/>
    </xf>
    <xf numFmtId="0" fontId="21" fillId="22" borderId="113" xfId="0" applyFont="1" applyFill="1" applyBorder="1" applyAlignment="1">
      <alignment vertical="center"/>
    </xf>
    <xf numFmtId="0" fontId="21" fillId="22" borderId="20" xfId="0" applyFont="1" applyFill="1" applyBorder="1" applyAlignment="1">
      <alignment vertical="center"/>
    </xf>
    <xf numFmtId="164" fontId="21" fillId="22" borderId="19" xfId="0" applyNumberFormat="1" applyFont="1" applyFill="1" applyBorder="1" applyAlignment="1">
      <alignment horizontal="center" vertical="center"/>
    </xf>
    <xf numFmtId="164" fontId="21" fillId="22" borderId="20" xfId="6" applyNumberFormat="1" applyFont="1" applyFill="1" applyBorder="1" applyAlignment="1">
      <alignment horizontal="center" vertical="center"/>
    </xf>
    <xf numFmtId="9" fontId="21" fillId="22" borderId="20" xfId="2" applyFont="1" applyFill="1" applyBorder="1" applyAlignment="1">
      <alignment horizontal="center" vertical="center"/>
    </xf>
    <xf numFmtId="164" fontId="12" fillId="3" borderId="14" xfId="6" applyNumberFormat="1" applyFont="1" applyFill="1" applyBorder="1" applyAlignment="1">
      <alignment horizontal="center" vertical="center"/>
    </xf>
    <xf numFmtId="164" fontId="12" fillId="3" borderId="15" xfId="6" applyNumberFormat="1" applyFont="1" applyFill="1" applyBorder="1" applyAlignment="1">
      <alignment horizontal="center" vertical="center"/>
    </xf>
    <xf numFmtId="164" fontId="12" fillId="3" borderId="15" xfId="0" applyNumberFormat="1" applyFont="1" applyFill="1" applyBorder="1" applyAlignment="1">
      <alignment horizontal="center" vertical="center"/>
    </xf>
    <xf numFmtId="9" fontId="12" fillId="3" borderId="18" xfId="2" applyFont="1" applyFill="1" applyBorder="1" applyAlignment="1">
      <alignment horizontal="center" vertical="center"/>
    </xf>
    <xf numFmtId="164" fontId="12" fillId="3" borderId="20" xfId="6" applyNumberFormat="1" applyFont="1" applyFill="1" applyBorder="1" applyAlignment="1">
      <alignment horizontal="center" vertical="center"/>
    </xf>
    <xf numFmtId="164" fontId="12" fillId="3" borderId="19" xfId="6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vertical="center"/>
    </xf>
    <xf numFmtId="0" fontId="3" fillId="2" borderId="3" xfId="0" applyFont="1" applyFill="1" applyBorder="1" applyAlignment="1">
      <alignment horizontal="center"/>
    </xf>
    <xf numFmtId="164" fontId="3" fillId="2" borderId="4" xfId="6" applyNumberFormat="1" applyFont="1" applyFill="1" applyBorder="1"/>
    <xf numFmtId="0" fontId="3" fillId="2" borderId="4" xfId="0" applyFont="1" applyFill="1" applyBorder="1"/>
    <xf numFmtId="164" fontId="3" fillId="2" borderId="28" xfId="6" applyNumberFormat="1" applyFont="1" applyFill="1" applyBorder="1"/>
    <xf numFmtId="9" fontId="3" fillId="2" borderId="29" xfId="2" applyFont="1" applyFill="1" applyBorder="1"/>
    <xf numFmtId="0" fontId="3" fillId="2" borderId="4" xfId="0" applyFont="1" applyFill="1" applyBorder="1" applyAlignment="1">
      <alignment horizontal="center"/>
    </xf>
    <xf numFmtId="9" fontId="3" fillId="2" borderId="28" xfId="2" applyFont="1" applyFill="1" applyBorder="1"/>
    <xf numFmtId="9" fontId="0" fillId="2" borderId="30" xfId="2" applyFont="1" applyFill="1" applyBorder="1"/>
    <xf numFmtId="0" fontId="3" fillId="2" borderId="0" xfId="0" applyFont="1" applyFill="1" applyAlignment="1">
      <alignment horizontal="justify" vertical="center"/>
    </xf>
    <xf numFmtId="9" fontId="4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justify" vertical="center"/>
    </xf>
    <xf numFmtId="0" fontId="5" fillId="2" borderId="0" xfId="0" applyFont="1" applyFill="1" applyAlignment="1">
      <alignment horizontal="center"/>
    </xf>
    <xf numFmtId="1" fontId="4" fillId="2" borderId="126" xfId="2" applyNumberFormat="1" applyFont="1" applyFill="1" applyBorder="1" applyAlignment="1">
      <alignment horizontal="center" vertical="center"/>
    </xf>
    <xf numFmtId="165" fontId="61" fillId="2" borderId="88" xfId="1" applyNumberFormat="1" applyFont="1" applyFill="1" applyBorder="1" applyAlignment="1">
      <alignment vertical="center"/>
    </xf>
    <xf numFmtId="171" fontId="61" fillId="2" borderId="0" xfId="2" applyNumberFormat="1" applyFont="1" applyFill="1" applyBorder="1" applyAlignment="1">
      <alignment vertical="center"/>
    </xf>
    <xf numFmtId="167" fontId="61" fillId="2" borderId="196" xfId="2" applyNumberFormat="1" applyFont="1" applyFill="1" applyBorder="1" applyAlignment="1">
      <alignment vertical="center"/>
    </xf>
    <xf numFmtId="9" fontId="61" fillId="2" borderId="88" xfId="2" applyFont="1" applyFill="1" applyBorder="1" applyAlignment="1">
      <alignment vertical="center"/>
    </xf>
    <xf numFmtId="165" fontId="61" fillId="2" borderId="88" xfId="2" applyNumberFormat="1" applyFont="1" applyFill="1" applyBorder="1" applyAlignment="1">
      <alignment vertical="center"/>
    </xf>
    <xf numFmtId="9" fontId="63" fillId="2" borderId="0" xfId="2" applyFont="1" applyFill="1" applyBorder="1" applyAlignment="1">
      <alignment vertical="center"/>
    </xf>
    <xf numFmtId="164" fontId="61" fillId="2" borderId="6" xfId="0" applyNumberFormat="1" applyFont="1" applyFill="1" applyBorder="1" applyAlignment="1">
      <alignment vertical="center"/>
    </xf>
    <xf numFmtId="164" fontId="61" fillId="2" borderId="0" xfId="0" applyNumberFormat="1" applyFont="1" applyFill="1" applyBorder="1" applyAlignment="1">
      <alignment vertical="center"/>
    </xf>
    <xf numFmtId="9" fontId="61" fillId="2" borderId="0" xfId="2" applyFont="1" applyFill="1" applyBorder="1" applyAlignment="1">
      <alignment vertical="center"/>
    </xf>
    <xf numFmtId="9" fontId="61" fillId="2" borderId="10" xfId="2" applyFont="1" applyFill="1" applyBorder="1" applyAlignment="1">
      <alignment vertical="center"/>
    </xf>
    <xf numFmtId="165" fontId="61" fillId="2" borderId="6" xfId="0" applyNumberFormat="1" applyFont="1" applyFill="1" applyBorder="1" applyAlignment="1">
      <alignment vertical="center"/>
    </xf>
    <xf numFmtId="165" fontId="61" fillId="2" borderId="0" xfId="0" applyNumberFormat="1" applyFont="1" applyFill="1" applyBorder="1" applyAlignment="1">
      <alignment vertical="center"/>
    </xf>
    <xf numFmtId="165" fontId="61" fillId="2" borderId="10" xfId="0" applyNumberFormat="1" applyFont="1" applyFill="1" applyBorder="1" applyAlignment="1">
      <alignment vertical="center"/>
    </xf>
    <xf numFmtId="165" fontId="61" fillId="2" borderId="127" xfId="0" applyNumberFormat="1" applyFont="1" applyFill="1" applyBorder="1" applyAlignment="1">
      <alignment vertical="center"/>
    </xf>
    <xf numFmtId="9" fontId="61" fillId="2" borderId="145" xfId="2" applyFont="1" applyFill="1" applyBorder="1" applyAlignment="1">
      <alignment vertical="center"/>
    </xf>
    <xf numFmtId="164" fontId="61" fillId="2" borderId="127" xfId="2" applyNumberFormat="1" applyFont="1" applyFill="1" applyBorder="1" applyAlignment="1">
      <alignment vertical="center"/>
    </xf>
    <xf numFmtId="0" fontId="61" fillId="2" borderId="0" xfId="0" applyFont="1" applyFill="1" applyBorder="1" applyAlignment="1">
      <alignment vertical="center"/>
    </xf>
    <xf numFmtId="0" fontId="61" fillId="2" borderId="203" xfId="0" applyFont="1" applyFill="1" applyBorder="1" applyAlignment="1">
      <alignment horizontal="center" vertical="center"/>
    </xf>
    <xf numFmtId="164" fontId="61" fillId="2" borderId="60" xfId="5" applyNumberFormat="1" applyFont="1" applyFill="1" applyBorder="1" applyAlignment="1">
      <alignment vertical="center"/>
    </xf>
    <xf numFmtId="1" fontId="61" fillId="2" borderId="126" xfId="2" applyNumberFormat="1" applyFont="1" applyFill="1" applyBorder="1" applyAlignment="1">
      <alignment horizontal="center" vertical="center"/>
    </xf>
    <xf numFmtId="165" fontId="61" fillId="2" borderId="127" xfId="1" applyNumberFormat="1" applyFont="1" applyFill="1" applyBorder="1" applyAlignment="1">
      <alignment vertical="center"/>
    </xf>
    <xf numFmtId="165" fontId="61" fillId="2" borderId="6" xfId="1" applyNumberFormat="1" applyFont="1" applyFill="1" applyBorder="1" applyAlignment="1">
      <alignment vertical="center"/>
    </xf>
    <xf numFmtId="165" fontId="61" fillId="2" borderId="0" xfId="1" applyNumberFormat="1" applyFont="1" applyFill="1" applyBorder="1" applyAlignment="1">
      <alignment vertical="center"/>
    </xf>
    <xf numFmtId="0" fontId="62" fillId="2" borderId="107" xfId="0" applyFont="1" applyFill="1" applyBorder="1" applyAlignment="1">
      <alignment horizontal="center" vertical="center"/>
    </xf>
    <xf numFmtId="1" fontId="61" fillId="2" borderId="127" xfId="0" applyNumberFormat="1" applyFont="1" applyFill="1" applyBorder="1" applyAlignment="1">
      <alignment horizontal="center" vertical="center"/>
    </xf>
    <xf numFmtId="165" fontId="61" fillId="2" borderId="127" xfId="1" applyNumberFormat="1" applyFont="1" applyFill="1" applyBorder="1" applyAlignment="1">
      <alignment horizontal="center" vertical="center"/>
    </xf>
    <xf numFmtId="9" fontId="61" fillId="2" borderId="0" xfId="2" applyFont="1" applyFill="1" applyBorder="1" applyAlignment="1">
      <alignment horizontal="center" vertical="center"/>
    </xf>
    <xf numFmtId="1" fontId="61" fillId="2" borderId="126" xfId="0" applyNumberFormat="1" applyFont="1" applyFill="1" applyBorder="1" applyAlignment="1">
      <alignment horizontal="center" vertical="center"/>
    </xf>
    <xf numFmtId="0" fontId="61" fillId="2" borderId="127" xfId="0" applyFont="1" applyFill="1" applyBorder="1" applyAlignment="1">
      <alignment horizontal="center" vertical="center"/>
    </xf>
    <xf numFmtId="9" fontId="61" fillId="2" borderId="145" xfId="2" applyFont="1" applyFill="1" applyBorder="1" applyAlignment="1">
      <alignment horizontal="center" vertical="center"/>
    </xf>
    <xf numFmtId="0" fontId="61" fillId="2" borderId="126" xfId="0" applyFont="1" applyFill="1" applyBorder="1" applyAlignment="1">
      <alignment horizontal="center" vertical="center"/>
    </xf>
    <xf numFmtId="0" fontId="61" fillId="2" borderId="145" xfId="0" applyFont="1" applyFill="1" applyBorder="1" applyAlignment="1">
      <alignment horizontal="center" vertical="center"/>
    </xf>
    <xf numFmtId="0" fontId="61" fillId="2" borderId="108" xfId="0" applyFont="1" applyFill="1" applyBorder="1" applyAlignment="1">
      <alignment horizontal="center" vertical="center"/>
    </xf>
    <xf numFmtId="164" fontId="61" fillId="2" borderId="107" xfId="5" applyNumberFormat="1" applyFont="1" applyFill="1" applyBorder="1" applyAlignment="1">
      <alignment vertical="center"/>
    </xf>
    <xf numFmtId="164" fontId="61" fillId="2" borderId="152" xfId="0" applyNumberFormat="1" applyFont="1" applyFill="1" applyBorder="1" applyAlignment="1">
      <alignment vertical="center"/>
    </xf>
    <xf numFmtId="165" fontId="61" fillId="2" borderId="108" xfId="1" applyNumberFormat="1" applyFont="1" applyFill="1" applyBorder="1" applyAlignment="1">
      <alignment vertical="center"/>
    </xf>
    <xf numFmtId="165" fontId="61" fillId="2" borderId="107" xfId="1" applyNumberFormat="1" applyFont="1" applyFill="1" applyBorder="1" applyAlignment="1">
      <alignment vertical="center"/>
    </xf>
    <xf numFmtId="165" fontId="61" fillId="2" borderId="107" xfId="1" applyNumberFormat="1" applyFont="1" applyFill="1" applyBorder="1" applyAlignment="1">
      <alignment horizontal="center" vertical="center"/>
    </xf>
    <xf numFmtId="165" fontId="61" fillId="2" borderId="127" xfId="2" applyNumberFormat="1" applyFont="1" applyFill="1" applyBorder="1" applyAlignment="1">
      <alignment vertical="center"/>
    </xf>
    <xf numFmtId="9" fontId="61" fillId="2" borderId="127" xfId="2" applyFont="1" applyFill="1" applyBorder="1" applyAlignment="1">
      <alignment vertical="center"/>
    </xf>
    <xf numFmtId="164" fontId="61" fillId="2" borderId="53" xfId="5" applyNumberFormat="1" applyFont="1" applyFill="1" applyBorder="1" applyAlignment="1">
      <alignment vertical="center"/>
    </xf>
    <xf numFmtId="9" fontId="61" fillId="2" borderId="73" xfId="2" applyFont="1" applyFill="1" applyBorder="1" applyAlignment="1">
      <alignment vertical="center"/>
    </xf>
    <xf numFmtId="165" fontId="61" fillId="2" borderId="203" xfId="1" applyNumberFormat="1" applyFont="1" applyFill="1" applyBorder="1" applyAlignment="1">
      <alignment vertical="center"/>
    </xf>
    <xf numFmtId="165" fontId="61" fillId="2" borderId="60" xfId="1" applyNumberFormat="1" applyFont="1" applyFill="1" applyBorder="1" applyAlignment="1">
      <alignment vertical="center"/>
    </xf>
    <xf numFmtId="0" fontId="61" fillId="2" borderId="212" xfId="0" applyFont="1" applyFill="1" applyBorder="1" applyAlignment="1">
      <alignment horizontal="center" vertical="center"/>
    </xf>
    <xf numFmtId="164" fontId="61" fillId="2" borderId="95" xfId="5" applyNumberFormat="1" applyFont="1" applyFill="1" applyBorder="1" applyAlignment="1">
      <alignment vertical="center"/>
    </xf>
    <xf numFmtId="164" fontId="61" fillId="2" borderId="107" xfId="0" applyNumberFormat="1" applyFont="1" applyFill="1" applyBorder="1" applyAlignment="1">
      <alignment vertical="center"/>
    </xf>
    <xf numFmtId="9" fontId="61" fillId="2" borderId="213" xfId="2" applyFont="1" applyFill="1" applyBorder="1" applyAlignment="1">
      <alignment vertical="center"/>
    </xf>
    <xf numFmtId="165" fontId="61" fillId="2" borderId="72" xfId="1" applyNumberFormat="1" applyFont="1" applyFill="1" applyBorder="1" applyAlignment="1">
      <alignment vertical="center"/>
    </xf>
    <xf numFmtId="9" fontId="61" fillId="2" borderId="72" xfId="2" applyFont="1" applyFill="1" applyBorder="1" applyAlignment="1">
      <alignment vertical="center"/>
    </xf>
    <xf numFmtId="165" fontId="61" fillId="2" borderId="152" xfId="2" applyNumberFormat="1" applyFont="1" applyFill="1" applyBorder="1" applyAlignment="1">
      <alignment vertical="center"/>
    </xf>
    <xf numFmtId="165" fontId="61" fillId="2" borderId="192" xfId="1" applyNumberFormat="1" applyFont="1" applyFill="1" applyBorder="1" applyAlignment="1">
      <alignment vertical="center"/>
    </xf>
    <xf numFmtId="165" fontId="61" fillId="2" borderId="191" xfId="1" applyNumberFormat="1" applyFont="1" applyFill="1" applyBorder="1" applyAlignment="1">
      <alignment vertical="center"/>
    </xf>
    <xf numFmtId="165" fontId="61" fillId="2" borderId="152" xfId="1" applyNumberFormat="1" applyFont="1" applyFill="1" applyBorder="1" applyAlignment="1">
      <alignment vertical="center"/>
    </xf>
    <xf numFmtId="9" fontId="61" fillId="2" borderId="191" xfId="2" applyFont="1" applyFill="1" applyBorder="1" applyAlignment="1">
      <alignment vertical="center"/>
    </xf>
    <xf numFmtId="165" fontId="61" fillId="2" borderId="6" xfId="2" applyNumberFormat="1" applyFont="1" applyFill="1" applyBorder="1" applyAlignment="1">
      <alignment vertical="center"/>
    </xf>
    <xf numFmtId="165" fontId="61" fillId="2" borderId="0" xfId="2" applyNumberFormat="1" applyFont="1" applyFill="1" applyBorder="1" applyAlignment="1">
      <alignment vertical="center"/>
    </xf>
    <xf numFmtId="164" fontId="61" fillId="2" borderId="126" xfId="0" applyNumberFormat="1" applyFont="1" applyFill="1" applyBorder="1" applyAlignment="1">
      <alignment vertical="center"/>
    </xf>
    <xf numFmtId="164" fontId="61" fillId="2" borderId="127" xfId="0" applyNumberFormat="1" applyFont="1" applyFill="1" applyBorder="1" applyAlignment="1">
      <alignment vertical="center"/>
    </xf>
    <xf numFmtId="38" fontId="61" fillId="2" borderId="127" xfId="0" applyNumberFormat="1" applyFont="1" applyFill="1" applyBorder="1" applyAlignment="1">
      <alignment vertical="center"/>
    </xf>
    <xf numFmtId="165" fontId="61" fillId="2" borderId="126" xfId="1" applyNumberFormat="1" applyFont="1" applyFill="1" applyBorder="1" applyAlignment="1">
      <alignment vertical="center"/>
    </xf>
    <xf numFmtId="165" fontId="61" fillId="2" borderId="126" xfId="0" applyNumberFormat="1" applyFont="1" applyFill="1" applyBorder="1" applyAlignment="1">
      <alignment vertical="center"/>
    </xf>
    <xf numFmtId="169" fontId="61" fillId="2" borderId="108" xfId="1" applyNumberFormat="1" applyFont="1" applyFill="1" applyBorder="1" applyAlignment="1">
      <alignment horizontal="center" vertical="center"/>
    </xf>
    <xf numFmtId="167" fontId="61" fillId="2" borderId="126" xfId="2" applyNumberFormat="1" applyFont="1" applyFill="1" applyBorder="1" applyAlignment="1">
      <alignment vertical="center"/>
    </xf>
    <xf numFmtId="165" fontId="61" fillId="2" borderId="145" xfId="2" applyNumberFormat="1" applyFont="1" applyFill="1" applyBorder="1" applyAlignment="1">
      <alignment vertical="center"/>
    </xf>
    <xf numFmtId="167" fontId="61" fillId="2" borderId="126" xfId="1" applyNumberFormat="1" applyFont="1" applyFill="1" applyBorder="1" applyAlignment="1">
      <alignment horizontal="center" vertical="center"/>
    </xf>
    <xf numFmtId="0" fontId="61" fillId="2" borderId="126" xfId="0" applyFont="1" applyFill="1" applyBorder="1" applyAlignment="1">
      <alignment vertical="center"/>
    </xf>
    <xf numFmtId="165" fontId="61" fillId="2" borderId="187" xfId="1" applyNumberFormat="1" applyFont="1" applyFill="1" applyBorder="1" applyAlignment="1">
      <alignment vertical="center"/>
    </xf>
    <xf numFmtId="9" fontId="61" fillId="2" borderId="152" xfId="2" applyFont="1" applyFill="1" applyBorder="1" applyAlignment="1">
      <alignment vertical="center"/>
    </xf>
    <xf numFmtId="9" fontId="61" fillId="2" borderId="74" xfId="2" applyFont="1" applyFill="1" applyBorder="1" applyAlignment="1">
      <alignment vertical="center"/>
    </xf>
    <xf numFmtId="1" fontId="4" fillId="2" borderId="34" xfId="0" applyNumberFormat="1" applyFont="1" applyFill="1" applyBorder="1" applyAlignment="1">
      <alignment horizontal="center" vertical="center"/>
    </xf>
    <xf numFmtId="0" fontId="4" fillId="0" borderId="65" xfId="0" applyFont="1" applyFill="1" applyBorder="1" applyAlignment="1">
      <alignment horizontal="center" vertical="center"/>
    </xf>
    <xf numFmtId="164" fontId="4" fillId="0" borderId="66" xfId="5" applyNumberFormat="1" applyFont="1" applyFill="1" applyBorder="1" applyAlignment="1">
      <alignment vertical="center"/>
    </xf>
    <xf numFmtId="9" fontId="4" fillId="0" borderId="102" xfId="2" applyFont="1" applyFill="1" applyBorder="1" applyAlignment="1">
      <alignment vertical="center"/>
    </xf>
    <xf numFmtId="165" fontId="4" fillId="0" borderId="65" xfId="1" applyNumberFormat="1" applyFont="1" applyFill="1" applyBorder="1" applyAlignment="1">
      <alignment vertical="center"/>
    </xf>
    <xf numFmtId="1" fontId="4" fillId="0" borderId="33" xfId="2" applyNumberFormat="1" applyFont="1" applyFill="1" applyBorder="1" applyAlignment="1">
      <alignment horizontal="center" vertical="center"/>
    </xf>
    <xf numFmtId="38" fontId="4" fillId="2" borderId="34" xfId="0" applyNumberFormat="1" applyFont="1" applyFill="1" applyBorder="1" applyAlignment="1">
      <alignment vertical="center"/>
    </xf>
    <xf numFmtId="1" fontId="4" fillId="2" borderId="6" xfId="2" applyNumberFormat="1" applyFont="1" applyFill="1" applyBorder="1" applyAlignment="1">
      <alignment horizontal="center" vertical="center"/>
    </xf>
    <xf numFmtId="164" fontId="4" fillId="2" borderId="0" xfId="2" applyNumberFormat="1" applyFont="1" applyFill="1" applyBorder="1" applyAlignment="1">
      <alignment vertical="center"/>
    </xf>
    <xf numFmtId="167" fontId="4" fillId="2" borderId="33" xfId="2" applyNumberFormat="1" applyFont="1" applyFill="1" applyBorder="1" applyAlignment="1">
      <alignment vertical="center"/>
    </xf>
    <xf numFmtId="165" fontId="4" fillId="2" borderId="69" xfId="2" applyNumberFormat="1" applyFont="1" applyFill="1" applyBorder="1" applyAlignment="1">
      <alignment vertical="center"/>
    </xf>
    <xf numFmtId="167" fontId="4" fillId="2" borderId="33" xfId="1" applyNumberFormat="1" applyFont="1" applyFill="1" applyBorder="1" applyAlignment="1">
      <alignment horizontal="center" vertical="center"/>
    </xf>
    <xf numFmtId="165" fontId="73" fillId="2" borderId="34" xfId="1" applyNumberFormat="1" applyFont="1" applyFill="1" applyBorder="1" applyAlignment="1">
      <alignment vertical="center"/>
    </xf>
    <xf numFmtId="9" fontId="73" fillId="2" borderId="37" xfId="2" applyFont="1" applyFill="1" applyBorder="1" applyAlignment="1">
      <alignment vertical="center"/>
    </xf>
    <xf numFmtId="0" fontId="3" fillId="8" borderId="85" xfId="0" applyFont="1" applyFill="1" applyBorder="1" applyAlignment="1">
      <alignment horizontal="center" vertical="center"/>
    </xf>
    <xf numFmtId="43" fontId="42" fillId="2" borderId="117" xfId="1" applyFont="1" applyFill="1" applyBorder="1" applyAlignment="1">
      <alignment horizontal="center" vertical="center"/>
    </xf>
    <xf numFmtId="165" fontId="42" fillId="2" borderId="37" xfId="2" applyNumberFormat="1" applyFont="1" applyFill="1" applyBorder="1" applyAlignment="1">
      <alignment horizontal="center" vertical="center"/>
    </xf>
    <xf numFmtId="167" fontId="42" fillId="2" borderId="37" xfId="2" applyNumberFormat="1" applyFont="1" applyFill="1" applyBorder="1" applyAlignment="1">
      <alignment horizontal="center" vertical="center"/>
    </xf>
    <xf numFmtId="164" fontId="41" fillId="14" borderId="0" xfId="6" applyNumberFormat="1" applyFont="1" applyFill="1" applyBorder="1" applyAlignment="1">
      <alignment horizontal="center" vertical="center"/>
    </xf>
    <xf numFmtId="165" fontId="41" fillId="14" borderId="0" xfId="1" applyNumberFormat="1" applyFont="1" applyFill="1" applyBorder="1" applyAlignment="1">
      <alignment vertical="center"/>
    </xf>
    <xf numFmtId="164" fontId="44" fillId="12" borderId="1" xfId="6" applyNumberFormat="1" applyFont="1" applyFill="1" applyBorder="1" applyAlignment="1">
      <alignment horizontal="center" vertical="center"/>
    </xf>
    <xf numFmtId="164" fontId="44" fillId="12" borderId="2" xfId="6" applyNumberFormat="1" applyFont="1" applyFill="1" applyBorder="1" applyAlignment="1">
      <alignment horizontal="center" vertical="center"/>
    </xf>
    <xf numFmtId="0" fontId="44" fillId="12" borderId="26" xfId="0" applyFont="1" applyFill="1" applyBorder="1" applyAlignment="1">
      <alignment horizontal="center" vertical="center"/>
    </xf>
    <xf numFmtId="164" fontId="58" fillId="12" borderId="14" xfId="6" applyNumberFormat="1" applyFont="1" applyFill="1" applyBorder="1" applyAlignment="1">
      <alignment horizontal="center" vertical="center"/>
    </xf>
    <xf numFmtId="164" fontId="58" fillId="12" borderId="15" xfId="6" applyNumberFormat="1" applyFont="1" applyFill="1" applyBorder="1" applyAlignment="1">
      <alignment vertical="center"/>
    </xf>
    <xf numFmtId="9" fontId="58" fillId="12" borderId="15" xfId="2" applyFont="1" applyFill="1" applyBorder="1" applyAlignment="1">
      <alignment vertical="center"/>
    </xf>
    <xf numFmtId="43" fontId="42" fillId="2" borderId="67" xfId="1" applyFont="1" applyFill="1" applyBorder="1" applyAlignment="1">
      <alignment vertical="center"/>
    </xf>
    <xf numFmtId="0" fontId="3" fillId="8" borderId="86" xfId="0" applyFont="1" applyFill="1" applyBorder="1" applyAlignment="1">
      <alignment horizontal="center" vertical="center"/>
    </xf>
    <xf numFmtId="9" fontId="3" fillId="8" borderId="86" xfId="2" applyFont="1" applyFill="1" applyBorder="1" applyAlignment="1">
      <alignment horizontal="center" vertical="center"/>
    </xf>
    <xf numFmtId="0" fontId="3" fillId="8" borderId="87" xfId="0" applyFont="1" applyFill="1" applyBorder="1" applyAlignment="1">
      <alignment horizontal="center" vertical="center"/>
    </xf>
    <xf numFmtId="164" fontId="41" fillId="8" borderId="81" xfId="0" applyNumberFormat="1" applyFont="1" applyFill="1" applyBorder="1" applyAlignment="1">
      <alignment vertical="center"/>
    </xf>
    <xf numFmtId="164" fontId="41" fillId="8" borderId="82" xfId="0" applyNumberFormat="1" applyFont="1" applyFill="1" applyBorder="1" applyAlignment="1">
      <alignment vertical="center"/>
    </xf>
    <xf numFmtId="9" fontId="41" fillId="8" borderId="82" xfId="2" applyFont="1" applyFill="1" applyBorder="1" applyAlignment="1">
      <alignment vertical="center"/>
    </xf>
    <xf numFmtId="9" fontId="41" fillId="8" borderId="83" xfId="2" applyFont="1" applyFill="1" applyBorder="1" applyAlignment="1">
      <alignment vertical="center"/>
    </xf>
    <xf numFmtId="167" fontId="61" fillId="2" borderId="127" xfId="2" applyNumberFormat="1" applyFont="1" applyFill="1" applyBorder="1" applyAlignment="1">
      <alignment vertical="center"/>
    </xf>
    <xf numFmtId="167" fontId="4" fillId="2" borderId="34" xfId="2" applyNumberFormat="1" applyFont="1" applyFill="1" applyBorder="1" applyAlignment="1">
      <alignment vertical="center"/>
    </xf>
    <xf numFmtId="167" fontId="4" fillId="2" borderId="37" xfId="2" applyNumberFormat="1" applyFont="1" applyFill="1" applyBorder="1" applyAlignment="1">
      <alignment vertical="center"/>
    </xf>
    <xf numFmtId="167" fontId="4" fillId="2" borderId="37" xfId="1" applyNumberFormat="1" applyFont="1" applyFill="1" applyBorder="1" applyAlignment="1">
      <alignment vertical="center"/>
    </xf>
    <xf numFmtId="167" fontId="4" fillId="2" borderId="127" xfId="1" applyNumberFormat="1" applyFont="1" applyFill="1" applyBorder="1" applyAlignment="1">
      <alignment vertical="center"/>
    </xf>
    <xf numFmtId="167" fontId="4" fillId="2" borderId="127" xfId="2" applyNumberFormat="1" applyFont="1" applyFill="1" applyBorder="1" applyAlignment="1">
      <alignment vertical="center"/>
    </xf>
    <xf numFmtId="0" fontId="4" fillId="2" borderId="137" xfId="0" applyFont="1" applyFill="1" applyBorder="1" applyAlignment="1">
      <alignment vertical="center"/>
    </xf>
    <xf numFmtId="167" fontId="4" fillId="2" borderId="137" xfId="1" applyNumberFormat="1" applyFont="1" applyFill="1" applyBorder="1" applyAlignment="1">
      <alignment horizontal="center" vertical="center"/>
    </xf>
    <xf numFmtId="1" fontId="4" fillId="2" borderId="137" xfId="2" applyNumberFormat="1" applyFont="1" applyFill="1" applyBorder="1" applyAlignment="1">
      <alignment horizontal="center" vertical="center"/>
    </xf>
    <xf numFmtId="165" fontId="4" fillId="2" borderId="129" xfId="2" applyNumberFormat="1" applyFont="1" applyFill="1" applyBorder="1" applyAlignment="1">
      <alignment vertical="center"/>
    </xf>
    <xf numFmtId="9" fontId="4" fillId="2" borderId="88" xfId="2" applyFont="1" applyFill="1" applyBorder="1" applyAlignment="1">
      <alignment vertical="center"/>
    </xf>
    <xf numFmtId="165" fontId="4" fillId="2" borderId="88" xfId="2" applyNumberFormat="1" applyFont="1" applyFill="1" applyBorder="1" applyAlignment="1">
      <alignment vertical="center"/>
    </xf>
    <xf numFmtId="0" fontId="4" fillId="2" borderId="197" xfId="0" applyFont="1" applyFill="1" applyBorder="1" applyAlignment="1">
      <alignment horizontal="center" vertical="center"/>
    </xf>
    <xf numFmtId="164" fontId="4" fillId="2" borderId="48" xfId="5" applyNumberFormat="1" applyFont="1" applyFill="1" applyBorder="1" applyAlignment="1">
      <alignment vertical="center"/>
    </xf>
    <xf numFmtId="9" fontId="4" fillId="2" borderId="49" xfId="2" applyFont="1" applyFill="1" applyBorder="1" applyAlignment="1">
      <alignment vertical="center"/>
    </xf>
    <xf numFmtId="165" fontId="4" fillId="2" borderId="197" xfId="1" applyNumberFormat="1" applyFont="1" applyFill="1" applyBorder="1" applyAlignment="1">
      <alignment vertical="center"/>
    </xf>
    <xf numFmtId="165" fontId="4" fillId="2" borderId="48" xfId="1" applyNumberFormat="1" applyFont="1" applyFill="1" applyBorder="1" applyAlignment="1">
      <alignment vertical="center"/>
    </xf>
    <xf numFmtId="165" fontId="4" fillId="2" borderId="198" xfId="1" applyNumberFormat="1" applyFont="1" applyFill="1" applyBorder="1" applyAlignment="1">
      <alignment vertical="center"/>
    </xf>
    <xf numFmtId="0" fontId="4" fillId="2" borderId="199" xfId="0" applyFont="1" applyFill="1" applyBorder="1" applyAlignment="1">
      <alignment horizontal="center" vertical="center"/>
    </xf>
    <xf numFmtId="164" fontId="4" fillId="2" borderId="92" xfId="5" applyNumberFormat="1" applyFont="1" applyFill="1" applyBorder="1" applyAlignment="1">
      <alignment vertical="center"/>
    </xf>
    <xf numFmtId="9" fontId="4" fillId="2" borderId="93" xfId="2" applyFont="1" applyFill="1" applyBorder="1" applyAlignment="1">
      <alignment vertical="center"/>
    </xf>
    <xf numFmtId="169" fontId="4" fillId="2" borderId="85" xfId="1" applyNumberFormat="1" applyFont="1" applyFill="1" applyBorder="1" applyAlignment="1">
      <alignment horizontal="center" vertical="center"/>
    </xf>
    <xf numFmtId="0" fontId="4" fillId="2" borderId="137" xfId="0" applyFont="1" applyFill="1" applyBorder="1" applyAlignment="1">
      <alignment horizontal="center" vertical="center"/>
    </xf>
    <xf numFmtId="0" fontId="4" fillId="2" borderId="203" xfId="0" applyFont="1" applyFill="1" applyBorder="1" applyAlignment="1">
      <alignment horizontal="center" vertical="center"/>
    </xf>
    <xf numFmtId="164" fontId="4" fillId="2" borderId="60" xfId="5" applyNumberFormat="1" applyFont="1" applyFill="1" applyBorder="1" applyAlignment="1">
      <alignment vertical="center"/>
    </xf>
    <xf numFmtId="43" fontId="5" fillId="2" borderId="82" xfId="1" applyFont="1" applyFill="1" applyBorder="1" applyAlignment="1">
      <alignment horizontal="center" vertical="center"/>
    </xf>
    <xf numFmtId="43" fontId="5" fillId="2" borderId="322" xfId="1" applyFont="1" applyFill="1" applyBorder="1" applyAlignment="1">
      <alignment horizontal="center" vertical="center"/>
    </xf>
    <xf numFmtId="9" fontId="12" fillId="0" borderId="109" xfId="2" applyFont="1" applyFill="1" applyBorder="1" applyAlignment="1">
      <alignment vertical="center"/>
    </xf>
    <xf numFmtId="9" fontId="12" fillId="0" borderId="71" xfId="2" applyFont="1" applyFill="1" applyBorder="1" applyAlignment="1">
      <alignment horizontal="center" vertical="center"/>
    </xf>
    <xf numFmtId="165" fontId="4" fillId="2" borderId="0" xfId="6" applyNumberFormat="1" applyFont="1" applyFill="1" applyBorder="1" applyAlignment="1">
      <alignment vertical="center"/>
    </xf>
    <xf numFmtId="165" fontId="4" fillId="18" borderId="0" xfId="1" applyNumberFormat="1" applyFont="1" applyFill="1" applyBorder="1" applyAlignment="1">
      <alignment vertical="center"/>
    </xf>
    <xf numFmtId="165" fontId="12" fillId="2" borderId="0" xfId="0" applyNumberFormat="1" applyFont="1" applyFill="1" applyBorder="1" applyAlignment="1">
      <alignment horizontal="right" vertical="center"/>
    </xf>
    <xf numFmtId="43" fontId="4" fillId="2" borderId="0" xfId="1" applyFont="1" applyFill="1" applyAlignment="1">
      <alignment vertical="center"/>
    </xf>
    <xf numFmtId="1" fontId="42" fillId="2" borderId="33" xfId="0" applyNumberFormat="1" applyFont="1" applyFill="1" applyBorder="1" applyAlignment="1">
      <alignment horizontal="center" vertical="center"/>
    </xf>
    <xf numFmtId="9" fontId="0" fillId="2" borderId="14" xfId="2" applyFont="1" applyFill="1" applyBorder="1"/>
    <xf numFmtId="9" fontId="3" fillId="2" borderId="27" xfId="2" applyFont="1" applyFill="1" applyBorder="1"/>
    <xf numFmtId="164" fontId="0" fillId="2" borderId="30" xfId="6" applyNumberFormat="1" applyFont="1" applyFill="1" applyBorder="1" applyAlignment="1"/>
    <xf numFmtId="165" fontId="4" fillId="2" borderId="10" xfId="2" applyNumberFormat="1" applyFont="1" applyFill="1" applyBorder="1" applyAlignment="1">
      <alignment vertical="center"/>
    </xf>
    <xf numFmtId="165" fontId="61" fillId="2" borderId="10" xfId="2" applyNumberFormat="1" applyFont="1" applyFill="1" applyBorder="1" applyAlignment="1">
      <alignment vertical="center"/>
    </xf>
    <xf numFmtId="171" fontId="4" fillId="2" borderId="10" xfId="2" applyNumberFormat="1" applyFont="1" applyFill="1" applyBorder="1" applyAlignment="1">
      <alignment vertical="center"/>
    </xf>
    <xf numFmtId="165" fontId="4" fillId="2" borderId="145" xfId="2" applyNumberFormat="1" applyFont="1" applyFill="1" applyBorder="1" applyAlignment="1">
      <alignment vertical="center"/>
    </xf>
    <xf numFmtId="165" fontId="61" fillId="2" borderId="196" xfId="1" applyNumberFormat="1" applyFont="1" applyFill="1" applyBorder="1" applyAlignment="1">
      <alignment vertical="center"/>
    </xf>
    <xf numFmtId="165" fontId="4" fillId="0" borderId="196" xfId="1" applyNumberFormat="1" applyFont="1" applyFill="1" applyBorder="1" applyAlignment="1">
      <alignment vertical="center"/>
    </xf>
    <xf numFmtId="165" fontId="4" fillId="0" borderId="205" xfId="1" applyNumberFormat="1" applyFont="1" applyFill="1" applyBorder="1" applyAlignment="1">
      <alignment vertical="center"/>
    </xf>
    <xf numFmtId="165" fontId="4" fillId="0" borderId="117" xfId="1" applyNumberFormat="1" applyFont="1" applyFill="1" applyBorder="1" applyAlignment="1">
      <alignment vertical="center"/>
    </xf>
    <xf numFmtId="164" fontId="0" fillId="2" borderId="330" xfId="6" applyNumberFormat="1" applyFont="1" applyFill="1" applyBorder="1" applyAlignment="1">
      <alignment vertical="center"/>
    </xf>
    <xf numFmtId="0" fontId="13" fillId="2" borderId="26" xfId="0" applyFont="1" applyFill="1" applyBorder="1"/>
    <xf numFmtId="165" fontId="0" fillId="2" borderId="331" xfId="6" applyNumberFormat="1" applyFont="1" applyFill="1" applyBorder="1" applyAlignment="1">
      <alignment vertical="center"/>
    </xf>
    <xf numFmtId="164" fontId="0" fillId="2" borderId="155" xfId="0" applyNumberFormat="1" applyFill="1" applyBorder="1" applyAlignment="1">
      <alignment vertical="center"/>
    </xf>
    <xf numFmtId="164" fontId="0" fillId="2" borderId="167" xfId="0" applyNumberFormat="1" applyFill="1" applyBorder="1" applyAlignment="1">
      <alignment vertical="center"/>
    </xf>
    <xf numFmtId="164" fontId="0" fillId="2" borderId="174" xfId="0" applyNumberFormat="1" applyFill="1" applyBorder="1" applyAlignment="1">
      <alignment vertical="center"/>
    </xf>
    <xf numFmtId="164" fontId="0" fillId="2" borderId="175" xfId="0" applyNumberFormat="1" applyFill="1" applyBorder="1" applyAlignment="1">
      <alignment vertical="center"/>
    </xf>
    <xf numFmtId="165" fontId="0" fillId="2" borderId="330" xfId="6" applyNumberFormat="1" applyFont="1" applyFill="1" applyBorder="1" applyAlignment="1">
      <alignment vertical="center"/>
    </xf>
    <xf numFmtId="165" fontId="0" fillId="10" borderId="330" xfId="6" applyNumberFormat="1" applyFont="1" applyFill="1" applyBorder="1" applyAlignment="1">
      <alignment vertical="center"/>
    </xf>
    <xf numFmtId="165" fontId="0" fillId="10" borderId="0" xfId="6" applyNumberFormat="1" applyFont="1" applyFill="1" applyBorder="1" applyAlignment="1">
      <alignment vertical="center"/>
    </xf>
    <xf numFmtId="166" fontId="0" fillId="2" borderId="0" xfId="6" applyFont="1" applyFill="1" applyBorder="1" applyAlignment="1">
      <alignment vertical="center"/>
    </xf>
    <xf numFmtId="0" fontId="0" fillId="2" borderId="155" xfId="0" applyFill="1" applyBorder="1" applyAlignment="1">
      <alignment vertical="center"/>
    </xf>
    <xf numFmtId="0" fontId="0" fillId="2" borderId="167" xfId="0" applyFill="1" applyBorder="1" applyAlignment="1">
      <alignment vertical="center"/>
    </xf>
    <xf numFmtId="0" fontId="5" fillId="2" borderId="10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0" fontId="0" fillId="2" borderId="10" xfId="0" applyFont="1" applyFill="1" applyBorder="1" applyAlignment="1">
      <alignment vertical="center"/>
    </xf>
    <xf numFmtId="0" fontId="46" fillId="0" borderId="0" xfId="0" applyFont="1" applyFill="1" applyBorder="1" applyAlignment="1">
      <alignment vertical="center"/>
    </xf>
    <xf numFmtId="166" fontId="0" fillId="2" borderId="13" xfId="6" applyFont="1" applyFill="1" applyBorder="1" applyAlignment="1">
      <alignment vertical="center"/>
    </xf>
    <xf numFmtId="164" fontId="0" fillId="21" borderId="0" xfId="0" applyNumberFormat="1" applyFill="1" applyBorder="1"/>
    <xf numFmtId="165" fontId="1" fillId="10" borderId="0" xfId="6" applyNumberFormat="1" applyFont="1" applyFill="1" applyBorder="1"/>
    <xf numFmtId="0" fontId="0" fillId="21" borderId="0" xfId="0" applyFill="1" applyBorder="1"/>
    <xf numFmtId="9" fontId="0" fillId="2" borderId="20" xfId="2" applyFont="1" applyFill="1" applyBorder="1"/>
    <xf numFmtId="9" fontId="0" fillId="2" borderId="0" xfId="0" applyNumberFormat="1" applyFill="1" applyBorder="1"/>
    <xf numFmtId="43" fontId="0" fillId="2" borderId="13" xfId="6" applyNumberFormat="1" applyFont="1" applyFill="1" applyBorder="1" applyAlignment="1">
      <alignment vertical="center"/>
    </xf>
    <xf numFmtId="0" fontId="21" fillId="22" borderId="33" xfId="0" applyFont="1" applyFill="1" applyBorder="1" applyAlignment="1">
      <alignment horizontal="center" vertical="center" wrapText="1"/>
    </xf>
    <xf numFmtId="164" fontId="21" fillId="22" borderId="34" xfId="6" applyNumberFormat="1" applyFont="1" applyFill="1" applyBorder="1" applyAlignment="1">
      <alignment horizontal="center" vertical="center" wrapText="1"/>
    </xf>
    <xf numFmtId="9" fontId="21" fillId="22" borderId="34" xfId="2" applyFont="1" applyFill="1" applyBorder="1" applyAlignment="1">
      <alignment horizontal="center" vertical="center" wrapText="1"/>
    </xf>
    <xf numFmtId="9" fontId="21" fillId="22" borderId="69" xfId="2" applyFont="1" applyFill="1" applyBorder="1" applyAlignment="1">
      <alignment horizontal="center" vertical="center" wrapText="1"/>
    </xf>
    <xf numFmtId="0" fontId="21" fillId="22" borderId="14" xfId="0" applyFont="1" applyFill="1" applyBorder="1" applyAlignment="1">
      <alignment horizontal="center" vertical="center" wrapText="1"/>
    </xf>
    <xf numFmtId="164" fontId="21" fillId="22" borderId="15" xfId="6" applyNumberFormat="1" applyFont="1" applyFill="1" applyBorder="1" applyAlignment="1">
      <alignment horizontal="center" vertical="center" wrapText="1"/>
    </xf>
    <xf numFmtId="9" fontId="21" fillId="22" borderId="18" xfId="2" applyFont="1" applyFill="1" applyBorder="1" applyAlignment="1">
      <alignment horizontal="center" vertical="center" wrapText="1"/>
    </xf>
    <xf numFmtId="0" fontId="21" fillId="22" borderId="15" xfId="0" applyFont="1" applyFill="1" applyBorder="1" applyAlignment="1">
      <alignment horizontal="center" vertical="center" wrapText="1"/>
    </xf>
    <xf numFmtId="0" fontId="21" fillId="22" borderId="18" xfId="0" applyFont="1" applyFill="1" applyBorder="1" applyAlignment="1">
      <alignment horizontal="center" vertical="center" wrapText="1"/>
    </xf>
    <xf numFmtId="9" fontId="21" fillId="22" borderId="15" xfId="2" applyFont="1" applyFill="1" applyBorder="1" applyAlignment="1">
      <alignment horizontal="center" vertical="center" wrapText="1"/>
    </xf>
    <xf numFmtId="164" fontId="21" fillId="22" borderId="14" xfId="6" applyNumberFormat="1" applyFont="1" applyFill="1" applyBorder="1" applyAlignment="1">
      <alignment horizontal="center" vertical="center" wrapText="1"/>
    </xf>
    <xf numFmtId="164" fontId="12" fillId="21" borderId="6" xfId="6" applyNumberFormat="1" applyFont="1" applyFill="1" applyBorder="1" applyAlignment="1">
      <alignment horizontal="center" vertical="center" wrapText="1"/>
    </xf>
    <xf numFmtId="164" fontId="12" fillId="21" borderId="0" xfId="6" applyNumberFormat="1" applyFont="1" applyFill="1" applyBorder="1" applyAlignment="1">
      <alignment horizontal="center" vertical="center" wrapText="1"/>
    </xf>
    <xf numFmtId="164" fontId="12" fillId="21" borderId="15" xfId="6" applyNumberFormat="1" applyFont="1" applyFill="1" applyBorder="1" applyAlignment="1">
      <alignment horizontal="center" vertical="center" wrapText="1"/>
    </xf>
    <xf numFmtId="9" fontId="12" fillId="21" borderId="18" xfId="2" applyFont="1" applyFill="1" applyBorder="1" applyAlignment="1">
      <alignment horizontal="center" vertical="center" wrapText="1"/>
    </xf>
    <xf numFmtId="164" fontId="12" fillId="21" borderId="14" xfId="6" applyNumberFormat="1" applyFont="1" applyFill="1" applyBorder="1" applyAlignment="1">
      <alignment horizontal="center" vertical="center" wrapText="1"/>
    </xf>
    <xf numFmtId="9" fontId="12" fillId="21" borderId="15" xfId="2" applyFont="1" applyFill="1" applyBorder="1" applyAlignment="1">
      <alignment horizontal="center" vertical="center" wrapText="1"/>
    </xf>
    <xf numFmtId="0" fontId="21" fillId="21" borderId="14" xfId="0" applyFont="1" applyFill="1" applyBorder="1" applyAlignment="1">
      <alignment horizontal="center" vertical="center" wrapText="1"/>
    </xf>
    <xf numFmtId="164" fontId="21" fillId="21" borderId="15" xfId="6" applyNumberFormat="1" applyFont="1" applyFill="1" applyBorder="1" applyAlignment="1">
      <alignment horizontal="center" vertical="center" wrapText="1"/>
    </xf>
    <xf numFmtId="9" fontId="21" fillId="21" borderId="15" xfId="2" applyFont="1" applyFill="1" applyBorder="1" applyAlignment="1">
      <alignment horizontal="center" vertical="center" wrapText="1"/>
    </xf>
    <xf numFmtId="9" fontId="21" fillId="21" borderId="18" xfId="2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166" fontId="4" fillId="2" borderId="118" xfId="6" applyFont="1" applyFill="1" applyBorder="1" applyAlignment="1">
      <alignment horizontal="center" vertical="center"/>
    </xf>
    <xf numFmtId="165" fontId="4" fillId="2" borderId="324" xfId="1" applyNumberFormat="1" applyFont="1" applyFill="1" applyBorder="1" applyAlignment="1">
      <alignment vertical="center"/>
    </xf>
    <xf numFmtId="165" fontId="4" fillId="2" borderId="337" xfId="1" applyNumberFormat="1" applyFont="1" applyFill="1" applyBorder="1" applyAlignment="1">
      <alignment vertical="center"/>
    </xf>
    <xf numFmtId="165" fontId="61" fillId="2" borderId="338" xfId="1" applyNumberFormat="1" applyFont="1" applyFill="1" applyBorder="1" applyAlignment="1">
      <alignment vertical="center"/>
    </xf>
    <xf numFmtId="165" fontId="4" fillId="2" borderId="338" xfId="1" applyNumberFormat="1" applyFont="1" applyFill="1" applyBorder="1" applyAlignment="1">
      <alignment vertical="center"/>
    </xf>
    <xf numFmtId="0" fontId="55" fillId="2" borderId="0" xfId="0" applyFont="1" applyFill="1" applyAlignment="1">
      <alignment vertical="center"/>
    </xf>
    <xf numFmtId="164" fontId="12" fillId="2" borderId="117" xfId="6" applyNumberFormat="1" applyFont="1" applyFill="1" applyBorder="1" applyAlignment="1">
      <alignment horizontal="center" vertical="center"/>
    </xf>
    <xf numFmtId="164" fontId="12" fillId="2" borderId="37" xfId="6" applyNumberFormat="1" applyFont="1" applyFill="1" applyBorder="1" applyAlignment="1">
      <alignment vertical="center"/>
    </xf>
    <xf numFmtId="164" fontId="12" fillId="2" borderId="37" xfId="6" applyNumberFormat="1" applyFont="1" applyFill="1" applyBorder="1" applyAlignment="1">
      <alignment horizontal="center" vertical="center"/>
    </xf>
    <xf numFmtId="165" fontId="12" fillId="2" borderId="37" xfId="6" applyNumberFormat="1" applyFont="1" applyFill="1" applyBorder="1" applyAlignment="1">
      <alignment horizontal="center" vertical="center"/>
    </xf>
    <xf numFmtId="164" fontId="74" fillId="2" borderId="117" xfId="6" applyNumberFormat="1" applyFont="1" applyFill="1" applyBorder="1" applyAlignment="1">
      <alignment horizontal="center" vertical="center"/>
    </xf>
    <xf numFmtId="164" fontId="74" fillId="2" borderId="37" xfId="6" applyNumberFormat="1" applyFont="1" applyFill="1" applyBorder="1" applyAlignment="1">
      <alignment vertical="center"/>
    </xf>
    <xf numFmtId="0" fontId="4" fillId="0" borderId="70" xfId="6" applyNumberFormat="1" applyFont="1" applyFill="1" applyBorder="1" applyAlignment="1">
      <alignment horizontal="center" vertical="center"/>
    </xf>
    <xf numFmtId="0" fontId="4" fillId="2" borderId="70" xfId="6" applyNumberFormat="1" applyFont="1" applyFill="1" applyBorder="1" applyAlignment="1">
      <alignment horizontal="center" vertical="center"/>
    </xf>
    <xf numFmtId="164" fontId="12" fillId="2" borderId="67" xfId="6" applyNumberFormat="1" applyFont="1" applyFill="1" applyBorder="1" applyAlignment="1">
      <alignment vertical="center"/>
    </xf>
    <xf numFmtId="9" fontId="12" fillId="0" borderId="63" xfId="2" applyFont="1" applyFill="1" applyBorder="1" applyAlignment="1">
      <alignment vertical="center"/>
    </xf>
    <xf numFmtId="49" fontId="4" fillId="0" borderId="57" xfId="6" applyNumberFormat="1" applyFont="1" applyFill="1" applyBorder="1" applyAlignment="1">
      <alignment horizontal="center" vertical="center"/>
    </xf>
    <xf numFmtId="49" fontId="4" fillId="2" borderId="57" xfId="0" applyNumberFormat="1" applyFont="1" applyFill="1" applyBorder="1" applyAlignment="1">
      <alignment horizontal="center" vertical="center"/>
    </xf>
    <xf numFmtId="49" fontId="4" fillId="2" borderId="57" xfId="6" applyNumberFormat="1" applyFont="1" applyFill="1" applyBorder="1" applyAlignment="1">
      <alignment horizontal="center" vertical="center"/>
    </xf>
    <xf numFmtId="166" fontId="4" fillId="2" borderId="123" xfId="6" applyFont="1" applyFill="1" applyBorder="1" applyAlignment="1">
      <alignment horizontal="center" vertical="center"/>
    </xf>
    <xf numFmtId="166" fontId="4" fillId="2" borderId="71" xfId="6" applyFont="1" applyFill="1" applyBorder="1" applyAlignment="1">
      <alignment horizontal="center" vertical="center"/>
    </xf>
    <xf numFmtId="0" fontId="4" fillId="2" borderId="326" xfId="0" applyFont="1" applyFill="1" applyBorder="1" applyAlignment="1">
      <alignment horizontal="center" vertical="center"/>
    </xf>
    <xf numFmtId="0" fontId="4" fillId="2" borderId="107" xfId="0" applyFont="1" applyFill="1" applyBorder="1" applyAlignment="1">
      <alignment horizontal="center" vertical="center"/>
    </xf>
    <xf numFmtId="164" fontId="4" fillId="2" borderId="191" xfId="6" applyNumberFormat="1" applyFont="1" applyFill="1" applyBorder="1" applyAlignment="1">
      <alignment vertical="center"/>
    </xf>
    <xf numFmtId="164" fontId="4" fillId="2" borderId="127" xfId="6" applyNumberFormat="1" applyFont="1" applyFill="1" applyBorder="1" applyAlignment="1">
      <alignment vertical="center"/>
    </xf>
    <xf numFmtId="9" fontId="4" fillId="2" borderId="191" xfId="2" applyFont="1" applyFill="1" applyBorder="1" applyAlignment="1">
      <alignment horizontal="center" vertical="center"/>
    </xf>
    <xf numFmtId="164" fontId="4" fillId="0" borderId="127" xfId="6" applyNumberFormat="1" applyFont="1" applyFill="1" applyBorder="1" applyAlignment="1">
      <alignment vertical="center"/>
    </xf>
    <xf numFmtId="9" fontId="4" fillId="0" borderId="109" xfId="2" applyFont="1" applyFill="1" applyBorder="1" applyAlignment="1">
      <alignment horizontal="center" vertical="center"/>
    </xf>
    <xf numFmtId="9" fontId="4" fillId="2" borderId="191" xfId="2" applyFont="1" applyFill="1" applyBorder="1" applyAlignment="1">
      <alignment vertical="center"/>
    </xf>
    <xf numFmtId="0" fontId="4" fillId="0" borderId="348" xfId="0" applyFont="1" applyFill="1" applyBorder="1" applyAlignment="1">
      <alignment horizontal="center" vertical="center"/>
    </xf>
    <xf numFmtId="0" fontId="4" fillId="0" borderId="127" xfId="0" applyNumberFormat="1" applyFont="1" applyBorder="1"/>
    <xf numFmtId="164" fontId="4" fillId="0" borderId="116" xfId="6" applyNumberFormat="1" applyFont="1" applyFill="1" applyBorder="1" applyAlignment="1">
      <alignment vertical="center"/>
    </xf>
    <xf numFmtId="9" fontId="4" fillId="2" borderId="190" xfId="2" applyFont="1" applyFill="1" applyBorder="1" applyAlignment="1">
      <alignment vertical="center"/>
    </xf>
    <xf numFmtId="0" fontId="4" fillId="0" borderId="108" xfId="0" applyFont="1" applyFill="1" applyBorder="1" applyAlignment="1">
      <alignment horizontal="center" vertical="center"/>
    </xf>
    <xf numFmtId="9" fontId="4" fillId="2" borderId="190" xfId="2" applyFont="1" applyFill="1" applyBorder="1" applyAlignment="1">
      <alignment horizontal="center" vertical="center"/>
    </xf>
    <xf numFmtId="164" fontId="4" fillId="2" borderId="108" xfId="6" applyNumberFormat="1" applyFont="1" applyFill="1" applyBorder="1" applyAlignment="1">
      <alignment vertical="center"/>
    </xf>
    <xf numFmtId="166" fontId="4" fillId="2" borderId="190" xfId="6" applyFont="1" applyFill="1" applyBorder="1" applyAlignment="1">
      <alignment horizontal="center" vertical="center"/>
    </xf>
    <xf numFmtId="164" fontId="12" fillId="2" borderId="126" xfId="0" applyNumberFormat="1" applyFont="1" applyFill="1" applyBorder="1" applyAlignment="1">
      <alignment vertical="center"/>
    </xf>
    <xf numFmtId="164" fontId="12" fillId="2" borderId="127" xfId="0" applyNumberFormat="1" applyFont="1" applyFill="1" applyBorder="1" applyAlignment="1">
      <alignment vertical="center"/>
    </xf>
    <xf numFmtId="9" fontId="12" fillId="2" borderId="145" xfId="2" applyFont="1" applyFill="1" applyBorder="1" applyAlignment="1">
      <alignment vertical="center"/>
    </xf>
    <xf numFmtId="0" fontId="12" fillId="23" borderId="81" xfId="0" applyFont="1" applyFill="1" applyBorder="1" applyAlignment="1">
      <alignment horizontal="center" vertical="center"/>
    </xf>
    <xf numFmtId="164" fontId="12" fillId="23" borderId="82" xfId="6" applyNumberFormat="1" applyFont="1" applyFill="1" applyBorder="1" applyAlignment="1">
      <alignment vertical="center"/>
    </xf>
    <xf numFmtId="9" fontId="12" fillId="23" borderId="83" xfId="2" applyFont="1" applyFill="1" applyBorder="1" applyAlignment="1">
      <alignment horizontal="center" vertical="center"/>
    </xf>
    <xf numFmtId="1" fontId="12" fillId="2" borderId="117" xfId="0" applyNumberFormat="1" applyFont="1" applyFill="1" applyBorder="1" applyAlignment="1">
      <alignment vertical="center"/>
    </xf>
    <xf numFmtId="0" fontId="4" fillId="2" borderId="66" xfId="0" applyFont="1" applyFill="1" applyBorder="1" applyAlignment="1">
      <alignment horizontal="center" vertical="center"/>
    </xf>
    <xf numFmtId="164" fontId="4" fillId="2" borderId="65" xfId="6" applyNumberFormat="1" applyFont="1" applyFill="1" applyBorder="1" applyAlignment="1">
      <alignment horizontal="center" vertical="center"/>
    </xf>
    <xf numFmtId="9" fontId="4" fillId="2" borderId="101" xfId="2" applyFont="1" applyFill="1" applyBorder="1" applyAlignment="1">
      <alignment horizontal="center" vertical="center"/>
    </xf>
    <xf numFmtId="9" fontId="4" fillId="0" borderId="102" xfId="2" applyFont="1" applyFill="1" applyBorder="1" applyAlignment="1">
      <alignment horizontal="center" vertical="center"/>
    </xf>
    <xf numFmtId="0" fontId="4" fillId="2" borderId="205" xfId="0" applyFont="1" applyFill="1" applyBorder="1" applyAlignment="1">
      <alignment horizontal="center" vertical="center"/>
    </xf>
    <xf numFmtId="9" fontId="4" fillId="2" borderId="142" xfId="2" applyFont="1" applyFill="1" applyBorder="1" applyAlignment="1">
      <alignment vertical="center"/>
    </xf>
    <xf numFmtId="166" fontId="4" fillId="2" borderId="142" xfId="6" applyFont="1" applyFill="1" applyBorder="1" applyAlignment="1">
      <alignment horizontal="center" vertical="center"/>
    </xf>
    <xf numFmtId="164" fontId="12" fillId="2" borderId="33" xfId="0" applyNumberFormat="1" applyFont="1" applyFill="1" applyBorder="1" applyAlignment="1">
      <alignment vertical="center"/>
    </xf>
    <xf numFmtId="164" fontId="12" fillId="2" borderId="34" xfId="0" applyNumberFormat="1" applyFont="1" applyFill="1" applyBorder="1" applyAlignment="1">
      <alignment vertical="center"/>
    </xf>
    <xf numFmtId="166" fontId="4" fillId="0" borderId="71" xfId="6" applyFont="1" applyFill="1" applyBorder="1" applyAlignment="1">
      <alignment horizontal="center" vertical="center"/>
    </xf>
    <xf numFmtId="166" fontId="4" fillId="2" borderId="109" xfId="6" applyFont="1" applyFill="1" applyBorder="1" applyAlignment="1">
      <alignment horizontal="center" vertical="center"/>
    </xf>
    <xf numFmtId="0" fontId="4" fillId="23" borderId="82" xfId="0" applyFont="1" applyFill="1" applyBorder="1" applyAlignment="1">
      <alignment horizontal="center" vertical="center"/>
    </xf>
    <xf numFmtId="164" fontId="12" fillId="23" borderId="20" xfId="0" applyNumberFormat="1" applyFont="1" applyFill="1" applyBorder="1" applyAlignment="1">
      <alignment vertical="center"/>
    </xf>
    <xf numFmtId="9" fontId="12" fillId="23" borderId="23" xfId="2" applyFont="1" applyFill="1" applyBorder="1" applyAlignment="1">
      <alignment vertical="center"/>
    </xf>
    <xf numFmtId="164" fontId="12" fillId="23" borderId="19" xfId="0" applyNumberFormat="1" applyFont="1" applyFill="1" applyBorder="1" applyAlignment="1">
      <alignment vertical="center"/>
    </xf>
    <xf numFmtId="3" fontId="4" fillId="0" borderId="66" xfId="0" applyNumberFormat="1" applyFont="1" applyFill="1" applyBorder="1" applyAlignment="1">
      <alignment horizontal="center" vertical="center" wrapText="1"/>
    </xf>
    <xf numFmtId="0" fontId="4" fillId="0" borderId="205" xfId="0" applyFont="1" applyFill="1" applyBorder="1" applyAlignment="1">
      <alignment horizontal="center" vertical="center"/>
    </xf>
    <xf numFmtId="164" fontId="4" fillId="0" borderId="103" xfId="6" applyNumberFormat="1" applyFont="1" applyFill="1" applyBorder="1" applyAlignment="1">
      <alignment vertical="center"/>
    </xf>
    <xf numFmtId="164" fontId="4" fillId="0" borderId="65" xfId="6" applyNumberFormat="1" applyFont="1" applyFill="1" applyBorder="1" applyAlignment="1">
      <alignment vertical="center"/>
    </xf>
    <xf numFmtId="166" fontId="4" fillId="2" borderId="102" xfId="6" applyFont="1" applyFill="1" applyBorder="1" applyAlignment="1">
      <alignment horizontal="center" vertical="center"/>
    </xf>
    <xf numFmtId="0" fontId="4" fillId="2" borderId="348" xfId="0" applyFont="1" applyFill="1" applyBorder="1" applyAlignment="1">
      <alignment horizontal="center" vertical="center"/>
    </xf>
    <xf numFmtId="164" fontId="4" fillId="2" borderId="116" xfId="6" applyNumberFormat="1" applyFont="1" applyFill="1" applyBorder="1" applyAlignment="1">
      <alignment vertical="center"/>
    </xf>
    <xf numFmtId="0" fontId="4" fillId="2" borderId="108" xfId="0" applyFont="1" applyFill="1" applyBorder="1" applyAlignment="1">
      <alignment vertical="center"/>
    </xf>
    <xf numFmtId="166" fontId="4" fillId="0" borderId="109" xfId="6" applyFont="1" applyFill="1" applyBorder="1" applyAlignment="1">
      <alignment horizontal="center" vertical="center"/>
    </xf>
    <xf numFmtId="0" fontId="4" fillId="23" borderId="19" xfId="0" applyFont="1" applyFill="1" applyBorder="1" applyAlignment="1">
      <alignment horizontal="center" vertical="center"/>
    </xf>
    <xf numFmtId="0" fontId="4" fillId="23" borderId="20" xfId="0" applyFont="1" applyFill="1" applyBorder="1" applyAlignment="1">
      <alignment vertical="center"/>
    </xf>
    <xf numFmtId="0" fontId="4" fillId="23" borderId="114" xfId="0" applyFont="1" applyFill="1" applyBorder="1" applyAlignment="1">
      <alignment horizontal="center" vertical="center"/>
    </xf>
    <xf numFmtId="0" fontId="12" fillId="23" borderId="19" xfId="0" applyFont="1" applyFill="1" applyBorder="1" applyAlignment="1">
      <alignment horizontal="center" vertical="center"/>
    </xf>
    <xf numFmtId="164" fontId="4" fillId="2" borderId="6" xfId="6" applyNumberFormat="1" applyFont="1" applyFill="1" applyBorder="1" applyAlignment="1">
      <alignment vertical="center"/>
    </xf>
    <xf numFmtId="0" fontId="4" fillId="2" borderId="343" xfId="0" applyFont="1" applyFill="1" applyBorder="1" applyAlignment="1">
      <alignment horizontal="center" vertical="center"/>
    </xf>
    <xf numFmtId="0" fontId="4" fillId="2" borderId="187" xfId="0" applyFont="1" applyFill="1" applyBorder="1" applyAlignment="1">
      <alignment horizontal="center" vertical="center"/>
    </xf>
    <xf numFmtId="0" fontId="4" fillId="2" borderId="152" xfId="0" applyFont="1" applyFill="1" applyBorder="1" applyAlignment="1">
      <alignment horizontal="center" vertical="center"/>
    </xf>
    <xf numFmtId="164" fontId="4" fillId="2" borderId="6" xfId="6" applyNumberFormat="1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164" fontId="4" fillId="2" borderId="15" xfId="6" applyNumberFormat="1" applyFont="1" applyFill="1" applyBorder="1" applyAlignment="1">
      <alignment vertical="center"/>
    </xf>
    <xf numFmtId="164" fontId="4" fillId="2" borderId="14" xfId="6" applyNumberFormat="1" applyFont="1" applyFill="1" applyBorder="1" applyAlignment="1">
      <alignment vertical="center"/>
    </xf>
    <xf numFmtId="166" fontId="4" fillId="2" borderId="18" xfId="6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vertical="center"/>
    </xf>
    <xf numFmtId="166" fontId="4" fillId="0" borderId="15" xfId="6" applyFont="1" applyFill="1" applyBorder="1" applyAlignment="1">
      <alignment horizontal="center" vertical="center"/>
    </xf>
    <xf numFmtId="164" fontId="12" fillId="2" borderId="14" xfId="0" applyNumberFormat="1" applyFont="1" applyFill="1" applyBorder="1" applyAlignment="1">
      <alignment vertical="center"/>
    </xf>
    <xf numFmtId="164" fontId="12" fillId="2" borderId="15" xfId="0" applyNumberFormat="1" applyFont="1" applyFill="1" applyBorder="1" applyAlignment="1">
      <alignment vertical="center"/>
    </xf>
    <xf numFmtId="165" fontId="42" fillId="2" borderId="0" xfId="0" applyNumberFormat="1" applyFont="1" applyFill="1" applyBorder="1"/>
    <xf numFmtId="164" fontId="0" fillId="2" borderId="0" xfId="0" applyNumberFormat="1" applyFill="1"/>
    <xf numFmtId="164" fontId="58" fillId="24" borderId="14" xfId="6" applyNumberFormat="1" applyFont="1" applyFill="1" applyBorder="1" applyAlignment="1">
      <alignment horizontal="center" vertical="center"/>
    </xf>
    <xf numFmtId="164" fontId="58" fillId="24" borderId="15" xfId="6" applyNumberFormat="1" applyFont="1" applyFill="1" applyBorder="1" applyAlignment="1">
      <alignment vertical="center"/>
    </xf>
    <xf numFmtId="164" fontId="41" fillId="24" borderId="0" xfId="6" applyNumberFormat="1" applyFont="1" applyFill="1" applyBorder="1" applyAlignment="1">
      <alignment horizontal="center" vertical="center"/>
    </xf>
    <xf numFmtId="165" fontId="41" fillId="24" borderId="0" xfId="1" applyNumberFormat="1" applyFont="1" applyFill="1" applyBorder="1" applyAlignment="1">
      <alignment vertical="center"/>
    </xf>
    <xf numFmtId="164" fontId="44" fillId="24" borderId="1" xfId="6" applyNumberFormat="1" applyFont="1" applyFill="1" applyBorder="1" applyAlignment="1">
      <alignment horizontal="center" vertical="center"/>
    </xf>
    <xf numFmtId="165" fontId="44" fillId="24" borderId="2" xfId="1" applyNumberFormat="1" applyFont="1" applyFill="1" applyBorder="1" applyAlignment="1">
      <alignment horizontal="center" vertical="center"/>
    </xf>
    <xf numFmtId="164" fontId="44" fillId="24" borderId="2" xfId="6" applyNumberFormat="1" applyFont="1" applyFill="1" applyBorder="1" applyAlignment="1">
      <alignment horizontal="center" vertical="center"/>
    </xf>
    <xf numFmtId="0" fontId="44" fillId="24" borderId="26" xfId="0" applyFont="1" applyFill="1" applyBorder="1" applyAlignment="1">
      <alignment horizontal="center" vertical="center"/>
    </xf>
    <xf numFmtId="165" fontId="44" fillId="24" borderId="0" xfId="1" applyNumberFormat="1" applyFont="1" applyFill="1" applyBorder="1" applyAlignment="1">
      <alignment vertical="center"/>
    </xf>
    <xf numFmtId="0" fontId="61" fillId="2" borderId="10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9" fontId="58" fillId="24" borderId="15" xfId="2" applyFont="1" applyFill="1" applyBorder="1" applyAlignment="1">
      <alignment horizontal="center" vertical="center"/>
    </xf>
    <xf numFmtId="9" fontId="58" fillId="24" borderId="18" xfId="2" applyFont="1" applyFill="1" applyBorder="1" applyAlignment="1">
      <alignment horizontal="center" vertical="center"/>
    </xf>
    <xf numFmtId="0" fontId="59" fillId="2" borderId="117" xfId="0" applyFont="1" applyFill="1" applyBorder="1" applyAlignment="1">
      <alignment vertical="center"/>
    </xf>
    <xf numFmtId="0" fontId="59" fillId="2" borderId="33" xfId="0" applyFont="1" applyFill="1" applyBorder="1" applyAlignment="1">
      <alignment vertical="center"/>
    </xf>
    <xf numFmtId="165" fontId="42" fillId="2" borderId="6" xfId="1" applyNumberFormat="1" applyFont="1" applyFill="1" applyBorder="1" applyAlignment="1">
      <alignment vertical="center"/>
    </xf>
    <xf numFmtId="165" fontId="42" fillId="2" borderId="0" xfId="1" applyNumberFormat="1" applyFont="1" applyFill="1" applyBorder="1" applyAlignment="1">
      <alignment vertical="center"/>
    </xf>
    <xf numFmtId="165" fontId="42" fillId="2" borderId="37" xfId="6" applyNumberFormat="1" applyFont="1" applyFill="1" applyBorder="1" applyAlignment="1">
      <alignment vertical="center"/>
    </xf>
    <xf numFmtId="165" fontId="42" fillId="2" borderId="117" xfId="0" applyNumberFormat="1" applyFont="1" applyFill="1" applyBorder="1" applyAlignment="1">
      <alignment horizontal="center" vertical="center"/>
    </xf>
    <xf numFmtId="165" fontId="42" fillId="2" borderId="37" xfId="0" applyNumberFormat="1" applyFont="1" applyFill="1" applyBorder="1" applyAlignment="1">
      <alignment horizontal="center" vertical="center"/>
    </xf>
    <xf numFmtId="166" fontId="42" fillId="2" borderId="33" xfId="6" applyFont="1" applyFill="1" applyBorder="1" applyAlignment="1">
      <alignment horizontal="center" vertical="center"/>
    </xf>
    <xf numFmtId="166" fontId="42" fillId="2" borderId="34" xfId="6" applyFont="1" applyFill="1" applyBorder="1" applyAlignment="1">
      <alignment horizontal="center" vertical="center"/>
    </xf>
    <xf numFmtId="165" fontId="42" fillId="2" borderId="117" xfId="1" applyNumberFormat="1" applyFont="1" applyFill="1" applyBorder="1" applyAlignment="1">
      <alignment horizontal="center" vertical="center"/>
    </xf>
    <xf numFmtId="0" fontId="42" fillId="2" borderId="350" xfId="0" applyFont="1" applyFill="1" applyBorder="1" applyAlignment="1">
      <alignment horizontal="left" vertical="center"/>
    </xf>
    <xf numFmtId="0" fontId="42" fillId="2" borderId="351" xfId="0" applyFont="1" applyFill="1" applyBorder="1" applyAlignment="1">
      <alignment horizontal="left" vertical="center"/>
    </xf>
    <xf numFmtId="0" fontId="76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left" vertical="center"/>
    </xf>
    <xf numFmtId="0" fontId="77" fillId="2" borderId="0" xfId="0" applyFont="1" applyFill="1" applyAlignment="1">
      <alignment vertical="center"/>
    </xf>
    <xf numFmtId="164" fontId="77" fillId="2" borderId="0" xfId="6" applyNumberFormat="1" applyFont="1" applyFill="1" applyAlignment="1">
      <alignment vertical="center"/>
    </xf>
    <xf numFmtId="166" fontId="12" fillId="2" borderId="0" xfId="6" applyNumberFormat="1" applyFont="1" applyFill="1" applyAlignment="1">
      <alignment vertical="center"/>
    </xf>
    <xf numFmtId="167" fontId="12" fillId="2" borderId="0" xfId="0" applyNumberFormat="1" applyFont="1" applyFill="1" applyAlignment="1">
      <alignment horizontal="center" vertical="center"/>
    </xf>
    <xf numFmtId="3" fontId="12" fillId="2" borderId="0" xfId="0" applyNumberFormat="1" applyFont="1" applyFill="1" applyAlignment="1">
      <alignment vertical="center"/>
    </xf>
    <xf numFmtId="167" fontId="70" fillId="2" borderId="0" xfId="0" applyNumberFormat="1" applyFont="1" applyFill="1" applyAlignment="1">
      <alignment horizontal="center" vertical="center"/>
    </xf>
    <xf numFmtId="0" fontId="70" fillId="2" borderId="0" xfId="0" applyFont="1" applyFill="1" applyAlignment="1">
      <alignment vertical="center"/>
    </xf>
    <xf numFmtId="49" fontId="12" fillId="2" borderId="0" xfId="0" applyNumberFormat="1" applyFont="1" applyFill="1" applyAlignment="1">
      <alignment horizontal="center" vertical="center"/>
    </xf>
    <xf numFmtId="0" fontId="12" fillId="26" borderId="0" xfId="0" applyFont="1" applyFill="1" applyAlignment="1">
      <alignment vertical="center"/>
    </xf>
    <xf numFmtId="164" fontId="12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166" fontId="77" fillId="2" borderId="0" xfId="0" applyNumberFormat="1" applyFont="1" applyFill="1" applyAlignment="1">
      <alignment vertical="center"/>
    </xf>
    <xf numFmtId="167" fontId="4" fillId="2" borderId="0" xfId="0" applyNumberFormat="1" applyFont="1" applyFill="1" applyAlignment="1">
      <alignment horizontal="center" vertical="center"/>
    </xf>
    <xf numFmtId="3" fontId="4" fillId="2" borderId="0" xfId="0" applyNumberFormat="1" applyFont="1" applyFill="1" applyAlignment="1">
      <alignment vertical="center"/>
    </xf>
    <xf numFmtId="164" fontId="4" fillId="2" borderId="0" xfId="6" applyNumberFormat="1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164" fontId="4" fillId="2" borderId="33" xfId="6" applyNumberFormat="1" applyFont="1" applyFill="1" applyBorder="1" applyAlignment="1">
      <alignment vertical="center"/>
    </xf>
    <xf numFmtId="164" fontId="21" fillId="2" borderId="6" xfId="6" applyNumberFormat="1" applyFont="1" applyFill="1" applyBorder="1" applyAlignment="1">
      <alignment vertical="center"/>
    </xf>
    <xf numFmtId="164" fontId="21" fillId="2" borderId="0" xfId="6" applyNumberFormat="1" applyFont="1" applyFill="1" applyBorder="1" applyAlignment="1">
      <alignment vertical="center"/>
    </xf>
    <xf numFmtId="164" fontId="21" fillId="2" borderId="6" xfId="6" applyNumberFormat="1" applyFont="1" applyFill="1" applyBorder="1" applyAlignment="1">
      <alignment horizontal="center" vertical="center"/>
    </xf>
    <xf numFmtId="164" fontId="4" fillId="2" borderId="414" xfId="6" applyNumberFormat="1" applyFont="1" applyFill="1" applyBorder="1" applyAlignment="1">
      <alignment horizontal="center" vertical="center"/>
    </xf>
    <xf numFmtId="164" fontId="4" fillId="2" borderId="284" xfId="0" applyNumberFormat="1" applyFont="1" applyFill="1" applyBorder="1" applyAlignment="1">
      <alignment vertical="center"/>
    </xf>
    <xf numFmtId="9" fontId="4" fillId="2" borderId="413" xfId="2" applyFont="1" applyFill="1" applyBorder="1" applyAlignment="1">
      <alignment vertical="center"/>
    </xf>
    <xf numFmtId="164" fontId="4" fillId="2" borderId="283" xfId="6" applyNumberFormat="1" applyFont="1" applyFill="1" applyBorder="1" applyAlignment="1">
      <alignment horizontal="center" vertical="center"/>
    </xf>
    <xf numFmtId="0" fontId="4" fillId="2" borderId="413" xfId="0" applyFont="1" applyFill="1" applyBorder="1" applyAlignment="1">
      <alignment horizontal="center" vertical="center"/>
    </xf>
    <xf numFmtId="164" fontId="12" fillId="2" borderId="56" xfId="0" applyNumberFormat="1" applyFont="1" applyFill="1" applyBorder="1" applyAlignment="1">
      <alignment vertical="center"/>
    </xf>
    <xf numFmtId="164" fontId="12" fillId="2" borderId="6" xfId="6" applyNumberFormat="1" applyFont="1" applyFill="1" applyBorder="1" applyAlignment="1">
      <alignment horizontal="center" vertical="center"/>
    </xf>
    <xf numFmtId="164" fontId="4" fillId="2" borderId="432" xfId="0" applyNumberFormat="1" applyFont="1" applyFill="1" applyBorder="1" applyAlignment="1">
      <alignment vertical="center"/>
    </xf>
    <xf numFmtId="0" fontId="4" fillId="2" borderId="433" xfId="0" applyFont="1" applyFill="1" applyBorder="1" applyAlignment="1">
      <alignment horizontal="center" vertical="center"/>
    </xf>
    <xf numFmtId="164" fontId="4" fillId="2" borderId="430" xfId="6" applyNumberFormat="1" applyFont="1" applyFill="1" applyBorder="1" applyAlignment="1">
      <alignment vertical="center"/>
    </xf>
    <xf numFmtId="9" fontId="4" fillId="2" borderId="434" xfId="2" applyFont="1" applyFill="1" applyBorder="1" applyAlignment="1">
      <alignment horizontal="center" vertical="center"/>
    </xf>
    <xf numFmtId="1" fontId="12" fillId="2" borderId="435" xfId="2" applyNumberFormat="1" applyFont="1" applyFill="1" applyBorder="1" applyAlignment="1">
      <alignment horizontal="center" vertical="center"/>
    </xf>
    <xf numFmtId="164" fontId="12" fillId="2" borderId="436" xfId="6" applyNumberFormat="1" applyFont="1" applyFill="1" applyBorder="1" applyAlignment="1">
      <alignment horizontal="center" vertical="center"/>
    </xf>
    <xf numFmtId="9" fontId="12" fillId="2" borderId="437" xfId="2" applyFont="1" applyFill="1" applyBorder="1" applyAlignment="1">
      <alignment horizontal="center" vertical="center"/>
    </xf>
    <xf numFmtId="1" fontId="4" fillId="2" borderId="433" xfId="0" applyNumberFormat="1" applyFont="1" applyFill="1" applyBorder="1" applyAlignment="1">
      <alignment horizontal="center" vertical="center"/>
    </xf>
    <xf numFmtId="1" fontId="4" fillId="2" borderId="429" xfId="0" applyNumberFormat="1" applyFont="1" applyFill="1" applyBorder="1" applyAlignment="1">
      <alignment horizontal="center" vertical="center"/>
    </xf>
    <xf numFmtId="164" fontId="4" fillId="2" borderId="430" xfId="0" applyNumberFormat="1" applyFont="1" applyFill="1" applyBorder="1" applyAlignment="1">
      <alignment vertical="center"/>
    </xf>
    <xf numFmtId="164" fontId="4" fillId="2" borderId="439" xfId="6" applyNumberFormat="1" applyFont="1" applyFill="1" applyBorder="1" applyAlignment="1">
      <alignment vertical="center"/>
    </xf>
    <xf numFmtId="9" fontId="4" fillId="2" borderId="438" xfId="2" applyFont="1" applyFill="1" applyBorder="1" applyAlignment="1">
      <alignment horizontal="center" vertical="center"/>
    </xf>
    <xf numFmtId="9" fontId="4" fillId="2" borderId="441" xfId="2" applyFont="1" applyFill="1" applyBorder="1" applyAlignment="1">
      <alignment horizontal="center" vertical="center"/>
    </xf>
    <xf numFmtId="0" fontId="4" fillId="2" borderId="36" xfId="0" applyFont="1" applyFill="1" applyBorder="1" applyAlignment="1">
      <alignment horizontal="center" vertical="center"/>
    </xf>
    <xf numFmtId="3" fontId="4" fillId="2" borderId="0" xfId="0" applyNumberFormat="1" applyFont="1" applyFill="1" applyBorder="1" applyAlignment="1">
      <alignment vertical="center"/>
    </xf>
    <xf numFmtId="167" fontId="4" fillId="2" borderId="0" xfId="0" applyNumberFormat="1" applyFont="1" applyFill="1" applyBorder="1" applyAlignment="1">
      <alignment horizontal="center" vertical="center"/>
    </xf>
    <xf numFmtId="0" fontId="4" fillId="2" borderId="443" xfId="0" applyFont="1" applyFill="1" applyBorder="1" applyAlignment="1">
      <alignment horizontal="center" vertical="center"/>
    </xf>
    <xf numFmtId="0" fontId="4" fillId="2" borderId="444" xfId="0" applyFont="1" applyFill="1" applyBorder="1" applyAlignment="1">
      <alignment horizontal="center" vertical="center"/>
    </xf>
    <xf numFmtId="164" fontId="4" fillId="2" borderId="446" xfId="0" applyNumberFormat="1" applyFont="1" applyFill="1" applyBorder="1" applyAlignment="1">
      <alignment vertical="center"/>
    </xf>
    <xf numFmtId="164" fontId="4" fillId="2" borderId="430" xfId="6" applyNumberFormat="1" applyFont="1" applyFill="1" applyBorder="1" applyAlignment="1">
      <alignment horizontal="center" vertical="center"/>
    </xf>
    <xf numFmtId="0" fontId="4" fillId="2" borderId="430" xfId="0" applyFont="1" applyFill="1" applyBorder="1" applyAlignment="1">
      <alignment horizontal="center" vertical="center"/>
    </xf>
    <xf numFmtId="164" fontId="4" fillId="2" borderId="429" xfId="6" applyNumberFormat="1" applyFont="1" applyFill="1" applyBorder="1" applyAlignment="1">
      <alignment horizontal="center" vertical="center"/>
    </xf>
    <xf numFmtId="9" fontId="4" fillId="2" borderId="430" xfId="2" applyFont="1" applyFill="1" applyBorder="1" applyAlignment="1">
      <alignment horizontal="center" vertical="center"/>
    </xf>
    <xf numFmtId="4" fontId="12" fillId="2" borderId="430" xfId="2" applyNumberFormat="1" applyFont="1" applyFill="1" applyBorder="1" applyAlignment="1">
      <alignment horizontal="center" vertical="center"/>
    </xf>
    <xf numFmtId="164" fontId="12" fillId="2" borderId="430" xfId="6" applyNumberFormat="1" applyFont="1" applyFill="1" applyBorder="1" applyAlignment="1">
      <alignment vertical="center"/>
    </xf>
    <xf numFmtId="9" fontId="12" fillId="2" borderId="430" xfId="2" applyFont="1" applyFill="1" applyBorder="1" applyAlignment="1">
      <alignment horizontal="center" vertical="center"/>
    </xf>
    <xf numFmtId="164" fontId="80" fillId="2" borderId="430" xfId="6" applyNumberFormat="1" applyFont="1" applyFill="1" applyBorder="1" applyAlignment="1">
      <alignment vertical="center"/>
    </xf>
    <xf numFmtId="0" fontId="80" fillId="2" borderId="430" xfId="0" applyFont="1" applyFill="1" applyBorder="1" applyAlignment="1">
      <alignment horizontal="center" vertical="center"/>
    </xf>
    <xf numFmtId="0" fontId="4" fillId="2" borderId="430" xfId="2" applyNumberFormat="1" applyFont="1" applyFill="1" applyBorder="1" applyAlignment="1">
      <alignment horizontal="center" vertical="center"/>
    </xf>
    <xf numFmtId="164" fontId="4" fillId="2" borderId="430" xfId="2" applyNumberFormat="1" applyFont="1" applyFill="1" applyBorder="1" applyAlignment="1">
      <alignment horizontal="center" vertical="center"/>
    </xf>
    <xf numFmtId="167" fontId="4" fillId="2" borderId="430" xfId="2" applyNumberFormat="1" applyFont="1" applyFill="1" applyBorder="1" applyAlignment="1">
      <alignment horizontal="center" vertical="center"/>
    </xf>
    <xf numFmtId="167" fontId="12" fillId="2" borderId="430" xfId="2" applyNumberFormat="1" applyFont="1" applyFill="1" applyBorder="1" applyAlignment="1">
      <alignment horizontal="center" vertical="center"/>
    </xf>
    <xf numFmtId="164" fontId="80" fillId="2" borderId="430" xfId="6" applyNumberFormat="1" applyFont="1" applyFill="1" applyBorder="1" applyAlignment="1">
      <alignment horizontal="center" vertical="center"/>
    </xf>
    <xf numFmtId="9" fontId="12" fillId="2" borderId="431" xfId="2" applyFont="1" applyFill="1" applyBorder="1" applyAlignment="1">
      <alignment horizontal="center" vertical="center"/>
    </xf>
    <xf numFmtId="164" fontId="4" fillId="2" borderId="429" xfId="0" applyNumberFormat="1" applyFont="1" applyFill="1" applyBorder="1" applyAlignment="1">
      <alignment vertical="center"/>
    </xf>
    <xf numFmtId="164" fontId="4" fillId="2" borderId="431" xfId="0" applyNumberFormat="1" applyFont="1" applyFill="1" applyBorder="1" applyAlignment="1">
      <alignment vertical="center"/>
    </xf>
    <xf numFmtId="164" fontId="4" fillId="2" borderId="433" xfId="0" applyNumberFormat="1" applyFont="1" applyFill="1" applyBorder="1" applyAlignment="1">
      <alignment vertical="center"/>
    </xf>
    <xf numFmtId="9" fontId="4" fillId="2" borderId="434" xfId="2" applyFont="1" applyFill="1" applyBorder="1" applyAlignment="1">
      <alignment vertical="center"/>
    </xf>
    <xf numFmtId="164" fontId="4" fillId="2" borderId="433" xfId="6" applyNumberFormat="1" applyFont="1" applyFill="1" applyBorder="1" applyAlignment="1">
      <alignment vertical="center"/>
    </xf>
    <xf numFmtId="0" fontId="4" fillId="2" borderId="434" xfId="0" applyFont="1" applyFill="1" applyBorder="1" applyAlignment="1">
      <alignment vertical="center"/>
    </xf>
    <xf numFmtId="164" fontId="4" fillId="2" borderId="429" xfId="6" applyNumberFormat="1" applyFont="1" applyFill="1" applyBorder="1" applyAlignment="1">
      <alignment vertical="center"/>
    </xf>
    <xf numFmtId="0" fontId="4" fillId="2" borderId="431" xfId="0" applyFont="1" applyFill="1" applyBorder="1" applyAlignment="1">
      <alignment vertical="center"/>
    </xf>
    <xf numFmtId="0" fontId="4" fillId="2" borderId="433" xfId="0" applyFont="1" applyFill="1" applyBorder="1" applyAlignment="1">
      <alignment vertical="center"/>
    </xf>
    <xf numFmtId="0" fontId="4" fillId="2" borderId="430" xfId="0" applyFont="1" applyFill="1" applyBorder="1" applyAlignment="1">
      <alignment vertical="center"/>
    </xf>
    <xf numFmtId="9" fontId="4" fillId="2" borderId="431" xfId="2" applyFont="1" applyFill="1" applyBorder="1" applyAlignment="1">
      <alignment vertical="center"/>
    </xf>
    <xf numFmtId="0" fontId="4" fillId="2" borderId="438" xfId="0" applyFont="1" applyFill="1" applyBorder="1" applyAlignment="1">
      <alignment horizontal="center" vertical="center"/>
    </xf>
    <xf numFmtId="0" fontId="4" fillId="2" borderId="440" xfId="0" applyFont="1" applyFill="1" applyBorder="1" applyAlignment="1">
      <alignment horizontal="center" vertical="center"/>
    </xf>
    <xf numFmtId="164" fontId="4" fillId="2" borderId="438" xfId="6" applyNumberFormat="1" applyFont="1" applyFill="1" applyBorder="1" applyAlignment="1">
      <alignment vertical="center"/>
    </xf>
    <xf numFmtId="167" fontId="4" fillId="2" borderId="440" xfId="0" applyNumberFormat="1" applyFont="1" applyFill="1" applyBorder="1" applyAlignment="1">
      <alignment horizontal="center" vertical="center"/>
    </xf>
    <xf numFmtId="167" fontId="4" fillId="2" borderId="36" xfId="0" applyNumberFormat="1" applyFont="1" applyFill="1" applyBorder="1" applyAlignment="1">
      <alignment horizontal="center" vertical="center"/>
    </xf>
    <xf numFmtId="167" fontId="80" fillId="2" borderId="430" xfId="0" applyNumberFormat="1" applyFont="1" applyFill="1" applyBorder="1" applyAlignment="1">
      <alignment horizontal="center" vertical="center"/>
    </xf>
    <xf numFmtId="166" fontId="4" fillId="2" borderId="430" xfId="6" applyFont="1" applyFill="1" applyBorder="1" applyAlignment="1">
      <alignment horizontal="center" vertical="center"/>
    </xf>
    <xf numFmtId="164" fontId="80" fillId="2" borderId="430" xfId="6" applyNumberFormat="1" applyFont="1" applyFill="1" applyBorder="1" applyAlignment="1"/>
    <xf numFmtId="164" fontId="4" fillId="2" borderId="430" xfId="6" applyNumberFormat="1" applyFont="1" applyFill="1" applyBorder="1"/>
    <xf numFmtId="0" fontId="80" fillId="2" borderId="433" xfId="0" applyFont="1" applyFill="1" applyBorder="1" applyAlignment="1">
      <alignment horizontal="center" vertical="center"/>
    </xf>
    <xf numFmtId="164" fontId="4" fillId="2" borderId="430" xfId="6" applyNumberFormat="1" applyFont="1" applyFill="1" applyBorder="1" applyAlignment="1">
      <alignment horizontal="right" vertical="center"/>
    </xf>
    <xf numFmtId="1" fontId="4" fillId="2" borderId="433" xfId="0" applyNumberFormat="1" applyFont="1" applyFill="1" applyBorder="1" applyAlignment="1">
      <alignment vertical="center"/>
    </xf>
    <xf numFmtId="166" fontId="4" fillId="2" borderId="430" xfId="6" applyFont="1" applyFill="1" applyBorder="1" applyAlignment="1">
      <alignment vertical="center"/>
    </xf>
    <xf numFmtId="164" fontId="80" fillId="2" borderId="430" xfId="6" applyNumberFormat="1" applyFont="1" applyFill="1" applyBorder="1"/>
    <xf numFmtId="166" fontId="12" fillId="2" borderId="430" xfId="6" applyFont="1" applyFill="1" applyBorder="1" applyAlignment="1">
      <alignment horizontal="center" vertical="center"/>
    </xf>
    <xf numFmtId="166" fontId="80" fillId="2" borderId="430" xfId="6" applyFont="1" applyFill="1" applyBorder="1" applyAlignment="1">
      <alignment vertical="center"/>
    </xf>
    <xf numFmtId="164" fontId="4" fillId="2" borderId="430" xfId="6" applyNumberFormat="1" applyFont="1" applyFill="1" applyBorder="1" applyAlignment="1">
      <alignment horizontal="center"/>
    </xf>
    <xf numFmtId="166" fontId="12" fillId="2" borderId="431" xfId="6" applyFont="1" applyFill="1" applyBorder="1" applyAlignment="1">
      <alignment horizontal="center" vertical="center"/>
    </xf>
    <xf numFmtId="164" fontId="80" fillId="2" borderId="430" xfId="6" applyNumberFormat="1" applyFont="1" applyFill="1" applyBorder="1" applyAlignment="1">
      <alignment horizontal="right" vertical="center"/>
    </xf>
    <xf numFmtId="0" fontId="4" fillId="0" borderId="447" xfId="0" applyFont="1" applyFill="1" applyBorder="1" applyAlignment="1">
      <alignment horizontal="center" vertical="center"/>
    </xf>
    <xf numFmtId="0" fontId="4" fillId="0" borderId="448" xfId="0" applyFont="1" applyFill="1" applyBorder="1" applyAlignment="1">
      <alignment horizontal="left" vertical="center" wrapText="1"/>
    </xf>
    <xf numFmtId="164" fontId="4" fillId="0" borderId="429" xfId="6" applyNumberFormat="1" applyFont="1" applyFill="1" applyBorder="1" applyAlignment="1">
      <alignment horizontal="center" vertical="center"/>
    </xf>
    <xf numFmtId="164" fontId="4" fillId="0" borderId="430" xfId="6" applyNumberFormat="1" applyFont="1" applyFill="1" applyBorder="1" applyAlignment="1">
      <alignment vertical="center"/>
    </xf>
    <xf numFmtId="9" fontId="4" fillId="0" borderId="430" xfId="2" applyFont="1" applyFill="1" applyBorder="1" applyAlignment="1">
      <alignment horizontal="center" vertical="center"/>
    </xf>
    <xf numFmtId="4" fontId="12" fillId="0" borderId="430" xfId="2" applyNumberFormat="1" applyFont="1" applyFill="1" applyBorder="1" applyAlignment="1">
      <alignment horizontal="center" vertical="center"/>
    </xf>
    <xf numFmtId="164" fontId="12" fillId="0" borderId="430" xfId="6" applyNumberFormat="1" applyFont="1" applyFill="1" applyBorder="1" applyAlignment="1">
      <alignment vertical="center"/>
    </xf>
    <xf numFmtId="9" fontId="12" fillId="0" borderId="430" xfId="2" applyFont="1" applyFill="1" applyBorder="1" applyAlignment="1">
      <alignment horizontal="center" vertical="center"/>
    </xf>
    <xf numFmtId="164" fontId="4" fillId="0" borderId="430" xfId="6" applyNumberFormat="1" applyFont="1" applyFill="1" applyBorder="1" applyAlignment="1">
      <alignment horizontal="center" vertical="center"/>
    </xf>
    <xf numFmtId="166" fontId="4" fillId="0" borderId="430" xfId="6" applyFont="1" applyFill="1" applyBorder="1" applyAlignment="1">
      <alignment horizontal="center" vertical="center"/>
    </xf>
    <xf numFmtId="164" fontId="80" fillId="0" borderId="430" xfId="6" applyNumberFormat="1" applyFont="1" applyFill="1" applyBorder="1" applyAlignment="1">
      <alignment vertical="center"/>
    </xf>
    <xf numFmtId="166" fontId="80" fillId="0" borderId="430" xfId="6" applyFont="1" applyFill="1" applyBorder="1" applyAlignment="1">
      <alignment vertical="center"/>
    </xf>
    <xf numFmtId="0" fontId="4" fillId="0" borderId="430" xfId="0" applyFont="1" applyFill="1" applyBorder="1" applyAlignment="1">
      <alignment horizontal="center" vertical="center"/>
    </xf>
    <xf numFmtId="164" fontId="4" fillId="0" borderId="430" xfId="0" applyNumberFormat="1" applyFont="1" applyFill="1" applyBorder="1" applyAlignment="1">
      <alignment vertical="center"/>
    </xf>
    <xf numFmtId="0" fontId="4" fillId="0" borderId="430" xfId="2" applyNumberFormat="1" applyFont="1" applyFill="1" applyBorder="1" applyAlignment="1">
      <alignment horizontal="center" vertical="center"/>
    </xf>
    <xf numFmtId="164" fontId="4" fillId="0" borderId="430" xfId="6" applyNumberFormat="1" applyFont="1" applyFill="1" applyBorder="1" applyAlignment="1">
      <alignment horizontal="right" vertical="center"/>
    </xf>
    <xf numFmtId="164" fontId="4" fillId="0" borderId="430" xfId="2" applyNumberFormat="1" applyFont="1" applyFill="1" applyBorder="1" applyAlignment="1">
      <alignment horizontal="center" vertical="center"/>
    </xf>
    <xf numFmtId="167" fontId="4" fillId="0" borderId="430" xfId="2" applyNumberFormat="1" applyFont="1" applyFill="1" applyBorder="1" applyAlignment="1">
      <alignment horizontal="center" vertical="center"/>
    </xf>
    <xf numFmtId="167" fontId="12" fillId="0" borderId="430" xfId="2" applyNumberFormat="1" applyFont="1" applyFill="1" applyBorder="1" applyAlignment="1">
      <alignment horizontal="center" vertical="center"/>
    </xf>
    <xf numFmtId="164" fontId="4" fillId="0" borderId="430" xfId="6" applyNumberFormat="1" applyFont="1" applyFill="1" applyBorder="1" applyAlignment="1">
      <alignment horizontal="center"/>
    </xf>
    <xf numFmtId="166" fontId="12" fillId="0" borderId="430" xfId="6" applyFont="1" applyFill="1" applyBorder="1" applyAlignment="1">
      <alignment horizontal="center" vertical="center"/>
    </xf>
    <xf numFmtId="166" fontId="12" fillId="0" borderId="431" xfId="6" applyFont="1" applyFill="1" applyBorder="1" applyAlignment="1">
      <alignment horizontal="center" vertical="center"/>
    </xf>
    <xf numFmtId="0" fontId="25" fillId="0" borderId="432" xfId="0" applyFont="1" applyFill="1" applyBorder="1" applyAlignment="1">
      <alignment horizontal="center" vertical="center"/>
    </xf>
    <xf numFmtId="164" fontId="4" fillId="0" borderId="429" xfId="0" applyNumberFormat="1" applyFont="1" applyFill="1" applyBorder="1" applyAlignment="1">
      <alignment vertical="center"/>
    </xf>
    <xf numFmtId="164" fontId="4" fillId="0" borderId="431" xfId="0" applyNumberFormat="1" applyFont="1" applyFill="1" applyBorder="1" applyAlignment="1">
      <alignment vertical="center"/>
    </xf>
    <xf numFmtId="164" fontId="4" fillId="0" borderId="433" xfId="0" applyNumberFormat="1" applyFont="1" applyFill="1" applyBorder="1" applyAlignment="1">
      <alignment vertical="center"/>
    </xf>
    <xf numFmtId="9" fontId="4" fillId="0" borderId="434" xfId="2" applyFont="1" applyFill="1" applyBorder="1" applyAlignment="1">
      <alignment vertical="center"/>
    </xf>
    <xf numFmtId="164" fontId="4" fillId="0" borderId="433" xfId="6" applyNumberFormat="1" applyFont="1" applyFill="1" applyBorder="1" applyAlignment="1">
      <alignment vertical="center"/>
    </xf>
    <xf numFmtId="0" fontId="4" fillId="0" borderId="434" xfId="0" applyFont="1" applyFill="1" applyBorder="1" applyAlignment="1">
      <alignment vertical="center"/>
    </xf>
    <xf numFmtId="164" fontId="4" fillId="0" borderId="429" xfId="6" applyNumberFormat="1" applyFont="1" applyFill="1" applyBorder="1" applyAlignment="1">
      <alignment vertical="center"/>
    </xf>
    <xf numFmtId="0" fontId="4" fillId="0" borderId="431" xfId="0" applyFont="1" applyFill="1" applyBorder="1" applyAlignment="1">
      <alignment vertical="center"/>
    </xf>
    <xf numFmtId="0" fontId="4" fillId="0" borderId="433" xfId="0" applyFont="1" applyFill="1" applyBorder="1" applyAlignment="1">
      <alignment horizontal="center" vertical="center"/>
    </xf>
    <xf numFmtId="0" fontId="4" fillId="0" borderId="433" xfId="0" applyFont="1" applyFill="1" applyBorder="1" applyAlignment="1">
      <alignment vertical="center"/>
    </xf>
    <xf numFmtId="0" fontId="4" fillId="0" borderId="430" xfId="0" applyFont="1" applyFill="1" applyBorder="1" applyAlignment="1">
      <alignment vertical="center"/>
    </xf>
    <xf numFmtId="9" fontId="4" fillId="0" borderId="434" xfId="2" applyFont="1" applyFill="1" applyBorder="1" applyAlignment="1">
      <alignment horizontal="center" vertical="center"/>
    </xf>
    <xf numFmtId="0" fontId="80" fillId="0" borderId="433" xfId="0" applyFont="1" applyFill="1" applyBorder="1" applyAlignment="1">
      <alignment horizontal="center" vertical="center"/>
    </xf>
    <xf numFmtId="166" fontId="4" fillId="0" borderId="429" xfId="6" applyFont="1" applyFill="1" applyBorder="1" applyAlignment="1">
      <alignment horizontal="center" vertical="center"/>
    </xf>
    <xf numFmtId="166" fontId="4" fillId="0" borderId="430" xfId="6" applyFont="1" applyFill="1" applyBorder="1" applyAlignment="1">
      <alignment vertical="center"/>
    </xf>
    <xf numFmtId="166" fontId="4" fillId="0" borderId="431" xfId="6" applyFont="1" applyFill="1" applyBorder="1" applyAlignment="1">
      <alignment vertical="center"/>
    </xf>
    <xf numFmtId="166" fontId="4" fillId="0" borderId="433" xfId="6" applyFont="1" applyFill="1" applyBorder="1" applyAlignment="1">
      <alignment vertical="center"/>
    </xf>
    <xf numFmtId="166" fontId="4" fillId="0" borderId="434" xfId="6" applyFont="1" applyFill="1" applyBorder="1" applyAlignment="1">
      <alignment vertical="center"/>
    </xf>
    <xf numFmtId="1" fontId="4" fillId="0" borderId="429" xfId="0" applyNumberFormat="1" applyFont="1" applyFill="1" applyBorder="1" applyAlignment="1">
      <alignment horizontal="center" vertical="center"/>
    </xf>
    <xf numFmtId="9" fontId="4" fillId="0" borderId="431" xfId="2" applyFont="1" applyFill="1" applyBorder="1" applyAlignment="1">
      <alignment vertical="center"/>
    </xf>
    <xf numFmtId="1" fontId="4" fillId="0" borderId="433" xfId="0" applyNumberFormat="1" applyFont="1" applyFill="1" applyBorder="1" applyAlignment="1">
      <alignment horizontal="center" vertical="center"/>
    </xf>
    <xf numFmtId="0" fontId="4" fillId="0" borderId="438" xfId="0" applyFont="1" applyFill="1" applyBorder="1" applyAlignment="1">
      <alignment horizontal="center" vertical="center"/>
    </xf>
    <xf numFmtId="164" fontId="4" fillId="0" borderId="439" xfId="6" applyNumberFormat="1" applyFont="1" applyFill="1" applyBorder="1" applyAlignment="1">
      <alignment vertical="center"/>
    </xf>
    <xf numFmtId="9" fontId="4" fillId="0" borderId="438" xfId="2" applyFont="1" applyFill="1" applyBorder="1" applyAlignment="1">
      <alignment horizontal="center" vertical="center"/>
    </xf>
    <xf numFmtId="0" fontId="4" fillId="0" borderId="440" xfId="0" applyFont="1" applyFill="1" applyBorder="1" applyAlignment="1">
      <alignment horizontal="center" vertical="center"/>
    </xf>
    <xf numFmtId="9" fontId="4" fillId="0" borderId="441" xfId="2" applyFont="1" applyFill="1" applyBorder="1" applyAlignment="1">
      <alignment horizontal="center" vertical="center"/>
    </xf>
    <xf numFmtId="164" fontId="4" fillId="0" borderId="438" xfId="6" applyNumberFormat="1" applyFont="1" applyFill="1" applyBorder="1" applyAlignment="1">
      <alignment vertical="center"/>
    </xf>
    <xf numFmtId="0" fontId="4" fillId="0" borderId="36" xfId="0" applyFont="1" applyFill="1" applyBorder="1" applyAlignment="1">
      <alignment horizontal="center" vertical="center"/>
    </xf>
    <xf numFmtId="164" fontId="4" fillId="0" borderId="41" xfId="6" applyNumberFormat="1" applyFont="1" applyFill="1" applyBorder="1" applyAlignment="1">
      <alignment vertical="center"/>
    </xf>
    <xf numFmtId="166" fontId="4" fillId="0" borderId="41" xfId="6" applyFont="1" applyFill="1" applyBorder="1" applyAlignment="1">
      <alignment vertical="center"/>
    </xf>
    <xf numFmtId="9" fontId="4" fillId="0" borderId="450" xfId="2" applyFont="1" applyFill="1" applyBorder="1" applyAlignment="1">
      <alignment horizontal="center" vertical="center"/>
    </xf>
    <xf numFmtId="164" fontId="4" fillId="2" borderId="324" xfId="6" applyNumberFormat="1" applyFont="1" applyFill="1" applyBorder="1" applyAlignment="1">
      <alignment vertical="center"/>
    </xf>
    <xf numFmtId="0" fontId="4" fillId="0" borderId="349" xfId="0" applyFont="1" applyFill="1" applyBorder="1" applyAlignment="1">
      <alignment vertical="center"/>
    </xf>
    <xf numFmtId="164" fontId="4" fillId="0" borderId="256" xfId="6" applyNumberFormat="1" applyFont="1" applyFill="1" applyBorder="1" applyAlignment="1">
      <alignment horizontal="center" vertical="center"/>
    </xf>
    <xf numFmtId="164" fontId="4" fillId="0" borderId="257" xfId="0" applyNumberFormat="1" applyFont="1" applyFill="1" applyBorder="1" applyAlignment="1">
      <alignment vertical="center"/>
    </xf>
    <xf numFmtId="9" fontId="4" fillId="0" borderId="451" xfId="2" applyFont="1" applyFill="1" applyBorder="1" applyAlignment="1">
      <alignment vertical="center"/>
    </xf>
    <xf numFmtId="164" fontId="4" fillId="0" borderId="117" xfId="6" applyNumberFormat="1" applyFont="1" applyFill="1" applyBorder="1" applyAlignment="1">
      <alignment horizontal="center" vertical="center"/>
    </xf>
    <xf numFmtId="164" fontId="4" fillId="0" borderId="37" xfId="6" applyNumberFormat="1" applyFont="1" applyFill="1" applyBorder="1" applyAlignment="1">
      <alignment horizontal="center" vertical="center"/>
    </xf>
    <xf numFmtId="164" fontId="4" fillId="0" borderId="452" xfId="6" applyNumberFormat="1" applyFont="1" applyFill="1" applyBorder="1" applyAlignment="1">
      <alignment horizontal="center" vertical="center"/>
    </xf>
    <xf numFmtId="164" fontId="4" fillId="0" borderId="266" xfId="6" applyNumberFormat="1" applyFont="1" applyFill="1" applyBorder="1" applyAlignment="1">
      <alignment horizontal="center" vertical="center"/>
    </xf>
    <xf numFmtId="164" fontId="4" fillId="0" borderId="446" xfId="0" applyNumberFormat="1" applyFont="1" applyFill="1" applyBorder="1" applyAlignment="1">
      <alignment vertical="center"/>
    </xf>
    <xf numFmtId="169" fontId="4" fillId="0" borderId="266" xfId="6" applyNumberFormat="1" applyFont="1" applyFill="1" applyBorder="1" applyAlignment="1">
      <alignment horizontal="center" vertical="center"/>
    </xf>
    <xf numFmtId="9" fontId="4" fillId="0" borderId="413" xfId="2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167" fontId="4" fillId="0" borderId="442" xfId="0" applyNumberFormat="1" applyFont="1" applyFill="1" applyBorder="1" applyAlignment="1">
      <alignment horizontal="center" vertical="center"/>
    </xf>
    <xf numFmtId="164" fontId="4" fillId="2" borderId="453" xfId="6" applyNumberFormat="1" applyFont="1" applyFill="1" applyBorder="1" applyAlignment="1">
      <alignment vertical="center"/>
    </xf>
    <xf numFmtId="164" fontId="4" fillId="2" borderId="454" xfId="6" applyNumberFormat="1" applyFont="1" applyFill="1" applyBorder="1" applyAlignment="1">
      <alignment vertical="center"/>
    </xf>
    <xf numFmtId="164" fontId="4" fillId="2" borderId="455" xfId="6" applyNumberFormat="1" applyFont="1" applyFill="1" applyBorder="1" applyAlignment="1">
      <alignment vertical="center"/>
    </xf>
    <xf numFmtId="3" fontId="4" fillId="2" borderId="36" xfId="0" applyNumberFormat="1" applyFont="1" applyFill="1" applyBorder="1" applyAlignment="1">
      <alignment horizontal="center" vertical="center"/>
    </xf>
    <xf numFmtId="164" fontId="4" fillId="2" borderId="456" xfId="6" applyNumberFormat="1" applyFont="1" applyFill="1" applyBorder="1" applyAlignment="1">
      <alignment vertical="center"/>
    </xf>
    <xf numFmtId="167" fontId="4" fillId="2" borderId="57" xfId="6" applyNumberFormat="1" applyFont="1" applyFill="1" applyBorder="1" applyAlignment="1">
      <alignment horizontal="center" vertical="center"/>
    </xf>
    <xf numFmtId="167" fontId="4" fillId="2" borderId="36" xfId="6" applyNumberFormat="1" applyFont="1" applyFill="1" applyBorder="1" applyAlignment="1">
      <alignment horizontal="center" vertical="center"/>
    </xf>
    <xf numFmtId="9" fontId="4" fillId="2" borderId="61" xfId="2" applyFont="1" applyFill="1" applyBorder="1" applyAlignment="1">
      <alignment horizontal="center" vertical="center"/>
    </xf>
    <xf numFmtId="167" fontId="4" fillId="2" borderId="203" xfId="6" applyNumberFormat="1" applyFont="1" applyFill="1" applyBorder="1" applyAlignment="1">
      <alignment horizontal="center" vertical="center"/>
    </xf>
    <xf numFmtId="164" fontId="4" fillId="2" borderId="60" xfId="6" applyNumberFormat="1" applyFont="1" applyFill="1" applyBorder="1" applyAlignment="1">
      <alignment vertical="center"/>
    </xf>
    <xf numFmtId="164" fontId="4" fillId="2" borderId="457" xfId="6" applyNumberFormat="1" applyFont="1" applyFill="1" applyBorder="1" applyAlignment="1">
      <alignment vertical="center"/>
    </xf>
    <xf numFmtId="9" fontId="4" fillId="2" borderId="458" xfId="2" applyFont="1" applyFill="1" applyBorder="1" applyAlignment="1">
      <alignment horizontal="center" vertical="center"/>
    </xf>
    <xf numFmtId="169" fontId="4" fillId="2" borderId="57" xfId="6" applyNumberFormat="1" applyFont="1" applyFill="1" applyBorder="1" applyAlignment="1">
      <alignment horizontal="center" vertical="center"/>
    </xf>
    <xf numFmtId="164" fontId="4" fillId="2" borderId="452" xfId="6" applyNumberFormat="1" applyFont="1" applyFill="1" applyBorder="1" applyAlignment="1">
      <alignment horizontal="center" vertical="center"/>
    </xf>
    <xf numFmtId="164" fontId="4" fillId="2" borderId="257" xfId="0" applyNumberFormat="1" applyFont="1" applyFill="1" applyBorder="1" applyAlignment="1">
      <alignment vertical="center"/>
    </xf>
    <xf numFmtId="9" fontId="4" fillId="2" borderId="451" xfId="2" applyFont="1" applyFill="1" applyBorder="1" applyAlignment="1">
      <alignment vertical="center"/>
    </xf>
    <xf numFmtId="164" fontId="4" fillId="2" borderId="117" xfId="6" applyNumberFormat="1" applyFont="1" applyFill="1" applyBorder="1" applyAlignment="1">
      <alignment horizontal="center" vertical="center"/>
    </xf>
    <xf numFmtId="164" fontId="4" fillId="2" borderId="37" xfId="6" applyNumberFormat="1" applyFont="1" applyFill="1" applyBorder="1" applyAlignment="1">
      <alignment horizontal="center" vertical="center"/>
    </xf>
    <xf numFmtId="164" fontId="4" fillId="2" borderId="266" xfId="6" applyNumberFormat="1" applyFont="1" applyFill="1" applyBorder="1" applyAlignment="1">
      <alignment horizontal="center" vertical="center"/>
    </xf>
    <xf numFmtId="169" fontId="4" fillId="2" borderId="266" xfId="6" applyNumberFormat="1" applyFont="1" applyFill="1" applyBorder="1" applyAlignment="1">
      <alignment horizontal="center" vertical="center"/>
    </xf>
    <xf numFmtId="9" fontId="4" fillId="2" borderId="413" xfId="2" applyFont="1" applyFill="1" applyBorder="1" applyAlignment="1">
      <alignment horizontal="center" vertical="center"/>
    </xf>
    <xf numFmtId="164" fontId="4" fillId="2" borderId="106" xfId="6" applyNumberFormat="1" applyFont="1" applyFill="1" applyBorder="1" applyAlignment="1">
      <alignment horizontal="center" vertical="center"/>
    </xf>
    <xf numFmtId="164" fontId="4" fillId="2" borderId="65" xfId="0" applyNumberFormat="1" applyFont="1" applyFill="1" applyBorder="1" applyAlignment="1">
      <alignment vertical="center"/>
    </xf>
    <xf numFmtId="164" fontId="4" fillId="2" borderId="115" xfId="0" applyNumberFormat="1" applyFont="1" applyFill="1" applyBorder="1" applyAlignment="1">
      <alignment vertical="center"/>
    </xf>
    <xf numFmtId="164" fontId="4" fillId="10" borderId="67" xfId="6" applyNumberFormat="1" applyFont="1" applyFill="1" applyBorder="1" applyAlignment="1">
      <alignment vertical="center"/>
    </xf>
    <xf numFmtId="49" fontId="12" fillId="2" borderId="70" xfId="6" applyNumberFormat="1" applyFont="1" applyFill="1" applyBorder="1" applyAlignment="1">
      <alignment horizontal="center" vertical="center"/>
    </xf>
    <xf numFmtId="9" fontId="12" fillId="2" borderId="118" xfId="2" applyFont="1" applyFill="1" applyBorder="1" applyAlignment="1">
      <alignment horizontal="center" vertical="center"/>
    </xf>
    <xf numFmtId="164" fontId="12" fillId="2" borderId="70" xfId="6" applyNumberFormat="1" applyFont="1" applyFill="1" applyBorder="1" applyAlignment="1">
      <alignment vertical="center"/>
    </xf>
    <xf numFmtId="9" fontId="12" fillId="2" borderId="62" xfId="2" applyFont="1" applyFill="1" applyBorder="1" applyAlignment="1">
      <alignment vertical="center"/>
    </xf>
    <xf numFmtId="0" fontId="12" fillId="2" borderId="117" xfId="0" applyFont="1" applyFill="1" applyBorder="1" applyAlignment="1">
      <alignment vertical="center"/>
    </xf>
    <xf numFmtId="164" fontId="12" fillId="2" borderId="68" xfId="6" applyNumberFormat="1" applyFont="1" applyFill="1" applyBorder="1" applyAlignment="1">
      <alignment vertical="center"/>
    </xf>
    <xf numFmtId="9" fontId="12" fillId="2" borderId="118" xfId="2" applyFont="1" applyFill="1" applyBorder="1" applyAlignment="1">
      <alignment vertical="center"/>
    </xf>
    <xf numFmtId="164" fontId="12" fillId="0" borderId="37" xfId="6" applyNumberFormat="1" applyFont="1" applyFill="1" applyBorder="1" applyAlignment="1">
      <alignment vertical="center"/>
    </xf>
    <xf numFmtId="164" fontId="21" fillId="0" borderId="40" xfId="6" applyNumberFormat="1" applyFont="1" applyFill="1" applyBorder="1" applyAlignment="1">
      <alignment horizontal="center" vertical="center"/>
    </xf>
    <xf numFmtId="164" fontId="21" fillId="0" borderId="40" xfId="6" applyNumberFormat="1" applyFont="1" applyFill="1" applyBorder="1" applyAlignment="1">
      <alignment vertical="center"/>
    </xf>
    <xf numFmtId="9" fontId="21" fillId="0" borderId="40" xfId="2" applyFont="1" applyFill="1" applyBorder="1" applyAlignment="1">
      <alignment vertical="center"/>
    </xf>
    <xf numFmtId="9" fontId="21" fillId="0" borderId="40" xfId="2" applyFont="1" applyFill="1" applyBorder="1" applyAlignment="1">
      <alignment horizontal="center" vertical="center"/>
    </xf>
    <xf numFmtId="167" fontId="21" fillId="0" borderId="40" xfId="2" applyNumberFormat="1" applyFont="1" applyFill="1" applyBorder="1" applyAlignment="1">
      <alignment horizontal="center" vertical="center"/>
    </xf>
    <xf numFmtId="164" fontId="21" fillId="0" borderId="459" xfId="6" applyNumberFormat="1" applyFont="1" applyFill="1" applyBorder="1" applyAlignment="1">
      <alignment vertical="center"/>
    </xf>
    <xf numFmtId="164" fontId="21" fillId="0" borderId="39" xfId="6" applyNumberFormat="1" applyFont="1" applyFill="1" applyBorder="1" applyAlignment="1">
      <alignment vertical="center"/>
    </xf>
    <xf numFmtId="9" fontId="21" fillId="0" borderId="130" xfId="2" applyFont="1" applyFill="1" applyBorder="1" applyAlignment="1">
      <alignment vertical="center"/>
    </xf>
    <xf numFmtId="164" fontId="21" fillId="0" borderId="130" xfId="6" applyNumberFormat="1" applyFont="1" applyFill="1" applyBorder="1" applyAlignment="1">
      <alignment vertical="center"/>
    </xf>
    <xf numFmtId="164" fontId="21" fillId="0" borderId="39" xfId="6" applyNumberFormat="1" applyFont="1" applyFill="1" applyBorder="1" applyAlignment="1">
      <alignment horizontal="center" vertical="center"/>
    </xf>
    <xf numFmtId="9" fontId="21" fillId="0" borderId="130" xfId="2" applyFont="1" applyFill="1" applyBorder="1" applyAlignment="1">
      <alignment horizontal="center" vertical="center"/>
    </xf>
    <xf numFmtId="164" fontId="12" fillId="0" borderId="39" xfId="6" applyNumberFormat="1" applyFont="1" applyFill="1" applyBorder="1" applyAlignment="1">
      <alignment horizontal="center" vertical="center"/>
    </xf>
    <xf numFmtId="164" fontId="12" fillId="0" borderId="40" xfId="6" applyNumberFormat="1" applyFont="1" applyFill="1" applyBorder="1" applyAlignment="1">
      <alignment vertical="center"/>
    </xf>
    <xf numFmtId="9" fontId="12" fillId="0" borderId="130" xfId="2" applyFont="1" applyFill="1" applyBorder="1" applyAlignment="1">
      <alignment horizontal="center" vertical="center"/>
    </xf>
    <xf numFmtId="164" fontId="4" fillId="0" borderId="39" xfId="6" applyNumberFormat="1" applyFont="1" applyFill="1" applyBorder="1" applyAlignment="1">
      <alignment horizontal="center" vertical="center"/>
    </xf>
    <xf numFmtId="164" fontId="4" fillId="0" borderId="40" xfId="6" applyNumberFormat="1" applyFont="1" applyFill="1" applyBorder="1" applyAlignment="1">
      <alignment vertical="center"/>
    </xf>
    <xf numFmtId="164" fontId="12" fillId="0" borderId="40" xfId="6" applyNumberFormat="1" applyFont="1" applyFill="1" applyBorder="1" applyAlignment="1">
      <alignment horizontal="center" vertical="center"/>
    </xf>
    <xf numFmtId="9" fontId="12" fillId="0" borderId="40" xfId="2" applyFont="1" applyFill="1" applyBorder="1" applyAlignment="1">
      <alignment vertical="center"/>
    </xf>
    <xf numFmtId="9" fontId="12" fillId="0" borderId="130" xfId="2" applyFont="1" applyFill="1" applyBorder="1" applyAlignment="1">
      <alignment vertical="center"/>
    </xf>
    <xf numFmtId="1" fontId="4" fillId="0" borderId="39" xfId="0" applyNumberFormat="1" applyFont="1" applyFill="1" applyBorder="1" applyAlignment="1">
      <alignment horizontal="center" vertical="center"/>
    </xf>
    <xf numFmtId="1" fontId="4" fillId="0" borderId="40" xfId="0" applyNumberFormat="1" applyFont="1" applyFill="1" applyBorder="1" applyAlignment="1">
      <alignment horizontal="center" vertical="center"/>
    </xf>
    <xf numFmtId="164" fontId="4" fillId="0" borderId="40" xfId="0" applyNumberFormat="1" applyFont="1" applyFill="1" applyBorder="1" applyAlignment="1">
      <alignment vertical="center"/>
    </xf>
    <xf numFmtId="9" fontId="4" fillId="0" borderId="130" xfId="2" applyFont="1" applyFill="1" applyBorder="1" applyAlignment="1">
      <alignment vertical="center"/>
    </xf>
    <xf numFmtId="9" fontId="12" fillId="0" borderId="40" xfId="2" applyFont="1" applyFill="1" applyBorder="1" applyAlignment="1">
      <alignment horizontal="center" vertical="center"/>
    </xf>
    <xf numFmtId="9" fontId="4" fillId="0" borderId="460" xfId="2" applyFont="1" applyFill="1" applyBorder="1" applyAlignment="1">
      <alignment horizontal="center" vertical="center"/>
    </xf>
    <xf numFmtId="164" fontId="12" fillId="0" borderId="36" xfId="6" applyNumberFormat="1" applyFont="1" applyFill="1" applyBorder="1" applyAlignment="1">
      <alignment horizontal="center" vertical="center"/>
    </xf>
    <xf numFmtId="164" fontId="12" fillId="0" borderId="41" xfId="6" applyNumberFormat="1" applyFont="1" applyFill="1" applyBorder="1" applyAlignment="1">
      <alignment vertical="center"/>
    </xf>
    <xf numFmtId="164" fontId="4" fillId="0" borderId="36" xfId="6" applyNumberFormat="1" applyFont="1" applyFill="1" applyBorder="1" applyAlignment="1">
      <alignment horizontal="center" vertical="center"/>
    </xf>
    <xf numFmtId="164" fontId="4" fillId="0" borderId="461" xfId="6" applyNumberFormat="1" applyFont="1" applyFill="1" applyBorder="1" applyAlignment="1">
      <alignment vertical="center"/>
    </xf>
    <xf numFmtId="164" fontId="4" fillId="0" borderId="203" xfId="6" applyNumberFormat="1" applyFont="1" applyFill="1" applyBorder="1" applyAlignment="1">
      <alignment horizontal="center" vertical="center"/>
    </xf>
    <xf numFmtId="164" fontId="4" fillId="0" borderId="60" xfId="6" applyNumberFormat="1" applyFont="1" applyFill="1" applyBorder="1" applyAlignment="1">
      <alignment vertical="center"/>
    </xf>
    <xf numFmtId="169" fontId="4" fillId="0" borderId="57" xfId="6" applyNumberFormat="1" applyFont="1" applyFill="1" applyBorder="1" applyAlignment="1">
      <alignment horizontal="center" vertical="center"/>
    </xf>
    <xf numFmtId="164" fontId="12" fillId="0" borderId="462" xfId="6" applyNumberFormat="1" applyFont="1" applyFill="1" applyBorder="1" applyAlignment="1">
      <alignment vertical="center"/>
    </xf>
    <xf numFmtId="164" fontId="4" fillId="0" borderId="283" xfId="6" applyNumberFormat="1" applyFont="1" applyFill="1" applyBorder="1" applyAlignment="1">
      <alignment horizontal="center" vertical="center"/>
    </xf>
    <xf numFmtId="164" fontId="4" fillId="0" borderId="284" xfId="0" applyNumberFormat="1" applyFont="1" applyFill="1" applyBorder="1" applyAlignment="1">
      <alignment vertical="center"/>
    </xf>
    <xf numFmtId="9" fontId="4" fillId="0" borderId="413" xfId="2" applyFont="1" applyFill="1" applyBorder="1" applyAlignment="1">
      <alignment vertical="center"/>
    </xf>
    <xf numFmtId="164" fontId="4" fillId="0" borderId="6" xfId="6" applyNumberFormat="1" applyFont="1" applyFill="1" applyBorder="1" applyAlignment="1">
      <alignment horizontal="center" vertical="center"/>
    </xf>
    <xf numFmtId="164" fontId="4" fillId="0" borderId="0" xfId="6" applyNumberFormat="1" applyFont="1" applyFill="1" applyBorder="1" applyAlignment="1">
      <alignment horizontal="center" vertical="center"/>
    </xf>
    <xf numFmtId="164" fontId="4" fillId="0" borderId="414" xfId="6" applyNumberFormat="1" applyFont="1" applyFill="1" applyBorder="1" applyAlignment="1">
      <alignment horizontal="center" vertical="center"/>
    </xf>
    <xf numFmtId="1" fontId="4" fillId="0" borderId="266" xfId="0" applyNumberFormat="1" applyFont="1" applyFill="1" applyBorder="1" applyAlignment="1">
      <alignment horizontal="center" vertical="center"/>
    </xf>
    <xf numFmtId="164" fontId="12" fillId="0" borderId="0" xfId="6" applyNumberFormat="1" applyFont="1" applyFill="1" applyBorder="1" applyAlignment="1">
      <alignment vertical="center"/>
    </xf>
    <xf numFmtId="167" fontId="4" fillId="0" borderId="463" xfId="6" applyNumberFormat="1" applyFont="1" applyFill="1" applyBorder="1" applyAlignment="1">
      <alignment horizontal="center" vertical="center"/>
    </xf>
    <xf numFmtId="164" fontId="4" fillId="0" borderId="52" xfId="6" applyNumberFormat="1" applyFont="1" applyFill="1" applyBorder="1" applyAlignment="1">
      <alignment vertical="center"/>
    </xf>
    <xf numFmtId="164" fontId="4" fillId="0" borderId="464" xfId="6" applyNumberFormat="1" applyFont="1" applyFill="1" applyBorder="1" applyAlignment="1">
      <alignment vertical="center"/>
    </xf>
    <xf numFmtId="166" fontId="4" fillId="0" borderId="465" xfId="6" applyFont="1" applyFill="1" applyBorder="1" applyAlignment="1">
      <alignment horizontal="center" vertical="center"/>
    </xf>
    <xf numFmtId="164" fontId="4" fillId="0" borderId="466" xfId="6" applyNumberFormat="1" applyFont="1" applyFill="1" applyBorder="1" applyAlignment="1">
      <alignment horizontal="center" vertical="center"/>
    </xf>
    <xf numFmtId="164" fontId="4" fillId="0" borderId="467" xfId="6" applyNumberFormat="1" applyFont="1" applyFill="1" applyBorder="1" applyAlignment="1">
      <alignment vertical="center"/>
    </xf>
    <xf numFmtId="164" fontId="4" fillId="2" borderId="467" xfId="6" applyNumberFormat="1" applyFont="1" applyFill="1" applyBorder="1" applyAlignment="1">
      <alignment vertical="center"/>
    </xf>
    <xf numFmtId="167" fontId="4" fillId="2" borderId="39" xfId="6" applyNumberFormat="1" applyFont="1" applyFill="1" applyBorder="1" applyAlignment="1">
      <alignment horizontal="center" vertical="center"/>
    </xf>
    <xf numFmtId="164" fontId="4" fillId="2" borderId="468" xfId="6" applyNumberFormat="1" applyFont="1" applyFill="1" applyBorder="1" applyAlignment="1">
      <alignment vertical="center"/>
    </xf>
    <xf numFmtId="164" fontId="4" fillId="2" borderId="469" xfId="6" applyNumberFormat="1" applyFont="1" applyFill="1" applyBorder="1" applyAlignment="1">
      <alignment vertical="center"/>
    </xf>
    <xf numFmtId="167" fontId="4" fillId="0" borderId="36" xfId="6" applyNumberFormat="1" applyFont="1" applyFill="1" applyBorder="1" applyAlignment="1">
      <alignment horizontal="center" vertical="center"/>
    </xf>
    <xf numFmtId="3" fontId="4" fillId="0" borderId="36" xfId="6" applyNumberFormat="1" applyFont="1" applyFill="1" applyBorder="1" applyAlignment="1">
      <alignment horizontal="center" vertical="center"/>
    </xf>
    <xf numFmtId="3" fontId="4" fillId="2" borderId="36" xfId="6" applyNumberFormat="1" applyFont="1" applyFill="1" applyBorder="1" applyAlignment="1">
      <alignment horizontal="center" vertical="center"/>
    </xf>
    <xf numFmtId="164" fontId="12" fillId="2" borderId="52" xfId="6" applyNumberFormat="1" applyFont="1" applyFill="1" applyBorder="1" applyAlignment="1">
      <alignment vertical="center"/>
    </xf>
    <xf numFmtId="164" fontId="12" fillId="2" borderId="10" xfId="6" applyNumberFormat="1" applyFont="1" applyFill="1" applyBorder="1" applyAlignment="1">
      <alignment vertical="center"/>
    </xf>
    <xf numFmtId="49" fontId="12" fillId="2" borderId="0" xfId="6" applyNumberFormat="1" applyFont="1" applyFill="1" applyAlignment="1">
      <alignment horizontal="center" vertical="center"/>
    </xf>
    <xf numFmtId="164" fontId="4" fillId="2" borderId="10" xfId="6" applyNumberFormat="1" applyFont="1" applyFill="1" applyBorder="1" applyAlignment="1">
      <alignment vertical="center"/>
    </xf>
    <xf numFmtId="49" fontId="4" fillId="2" borderId="0" xfId="6" applyNumberFormat="1" applyFont="1" applyFill="1" applyAlignment="1">
      <alignment horizontal="center" vertical="center"/>
    </xf>
    <xf numFmtId="9" fontId="4" fillId="2" borderId="450" xfId="2" applyFont="1" applyFill="1" applyBorder="1" applyAlignment="1">
      <alignment horizontal="center" vertical="center"/>
    </xf>
    <xf numFmtId="164" fontId="4" fillId="2" borderId="256" xfId="6" applyNumberFormat="1" applyFont="1" applyFill="1" applyBorder="1" applyAlignment="1">
      <alignment horizontal="center" vertical="center"/>
    </xf>
    <xf numFmtId="167" fontId="4" fillId="2" borderId="442" xfId="0" applyNumberFormat="1" applyFont="1" applyFill="1" applyBorder="1" applyAlignment="1">
      <alignment horizontal="center" vertical="center"/>
    </xf>
    <xf numFmtId="164" fontId="12" fillId="2" borderId="58" xfId="6" applyNumberFormat="1" applyFont="1" applyFill="1" applyBorder="1" applyAlignment="1">
      <alignment vertical="center"/>
    </xf>
    <xf numFmtId="164" fontId="4" fillId="0" borderId="432" xfId="0" applyNumberFormat="1" applyFont="1" applyFill="1" applyBorder="1" applyAlignment="1">
      <alignment vertical="center"/>
    </xf>
    <xf numFmtId="0" fontId="4" fillId="0" borderId="434" xfId="0" applyFont="1" applyFill="1" applyBorder="1" applyAlignment="1">
      <alignment horizontal="center" vertical="center"/>
    </xf>
    <xf numFmtId="1" fontId="4" fillId="0" borderId="433" xfId="0" applyNumberFormat="1" applyFont="1" applyFill="1" applyBorder="1" applyAlignment="1">
      <alignment vertical="center"/>
    </xf>
    <xf numFmtId="164" fontId="21" fillId="0" borderId="41" xfId="6" applyNumberFormat="1" applyFont="1" applyFill="1" applyBorder="1" applyAlignment="1">
      <alignment horizontal="center" vertical="center"/>
    </xf>
    <xf numFmtId="164" fontId="21" fillId="0" borderId="41" xfId="6" applyNumberFormat="1" applyFont="1" applyFill="1" applyBorder="1" applyAlignment="1">
      <alignment vertical="center"/>
    </xf>
    <xf numFmtId="9" fontId="21" fillId="0" borderId="41" xfId="2" applyFont="1" applyFill="1" applyBorder="1" applyAlignment="1">
      <alignment vertical="center"/>
    </xf>
    <xf numFmtId="9" fontId="21" fillId="0" borderId="41" xfId="2" applyFont="1" applyFill="1" applyBorder="1" applyAlignment="1">
      <alignment horizontal="center" vertical="center"/>
    </xf>
    <xf numFmtId="167" fontId="21" fillId="0" borderId="41" xfId="2" applyNumberFormat="1" applyFont="1" applyFill="1" applyBorder="1" applyAlignment="1">
      <alignment horizontal="center" vertical="center"/>
    </xf>
    <xf numFmtId="164" fontId="21" fillId="0" borderId="470" xfId="6" applyNumberFormat="1" applyFont="1" applyFill="1" applyBorder="1" applyAlignment="1">
      <alignment vertical="center"/>
    </xf>
    <xf numFmtId="164" fontId="21" fillId="0" borderId="36" xfId="6" applyNumberFormat="1" applyFont="1" applyFill="1" applyBorder="1" applyAlignment="1">
      <alignment vertical="center"/>
    </xf>
    <xf numFmtId="9" fontId="21" fillId="0" borderId="61" xfId="2" applyFont="1" applyFill="1" applyBorder="1" applyAlignment="1">
      <alignment vertical="center"/>
    </xf>
    <xf numFmtId="164" fontId="21" fillId="0" borderId="61" xfId="6" applyNumberFormat="1" applyFont="1" applyFill="1" applyBorder="1" applyAlignment="1">
      <alignment vertical="center"/>
    </xf>
    <xf numFmtId="164" fontId="21" fillId="0" borderId="36" xfId="6" applyNumberFormat="1" applyFont="1" applyFill="1" applyBorder="1" applyAlignment="1">
      <alignment horizontal="center" vertical="center"/>
    </xf>
    <xf numFmtId="9" fontId="21" fillId="0" borderId="61" xfId="2" applyFont="1" applyFill="1" applyBorder="1" applyAlignment="1">
      <alignment horizontal="center" vertical="center"/>
    </xf>
    <xf numFmtId="9" fontId="12" fillId="0" borderId="61" xfId="2" applyFont="1" applyFill="1" applyBorder="1" applyAlignment="1">
      <alignment horizontal="center" vertical="center"/>
    </xf>
    <xf numFmtId="9" fontId="4" fillId="0" borderId="61" xfId="2" applyFont="1" applyFill="1" applyBorder="1" applyAlignment="1">
      <alignment horizontal="center" vertical="center"/>
    </xf>
    <xf numFmtId="164" fontId="12" fillId="0" borderId="41" xfId="6" applyNumberFormat="1" applyFont="1" applyFill="1" applyBorder="1" applyAlignment="1">
      <alignment horizontal="center" vertical="center"/>
    </xf>
    <xf numFmtId="9" fontId="12" fillId="0" borderId="41" xfId="2" applyFont="1" applyFill="1" applyBorder="1" applyAlignment="1">
      <alignment vertical="center"/>
    </xf>
    <xf numFmtId="9" fontId="12" fillId="0" borderId="61" xfId="2" applyFont="1" applyFill="1" applyBorder="1" applyAlignment="1">
      <alignment vertical="center"/>
    </xf>
    <xf numFmtId="1" fontId="4" fillId="0" borderId="36" xfId="0" applyNumberFormat="1" applyFont="1" applyFill="1" applyBorder="1" applyAlignment="1">
      <alignment horizontal="center" vertical="center"/>
    </xf>
    <xf numFmtId="1" fontId="4" fillId="0" borderId="41" xfId="0" applyNumberFormat="1" applyFont="1" applyFill="1" applyBorder="1" applyAlignment="1">
      <alignment horizontal="center" vertical="center"/>
    </xf>
    <xf numFmtId="164" fontId="4" fillId="0" borderId="41" xfId="0" applyNumberFormat="1" applyFont="1" applyFill="1" applyBorder="1" applyAlignment="1">
      <alignment vertical="center"/>
    </xf>
    <xf numFmtId="9" fontId="4" fillId="0" borderId="61" xfId="2" applyFont="1" applyFill="1" applyBorder="1" applyAlignment="1">
      <alignment vertical="center"/>
    </xf>
    <xf numFmtId="9" fontId="12" fillId="0" borderId="41" xfId="2" applyFont="1" applyFill="1" applyBorder="1" applyAlignment="1">
      <alignment horizontal="center" vertical="center"/>
    </xf>
    <xf numFmtId="9" fontId="4" fillId="0" borderId="471" xfId="2" applyFont="1" applyFill="1" applyBorder="1" applyAlignment="1">
      <alignment horizontal="center" vertical="center"/>
    </xf>
    <xf numFmtId="164" fontId="4" fillId="0" borderId="472" xfId="6" applyNumberFormat="1" applyFont="1" applyFill="1" applyBorder="1" applyAlignment="1">
      <alignment vertical="center"/>
    </xf>
    <xf numFmtId="164" fontId="4" fillId="0" borderId="57" xfId="6" applyNumberFormat="1" applyFont="1" applyFill="1" applyBorder="1" applyAlignment="1">
      <alignment vertical="center"/>
    </xf>
    <xf numFmtId="164" fontId="12" fillId="0" borderId="414" xfId="6" applyNumberFormat="1" applyFont="1" applyFill="1" applyBorder="1" applyAlignment="1">
      <alignment vertical="center"/>
    </xf>
    <xf numFmtId="164" fontId="12" fillId="0" borderId="413" xfId="6" applyNumberFormat="1" applyFont="1" applyFill="1" applyBorder="1" applyAlignment="1">
      <alignment vertical="center"/>
    </xf>
    <xf numFmtId="164" fontId="12" fillId="0" borderId="283" xfId="6" applyNumberFormat="1" applyFont="1" applyFill="1" applyBorder="1" applyAlignment="1">
      <alignment horizontal="center" vertical="center"/>
    </xf>
    <xf numFmtId="164" fontId="12" fillId="0" borderId="283" xfId="6" applyNumberFormat="1" applyFont="1" applyFill="1" applyBorder="1" applyAlignment="1">
      <alignment vertical="center"/>
    </xf>
    <xf numFmtId="164" fontId="12" fillId="0" borderId="413" xfId="6" applyNumberFormat="1" applyFont="1" applyFill="1" applyBorder="1" applyAlignment="1">
      <alignment horizontal="center" vertical="center"/>
    </xf>
    <xf numFmtId="167" fontId="4" fillId="0" borderId="473" xfId="6" applyNumberFormat="1" applyFont="1" applyFill="1" applyBorder="1" applyAlignment="1">
      <alignment horizontal="center" vertical="center"/>
    </xf>
    <xf numFmtId="9" fontId="4" fillId="0" borderId="465" xfId="2" applyFont="1" applyFill="1" applyBorder="1" applyAlignment="1">
      <alignment horizontal="center" vertical="center"/>
    </xf>
    <xf numFmtId="164" fontId="4" fillId="2" borderId="474" xfId="6" applyNumberFormat="1" applyFont="1" applyFill="1" applyBorder="1" applyAlignment="1">
      <alignment vertical="center"/>
    </xf>
    <xf numFmtId="164" fontId="4" fillId="2" borderId="475" xfId="6" applyNumberFormat="1" applyFont="1" applyFill="1" applyBorder="1" applyAlignment="1">
      <alignment vertical="center"/>
    </xf>
    <xf numFmtId="0" fontId="25" fillId="2" borderId="432" xfId="0" applyFont="1" applyFill="1" applyBorder="1" applyAlignment="1">
      <alignment horizontal="center" vertical="center"/>
    </xf>
    <xf numFmtId="166" fontId="4" fillId="2" borderId="429" xfId="6" applyFont="1" applyFill="1" applyBorder="1" applyAlignment="1">
      <alignment horizontal="center" vertical="center"/>
    </xf>
    <xf numFmtId="166" fontId="4" fillId="2" borderId="431" xfId="6" applyFont="1" applyFill="1" applyBorder="1" applyAlignment="1">
      <alignment vertical="center"/>
    </xf>
    <xf numFmtId="166" fontId="4" fillId="2" borderId="433" xfId="6" applyFont="1" applyFill="1" applyBorder="1" applyAlignment="1">
      <alignment vertical="center"/>
    </xf>
    <xf numFmtId="166" fontId="4" fillId="2" borderId="434" xfId="6" applyFont="1" applyFill="1" applyBorder="1" applyAlignment="1">
      <alignment vertical="center"/>
    </xf>
    <xf numFmtId="164" fontId="4" fillId="2" borderId="53" xfId="6" applyNumberFormat="1" applyFont="1" applyFill="1" applyBorder="1" applyAlignment="1">
      <alignment vertical="center"/>
    </xf>
    <xf numFmtId="1" fontId="4" fillId="2" borderId="266" xfId="0" applyNumberFormat="1" applyFont="1" applyFill="1" applyBorder="1" applyAlignment="1">
      <alignment horizontal="center" vertical="center"/>
    </xf>
    <xf numFmtId="166" fontId="4" fillId="0" borderId="438" xfId="6" applyFont="1" applyFill="1" applyBorder="1" applyAlignment="1">
      <alignment horizontal="center" vertical="center"/>
    </xf>
    <xf numFmtId="167" fontId="4" fillId="0" borderId="36" xfId="0" applyNumberFormat="1" applyFont="1" applyFill="1" applyBorder="1" applyAlignment="1">
      <alignment horizontal="center" vertical="center"/>
    </xf>
    <xf numFmtId="164" fontId="4" fillId="0" borderId="243" xfId="6" applyNumberFormat="1" applyFont="1" applyFill="1" applyBorder="1" applyAlignment="1">
      <alignment vertical="center"/>
    </xf>
    <xf numFmtId="164" fontId="4" fillId="0" borderId="239" xfId="6" applyNumberFormat="1" applyFont="1" applyFill="1" applyBorder="1" applyAlignment="1">
      <alignment vertical="center"/>
    </xf>
    <xf numFmtId="167" fontId="4" fillId="0" borderId="440" xfId="0" applyNumberFormat="1" applyFont="1" applyFill="1" applyBorder="1" applyAlignment="1">
      <alignment horizontal="center" vertical="center"/>
    </xf>
    <xf numFmtId="164" fontId="4" fillId="0" borderId="453" xfId="6" applyNumberFormat="1" applyFont="1" applyFill="1" applyBorder="1" applyAlignment="1">
      <alignment vertical="center"/>
    </xf>
    <xf numFmtId="164" fontId="4" fillId="0" borderId="454" xfId="6" applyNumberFormat="1" applyFont="1" applyFill="1" applyBorder="1" applyAlignment="1">
      <alignment vertical="center"/>
    </xf>
    <xf numFmtId="164" fontId="26" fillId="2" borderId="439" xfId="6" applyNumberFormat="1" applyFont="1" applyFill="1" applyBorder="1" applyAlignment="1">
      <alignment vertical="center"/>
    </xf>
    <xf numFmtId="167" fontId="4" fillId="2" borderId="64" xfId="6" applyNumberFormat="1" applyFont="1" applyFill="1" applyBorder="1" applyAlignment="1">
      <alignment horizontal="center" vertical="center"/>
    </xf>
    <xf numFmtId="164" fontId="4" fillId="2" borderId="480" xfId="6" applyNumberFormat="1" applyFont="1" applyFill="1" applyBorder="1" applyAlignment="1">
      <alignment vertical="center"/>
    </xf>
    <xf numFmtId="167" fontId="4" fillId="0" borderId="203" xfId="6" applyNumberFormat="1" applyFont="1" applyFill="1" applyBorder="1" applyAlignment="1">
      <alignment horizontal="center" vertical="center"/>
    </xf>
    <xf numFmtId="166" fontId="4" fillId="0" borderId="67" xfId="6" applyFont="1" applyFill="1" applyBorder="1" applyAlignment="1">
      <alignment horizontal="left" vertical="center" wrapText="1"/>
    </xf>
    <xf numFmtId="164" fontId="5" fillId="0" borderId="67" xfId="6" applyNumberFormat="1" applyFont="1" applyFill="1" applyBorder="1" applyAlignment="1">
      <alignment horizontal="center" vertical="center"/>
    </xf>
    <xf numFmtId="168" fontId="5" fillId="0" borderId="67" xfId="4" applyNumberFormat="1" applyFont="1" applyFill="1" applyBorder="1" applyAlignment="1">
      <alignment horizontal="center" vertical="center"/>
    </xf>
    <xf numFmtId="164" fontId="4" fillId="0" borderId="71" xfId="6" applyNumberFormat="1" applyFont="1" applyFill="1" applyBorder="1" applyAlignment="1">
      <alignment horizontal="center" vertical="center"/>
    </xf>
    <xf numFmtId="164" fontId="78" fillId="0" borderId="456" xfId="6" applyNumberFormat="1" applyFont="1" applyFill="1" applyBorder="1" applyAlignment="1">
      <alignment vertical="center"/>
    </xf>
    <xf numFmtId="164" fontId="4" fillId="0" borderId="456" xfId="6" applyNumberFormat="1" applyFont="1" applyFill="1" applyBorder="1" applyAlignment="1">
      <alignment vertical="center"/>
    </xf>
    <xf numFmtId="169" fontId="4" fillId="10" borderId="266" xfId="6" applyNumberFormat="1" applyFont="1" applyFill="1" applyBorder="1" applyAlignment="1">
      <alignment horizontal="center" vertical="center"/>
    </xf>
    <xf numFmtId="164" fontId="4" fillId="10" borderId="446" xfId="0" applyNumberFormat="1" applyFont="1" applyFill="1" applyBorder="1" applyAlignment="1">
      <alignment vertical="center"/>
    </xf>
    <xf numFmtId="9" fontId="4" fillId="10" borderId="413" xfId="2" applyFont="1" applyFill="1" applyBorder="1" applyAlignment="1">
      <alignment horizontal="center" vertical="center"/>
    </xf>
    <xf numFmtId="164" fontId="4" fillId="0" borderId="106" xfId="6" applyNumberFormat="1" applyFont="1" applyFill="1" applyBorder="1" applyAlignment="1">
      <alignment horizontal="center" vertical="center"/>
    </xf>
    <xf numFmtId="164" fontId="12" fillId="0" borderId="67" xfId="6" applyNumberFormat="1" applyFont="1" applyFill="1" applyBorder="1" applyAlignment="1">
      <alignment vertical="center"/>
    </xf>
    <xf numFmtId="164" fontId="12" fillId="0" borderId="70" xfId="6" applyNumberFormat="1" applyFont="1" applyFill="1" applyBorder="1" applyAlignment="1">
      <alignment vertical="center"/>
    </xf>
    <xf numFmtId="9" fontId="12" fillId="0" borderId="118" xfId="2" applyFont="1" applyFill="1" applyBorder="1" applyAlignment="1">
      <alignment vertical="center"/>
    </xf>
    <xf numFmtId="166" fontId="4" fillId="0" borderId="94" xfId="6" applyFont="1" applyFill="1" applyBorder="1" applyAlignment="1">
      <alignment horizontal="left" vertical="center" wrapText="1"/>
    </xf>
    <xf numFmtId="164" fontId="5" fillId="0" borderId="94" xfId="6" applyNumberFormat="1" applyFont="1" applyFill="1" applyBorder="1" applyAlignment="1">
      <alignment horizontal="center" vertical="center"/>
    </xf>
    <xf numFmtId="170" fontId="5" fillId="0" borderId="67" xfId="6" applyNumberFormat="1" applyFont="1" applyFill="1" applyBorder="1" applyAlignment="1">
      <alignment horizontal="center" vertical="center"/>
    </xf>
    <xf numFmtId="164" fontId="80" fillId="0" borderId="71" xfId="6" applyNumberFormat="1" applyFont="1" applyFill="1" applyBorder="1" applyAlignment="1">
      <alignment horizontal="center" vertical="center"/>
    </xf>
    <xf numFmtId="164" fontId="4" fillId="2" borderId="104" xfId="6" applyNumberFormat="1" applyFont="1" applyFill="1" applyBorder="1" applyAlignment="1">
      <alignment horizontal="center" vertical="center"/>
    </xf>
    <xf numFmtId="0" fontId="4" fillId="2" borderId="481" xfId="0" applyFont="1" applyFill="1" applyBorder="1" applyAlignment="1">
      <alignment vertical="center"/>
    </xf>
    <xf numFmtId="164" fontId="12" fillId="0" borderId="10" xfId="6" applyNumberFormat="1" applyFont="1" applyFill="1" applyBorder="1" applyAlignment="1">
      <alignment vertical="center"/>
    </xf>
    <xf numFmtId="164" fontId="4" fillId="2" borderId="36" xfId="6" applyNumberFormat="1" applyFont="1" applyFill="1" applyBorder="1" applyAlignment="1">
      <alignment horizontal="center" vertical="center"/>
    </xf>
    <xf numFmtId="164" fontId="12" fillId="0" borderId="105" xfId="6" applyNumberFormat="1" applyFont="1" applyFill="1" applyBorder="1" applyAlignment="1">
      <alignment vertical="center"/>
    </xf>
    <xf numFmtId="9" fontId="4" fillId="0" borderId="145" xfId="2" applyFont="1" applyFill="1" applyBorder="1" applyAlignment="1">
      <alignment vertical="center"/>
    </xf>
    <xf numFmtId="9" fontId="32" fillId="2" borderId="118" xfId="2" applyFont="1" applyFill="1" applyBorder="1" applyAlignment="1">
      <alignment horizontal="center" vertical="center"/>
    </xf>
    <xf numFmtId="164" fontId="12" fillId="2" borderId="56" xfId="6" applyNumberFormat="1" applyFont="1" applyFill="1" applyBorder="1" applyAlignment="1">
      <alignment vertical="center"/>
    </xf>
    <xf numFmtId="0" fontId="5" fillId="0" borderId="448" xfId="0" applyFont="1" applyFill="1" applyBorder="1" applyAlignment="1">
      <alignment horizontal="center" vertical="center"/>
    </xf>
    <xf numFmtId="168" fontId="5" fillId="0" borderId="448" xfId="4" applyNumberFormat="1" applyFont="1" applyFill="1" applyBorder="1" applyAlignment="1">
      <alignment horizontal="center" vertical="center"/>
    </xf>
    <xf numFmtId="164" fontId="4" fillId="0" borderId="449" xfId="6" applyNumberFormat="1" applyFont="1" applyFill="1" applyBorder="1" applyAlignment="1">
      <alignment horizontal="center" vertical="center"/>
    </xf>
    <xf numFmtId="9" fontId="12" fillId="0" borderId="62" xfId="2" applyFont="1" applyFill="1" applyBorder="1" applyAlignment="1">
      <alignment vertical="center"/>
    </xf>
    <xf numFmtId="0" fontId="4" fillId="2" borderId="447" xfId="0" applyFont="1" applyFill="1" applyBorder="1" applyAlignment="1">
      <alignment horizontal="center" vertical="center"/>
    </xf>
    <xf numFmtId="0" fontId="4" fillId="2" borderId="448" xfId="0" applyFont="1" applyFill="1" applyBorder="1" applyAlignment="1">
      <alignment horizontal="left" vertical="center" wrapText="1"/>
    </xf>
    <xf numFmtId="0" fontId="5" fillId="2" borderId="448" xfId="0" applyFont="1" applyFill="1" applyBorder="1" applyAlignment="1">
      <alignment horizontal="center" vertical="center"/>
    </xf>
    <xf numFmtId="164" fontId="4" fillId="0" borderId="457" xfId="6" applyNumberFormat="1" applyFont="1" applyFill="1" applyBorder="1" applyAlignment="1">
      <alignment vertical="center"/>
    </xf>
    <xf numFmtId="9" fontId="4" fillId="0" borderId="458" xfId="2" applyFont="1" applyFill="1" applyBorder="1" applyAlignment="1">
      <alignment horizontal="center" vertical="center"/>
    </xf>
    <xf numFmtId="165" fontId="4" fillId="0" borderId="95" xfId="6" applyNumberFormat="1" applyFont="1" applyFill="1" applyBorder="1" applyAlignment="1">
      <alignment horizontal="center" vertical="center"/>
    </xf>
    <xf numFmtId="165" fontId="4" fillId="0" borderId="64" xfId="6" applyNumberFormat="1" applyFont="1" applyFill="1" applyBorder="1" applyAlignment="1">
      <alignment horizontal="center" vertical="center"/>
    </xf>
    <xf numFmtId="165" fontId="4" fillId="2" borderId="72" xfId="6" applyNumberFormat="1" applyFont="1" applyFill="1" applyBorder="1" applyAlignment="1">
      <alignment horizontal="center" vertical="center"/>
    </xf>
    <xf numFmtId="165" fontId="4" fillId="2" borderId="95" xfId="6" applyNumberFormat="1" applyFont="1" applyFill="1" applyBorder="1" applyAlignment="1">
      <alignment horizontal="center" vertical="center"/>
    </xf>
    <xf numFmtId="169" fontId="4" fillId="2" borderId="64" xfId="6" applyNumberFormat="1" applyFont="1" applyFill="1" applyBorder="1" applyAlignment="1">
      <alignment horizontal="center" vertical="center"/>
    </xf>
    <xf numFmtId="165" fontId="4" fillId="2" borderId="58" xfId="6" applyNumberFormat="1" applyFont="1" applyFill="1" applyBorder="1" applyAlignment="1">
      <alignment horizontal="center" vertical="center"/>
    </xf>
    <xf numFmtId="164" fontId="12" fillId="0" borderId="0" xfId="6" applyNumberFormat="1" applyFont="1" applyFill="1" applyBorder="1" applyAlignment="1">
      <alignment horizontal="center" vertical="center"/>
    </xf>
    <xf numFmtId="9" fontId="12" fillId="0" borderId="0" xfId="2" applyFont="1" applyFill="1" applyBorder="1" applyAlignment="1">
      <alignment horizontal="center" vertical="center"/>
    </xf>
    <xf numFmtId="167" fontId="12" fillId="0" borderId="0" xfId="2" applyNumberFormat="1" applyFont="1" applyFill="1" applyBorder="1" applyAlignment="1">
      <alignment horizontal="center" vertical="center"/>
    </xf>
    <xf numFmtId="164" fontId="12" fillId="0" borderId="407" xfId="6" applyNumberFormat="1" applyFont="1" applyFill="1" applyBorder="1" applyAlignment="1">
      <alignment vertical="center"/>
    </xf>
    <xf numFmtId="164" fontId="12" fillId="0" borderId="6" xfId="6" applyNumberFormat="1" applyFont="1" applyFill="1" applyBorder="1" applyAlignment="1">
      <alignment vertical="center"/>
    </xf>
    <xf numFmtId="9" fontId="12" fillId="0" borderId="10" xfId="2" applyFont="1" applyFill="1" applyBorder="1" applyAlignment="1">
      <alignment vertical="center"/>
    </xf>
    <xf numFmtId="164" fontId="12" fillId="0" borderId="6" xfId="6" applyNumberFormat="1" applyFont="1" applyFill="1" applyBorder="1" applyAlignment="1">
      <alignment horizontal="center" vertical="center"/>
    </xf>
    <xf numFmtId="9" fontId="12" fillId="0" borderId="10" xfId="2" applyFont="1" applyFill="1" applyBorder="1" applyAlignment="1">
      <alignment horizontal="center" vertical="center"/>
    </xf>
    <xf numFmtId="1" fontId="4" fillId="0" borderId="6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164" fontId="4" fillId="0" borderId="0" xfId="0" applyNumberFormat="1" applyFont="1" applyFill="1" applyBorder="1" applyAlignment="1">
      <alignment vertical="center"/>
    </xf>
    <xf numFmtId="164" fontId="4" fillId="0" borderId="64" xfId="6" applyNumberFormat="1" applyFont="1" applyFill="1" applyBorder="1" applyAlignment="1">
      <alignment horizontal="center" vertical="center"/>
    </xf>
    <xf numFmtId="164" fontId="4" fillId="0" borderId="72" xfId="6" applyNumberFormat="1" applyFont="1" applyFill="1" applyBorder="1" applyAlignment="1">
      <alignment vertical="center"/>
    </xf>
    <xf numFmtId="167" fontId="4" fillId="0" borderId="343" xfId="6" applyNumberFormat="1" applyFont="1" applyFill="1" applyBorder="1" applyAlignment="1">
      <alignment horizontal="center" vertical="center"/>
    </xf>
    <xf numFmtId="166" fontId="4" fillId="0" borderId="482" xfId="6" applyFont="1" applyFill="1" applyBorder="1" applyAlignment="1">
      <alignment horizontal="center" vertical="center"/>
    </xf>
    <xf numFmtId="167" fontId="4" fillId="2" borderId="6" xfId="6" applyNumberFormat="1" applyFont="1" applyFill="1" applyBorder="1" applyAlignment="1">
      <alignment horizontal="center" vertical="center"/>
    </xf>
    <xf numFmtId="164" fontId="4" fillId="2" borderId="483" xfId="6" applyNumberFormat="1" applyFont="1" applyFill="1" applyBorder="1" applyAlignment="1">
      <alignment vertical="center"/>
    </xf>
    <xf numFmtId="164" fontId="4" fillId="2" borderId="484" xfId="6" applyNumberFormat="1" applyFont="1" applyFill="1" applyBorder="1" applyAlignment="1">
      <alignment vertical="center"/>
    </xf>
    <xf numFmtId="164" fontId="4" fillId="2" borderId="72" xfId="6" applyNumberFormat="1" applyFont="1" applyFill="1" applyBorder="1" applyAlignment="1">
      <alignment vertical="center"/>
    </xf>
    <xf numFmtId="166" fontId="4" fillId="0" borderId="71" xfId="6" applyFont="1" applyFill="1" applyBorder="1" applyAlignment="1">
      <alignment vertical="center"/>
    </xf>
    <xf numFmtId="164" fontId="19" fillId="2" borderId="439" xfId="6" applyNumberFormat="1" applyFont="1" applyFill="1" applyBorder="1" applyAlignment="1">
      <alignment vertical="center"/>
    </xf>
    <xf numFmtId="164" fontId="4" fillId="2" borderId="185" xfId="6" applyNumberFormat="1" applyFont="1" applyFill="1" applyBorder="1" applyAlignment="1">
      <alignment horizontal="center" vertical="center"/>
    </xf>
    <xf numFmtId="49" fontId="4" fillId="2" borderId="65" xfId="6" applyNumberFormat="1" applyFont="1" applyFill="1" applyBorder="1" applyAlignment="1">
      <alignment horizontal="center" vertical="center"/>
    </xf>
    <xf numFmtId="164" fontId="12" fillId="2" borderId="65" xfId="6" applyNumberFormat="1" applyFont="1" applyFill="1" applyBorder="1" applyAlignment="1">
      <alignment vertical="center"/>
    </xf>
    <xf numFmtId="164" fontId="12" fillId="2" borderId="66" xfId="6" applyNumberFormat="1" applyFont="1" applyFill="1" applyBorder="1" applyAlignment="1">
      <alignment vertical="center"/>
    </xf>
    <xf numFmtId="164" fontId="12" fillId="2" borderId="34" xfId="6" applyNumberFormat="1" applyFont="1" applyFill="1" applyBorder="1" applyAlignment="1">
      <alignment vertical="center"/>
    </xf>
    <xf numFmtId="164" fontId="12" fillId="2" borderId="115" xfId="6" applyNumberFormat="1" applyFont="1" applyFill="1" applyBorder="1" applyAlignment="1">
      <alignment vertical="center"/>
    </xf>
    <xf numFmtId="49" fontId="12" fillId="2" borderId="65" xfId="6" applyNumberFormat="1" applyFont="1" applyFill="1" applyBorder="1" applyAlignment="1">
      <alignment horizontal="center" vertical="center"/>
    </xf>
    <xf numFmtId="9" fontId="12" fillId="2" borderId="123" xfId="2" applyFont="1" applyFill="1" applyBorder="1" applyAlignment="1">
      <alignment vertical="center"/>
    </xf>
    <xf numFmtId="166" fontId="4" fillId="0" borderId="97" xfId="6" applyFont="1" applyFill="1" applyBorder="1" applyAlignment="1">
      <alignment vertical="center" wrapText="1"/>
    </xf>
    <xf numFmtId="164" fontId="5" fillId="0" borderId="97" xfId="6" applyNumberFormat="1" applyFont="1" applyFill="1" applyBorder="1" applyAlignment="1">
      <alignment horizontal="center" vertical="center"/>
    </xf>
    <xf numFmtId="168" fontId="24" fillId="2" borderId="487" xfId="4" applyNumberFormat="1" applyFont="1" applyFill="1" applyBorder="1" applyAlignment="1">
      <alignment horizontal="center" vertical="center"/>
    </xf>
    <xf numFmtId="0" fontId="4" fillId="2" borderId="488" xfId="0" applyFont="1" applyFill="1" applyBorder="1" applyAlignment="1">
      <alignment horizontal="center" vertical="center"/>
    </xf>
    <xf numFmtId="164" fontId="4" fillId="2" borderId="489" xfId="6" applyNumberFormat="1" applyFont="1" applyFill="1" applyBorder="1" applyAlignment="1">
      <alignment vertical="center"/>
    </xf>
    <xf numFmtId="9" fontId="4" fillId="2" borderId="488" xfId="2" applyFont="1" applyFill="1" applyBorder="1" applyAlignment="1">
      <alignment horizontal="center" vertical="center"/>
    </xf>
    <xf numFmtId="0" fontId="4" fillId="2" borderId="490" xfId="0" applyFont="1" applyFill="1" applyBorder="1" applyAlignment="1">
      <alignment horizontal="center" vertical="center"/>
    </xf>
    <xf numFmtId="0" fontId="4" fillId="2" borderId="39" xfId="0" applyFont="1" applyFill="1" applyBorder="1" applyAlignment="1">
      <alignment horizontal="center" vertical="center"/>
    </xf>
    <xf numFmtId="0" fontId="4" fillId="2" borderId="193" xfId="0" applyFont="1" applyFill="1" applyBorder="1" applyAlignment="1">
      <alignment vertical="center"/>
    </xf>
    <xf numFmtId="164" fontId="4" fillId="2" borderId="266" xfId="6" applyNumberFormat="1" applyFont="1" applyFill="1" applyBorder="1" applyAlignment="1">
      <alignment horizontal="center" vertical="center" wrapText="1"/>
    </xf>
    <xf numFmtId="164" fontId="4" fillId="2" borderId="267" xfId="0" applyNumberFormat="1" applyFont="1" applyFill="1" applyBorder="1" applyAlignment="1">
      <alignment vertical="center"/>
    </xf>
    <xf numFmtId="9" fontId="4" fillId="2" borderId="491" xfId="2" applyFont="1" applyFill="1" applyBorder="1" applyAlignment="1">
      <alignment vertical="center"/>
    </xf>
    <xf numFmtId="164" fontId="4" fillId="2" borderId="33" xfId="6" applyNumberFormat="1" applyFont="1" applyFill="1" applyBorder="1" applyAlignment="1">
      <alignment horizontal="center" vertical="center"/>
    </xf>
    <xf numFmtId="164" fontId="4" fillId="2" borderId="34" xfId="6" applyNumberFormat="1" applyFont="1" applyFill="1" applyBorder="1" applyAlignment="1">
      <alignment horizontal="center" vertical="center"/>
    </xf>
    <xf numFmtId="164" fontId="4" fillId="2" borderId="446" xfId="6" applyNumberFormat="1" applyFont="1" applyFill="1" applyBorder="1" applyAlignment="1">
      <alignment horizontal="center" vertical="center"/>
    </xf>
    <xf numFmtId="0" fontId="4" fillId="2" borderId="69" xfId="0" applyFont="1" applyFill="1" applyBorder="1" applyAlignment="1">
      <alignment vertical="center"/>
    </xf>
    <xf numFmtId="167" fontId="4" fillId="2" borderId="492" xfId="0" applyNumberFormat="1" applyFont="1" applyFill="1" applyBorder="1" applyAlignment="1">
      <alignment horizontal="center" vertical="center"/>
    </xf>
    <xf numFmtId="167" fontId="4" fillId="2" borderId="39" xfId="0" applyNumberFormat="1" applyFont="1" applyFill="1" applyBorder="1" applyAlignment="1">
      <alignment horizontal="center" vertical="center"/>
    </xf>
    <xf numFmtId="3" fontId="4" fillId="2" borderId="39" xfId="0" applyNumberFormat="1" applyFont="1" applyFill="1" applyBorder="1" applyAlignment="1">
      <alignment horizontal="center" vertical="center"/>
    </xf>
    <xf numFmtId="9" fontId="4" fillId="0" borderId="146" xfId="2" applyFont="1" applyFill="1" applyBorder="1" applyAlignment="1">
      <alignment vertical="center"/>
    </xf>
    <xf numFmtId="0" fontId="4" fillId="2" borderId="57" xfId="6" applyNumberFormat="1" applyFont="1" applyFill="1" applyBorder="1" applyAlignment="1">
      <alignment horizontal="center" vertical="center"/>
    </xf>
    <xf numFmtId="165" fontId="4" fillId="2" borderId="33" xfId="8" applyNumberFormat="1" applyFont="1" applyFill="1" applyBorder="1" applyAlignment="1">
      <alignment horizontal="center" vertical="center"/>
    </xf>
    <xf numFmtId="165" fontId="4" fillId="2" borderId="34" xfId="8" applyNumberFormat="1" applyFont="1" applyFill="1" applyBorder="1" applyAlignment="1">
      <alignment vertical="center"/>
    </xf>
    <xf numFmtId="9" fontId="73" fillId="2" borderId="118" xfId="2" applyFont="1" applyFill="1" applyBorder="1" applyAlignment="1">
      <alignment horizontal="center" vertical="center"/>
    </xf>
    <xf numFmtId="165" fontId="4" fillId="2" borderId="117" xfId="8" applyNumberFormat="1" applyFont="1" applyFill="1" applyBorder="1" applyAlignment="1">
      <alignment horizontal="center" vertical="center"/>
    </xf>
    <xf numFmtId="165" fontId="4" fillId="2" borderId="37" xfId="8" applyNumberFormat="1" applyFont="1" applyFill="1" applyBorder="1" applyAlignment="1">
      <alignment vertical="center"/>
    </xf>
    <xf numFmtId="168" fontId="52" fillId="0" borderId="67" xfId="4" applyNumberFormat="1" applyFont="1" applyFill="1" applyBorder="1" applyAlignment="1">
      <alignment horizontal="center" vertical="center"/>
    </xf>
    <xf numFmtId="164" fontId="4" fillId="0" borderId="57" xfId="6" applyNumberFormat="1" applyFont="1" applyFill="1" applyBorder="1" applyAlignment="1">
      <alignment horizontal="center" vertical="center"/>
    </xf>
    <xf numFmtId="164" fontId="4" fillId="0" borderId="489" xfId="6" applyNumberFormat="1" applyFont="1" applyFill="1" applyBorder="1" applyAlignment="1">
      <alignment vertical="center"/>
    </xf>
    <xf numFmtId="0" fontId="4" fillId="0" borderId="266" xfId="0" applyFont="1" applyFill="1" applyBorder="1" applyAlignment="1">
      <alignment horizontal="center" vertical="center"/>
    </xf>
    <xf numFmtId="164" fontId="5" fillId="0" borderId="66" xfId="6" applyNumberFormat="1" applyFont="1" applyFill="1" applyBorder="1" applyAlignment="1">
      <alignment horizontal="center" vertical="center"/>
    </xf>
    <xf numFmtId="168" fontId="52" fillId="0" borderId="66" xfId="4" applyNumberFormat="1" applyFont="1" applyFill="1" applyBorder="1" applyAlignment="1">
      <alignment horizontal="center" vertical="center"/>
    </xf>
    <xf numFmtId="164" fontId="4" fillId="0" borderId="102" xfId="6" applyNumberFormat="1" applyFont="1" applyFill="1" applyBorder="1" applyAlignment="1">
      <alignment horizontal="center" vertical="center"/>
    </xf>
    <xf numFmtId="164" fontId="21" fillId="0" borderId="0" xfId="6" applyNumberFormat="1" applyFont="1" applyFill="1" applyBorder="1" applyAlignment="1">
      <alignment horizontal="center" vertical="center"/>
    </xf>
    <xf numFmtId="164" fontId="21" fillId="0" borderId="0" xfId="6" applyNumberFormat="1" applyFont="1" applyFill="1" applyBorder="1" applyAlignment="1">
      <alignment vertical="center"/>
    </xf>
    <xf numFmtId="9" fontId="21" fillId="0" borderId="0" xfId="2" applyFont="1" applyFill="1" applyBorder="1" applyAlignment="1">
      <alignment vertical="center"/>
    </xf>
    <xf numFmtId="9" fontId="21" fillId="0" borderId="0" xfId="2" applyFont="1" applyFill="1" applyBorder="1" applyAlignment="1">
      <alignment horizontal="center" vertical="center"/>
    </xf>
    <xf numFmtId="167" fontId="21" fillId="0" borderId="0" xfId="2" applyNumberFormat="1" applyFont="1" applyFill="1" applyBorder="1" applyAlignment="1">
      <alignment horizontal="center" vertical="center"/>
    </xf>
    <xf numFmtId="164" fontId="21" fillId="0" borderId="407" xfId="6" applyNumberFormat="1" applyFont="1" applyFill="1" applyBorder="1" applyAlignment="1">
      <alignment vertical="center"/>
    </xf>
    <xf numFmtId="164" fontId="21" fillId="0" borderId="6" xfId="6" applyNumberFormat="1" applyFont="1" applyFill="1" applyBorder="1" applyAlignment="1">
      <alignment vertical="center"/>
    </xf>
    <xf numFmtId="9" fontId="21" fillId="0" borderId="10" xfId="2" applyFont="1" applyFill="1" applyBorder="1" applyAlignment="1">
      <alignment vertical="center"/>
    </xf>
    <xf numFmtId="164" fontId="21" fillId="0" borderId="10" xfId="6" applyNumberFormat="1" applyFont="1" applyFill="1" applyBorder="1" applyAlignment="1">
      <alignment vertical="center"/>
    </xf>
    <xf numFmtId="164" fontId="21" fillId="0" borderId="6" xfId="6" applyNumberFormat="1" applyFont="1" applyFill="1" applyBorder="1" applyAlignment="1">
      <alignment horizontal="center" vertical="center"/>
    </xf>
    <xf numFmtId="9" fontId="21" fillId="0" borderId="10" xfId="2" applyFont="1" applyFill="1" applyBorder="1" applyAlignment="1">
      <alignment horizontal="center" vertical="center"/>
    </xf>
    <xf numFmtId="0" fontId="4" fillId="0" borderId="67" xfId="0" applyFont="1" applyFill="1" applyBorder="1" applyAlignment="1">
      <alignment horizontal="left" vertical="center" wrapText="1"/>
    </xf>
    <xf numFmtId="0" fontId="24" fillId="0" borderId="67" xfId="0" applyFont="1" applyFill="1" applyBorder="1" applyAlignment="1">
      <alignment horizontal="center" vertical="center"/>
    </xf>
    <xf numFmtId="0" fontId="4" fillId="10" borderId="70" xfId="0" applyFont="1" applyFill="1" applyBorder="1" applyAlignment="1">
      <alignment vertical="center"/>
    </xf>
    <xf numFmtId="9" fontId="73" fillId="10" borderId="118" xfId="2" applyFont="1" applyFill="1" applyBorder="1" applyAlignment="1">
      <alignment horizontal="center" vertical="center"/>
    </xf>
    <xf numFmtId="164" fontId="12" fillId="0" borderId="117" xfId="6" applyNumberFormat="1" applyFont="1" applyFill="1" applyBorder="1" applyAlignment="1">
      <alignment horizontal="center" vertical="center"/>
    </xf>
    <xf numFmtId="9" fontId="4" fillId="0" borderId="493" xfId="2" applyFont="1" applyFill="1" applyBorder="1" applyAlignment="1">
      <alignment horizontal="center" vertical="center"/>
    </xf>
    <xf numFmtId="164" fontId="12" fillId="0" borderId="64" xfId="6" applyNumberFormat="1" applyFont="1" applyFill="1" applyBorder="1" applyAlignment="1">
      <alignment horizontal="center" vertical="center"/>
    </xf>
    <xf numFmtId="164" fontId="12" fillId="0" borderId="72" xfId="6" applyNumberFormat="1" applyFont="1" applyFill="1" applyBorder="1" applyAlignment="1">
      <alignment vertical="center"/>
    </xf>
    <xf numFmtId="164" fontId="4" fillId="0" borderId="494" xfId="6" applyNumberFormat="1" applyFont="1" applyFill="1" applyBorder="1" applyAlignment="1">
      <alignment vertical="center"/>
    </xf>
    <xf numFmtId="164" fontId="4" fillId="0" borderId="495" xfId="6" applyNumberFormat="1" applyFont="1" applyFill="1" applyBorder="1" applyAlignment="1">
      <alignment vertical="center"/>
    </xf>
    <xf numFmtId="169" fontId="4" fillId="0" borderId="203" xfId="6" applyNumberFormat="1" applyFont="1" applyFill="1" applyBorder="1" applyAlignment="1">
      <alignment horizontal="center" vertical="center"/>
    </xf>
    <xf numFmtId="9" fontId="4" fillId="0" borderId="496" xfId="2" applyFont="1" applyFill="1" applyBorder="1" applyAlignment="1">
      <alignment horizontal="center" vertical="center"/>
    </xf>
    <xf numFmtId="164" fontId="4" fillId="0" borderId="414" xfId="0" applyNumberFormat="1" applyFont="1" applyFill="1" applyBorder="1" applyAlignment="1">
      <alignment vertical="center"/>
    </xf>
    <xf numFmtId="1" fontId="4" fillId="0" borderId="283" xfId="0" applyNumberFormat="1" applyFont="1" applyFill="1" applyBorder="1" applyAlignment="1">
      <alignment horizontal="center" vertical="center"/>
    </xf>
    <xf numFmtId="164" fontId="4" fillId="0" borderId="53" xfId="6" applyNumberFormat="1" applyFont="1" applyFill="1" applyBorder="1" applyAlignment="1">
      <alignment vertical="center"/>
    </xf>
    <xf numFmtId="164" fontId="4" fillId="0" borderId="497" xfId="6" applyNumberFormat="1" applyFont="1" applyFill="1" applyBorder="1" applyAlignment="1">
      <alignment vertical="center"/>
    </xf>
    <xf numFmtId="166" fontId="4" fillId="0" borderId="498" xfId="6" applyFont="1" applyFill="1" applyBorder="1" applyAlignment="1">
      <alignment horizontal="center" vertical="center"/>
    </xf>
    <xf numFmtId="164" fontId="4" fillId="0" borderId="499" xfId="6" applyNumberFormat="1" applyFont="1" applyFill="1" applyBorder="1" applyAlignment="1">
      <alignment horizontal="center" vertical="center"/>
    </xf>
    <xf numFmtId="164" fontId="4" fillId="0" borderId="500" xfId="6" applyNumberFormat="1" applyFont="1" applyFill="1" applyBorder="1" applyAlignment="1">
      <alignment vertical="center"/>
    </xf>
    <xf numFmtId="164" fontId="4" fillId="2" borderId="500" xfId="6" applyNumberFormat="1" applyFont="1" applyFill="1" applyBorder="1" applyAlignment="1">
      <alignment vertical="center"/>
    </xf>
    <xf numFmtId="164" fontId="4" fillId="2" borderId="495" xfId="6" applyNumberFormat="1" applyFont="1" applyFill="1" applyBorder="1" applyAlignment="1">
      <alignment vertical="center"/>
    </xf>
    <xf numFmtId="9" fontId="4" fillId="2" borderId="501" xfId="2" applyFont="1" applyFill="1" applyBorder="1" applyAlignment="1">
      <alignment horizontal="center" vertical="center"/>
    </xf>
    <xf numFmtId="164" fontId="4" fillId="2" borderId="482" xfId="6" applyNumberFormat="1" applyFont="1" applyFill="1" applyBorder="1" applyAlignment="1">
      <alignment vertical="center"/>
    </xf>
    <xf numFmtId="3" fontId="4" fillId="2" borderId="64" xfId="6" applyNumberFormat="1" applyFont="1" applyFill="1" applyBorder="1" applyAlignment="1">
      <alignment horizontal="center" vertical="center"/>
    </xf>
    <xf numFmtId="164" fontId="4" fillId="2" borderId="502" xfId="6" applyNumberFormat="1" applyFont="1" applyFill="1" applyBorder="1" applyAlignment="1">
      <alignment vertical="center"/>
    </xf>
    <xf numFmtId="3" fontId="4" fillId="0" borderId="64" xfId="6" applyNumberFormat="1" applyFont="1" applyFill="1" applyBorder="1" applyAlignment="1">
      <alignment horizontal="center" vertical="center"/>
    </xf>
    <xf numFmtId="164" fontId="4" fillId="0" borderId="281" xfId="6" applyNumberFormat="1" applyFont="1" applyFill="1" applyBorder="1" applyAlignment="1">
      <alignment vertical="center"/>
    </xf>
    <xf numFmtId="164" fontId="4" fillId="0" borderId="503" xfId="6" applyNumberFormat="1" applyFont="1" applyFill="1" applyBorder="1" applyAlignment="1">
      <alignment vertical="center"/>
    </xf>
    <xf numFmtId="9" fontId="4" fillId="0" borderId="501" xfId="2" applyFont="1" applyFill="1" applyBorder="1" applyAlignment="1">
      <alignment horizontal="center" vertical="center"/>
    </xf>
    <xf numFmtId="9" fontId="4" fillId="2" borderId="316" xfId="2" applyFont="1" applyFill="1" applyBorder="1" applyAlignment="1">
      <alignment horizontal="center" vertical="center"/>
    </xf>
    <xf numFmtId="164" fontId="4" fillId="2" borderId="504" xfId="6" applyNumberFormat="1" applyFont="1" applyFill="1" applyBorder="1" applyAlignment="1">
      <alignment vertical="center"/>
    </xf>
    <xf numFmtId="9" fontId="4" fillId="2" borderId="505" xfId="2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horizontal="center" vertical="center"/>
    </xf>
    <xf numFmtId="9" fontId="4" fillId="0" borderId="482" xfId="2" applyFont="1" applyFill="1" applyBorder="1" applyAlignment="1">
      <alignment horizontal="center" vertical="center"/>
    </xf>
    <xf numFmtId="169" fontId="4" fillId="2" borderId="203" xfId="6" applyNumberFormat="1" applyFont="1" applyFill="1" applyBorder="1" applyAlignment="1">
      <alignment horizontal="center" vertical="center"/>
    </xf>
    <xf numFmtId="164" fontId="4" fillId="2" borderId="506" xfId="6" applyNumberFormat="1" applyFont="1" applyFill="1" applyBorder="1" applyAlignment="1">
      <alignment horizontal="center" vertical="center"/>
    </xf>
    <xf numFmtId="164" fontId="4" fillId="2" borderId="507" xfId="0" applyNumberFormat="1" applyFont="1" applyFill="1" applyBorder="1" applyAlignment="1">
      <alignment vertical="center"/>
    </xf>
    <xf numFmtId="9" fontId="4" fillId="2" borderId="508" xfId="2" applyFont="1" applyFill="1" applyBorder="1" applyAlignment="1">
      <alignment vertical="center"/>
    </xf>
    <xf numFmtId="164" fontId="4" fillId="2" borderId="126" xfId="6" applyNumberFormat="1" applyFont="1" applyFill="1" applyBorder="1" applyAlignment="1">
      <alignment horizontal="center" vertical="center"/>
    </xf>
    <xf numFmtId="164" fontId="4" fillId="2" borderId="127" xfId="6" applyNumberFormat="1" applyFont="1" applyFill="1" applyBorder="1" applyAlignment="1">
      <alignment horizontal="center" vertical="center"/>
    </xf>
    <xf numFmtId="164" fontId="4" fillId="2" borderId="414" xfId="0" applyNumberFormat="1" applyFont="1" applyFill="1" applyBorder="1" applyAlignment="1">
      <alignment vertical="center"/>
    </xf>
    <xf numFmtId="169" fontId="4" fillId="2" borderId="283" xfId="6" applyNumberFormat="1" applyFont="1" applyFill="1" applyBorder="1" applyAlignment="1">
      <alignment horizontal="center" vertical="center"/>
    </xf>
    <xf numFmtId="164" fontId="4" fillId="2" borderId="107" xfId="0" applyNumberFormat="1" applyFont="1" applyFill="1" applyBorder="1" applyAlignment="1">
      <alignment vertical="center"/>
    </xf>
    <xf numFmtId="164" fontId="4" fillId="0" borderId="348" xfId="6" applyNumberFormat="1" applyFont="1" applyFill="1" applyBorder="1" applyAlignment="1">
      <alignment horizontal="center" vertical="center"/>
    </xf>
    <xf numFmtId="164" fontId="4" fillId="0" borderId="116" xfId="0" applyNumberFormat="1" applyFont="1" applyFill="1" applyBorder="1" applyAlignment="1">
      <alignment vertical="center"/>
    </xf>
    <xf numFmtId="9" fontId="4" fillId="0" borderId="190" xfId="2" applyFont="1" applyFill="1" applyBorder="1" applyAlignment="1">
      <alignment horizontal="center" vertical="center"/>
    </xf>
    <xf numFmtId="164" fontId="12" fillId="2" borderId="107" xfId="6" applyNumberFormat="1" applyFont="1" applyFill="1" applyBorder="1" applyAlignment="1">
      <alignment vertical="center"/>
    </xf>
    <xf numFmtId="164" fontId="4" fillId="2" borderId="116" xfId="0" applyNumberFormat="1" applyFont="1" applyFill="1" applyBorder="1" applyAlignment="1">
      <alignment vertical="center"/>
    </xf>
    <xf numFmtId="49" fontId="4" fillId="2" borderId="108" xfId="6" applyNumberFormat="1" applyFont="1" applyFill="1" applyBorder="1" applyAlignment="1">
      <alignment horizontal="center" vertical="center"/>
    </xf>
    <xf numFmtId="49" fontId="4" fillId="0" borderId="203" xfId="6" applyNumberFormat="1" applyFont="1" applyFill="1" applyBorder="1" applyAlignment="1">
      <alignment horizontal="center" vertical="center"/>
    </xf>
    <xf numFmtId="9" fontId="65" fillId="0" borderId="71" xfId="2" applyFont="1" applyFill="1" applyBorder="1" applyAlignment="1">
      <alignment horizontal="left" vertical="center"/>
    </xf>
    <xf numFmtId="166" fontId="4" fillId="2" borderId="71" xfId="6" applyFont="1" applyFill="1" applyBorder="1" applyAlignment="1">
      <alignment vertical="center"/>
    </xf>
    <xf numFmtId="166" fontId="4" fillId="2" borderId="67" xfId="6" applyFont="1" applyFill="1" applyBorder="1" applyAlignment="1">
      <alignment horizontal="left" vertical="center" wrapText="1"/>
    </xf>
    <xf numFmtId="164" fontId="5" fillId="2" borderId="67" xfId="6" applyNumberFormat="1" applyFont="1" applyFill="1" applyBorder="1" applyAlignment="1">
      <alignment horizontal="center" vertical="center"/>
    </xf>
    <xf numFmtId="165" fontId="4" fillId="2" borderId="117" xfId="8" applyNumberFormat="1" applyFont="1" applyFill="1" applyBorder="1" applyAlignment="1">
      <alignment vertical="center"/>
    </xf>
    <xf numFmtId="164" fontId="32" fillId="0" borderId="67" xfId="6" applyNumberFormat="1" applyFont="1" applyFill="1" applyBorder="1" applyAlignment="1">
      <alignment vertical="center"/>
    </xf>
    <xf numFmtId="164" fontId="32" fillId="2" borderId="67" xfId="6" applyNumberFormat="1" applyFont="1" applyFill="1" applyBorder="1" applyAlignment="1">
      <alignment vertical="center"/>
    </xf>
    <xf numFmtId="164" fontId="4" fillId="2" borderId="71" xfId="6" applyNumberFormat="1" applyFont="1" applyFill="1" applyBorder="1" applyAlignment="1">
      <alignment horizontal="center" vertical="center"/>
    </xf>
    <xf numFmtId="164" fontId="21" fillId="2" borderId="40" xfId="6" applyNumberFormat="1" applyFont="1" applyFill="1" applyBorder="1" applyAlignment="1">
      <alignment horizontal="center" vertical="center"/>
    </xf>
    <xf numFmtId="164" fontId="21" fillId="2" borderId="40" xfId="6" applyNumberFormat="1" applyFont="1" applyFill="1" applyBorder="1" applyAlignment="1">
      <alignment vertical="center"/>
    </xf>
    <xf numFmtId="9" fontId="21" fillId="2" borderId="40" xfId="2" applyFont="1" applyFill="1" applyBorder="1" applyAlignment="1">
      <alignment vertical="center"/>
    </xf>
    <xf numFmtId="9" fontId="21" fillId="2" borderId="40" xfId="2" applyFont="1" applyFill="1" applyBorder="1" applyAlignment="1">
      <alignment horizontal="center" vertical="center"/>
    </xf>
    <xf numFmtId="167" fontId="21" fillId="2" borderId="40" xfId="2" applyNumberFormat="1" applyFont="1" applyFill="1" applyBorder="1" applyAlignment="1">
      <alignment horizontal="center" vertical="center"/>
    </xf>
    <xf numFmtId="164" fontId="21" fillId="2" borderId="459" xfId="6" applyNumberFormat="1" applyFont="1" applyFill="1" applyBorder="1" applyAlignment="1">
      <alignment vertical="center"/>
    </xf>
    <xf numFmtId="164" fontId="21" fillId="2" borderId="39" xfId="6" applyNumberFormat="1" applyFont="1" applyFill="1" applyBorder="1" applyAlignment="1">
      <alignment vertical="center"/>
    </xf>
    <xf numFmtId="9" fontId="21" fillId="2" borderId="130" xfId="2" applyFont="1" applyFill="1" applyBorder="1" applyAlignment="1">
      <alignment vertical="center"/>
    </xf>
    <xf numFmtId="164" fontId="21" fillId="2" borderId="130" xfId="6" applyNumberFormat="1" applyFont="1" applyFill="1" applyBorder="1" applyAlignment="1">
      <alignment vertical="center"/>
    </xf>
    <xf numFmtId="164" fontId="21" fillId="2" borderId="39" xfId="6" applyNumberFormat="1" applyFont="1" applyFill="1" applyBorder="1" applyAlignment="1">
      <alignment horizontal="center" vertical="center"/>
    </xf>
    <xf numFmtId="9" fontId="21" fillId="2" borderId="130" xfId="2" applyFont="1" applyFill="1" applyBorder="1" applyAlignment="1">
      <alignment horizontal="center" vertical="center"/>
    </xf>
    <xf numFmtId="164" fontId="12" fillId="2" borderId="39" xfId="6" applyNumberFormat="1" applyFont="1" applyFill="1" applyBorder="1" applyAlignment="1">
      <alignment horizontal="center" vertical="center"/>
    </xf>
    <xf numFmtId="164" fontId="12" fillId="2" borderId="40" xfId="6" applyNumberFormat="1" applyFont="1" applyFill="1" applyBorder="1" applyAlignment="1">
      <alignment vertical="center"/>
    </xf>
    <xf numFmtId="9" fontId="12" fillId="2" borderId="130" xfId="2" applyFont="1" applyFill="1" applyBorder="1" applyAlignment="1">
      <alignment horizontal="center" vertical="center"/>
    </xf>
    <xf numFmtId="164" fontId="4" fillId="2" borderId="39" xfId="6" applyNumberFormat="1" applyFont="1" applyFill="1" applyBorder="1" applyAlignment="1">
      <alignment horizontal="center" vertical="center"/>
    </xf>
    <xf numFmtId="164" fontId="12" fillId="2" borderId="40" xfId="6" applyNumberFormat="1" applyFont="1" applyFill="1" applyBorder="1" applyAlignment="1">
      <alignment horizontal="center" vertical="center"/>
    </xf>
    <xf numFmtId="9" fontId="12" fillId="2" borderId="40" xfId="2" applyFont="1" applyFill="1" applyBorder="1" applyAlignment="1">
      <alignment vertical="center"/>
    </xf>
    <xf numFmtId="9" fontId="12" fillId="2" borderId="130" xfId="2" applyFont="1" applyFill="1" applyBorder="1" applyAlignment="1">
      <alignment vertical="center"/>
    </xf>
    <xf numFmtId="1" fontId="4" fillId="2" borderId="39" xfId="0" applyNumberFormat="1" applyFont="1" applyFill="1" applyBorder="1" applyAlignment="1">
      <alignment horizontal="center" vertical="center"/>
    </xf>
    <xf numFmtId="1" fontId="4" fillId="2" borderId="40" xfId="0" applyNumberFormat="1" applyFont="1" applyFill="1" applyBorder="1" applyAlignment="1">
      <alignment horizontal="center" vertical="center"/>
    </xf>
    <xf numFmtId="164" fontId="4" fillId="2" borderId="40" xfId="0" applyNumberFormat="1" applyFont="1" applyFill="1" applyBorder="1" applyAlignment="1">
      <alignment vertical="center"/>
    </xf>
    <xf numFmtId="9" fontId="4" fillId="2" borderId="130" xfId="2" applyFont="1" applyFill="1" applyBorder="1" applyAlignment="1">
      <alignment vertical="center"/>
    </xf>
    <xf numFmtId="9" fontId="4" fillId="2" borderId="460" xfId="2" applyFont="1" applyFill="1" applyBorder="1" applyAlignment="1">
      <alignment horizontal="center" vertical="center"/>
    </xf>
    <xf numFmtId="164" fontId="12" fillId="2" borderId="36" xfId="6" applyNumberFormat="1" applyFont="1" applyFill="1" applyBorder="1" applyAlignment="1">
      <alignment horizontal="center" vertical="center"/>
    </xf>
    <xf numFmtId="164" fontId="12" fillId="2" borderId="41" xfId="6" applyNumberFormat="1" applyFont="1" applyFill="1" applyBorder="1" applyAlignment="1">
      <alignment vertical="center"/>
    </xf>
    <xf numFmtId="164" fontId="4" fillId="2" borderId="461" xfId="6" applyNumberFormat="1" applyFont="1" applyFill="1" applyBorder="1" applyAlignment="1">
      <alignment vertical="center"/>
    </xf>
    <xf numFmtId="164" fontId="4" fillId="2" borderId="203" xfId="6" applyNumberFormat="1" applyFont="1" applyFill="1" applyBorder="1" applyAlignment="1">
      <alignment horizontal="center" vertical="center"/>
    </xf>
    <xf numFmtId="9" fontId="4" fillId="2" borderId="496" xfId="2" applyFont="1" applyFill="1" applyBorder="1" applyAlignment="1">
      <alignment horizontal="center" vertical="center"/>
    </xf>
    <xf numFmtId="167" fontId="4" fillId="2" borderId="463" xfId="6" applyNumberFormat="1" applyFont="1" applyFill="1" applyBorder="1" applyAlignment="1">
      <alignment horizontal="center" vertical="center"/>
    </xf>
    <xf numFmtId="164" fontId="4" fillId="2" borderId="464" xfId="6" applyNumberFormat="1" applyFont="1" applyFill="1" applyBorder="1" applyAlignment="1">
      <alignment vertical="center"/>
    </xf>
    <xf numFmtId="166" fontId="4" fillId="2" borderId="465" xfId="6" applyFont="1" applyFill="1" applyBorder="1" applyAlignment="1">
      <alignment horizontal="center" vertical="center"/>
    </xf>
    <xf numFmtId="164" fontId="4" fillId="2" borderId="466" xfId="6" applyNumberFormat="1" applyFont="1" applyFill="1" applyBorder="1" applyAlignment="1">
      <alignment horizontal="center" vertical="center"/>
    </xf>
    <xf numFmtId="164" fontId="4" fillId="2" borderId="348" xfId="6" applyNumberFormat="1" applyFont="1" applyFill="1" applyBorder="1" applyAlignment="1">
      <alignment horizontal="center" vertical="center"/>
    </xf>
    <xf numFmtId="164" fontId="4" fillId="2" borderId="324" xfId="6" applyNumberFormat="1" applyFont="1" applyFill="1" applyBorder="1" applyAlignment="1">
      <alignment horizontal="center" vertical="center"/>
    </xf>
    <xf numFmtId="0" fontId="4" fillId="2" borderId="462" xfId="0" applyFont="1" applyFill="1" applyBorder="1" applyAlignment="1">
      <alignment vertical="center"/>
    </xf>
    <xf numFmtId="164" fontId="4" fillId="2" borderId="187" xfId="6" applyNumberFormat="1" applyFont="1" applyFill="1" applyBorder="1" applyAlignment="1">
      <alignment vertical="center"/>
    </xf>
    <xf numFmtId="164" fontId="4" fillId="2" borderId="152" xfId="6" applyNumberFormat="1" applyFont="1" applyFill="1" applyBorder="1" applyAlignment="1">
      <alignment vertical="center"/>
    </xf>
    <xf numFmtId="49" fontId="4" fillId="2" borderId="0" xfId="6" applyNumberFormat="1" applyFont="1" applyFill="1" applyBorder="1" applyAlignment="1">
      <alignment horizontal="center" vertical="center"/>
    </xf>
    <xf numFmtId="49" fontId="4" fillId="2" borderId="64" xfId="6" applyNumberFormat="1" applyFont="1" applyFill="1" applyBorder="1" applyAlignment="1">
      <alignment horizontal="center" vertical="center"/>
    </xf>
    <xf numFmtId="164" fontId="70" fillId="2" borderId="0" xfId="6" applyNumberFormat="1" applyFont="1" applyFill="1" applyAlignment="1">
      <alignment horizontal="center" vertical="center"/>
    </xf>
    <xf numFmtId="164" fontId="70" fillId="0" borderId="40" xfId="6" applyNumberFormat="1" applyFont="1" applyFill="1" applyBorder="1" applyAlignment="1">
      <alignment horizontal="center" vertical="center"/>
    </xf>
    <xf numFmtId="164" fontId="70" fillId="0" borderId="40" xfId="6" applyNumberFormat="1" applyFont="1" applyFill="1" applyBorder="1" applyAlignment="1">
      <alignment vertical="center"/>
    </xf>
    <xf numFmtId="9" fontId="70" fillId="0" borderId="40" xfId="2" applyFont="1" applyFill="1" applyBorder="1" applyAlignment="1">
      <alignment vertical="center"/>
    </xf>
    <xf numFmtId="9" fontId="70" fillId="0" borderId="40" xfId="2" applyFont="1" applyFill="1" applyBorder="1" applyAlignment="1">
      <alignment horizontal="center" vertical="center"/>
    </xf>
    <xf numFmtId="167" fontId="70" fillId="0" borderId="40" xfId="2" applyNumberFormat="1" applyFont="1" applyFill="1" applyBorder="1" applyAlignment="1">
      <alignment horizontal="center" vertical="center"/>
    </xf>
    <xf numFmtId="164" fontId="70" fillId="0" borderId="459" xfId="6" applyNumberFormat="1" applyFont="1" applyFill="1" applyBorder="1" applyAlignment="1">
      <alignment vertical="center"/>
    </xf>
    <xf numFmtId="164" fontId="70" fillId="0" borderId="39" xfId="6" applyNumberFormat="1" applyFont="1" applyFill="1" applyBorder="1" applyAlignment="1">
      <alignment vertical="center"/>
    </xf>
    <xf numFmtId="9" fontId="70" fillId="0" borderId="130" xfId="2" applyFont="1" applyFill="1" applyBorder="1" applyAlignment="1">
      <alignment vertical="center"/>
    </xf>
    <xf numFmtId="164" fontId="70" fillId="0" borderId="130" xfId="6" applyNumberFormat="1" applyFont="1" applyFill="1" applyBorder="1" applyAlignment="1">
      <alignment vertical="center"/>
    </xf>
    <xf numFmtId="164" fontId="70" fillId="0" borderId="39" xfId="6" applyNumberFormat="1" applyFont="1" applyFill="1" applyBorder="1" applyAlignment="1">
      <alignment horizontal="center" vertical="center"/>
    </xf>
    <xf numFmtId="9" fontId="70" fillId="0" borderId="130" xfId="2" applyFont="1" applyFill="1" applyBorder="1" applyAlignment="1">
      <alignment horizontal="center" vertical="center"/>
    </xf>
    <xf numFmtId="164" fontId="19" fillId="0" borderId="39" xfId="6" applyNumberFormat="1" applyFont="1" applyFill="1" applyBorder="1" applyAlignment="1">
      <alignment horizontal="center" vertical="center"/>
    </xf>
    <xf numFmtId="164" fontId="19" fillId="0" borderId="40" xfId="6" applyNumberFormat="1" applyFont="1" applyFill="1" applyBorder="1" applyAlignment="1">
      <alignment vertical="center"/>
    </xf>
    <xf numFmtId="9" fontId="19" fillId="0" borderId="130" xfId="2" applyFont="1" applyFill="1" applyBorder="1" applyAlignment="1">
      <alignment horizontal="center" vertical="center"/>
    </xf>
    <xf numFmtId="1" fontId="19" fillId="0" borderId="39" xfId="0" applyNumberFormat="1" applyFont="1" applyFill="1" applyBorder="1" applyAlignment="1">
      <alignment horizontal="center" vertical="center"/>
    </xf>
    <xf numFmtId="1" fontId="19" fillId="0" borderId="40" xfId="0" applyNumberFormat="1" applyFont="1" applyFill="1" applyBorder="1" applyAlignment="1">
      <alignment horizontal="center" vertical="center"/>
    </xf>
    <xf numFmtId="164" fontId="19" fillId="0" borderId="40" xfId="0" applyNumberFormat="1" applyFont="1" applyFill="1" applyBorder="1" applyAlignment="1">
      <alignment vertical="center"/>
    </xf>
    <xf numFmtId="9" fontId="19" fillId="0" borderId="130" xfId="2" applyFont="1" applyFill="1" applyBorder="1" applyAlignment="1">
      <alignment vertical="center"/>
    </xf>
    <xf numFmtId="9" fontId="19" fillId="0" borderId="460" xfId="2" applyFont="1" applyFill="1" applyBorder="1" applyAlignment="1">
      <alignment horizontal="center" vertical="center"/>
    </xf>
    <xf numFmtId="164" fontId="70" fillId="0" borderId="36" xfId="6" applyNumberFormat="1" applyFont="1" applyFill="1" applyBorder="1" applyAlignment="1">
      <alignment horizontal="center" vertical="center"/>
    </xf>
    <xf numFmtId="164" fontId="70" fillId="0" borderId="41" xfId="6" applyNumberFormat="1" applyFont="1" applyFill="1" applyBorder="1" applyAlignment="1">
      <alignment vertical="center"/>
    </xf>
    <xf numFmtId="164" fontId="19" fillId="0" borderId="36" xfId="6" applyNumberFormat="1" applyFont="1" applyFill="1" applyBorder="1" applyAlignment="1">
      <alignment horizontal="center" vertical="center"/>
    </xf>
    <xf numFmtId="164" fontId="19" fillId="0" borderId="41" xfId="6" applyNumberFormat="1" applyFont="1" applyFill="1" applyBorder="1" applyAlignment="1">
      <alignment vertical="center"/>
    </xf>
    <xf numFmtId="164" fontId="19" fillId="0" borderId="461" xfId="6" applyNumberFormat="1" applyFont="1" applyFill="1" applyBorder="1" applyAlignment="1">
      <alignment vertical="center"/>
    </xf>
    <xf numFmtId="164" fontId="19" fillId="0" borderId="203" xfId="6" applyNumberFormat="1" applyFont="1" applyFill="1" applyBorder="1" applyAlignment="1">
      <alignment horizontal="center" vertical="center"/>
    </xf>
    <xf numFmtId="164" fontId="19" fillId="0" borderId="60" xfId="6" applyNumberFormat="1" applyFont="1" applyFill="1" applyBorder="1" applyAlignment="1">
      <alignment vertical="center"/>
    </xf>
    <xf numFmtId="164" fontId="19" fillId="0" borderId="439" xfId="6" applyNumberFormat="1" applyFont="1" applyFill="1" applyBorder="1" applyAlignment="1">
      <alignment vertical="center"/>
    </xf>
    <xf numFmtId="164" fontId="19" fillId="0" borderId="0" xfId="6" applyNumberFormat="1" applyFont="1" applyFill="1" applyBorder="1" applyAlignment="1">
      <alignment vertical="center"/>
    </xf>
    <xf numFmtId="169" fontId="19" fillId="0" borderId="57" xfId="6" applyNumberFormat="1" applyFont="1" applyFill="1" applyBorder="1" applyAlignment="1">
      <alignment horizontal="center" vertical="center"/>
    </xf>
    <xf numFmtId="164" fontId="19" fillId="0" borderId="58" xfId="6" applyNumberFormat="1" applyFont="1" applyFill="1" applyBorder="1" applyAlignment="1">
      <alignment vertical="center"/>
    </xf>
    <xf numFmtId="9" fontId="19" fillId="0" borderId="450" xfId="2" applyFont="1" applyFill="1" applyBorder="1" applyAlignment="1">
      <alignment horizontal="center" vertical="center"/>
    </xf>
    <xf numFmtId="164" fontId="70" fillId="0" borderId="462" xfId="6" applyNumberFormat="1" applyFont="1" applyFill="1" applyBorder="1" applyAlignment="1">
      <alignment vertical="center"/>
    </xf>
    <xf numFmtId="164" fontId="19" fillId="0" borderId="283" xfId="6" applyNumberFormat="1" applyFont="1" applyFill="1" applyBorder="1" applyAlignment="1">
      <alignment horizontal="center" vertical="center"/>
    </xf>
    <xf numFmtId="164" fontId="19" fillId="0" borderId="284" xfId="0" applyNumberFormat="1" applyFont="1" applyFill="1" applyBorder="1" applyAlignment="1">
      <alignment vertical="center"/>
    </xf>
    <xf numFmtId="9" fontId="19" fillId="0" borderId="413" xfId="2" applyFont="1" applyFill="1" applyBorder="1" applyAlignment="1">
      <alignment vertical="center"/>
    </xf>
    <xf numFmtId="164" fontId="19" fillId="0" borderId="6" xfId="6" applyNumberFormat="1" applyFont="1" applyFill="1" applyBorder="1" applyAlignment="1">
      <alignment horizontal="center" vertical="center"/>
    </xf>
    <xf numFmtId="164" fontId="19" fillId="0" borderId="0" xfId="6" applyNumberFormat="1" applyFont="1" applyFill="1" applyBorder="1" applyAlignment="1">
      <alignment horizontal="center" vertical="center"/>
    </xf>
    <xf numFmtId="164" fontId="19" fillId="0" borderId="414" xfId="6" applyNumberFormat="1" applyFont="1" applyFill="1" applyBorder="1" applyAlignment="1">
      <alignment horizontal="center" vertical="center"/>
    </xf>
    <xf numFmtId="164" fontId="19" fillId="0" borderId="266" xfId="6" applyNumberFormat="1" applyFont="1" applyFill="1" applyBorder="1" applyAlignment="1">
      <alignment horizontal="center" vertical="center"/>
    </xf>
    <xf numFmtId="164" fontId="19" fillId="0" borderId="446" xfId="0" applyNumberFormat="1" applyFont="1" applyFill="1" applyBorder="1" applyAlignment="1">
      <alignment vertical="center"/>
    </xf>
    <xf numFmtId="9" fontId="19" fillId="0" borderId="145" xfId="2" applyFont="1" applyFill="1" applyBorder="1" applyAlignment="1">
      <alignment vertical="center"/>
    </xf>
    <xf numFmtId="1" fontId="19" fillId="0" borderId="266" xfId="0" applyNumberFormat="1" applyFont="1" applyFill="1" applyBorder="1" applyAlignment="1">
      <alignment horizontal="center" vertical="center"/>
    </xf>
    <xf numFmtId="9" fontId="19" fillId="0" borderId="413" xfId="2" applyFont="1" applyFill="1" applyBorder="1" applyAlignment="1">
      <alignment horizontal="center" vertical="center"/>
    </xf>
    <xf numFmtId="164" fontId="70" fillId="0" borderId="0" xfId="6" applyNumberFormat="1" applyFont="1" applyFill="1" applyBorder="1" applyAlignment="1">
      <alignment vertical="center"/>
    </xf>
    <xf numFmtId="167" fontId="19" fillId="0" borderId="463" xfId="6" applyNumberFormat="1" applyFont="1" applyFill="1" applyBorder="1" applyAlignment="1">
      <alignment horizontal="center" vertical="center"/>
    </xf>
    <xf numFmtId="164" fontId="19" fillId="0" borderId="52" xfId="6" applyNumberFormat="1" applyFont="1" applyFill="1" applyBorder="1" applyAlignment="1">
      <alignment vertical="center"/>
    </xf>
    <xf numFmtId="164" fontId="19" fillId="0" borderId="464" xfId="6" applyNumberFormat="1" applyFont="1" applyFill="1" applyBorder="1" applyAlignment="1">
      <alignment vertical="center"/>
    </xf>
    <xf numFmtId="166" fontId="19" fillId="0" borderId="465" xfId="6" applyFont="1" applyFill="1" applyBorder="1" applyAlignment="1">
      <alignment horizontal="center" vertical="center"/>
    </xf>
    <xf numFmtId="164" fontId="19" fillId="0" borderId="466" xfId="6" applyNumberFormat="1" applyFont="1" applyFill="1" applyBorder="1" applyAlignment="1">
      <alignment horizontal="center" vertical="center"/>
    </xf>
    <xf numFmtId="164" fontId="19" fillId="0" borderId="467" xfId="6" applyNumberFormat="1" applyFont="1" applyFill="1" applyBorder="1" applyAlignment="1">
      <alignment vertical="center"/>
    </xf>
    <xf numFmtId="9" fontId="19" fillId="0" borderId="441" xfId="2" applyFont="1" applyFill="1" applyBorder="1" applyAlignment="1">
      <alignment horizontal="center" vertical="center"/>
    </xf>
    <xf numFmtId="167" fontId="19" fillId="2" borderId="39" xfId="6" applyNumberFormat="1" applyFont="1" applyFill="1" applyBorder="1" applyAlignment="1">
      <alignment horizontal="center" vertical="center"/>
    </xf>
    <xf numFmtId="164" fontId="19" fillId="2" borderId="468" xfId="6" applyNumberFormat="1" applyFont="1" applyFill="1" applyBorder="1" applyAlignment="1">
      <alignment vertical="center"/>
    </xf>
    <xf numFmtId="164" fontId="19" fillId="2" borderId="469" xfId="6" applyNumberFormat="1" applyFont="1" applyFill="1" applyBorder="1" applyAlignment="1">
      <alignment vertical="center"/>
    </xf>
    <xf numFmtId="9" fontId="19" fillId="2" borderId="441" xfId="2" applyFont="1" applyFill="1" applyBorder="1" applyAlignment="1">
      <alignment horizontal="center" vertical="center"/>
    </xf>
    <xf numFmtId="167" fontId="70" fillId="2" borderId="36" xfId="6" applyNumberFormat="1" applyFont="1" applyFill="1" applyBorder="1" applyAlignment="1">
      <alignment horizontal="center" vertical="center"/>
    </xf>
    <xf numFmtId="164" fontId="70" fillId="2" borderId="41" xfId="6" applyNumberFormat="1" applyFont="1" applyFill="1" applyBorder="1" applyAlignment="1">
      <alignment vertical="center"/>
    </xf>
    <xf numFmtId="164" fontId="19" fillId="2" borderId="438" xfId="6" applyNumberFormat="1" applyFont="1" applyFill="1" applyBorder="1" applyAlignment="1">
      <alignment vertical="center"/>
    </xf>
    <xf numFmtId="3" fontId="19" fillId="0" borderId="36" xfId="6" applyNumberFormat="1" applyFont="1" applyFill="1" applyBorder="1" applyAlignment="1">
      <alignment horizontal="center" vertical="center"/>
    </xf>
    <xf numFmtId="167" fontId="19" fillId="2" borderId="203" xfId="6" applyNumberFormat="1" applyFont="1" applyFill="1" applyBorder="1" applyAlignment="1">
      <alignment horizontal="center" vertical="center"/>
    </xf>
    <xf numFmtId="164" fontId="19" fillId="2" borderId="281" xfId="6" applyNumberFormat="1" applyFont="1" applyFill="1" applyBorder="1" applyAlignment="1">
      <alignment vertical="center"/>
    </xf>
    <xf numFmtId="164" fontId="19" fillId="2" borderId="60" xfId="6" applyNumberFormat="1" applyFont="1" applyFill="1" applyBorder="1" applyAlignment="1">
      <alignment vertical="center"/>
    </xf>
    <xf numFmtId="164" fontId="70" fillId="2" borderId="0" xfId="6" applyNumberFormat="1" applyFont="1" applyFill="1" applyAlignment="1">
      <alignment vertical="center"/>
    </xf>
    <xf numFmtId="165" fontId="4" fillId="2" borderId="70" xfId="6" applyNumberFormat="1" applyFont="1" applyFill="1" applyBorder="1" applyAlignment="1">
      <alignment horizontal="center" vertical="center"/>
    </xf>
    <xf numFmtId="165" fontId="4" fillId="2" borderId="117" xfId="6" applyNumberFormat="1" applyFont="1" applyFill="1" applyBorder="1" applyAlignment="1">
      <alignment horizontal="center" vertical="center"/>
    </xf>
    <xf numFmtId="165" fontId="4" fillId="2" borderId="37" xfId="6" applyNumberFormat="1" applyFont="1" applyFill="1" applyBorder="1" applyAlignment="1">
      <alignment horizontal="center" vertical="center"/>
    </xf>
    <xf numFmtId="165" fontId="4" fillId="0" borderId="70" xfId="6" applyNumberFormat="1" applyFont="1" applyFill="1" applyBorder="1" applyAlignment="1">
      <alignment horizontal="center" vertical="center"/>
    </xf>
    <xf numFmtId="165" fontId="4" fillId="0" borderId="67" xfId="6" applyNumberFormat="1" applyFont="1" applyFill="1" applyBorder="1" applyAlignment="1">
      <alignment horizontal="center" vertical="center"/>
    </xf>
    <xf numFmtId="164" fontId="32" fillId="0" borderId="58" xfId="6" applyNumberFormat="1" applyFont="1" applyFill="1" applyBorder="1" applyAlignment="1">
      <alignment vertical="center"/>
    </xf>
    <xf numFmtId="9" fontId="32" fillId="2" borderId="62" xfId="2" applyFont="1" applyFill="1" applyBorder="1" applyAlignment="1">
      <alignment vertical="center"/>
    </xf>
    <xf numFmtId="169" fontId="4" fillId="2" borderId="64" xfId="6" applyNumberFormat="1" applyFont="1" applyFill="1" applyBorder="1" applyAlignment="1">
      <alignment horizontal="right" vertical="center"/>
    </xf>
    <xf numFmtId="165" fontId="4" fillId="2" borderId="509" xfId="6" applyNumberFormat="1" applyFont="1" applyFill="1" applyBorder="1" applyAlignment="1">
      <alignment horizontal="center" vertical="center"/>
    </xf>
    <xf numFmtId="9" fontId="32" fillId="0" borderId="62" xfId="2" applyFont="1" applyFill="1" applyBorder="1" applyAlignment="1">
      <alignment vertical="center"/>
    </xf>
    <xf numFmtId="166" fontId="4" fillId="2" borderId="107" xfId="6" applyFont="1" applyFill="1" applyBorder="1" applyAlignment="1">
      <alignment horizontal="left" vertical="center" wrapText="1"/>
    </xf>
    <xf numFmtId="164" fontId="5" fillId="0" borderId="107" xfId="6" applyNumberFormat="1" applyFont="1" applyFill="1" applyBorder="1" applyAlignment="1">
      <alignment horizontal="center" vertical="center"/>
    </xf>
    <xf numFmtId="164" fontId="5" fillId="0" borderId="67" xfId="6" quotePrefix="1" applyNumberFormat="1" applyFont="1" applyFill="1" applyBorder="1" applyAlignment="1">
      <alignment horizontal="center" vertical="center"/>
    </xf>
    <xf numFmtId="164" fontId="84" fillId="2" borderId="70" xfId="6" applyNumberFormat="1" applyFont="1" applyFill="1" applyBorder="1" applyAlignment="1">
      <alignment vertical="center"/>
    </xf>
    <xf numFmtId="164" fontId="84" fillId="2" borderId="67" xfId="6" applyNumberFormat="1" applyFont="1" applyFill="1" applyBorder="1" applyAlignment="1">
      <alignment vertical="center"/>
    </xf>
    <xf numFmtId="9" fontId="84" fillId="0" borderId="62" xfId="2" applyFont="1" applyFill="1" applyBorder="1" applyAlignment="1">
      <alignment vertical="center"/>
    </xf>
    <xf numFmtId="166" fontId="12" fillId="2" borderId="63" xfId="6" applyFont="1" applyFill="1" applyBorder="1" applyAlignment="1">
      <alignment vertical="center"/>
    </xf>
    <xf numFmtId="164" fontId="69" fillId="2" borderId="117" xfId="6" applyNumberFormat="1" applyFont="1" applyFill="1" applyBorder="1" applyAlignment="1">
      <alignment horizontal="center" vertical="center"/>
    </xf>
    <xf numFmtId="164" fontId="69" fillId="2" borderId="37" xfId="6" applyNumberFormat="1" applyFont="1" applyFill="1" applyBorder="1" applyAlignment="1">
      <alignment vertical="center"/>
    </xf>
    <xf numFmtId="164" fontId="69" fillId="0" borderId="70" xfId="6" applyNumberFormat="1" applyFont="1" applyFill="1" applyBorder="1" applyAlignment="1">
      <alignment horizontal="center" vertical="center"/>
    </xf>
    <xf numFmtId="164" fontId="69" fillId="0" borderId="67" xfId="6" applyNumberFormat="1" applyFont="1" applyFill="1" applyBorder="1" applyAlignment="1">
      <alignment vertical="center"/>
    </xf>
    <xf numFmtId="164" fontId="69" fillId="0" borderId="67" xfId="0" applyNumberFormat="1" applyFont="1" applyFill="1" applyBorder="1" applyAlignment="1">
      <alignment vertical="center"/>
    </xf>
    <xf numFmtId="9" fontId="69" fillId="0" borderId="71" xfId="2" applyFont="1" applyFill="1" applyBorder="1" applyAlignment="1">
      <alignment horizontal="center" vertical="center"/>
    </xf>
    <xf numFmtId="164" fontId="69" fillId="0" borderId="37" xfId="6" applyNumberFormat="1" applyFont="1" applyFill="1" applyBorder="1" applyAlignment="1">
      <alignment vertical="center"/>
    </xf>
    <xf numFmtId="9" fontId="69" fillId="0" borderId="118" xfId="2" applyFont="1" applyFill="1" applyBorder="1" applyAlignment="1">
      <alignment horizontal="center" vertical="center"/>
    </xf>
    <xf numFmtId="164" fontId="69" fillId="2" borderId="67" xfId="6" applyNumberFormat="1" applyFont="1" applyFill="1" applyBorder="1" applyAlignment="1">
      <alignment vertical="center"/>
    </xf>
    <xf numFmtId="9" fontId="69" fillId="0" borderId="71" xfId="2" applyFont="1" applyFill="1" applyBorder="1" applyAlignment="1">
      <alignment vertical="center"/>
    </xf>
    <xf numFmtId="164" fontId="69" fillId="2" borderId="33" xfId="0" applyNumberFormat="1" applyFont="1" applyFill="1" applyBorder="1" applyAlignment="1">
      <alignment vertical="center"/>
    </xf>
    <xf numFmtId="0" fontId="69" fillId="2" borderId="70" xfId="0" applyFont="1" applyFill="1" applyBorder="1" applyAlignment="1">
      <alignment vertical="center"/>
    </xf>
    <xf numFmtId="9" fontId="69" fillId="0" borderId="62" xfId="2" applyFont="1" applyFill="1" applyBorder="1" applyAlignment="1">
      <alignment vertical="center"/>
    </xf>
    <xf numFmtId="164" fontId="74" fillId="0" borderId="37" xfId="6" applyNumberFormat="1" applyFont="1" applyFill="1" applyBorder="1" applyAlignment="1">
      <alignment vertical="center"/>
    </xf>
    <xf numFmtId="164" fontId="69" fillId="0" borderId="60" xfId="6" applyNumberFormat="1" applyFont="1" applyFill="1" applyBorder="1" applyAlignment="1">
      <alignment vertical="center"/>
    </xf>
    <xf numFmtId="164" fontId="69" fillId="0" borderId="0" xfId="6" applyNumberFormat="1" applyFont="1" applyFill="1" applyBorder="1" applyAlignment="1">
      <alignment vertical="center"/>
    </xf>
    <xf numFmtId="164" fontId="74" fillId="0" borderId="462" xfId="6" applyNumberFormat="1" applyFont="1" applyFill="1" applyBorder="1" applyAlignment="1">
      <alignment vertical="center"/>
    </xf>
    <xf numFmtId="164" fontId="69" fillId="0" borderId="283" xfId="6" applyNumberFormat="1" applyFont="1" applyFill="1" applyBorder="1" applyAlignment="1">
      <alignment horizontal="center" vertical="center"/>
    </xf>
    <xf numFmtId="164" fontId="69" fillId="0" borderId="284" xfId="0" applyNumberFormat="1" applyFont="1" applyFill="1" applyBorder="1" applyAlignment="1">
      <alignment vertical="center"/>
    </xf>
    <xf numFmtId="9" fontId="69" fillId="0" borderId="413" xfId="2" applyFont="1" applyFill="1" applyBorder="1" applyAlignment="1">
      <alignment vertical="center"/>
    </xf>
    <xf numFmtId="164" fontId="69" fillId="0" borderId="6" xfId="6" applyNumberFormat="1" applyFont="1" applyFill="1" applyBorder="1" applyAlignment="1">
      <alignment horizontal="center" vertical="center"/>
    </xf>
    <xf numFmtId="164" fontId="69" fillId="0" borderId="0" xfId="6" applyNumberFormat="1" applyFont="1" applyFill="1" applyBorder="1" applyAlignment="1">
      <alignment horizontal="center" vertical="center"/>
    </xf>
    <xf numFmtId="164" fontId="69" fillId="0" borderId="414" xfId="6" applyNumberFormat="1" applyFont="1" applyFill="1" applyBorder="1" applyAlignment="1">
      <alignment horizontal="center" vertical="center"/>
    </xf>
    <xf numFmtId="9" fontId="69" fillId="0" borderId="10" xfId="2" applyFont="1" applyFill="1" applyBorder="1" applyAlignment="1">
      <alignment vertical="center"/>
    </xf>
    <xf numFmtId="9" fontId="69" fillId="0" borderId="413" xfId="2" applyFont="1" applyFill="1" applyBorder="1" applyAlignment="1">
      <alignment horizontal="center" vertical="center"/>
    </xf>
    <xf numFmtId="164" fontId="74" fillId="0" borderId="0" xfId="6" applyNumberFormat="1" applyFont="1" applyFill="1" applyBorder="1" applyAlignment="1">
      <alignment vertical="center"/>
    </xf>
    <xf numFmtId="164" fontId="74" fillId="2" borderId="0" xfId="6" applyNumberFormat="1" applyFont="1" applyFill="1" applyAlignment="1">
      <alignment vertical="center"/>
    </xf>
    <xf numFmtId="164" fontId="69" fillId="0" borderId="70" xfId="6" applyNumberFormat="1" applyFont="1" applyFill="1" applyBorder="1" applyAlignment="1">
      <alignment vertical="center"/>
    </xf>
    <xf numFmtId="9" fontId="69" fillId="0" borderId="118" xfId="2" applyFont="1" applyFill="1" applyBorder="1" applyAlignment="1">
      <alignment vertical="center"/>
    </xf>
    <xf numFmtId="164" fontId="74" fillId="0" borderId="67" xfId="6" applyNumberFormat="1" applyFont="1" applyFill="1" applyBorder="1" applyAlignment="1">
      <alignment vertical="center"/>
    </xf>
    <xf numFmtId="164" fontId="74" fillId="0" borderId="0" xfId="6" applyNumberFormat="1" applyFont="1" applyFill="1" applyBorder="1" applyAlignment="1">
      <alignment horizontal="center" vertical="center"/>
    </xf>
    <xf numFmtId="9" fontId="74" fillId="0" borderId="0" xfId="2" applyFont="1" applyFill="1" applyBorder="1" applyAlignment="1">
      <alignment vertical="center"/>
    </xf>
    <xf numFmtId="9" fontId="74" fillId="0" borderId="0" xfId="2" applyFont="1" applyFill="1" applyBorder="1" applyAlignment="1">
      <alignment horizontal="center" vertical="center"/>
    </xf>
    <xf numFmtId="167" fontId="74" fillId="0" borderId="0" xfId="2" applyNumberFormat="1" applyFont="1" applyFill="1" applyBorder="1" applyAlignment="1">
      <alignment horizontal="center" vertical="center"/>
    </xf>
    <xf numFmtId="164" fontId="74" fillId="0" borderId="407" xfId="6" applyNumberFormat="1" applyFont="1" applyFill="1" applyBorder="1" applyAlignment="1">
      <alignment vertical="center"/>
    </xf>
    <xf numFmtId="164" fontId="74" fillId="0" borderId="6" xfId="6" applyNumberFormat="1" applyFont="1" applyFill="1" applyBorder="1" applyAlignment="1">
      <alignment vertical="center"/>
    </xf>
    <xf numFmtId="9" fontId="74" fillId="0" borderId="10" xfId="2" applyFont="1" applyFill="1" applyBorder="1" applyAlignment="1">
      <alignment vertical="center"/>
    </xf>
    <xf numFmtId="164" fontId="74" fillId="0" borderId="10" xfId="6" applyNumberFormat="1" applyFont="1" applyFill="1" applyBorder="1" applyAlignment="1">
      <alignment vertical="center"/>
    </xf>
    <xf numFmtId="164" fontId="74" fillId="0" borderId="6" xfId="6" applyNumberFormat="1" applyFont="1" applyFill="1" applyBorder="1" applyAlignment="1">
      <alignment horizontal="center" vertical="center"/>
    </xf>
    <xf numFmtId="9" fontId="74" fillId="0" borderId="10" xfId="2" applyFont="1" applyFill="1" applyBorder="1" applyAlignment="1">
      <alignment horizontal="center" vertical="center"/>
    </xf>
    <xf numFmtId="9" fontId="69" fillId="0" borderId="10" xfId="2" applyFont="1" applyFill="1" applyBorder="1" applyAlignment="1">
      <alignment horizontal="center" vertical="center"/>
    </xf>
    <xf numFmtId="1" fontId="69" fillId="0" borderId="6" xfId="0" applyNumberFormat="1" applyFont="1" applyFill="1" applyBorder="1" applyAlignment="1">
      <alignment horizontal="center" vertical="center"/>
    </xf>
    <xf numFmtId="1" fontId="69" fillId="0" borderId="0" xfId="0" applyNumberFormat="1" applyFont="1" applyFill="1" applyBorder="1" applyAlignment="1">
      <alignment horizontal="center" vertical="center"/>
    </xf>
    <xf numFmtId="164" fontId="69" fillId="0" borderId="0" xfId="0" applyNumberFormat="1" applyFont="1" applyFill="1" applyBorder="1" applyAlignment="1">
      <alignment vertical="center"/>
    </xf>
    <xf numFmtId="164" fontId="74" fillId="0" borderId="64" xfId="6" applyNumberFormat="1" applyFont="1" applyFill="1" applyBorder="1" applyAlignment="1">
      <alignment horizontal="center" vertical="center"/>
    </xf>
    <xf numFmtId="164" fontId="74" fillId="0" borderId="72" xfId="6" applyNumberFormat="1" applyFont="1" applyFill="1" applyBorder="1" applyAlignment="1">
      <alignment vertical="center"/>
    </xf>
    <xf numFmtId="164" fontId="69" fillId="0" borderId="64" xfId="6" applyNumberFormat="1" applyFont="1" applyFill="1" applyBorder="1" applyAlignment="1">
      <alignment horizontal="center" vertical="center"/>
    </xf>
    <xf numFmtId="164" fontId="69" fillId="0" borderId="72" xfId="6" applyNumberFormat="1" applyFont="1" applyFill="1" applyBorder="1" applyAlignment="1">
      <alignment vertical="center"/>
    </xf>
    <xf numFmtId="164" fontId="69" fillId="0" borderId="495" xfId="6" applyNumberFormat="1" applyFont="1" applyFill="1" applyBorder="1" applyAlignment="1">
      <alignment vertical="center"/>
    </xf>
    <xf numFmtId="169" fontId="69" fillId="0" borderId="203" xfId="6" applyNumberFormat="1" applyFont="1" applyFill="1" applyBorder="1" applyAlignment="1">
      <alignment horizontal="center" vertical="center"/>
    </xf>
    <xf numFmtId="9" fontId="69" fillId="0" borderId="496" xfId="2" applyFont="1" applyFill="1" applyBorder="1" applyAlignment="1">
      <alignment horizontal="center" vertical="center"/>
    </xf>
    <xf numFmtId="164" fontId="69" fillId="0" borderId="414" xfId="0" applyNumberFormat="1" applyFont="1" applyFill="1" applyBorder="1" applyAlignment="1">
      <alignment vertical="center"/>
    </xf>
    <xf numFmtId="1" fontId="69" fillId="0" borderId="283" xfId="0" applyNumberFormat="1" applyFont="1" applyFill="1" applyBorder="1" applyAlignment="1">
      <alignment horizontal="center" vertical="center"/>
    </xf>
    <xf numFmtId="167" fontId="69" fillId="0" borderId="343" xfId="6" applyNumberFormat="1" applyFont="1" applyFill="1" applyBorder="1" applyAlignment="1">
      <alignment horizontal="center" vertical="center"/>
    </xf>
    <xf numFmtId="3" fontId="69" fillId="0" borderId="64" xfId="6" applyNumberFormat="1" applyFont="1" applyFill="1" applyBorder="1" applyAlignment="1">
      <alignment horizontal="center" vertical="center"/>
    </xf>
    <xf numFmtId="164" fontId="69" fillId="0" borderId="281" xfId="6" applyNumberFormat="1" applyFont="1" applyFill="1" applyBorder="1" applyAlignment="1">
      <alignment vertical="center"/>
    </xf>
    <xf numFmtId="164" fontId="69" fillId="0" borderId="503" xfId="6" applyNumberFormat="1" applyFont="1" applyFill="1" applyBorder="1" applyAlignment="1">
      <alignment vertical="center"/>
    </xf>
    <xf numFmtId="9" fontId="69" fillId="0" borderId="501" xfId="2" applyFont="1" applyFill="1" applyBorder="1" applyAlignment="1">
      <alignment horizontal="center" vertical="center"/>
    </xf>
    <xf numFmtId="0" fontId="69" fillId="0" borderId="64" xfId="0" applyFont="1" applyFill="1" applyBorder="1" applyAlignment="1">
      <alignment horizontal="center" vertical="center"/>
    </xf>
    <xf numFmtId="9" fontId="69" fillId="0" borderId="482" xfId="2" applyFont="1" applyFill="1" applyBorder="1" applyAlignment="1">
      <alignment horizontal="center" vertical="center"/>
    </xf>
    <xf numFmtId="9" fontId="69" fillId="0" borderId="73" xfId="2" applyFont="1" applyFill="1" applyBorder="1" applyAlignment="1">
      <alignment horizontal="center" vertical="center"/>
    </xf>
    <xf numFmtId="164" fontId="69" fillId="0" borderId="116" xfId="0" applyNumberFormat="1" applyFont="1" applyFill="1" applyBorder="1" applyAlignment="1">
      <alignment vertical="center"/>
    </xf>
    <xf numFmtId="49" fontId="69" fillId="0" borderId="203" xfId="6" applyNumberFormat="1" applyFont="1" applyFill="1" applyBorder="1" applyAlignment="1">
      <alignment horizontal="center" vertical="center"/>
    </xf>
    <xf numFmtId="169" fontId="69" fillId="0" borderId="283" xfId="6" applyNumberFormat="1" applyFont="1" applyFill="1" applyBorder="1" applyAlignment="1">
      <alignment horizontal="center" vertical="center"/>
    </xf>
    <xf numFmtId="166" fontId="69" fillId="0" borderId="482" xfId="6" applyFont="1" applyFill="1" applyBorder="1" applyAlignment="1">
      <alignment horizontal="center" vertical="center"/>
    </xf>
    <xf numFmtId="164" fontId="69" fillId="0" borderId="276" xfId="6" applyNumberFormat="1" applyFont="1" applyFill="1" applyBorder="1" applyAlignment="1">
      <alignment vertical="center"/>
    </xf>
    <xf numFmtId="9" fontId="69" fillId="0" borderId="316" xfId="2" applyFont="1" applyFill="1" applyBorder="1" applyAlignment="1">
      <alignment horizontal="center" vertical="center"/>
    </xf>
    <xf numFmtId="164" fontId="69" fillId="0" borderId="117" xfId="6" applyNumberFormat="1" applyFont="1" applyFill="1" applyBorder="1" applyAlignment="1">
      <alignment horizontal="center" vertical="center"/>
    </xf>
    <xf numFmtId="9" fontId="69" fillId="0" borderId="63" xfId="2" applyFont="1" applyFill="1" applyBorder="1" applyAlignment="1">
      <alignment vertical="center"/>
    </xf>
    <xf numFmtId="166" fontId="69" fillId="0" borderId="71" xfId="6" applyFont="1" applyFill="1" applyBorder="1" applyAlignment="1">
      <alignment vertical="center"/>
    </xf>
    <xf numFmtId="164" fontId="74" fillId="0" borderId="0" xfId="6" applyNumberFormat="1" applyFont="1" applyFill="1" applyAlignment="1">
      <alignment horizontal="center" vertical="center"/>
    </xf>
    <xf numFmtId="1" fontId="74" fillId="0" borderId="435" xfId="2" applyNumberFormat="1" applyFont="1" applyFill="1" applyBorder="1" applyAlignment="1">
      <alignment horizontal="center" vertical="center"/>
    </xf>
    <xf numFmtId="164" fontId="74" fillId="0" borderId="436" xfId="6" applyNumberFormat="1" applyFont="1" applyFill="1" applyBorder="1" applyAlignment="1">
      <alignment horizontal="center" vertical="center"/>
    </xf>
    <xf numFmtId="9" fontId="74" fillId="0" borderId="437" xfId="2" applyFont="1" applyFill="1" applyBorder="1" applyAlignment="1">
      <alignment horizontal="center" vertical="center"/>
    </xf>
    <xf numFmtId="164" fontId="69" fillId="0" borderId="324" xfId="6" applyNumberFormat="1" applyFont="1" applyFill="1" applyBorder="1" applyAlignment="1">
      <alignment vertical="center"/>
    </xf>
    <xf numFmtId="164" fontId="69" fillId="0" borderId="34" xfId="6" applyNumberFormat="1" applyFont="1" applyFill="1" applyBorder="1" applyAlignment="1">
      <alignment vertical="center"/>
    </xf>
    <xf numFmtId="167" fontId="69" fillId="0" borderId="6" xfId="6" applyNumberFormat="1" applyFont="1" applyFill="1" applyBorder="1" applyAlignment="1">
      <alignment horizontal="center" vertical="center"/>
    </xf>
    <xf numFmtId="164" fontId="69" fillId="0" borderId="483" xfId="6" applyNumberFormat="1" applyFont="1" applyFill="1" applyBorder="1" applyAlignment="1">
      <alignment vertical="center"/>
    </xf>
    <xf numFmtId="164" fontId="69" fillId="0" borderId="484" xfId="6" applyNumberFormat="1" applyFont="1" applyFill="1" applyBorder="1" applyAlignment="1">
      <alignment vertical="center"/>
    </xf>
    <xf numFmtId="167" fontId="69" fillId="0" borderId="64" xfId="6" applyNumberFormat="1" applyFont="1" applyFill="1" applyBorder="1" applyAlignment="1">
      <alignment horizontal="center" vertical="center"/>
    </xf>
    <xf numFmtId="164" fontId="69" fillId="0" borderId="482" xfId="6" applyNumberFormat="1" applyFont="1" applyFill="1" applyBorder="1" applyAlignment="1">
      <alignment vertical="center"/>
    </xf>
    <xf numFmtId="9" fontId="69" fillId="0" borderId="505" xfId="2" applyFont="1" applyFill="1" applyBorder="1" applyAlignment="1">
      <alignment horizontal="center" vertical="center"/>
    </xf>
    <xf numFmtId="164" fontId="69" fillId="0" borderId="506" xfId="6" applyNumberFormat="1" applyFont="1" applyFill="1" applyBorder="1" applyAlignment="1">
      <alignment horizontal="center" vertical="center"/>
    </xf>
    <xf numFmtId="164" fontId="69" fillId="0" borderId="507" xfId="0" applyNumberFormat="1" applyFont="1" applyFill="1" applyBorder="1" applyAlignment="1">
      <alignment vertical="center"/>
    </xf>
    <xf numFmtId="9" fontId="69" fillId="0" borderId="508" xfId="2" applyFont="1" applyFill="1" applyBorder="1" applyAlignment="1">
      <alignment vertical="center"/>
    </xf>
    <xf numFmtId="164" fontId="69" fillId="0" borderId="126" xfId="6" applyNumberFormat="1" applyFont="1" applyFill="1" applyBorder="1" applyAlignment="1">
      <alignment horizontal="center" vertical="center"/>
    </xf>
    <xf numFmtId="164" fontId="69" fillId="0" borderId="127" xfId="6" applyNumberFormat="1" applyFont="1" applyFill="1" applyBorder="1" applyAlignment="1">
      <alignment horizontal="center" vertical="center"/>
    </xf>
    <xf numFmtId="9" fontId="69" fillId="0" borderId="145" xfId="2" applyFont="1" applyFill="1" applyBorder="1" applyAlignment="1">
      <alignment vertical="center"/>
    </xf>
    <xf numFmtId="164" fontId="74" fillId="0" borderId="0" xfId="6" applyNumberFormat="1" applyFont="1" applyFill="1" applyAlignment="1">
      <alignment vertical="center"/>
    </xf>
    <xf numFmtId="164" fontId="69" fillId="0" borderId="108" xfId="6" applyNumberFormat="1" applyFont="1" applyFill="1" applyBorder="1" applyAlignment="1">
      <alignment horizontal="center" vertical="center"/>
    </xf>
    <xf numFmtId="164" fontId="69" fillId="0" borderId="107" xfId="6" applyNumberFormat="1" applyFont="1" applyFill="1" applyBorder="1" applyAlignment="1">
      <alignment vertical="center"/>
    </xf>
    <xf numFmtId="164" fontId="69" fillId="0" borderId="107" xfId="0" applyNumberFormat="1" applyFont="1" applyFill="1" applyBorder="1" applyAlignment="1">
      <alignment vertical="center"/>
    </xf>
    <xf numFmtId="9" fontId="69" fillId="0" borderId="109" xfId="2" applyFont="1" applyFill="1" applyBorder="1" applyAlignment="1">
      <alignment horizontal="center" vertical="center"/>
    </xf>
    <xf numFmtId="164" fontId="69" fillId="0" borderId="127" xfId="6" applyNumberFormat="1" applyFont="1" applyFill="1" applyBorder="1" applyAlignment="1">
      <alignment vertical="center"/>
    </xf>
    <xf numFmtId="9" fontId="69" fillId="0" borderId="190" xfId="2" applyFont="1" applyFill="1" applyBorder="1" applyAlignment="1">
      <alignment horizontal="center" vertical="center"/>
    </xf>
    <xf numFmtId="164" fontId="74" fillId="0" borderId="108" xfId="6" applyNumberFormat="1" applyFont="1" applyFill="1" applyBorder="1" applyAlignment="1">
      <alignment horizontal="center" vertical="center"/>
    </xf>
    <xf numFmtId="164" fontId="74" fillId="0" borderId="107" xfId="6" applyNumberFormat="1" applyFont="1" applyFill="1" applyBorder="1" applyAlignment="1">
      <alignment vertical="center"/>
    </xf>
    <xf numFmtId="164" fontId="74" fillId="0" borderId="127" xfId="6" applyNumberFormat="1" applyFont="1" applyFill="1" applyBorder="1" applyAlignment="1">
      <alignment vertical="center"/>
    </xf>
    <xf numFmtId="49" fontId="69" fillId="0" borderId="108" xfId="6" applyNumberFormat="1" applyFont="1" applyFill="1" applyBorder="1" applyAlignment="1">
      <alignment horizontal="center" vertical="center"/>
    </xf>
    <xf numFmtId="9" fontId="69" fillId="0" borderId="73" xfId="2" applyFont="1" applyFill="1" applyBorder="1" applyAlignment="1">
      <alignment vertical="center"/>
    </xf>
    <xf numFmtId="164" fontId="69" fillId="0" borderId="117" xfId="6" applyNumberFormat="1" applyFont="1" applyFill="1" applyBorder="1" applyAlignment="1">
      <alignment vertical="center"/>
    </xf>
    <xf numFmtId="164" fontId="69" fillId="0" borderId="68" xfId="6" applyNumberFormat="1" applyFont="1" applyFill="1" applyBorder="1" applyAlignment="1">
      <alignment vertical="center"/>
    </xf>
    <xf numFmtId="165" fontId="69" fillId="0" borderId="37" xfId="0" applyNumberFormat="1" applyFont="1" applyFill="1" applyBorder="1" applyAlignment="1">
      <alignment vertical="center"/>
    </xf>
    <xf numFmtId="9" fontId="74" fillId="0" borderId="63" xfId="2" applyFont="1" applyFill="1" applyBorder="1" applyAlignment="1">
      <alignment vertical="center"/>
    </xf>
    <xf numFmtId="164" fontId="69" fillId="0" borderId="65" xfId="0" applyNumberFormat="1" applyFont="1" applyFill="1" applyBorder="1" applyAlignment="1">
      <alignment vertical="center"/>
    </xf>
    <xf numFmtId="164" fontId="69" fillId="0" borderId="66" xfId="0" applyNumberFormat="1" applyFont="1" applyFill="1" applyBorder="1" applyAlignment="1">
      <alignment vertical="center"/>
    </xf>
    <xf numFmtId="9" fontId="69" fillId="0" borderId="102" xfId="2" applyFont="1" applyFill="1" applyBorder="1" applyAlignment="1">
      <alignment vertical="center"/>
    </xf>
    <xf numFmtId="9" fontId="69" fillId="0" borderId="105" xfId="2" applyFont="1" applyFill="1" applyBorder="1" applyAlignment="1">
      <alignment vertical="center"/>
    </xf>
    <xf numFmtId="164" fontId="69" fillId="0" borderId="33" xfId="0" applyNumberFormat="1" applyFont="1" applyFill="1" applyBorder="1" applyAlignment="1">
      <alignment vertical="center"/>
    </xf>
    <xf numFmtId="164" fontId="69" fillId="0" borderId="34" xfId="0" applyNumberFormat="1" applyFont="1" applyFill="1" applyBorder="1" applyAlignment="1">
      <alignment vertical="center"/>
    </xf>
    <xf numFmtId="164" fontId="69" fillId="0" borderId="115" xfId="0" applyNumberFormat="1" applyFont="1" applyFill="1" applyBorder="1" applyAlignment="1">
      <alignment vertical="center"/>
    </xf>
    <xf numFmtId="9" fontId="69" fillId="0" borderId="101" xfId="2" applyFont="1" applyFill="1" applyBorder="1" applyAlignment="1">
      <alignment vertical="center"/>
    </xf>
    <xf numFmtId="164" fontId="69" fillId="0" borderId="0" xfId="0" applyNumberFormat="1" applyFont="1" applyFill="1" applyAlignment="1">
      <alignment vertical="center"/>
    </xf>
    <xf numFmtId="164" fontId="74" fillId="0" borderId="70" xfId="6" applyNumberFormat="1" applyFont="1" applyFill="1" applyBorder="1" applyAlignment="1">
      <alignment vertical="center"/>
    </xf>
    <xf numFmtId="9" fontId="74" fillId="0" borderId="118" xfId="2" applyFont="1" applyFill="1" applyBorder="1" applyAlignment="1">
      <alignment horizontal="center" vertical="center"/>
    </xf>
    <xf numFmtId="166" fontId="74" fillId="2" borderId="63" xfId="6" applyFont="1" applyFill="1" applyBorder="1" applyAlignment="1">
      <alignment vertical="center"/>
    </xf>
    <xf numFmtId="173" fontId="69" fillId="2" borderId="67" xfId="6" applyNumberFormat="1" applyFont="1" applyFill="1" applyBorder="1" applyAlignment="1">
      <alignment vertical="center"/>
    </xf>
    <xf numFmtId="164" fontId="12" fillId="0" borderId="0" xfId="6" applyNumberFormat="1" applyFont="1" applyFill="1" applyAlignment="1">
      <alignment horizontal="center" vertical="center"/>
    </xf>
    <xf numFmtId="0" fontId="19" fillId="0" borderId="447" xfId="0" applyFont="1" applyFill="1" applyBorder="1" applyAlignment="1">
      <alignment horizontal="center" vertical="center"/>
    </xf>
    <xf numFmtId="166" fontId="19" fillId="0" borderId="67" xfId="6" applyFont="1" applyFill="1" applyBorder="1" applyAlignment="1">
      <alignment horizontal="left" vertical="center" wrapText="1"/>
    </xf>
    <xf numFmtId="1" fontId="12" fillId="0" borderId="435" xfId="2" applyNumberFormat="1" applyFont="1" applyFill="1" applyBorder="1" applyAlignment="1">
      <alignment horizontal="center" vertical="center"/>
    </xf>
    <xf numFmtId="164" fontId="12" fillId="0" borderId="436" xfId="6" applyNumberFormat="1" applyFont="1" applyFill="1" applyBorder="1" applyAlignment="1">
      <alignment horizontal="center" vertical="center"/>
    </xf>
    <xf numFmtId="9" fontId="12" fillId="0" borderId="437" xfId="2" applyFont="1" applyFill="1" applyBorder="1" applyAlignment="1">
      <alignment horizontal="center" vertical="center"/>
    </xf>
    <xf numFmtId="164" fontId="4" fillId="0" borderId="324" xfId="6" applyNumberFormat="1" applyFont="1" applyFill="1" applyBorder="1" applyAlignment="1">
      <alignment vertical="center"/>
    </xf>
    <xf numFmtId="164" fontId="4" fillId="0" borderId="34" xfId="6" applyNumberFormat="1" applyFont="1" applyFill="1" applyBorder="1" applyAlignment="1">
      <alignment vertical="center"/>
    </xf>
    <xf numFmtId="167" fontId="4" fillId="0" borderId="6" xfId="6" applyNumberFormat="1" applyFont="1" applyFill="1" applyBorder="1" applyAlignment="1">
      <alignment horizontal="center" vertical="center"/>
    </xf>
    <xf numFmtId="164" fontId="4" fillId="0" borderId="483" xfId="6" applyNumberFormat="1" applyFont="1" applyFill="1" applyBorder="1" applyAlignment="1">
      <alignment vertical="center"/>
    </xf>
    <xf numFmtId="164" fontId="4" fillId="0" borderId="484" xfId="6" applyNumberFormat="1" applyFont="1" applyFill="1" applyBorder="1" applyAlignment="1">
      <alignment vertical="center"/>
    </xf>
    <xf numFmtId="167" fontId="4" fillId="0" borderId="64" xfId="6" applyNumberFormat="1" applyFont="1" applyFill="1" applyBorder="1" applyAlignment="1">
      <alignment horizontal="center" vertical="center"/>
    </xf>
    <xf numFmtId="164" fontId="4" fillId="0" borderId="482" xfId="6" applyNumberFormat="1" applyFont="1" applyFill="1" applyBorder="1" applyAlignment="1">
      <alignment vertical="center"/>
    </xf>
    <xf numFmtId="164" fontId="4" fillId="0" borderId="502" xfId="6" applyNumberFormat="1" applyFont="1" applyFill="1" applyBorder="1" applyAlignment="1">
      <alignment vertical="center"/>
    </xf>
    <xf numFmtId="164" fontId="78" fillId="0" borderId="503" xfId="6" applyNumberFormat="1" applyFont="1" applyFill="1" applyBorder="1" applyAlignment="1">
      <alignment vertical="center"/>
    </xf>
    <xf numFmtId="164" fontId="4" fillId="0" borderId="276" xfId="6" applyNumberFormat="1" applyFont="1" applyFill="1" applyBorder="1" applyAlignment="1">
      <alignment vertical="center"/>
    </xf>
    <xf numFmtId="9" fontId="4" fillId="0" borderId="316" xfId="2" applyFont="1" applyFill="1" applyBorder="1" applyAlignment="1">
      <alignment horizontal="center" vertical="center"/>
    </xf>
    <xf numFmtId="164" fontId="4" fillId="0" borderId="504" xfId="6" applyNumberFormat="1" applyFont="1" applyFill="1" applyBorder="1" applyAlignment="1">
      <alignment vertical="center"/>
    </xf>
    <xf numFmtId="9" fontId="4" fillId="0" borderId="505" xfId="2" applyFont="1" applyFill="1" applyBorder="1" applyAlignment="1">
      <alignment horizontal="center" vertical="center"/>
    </xf>
    <xf numFmtId="9" fontId="4" fillId="0" borderId="73" xfId="2" applyFont="1" applyFill="1" applyBorder="1" applyAlignment="1">
      <alignment horizontal="center" vertical="center"/>
    </xf>
    <xf numFmtId="164" fontId="4" fillId="0" borderId="506" xfId="6" applyNumberFormat="1" applyFont="1" applyFill="1" applyBorder="1" applyAlignment="1">
      <alignment horizontal="center" vertical="center"/>
    </xf>
    <xf numFmtId="164" fontId="4" fillId="0" borderId="507" xfId="0" applyNumberFormat="1" applyFont="1" applyFill="1" applyBorder="1" applyAlignment="1">
      <alignment vertical="center"/>
    </xf>
    <xf numFmtId="9" fontId="4" fillId="0" borderId="508" xfId="2" applyFont="1" applyFill="1" applyBorder="1" applyAlignment="1">
      <alignment vertical="center"/>
    </xf>
    <xf numFmtId="164" fontId="4" fillId="0" borderId="126" xfId="6" applyNumberFormat="1" applyFont="1" applyFill="1" applyBorder="1" applyAlignment="1">
      <alignment horizontal="center" vertical="center"/>
    </xf>
    <xf numFmtId="164" fontId="4" fillId="0" borderId="127" xfId="6" applyNumberFormat="1" applyFont="1" applyFill="1" applyBorder="1" applyAlignment="1">
      <alignment horizontal="center" vertical="center"/>
    </xf>
    <xf numFmtId="169" fontId="4" fillId="0" borderId="283" xfId="6" applyNumberFormat="1" applyFont="1" applyFill="1" applyBorder="1" applyAlignment="1">
      <alignment horizontal="center" vertical="center"/>
    </xf>
    <xf numFmtId="164" fontId="12" fillId="0" borderId="0" xfId="6" applyNumberFormat="1" applyFont="1" applyFill="1" applyAlignment="1">
      <alignment vertical="center"/>
    </xf>
    <xf numFmtId="164" fontId="4" fillId="0" borderId="108" xfId="6" applyNumberFormat="1" applyFont="1" applyFill="1" applyBorder="1" applyAlignment="1">
      <alignment horizontal="center" vertical="center"/>
    </xf>
    <xf numFmtId="164" fontId="4" fillId="0" borderId="107" xfId="0" applyNumberFormat="1" applyFont="1" applyFill="1" applyBorder="1" applyAlignment="1">
      <alignment vertical="center"/>
    </xf>
    <xf numFmtId="164" fontId="12" fillId="0" borderId="107" xfId="6" applyNumberFormat="1" applyFont="1" applyFill="1" applyBorder="1" applyAlignment="1">
      <alignment vertical="center"/>
    </xf>
    <xf numFmtId="49" fontId="4" fillId="0" borderId="108" xfId="6" applyNumberFormat="1" applyFont="1" applyFill="1" applyBorder="1" applyAlignment="1">
      <alignment horizontal="center" vertical="center"/>
    </xf>
    <xf numFmtId="164" fontId="12" fillId="0" borderId="117" xfId="6" applyNumberFormat="1" applyFont="1" applyFill="1" applyBorder="1" applyAlignment="1">
      <alignment vertical="center"/>
    </xf>
    <xf numFmtId="164" fontId="12" fillId="0" borderId="68" xfId="6" applyNumberFormat="1" applyFont="1" applyFill="1" applyBorder="1" applyAlignment="1">
      <alignment vertical="center"/>
    </xf>
    <xf numFmtId="164" fontId="4" fillId="0" borderId="117" xfId="6" applyNumberFormat="1" applyFont="1" applyFill="1" applyBorder="1" applyAlignment="1">
      <alignment vertical="center"/>
    </xf>
    <xf numFmtId="165" fontId="4" fillId="0" borderId="37" xfId="0" applyNumberFormat="1" applyFont="1" applyFill="1" applyBorder="1" applyAlignment="1">
      <alignment vertical="center"/>
    </xf>
    <xf numFmtId="164" fontId="12" fillId="0" borderId="63" xfId="6" applyNumberFormat="1" applyFont="1" applyFill="1" applyBorder="1" applyAlignment="1">
      <alignment vertical="center"/>
    </xf>
    <xf numFmtId="164" fontId="4" fillId="0" borderId="65" xfId="0" applyNumberFormat="1" applyFont="1" applyFill="1" applyBorder="1" applyAlignment="1">
      <alignment vertical="center"/>
    </xf>
    <xf numFmtId="164" fontId="4" fillId="0" borderId="66" xfId="0" applyNumberFormat="1" applyFont="1" applyFill="1" applyBorder="1" applyAlignment="1">
      <alignment vertical="center"/>
    </xf>
    <xf numFmtId="164" fontId="4" fillId="0" borderId="68" xfId="6" applyNumberFormat="1" applyFont="1" applyFill="1" applyBorder="1" applyAlignment="1">
      <alignment vertical="center"/>
    </xf>
    <xf numFmtId="164" fontId="4" fillId="0" borderId="33" xfId="0" applyNumberFormat="1" applyFont="1" applyFill="1" applyBorder="1" applyAlignment="1">
      <alignment vertical="center"/>
    </xf>
    <xf numFmtId="164" fontId="4" fillId="0" borderId="34" xfId="0" applyNumberFormat="1" applyFont="1" applyFill="1" applyBorder="1" applyAlignment="1">
      <alignment vertical="center"/>
    </xf>
    <xf numFmtId="164" fontId="4" fillId="0" borderId="115" xfId="0" applyNumberFormat="1" applyFont="1" applyFill="1" applyBorder="1" applyAlignment="1">
      <alignment vertical="center"/>
    </xf>
    <xf numFmtId="164" fontId="4" fillId="0" borderId="0" xfId="0" applyNumberFormat="1" applyFont="1" applyFill="1" applyAlignment="1">
      <alignment vertical="center"/>
    </xf>
    <xf numFmtId="164" fontId="85" fillId="0" borderId="70" xfId="6" applyNumberFormat="1" applyFont="1" applyFill="1" applyBorder="1" applyAlignment="1">
      <alignment vertical="center"/>
    </xf>
    <xf numFmtId="164" fontId="85" fillId="0" borderId="67" xfId="6" applyNumberFormat="1" applyFont="1" applyFill="1" applyBorder="1" applyAlignment="1">
      <alignment vertical="center"/>
    </xf>
    <xf numFmtId="9" fontId="85" fillId="0" borderId="62" xfId="2" applyFont="1" applyFill="1" applyBorder="1" applyAlignment="1">
      <alignment vertical="center"/>
    </xf>
    <xf numFmtId="164" fontId="12" fillId="0" borderId="70" xfId="6" applyNumberFormat="1" applyFont="1" applyFill="1" applyBorder="1" applyAlignment="1">
      <alignment horizontal="center" vertical="center"/>
    </xf>
    <xf numFmtId="0" fontId="61" fillId="2" borderId="70" xfId="0" applyFont="1" applyFill="1" applyBorder="1" applyAlignment="1">
      <alignment vertical="center"/>
    </xf>
    <xf numFmtId="0" fontId="61" fillId="2" borderId="67" xfId="0" applyFont="1" applyFill="1" applyBorder="1" applyAlignment="1">
      <alignment vertical="center"/>
    </xf>
    <xf numFmtId="164" fontId="61" fillId="2" borderId="67" xfId="6" applyNumberFormat="1" applyFont="1" applyFill="1" applyBorder="1" applyAlignment="1">
      <alignment vertical="center"/>
    </xf>
    <xf numFmtId="9" fontId="61" fillId="0" borderId="71" xfId="2" applyFont="1" applyFill="1" applyBorder="1" applyAlignment="1">
      <alignment vertical="center"/>
    </xf>
    <xf numFmtId="164" fontId="86" fillId="2" borderId="117" xfId="6" applyNumberFormat="1" applyFont="1" applyFill="1" applyBorder="1" applyAlignment="1">
      <alignment horizontal="center" vertical="center"/>
    </xf>
    <xf numFmtId="164" fontId="86" fillId="2" borderId="37" xfId="6" applyNumberFormat="1" applyFont="1" applyFill="1" applyBorder="1" applyAlignment="1">
      <alignment vertical="center"/>
    </xf>
    <xf numFmtId="0" fontId="19" fillId="0" borderId="510" xfId="0" applyFont="1" applyFill="1" applyBorder="1" applyAlignment="1">
      <alignment horizontal="center" vertical="center"/>
    </xf>
    <xf numFmtId="166" fontId="19" fillId="0" borderId="76" xfId="6" applyFont="1" applyFill="1" applyBorder="1" applyAlignment="1">
      <alignment horizontal="left" vertical="center" wrapText="1"/>
    </xf>
    <xf numFmtId="164" fontId="5" fillId="0" borderId="76" xfId="6" applyNumberFormat="1" applyFont="1" applyFill="1" applyBorder="1" applyAlignment="1">
      <alignment horizontal="center" vertical="center"/>
    </xf>
    <xf numFmtId="168" fontId="52" fillId="0" borderId="76" xfId="4" applyNumberFormat="1" applyFont="1" applyFill="1" applyBorder="1" applyAlignment="1">
      <alignment horizontal="center" vertical="center"/>
    </xf>
    <xf numFmtId="164" fontId="4" fillId="0" borderId="77" xfId="6" applyNumberFormat="1" applyFont="1" applyFill="1" applyBorder="1" applyAlignment="1">
      <alignment horizontal="center" vertical="center"/>
    </xf>
    <xf numFmtId="9" fontId="12" fillId="0" borderId="196" xfId="2" applyFont="1" applyFill="1" applyBorder="1" applyAlignment="1">
      <alignment horizontal="center" vertical="center"/>
    </xf>
    <xf numFmtId="164" fontId="12" fillId="0" borderId="53" xfId="6" applyNumberFormat="1" applyFont="1" applyFill="1" applyBorder="1" applyAlignment="1">
      <alignment horizontal="center" vertical="center"/>
    </xf>
    <xf numFmtId="9" fontId="12" fillId="0" borderId="54" xfId="2" applyFont="1" applyFill="1" applyBorder="1" applyAlignment="1">
      <alignment horizontal="center" vertical="center"/>
    </xf>
    <xf numFmtId="49" fontId="12" fillId="2" borderId="108" xfId="6" applyNumberFormat="1" applyFont="1" applyFill="1" applyBorder="1" applyAlignment="1">
      <alignment horizontal="center" vertical="center"/>
    </xf>
    <xf numFmtId="49" fontId="4" fillId="2" borderId="298" xfId="6" applyNumberFormat="1" applyFont="1" applyFill="1" applyBorder="1" applyAlignment="1">
      <alignment horizontal="center" vertical="center"/>
    </xf>
    <xf numFmtId="164" fontId="4" fillId="2" borderId="296" xfId="6" applyNumberFormat="1" applyFont="1" applyFill="1" applyBorder="1" applyAlignment="1">
      <alignment vertical="center"/>
    </xf>
    <xf numFmtId="9" fontId="4" fillId="2" borderId="391" xfId="2" applyFont="1" applyFill="1" applyBorder="1" applyAlignment="1">
      <alignment vertical="center"/>
    </xf>
    <xf numFmtId="164" fontId="4" fillId="2" borderId="75" xfId="6" applyNumberFormat="1" applyFont="1" applyFill="1" applyBorder="1" applyAlignment="1">
      <alignment vertical="center"/>
    </xf>
    <xf numFmtId="164" fontId="4" fillId="2" borderId="76" xfId="6" applyNumberFormat="1" applyFont="1" applyFill="1" applyBorder="1" applyAlignment="1">
      <alignment vertical="center"/>
    </xf>
    <xf numFmtId="164" fontId="4" fillId="2" borderId="77" xfId="6" applyNumberFormat="1" applyFont="1" applyFill="1" applyBorder="1" applyAlignment="1">
      <alignment vertical="center"/>
    </xf>
    <xf numFmtId="164" fontId="12" fillId="2" borderId="128" xfId="6" applyNumberFormat="1" applyFont="1" applyFill="1" applyBorder="1" applyAlignment="1">
      <alignment vertical="center"/>
    </xf>
    <xf numFmtId="164" fontId="12" fillId="2" borderId="214" xfId="6" applyNumberFormat="1" applyFont="1" applyFill="1" applyBorder="1" applyAlignment="1">
      <alignment vertical="center"/>
    </xf>
    <xf numFmtId="164" fontId="12" fillId="2" borderId="76" xfId="6" applyNumberFormat="1" applyFont="1" applyFill="1" applyBorder="1" applyAlignment="1">
      <alignment vertical="center"/>
    </xf>
    <xf numFmtId="164" fontId="4" fillId="2" borderId="128" xfId="6" applyNumberFormat="1" applyFont="1" applyFill="1" applyBorder="1" applyAlignment="1">
      <alignment vertical="center"/>
    </xf>
    <xf numFmtId="164" fontId="12" fillId="0" borderId="125" xfId="6" applyNumberFormat="1" applyFont="1" applyFill="1" applyBorder="1" applyAlignment="1">
      <alignment vertical="center"/>
    </xf>
    <xf numFmtId="164" fontId="12" fillId="2" borderId="96" xfId="6" applyNumberFormat="1" applyFont="1" applyFill="1" applyBorder="1" applyAlignment="1">
      <alignment vertical="center"/>
    </xf>
    <xf numFmtId="164" fontId="4" fillId="0" borderId="75" xfId="6" applyNumberFormat="1" applyFont="1" applyFill="1" applyBorder="1" applyAlignment="1">
      <alignment horizontal="center" vertical="center"/>
    </xf>
    <xf numFmtId="164" fontId="4" fillId="0" borderId="76" xfId="6" applyNumberFormat="1" applyFont="1" applyFill="1" applyBorder="1" applyAlignment="1">
      <alignment vertical="center"/>
    </xf>
    <xf numFmtId="164" fontId="4" fillId="0" borderId="76" xfId="0" applyNumberFormat="1" applyFont="1" applyFill="1" applyBorder="1" applyAlignment="1">
      <alignment vertical="center"/>
    </xf>
    <xf numFmtId="9" fontId="4" fillId="0" borderId="77" xfId="2" applyFont="1" applyFill="1" applyBorder="1" applyAlignment="1">
      <alignment horizontal="center" vertical="center"/>
    </xf>
    <xf numFmtId="164" fontId="12" fillId="2" borderId="75" xfId="6" applyNumberFormat="1" applyFont="1" applyFill="1" applyBorder="1" applyAlignment="1">
      <alignment vertical="center"/>
    </xf>
    <xf numFmtId="164" fontId="85" fillId="2" borderId="67" xfId="6" applyNumberFormat="1" applyFont="1" applyFill="1" applyBorder="1" applyAlignment="1">
      <alignment vertical="center"/>
    </xf>
    <xf numFmtId="164" fontId="12" fillId="2" borderId="77" xfId="6" applyNumberFormat="1" applyFont="1" applyFill="1" applyBorder="1" applyAlignment="1">
      <alignment vertical="center"/>
    </xf>
    <xf numFmtId="164" fontId="12" fillId="2" borderId="75" xfId="6" applyNumberFormat="1" applyFont="1" applyFill="1" applyBorder="1" applyAlignment="1">
      <alignment horizontal="center" vertical="center"/>
    </xf>
    <xf numFmtId="164" fontId="12" fillId="2" borderId="77" xfId="6" applyNumberFormat="1" applyFont="1" applyFill="1" applyBorder="1" applyAlignment="1">
      <alignment horizontal="center" vertical="center"/>
    </xf>
    <xf numFmtId="164" fontId="12" fillId="2" borderId="128" xfId="6" applyNumberFormat="1" applyFont="1" applyFill="1" applyBorder="1" applyAlignment="1">
      <alignment horizontal="center" vertical="center"/>
    </xf>
    <xf numFmtId="164" fontId="12" fillId="7" borderId="19" xfId="6" applyNumberFormat="1" applyFont="1" applyFill="1" applyBorder="1" applyAlignment="1">
      <alignment horizontal="center" vertical="center"/>
    </xf>
    <xf numFmtId="164" fontId="12" fillId="7" borderId="20" xfId="6" applyNumberFormat="1" applyFont="1" applyFill="1" applyBorder="1" applyAlignment="1">
      <alignment vertical="center"/>
    </xf>
    <xf numFmtId="9" fontId="12" fillId="7" borderId="20" xfId="2" applyFont="1" applyFill="1" applyBorder="1" applyAlignment="1">
      <alignment vertical="center"/>
    </xf>
    <xf numFmtId="9" fontId="12" fillId="7" borderId="23" xfId="2" applyFont="1" applyFill="1" applyBorder="1" applyAlignment="1">
      <alignment vertical="center"/>
    </xf>
    <xf numFmtId="164" fontId="12" fillId="7" borderId="81" xfId="6" applyNumberFormat="1" applyFont="1" applyFill="1" applyBorder="1" applyAlignment="1">
      <alignment horizontal="center" vertical="center"/>
    </xf>
    <xf numFmtId="164" fontId="12" fillId="7" borderId="82" xfId="6" applyNumberFormat="1" applyFont="1" applyFill="1" applyBorder="1" applyAlignment="1">
      <alignment vertical="center"/>
    </xf>
    <xf numFmtId="9" fontId="12" fillId="7" borderId="83" xfId="2" applyFont="1" applyFill="1" applyBorder="1" applyAlignment="1">
      <alignment vertical="center"/>
    </xf>
    <xf numFmtId="164" fontId="12" fillId="7" borderId="14" xfId="6" applyNumberFormat="1" applyFont="1" applyFill="1" applyBorder="1" applyAlignment="1">
      <alignment horizontal="center" vertical="center"/>
    </xf>
    <xf numFmtId="0" fontId="4" fillId="0" borderId="524" xfId="0" applyFont="1" applyFill="1" applyBorder="1" applyAlignment="1">
      <alignment horizontal="center" vertical="center"/>
    </xf>
    <xf numFmtId="168" fontId="52" fillId="0" borderId="86" xfId="4" applyNumberFormat="1" applyFont="1" applyFill="1" applyBorder="1" applyAlignment="1">
      <alignment horizontal="center" vertical="center"/>
    </xf>
    <xf numFmtId="164" fontId="4" fillId="0" borderId="87" xfId="6" applyNumberFormat="1" applyFont="1" applyFill="1" applyBorder="1" applyAlignment="1">
      <alignment horizontal="center" vertical="center"/>
    </xf>
    <xf numFmtId="9" fontId="12" fillId="0" borderId="200" xfId="2" applyFont="1" applyFill="1" applyBorder="1" applyAlignment="1">
      <alignment horizontal="center" vertical="center"/>
    </xf>
    <xf numFmtId="164" fontId="12" fillId="0" borderId="52" xfId="6" applyNumberFormat="1" applyFont="1" applyFill="1" applyBorder="1" applyAlignment="1">
      <alignment horizontal="center" vertical="center"/>
    </xf>
    <xf numFmtId="9" fontId="12" fillId="0" borderId="59" xfId="2" applyFont="1" applyFill="1" applyBorder="1" applyAlignment="1">
      <alignment horizontal="center" vertical="center"/>
    </xf>
    <xf numFmtId="164" fontId="4" fillId="0" borderId="196" xfId="6" applyNumberFormat="1" applyFont="1" applyFill="1" applyBorder="1" applyAlignment="1">
      <alignment horizontal="center" vertical="center"/>
    </xf>
    <xf numFmtId="169" fontId="4" fillId="0" borderId="197" xfId="6" applyNumberFormat="1" applyFont="1" applyFill="1" applyBorder="1" applyAlignment="1">
      <alignment horizontal="center" vertical="center"/>
    </xf>
    <xf numFmtId="164" fontId="4" fillId="0" borderId="48" xfId="6" applyNumberFormat="1" applyFont="1" applyFill="1" applyBorder="1" applyAlignment="1">
      <alignment vertical="center"/>
    </xf>
    <xf numFmtId="9" fontId="4" fillId="0" borderId="525" xfId="2" applyFont="1" applyFill="1" applyBorder="1" applyAlignment="1">
      <alignment horizontal="center" vertical="center"/>
    </xf>
    <xf numFmtId="164" fontId="4" fillId="0" borderId="526" xfId="6" applyNumberFormat="1" applyFont="1" applyFill="1" applyBorder="1" applyAlignment="1">
      <alignment horizontal="center" vertical="center"/>
    </xf>
    <xf numFmtId="164" fontId="12" fillId="0" borderId="527" xfId="6" applyNumberFormat="1" applyFont="1" applyFill="1" applyBorder="1" applyAlignment="1">
      <alignment vertical="center"/>
    </xf>
    <xf numFmtId="164" fontId="4" fillId="0" borderId="528" xfId="6" applyNumberFormat="1" applyFont="1" applyFill="1" applyBorder="1" applyAlignment="1">
      <alignment vertical="center"/>
    </xf>
    <xf numFmtId="166" fontId="4" fillId="0" borderId="529" xfId="6" applyFont="1" applyFill="1" applyBorder="1" applyAlignment="1">
      <alignment horizontal="center" vertical="center"/>
    </xf>
    <xf numFmtId="164" fontId="4" fillId="0" borderId="530" xfId="6" applyNumberFormat="1" applyFont="1" applyFill="1" applyBorder="1" applyAlignment="1">
      <alignment horizontal="center" vertical="center"/>
    </xf>
    <xf numFmtId="164" fontId="4" fillId="0" borderId="531" xfId="6" applyNumberFormat="1" applyFont="1" applyFill="1" applyBorder="1" applyAlignment="1">
      <alignment vertical="center"/>
    </xf>
    <xf numFmtId="164" fontId="4" fillId="2" borderId="531" xfId="6" applyNumberFormat="1" applyFont="1" applyFill="1" applyBorder="1" applyAlignment="1">
      <alignment vertical="center"/>
    </xf>
    <xf numFmtId="9" fontId="4" fillId="2" borderId="532" xfId="2" applyFont="1" applyFill="1" applyBorder="1" applyAlignment="1">
      <alignment horizontal="center" vertical="center"/>
    </xf>
    <xf numFmtId="164" fontId="4" fillId="2" borderId="488" xfId="6" applyNumberFormat="1" applyFont="1" applyFill="1" applyBorder="1" applyAlignment="1">
      <alignment vertical="center"/>
    </xf>
    <xf numFmtId="3" fontId="4" fillId="2" borderId="39" xfId="6" applyNumberFormat="1" applyFont="1" applyFill="1" applyBorder="1" applyAlignment="1">
      <alignment horizontal="center" vertical="center"/>
    </xf>
    <xf numFmtId="164" fontId="4" fillId="2" borderId="533" xfId="6" applyNumberFormat="1" applyFont="1" applyFill="1" applyBorder="1" applyAlignment="1">
      <alignment vertical="center"/>
    </xf>
    <xf numFmtId="3" fontId="4" fillId="0" borderId="39" xfId="6" applyNumberFormat="1" applyFont="1" applyFill="1" applyBorder="1" applyAlignment="1">
      <alignment horizontal="center" vertical="center"/>
    </xf>
    <xf numFmtId="164" fontId="4" fillId="0" borderId="235" xfId="6" applyNumberFormat="1" applyFont="1" applyFill="1" applyBorder="1" applyAlignment="1">
      <alignment vertical="center"/>
    </xf>
    <xf numFmtId="164" fontId="78" fillId="0" borderId="534" xfId="6" applyNumberFormat="1" applyFont="1" applyFill="1" applyBorder="1" applyAlignment="1">
      <alignment vertical="center"/>
    </xf>
    <xf numFmtId="9" fontId="4" fillId="0" borderId="532" xfId="2" applyFont="1" applyFill="1" applyBorder="1" applyAlignment="1">
      <alignment horizontal="center" vertical="center"/>
    </xf>
    <xf numFmtId="167" fontId="4" fillId="2" borderId="196" xfId="6" applyNumberFormat="1" applyFont="1" applyFill="1" applyBorder="1" applyAlignment="1">
      <alignment horizontal="center" vertical="center"/>
    </xf>
    <xf numFmtId="167" fontId="4" fillId="2" borderId="200" xfId="6" applyNumberFormat="1" applyFont="1" applyFill="1" applyBorder="1" applyAlignment="1">
      <alignment horizontal="center" vertical="center"/>
    </xf>
    <xf numFmtId="164" fontId="4" fillId="2" borderId="534" xfId="6" applyNumberFormat="1" applyFont="1" applyFill="1" applyBorder="1" applyAlignment="1">
      <alignment vertical="center"/>
    </xf>
    <xf numFmtId="169" fontId="4" fillId="2" borderId="200" xfId="6" applyNumberFormat="1" applyFont="1" applyFill="1" applyBorder="1" applyAlignment="1">
      <alignment horizontal="center" vertical="center"/>
    </xf>
    <xf numFmtId="164" fontId="4" fillId="2" borderId="205" xfId="6" applyNumberFormat="1" applyFont="1" applyFill="1" applyBorder="1" applyAlignment="1">
      <alignment horizontal="center" vertical="center"/>
    </xf>
    <xf numFmtId="164" fontId="4" fillId="2" borderId="103" xfId="0" applyNumberFormat="1" applyFont="1" applyFill="1" applyBorder="1" applyAlignment="1">
      <alignment vertical="center"/>
    </xf>
    <xf numFmtId="164" fontId="12" fillId="2" borderId="65" xfId="6" applyNumberFormat="1" applyFont="1" applyFill="1" applyBorder="1" applyAlignment="1">
      <alignment horizontal="center" vertical="center"/>
    </xf>
    <xf numFmtId="49" fontId="12" fillId="2" borderId="197" xfId="6" applyNumberFormat="1" applyFont="1" applyFill="1" applyBorder="1" applyAlignment="1">
      <alignment horizontal="center" vertical="center"/>
    </xf>
    <xf numFmtId="164" fontId="12" fillId="2" borderId="48" xfId="6" applyNumberFormat="1" applyFont="1" applyFill="1" applyBorder="1" applyAlignment="1">
      <alignment vertical="center"/>
    </xf>
    <xf numFmtId="9" fontId="12" fillId="2" borderId="49" xfId="2" applyFont="1" applyFill="1" applyBorder="1" applyAlignment="1">
      <alignment vertical="center"/>
    </xf>
    <xf numFmtId="164" fontId="12" fillId="2" borderId="85" xfId="6" applyNumberFormat="1" applyFont="1" applyFill="1" applyBorder="1" applyAlignment="1">
      <alignment vertical="center"/>
    </xf>
    <xf numFmtId="164" fontId="12" fillId="2" borderId="86" xfId="6" applyNumberFormat="1" applyFont="1" applyFill="1" applyBorder="1" applyAlignment="1">
      <alignment vertical="center"/>
    </xf>
    <xf numFmtId="164" fontId="12" fillId="2" borderId="87" xfId="6" applyNumberFormat="1" applyFont="1" applyFill="1" applyBorder="1" applyAlignment="1">
      <alignment vertical="center"/>
    </xf>
    <xf numFmtId="164" fontId="12" fillId="2" borderId="137" xfId="6" applyNumberFormat="1" applyFont="1" applyFill="1" applyBorder="1" applyAlignment="1">
      <alignment vertical="center"/>
    </xf>
    <xf numFmtId="164" fontId="12" fillId="2" borderId="129" xfId="6" applyNumberFormat="1" applyFont="1" applyFill="1" applyBorder="1" applyAlignment="1">
      <alignment vertical="center"/>
    </xf>
    <xf numFmtId="164" fontId="4" fillId="2" borderId="137" xfId="6" applyNumberFormat="1" applyFont="1" applyFill="1" applyBorder="1" applyAlignment="1">
      <alignment vertical="center"/>
    </xf>
    <xf numFmtId="164" fontId="4" fillId="2" borderId="129" xfId="6" applyNumberFormat="1" applyFont="1" applyFill="1" applyBorder="1" applyAlignment="1">
      <alignment vertical="center"/>
    </xf>
    <xf numFmtId="164" fontId="4" fillId="2" borderId="138" xfId="6" applyNumberFormat="1" applyFont="1" applyFill="1" applyBorder="1" applyAlignment="1">
      <alignment vertical="center"/>
    </xf>
    <xf numFmtId="164" fontId="12" fillId="2" borderId="138" xfId="6" applyNumberFormat="1" applyFont="1" applyFill="1" applyBorder="1" applyAlignment="1">
      <alignment vertical="center"/>
    </xf>
    <xf numFmtId="9" fontId="12" fillId="2" borderId="101" xfId="2" applyFont="1" applyFill="1" applyBorder="1" applyAlignment="1">
      <alignment vertical="center"/>
    </xf>
    <xf numFmtId="164" fontId="12" fillId="2" borderId="103" xfId="0" applyNumberFormat="1" applyFont="1" applyFill="1" applyBorder="1" applyAlignment="1">
      <alignment vertical="center"/>
    </xf>
    <xf numFmtId="9" fontId="12" fillId="2" borderId="142" xfId="2" applyFont="1" applyFill="1" applyBorder="1" applyAlignment="1">
      <alignment horizontal="center" vertical="center"/>
    </xf>
    <xf numFmtId="49" fontId="4" fillId="2" borderId="197" xfId="6" applyNumberFormat="1" applyFont="1" applyFill="1" applyBorder="1" applyAlignment="1">
      <alignment horizontal="center" vertical="center"/>
    </xf>
    <xf numFmtId="164" fontId="4" fillId="2" borderId="48" xfId="6" applyNumberFormat="1" applyFont="1" applyFill="1" applyBorder="1" applyAlignment="1">
      <alignment vertical="center"/>
    </xf>
    <xf numFmtId="164" fontId="12" fillId="2" borderId="85" xfId="6" applyNumberFormat="1" applyFont="1" applyFill="1" applyBorder="1" applyAlignment="1">
      <alignment horizontal="center" vertical="center"/>
    </xf>
    <xf numFmtId="164" fontId="12" fillId="2" borderId="87" xfId="6" applyNumberFormat="1" applyFont="1" applyFill="1" applyBorder="1" applyAlignment="1">
      <alignment horizontal="center" vertical="center"/>
    </xf>
    <xf numFmtId="164" fontId="12" fillId="2" borderId="134" xfId="6" applyNumberFormat="1" applyFont="1" applyFill="1" applyBorder="1" applyAlignment="1">
      <alignment vertical="center"/>
    </xf>
    <xf numFmtId="164" fontId="12" fillId="2" borderId="137" xfId="6" applyNumberFormat="1" applyFont="1" applyFill="1" applyBorder="1" applyAlignment="1">
      <alignment horizontal="center" vertical="center"/>
    </xf>
    <xf numFmtId="164" fontId="12" fillId="2" borderId="102" xfId="6" applyNumberFormat="1" applyFont="1" applyFill="1" applyBorder="1" applyAlignment="1">
      <alignment vertical="center"/>
    </xf>
    <xf numFmtId="166" fontId="87" fillId="0" borderId="97" xfId="6" applyFont="1" applyFill="1" applyBorder="1" applyAlignment="1">
      <alignment vertical="center" wrapText="1"/>
    </xf>
    <xf numFmtId="3" fontId="4" fillId="27" borderId="36" xfId="6" applyNumberFormat="1" applyFont="1" applyFill="1" applyBorder="1" applyAlignment="1">
      <alignment horizontal="center" vertical="center"/>
    </xf>
    <xf numFmtId="164" fontId="4" fillId="27" borderId="243" xfId="6" applyNumberFormat="1" applyFont="1" applyFill="1" applyBorder="1" applyAlignment="1">
      <alignment vertical="center"/>
    </xf>
    <xf numFmtId="164" fontId="4" fillId="27" borderId="58" xfId="6" applyNumberFormat="1" applyFont="1" applyFill="1" applyBorder="1" applyAlignment="1">
      <alignment vertical="center"/>
    </xf>
    <xf numFmtId="164" fontId="4" fillId="27" borderId="456" xfId="6" applyNumberFormat="1" applyFont="1" applyFill="1" applyBorder="1" applyAlignment="1">
      <alignment vertical="center"/>
    </xf>
    <xf numFmtId="9" fontId="4" fillId="27" borderId="441" xfId="2" applyFont="1" applyFill="1" applyBorder="1" applyAlignment="1">
      <alignment horizontal="center" vertical="center"/>
    </xf>
    <xf numFmtId="164" fontId="4" fillId="0" borderId="36" xfId="0" applyNumberFormat="1" applyFont="1" applyFill="1" applyBorder="1" applyAlignment="1">
      <alignment horizontal="center" vertical="center"/>
    </xf>
    <xf numFmtId="164" fontId="12" fillId="2" borderId="105" xfId="6" applyNumberFormat="1" applyFont="1" applyFill="1" applyBorder="1" applyAlignment="1">
      <alignment vertical="center"/>
    </xf>
    <xf numFmtId="169" fontId="4" fillId="0" borderId="185" xfId="6" applyNumberFormat="1" applyFont="1" applyFill="1" applyBorder="1" applyAlignment="1">
      <alignment horizontal="center" vertical="center"/>
    </xf>
    <xf numFmtId="164" fontId="4" fillId="0" borderId="121" xfId="6" applyNumberFormat="1" applyFont="1" applyFill="1" applyBorder="1" applyAlignment="1">
      <alignment vertical="center"/>
    </xf>
    <xf numFmtId="9" fontId="4" fillId="0" borderId="535" xfId="2" applyFont="1" applyFill="1" applyBorder="1" applyAlignment="1">
      <alignment horizontal="center" vertical="center"/>
    </xf>
    <xf numFmtId="164" fontId="4" fillId="2" borderId="110" xfId="6" applyNumberFormat="1" applyFont="1" applyFill="1" applyBorder="1" applyAlignment="1">
      <alignment horizontal="center" vertical="center"/>
    </xf>
    <xf numFmtId="164" fontId="4" fillId="2" borderId="536" xfId="6" applyNumberFormat="1" applyFont="1" applyFill="1" applyBorder="1" applyAlignment="1">
      <alignment horizontal="center" vertical="center"/>
    </xf>
    <xf numFmtId="164" fontId="4" fillId="2" borderId="537" xfId="6" applyNumberFormat="1" applyFont="1" applyFill="1" applyBorder="1" applyAlignment="1">
      <alignment vertical="center"/>
    </xf>
    <xf numFmtId="164" fontId="4" fillId="2" borderId="537" xfId="0" applyNumberFormat="1" applyFont="1" applyFill="1" applyBorder="1" applyAlignment="1">
      <alignment vertical="center"/>
    </xf>
    <xf numFmtId="9" fontId="4" fillId="2" borderId="538" xfId="2" applyFont="1" applyFill="1" applyBorder="1" applyAlignment="1">
      <alignment horizontal="center" vertical="center"/>
    </xf>
    <xf numFmtId="164" fontId="4" fillId="2" borderId="70" xfId="8" applyNumberFormat="1" applyFont="1" applyFill="1" applyBorder="1" applyAlignment="1">
      <alignment vertical="center"/>
    </xf>
    <xf numFmtId="165" fontId="4" fillId="2" borderId="67" xfId="8" applyNumberFormat="1" applyFont="1" applyFill="1" applyBorder="1" applyAlignment="1">
      <alignment vertical="center"/>
    </xf>
    <xf numFmtId="164" fontId="4" fillId="2" borderId="71" xfId="6" applyNumberFormat="1" applyFont="1" applyFill="1" applyBorder="1" applyAlignment="1">
      <alignment vertical="center"/>
    </xf>
    <xf numFmtId="0" fontId="80" fillId="2" borderId="430" xfId="0" applyFont="1" applyFill="1" applyBorder="1" applyAlignment="1">
      <alignment vertical="center"/>
    </xf>
    <xf numFmtId="9" fontId="4" fillId="2" borderId="539" xfId="2" applyFont="1" applyFill="1" applyBorder="1" applyAlignment="1">
      <alignment horizontal="center" vertical="center"/>
    </xf>
    <xf numFmtId="164" fontId="26" fillId="2" borderId="56" xfId="0" applyNumberFormat="1" applyFont="1" applyFill="1" applyBorder="1" applyAlignment="1">
      <alignment vertical="center"/>
    </xf>
    <xf numFmtId="9" fontId="26" fillId="2" borderId="118" xfId="2" applyFont="1" applyFill="1" applyBorder="1" applyAlignment="1">
      <alignment horizontal="center" vertical="center"/>
    </xf>
    <xf numFmtId="1" fontId="80" fillId="2" borderId="433" xfId="2" applyNumberFormat="1" applyFont="1" applyFill="1" applyBorder="1" applyAlignment="1">
      <alignment horizontal="center" vertical="center"/>
    </xf>
    <xf numFmtId="167" fontId="26" fillId="2" borderId="36" xfId="0" applyNumberFormat="1" applyFont="1" applyFill="1" applyBorder="1" applyAlignment="1">
      <alignment horizontal="center" vertical="center"/>
    </xf>
    <xf numFmtId="164" fontId="26" fillId="2" borderId="41" xfId="6" applyNumberFormat="1" applyFont="1" applyFill="1" applyBorder="1" applyAlignment="1">
      <alignment vertical="center"/>
    </xf>
    <xf numFmtId="164" fontId="26" fillId="2" borderId="438" xfId="6" applyNumberFormat="1" applyFont="1" applyFill="1" applyBorder="1" applyAlignment="1">
      <alignment vertical="center"/>
    </xf>
    <xf numFmtId="9" fontId="26" fillId="2" borderId="441" xfId="2" applyFont="1" applyFill="1" applyBorder="1" applyAlignment="1">
      <alignment horizontal="center" vertical="center"/>
    </xf>
    <xf numFmtId="49" fontId="4" fillId="0" borderId="70" xfId="6" applyNumberFormat="1" applyFont="1" applyFill="1" applyBorder="1" applyAlignment="1">
      <alignment horizontal="center" vertical="center"/>
    </xf>
    <xf numFmtId="49" fontId="4" fillId="0" borderId="57" xfId="0" applyNumberFormat="1" applyFont="1" applyFill="1" applyBorder="1" applyAlignment="1">
      <alignment horizontal="center" vertical="center"/>
    </xf>
    <xf numFmtId="168" fontId="24" fillId="0" borderId="67" xfId="3" applyNumberFormat="1" applyFont="1" applyFill="1" applyBorder="1" applyAlignment="1">
      <alignment horizontal="center" vertical="center"/>
    </xf>
    <xf numFmtId="168" fontId="24" fillId="0" borderId="67" xfId="4" applyNumberFormat="1" applyFont="1" applyFill="1" applyBorder="1" applyAlignment="1">
      <alignment horizontal="center" vertical="center"/>
    </xf>
    <xf numFmtId="164" fontId="80" fillId="0" borderId="430" xfId="6" applyNumberFormat="1" applyFont="1" applyFill="1" applyBorder="1" applyAlignment="1">
      <alignment horizontal="center" vertical="center"/>
    </xf>
    <xf numFmtId="166" fontId="4" fillId="2" borderId="118" xfId="6" applyFont="1" applyFill="1" applyBorder="1" applyAlignment="1">
      <alignment vertical="center"/>
    </xf>
    <xf numFmtId="164" fontId="4" fillId="0" borderId="540" xfId="6" applyNumberFormat="1" applyFont="1" applyFill="1" applyBorder="1" applyAlignment="1">
      <alignment horizontal="center" vertical="center"/>
    </xf>
    <xf numFmtId="9" fontId="26" fillId="2" borderId="62" xfId="2" applyFont="1" applyFill="1" applyBorder="1" applyAlignment="1">
      <alignment vertical="center"/>
    </xf>
    <xf numFmtId="166" fontId="4" fillId="2" borderId="94" xfId="6" applyFont="1" applyFill="1" applyBorder="1" applyAlignment="1">
      <alignment horizontal="left" vertical="center" wrapText="1"/>
    </xf>
    <xf numFmtId="164" fontId="4" fillId="4" borderId="106" xfId="6" applyNumberFormat="1" applyFont="1" applyFill="1" applyBorder="1" applyAlignment="1">
      <alignment horizontal="center" vertical="center"/>
    </xf>
    <xf numFmtId="164" fontId="4" fillId="4" borderId="56" xfId="6" applyNumberFormat="1" applyFont="1" applyFill="1" applyBorder="1" applyAlignment="1">
      <alignment vertical="center"/>
    </xf>
    <xf numFmtId="164" fontId="4" fillId="4" borderId="56" xfId="0" applyNumberFormat="1" applyFont="1" applyFill="1" applyBorder="1" applyAlignment="1">
      <alignment vertical="center"/>
    </xf>
    <xf numFmtId="9" fontId="4" fillId="4" borderId="118" xfId="2" applyFont="1" applyFill="1" applyBorder="1" applyAlignment="1">
      <alignment horizontal="center" vertical="center"/>
    </xf>
    <xf numFmtId="164" fontId="4" fillId="2" borderId="67" xfId="8" applyNumberFormat="1" applyFont="1" applyFill="1" applyBorder="1" applyAlignment="1">
      <alignment vertical="center"/>
    </xf>
    <xf numFmtId="169" fontId="4" fillId="0" borderId="200" xfId="6" applyNumberFormat="1" applyFont="1" applyFill="1" applyBorder="1" applyAlignment="1">
      <alignment horizontal="center" vertical="center"/>
    </xf>
    <xf numFmtId="9" fontId="4" fillId="0" borderId="539" xfId="2" applyFont="1" applyFill="1" applyBorder="1" applyAlignment="1">
      <alignment horizontal="center" vertical="center"/>
    </xf>
    <xf numFmtId="164" fontId="4" fillId="0" borderId="58" xfId="0" applyNumberFormat="1" applyFont="1" applyFill="1" applyBorder="1" applyAlignment="1">
      <alignment vertical="center"/>
    </xf>
    <xf numFmtId="166" fontId="4" fillId="0" borderId="118" xfId="6" applyFont="1" applyFill="1" applyBorder="1" applyAlignment="1">
      <alignment horizontal="center" vertical="center"/>
    </xf>
    <xf numFmtId="168" fontId="5" fillId="0" borderId="67" xfId="6" applyNumberFormat="1" applyFont="1" applyFill="1" applyBorder="1" applyAlignment="1">
      <alignment horizontal="center" vertical="center"/>
    </xf>
    <xf numFmtId="169" fontId="4" fillId="0" borderId="196" xfId="6" applyNumberFormat="1" applyFont="1" applyFill="1" applyBorder="1" applyAlignment="1">
      <alignment horizontal="center" vertical="center"/>
    </xf>
    <xf numFmtId="9" fontId="4" fillId="0" borderId="122" xfId="2" applyFont="1" applyFill="1" applyBorder="1" applyAlignment="1">
      <alignment horizontal="center" vertical="center"/>
    </xf>
    <xf numFmtId="164" fontId="4" fillId="2" borderId="541" xfId="6" applyNumberFormat="1" applyFont="1" applyFill="1" applyBorder="1" applyAlignment="1">
      <alignment horizontal="center" vertical="center"/>
    </xf>
    <xf numFmtId="0" fontId="4" fillId="2" borderId="542" xfId="0" applyFont="1" applyFill="1" applyBorder="1" applyAlignment="1">
      <alignment vertical="center"/>
    </xf>
    <xf numFmtId="0" fontId="4" fillId="2" borderId="64" xfId="0" applyFont="1" applyFill="1" applyBorder="1" applyAlignment="1">
      <alignment horizontal="center" vertical="center"/>
    </xf>
    <xf numFmtId="164" fontId="4" fillId="2" borderId="503" xfId="6" applyNumberFormat="1" applyFont="1" applyFill="1" applyBorder="1" applyAlignment="1">
      <alignment vertical="center"/>
    </xf>
    <xf numFmtId="9" fontId="4" fillId="2" borderId="482" xfId="2" applyFont="1" applyFill="1" applyBorder="1" applyAlignment="1">
      <alignment horizontal="center" vertical="center"/>
    </xf>
    <xf numFmtId="164" fontId="4" fillId="2" borderId="183" xfId="6" applyNumberFormat="1" applyFont="1" applyFill="1" applyBorder="1" applyAlignment="1">
      <alignment horizontal="center" vertical="center"/>
    </xf>
    <xf numFmtId="9" fontId="4" fillId="2" borderId="74" xfId="2" applyFont="1" applyFill="1" applyBorder="1" applyAlignment="1">
      <alignment horizontal="center" vertical="center"/>
    </xf>
    <xf numFmtId="164" fontId="4" fillId="0" borderId="60" xfId="0" applyNumberFormat="1" applyFont="1" applyFill="1" applyBorder="1" applyAlignment="1">
      <alignment vertical="center"/>
    </xf>
    <xf numFmtId="49" fontId="4" fillId="2" borderId="203" xfId="6" applyNumberFormat="1" applyFont="1" applyFill="1" applyBorder="1" applyAlignment="1">
      <alignment horizontal="center" vertical="center"/>
    </xf>
    <xf numFmtId="164" fontId="5" fillId="2" borderId="66" xfId="6" applyNumberFormat="1" applyFont="1" applyFill="1" applyBorder="1" applyAlignment="1">
      <alignment horizontal="center" vertical="center"/>
    </xf>
    <xf numFmtId="168" fontId="5" fillId="2" borderId="66" xfId="6" applyNumberFormat="1" applyFont="1" applyFill="1" applyBorder="1" applyAlignment="1">
      <alignment horizontal="center" vertical="center"/>
    </xf>
    <xf numFmtId="164" fontId="4" fillId="2" borderId="102" xfId="6" applyNumberFormat="1" applyFont="1" applyFill="1" applyBorder="1" applyAlignment="1">
      <alignment horizontal="center" vertical="center"/>
    </xf>
    <xf numFmtId="164" fontId="21" fillId="2" borderId="0" xfId="6" applyNumberFormat="1" applyFont="1" applyFill="1" applyBorder="1" applyAlignment="1">
      <alignment horizontal="center" vertical="center"/>
    </xf>
    <xf numFmtId="9" fontId="21" fillId="2" borderId="0" xfId="2" applyFont="1" applyFill="1" applyBorder="1" applyAlignment="1">
      <alignment vertical="center"/>
    </xf>
    <xf numFmtId="9" fontId="21" fillId="2" borderId="0" xfId="2" applyFont="1" applyFill="1" applyBorder="1" applyAlignment="1">
      <alignment horizontal="center" vertical="center"/>
    </xf>
    <xf numFmtId="167" fontId="21" fillId="2" borderId="0" xfId="2" applyNumberFormat="1" applyFont="1" applyFill="1" applyBorder="1" applyAlignment="1">
      <alignment horizontal="center" vertical="center"/>
    </xf>
    <xf numFmtId="164" fontId="21" fillId="2" borderId="407" xfId="6" applyNumberFormat="1" applyFont="1" applyFill="1" applyBorder="1" applyAlignment="1">
      <alignment vertical="center"/>
    </xf>
    <xf numFmtId="9" fontId="21" fillId="2" borderId="10" xfId="2" applyFont="1" applyFill="1" applyBorder="1" applyAlignment="1">
      <alignment vertical="center"/>
    </xf>
    <xf numFmtId="164" fontId="21" fillId="2" borderId="10" xfId="6" applyNumberFormat="1" applyFont="1" applyFill="1" applyBorder="1" applyAlignment="1">
      <alignment vertical="center"/>
    </xf>
    <xf numFmtId="9" fontId="21" fillId="2" borderId="10" xfId="2" applyFont="1" applyFill="1" applyBorder="1" applyAlignment="1">
      <alignment horizontal="center" vertical="center"/>
    </xf>
    <xf numFmtId="1" fontId="12" fillId="2" borderId="196" xfId="2" applyNumberFormat="1" applyFont="1" applyFill="1" applyBorder="1" applyAlignment="1">
      <alignment horizontal="center" vertical="center"/>
    </xf>
    <xf numFmtId="164" fontId="12" fillId="2" borderId="53" xfId="6" applyNumberFormat="1" applyFont="1" applyFill="1" applyBorder="1" applyAlignment="1">
      <alignment horizontal="center" vertical="center"/>
    </xf>
    <xf numFmtId="164" fontId="12" fillId="2" borderId="0" xfId="6" applyNumberFormat="1" applyFont="1" applyFill="1" applyBorder="1" applyAlignment="1">
      <alignment horizontal="center" vertical="center"/>
    </xf>
    <xf numFmtId="9" fontId="4" fillId="2" borderId="493" xfId="2" applyFont="1" applyFill="1" applyBorder="1" applyAlignment="1">
      <alignment horizontal="center" vertical="center"/>
    </xf>
    <xf numFmtId="164" fontId="12" fillId="2" borderId="64" xfId="6" applyNumberFormat="1" applyFont="1" applyFill="1" applyBorder="1" applyAlignment="1">
      <alignment horizontal="center" vertical="center"/>
    </xf>
    <xf numFmtId="164" fontId="12" fillId="2" borderId="72" xfId="6" applyNumberFormat="1" applyFont="1" applyFill="1" applyBorder="1" applyAlignment="1">
      <alignment vertical="center"/>
    </xf>
    <xf numFmtId="164" fontId="4" fillId="2" borderId="64" xfId="6" applyNumberFormat="1" applyFont="1" applyFill="1" applyBorder="1" applyAlignment="1">
      <alignment horizontal="center" vertical="center"/>
    </xf>
    <xf numFmtId="164" fontId="4" fillId="2" borderId="494" xfId="6" applyNumberFormat="1" applyFont="1" applyFill="1" applyBorder="1" applyAlignment="1">
      <alignment vertical="center"/>
    </xf>
    <xf numFmtId="169" fontId="4" fillId="2" borderId="196" xfId="6" applyNumberFormat="1" applyFont="1" applyFill="1" applyBorder="1" applyAlignment="1">
      <alignment horizontal="center" vertical="center"/>
    </xf>
    <xf numFmtId="9" fontId="4" fillId="2" borderId="122" xfId="2" applyFont="1" applyFill="1" applyBorder="1" applyAlignment="1">
      <alignment horizontal="center" vertical="center"/>
    </xf>
    <xf numFmtId="164" fontId="4" fillId="2" borderId="543" xfId="6" applyNumberFormat="1" applyFont="1" applyFill="1" applyBorder="1" applyAlignment="1">
      <alignment horizontal="center" vertical="center"/>
    </xf>
    <xf numFmtId="0" fontId="4" fillId="2" borderId="544" xfId="0" applyFont="1" applyFill="1" applyBorder="1" applyAlignment="1">
      <alignment vertical="center"/>
    </xf>
    <xf numFmtId="1" fontId="4" fillId="2" borderId="283" xfId="0" applyNumberFormat="1" applyFont="1" applyFill="1" applyBorder="1" applyAlignment="1">
      <alignment horizontal="center" vertical="center"/>
    </xf>
    <xf numFmtId="167" fontId="4" fillId="2" borderId="343" xfId="6" applyNumberFormat="1" applyFont="1" applyFill="1" applyBorder="1" applyAlignment="1">
      <alignment horizontal="center" vertical="center"/>
    </xf>
    <xf numFmtId="164" fontId="4" fillId="2" borderId="497" xfId="6" applyNumberFormat="1" applyFont="1" applyFill="1" applyBorder="1" applyAlignment="1">
      <alignment vertical="center"/>
    </xf>
    <xf numFmtId="166" fontId="4" fillId="2" borderId="498" xfId="6" applyFont="1" applyFill="1" applyBorder="1" applyAlignment="1">
      <alignment horizontal="center" vertical="center"/>
    </xf>
    <xf numFmtId="164" fontId="4" fillId="2" borderId="499" xfId="6" applyNumberFormat="1" applyFont="1" applyFill="1" applyBorder="1" applyAlignment="1">
      <alignment horizontal="center" vertical="center"/>
    </xf>
    <xf numFmtId="164" fontId="78" fillId="2" borderId="503" xfId="6" applyNumberFormat="1" applyFont="1" applyFill="1" applyBorder="1" applyAlignment="1">
      <alignment vertical="center"/>
    </xf>
    <xf numFmtId="164" fontId="4" fillId="2" borderId="60" xfId="0" applyNumberFormat="1" applyFont="1" applyFill="1" applyBorder="1" applyAlignment="1">
      <alignment vertical="center"/>
    </xf>
    <xf numFmtId="164" fontId="4" fillId="2" borderId="126" xfId="6" applyNumberFormat="1" applyFont="1" applyFill="1" applyBorder="1" applyAlignment="1">
      <alignment vertical="center"/>
    </xf>
    <xf numFmtId="164" fontId="4" fillId="2" borderId="192" xfId="6" applyNumberFormat="1" applyFont="1" applyFill="1" applyBorder="1" applyAlignment="1">
      <alignment vertical="center"/>
    </xf>
    <xf numFmtId="164" fontId="12" fillId="2" borderId="108" xfId="6" applyNumberFormat="1" applyFont="1" applyFill="1" applyBorder="1" applyAlignment="1">
      <alignment vertical="center"/>
    </xf>
    <xf numFmtId="166" fontId="4" fillId="0" borderId="67" xfId="6" applyFont="1" applyFill="1" applyBorder="1" applyAlignment="1">
      <alignment vertical="center" wrapText="1"/>
    </xf>
    <xf numFmtId="0" fontId="4" fillId="0" borderId="203" xfId="6" applyNumberFormat="1" applyFont="1" applyFill="1" applyBorder="1" applyAlignment="1">
      <alignment horizontal="center" vertical="center"/>
    </xf>
    <xf numFmtId="164" fontId="12" fillId="2" borderId="116" xfId="0" applyNumberFormat="1" applyFont="1" applyFill="1" applyBorder="1" applyAlignment="1">
      <alignment vertical="center"/>
    </xf>
    <xf numFmtId="9" fontId="12" fillId="2" borderId="190" xfId="2" applyFont="1" applyFill="1" applyBorder="1" applyAlignment="1">
      <alignment horizontal="center" vertical="center"/>
    </xf>
    <xf numFmtId="164" fontId="32" fillId="0" borderId="60" xfId="6" applyNumberFormat="1" applyFont="1" applyFill="1" applyBorder="1" applyAlignment="1">
      <alignment vertical="center"/>
    </xf>
    <xf numFmtId="164" fontId="12" fillId="2" borderId="127" xfId="6" applyNumberFormat="1" applyFont="1" applyFill="1" applyBorder="1" applyAlignment="1">
      <alignment vertical="center"/>
    </xf>
    <xf numFmtId="166" fontId="4" fillId="2" borderId="67" xfId="6" applyFont="1" applyFill="1" applyBorder="1" applyAlignment="1">
      <alignment vertical="center" wrapText="1"/>
    </xf>
    <xf numFmtId="9" fontId="12" fillId="2" borderId="73" xfId="2" applyFont="1" applyFill="1" applyBorder="1" applyAlignment="1">
      <alignment vertical="center"/>
    </xf>
    <xf numFmtId="0" fontId="4" fillId="0" borderId="510" xfId="0" applyFont="1" applyFill="1" applyBorder="1" applyAlignment="1">
      <alignment horizontal="center" vertical="center"/>
    </xf>
    <xf numFmtId="166" fontId="4" fillId="0" borderId="202" xfId="6" applyFont="1" applyFill="1" applyBorder="1" applyAlignment="1">
      <alignment vertical="center"/>
    </xf>
    <xf numFmtId="0" fontId="4" fillId="0" borderId="545" xfId="0" applyFont="1" applyFill="1" applyBorder="1" applyAlignment="1">
      <alignment horizontal="center" vertical="center"/>
    </xf>
    <xf numFmtId="166" fontId="4" fillId="0" borderId="76" xfId="6" applyFont="1" applyFill="1" applyBorder="1" applyAlignment="1">
      <alignment vertical="center" wrapText="1"/>
    </xf>
    <xf numFmtId="168" fontId="5" fillId="0" borderId="76" xfId="6" applyNumberFormat="1" applyFont="1" applyFill="1" applyBorder="1" applyAlignment="1">
      <alignment horizontal="center" vertical="center"/>
    </xf>
    <xf numFmtId="164" fontId="4" fillId="0" borderId="543" xfId="6" applyNumberFormat="1" applyFont="1" applyFill="1" applyBorder="1" applyAlignment="1">
      <alignment horizontal="center" vertical="center"/>
    </xf>
    <xf numFmtId="164" fontId="12" fillId="0" borderId="544" xfId="6" applyNumberFormat="1" applyFont="1" applyFill="1" applyBorder="1" applyAlignment="1">
      <alignment vertical="center"/>
    </xf>
    <xf numFmtId="9" fontId="12" fillId="2" borderId="391" xfId="2" applyFont="1" applyFill="1" applyBorder="1" applyAlignment="1">
      <alignment vertical="center"/>
    </xf>
    <xf numFmtId="164" fontId="12" fillId="2" borderId="192" xfId="6" applyNumberFormat="1" applyFont="1" applyFill="1" applyBorder="1" applyAlignment="1">
      <alignment vertical="center"/>
    </xf>
    <xf numFmtId="164" fontId="12" fillId="2" borderId="109" xfId="6" applyNumberFormat="1" applyFont="1" applyFill="1" applyBorder="1" applyAlignment="1">
      <alignment vertical="center"/>
    </xf>
    <xf numFmtId="164" fontId="4" fillId="2" borderId="75" xfId="6" applyNumberFormat="1" applyFont="1" applyFill="1" applyBorder="1" applyAlignment="1">
      <alignment horizontal="center" vertical="center"/>
    </xf>
    <xf numFmtId="9" fontId="12" fillId="2" borderId="391" xfId="2" applyFont="1" applyFill="1" applyBorder="1" applyAlignment="1">
      <alignment horizontal="center" vertical="center"/>
    </xf>
    <xf numFmtId="164" fontId="4" fillId="2" borderId="144" xfId="6" applyNumberFormat="1" applyFont="1" applyFill="1" applyBorder="1" applyAlignment="1">
      <alignment vertical="center"/>
    </xf>
    <xf numFmtId="9" fontId="12" fillId="2" borderId="135" xfId="2" applyFont="1" applyFill="1" applyBorder="1" applyAlignment="1">
      <alignment vertical="center"/>
    </xf>
    <xf numFmtId="9" fontId="4" fillId="2" borderId="135" xfId="2" applyFont="1" applyFill="1" applyBorder="1" applyAlignment="1">
      <alignment vertical="center"/>
    </xf>
    <xf numFmtId="166" fontId="12" fillId="2" borderId="96" xfId="6" applyFont="1" applyFill="1" applyBorder="1" applyAlignment="1">
      <alignment vertical="center"/>
    </xf>
    <xf numFmtId="9" fontId="12" fillId="7" borderId="82" xfId="2" applyFont="1" applyFill="1" applyBorder="1" applyAlignment="1">
      <alignment vertical="center"/>
    </xf>
    <xf numFmtId="0" fontId="19" fillId="0" borderId="548" xfId="0" applyFont="1" applyFill="1" applyBorder="1" applyAlignment="1">
      <alignment horizontal="center" vertical="center"/>
    </xf>
    <xf numFmtId="9" fontId="4" fillId="0" borderId="235" xfId="2" applyFont="1" applyFill="1" applyBorder="1" applyAlignment="1">
      <alignment horizontal="center" vertical="center"/>
    </xf>
    <xf numFmtId="164" fontId="4" fillId="0" borderId="549" xfId="6" applyNumberFormat="1" applyFont="1" applyFill="1" applyBorder="1" applyAlignment="1">
      <alignment horizontal="center" vertical="center"/>
    </xf>
    <xf numFmtId="164" fontId="4" fillId="0" borderId="152" xfId="6" applyNumberFormat="1" applyFont="1" applyFill="1" applyBorder="1" applyAlignment="1">
      <alignment vertical="center"/>
    </xf>
    <xf numFmtId="164" fontId="12" fillId="0" borderId="550" xfId="6" applyNumberFormat="1" applyFont="1" applyFill="1" applyBorder="1" applyAlignment="1">
      <alignment vertical="center"/>
    </xf>
    <xf numFmtId="164" fontId="12" fillId="2" borderId="208" xfId="6" applyNumberFormat="1" applyFont="1" applyFill="1" applyBorder="1" applyAlignment="1">
      <alignment horizontal="center" vertical="center"/>
    </xf>
    <xf numFmtId="164" fontId="12" fillId="2" borderId="97" xfId="6" applyNumberFormat="1" applyFont="1" applyFill="1" applyBorder="1" applyAlignment="1">
      <alignment vertical="center"/>
    </xf>
    <xf numFmtId="164" fontId="4" fillId="0" borderId="200" xfId="6" applyNumberFormat="1" applyFont="1" applyFill="1" applyBorder="1" applyAlignment="1">
      <alignment horizontal="center" vertical="center"/>
    </xf>
    <xf numFmtId="164" fontId="4" fillId="0" borderId="52" xfId="0" applyNumberFormat="1" applyFont="1" applyFill="1" applyBorder="1" applyAlignment="1">
      <alignment vertical="center"/>
    </xf>
    <xf numFmtId="49" fontId="12" fillId="2" borderId="47" xfId="6" applyNumberFormat="1" applyFont="1" applyFill="1" applyBorder="1" applyAlignment="1">
      <alignment horizontal="center" vertical="center"/>
    </xf>
    <xf numFmtId="164" fontId="12" fillId="2" borderId="44" xfId="6" applyNumberFormat="1" applyFont="1" applyFill="1" applyBorder="1" applyAlignment="1">
      <alignment vertical="center"/>
    </xf>
    <xf numFmtId="164" fontId="12" fillId="2" borderId="551" xfId="6" applyNumberFormat="1" applyFont="1" applyFill="1" applyBorder="1" applyAlignment="1">
      <alignment vertical="center"/>
    </xf>
    <xf numFmtId="164" fontId="12" fillId="2" borderId="63" xfId="6" applyNumberFormat="1" applyFont="1" applyFill="1" applyBorder="1" applyAlignment="1">
      <alignment vertical="center"/>
    </xf>
    <xf numFmtId="164" fontId="12" fillId="2" borderId="71" xfId="6" applyNumberFormat="1" applyFont="1" applyFill="1" applyBorder="1" applyAlignment="1">
      <alignment vertical="center"/>
    </xf>
    <xf numFmtId="9" fontId="12" fillId="2" borderId="105" xfId="2" applyFont="1" applyFill="1" applyBorder="1" applyAlignment="1">
      <alignment vertical="center"/>
    </xf>
    <xf numFmtId="164" fontId="12" fillId="2" borderId="197" xfId="6" applyNumberFormat="1" applyFont="1" applyFill="1" applyBorder="1" applyAlignment="1">
      <alignment horizontal="center" vertical="center"/>
    </xf>
    <xf numFmtId="9" fontId="12" fillId="2" borderId="46" xfId="2" applyFont="1" applyFill="1" applyBorder="1" applyAlignment="1">
      <alignment horizontal="center" vertical="center"/>
    </xf>
    <xf numFmtId="49" fontId="12" fillId="2" borderId="199" xfId="6" applyNumberFormat="1" applyFont="1" applyFill="1" applyBorder="1" applyAlignment="1">
      <alignment horizontal="center" vertical="center"/>
    </xf>
    <xf numFmtId="164" fontId="12" fillId="2" borderId="92" xfId="6" applyNumberFormat="1" applyFont="1" applyFill="1" applyBorder="1" applyAlignment="1">
      <alignment vertical="center"/>
    </xf>
    <xf numFmtId="164" fontId="12" fillId="2" borderId="552" xfId="6" applyNumberFormat="1" applyFont="1" applyFill="1" applyBorder="1" applyAlignment="1">
      <alignment vertical="center"/>
    </xf>
    <xf numFmtId="165" fontId="4" fillId="2" borderId="1" xfId="0" applyNumberFormat="1" applyFont="1" applyFill="1" applyBorder="1" applyAlignment="1">
      <alignment vertical="center"/>
    </xf>
    <xf numFmtId="166" fontId="3" fillId="0" borderId="152" xfId="6" applyFont="1" applyFill="1" applyBorder="1" applyAlignment="1">
      <alignment vertical="center" wrapText="1"/>
    </xf>
    <xf numFmtId="164" fontId="5" fillId="0" borderId="152" xfId="6" applyNumberFormat="1" applyFont="1" applyFill="1" applyBorder="1" applyAlignment="1">
      <alignment horizontal="center" vertical="center"/>
    </xf>
    <xf numFmtId="168" fontId="52" fillId="0" borderId="152" xfId="4" applyNumberFormat="1" applyFont="1" applyFill="1" applyBorder="1" applyAlignment="1">
      <alignment horizontal="center" vertical="center"/>
    </xf>
    <xf numFmtId="164" fontId="4" fillId="0" borderId="74" xfId="6" applyNumberFormat="1" applyFont="1" applyFill="1" applyBorder="1" applyAlignment="1">
      <alignment horizontal="center" vertical="center"/>
    </xf>
    <xf numFmtId="169" fontId="4" fillId="0" borderId="298" xfId="6" applyNumberFormat="1" applyFont="1" applyFill="1" applyBorder="1" applyAlignment="1">
      <alignment horizontal="center" vertical="center"/>
    </xf>
    <xf numFmtId="164" fontId="4" fillId="0" borderId="296" xfId="6" applyNumberFormat="1" applyFont="1" applyFill="1" applyBorder="1" applyAlignment="1">
      <alignment vertical="center"/>
    </xf>
    <xf numFmtId="9" fontId="4" fillId="0" borderId="297" xfId="2" applyFont="1" applyFill="1" applyBorder="1" applyAlignment="1">
      <alignment horizontal="center" vertical="center"/>
    </xf>
    <xf numFmtId="164" fontId="4" fillId="0" borderId="553" xfId="6" applyNumberFormat="1" applyFont="1" applyFill="1" applyBorder="1" applyAlignment="1">
      <alignment horizontal="center" vertical="center"/>
    </xf>
    <xf numFmtId="164" fontId="12" fillId="0" borderId="554" xfId="6" applyNumberFormat="1" applyFont="1" applyFill="1" applyBorder="1" applyAlignment="1">
      <alignment vertical="center"/>
    </xf>
    <xf numFmtId="169" fontId="4" fillId="2" borderId="298" xfId="6" applyNumberFormat="1" applyFont="1" applyFill="1" applyBorder="1" applyAlignment="1">
      <alignment horizontal="center" vertical="center"/>
    </xf>
    <xf numFmtId="9" fontId="4" fillId="2" borderId="391" xfId="2" applyFont="1" applyFill="1" applyBorder="1" applyAlignment="1">
      <alignment horizontal="center" vertical="center"/>
    </xf>
    <xf numFmtId="164" fontId="12" fillId="2" borderId="145" xfId="6" applyNumberFormat="1" applyFont="1" applyFill="1" applyBorder="1" applyAlignment="1">
      <alignment vertical="center"/>
    </xf>
    <xf numFmtId="164" fontId="12" fillId="2" borderId="303" xfId="6" applyNumberFormat="1" applyFont="1" applyFill="1" applyBorder="1" applyAlignment="1">
      <alignment horizontal="center" vertical="center"/>
    </xf>
    <xf numFmtId="164" fontId="12" fillId="2" borderId="300" xfId="6" applyNumberFormat="1" applyFont="1" applyFill="1" applyBorder="1" applyAlignment="1">
      <alignment vertical="center"/>
    </xf>
    <xf numFmtId="164" fontId="12" fillId="2" borderId="319" xfId="6" applyNumberFormat="1" applyFont="1" applyFill="1" applyBorder="1" applyAlignment="1">
      <alignment horizontal="center" vertical="center"/>
    </xf>
    <xf numFmtId="164" fontId="12" fillId="2" borderId="298" xfId="6" applyNumberFormat="1" applyFont="1" applyFill="1" applyBorder="1" applyAlignment="1">
      <alignment horizontal="center" vertical="center"/>
    </xf>
    <xf numFmtId="164" fontId="12" fillId="2" borderId="296" xfId="6" applyNumberFormat="1" applyFont="1" applyFill="1" applyBorder="1" applyAlignment="1">
      <alignment vertical="center"/>
    </xf>
    <xf numFmtId="164" fontId="12" fillId="2" borderId="391" xfId="6" applyNumberFormat="1" applyFont="1" applyFill="1" applyBorder="1" applyAlignment="1">
      <alignment horizontal="center" vertical="center"/>
    </xf>
    <xf numFmtId="49" fontId="12" fillId="2" borderId="298" xfId="6" applyNumberFormat="1" applyFont="1" applyFill="1" applyBorder="1" applyAlignment="1">
      <alignment horizontal="center" vertical="center"/>
    </xf>
    <xf numFmtId="49" fontId="12" fillId="2" borderId="42" xfId="6" applyNumberFormat="1" applyFont="1" applyFill="1" applyBorder="1" applyAlignment="1">
      <alignment horizontal="center" vertical="center"/>
    </xf>
    <xf numFmtId="164" fontId="12" fillId="2" borderId="98" xfId="6" applyNumberFormat="1" applyFont="1" applyFill="1" applyBorder="1" applyAlignment="1">
      <alignment vertical="center"/>
    </xf>
    <xf numFmtId="164" fontId="12" fillId="2" borderId="555" xfId="6" applyNumberFormat="1" applyFont="1" applyFill="1" applyBorder="1" applyAlignment="1">
      <alignment vertical="center"/>
    </xf>
    <xf numFmtId="9" fontId="12" fillId="2" borderId="191" xfId="2" applyFont="1" applyFill="1" applyBorder="1" applyAlignment="1">
      <alignment vertical="center"/>
    </xf>
    <xf numFmtId="9" fontId="12" fillId="2" borderId="299" xfId="2" applyFont="1" applyFill="1" applyBorder="1" applyAlignment="1">
      <alignment horizontal="center" vertical="center"/>
    </xf>
    <xf numFmtId="49" fontId="12" fillId="2" borderId="303" xfId="6" applyNumberFormat="1" applyFont="1" applyFill="1" applyBorder="1" applyAlignment="1">
      <alignment horizontal="center" vertical="center"/>
    </xf>
    <xf numFmtId="164" fontId="12" fillId="2" borderId="556" xfId="6" applyNumberFormat="1" applyFont="1" applyFill="1" applyBorder="1" applyAlignment="1">
      <alignment vertical="center"/>
    </xf>
    <xf numFmtId="164" fontId="15" fillId="2" borderId="0" xfId="6" applyNumberFormat="1" applyFont="1" applyFill="1" applyAlignment="1">
      <alignment horizontal="center" vertical="center"/>
    </xf>
    <xf numFmtId="164" fontId="15" fillId="2" borderId="0" xfId="6" applyNumberFormat="1" applyFont="1" applyFill="1" applyAlignment="1">
      <alignment vertical="center"/>
    </xf>
    <xf numFmtId="0" fontId="88" fillId="0" borderId="183" xfId="0" applyFont="1" applyFill="1" applyBorder="1" applyAlignment="1">
      <alignment horizontal="center" vertical="center"/>
    </xf>
    <xf numFmtId="9" fontId="4" fillId="0" borderId="50" xfId="2" applyFont="1" applyFill="1" applyBorder="1" applyAlignment="1">
      <alignment horizontal="center" vertical="center"/>
    </xf>
    <xf numFmtId="164" fontId="4" fillId="0" borderId="557" xfId="6" applyNumberFormat="1" applyFont="1" applyFill="1" applyBorder="1" applyAlignment="1">
      <alignment horizontal="center" vertical="center"/>
    </xf>
    <xf numFmtId="164" fontId="4" fillId="0" borderId="558" xfId="6" applyNumberFormat="1" applyFont="1" applyFill="1" applyBorder="1" applyAlignment="1">
      <alignment vertical="center"/>
    </xf>
    <xf numFmtId="164" fontId="12" fillId="0" borderId="559" xfId="6" applyNumberFormat="1" applyFont="1" applyFill="1" applyBorder="1" applyAlignment="1">
      <alignment vertical="center"/>
    </xf>
    <xf numFmtId="164" fontId="78" fillId="2" borderId="534" xfId="6" applyNumberFormat="1" applyFont="1" applyFill="1" applyBorder="1" applyAlignment="1">
      <alignment vertical="center"/>
    </xf>
    <xf numFmtId="164" fontId="4" fillId="2" borderId="196" xfId="6" applyNumberFormat="1" applyFont="1" applyFill="1" applyBorder="1" applyAlignment="1">
      <alignment horizontal="center" vertical="center"/>
    </xf>
    <xf numFmtId="9" fontId="4" fillId="2" borderId="50" xfId="2" applyFont="1" applyFill="1" applyBorder="1" applyAlignment="1">
      <alignment horizontal="center" vertical="center"/>
    </xf>
    <xf numFmtId="164" fontId="4" fillId="0" borderId="85" xfId="6" applyNumberFormat="1" applyFont="1" applyFill="1" applyBorder="1" applyAlignment="1">
      <alignment horizontal="center" vertical="center"/>
    </xf>
    <xf numFmtId="164" fontId="4" fillId="2" borderId="85" xfId="6" applyNumberFormat="1" applyFont="1" applyFill="1" applyBorder="1" applyAlignment="1">
      <alignment horizontal="center" vertical="center"/>
    </xf>
    <xf numFmtId="49" fontId="12" fillId="2" borderId="85" xfId="6" applyNumberFormat="1" applyFont="1" applyFill="1" applyBorder="1" applyAlignment="1">
      <alignment horizontal="center" vertical="center"/>
    </xf>
    <xf numFmtId="164" fontId="12" fillId="2" borderId="149" xfId="6" applyNumberFormat="1" applyFont="1" applyFill="1" applyBorder="1" applyAlignment="1">
      <alignment vertical="center"/>
    </xf>
    <xf numFmtId="164" fontId="12" fillId="0" borderId="476" xfId="6" applyNumberFormat="1" applyFont="1" applyFill="1" applyBorder="1" applyAlignment="1">
      <alignment horizontal="center" vertical="center"/>
    </xf>
    <xf numFmtId="164" fontId="4" fillId="0" borderId="541" xfId="6" applyNumberFormat="1" applyFont="1" applyFill="1" applyBorder="1" applyAlignment="1">
      <alignment horizontal="center" vertical="center"/>
    </xf>
    <xf numFmtId="164" fontId="12" fillId="2" borderId="414" xfId="6" applyNumberFormat="1" applyFont="1" applyFill="1" applyBorder="1" applyAlignment="1">
      <alignment vertical="center"/>
    </xf>
    <xf numFmtId="164" fontId="12" fillId="2" borderId="413" xfId="6" applyNumberFormat="1" applyFont="1" applyFill="1" applyBorder="1" applyAlignment="1">
      <alignment vertical="center"/>
    </xf>
    <xf numFmtId="164" fontId="12" fillId="2" borderId="283" xfId="6" applyNumberFormat="1" applyFont="1" applyFill="1" applyBorder="1" applyAlignment="1">
      <alignment horizontal="center" vertical="center"/>
    </xf>
    <xf numFmtId="164" fontId="12" fillId="2" borderId="284" xfId="6" applyNumberFormat="1" applyFont="1" applyFill="1" applyBorder="1" applyAlignment="1">
      <alignment vertical="center"/>
    </xf>
    <xf numFmtId="164" fontId="12" fillId="2" borderId="283" xfId="6" applyNumberFormat="1" applyFont="1" applyFill="1" applyBorder="1" applyAlignment="1">
      <alignment vertical="center"/>
    </xf>
    <xf numFmtId="164" fontId="12" fillId="2" borderId="413" xfId="6" applyNumberFormat="1" applyFont="1" applyFill="1" applyBorder="1" applyAlignment="1">
      <alignment horizontal="center" vertical="center"/>
    </xf>
    <xf numFmtId="164" fontId="12" fillId="2" borderId="243" xfId="6" applyNumberFormat="1" applyFont="1" applyFill="1" applyBorder="1" applyAlignment="1">
      <alignment vertical="center"/>
    </xf>
    <xf numFmtId="9" fontId="4" fillId="2" borderId="465" xfId="2" applyFont="1" applyFill="1" applyBorder="1" applyAlignment="1">
      <alignment horizontal="center" vertical="center"/>
    </xf>
    <xf numFmtId="167" fontId="4" fillId="2" borderId="36" xfId="6" applyNumberFormat="1" applyFont="1" applyFill="1" applyBorder="1" applyAlignment="1">
      <alignment vertical="center"/>
    </xf>
    <xf numFmtId="164" fontId="4" fillId="2" borderId="58" xfId="6" applyNumberFormat="1" applyFont="1" applyFill="1" applyBorder="1" applyAlignment="1">
      <alignment horizontal="center" vertical="center"/>
    </xf>
    <xf numFmtId="164" fontId="12" fillId="2" borderId="542" xfId="6" applyNumberFormat="1" applyFont="1" applyFill="1" applyBorder="1" applyAlignment="1">
      <alignment vertical="center"/>
    </xf>
    <xf numFmtId="164" fontId="4" fillId="6" borderId="117" xfId="6" applyNumberFormat="1" applyFont="1" applyFill="1" applyBorder="1" applyAlignment="1">
      <alignment vertical="center"/>
    </xf>
    <xf numFmtId="164" fontId="4" fillId="6" borderId="37" xfId="6" applyNumberFormat="1" applyFont="1" applyFill="1" applyBorder="1" applyAlignment="1">
      <alignment vertical="center"/>
    </xf>
    <xf numFmtId="164" fontId="12" fillId="2" borderId="481" xfId="6" applyNumberFormat="1" applyFont="1" applyFill="1" applyBorder="1" applyAlignment="1">
      <alignment vertical="center"/>
    </xf>
    <xf numFmtId="0" fontId="4" fillId="0" borderId="117" xfId="0" applyFont="1" applyFill="1" applyBorder="1" applyAlignment="1">
      <alignment vertical="center"/>
    </xf>
    <xf numFmtId="0" fontId="4" fillId="0" borderId="70" xfId="0" applyFont="1" applyFill="1" applyBorder="1" applyAlignment="1">
      <alignment vertical="center"/>
    </xf>
    <xf numFmtId="166" fontId="12" fillId="0" borderId="62" xfId="6" applyFont="1" applyFill="1" applyBorder="1" applyAlignment="1">
      <alignment vertical="center"/>
    </xf>
    <xf numFmtId="164" fontId="21" fillId="2" borderId="72" xfId="6" applyNumberFormat="1" applyFont="1" applyFill="1" applyBorder="1" applyAlignment="1">
      <alignment horizontal="center" vertical="center"/>
    </xf>
    <xf numFmtId="164" fontId="21" fillId="2" borderId="72" xfId="6" applyNumberFormat="1" applyFont="1" applyFill="1" applyBorder="1" applyAlignment="1">
      <alignment vertical="center"/>
    </xf>
    <xf numFmtId="9" fontId="21" fillId="2" borderId="72" xfId="2" applyFont="1" applyFill="1" applyBorder="1" applyAlignment="1">
      <alignment vertical="center"/>
    </xf>
    <xf numFmtId="9" fontId="21" fillId="2" borderId="72" xfId="2" applyFont="1" applyFill="1" applyBorder="1" applyAlignment="1">
      <alignment horizontal="center" vertical="center"/>
    </xf>
    <xf numFmtId="167" fontId="21" fillId="2" borderId="72" xfId="2" applyNumberFormat="1" applyFont="1" applyFill="1" applyBorder="1" applyAlignment="1">
      <alignment horizontal="center" vertical="center"/>
    </xf>
    <xf numFmtId="164" fontId="21" fillId="2" borderId="560" xfId="6" applyNumberFormat="1" applyFont="1" applyFill="1" applyBorder="1" applyAlignment="1">
      <alignment vertical="center"/>
    </xf>
    <xf numFmtId="164" fontId="21" fillId="2" borderId="64" xfId="6" applyNumberFormat="1" applyFont="1" applyFill="1" applyBorder="1" applyAlignment="1">
      <alignment vertical="center"/>
    </xf>
    <xf numFmtId="9" fontId="21" fillId="2" borderId="316" xfId="2" applyFont="1" applyFill="1" applyBorder="1" applyAlignment="1">
      <alignment vertical="center"/>
    </xf>
    <xf numFmtId="164" fontId="21" fillId="2" borderId="316" xfId="6" applyNumberFormat="1" applyFont="1" applyFill="1" applyBorder="1" applyAlignment="1">
      <alignment vertical="center"/>
    </xf>
    <xf numFmtId="164" fontId="21" fillId="2" borderId="64" xfId="6" applyNumberFormat="1" applyFont="1" applyFill="1" applyBorder="1" applyAlignment="1">
      <alignment horizontal="center" vertical="center"/>
    </xf>
    <xf numFmtId="9" fontId="21" fillId="2" borderId="316" xfId="2" applyFont="1" applyFill="1" applyBorder="1" applyAlignment="1">
      <alignment horizontal="center" vertical="center"/>
    </xf>
    <xf numFmtId="9" fontId="12" fillId="2" borderId="316" xfId="2" applyFont="1" applyFill="1" applyBorder="1" applyAlignment="1">
      <alignment horizontal="center" vertical="center"/>
    </xf>
    <xf numFmtId="9" fontId="12" fillId="2" borderId="72" xfId="2" applyFont="1" applyFill="1" applyBorder="1" applyAlignment="1">
      <alignment vertical="center"/>
    </xf>
    <xf numFmtId="9" fontId="12" fillId="2" borderId="316" xfId="2" applyFont="1" applyFill="1" applyBorder="1" applyAlignment="1">
      <alignment vertical="center"/>
    </xf>
    <xf numFmtId="1" fontId="4" fillId="2" borderId="64" xfId="0" applyNumberFormat="1" applyFont="1" applyFill="1" applyBorder="1" applyAlignment="1">
      <alignment horizontal="center" vertical="center"/>
    </xf>
    <xf numFmtId="1" fontId="4" fillId="2" borderId="72" xfId="0" applyNumberFormat="1" applyFont="1" applyFill="1" applyBorder="1" applyAlignment="1">
      <alignment horizontal="center" vertical="center"/>
    </xf>
    <xf numFmtId="9" fontId="4" fillId="2" borderId="316" xfId="2" applyFont="1" applyFill="1" applyBorder="1" applyAlignment="1">
      <alignment vertical="center"/>
    </xf>
    <xf numFmtId="9" fontId="12" fillId="2" borderId="72" xfId="2" applyFont="1" applyFill="1" applyBorder="1" applyAlignment="1">
      <alignment horizontal="center" vertical="center"/>
    </xf>
    <xf numFmtId="9" fontId="4" fillId="2" borderId="561" xfId="2" applyFont="1" applyFill="1" applyBorder="1" applyAlignment="1">
      <alignment horizontal="center" vertical="center"/>
    </xf>
    <xf numFmtId="164" fontId="4" fillId="2" borderId="562" xfId="6" applyNumberFormat="1" applyFont="1" applyFill="1" applyBorder="1" applyAlignment="1">
      <alignment vertical="center"/>
    </xf>
    <xf numFmtId="164" fontId="12" fillId="2" borderId="563" xfId="6" applyNumberFormat="1" applyFont="1" applyFill="1" applyBorder="1" applyAlignment="1">
      <alignment vertical="center"/>
    </xf>
    <xf numFmtId="167" fontId="12" fillId="2" borderId="564" xfId="6" applyNumberFormat="1" applyFont="1" applyFill="1" applyBorder="1" applyAlignment="1">
      <alignment horizontal="center" vertical="center"/>
    </xf>
    <xf numFmtId="164" fontId="12" fillId="2" borderId="60" xfId="6" applyNumberFormat="1" applyFont="1" applyFill="1" applyBorder="1" applyAlignment="1">
      <alignment vertical="center"/>
    </xf>
    <xf numFmtId="164" fontId="12" fillId="2" borderId="281" xfId="6" applyNumberFormat="1" applyFont="1" applyFill="1" applyBorder="1" applyAlignment="1">
      <alignment vertical="center"/>
    </xf>
    <xf numFmtId="167" fontId="12" fillId="2" borderId="64" xfId="6" applyNumberFormat="1" applyFont="1" applyFill="1" applyBorder="1" applyAlignment="1">
      <alignment horizontal="center" vertical="center"/>
    </xf>
    <xf numFmtId="164" fontId="4" fillId="2" borderId="565" xfId="6" applyNumberFormat="1" applyFont="1" applyFill="1" applyBorder="1" applyAlignment="1">
      <alignment vertical="center"/>
    </xf>
    <xf numFmtId="166" fontId="12" fillId="2" borderId="62" xfId="6" applyFont="1" applyFill="1" applyBorder="1" applyAlignment="1">
      <alignment vertical="center"/>
    </xf>
    <xf numFmtId="9" fontId="12" fillId="2" borderId="203" xfId="2" applyFont="1" applyFill="1" applyBorder="1" applyAlignment="1">
      <alignment horizontal="center" vertical="center"/>
    </xf>
    <xf numFmtId="164" fontId="12" fillId="2" borderId="60" xfId="6" applyNumberFormat="1" applyFont="1" applyFill="1" applyBorder="1" applyAlignment="1">
      <alignment horizontal="center" vertical="center"/>
    </xf>
    <xf numFmtId="164" fontId="4" fillId="2" borderId="566" xfId="6" applyNumberFormat="1" applyFont="1" applyFill="1" applyBorder="1" applyAlignment="1">
      <alignment vertical="center"/>
    </xf>
    <xf numFmtId="9" fontId="4" fillId="0" borderId="486" xfId="2" applyFont="1" applyFill="1" applyBorder="1" applyAlignment="1">
      <alignment vertical="center"/>
    </xf>
    <xf numFmtId="166" fontId="12" fillId="0" borderId="123" xfId="6" applyFont="1" applyFill="1" applyBorder="1" applyAlignment="1">
      <alignment vertical="center"/>
    </xf>
    <xf numFmtId="164" fontId="4" fillId="2" borderId="63" xfId="6" applyNumberFormat="1" applyFont="1" applyFill="1" applyBorder="1" applyAlignment="1">
      <alignment vertical="center"/>
    </xf>
    <xf numFmtId="164" fontId="21" fillId="2" borderId="124" xfId="6" applyNumberFormat="1" applyFont="1" applyFill="1" applyBorder="1" applyAlignment="1">
      <alignment horizontal="center" vertical="center"/>
    </xf>
    <xf numFmtId="164" fontId="21" fillId="2" borderId="124" xfId="6" applyNumberFormat="1" applyFont="1" applyFill="1" applyBorder="1" applyAlignment="1">
      <alignment vertical="center"/>
    </xf>
    <xf numFmtId="9" fontId="21" fillId="2" borderId="124" xfId="2" applyFont="1" applyFill="1" applyBorder="1" applyAlignment="1">
      <alignment vertical="center"/>
    </xf>
    <xf numFmtId="9" fontId="21" fillId="2" borderId="124" xfId="2" applyFont="1" applyFill="1" applyBorder="1" applyAlignment="1">
      <alignment horizontal="center" vertical="center"/>
    </xf>
    <xf numFmtId="167" fontId="21" fillId="2" borderId="124" xfId="2" applyNumberFormat="1" applyFont="1" applyFill="1" applyBorder="1" applyAlignment="1">
      <alignment horizontal="center" vertical="center"/>
    </xf>
    <xf numFmtId="164" fontId="21" fillId="2" borderId="567" xfId="6" applyNumberFormat="1" applyFont="1" applyFill="1" applyBorder="1" applyAlignment="1">
      <alignment vertical="center"/>
    </xf>
    <xf numFmtId="164" fontId="21" fillId="2" borderId="120" xfId="6" applyNumberFormat="1" applyFont="1" applyFill="1" applyBorder="1" applyAlignment="1">
      <alignment vertical="center"/>
    </xf>
    <xf numFmtId="9" fontId="21" fillId="2" borderId="146" xfId="2" applyFont="1" applyFill="1" applyBorder="1" applyAlignment="1">
      <alignment vertical="center"/>
    </xf>
    <xf numFmtId="164" fontId="21" fillId="2" borderId="146" xfId="6" applyNumberFormat="1" applyFont="1" applyFill="1" applyBorder="1" applyAlignment="1">
      <alignment vertical="center"/>
    </xf>
    <xf numFmtId="164" fontId="21" fillId="2" borderId="120" xfId="6" applyNumberFormat="1" applyFont="1" applyFill="1" applyBorder="1" applyAlignment="1">
      <alignment horizontal="center" vertical="center"/>
    </xf>
    <xf numFmtId="9" fontId="21" fillId="2" borderId="146" xfId="2" applyFont="1" applyFill="1" applyBorder="1" applyAlignment="1">
      <alignment horizontal="center" vertical="center"/>
    </xf>
    <xf numFmtId="164" fontId="12" fillId="2" borderId="120" xfId="6" applyNumberFormat="1" applyFont="1" applyFill="1" applyBorder="1" applyAlignment="1">
      <alignment horizontal="center" vertical="center"/>
    </xf>
    <xf numFmtId="164" fontId="12" fillId="2" borderId="124" xfId="6" applyNumberFormat="1" applyFont="1" applyFill="1" applyBorder="1" applyAlignment="1">
      <alignment vertical="center"/>
    </xf>
    <xf numFmtId="9" fontId="12" fillId="2" borderId="146" xfId="2" applyFont="1" applyFill="1" applyBorder="1" applyAlignment="1">
      <alignment horizontal="center" vertical="center"/>
    </xf>
    <xf numFmtId="164" fontId="4" fillId="2" borderId="120" xfId="6" applyNumberFormat="1" applyFont="1" applyFill="1" applyBorder="1" applyAlignment="1">
      <alignment horizontal="center" vertical="center"/>
    </xf>
    <xf numFmtId="164" fontId="4" fillId="2" borderId="124" xfId="6" applyNumberFormat="1" applyFont="1" applyFill="1" applyBorder="1" applyAlignment="1">
      <alignment vertical="center"/>
    </xf>
    <xf numFmtId="9" fontId="4" fillId="2" borderId="146" xfId="2" applyFont="1" applyFill="1" applyBorder="1" applyAlignment="1">
      <alignment horizontal="center" vertical="center"/>
    </xf>
    <xf numFmtId="9" fontId="12" fillId="2" borderId="185" xfId="2" applyFont="1" applyFill="1" applyBorder="1" applyAlignment="1">
      <alignment horizontal="center" vertical="center"/>
    </xf>
    <xf numFmtId="164" fontId="12" fillId="2" borderId="121" xfId="6" applyNumberFormat="1" applyFont="1" applyFill="1" applyBorder="1" applyAlignment="1">
      <alignment horizontal="center" vertical="center"/>
    </xf>
    <xf numFmtId="164" fontId="12" fillId="2" borderId="124" xfId="6" applyNumberFormat="1" applyFont="1" applyFill="1" applyBorder="1" applyAlignment="1">
      <alignment horizontal="center" vertical="center"/>
    </xf>
    <xf numFmtId="1" fontId="4" fillId="2" borderId="120" xfId="0" applyNumberFormat="1" applyFont="1" applyFill="1" applyBorder="1" applyAlignment="1">
      <alignment horizontal="center" vertical="center"/>
    </xf>
    <xf numFmtId="1" fontId="4" fillId="2" borderId="124" xfId="0" applyNumberFormat="1" applyFont="1" applyFill="1" applyBorder="1" applyAlignment="1">
      <alignment horizontal="center" vertical="center"/>
    </xf>
    <xf numFmtId="164" fontId="4" fillId="2" borderId="124" xfId="0" applyNumberFormat="1" applyFont="1" applyFill="1" applyBorder="1" applyAlignment="1">
      <alignment vertical="center"/>
    </xf>
    <xf numFmtId="9" fontId="12" fillId="2" borderId="124" xfId="2" applyFont="1" applyFill="1" applyBorder="1" applyAlignment="1">
      <alignment horizontal="center" vertical="center"/>
    </xf>
    <xf numFmtId="164" fontId="4" fillId="2" borderId="568" xfId="6" applyNumberFormat="1" applyFont="1" applyFill="1" applyBorder="1" applyAlignment="1">
      <alignment horizontal="center" vertical="center"/>
    </xf>
    <xf numFmtId="164" fontId="4" fillId="2" borderId="569" xfId="6" applyNumberFormat="1" applyFont="1" applyFill="1" applyBorder="1" applyAlignment="1">
      <alignment vertical="center"/>
    </xf>
    <xf numFmtId="9" fontId="4" fillId="2" borderId="570" xfId="2" applyFont="1" applyFill="1" applyBorder="1" applyAlignment="1">
      <alignment horizontal="center" vertical="center"/>
    </xf>
    <xf numFmtId="164" fontId="4" fillId="2" borderId="571" xfId="6" applyNumberFormat="1" applyFont="1" applyFill="1" applyBorder="1" applyAlignment="1">
      <alignment vertical="center"/>
    </xf>
    <xf numFmtId="164" fontId="4" fillId="2" borderId="195" xfId="6" applyNumberFormat="1" applyFont="1" applyFill="1" applyBorder="1" applyAlignment="1">
      <alignment vertical="center"/>
    </xf>
    <xf numFmtId="164" fontId="12" fillId="2" borderId="572" xfId="6" applyNumberFormat="1" applyFont="1" applyFill="1" applyBorder="1" applyAlignment="1">
      <alignment vertical="center"/>
    </xf>
    <xf numFmtId="164" fontId="12" fillId="2" borderId="446" xfId="6" applyNumberFormat="1" applyFont="1" applyFill="1" applyBorder="1" applyAlignment="1">
      <alignment vertical="center"/>
    </xf>
    <xf numFmtId="164" fontId="12" fillId="2" borderId="491" xfId="6" applyNumberFormat="1" applyFont="1" applyFill="1" applyBorder="1" applyAlignment="1">
      <alignment vertical="center"/>
    </xf>
    <xf numFmtId="164" fontId="12" fillId="2" borderId="266" xfId="6" applyNumberFormat="1" applyFont="1" applyFill="1" applyBorder="1" applyAlignment="1">
      <alignment horizontal="center" vertical="center"/>
    </xf>
    <xf numFmtId="164" fontId="12" fillId="2" borderId="267" xfId="6" applyNumberFormat="1" applyFont="1" applyFill="1" applyBorder="1" applyAlignment="1">
      <alignment vertical="center"/>
    </xf>
    <xf numFmtId="164" fontId="12" fillId="2" borderId="266" xfId="6" applyNumberFormat="1" applyFont="1" applyFill="1" applyBorder="1" applyAlignment="1">
      <alignment vertical="center"/>
    </xf>
    <xf numFmtId="164" fontId="12" fillId="2" borderId="491" xfId="6" applyNumberFormat="1" applyFont="1" applyFill="1" applyBorder="1" applyAlignment="1">
      <alignment horizontal="center" vertical="center"/>
    </xf>
    <xf numFmtId="167" fontId="12" fillId="2" borderId="573" xfId="6" applyNumberFormat="1" applyFont="1" applyFill="1" applyBorder="1" applyAlignment="1">
      <alignment horizontal="center" vertical="center"/>
    </xf>
    <xf numFmtId="164" fontId="12" fillId="2" borderId="121" xfId="6" applyNumberFormat="1" applyFont="1" applyFill="1" applyBorder="1" applyAlignment="1">
      <alignment vertical="center"/>
    </xf>
    <xf numFmtId="164" fontId="12" fillId="2" borderId="255" xfId="6" applyNumberFormat="1" applyFont="1" applyFill="1" applyBorder="1" applyAlignment="1">
      <alignment vertical="center"/>
    </xf>
    <xf numFmtId="9" fontId="4" fillId="2" borderId="574" xfId="2" applyFont="1" applyFill="1" applyBorder="1" applyAlignment="1">
      <alignment horizontal="center" vertical="center"/>
    </xf>
    <xf numFmtId="167" fontId="12" fillId="2" borderId="120" xfId="6" applyNumberFormat="1" applyFont="1" applyFill="1" applyBorder="1" applyAlignment="1">
      <alignment horizontal="center" vertical="center"/>
    </xf>
    <xf numFmtId="3" fontId="4" fillId="2" borderId="120" xfId="6" applyNumberFormat="1" applyFont="1" applyFill="1" applyBorder="1" applyAlignment="1">
      <alignment horizontal="center" vertical="center"/>
    </xf>
    <xf numFmtId="164" fontId="4" fillId="2" borderId="576" xfId="6" applyNumberFormat="1" applyFont="1" applyFill="1" applyBorder="1" applyAlignment="1">
      <alignment vertical="center"/>
    </xf>
    <xf numFmtId="167" fontId="4" fillId="2" borderId="120" xfId="6" applyNumberFormat="1" applyFont="1" applyFill="1" applyBorder="1" applyAlignment="1">
      <alignment vertical="center"/>
    </xf>
    <xf numFmtId="164" fontId="4" fillId="2" borderId="120" xfId="6" applyNumberFormat="1" applyFont="1" applyFill="1" applyBorder="1" applyAlignment="1">
      <alignment vertical="center"/>
    </xf>
    <xf numFmtId="167" fontId="4" fillId="2" borderId="120" xfId="6" applyNumberFormat="1" applyFont="1" applyFill="1" applyBorder="1" applyAlignment="1">
      <alignment horizontal="center" vertical="center"/>
    </xf>
    <xf numFmtId="164" fontId="4" fillId="2" borderId="577" xfId="6" applyNumberFormat="1" applyFont="1" applyFill="1" applyBorder="1" applyAlignment="1">
      <alignment vertical="center"/>
    </xf>
    <xf numFmtId="167" fontId="4" fillId="2" borderId="185" xfId="6" applyNumberFormat="1" applyFont="1" applyFill="1" applyBorder="1" applyAlignment="1">
      <alignment horizontal="center" vertical="center"/>
    </xf>
    <xf numFmtId="164" fontId="4" fillId="2" borderId="121" xfId="6" applyNumberFormat="1" applyFont="1" applyFill="1" applyBorder="1" applyAlignment="1">
      <alignment horizontal="center" vertical="center"/>
    </xf>
    <xf numFmtId="9" fontId="4" fillId="2" borderId="578" xfId="2" applyFont="1" applyFill="1" applyBorder="1" applyAlignment="1">
      <alignment horizontal="center" vertical="center"/>
    </xf>
    <xf numFmtId="164" fontId="4" fillId="2" borderId="579" xfId="6" applyNumberFormat="1" applyFont="1" applyFill="1" applyBorder="1" applyAlignment="1">
      <alignment vertical="center"/>
    </xf>
    <xf numFmtId="49" fontId="4" fillId="2" borderId="185" xfId="6" applyNumberFormat="1" applyFont="1" applyFill="1" applyBorder="1" applyAlignment="1">
      <alignment horizontal="center" vertical="center"/>
    </xf>
    <xf numFmtId="9" fontId="4" fillId="2" borderId="486" xfId="2" applyFont="1" applyFill="1" applyBorder="1" applyAlignment="1">
      <alignment vertical="center"/>
    </xf>
    <xf numFmtId="164" fontId="32" fillId="2" borderId="67" xfId="0" applyNumberFormat="1" applyFont="1" applyFill="1" applyBorder="1" applyAlignment="1">
      <alignment vertical="center"/>
    </xf>
    <xf numFmtId="9" fontId="90" fillId="2" borderId="71" xfId="2" applyFont="1" applyFill="1" applyBorder="1" applyAlignment="1">
      <alignment horizontal="center" vertical="center"/>
    </xf>
    <xf numFmtId="164" fontId="32" fillId="0" borderId="67" xfId="0" applyNumberFormat="1" applyFont="1" applyFill="1" applyBorder="1" applyAlignment="1">
      <alignment vertical="center"/>
    </xf>
    <xf numFmtId="164" fontId="12" fillId="6" borderId="70" xfId="6" applyNumberFormat="1" applyFont="1" applyFill="1" applyBorder="1" applyAlignment="1">
      <alignment horizontal="center" vertical="center"/>
    </xf>
    <xf numFmtId="164" fontId="12" fillId="6" borderId="56" xfId="0" applyNumberFormat="1" applyFont="1" applyFill="1" applyBorder="1" applyAlignment="1">
      <alignment vertical="center"/>
    </xf>
    <xf numFmtId="9" fontId="12" fillId="6" borderId="118" xfId="2" applyFont="1" applyFill="1" applyBorder="1" applyAlignment="1">
      <alignment horizontal="center" vertical="center"/>
    </xf>
    <xf numFmtId="0" fontId="4" fillId="6" borderId="70" xfId="6" applyNumberFormat="1" applyFont="1" applyFill="1" applyBorder="1" applyAlignment="1">
      <alignment horizontal="center" vertical="center"/>
    </xf>
    <xf numFmtId="164" fontId="4" fillId="6" borderId="56" xfId="0" applyNumberFormat="1" applyFont="1" applyFill="1" applyBorder="1" applyAlignment="1">
      <alignment vertical="center"/>
    </xf>
    <xf numFmtId="9" fontId="4" fillId="6" borderId="123" xfId="2" applyFont="1" applyFill="1" applyBorder="1" applyAlignment="1">
      <alignment vertical="center"/>
    </xf>
    <xf numFmtId="164" fontId="4" fillId="6" borderId="70" xfId="6" applyNumberFormat="1" applyFont="1" applyFill="1" applyBorder="1" applyAlignment="1">
      <alignment vertical="center"/>
    </xf>
    <xf numFmtId="164" fontId="4" fillId="6" borderId="70" xfId="6" applyNumberFormat="1" applyFont="1" applyFill="1" applyBorder="1" applyAlignment="1">
      <alignment horizontal="center" vertical="center"/>
    </xf>
    <xf numFmtId="9" fontId="4" fillId="6" borderId="118" xfId="2" applyFont="1" applyFill="1" applyBorder="1" applyAlignment="1">
      <alignment horizontal="center" vertical="center"/>
    </xf>
    <xf numFmtId="164" fontId="92" fillId="6" borderId="67" xfId="6" applyNumberFormat="1" applyFont="1" applyFill="1" applyBorder="1" applyAlignment="1">
      <alignment vertical="center"/>
    </xf>
    <xf numFmtId="9" fontId="92" fillId="6" borderId="123" xfId="2" applyFont="1" applyFill="1" applyBorder="1" applyAlignment="1">
      <alignment vertical="center"/>
    </xf>
    <xf numFmtId="164" fontId="32" fillId="2" borderId="66" xfId="0" applyNumberFormat="1" applyFont="1" applyFill="1" applyBorder="1" applyAlignment="1">
      <alignment vertical="center"/>
    </xf>
    <xf numFmtId="164" fontId="12" fillId="6" borderId="70" xfId="6" applyNumberFormat="1" applyFont="1" applyFill="1" applyBorder="1" applyAlignment="1">
      <alignment vertical="center"/>
    </xf>
    <xf numFmtId="166" fontId="0" fillId="2" borderId="67" xfId="6" applyFont="1" applyFill="1" applyBorder="1" applyAlignment="1">
      <alignment horizontal="left" vertical="center" wrapText="1"/>
    </xf>
    <xf numFmtId="164" fontId="5" fillId="2" borderId="67" xfId="6" quotePrefix="1" applyNumberFormat="1" applyFont="1" applyFill="1" applyBorder="1" applyAlignment="1">
      <alignment horizontal="center" vertical="center"/>
    </xf>
    <xf numFmtId="164" fontId="21" fillId="2" borderId="37" xfId="6" applyNumberFormat="1" applyFont="1" applyFill="1" applyBorder="1" applyAlignment="1">
      <alignment horizontal="center" vertical="center"/>
    </xf>
    <xf numFmtId="164" fontId="21" fillId="2" borderId="37" xfId="6" applyNumberFormat="1" applyFont="1" applyFill="1" applyBorder="1" applyAlignment="1">
      <alignment vertical="center"/>
    </xf>
    <xf numFmtId="9" fontId="21" fillId="2" borderId="37" xfId="2" applyFont="1" applyFill="1" applyBorder="1" applyAlignment="1">
      <alignment vertical="center"/>
    </xf>
    <xf numFmtId="9" fontId="21" fillId="2" borderId="37" xfId="2" applyFont="1" applyFill="1" applyBorder="1" applyAlignment="1">
      <alignment horizontal="center" vertical="center"/>
    </xf>
    <xf numFmtId="167" fontId="21" fillId="2" borderId="37" xfId="2" applyNumberFormat="1" applyFont="1" applyFill="1" applyBorder="1" applyAlignment="1">
      <alignment horizontal="center" vertical="center"/>
    </xf>
    <xf numFmtId="164" fontId="21" fillId="2" borderId="580" xfId="6" applyNumberFormat="1" applyFont="1" applyFill="1" applyBorder="1" applyAlignment="1">
      <alignment vertical="center"/>
    </xf>
    <xf numFmtId="164" fontId="21" fillId="2" borderId="117" xfId="6" applyNumberFormat="1" applyFont="1" applyFill="1" applyBorder="1" applyAlignment="1">
      <alignment vertical="center"/>
    </xf>
    <xf numFmtId="9" fontId="21" fillId="2" borderId="63" xfId="2" applyFont="1" applyFill="1" applyBorder="1" applyAlignment="1">
      <alignment vertical="center"/>
    </xf>
    <xf numFmtId="164" fontId="21" fillId="2" borderId="63" xfId="6" applyNumberFormat="1" applyFont="1" applyFill="1" applyBorder="1" applyAlignment="1">
      <alignment vertical="center"/>
    </xf>
    <xf numFmtId="164" fontId="21" fillId="2" borderId="117" xfId="6" applyNumberFormat="1" applyFont="1" applyFill="1" applyBorder="1" applyAlignment="1">
      <alignment horizontal="center" vertical="center"/>
    </xf>
    <xf numFmtId="9" fontId="21" fillId="2" borderId="63" xfId="2" applyFont="1" applyFill="1" applyBorder="1" applyAlignment="1">
      <alignment horizontal="center" vertical="center"/>
    </xf>
    <xf numFmtId="9" fontId="12" fillId="2" borderId="106" xfId="2" applyFont="1" applyFill="1" applyBorder="1" applyAlignment="1">
      <alignment horizontal="center" vertical="center"/>
    </xf>
    <xf numFmtId="164" fontId="12" fillId="2" borderId="56" xfId="6" applyNumberFormat="1" applyFont="1" applyFill="1" applyBorder="1" applyAlignment="1">
      <alignment horizontal="center" vertical="center"/>
    </xf>
    <xf numFmtId="164" fontId="4" fillId="2" borderId="581" xfId="6" applyNumberFormat="1" applyFont="1" applyFill="1" applyBorder="1" applyAlignment="1">
      <alignment horizontal="center" vertical="center"/>
    </xf>
    <xf numFmtId="164" fontId="4" fillId="2" borderId="582" xfId="6" applyNumberFormat="1" applyFont="1" applyFill="1" applyBorder="1" applyAlignment="1">
      <alignment vertical="center"/>
    </xf>
    <xf numFmtId="9" fontId="4" fillId="2" borderId="583" xfId="2" applyFont="1" applyFill="1" applyBorder="1" applyAlignment="1">
      <alignment horizontal="center" vertical="center"/>
    </xf>
    <xf numFmtId="164" fontId="4" fillId="2" borderId="584" xfId="6" applyNumberFormat="1" applyFont="1" applyFill="1" applyBorder="1" applyAlignment="1">
      <alignment vertical="center"/>
    </xf>
    <xf numFmtId="9" fontId="4" fillId="2" borderId="262" xfId="2" applyFont="1" applyFill="1" applyBorder="1" applyAlignment="1">
      <alignment horizontal="center" vertical="center"/>
    </xf>
    <xf numFmtId="164" fontId="12" fillId="2" borderId="452" xfId="6" applyNumberFormat="1" applyFont="1" applyFill="1" applyBorder="1" applyAlignment="1">
      <alignment vertical="center"/>
    </xf>
    <xf numFmtId="164" fontId="12" fillId="2" borderId="451" xfId="6" applyNumberFormat="1" applyFont="1" applyFill="1" applyBorder="1" applyAlignment="1">
      <alignment vertical="center"/>
    </xf>
    <xf numFmtId="164" fontId="12" fillId="2" borderId="256" xfId="6" applyNumberFormat="1" applyFont="1" applyFill="1" applyBorder="1" applyAlignment="1">
      <alignment horizontal="center" vertical="center"/>
    </xf>
    <xf numFmtId="164" fontId="12" fillId="2" borderId="256" xfId="6" applyNumberFormat="1" applyFont="1" applyFill="1" applyBorder="1" applyAlignment="1">
      <alignment vertical="center"/>
    </xf>
    <xf numFmtId="164" fontId="12" fillId="2" borderId="451" xfId="6" applyNumberFormat="1" applyFont="1" applyFill="1" applyBorder="1" applyAlignment="1">
      <alignment horizontal="center" vertical="center"/>
    </xf>
    <xf numFmtId="167" fontId="12" fillId="2" borderId="337" xfId="6" applyNumberFormat="1" applyFont="1" applyFill="1" applyBorder="1" applyAlignment="1">
      <alignment horizontal="center" vertical="center"/>
    </xf>
    <xf numFmtId="164" fontId="12" fillId="2" borderId="262" xfId="6" applyNumberFormat="1" applyFont="1" applyFill="1" applyBorder="1" applyAlignment="1">
      <alignment vertical="center"/>
    </xf>
    <xf numFmtId="9" fontId="4" fillId="2" borderId="585" xfId="2" applyFont="1" applyFill="1" applyBorder="1" applyAlignment="1">
      <alignment horizontal="center" vertical="center"/>
    </xf>
    <xf numFmtId="167" fontId="12" fillId="2" borderId="117" xfId="6" applyNumberFormat="1" applyFont="1" applyFill="1" applyBorder="1" applyAlignment="1">
      <alignment horizontal="center" vertical="center"/>
    </xf>
    <xf numFmtId="164" fontId="4" fillId="2" borderId="586" xfId="6" applyNumberFormat="1" applyFont="1" applyFill="1" applyBorder="1" applyAlignment="1">
      <alignment vertical="center"/>
    </xf>
    <xf numFmtId="3" fontId="4" fillId="2" borderId="117" xfId="6" applyNumberFormat="1" applyFont="1" applyFill="1" applyBorder="1" applyAlignment="1">
      <alignment horizontal="center" vertical="center"/>
    </xf>
    <xf numFmtId="167" fontId="4" fillId="2" borderId="117" xfId="6" applyNumberFormat="1" applyFont="1" applyFill="1" applyBorder="1" applyAlignment="1">
      <alignment vertical="center"/>
    </xf>
    <xf numFmtId="167" fontId="4" fillId="2" borderId="117" xfId="6" applyNumberFormat="1" applyFont="1" applyFill="1" applyBorder="1" applyAlignment="1">
      <alignment horizontal="center" vertical="center"/>
    </xf>
    <xf numFmtId="167" fontId="4" fillId="2" borderId="106" xfId="6" applyNumberFormat="1" applyFont="1" applyFill="1" applyBorder="1" applyAlignment="1">
      <alignment horizontal="center" vertical="center"/>
    </xf>
    <xf numFmtId="164" fontId="4" fillId="2" borderId="56" xfId="6" applyNumberFormat="1" applyFont="1" applyFill="1" applyBorder="1" applyAlignment="1">
      <alignment horizontal="center" vertical="center"/>
    </xf>
    <xf numFmtId="164" fontId="4" fillId="2" borderId="452" xfId="0" applyNumberFormat="1" applyFont="1" applyFill="1" applyBorder="1" applyAlignment="1">
      <alignment vertical="center"/>
    </xf>
    <xf numFmtId="164" fontId="91" fillId="2" borderId="67" xfId="6" applyNumberFormat="1" applyFont="1" applyFill="1" applyBorder="1" applyAlignment="1">
      <alignment vertical="center"/>
    </xf>
    <xf numFmtId="9" fontId="91" fillId="2" borderId="118" xfId="2" applyFont="1" applyFill="1" applyBorder="1" applyAlignment="1">
      <alignment horizontal="center" vertical="center"/>
    </xf>
    <xf numFmtId="164" fontId="92" fillId="2" borderId="67" xfId="6" applyNumberFormat="1" applyFont="1" applyFill="1" applyBorder="1" applyAlignment="1">
      <alignment vertical="center"/>
    </xf>
    <xf numFmtId="9" fontId="92" fillId="2" borderId="118" xfId="2" applyFont="1" applyFill="1" applyBorder="1" applyAlignment="1">
      <alignment vertical="center"/>
    </xf>
    <xf numFmtId="164" fontId="12" fillId="2" borderId="126" xfId="6" applyNumberFormat="1" applyFont="1" applyFill="1" applyBorder="1" applyAlignment="1">
      <alignment horizontal="center" vertical="center"/>
    </xf>
    <xf numFmtId="164" fontId="12" fillId="2" borderId="127" xfId="6" applyNumberFormat="1" applyFont="1" applyFill="1" applyBorder="1" applyAlignment="1">
      <alignment horizontal="center" vertical="center"/>
    </xf>
    <xf numFmtId="164" fontId="4" fillId="2" borderId="588" xfId="6" applyNumberFormat="1" applyFont="1" applyFill="1" applyBorder="1" applyAlignment="1">
      <alignment vertical="center"/>
    </xf>
    <xf numFmtId="164" fontId="4" fillId="2" borderId="209" xfId="6" applyNumberFormat="1" applyFont="1" applyFill="1" applyBorder="1" applyAlignment="1">
      <alignment vertical="center"/>
    </xf>
    <xf numFmtId="164" fontId="4" fillId="2" borderId="210" xfId="6" applyNumberFormat="1" applyFont="1" applyFill="1" applyBorder="1" applyAlignment="1">
      <alignment vertical="center"/>
    </xf>
    <xf numFmtId="167" fontId="4" fillId="2" borderId="536" xfId="6" applyNumberFormat="1" applyFont="1" applyFill="1" applyBorder="1" applyAlignment="1">
      <alignment horizontal="center" vertical="center"/>
    </xf>
    <xf numFmtId="164" fontId="12" fillId="2" borderId="126" xfId="6" applyNumberFormat="1" applyFont="1" applyFill="1" applyBorder="1" applyAlignment="1">
      <alignment vertical="center"/>
    </xf>
    <xf numFmtId="164" fontId="12" fillId="0" borderId="542" xfId="6" applyNumberFormat="1" applyFont="1" applyFill="1" applyBorder="1" applyAlignment="1">
      <alignment vertical="center"/>
    </xf>
    <xf numFmtId="49" fontId="12" fillId="0" borderId="70" xfId="6" applyNumberFormat="1" applyFont="1" applyFill="1" applyBorder="1" applyAlignment="1">
      <alignment horizontal="center" vertical="center"/>
    </xf>
    <xf numFmtId="164" fontId="12" fillId="0" borderId="56" xfId="0" applyNumberFormat="1" applyFont="1" applyFill="1" applyBorder="1" applyAlignment="1">
      <alignment vertical="center"/>
    </xf>
    <xf numFmtId="9" fontId="4" fillId="0" borderId="141" xfId="2" applyFont="1" applyFill="1" applyBorder="1" applyAlignment="1">
      <alignment vertical="center"/>
    </xf>
    <xf numFmtId="9" fontId="4" fillId="0" borderId="118" xfId="2" applyFont="1" applyFill="1" applyBorder="1" applyAlignment="1">
      <alignment horizontal="left" vertical="center"/>
    </xf>
    <xf numFmtId="164" fontId="12" fillId="0" borderId="481" xfId="6" applyNumberFormat="1" applyFont="1" applyFill="1" applyBorder="1" applyAlignment="1">
      <alignment vertical="center"/>
    </xf>
    <xf numFmtId="9" fontId="32" fillId="0" borderId="118" xfId="2" applyFont="1" applyFill="1" applyBorder="1" applyAlignment="1">
      <alignment horizontal="center" vertical="center"/>
    </xf>
    <xf numFmtId="164" fontId="12" fillId="0" borderId="58" xfId="6" applyNumberFormat="1" applyFont="1" applyFill="1" applyBorder="1" applyAlignment="1">
      <alignment vertical="center"/>
    </xf>
    <xf numFmtId="9" fontId="27" fillId="0" borderId="62" xfId="2" applyFont="1" applyFill="1" applyBorder="1" applyAlignment="1">
      <alignment horizontal="center" vertical="center"/>
    </xf>
    <xf numFmtId="9" fontId="27" fillId="0" borderId="118" xfId="2" applyFont="1" applyFill="1" applyBorder="1" applyAlignment="1">
      <alignment horizontal="center" vertical="center"/>
    </xf>
    <xf numFmtId="164" fontId="4" fillId="0" borderId="68" xfId="6" applyNumberFormat="1" applyFont="1" applyFill="1" applyBorder="1" applyAlignment="1">
      <alignment horizontal="center" vertical="center"/>
    </xf>
    <xf numFmtId="164" fontId="4" fillId="0" borderId="446" xfId="6" applyNumberFormat="1" applyFont="1" applyFill="1" applyBorder="1" applyAlignment="1">
      <alignment horizontal="center" vertical="center"/>
    </xf>
    <xf numFmtId="164" fontId="4" fillId="0" borderId="267" xfId="0" applyNumberFormat="1" applyFont="1" applyFill="1" applyBorder="1" applyAlignment="1">
      <alignment vertical="center"/>
    </xf>
    <xf numFmtId="9" fontId="4" fillId="0" borderId="491" xfId="2" applyFont="1" applyFill="1" applyBorder="1" applyAlignment="1">
      <alignment vertical="center"/>
    </xf>
    <xf numFmtId="164" fontId="4" fillId="0" borderId="33" xfId="6" applyNumberFormat="1" applyFont="1" applyFill="1" applyBorder="1" applyAlignment="1">
      <alignment horizontal="center" vertical="center"/>
    </xf>
    <xf numFmtId="164" fontId="4" fillId="0" borderId="34" xfId="6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481" xfId="0" applyFont="1" applyFill="1" applyBorder="1" applyAlignment="1">
      <alignment vertical="center"/>
    </xf>
    <xf numFmtId="166" fontId="4" fillId="0" borderId="37" xfId="6" applyFont="1" applyFill="1" applyBorder="1" applyAlignment="1">
      <alignment vertical="center"/>
    </xf>
    <xf numFmtId="166" fontId="12" fillId="0" borderId="37" xfId="6" applyFont="1" applyFill="1" applyBorder="1" applyAlignment="1">
      <alignment vertical="center"/>
    </xf>
    <xf numFmtId="0" fontId="4" fillId="0" borderId="542" xfId="0" applyFont="1" applyFill="1" applyBorder="1" applyAlignment="1">
      <alignment vertical="center"/>
    </xf>
    <xf numFmtId="0" fontId="4" fillId="0" borderId="37" xfId="0" applyFont="1" applyFill="1" applyBorder="1" applyAlignment="1">
      <alignment vertical="center"/>
    </xf>
    <xf numFmtId="0" fontId="12" fillId="0" borderId="37" xfId="0" applyFont="1" applyFill="1" applyBorder="1" applyAlignment="1">
      <alignment vertical="center"/>
    </xf>
    <xf numFmtId="9" fontId="32" fillId="0" borderId="118" xfId="2" applyFont="1" applyFill="1" applyBorder="1" applyAlignment="1">
      <alignment horizontal="right" vertical="center"/>
    </xf>
    <xf numFmtId="9" fontId="27" fillId="0" borderId="62" xfId="2" applyFont="1" applyFill="1" applyBorder="1" applyAlignment="1">
      <alignment horizontal="right" vertical="center"/>
    </xf>
    <xf numFmtId="164" fontId="4" fillId="0" borderId="104" xfId="6" applyNumberFormat="1" applyFont="1" applyFill="1" applyBorder="1" applyAlignment="1">
      <alignment horizontal="center" vertical="center"/>
    </xf>
    <xf numFmtId="164" fontId="12" fillId="0" borderId="75" xfId="6" applyNumberFormat="1" applyFont="1" applyFill="1" applyBorder="1" applyAlignment="1">
      <alignment vertical="center"/>
    </xf>
    <xf numFmtId="164" fontId="4" fillId="2" borderId="64" xfId="6" applyNumberFormat="1" applyFont="1" applyFill="1" applyBorder="1" applyAlignment="1">
      <alignment vertical="center"/>
    </xf>
    <xf numFmtId="167" fontId="4" fillId="2" borderId="0" xfId="6" applyNumberFormat="1" applyFont="1" applyFill="1" applyBorder="1" applyAlignment="1">
      <alignment horizontal="center" vertical="center"/>
    </xf>
    <xf numFmtId="49" fontId="12" fillId="2" borderId="75" xfId="6" applyNumberFormat="1" applyFont="1" applyFill="1" applyBorder="1" applyAlignment="1">
      <alignment horizontal="center" vertical="center"/>
    </xf>
    <xf numFmtId="164" fontId="4" fillId="2" borderId="96" xfId="6" applyNumberFormat="1" applyFont="1" applyFill="1" applyBorder="1" applyAlignment="1">
      <alignment vertical="center"/>
    </xf>
    <xf numFmtId="164" fontId="4" fillId="2" borderId="77" xfId="6" applyNumberFormat="1" applyFont="1" applyFill="1" applyBorder="1" applyAlignment="1">
      <alignment horizontal="center" vertical="center"/>
    </xf>
    <xf numFmtId="9" fontId="4" fillId="2" borderId="589" xfId="2" applyFont="1" applyFill="1" applyBorder="1" applyAlignment="1">
      <alignment horizontal="center" vertical="center"/>
    </xf>
    <xf numFmtId="164" fontId="12" fillId="2" borderId="590" xfId="6" applyNumberFormat="1" applyFont="1" applyFill="1" applyBorder="1" applyAlignment="1">
      <alignment vertical="center"/>
    </xf>
    <xf numFmtId="164" fontId="12" fillId="2" borderId="591" xfId="6" applyNumberFormat="1" applyFont="1" applyFill="1" applyBorder="1" applyAlignment="1">
      <alignment vertical="center"/>
    </xf>
    <xf numFmtId="9" fontId="4" fillId="2" borderId="72" xfId="2" applyFont="1" applyFill="1" applyBorder="1" applyAlignment="1">
      <alignment horizontal="center" vertical="center"/>
    </xf>
    <xf numFmtId="167" fontId="4" fillId="2" borderId="137" xfId="6" applyNumberFormat="1" applyFont="1" applyFill="1" applyBorder="1" applyAlignment="1">
      <alignment horizontal="center" vertical="center"/>
    </xf>
    <xf numFmtId="164" fontId="4" fillId="2" borderId="592" xfId="6" applyNumberFormat="1" applyFont="1" applyFill="1" applyBorder="1" applyAlignment="1">
      <alignment vertical="center"/>
    </xf>
    <xf numFmtId="164" fontId="12" fillId="2" borderId="33" xfId="6" applyNumberFormat="1" applyFont="1" applyFill="1" applyBorder="1" applyAlignment="1">
      <alignment horizontal="center" vertical="center"/>
    </xf>
    <xf numFmtId="164" fontId="15" fillId="2" borderId="34" xfId="6" applyNumberFormat="1" applyFont="1" applyFill="1" applyBorder="1" applyAlignment="1">
      <alignment vertical="center"/>
    </xf>
    <xf numFmtId="164" fontId="12" fillId="2" borderId="69" xfId="6" applyNumberFormat="1" applyFont="1" applyFill="1" applyBorder="1" applyAlignment="1">
      <alignment horizontal="center" vertical="center"/>
    </xf>
    <xf numFmtId="164" fontId="12" fillId="2" borderId="34" xfId="6" applyNumberFormat="1" applyFont="1" applyFill="1" applyBorder="1" applyAlignment="1">
      <alignment horizontal="center" vertical="center"/>
    </xf>
    <xf numFmtId="49" fontId="12" fillId="2" borderId="34" xfId="6" applyNumberFormat="1" applyFont="1" applyFill="1" applyBorder="1" applyAlignment="1">
      <alignment horizontal="center" vertical="center"/>
    </xf>
    <xf numFmtId="164" fontId="15" fillId="2" borderId="86" xfId="6" applyNumberFormat="1" applyFont="1" applyFill="1" applyBorder="1" applyAlignment="1">
      <alignment vertical="center"/>
    </xf>
    <xf numFmtId="9" fontId="15" fillId="2" borderId="34" xfId="2" applyFont="1" applyFill="1" applyBorder="1" applyAlignment="1">
      <alignment vertical="center"/>
    </xf>
    <xf numFmtId="164" fontId="15" fillId="2" borderId="33" xfId="6" applyNumberFormat="1" applyFont="1" applyFill="1" applyBorder="1" applyAlignment="1">
      <alignment vertical="center"/>
    </xf>
    <xf numFmtId="49" fontId="4" fillId="2" borderId="34" xfId="6" applyNumberFormat="1" applyFont="1" applyFill="1" applyBorder="1" applyAlignment="1">
      <alignment horizontal="center" vertical="center"/>
    </xf>
    <xf numFmtId="164" fontId="93" fillId="2" borderId="34" xfId="6" applyNumberFormat="1" applyFont="1" applyFill="1" applyBorder="1" applyAlignment="1">
      <alignment vertical="center"/>
    </xf>
    <xf numFmtId="164" fontId="15" fillId="2" borderId="37" xfId="6" applyNumberFormat="1" applyFont="1" applyFill="1" applyBorder="1" applyAlignment="1">
      <alignment vertical="center"/>
    </xf>
    <xf numFmtId="164" fontId="12" fillId="2" borderId="63" xfId="6" applyNumberFormat="1" applyFont="1" applyFill="1" applyBorder="1" applyAlignment="1">
      <alignment horizontal="center" vertical="center"/>
    </xf>
    <xf numFmtId="49" fontId="12" fillId="2" borderId="37" xfId="6" applyNumberFormat="1" applyFont="1" applyFill="1" applyBorder="1" applyAlignment="1">
      <alignment horizontal="center" vertical="center"/>
    </xf>
    <xf numFmtId="164" fontId="15" fillId="2" borderId="67" xfId="6" applyNumberFormat="1" applyFont="1" applyFill="1" applyBorder="1" applyAlignment="1">
      <alignment vertical="center"/>
    </xf>
    <xf numFmtId="49" fontId="4" fillId="2" borderId="37" xfId="6" applyNumberFormat="1" applyFont="1" applyFill="1" applyBorder="1" applyAlignment="1">
      <alignment horizontal="center" vertical="center"/>
    </xf>
    <xf numFmtId="164" fontId="93" fillId="2" borderId="37" xfId="6" applyNumberFormat="1" applyFont="1" applyFill="1" applyBorder="1" applyAlignment="1">
      <alignment vertical="center"/>
    </xf>
    <xf numFmtId="164" fontId="12" fillId="2" borderId="71" xfId="6" applyNumberFormat="1" applyFont="1" applyFill="1" applyBorder="1" applyAlignment="1">
      <alignment horizontal="center" vertical="center"/>
    </xf>
    <xf numFmtId="164" fontId="93" fillId="2" borderId="67" xfId="6" applyNumberFormat="1" applyFont="1" applyFill="1" applyBorder="1" applyAlignment="1">
      <alignment vertical="center"/>
    </xf>
    <xf numFmtId="164" fontId="3" fillId="0" borderId="37" xfId="6" applyNumberFormat="1" applyFont="1" applyBorder="1" applyAlignment="1">
      <alignment vertical="center"/>
    </xf>
    <xf numFmtId="164" fontId="93" fillId="0" borderId="67" xfId="6" applyNumberFormat="1" applyFont="1" applyFill="1" applyBorder="1" applyAlignment="1">
      <alignment vertical="center"/>
    </xf>
    <xf numFmtId="164" fontId="15" fillId="0" borderId="67" xfId="6" applyNumberFormat="1" applyFont="1" applyFill="1" applyBorder="1" applyAlignment="1">
      <alignment vertical="center"/>
    </xf>
    <xf numFmtId="167" fontId="4" fillId="2" borderId="126" xfId="6" applyNumberFormat="1" applyFont="1" applyFill="1" applyBorder="1" applyAlignment="1">
      <alignment horizontal="center" vertical="center"/>
    </xf>
    <xf numFmtId="9" fontId="15" fillId="2" borderId="37" xfId="2" applyFont="1" applyFill="1" applyBorder="1" applyAlignment="1">
      <alignment vertical="center"/>
    </xf>
    <xf numFmtId="164" fontId="15" fillId="2" borderId="127" xfId="6" applyNumberFormat="1" applyFont="1" applyFill="1" applyBorder="1" applyAlignment="1">
      <alignment vertical="center"/>
    </xf>
    <xf numFmtId="164" fontId="12" fillId="2" borderId="145" xfId="6" applyNumberFormat="1" applyFont="1" applyFill="1" applyBorder="1" applyAlignment="1">
      <alignment horizontal="center" vertical="center"/>
    </xf>
    <xf numFmtId="49" fontId="12" fillId="2" borderId="127" xfId="6" applyNumberFormat="1" applyFont="1" applyFill="1" applyBorder="1" applyAlignment="1">
      <alignment horizontal="center" vertical="center"/>
    </xf>
    <xf numFmtId="164" fontId="15" fillId="2" borderId="107" xfId="6" applyNumberFormat="1" applyFont="1" applyFill="1" applyBorder="1" applyAlignment="1">
      <alignment vertical="center"/>
    </xf>
    <xf numFmtId="9" fontId="15" fillId="2" borderId="127" xfId="2" applyFont="1" applyFill="1" applyBorder="1" applyAlignment="1">
      <alignment vertical="center"/>
    </xf>
    <xf numFmtId="49" fontId="4" fillId="2" borderId="127" xfId="6" applyNumberFormat="1" applyFont="1" applyFill="1" applyBorder="1" applyAlignment="1">
      <alignment horizontal="center" vertical="center"/>
    </xf>
    <xf numFmtId="164" fontId="93" fillId="2" borderId="127" xfId="6" applyNumberFormat="1" applyFont="1" applyFill="1" applyBorder="1" applyAlignment="1">
      <alignment vertical="center"/>
    </xf>
    <xf numFmtId="9" fontId="12" fillId="2" borderId="109" xfId="2" applyFont="1" applyFill="1" applyBorder="1" applyAlignment="1">
      <alignment horizontal="center" vertical="center"/>
    </xf>
    <xf numFmtId="164" fontId="4" fillId="2" borderId="593" xfId="6" applyNumberFormat="1" applyFont="1" applyFill="1" applyBorder="1" applyAlignment="1">
      <alignment vertical="center"/>
    </xf>
    <xf numFmtId="164" fontId="15" fillId="2" borderId="76" xfId="6" applyNumberFormat="1" applyFont="1" applyFill="1" applyBorder="1" applyAlignment="1">
      <alignment vertical="center"/>
    </xf>
    <xf numFmtId="164" fontId="12" fillId="0" borderId="76" xfId="6" applyNumberFormat="1" applyFont="1" applyFill="1" applyBorder="1" applyAlignment="1">
      <alignment vertical="center"/>
    </xf>
    <xf numFmtId="166" fontId="55" fillId="4" borderId="20" xfId="6" applyFont="1" applyFill="1" applyBorder="1" applyAlignment="1">
      <alignment horizontal="right" vertical="center" wrapText="1"/>
    </xf>
    <xf numFmtId="164" fontId="21" fillId="4" borderId="20" xfId="6" applyNumberFormat="1" applyFont="1" applyFill="1" applyBorder="1" applyAlignment="1">
      <alignment horizontal="center" vertical="center"/>
    </xf>
    <xf numFmtId="164" fontId="21" fillId="4" borderId="20" xfId="6" applyNumberFormat="1" applyFont="1" applyFill="1" applyBorder="1" applyAlignment="1">
      <alignment vertical="center"/>
    </xf>
    <xf numFmtId="9" fontId="21" fillId="4" borderId="20" xfId="2" applyFont="1" applyFill="1" applyBorder="1" applyAlignment="1">
      <alignment vertical="center"/>
    </xf>
    <xf numFmtId="9" fontId="21" fillId="4" borderId="20" xfId="2" applyFont="1" applyFill="1" applyBorder="1" applyAlignment="1">
      <alignment horizontal="center" vertical="center"/>
    </xf>
    <xf numFmtId="167" fontId="21" fillId="4" borderId="20" xfId="2" applyNumberFormat="1" applyFont="1" applyFill="1" applyBorder="1" applyAlignment="1">
      <alignment horizontal="center" vertical="center"/>
    </xf>
    <xf numFmtId="164" fontId="21" fillId="4" borderId="227" xfId="6" applyNumberFormat="1" applyFont="1" applyFill="1" applyBorder="1" applyAlignment="1">
      <alignment vertical="center"/>
    </xf>
    <xf numFmtId="164" fontId="21" fillId="4" borderId="19" xfId="6" applyNumberFormat="1" applyFont="1" applyFill="1" applyBorder="1" applyAlignment="1">
      <alignment vertical="center"/>
    </xf>
    <xf numFmtId="9" fontId="21" fillId="4" borderId="23" xfId="2" applyFont="1" applyFill="1" applyBorder="1" applyAlignment="1">
      <alignment vertical="center"/>
    </xf>
    <xf numFmtId="164" fontId="21" fillId="4" borderId="23" xfId="6" applyNumberFormat="1" applyFont="1" applyFill="1" applyBorder="1" applyAlignment="1">
      <alignment vertical="center"/>
    </xf>
    <xf numFmtId="164" fontId="21" fillId="4" borderId="19" xfId="6" applyNumberFormat="1" applyFont="1" applyFill="1" applyBorder="1" applyAlignment="1">
      <alignment horizontal="center" vertical="center"/>
    </xf>
    <xf numFmtId="9" fontId="21" fillId="4" borderId="23" xfId="2" applyFont="1" applyFill="1" applyBorder="1" applyAlignment="1">
      <alignment horizontal="center" vertical="center"/>
    </xf>
    <xf numFmtId="164" fontId="12" fillId="4" borderId="19" xfId="6" applyNumberFormat="1" applyFont="1" applyFill="1" applyBorder="1" applyAlignment="1">
      <alignment horizontal="center" vertical="center"/>
    </xf>
    <xf numFmtId="164" fontId="12" fillId="4" borderId="20" xfId="6" applyNumberFormat="1" applyFont="1" applyFill="1" applyBorder="1" applyAlignment="1">
      <alignment vertical="center"/>
    </xf>
    <xf numFmtId="9" fontId="12" fillId="4" borderId="327" xfId="2" applyFont="1" applyFill="1" applyBorder="1" applyAlignment="1">
      <alignment horizontal="center" vertical="center"/>
    </xf>
    <xf numFmtId="164" fontId="12" fillId="4" borderId="78" xfId="6" applyNumberFormat="1" applyFont="1" applyFill="1" applyBorder="1" applyAlignment="1">
      <alignment horizontal="center" vertical="center"/>
    </xf>
    <xf numFmtId="164" fontId="12" fillId="4" borderId="20" xfId="6" applyNumberFormat="1" applyFont="1" applyFill="1" applyBorder="1" applyAlignment="1">
      <alignment horizontal="center" vertical="center"/>
    </xf>
    <xf numFmtId="9" fontId="12" fillId="4" borderId="20" xfId="2" applyFont="1" applyFill="1" applyBorder="1" applyAlignment="1">
      <alignment vertical="center"/>
    </xf>
    <xf numFmtId="9" fontId="12" fillId="4" borderId="23" xfId="2" applyFont="1" applyFill="1" applyBorder="1" applyAlignment="1">
      <alignment vertical="center"/>
    </xf>
    <xf numFmtId="164" fontId="12" fillId="4" borderId="595" xfId="6" applyNumberFormat="1" applyFont="1" applyFill="1" applyBorder="1" applyAlignment="1">
      <alignment vertical="center"/>
    </xf>
    <xf numFmtId="164" fontId="12" fillId="4" borderId="222" xfId="6" applyNumberFormat="1" applyFont="1" applyFill="1" applyBorder="1" applyAlignment="1">
      <alignment vertical="center"/>
    </xf>
    <xf numFmtId="164" fontId="12" fillId="4" borderId="516" xfId="6" applyNumberFormat="1" applyFont="1" applyFill="1" applyBorder="1" applyAlignment="1">
      <alignment vertical="center"/>
    </xf>
    <xf numFmtId="164" fontId="12" fillId="4" borderId="515" xfId="6" applyNumberFormat="1" applyFont="1" applyFill="1" applyBorder="1" applyAlignment="1">
      <alignment horizontal="center" vertical="center"/>
    </xf>
    <xf numFmtId="164" fontId="12" fillId="4" borderId="223" xfId="6" applyNumberFormat="1" applyFont="1" applyFill="1" applyBorder="1" applyAlignment="1">
      <alignment vertical="center"/>
    </xf>
    <xf numFmtId="164" fontId="12" fillId="4" borderId="515" xfId="6" applyNumberFormat="1" applyFont="1" applyFill="1" applyBorder="1" applyAlignment="1">
      <alignment vertical="center"/>
    </xf>
    <xf numFmtId="164" fontId="12" fillId="4" borderId="516" xfId="6" applyNumberFormat="1" applyFont="1" applyFill="1" applyBorder="1" applyAlignment="1">
      <alignment horizontal="center" vertical="center"/>
    </xf>
    <xf numFmtId="167" fontId="12" fillId="4" borderId="113" xfId="6" applyNumberFormat="1" applyFont="1" applyFill="1" applyBorder="1" applyAlignment="1">
      <alignment horizontal="center" vertical="center"/>
    </xf>
    <xf numFmtId="164" fontId="12" fillId="4" borderId="78" xfId="6" applyNumberFormat="1" applyFont="1" applyFill="1" applyBorder="1" applyAlignment="1">
      <alignment vertical="center"/>
    </xf>
    <xf numFmtId="164" fontId="12" fillId="4" borderId="19" xfId="6" applyNumberFormat="1" applyFont="1" applyFill="1" applyBorder="1" applyAlignment="1">
      <alignment vertical="center"/>
    </xf>
    <xf numFmtId="164" fontId="12" fillId="4" borderId="283" xfId="6" applyNumberFormat="1" applyFont="1" applyFill="1" applyBorder="1" applyAlignment="1">
      <alignment vertical="center"/>
    </xf>
    <xf numFmtId="164" fontId="12" fillId="4" borderId="414" xfId="6" applyNumberFormat="1" applyFont="1" applyFill="1" applyBorder="1" applyAlignment="1">
      <alignment vertical="center"/>
    </xf>
    <xf numFmtId="164" fontId="12" fillId="4" borderId="413" xfId="6" applyNumberFormat="1" applyFont="1" applyFill="1" applyBorder="1" applyAlignment="1">
      <alignment vertical="center"/>
    </xf>
    <xf numFmtId="164" fontId="12" fillId="4" borderId="284" xfId="6" applyNumberFormat="1" applyFont="1" applyFill="1" applyBorder="1" applyAlignment="1">
      <alignment vertical="center"/>
    </xf>
    <xf numFmtId="164" fontId="12" fillId="4" borderId="413" xfId="6" applyNumberFormat="1" applyFont="1" applyFill="1" applyBorder="1" applyAlignment="1">
      <alignment horizontal="center" vertical="center"/>
    </xf>
    <xf numFmtId="164" fontId="12" fillId="4" borderId="0" xfId="6" applyNumberFormat="1" applyFont="1" applyFill="1" applyAlignment="1">
      <alignment vertical="center"/>
    </xf>
    <xf numFmtId="164" fontId="15" fillId="4" borderId="20" xfId="6" applyNumberFormat="1" applyFont="1" applyFill="1" applyBorder="1" applyAlignment="1">
      <alignment vertical="center"/>
    </xf>
    <xf numFmtId="164" fontId="12" fillId="4" borderId="23" xfId="6" applyNumberFormat="1" applyFont="1" applyFill="1" applyBorder="1" applyAlignment="1">
      <alignment vertical="center"/>
    </xf>
    <xf numFmtId="0" fontId="4" fillId="2" borderId="596" xfId="0" applyFont="1" applyFill="1" applyBorder="1" applyAlignment="1">
      <alignment horizontal="center" vertical="center"/>
    </xf>
    <xf numFmtId="0" fontId="0" fillId="2" borderId="597" xfId="0" applyFont="1" applyFill="1" applyBorder="1" applyAlignment="1">
      <alignment horizontal="center" vertical="center" wrapText="1"/>
    </xf>
    <xf numFmtId="0" fontId="4" fillId="2" borderId="597" xfId="3" applyFont="1" applyFill="1" applyBorder="1" applyAlignment="1">
      <alignment horizontal="center" vertical="center"/>
    </xf>
    <xf numFmtId="0" fontId="5" fillId="2" borderId="597" xfId="3" applyFont="1" applyFill="1" applyBorder="1" applyAlignment="1">
      <alignment horizontal="center" vertical="center"/>
    </xf>
    <xf numFmtId="164" fontId="4" fillId="2" borderId="598" xfId="6" applyNumberFormat="1" applyFont="1" applyFill="1" applyBorder="1" applyAlignment="1">
      <alignment horizontal="center" vertical="center"/>
    </xf>
    <xf numFmtId="164" fontId="4" fillId="2" borderId="599" xfId="6" applyNumberFormat="1" applyFont="1" applyFill="1" applyBorder="1" applyAlignment="1">
      <alignment horizontal="center" vertical="center"/>
    </xf>
    <xf numFmtId="164" fontId="4" fillId="2" borderId="444" xfId="6" applyNumberFormat="1" applyFont="1" applyFill="1" applyBorder="1" applyAlignment="1">
      <alignment vertical="center"/>
    </xf>
    <xf numFmtId="9" fontId="4" fillId="2" borderId="444" xfId="2" applyFont="1" applyFill="1" applyBorder="1" applyAlignment="1">
      <alignment horizontal="center" vertical="center"/>
    </xf>
    <xf numFmtId="4" fontId="12" fillId="2" borderId="444" xfId="2" applyNumberFormat="1" applyFont="1" applyFill="1" applyBorder="1" applyAlignment="1">
      <alignment horizontal="center" vertical="center"/>
    </xf>
    <xf numFmtId="164" fontId="12" fillId="2" borderId="444" xfId="6" applyNumberFormat="1" applyFont="1" applyFill="1" applyBorder="1" applyAlignment="1">
      <alignment vertical="center"/>
    </xf>
    <xf numFmtId="9" fontId="12" fillId="2" borderId="444" xfId="2" applyFont="1" applyFill="1" applyBorder="1" applyAlignment="1">
      <alignment horizontal="center" vertical="center"/>
    </xf>
    <xf numFmtId="164" fontId="4" fillId="2" borderId="444" xfId="6" applyNumberFormat="1" applyFont="1" applyFill="1" applyBorder="1" applyAlignment="1">
      <alignment horizontal="center" vertical="center"/>
    </xf>
    <xf numFmtId="164" fontId="4" fillId="2" borderId="444" xfId="6" applyNumberFormat="1" applyFont="1" applyFill="1" applyBorder="1" applyAlignment="1">
      <alignment horizontal="right" vertical="center"/>
    </xf>
    <xf numFmtId="164" fontId="4" fillId="2" borderId="444" xfId="0" applyNumberFormat="1" applyFont="1" applyFill="1" applyBorder="1" applyAlignment="1">
      <alignment vertical="center"/>
    </xf>
    <xf numFmtId="166" fontId="4" fillId="2" borderId="444" xfId="6" applyFont="1" applyFill="1" applyBorder="1" applyAlignment="1">
      <alignment horizontal="center" vertical="center"/>
    </xf>
    <xf numFmtId="0" fontId="4" fillId="2" borderId="444" xfId="2" applyNumberFormat="1" applyFont="1" applyFill="1" applyBorder="1" applyAlignment="1">
      <alignment horizontal="center" vertical="center"/>
    </xf>
    <xf numFmtId="164" fontId="4" fillId="2" borderId="444" xfId="2" applyNumberFormat="1" applyFont="1" applyFill="1" applyBorder="1" applyAlignment="1">
      <alignment horizontal="center" vertical="center"/>
    </xf>
    <xf numFmtId="167" fontId="4" fillId="2" borderId="444" xfId="2" applyNumberFormat="1" applyFont="1" applyFill="1" applyBorder="1" applyAlignment="1">
      <alignment horizontal="center" vertical="center"/>
    </xf>
    <xf numFmtId="167" fontId="12" fillId="2" borderId="444" xfId="2" applyNumberFormat="1" applyFont="1" applyFill="1" applyBorder="1" applyAlignment="1">
      <alignment horizontal="center" vertical="center"/>
    </xf>
    <xf numFmtId="9" fontId="12" fillId="2" borderId="600" xfId="2" applyFont="1" applyFill="1" applyBorder="1" applyAlignment="1">
      <alignment horizontal="center" vertical="center"/>
    </xf>
    <xf numFmtId="164" fontId="4" fillId="2" borderId="601" xfId="0" applyNumberFormat="1" applyFont="1" applyFill="1" applyBorder="1" applyAlignment="1">
      <alignment vertical="center"/>
    </xf>
    <xf numFmtId="164" fontId="4" fillId="2" borderId="599" xfId="0" applyNumberFormat="1" applyFont="1" applyFill="1" applyBorder="1" applyAlignment="1">
      <alignment vertical="center"/>
    </xf>
    <xf numFmtId="164" fontId="4" fillId="2" borderId="600" xfId="0" applyNumberFormat="1" applyFont="1" applyFill="1" applyBorder="1" applyAlignment="1">
      <alignment vertical="center"/>
    </xf>
    <xf numFmtId="164" fontId="4" fillId="2" borderId="443" xfId="0" applyNumberFormat="1" applyFont="1" applyFill="1" applyBorder="1" applyAlignment="1">
      <alignment vertical="center"/>
    </xf>
    <xf numFmtId="9" fontId="4" fillId="2" borderId="445" xfId="2" applyFont="1" applyFill="1" applyBorder="1" applyAlignment="1">
      <alignment vertical="center"/>
    </xf>
    <xf numFmtId="164" fontId="4" fillId="2" borderId="443" xfId="6" applyNumberFormat="1" applyFont="1" applyFill="1" applyBorder="1" applyAlignment="1">
      <alignment vertical="center"/>
    </xf>
    <xf numFmtId="0" fontId="4" fillId="2" borderId="445" xfId="0" applyFont="1" applyFill="1" applyBorder="1" applyAlignment="1">
      <alignment vertical="center"/>
    </xf>
    <xf numFmtId="164" fontId="4" fillId="2" borderId="599" xfId="6" applyNumberFormat="1" applyFont="1" applyFill="1" applyBorder="1" applyAlignment="1">
      <alignment vertical="center"/>
    </xf>
    <xf numFmtId="0" fontId="4" fillId="2" borderId="600" xfId="0" applyFont="1" applyFill="1" applyBorder="1" applyAlignment="1">
      <alignment vertical="center"/>
    </xf>
    <xf numFmtId="0" fontId="4" fillId="2" borderId="443" xfId="0" applyFont="1" applyFill="1" applyBorder="1" applyAlignment="1">
      <alignment vertical="center"/>
    </xf>
    <xf numFmtId="0" fontId="4" fillId="2" borderId="444" xfId="0" applyFont="1" applyFill="1" applyBorder="1" applyAlignment="1">
      <alignment vertical="center"/>
    </xf>
    <xf numFmtId="164" fontId="80" fillId="2" borderId="444" xfId="6" applyNumberFormat="1" applyFont="1" applyFill="1" applyBorder="1" applyAlignment="1">
      <alignment vertical="center"/>
    </xf>
    <xf numFmtId="0" fontId="4" fillId="2" borderId="445" xfId="0" applyFont="1" applyFill="1" applyBorder="1" applyAlignment="1">
      <alignment horizontal="center" vertical="center"/>
    </xf>
    <xf numFmtId="166" fontId="4" fillId="2" borderId="444" xfId="6" applyFont="1" applyFill="1" applyBorder="1" applyAlignment="1">
      <alignment vertical="center"/>
    </xf>
    <xf numFmtId="9" fontId="4" fillId="2" borderId="445" xfId="2" applyFont="1" applyFill="1" applyBorder="1" applyAlignment="1">
      <alignment horizontal="center" vertical="center"/>
    </xf>
    <xf numFmtId="0" fontId="12" fillId="2" borderId="602" xfId="0" applyFont="1" applyFill="1" applyBorder="1" applyAlignment="1">
      <alignment vertical="center"/>
    </xf>
    <xf numFmtId="164" fontId="12" fillId="2" borderId="603" xfId="6" applyNumberFormat="1" applyFont="1" applyFill="1" applyBorder="1" applyAlignment="1">
      <alignment vertical="center"/>
    </xf>
    <xf numFmtId="0" fontId="12" fillId="2" borderId="604" xfId="0" applyFont="1" applyFill="1" applyBorder="1" applyAlignment="1">
      <alignment vertical="center"/>
    </xf>
    <xf numFmtId="1" fontId="4" fillId="2" borderId="599" xfId="0" applyNumberFormat="1" applyFont="1" applyFill="1" applyBorder="1" applyAlignment="1">
      <alignment horizontal="center" vertical="center"/>
    </xf>
    <xf numFmtId="1" fontId="4" fillId="2" borderId="443" xfId="0" applyNumberFormat="1" applyFont="1" applyFill="1" applyBorder="1" applyAlignment="1">
      <alignment vertical="center"/>
    </xf>
    <xf numFmtId="1" fontId="4" fillId="2" borderId="443" xfId="0" applyNumberFormat="1" applyFont="1" applyFill="1" applyBorder="1" applyAlignment="1">
      <alignment horizontal="center" vertical="center"/>
    </xf>
    <xf numFmtId="0" fontId="4" fillId="2" borderId="489" xfId="0" applyFont="1" applyFill="1" applyBorder="1" applyAlignment="1">
      <alignment vertical="center"/>
    </xf>
    <xf numFmtId="0" fontId="4" fillId="2" borderId="488" xfId="0" applyFont="1" applyFill="1" applyBorder="1" applyAlignment="1">
      <alignment vertical="center"/>
    </xf>
    <xf numFmtId="0" fontId="4" fillId="2" borderId="130" xfId="0" applyFont="1" applyFill="1" applyBorder="1" applyAlignment="1">
      <alignment vertical="center"/>
    </xf>
    <xf numFmtId="0" fontId="4" fillId="2" borderId="572" xfId="0" applyFont="1" applyFill="1" applyBorder="1" applyAlignment="1">
      <alignment vertical="center"/>
    </xf>
    <xf numFmtId="0" fontId="4" fillId="2" borderId="491" xfId="0" applyFont="1" applyFill="1" applyBorder="1" applyAlignment="1">
      <alignment vertical="center"/>
    </xf>
    <xf numFmtId="0" fontId="4" fillId="2" borderId="266" xfId="0" applyFont="1" applyFill="1" applyBorder="1" applyAlignment="1">
      <alignment vertical="center"/>
    </xf>
    <xf numFmtId="169" fontId="4" fillId="2" borderId="283" xfId="6" applyNumberFormat="1" applyFont="1" applyFill="1" applyBorder="1" applyAlignment="1">
      <alignment vertical="center"/>
    </xf>
    <xf numFmtId="9" fontId="4" fillId="2" borderId="529" xfId="2" applyFont="1" applyFill="1" applyBorder="1" applyAlignment="1">
      <alignment horizontal="center" vertical="center"/>
    </xf>
    <xf numFmtId="167" fontId="4" fillId="2" borderId="490" xfId="0" applyNumberFormat="1" applyFont="1" applyFill="1" applyBorder="1" applyAlignment="1">
      <alignment horizontal="center" vertical="center"/>
    </xf>
    <xf numFmtId="3" fontId="4" fillId="2" borderId="39" xfId="0" applyNumberFormat="1" applyFont="1" applyFill="1" applyBorder="1" applyAlignment="1">
      <alignment vertical="center"/>
    </xf>
    <xf numFmtId="167" fontId="4" fillId="2" borderId="39" xfId="0" applyNumberFormat="1" applyFont="1" applyFill="1" applyBorder="1" applyAlignment="1">
      <alignment vertical="center"/>
    </xf>
    <xf numFmtId="9" fontId="4" fillId="2" borderId="605" xfId="2" applyFont="1" applyFill="1" applyBorder="1" applyAlignment="1">
      <alignment horizontal="center" vertical="center"/>
    </xf>
    <xf numFmtId="0" fontId="4" fillId="2" borderId="451" xfId="0" applyFont="1" applyFill="1" applyBorder="1" applyAlignment="1">
      <alignment vertical="center"/>
    </xf>
    <xf numFmtId="0" fontId="4" fillId="2" borderId="256" xfId="0" applyFont="1" applyFill="1" applyBorder="1" applyAlignment="1">
      <alignment vertical="center"/>
    </xf>
    <xf numFmtId="9" fontId="4" fillId="2" borderId="606" xfId="2" applyFont="1" applyFill="1" applyBorder="1" applyAlignment="1">
      <alignment vertical="center"/>
    </xf>
    <xf numFmtId="49" fontId="12" fillId="2" borderId="0" xfId="6" applyNumberFormat="1" applyFont="1" applyFill="1" applyBorder="1" applyAlignment="1">
      <alignment horizontal="center" vertical="center"/>
    </xf>
    <xf numFmtId="0" fontId="12" fillId="2" borderId="607" xfId="0" applyFont="1" applyFill="1" applyBorder="1" applyAlignment="1">
      <alignment vertical="center"/>
    </xf>
    <xf numFmtId="0" fontId="12" fillId="2" borderId="606" xfId="0" applyFont="1" applyFill="1" applyBorder="1" applyAlignment="1">
      <alignment vertical="center"/>
    </xf>
    <xf numFmtId="0" fontId="12" fillId="2" borderId="608" xfId="0" applyFont="1" applyFill="1" applyBorder="1" applyAlignment="1">
      <alignment vertical="center"/>
    </xf>
    <xf numFmtId="0" fontId="4" fillId="2" borderId="608" xfId="0" applyFont="1" applyFill="1" applyBorder="1" applyAlignment="1">
      <alignment vertical="center"/>
    </xf>
    <xf numFmtId="9" fontId="4" fillId="2" borderId="608" xfId="2" applyFont="1" applyFill="1" applyBorder="1" applyAlignment="1">
      <alignment vertical="center"/>
    </xf>
    <xf numFmtId="0" fontId="4" fillId="2" borderId="609" xfId="0" applyFont="1" applyFill="1" applyBorder="1" applyAlignment="1">
      <alignment vertical="center"/>
    </xf>
    <xf numFmtId="164" fontId="4" fillId="2" borderId="607" xfId="6" applyNumberFormat="1" applyFont="1" applyFill="1" applyBorder="1" applyAlignment="1">
      <alignment vertical="center"/>
    </xf>
    <xf numFmtId="164" fontId="12" fillId="2" borderId="607" xfId="6" applyNumberFormat="1" applyFont="1" applyFill="1" applyBorder="1" applyAlignment="1">
      <alignment vertical="center"/>
    </xf>
    <xf numFmtId="164" fontId="15" fillId="2" borderId="607" xfId="6" applyNumberFormat="1" applyFont="1" applyFill="1" applyBorder="1" applyAlignment="1">
      <alignment vertical="center"/>
    </xf>
    <xf numFmtId="9" fontId="15" fillId="2" borderId="607" xfId="2" applyFont="1" applyFill="1" applyBorder="1" applyAlignment="1">
      <alignment vertical="center"/>
    </xf>
    <xf numFmtId="9" fontId="15" fillId="2" borderId="608" xfId="2" applyFont="1" applyFill="1" applyBorder="1" applyAlignment="1">
      <alignment vertical="center"/>
    </xf>
    <xf numFmtId="164" fontId="15" fillId="2" borderId="609" xfId="6" applyNumberFormat="1" applyFont="1" applyFill="1" applyBorder="1" applyAlignment="1">
      <alignment vertical="center"/>
    </xf>
    <xf numFmtId="0" fontId="4" fillId="2" borderId="607" xfId="0" applyFont="1" applyFill="1" applyBorder="1" applyAlignment="1">
      <alignment vertical="center"/>
    </xf>
    <xf numFmtId="164" fontId="12" fillId="2" borderId="606" xfId="6" applyNumberFormat="1" applyFont="1" applyFill="1" applyBorder="1" applyAlignment="1">
      <alignment vertical="center"/>
    </xf>
    <xf numFmtId="9" fontId="12" fillId="2" borderId="606" xfId="2" applyFont="1" applyFill="1" applyBorder="1" applyAlignment="1">
      <alignment vertical="center"/>
    </xf>
    <xf numFmtId="164" fontId="93" fillId="2" borderId="0" xfId="6" applyNumberFormat="1" applyFont="1" applyFill="1" applyBorder="1" applyAlignment="1">
      <alignment vertical="center"/>
    </xf>
    <xf numFmtId="0" fontId="12" fillId="2" borderId="606" xfId="0" applyFont="1" applyFill="1" applyBorder="1" applyAlignment="1">
      <alignment horizontal="center" vertical="center"/>
    </xf>
    <xf numFmtId="164" fontId="54" fillId="2" borderId="0" xfId="6" applyNumberFormat="1" applyFont="1" applyFill="1" applyAlignment="1">
      <alignment horizontal="center" vertical="center"/>
    </xf>
    <xf numFmtId="164" fontId="54" fillId="2" borderId="0" xfId="6" applyNumberFormat="1" applyFont="1" applyFill="1" applyAlignment="1">
      <alignment vertical="center"/>
    </xf>
    <xf numFmtId="164" fontId="2" fillId="2" borderId="0" xfId="6" applyNumberFormat="1" applyFont="1" applyFill="1" applyBorder="1" applyAlignment="1">
      <alignment horizontal="center" vertical="center"/>
    </xf>
    <xf numFmtId="164" fontId="6" fillId="2" borderId="15" xfId="6" applyNumberFormat="1" applyFont="1" applyFill="1" applyBorder="1" applyAlignment="1">
      <alignment horizontal="center" vertical="center"/>
    </xf>
    <xf numFmtId="164" fontId="21" fillId="2" borderId="18" xfId="6" applyNumberFormat="1" applyFont="1" applyFill="1" applyBorder="1" applyAlignment="1">
      <alignment horizontal="center" vertical="center"/>
    </xf>
    <xf numFmtId="166" fontId="12" fillId="2" borderId="0" xfId="6" applyNumberFormat="1" applyFont="1" applyFill="1" applyBorder="1" applyAlignment="1">
      <alignment vertical="center"/>
    </xf>
    <xf numFmtId="164" fontId="4" fillId="2" borderId="617" xfId="6" applyNumberFormat="1" applyFont="1" applyFill="1" applyBorder="1" applyAlignment="1">
      <alignment vertical="center"/>
    </xf>
    <xf numFmtId="164" fontId="4" fillId="2" borderId="618" xfId="6" applyNumberFormat="1" applyFont="1" applyFill="1" applyBorder="1" applyAlignment="1">
      <alignment vertical="center"/>
    </xf>
    <xf numFmtId="164" fontId="4" fillId="2" borderId="619" xfId="6" applyNumberFormat="1" applyFont="1" applyFill="1" applyBorder="1" applyAlignment="1">
      <alignment vertical="center"/>
    </xf>
    <xf numFmtId="164" fontId="12" fillId="2" borderId="343" xfId="6" applyNumberFormat="1" applyFont="1" applyFill="1" applyBorder="1" applyAlignment="1">
      <alignment horizontal="center" vertical="center"/>
    </xf>
    <xf numFmtId="167" fontId="12" fillId="2" borderId="15" xfId="6" applyNumberFormat="1" applyFont="1" applyFill="1" applyBorder="1" applyAlignment="1">
      <alignment horizontal="center" vertical="center"/>
    </xf>
    <xf numFmtId="164" fontId="12" fillId="2" borderId="15" xfId="6" applyNumberFormat="1" applyFont="1" applyFill="1" applyBorder="1" applyAlignment="1">
      <alignment vertical="center"/>
    </xf>
    <xf numFmtId="166" fontId="12" fillId="2" borderId="15" xfId="6" applyNumberFormat="1" applyFont="1" applyFill="1" applyBorder="1" applyAlignment="1">
      <alignment vertical="center"/>
    </xf>
    <xf numFmtId="164" fontId="4" fillId="2" borderId="341" xfId="6" applyNumberFormat="1" applyFont="1" applyFill="1" applyBorder="1" applyAlignment="1">
      <alignment horizontal="center" vertical="center"/>
    </xf>
    <xf numFmtId="164" fontId="4" fillId="2" borderId="620" xfId="6" applyNumberFormat="1" applyFont="1" applyFill="1" applyBorder="1" applyAlignment="1">
      <alignment vertical="center"/>
    </xf>
    <xf numFmtId="164" fontId="4" fillId="2" borderId="342" xfId="6" applyNumberFormat="1" applyFont="1" applyFill="1" applyBorder="1" applyAlignment="1">
      <alignment vertical="center"/>
    </xf>
    <xf numFmtId="3" fontId="4" fillId="2" borderId="15" xfId="6" applyNumberFormat="1" applyFont="1" applyFill="1" applyBorder="1" applyAlignment="1">
      <alignment vertical="center"/>
    </xf>
    <xf numFmtId="164" fontId="4" fillId="2" borderId="18" xfId="6" applyNumberFormat="1" applyFont="1" applyFill="1" applyBorder="1" applyAlignment="1">
      <alignment vertical="center"/>
    </xf>
    <xf numFmtId="167" fontId="4" fillId="2" borderId="15" xfId="6" applyNumberFormat="1" applyFont="1" applyFill="1" applyBorder="1" applyAlignment="1">
      <alignment vertical="center"/>
    </xf>
    <xf numFmtId="167" fontId="4" fillId="2" borderId="15" xfId="6" applyNumberFormat="1" applyFont="1" applyFill="1" applyBorder="1" applyAlignment="1">
      <alignment horizontal="center" vertical="center"/>
    </xf>
    <xf numFmtId="167" fontId="70" fillId="2" borderId="15" xfId="6" applyNumberFormat="1" applyFont="1" applyFill="1" applyBorder="1" applyAlignment="1">
      <alignment horizontal="center" vertical="center"/>
    </xf>
    <xf numFmtId="164" fontId="70" fillId="2" borderId="15" xfId="6" applyNumberFormat="1" applyFont="1" applyFill="1" applyBorder="1" applyAlignment="1">
      <alignment vertical="center"/>
    </xf>
    <xf numFmtId="164" fontId="12" fillId="10" borderId="15" xfId="6" applyNumberFormat="1" applyFont="1" applyFill="1" applyBorder="1" applyAlignment="1">
      <alignment vertical="center"/>
    </xf>
    <xf numFmtId="164" fontId="12" fillId="2" borderId="14" xfId="6" applyNumberFormat="1" applyFont="1" applyFill="1" applyBorder="1" applyAlignment="1">
      <alignment vertical="center"/>
    </xf>
    <xf numFmtId="9" fontId="12" fillId="2" borderId="342" xfId="2" applyFont="1" applyFill="1" applyBorder="1" applyAlignment="1">
      <alignment vertical="center"/>
    </xf>
    <xf numFmtId="164" fontId="12" fillId="2" borderId="15" xfId="6" applyNumberFormat="1" applyFont="1" applyFill="1" applyBorder="1" applyAlignment="1">
      <alignment horizontal="center" vertical="center"/>
    </xf>
    <xf numFmtId="164" fontId="12" fillId="2" borderId="10" xfId="6" applyNumberFormat="1" applyFont="1" applyFill="1" applyBorder="1" applyAlignment="1">
      <alignment horizontal="center" vertical="center"/>
    </xf>
    <xf numFmtId="165" fontId="12" fillId="2" borderId="0" xfId="6" applyNumberFormat="1" applyFont="1" applyFill="1" applyAlignment="1">
      <alignment vertical="center"/>
    </xf>
    <xf numFmtId="164" fontId="12" fillId="2" borderId="342" xfId="6" applyNumberFormat="1" applyFont="1" applyFill="1" applyBorder="1" applyAlignment="1">
      <alignment horizontal="right" vertical="center"/>
    </xf>
    <xf numFmtId="164" fontId="12" fillId="10" borderId="0" xfId="6" applyNumberFormat="1" applyFont="1" applyFill="1" applyAlignment="1">
      <alignment vertical="center"/>
    </xf>
    <xf numFmtId="164" fontId="12" fillId="2" borderId="342" xfId="6" applyNumberFormat="1" applyFont="1" applyFill="1" applyBorder="1" applyAlignment="1">
      <alignment vertical="center"/>
    </xf>
    <xf numFmtId="164" fontId="12" fillId="2" borderId="341" xfId="6" applyNumberFormat="1" applyFont="1" applyFill="1" applyBorder="1" applyAlignment="1">
      <alignment vertical="center"/>
    </xf>
    <xf numFmtId="164" fontId="12" fillId="2" borderId="621" xfId="6" applyNumberFormat="1" applyFont="1" applyFill="1" applyBorder="1" applyAlignment="1">
      <alignment horizontal="center" vertical="center"/>
    </xf>
    <xf numFmtId="0" fontId="3" fillId="2" borderId="622" xfId="0" applyFont="1" applyFill="1" applyBorder="1" applyAlignment="1">
      <alignment vertical="center"/>
    </xf>
    <xf numFmtId="164" fontId="12" fillId="2" borderId="367" xfId="6" applyNumberFormat="1" applyFont="1" applyFill="1" applyBorder="1" applyAlignment="1">
      <alignment horizontal="center" vertical="center"/>
    </xf>
    <xf numFmtId="164" fontId="13" fillId="2" borderId="367" xfId="6" applyNumberFormat="1" applyFont="1" applyFill="1" applyBorder="1" applyAlignment="1">
      <alignment horizontal="center" vertical="center"/>
    </xf>
    <xf numFmtId="164" fontId="12" fillId="2" borderId="368" xfId="6" applyNumberFormat="1" applyFont="1" applyFill="1" applyBorder="1" applyAlignment="1">
      <alignment horizontal="center" vertical="center"/>
    </xf>
    <xf numFmtId="164" fontId="12" fillId="2" borderId="623" xfId="6" applyNumberFormat="1" applyFont="1" applyFill="1" applyBorder="1" applyAlignment="1">
      <alignment horizontal="center" vertical="center"/>
    </xf>
    <xf numFmtId="164" fontId="12" fillId="2" borderId="624" xfId="6" applyNumberFormat="1" applyFont="1" applyFill="1" applyBorder="1" applyAlignment="1">
      <alignment vertical="center"/>
    </xf>
    <xf numFmtId="9" fontId="12" fillId="2" borderId="624" xfId="2" applyFont="1" applyFill="1" applyBorder="1" applyAlignment="1">
      <alignment vertical="center"/>
    </xf>
    <xf numFmtId="164" fontId="12" fillId="2" borderId="624" xfId="6" applyNumberFormat="1" applyFont="1" applyFill="1" applyBorder="1" applyAlignment="1">
      <alignment horizontal="center" vertical="center"/>
    </xf>
    <xf numFmtId="164" fontId="12" fillId="2" borderId="625" xfId="6" applyNumberFormat="1" applyFont="1" applyFill="1" applyBorder="1" applyAlignment="1">
      <alignment vertical="center"/>
    </xf>
    <xf numFmtId="164" fontId="12" fillId="2" borderId="623" xfId="6" applyNumberFormat="1" applyFont="1" applyFill="1" applyBorder="1" applyAlignment="1">
      <alignment vertical="center"/>
    </xf>
    <xf numFmtId="9" fontId="12" fillId="2" borderId="624" xfId="2" applyFont="1" applyFill="1" applyBorder="1" applyAlignment="1">
      <alignment horizontal="center" vertical="center"/>
    </xf>
    <xf numFmtId="164" fontId="77" fillId="2" borderId="624" xfId="6" applyNumberFormat="1" applyFont="1" applyFill="1" applyBorder="1" applyAlignment="1">
      <alignment vertical="center"/>
    </xf>
    <xf numFmtId="9" fontId="77" fillId="2" borderId="624" xfId="2" applyFont="1" applyFill="1" applyBorder="1" applyAlignment="1">
      <alignment vertical="center"/>
    </xf>
    <xf numFmtId="167" fontId="12" fillId="2" borderId="624" xfId="2" applyNumberFormat="1" applyFont="1" applyFill="1" applyBorder="1" applyAlignment="1">
      <alignment horizontal="center" vertical="center"/>
    </xf>
    <xf numFmtId="167" fontId="77" fillId="2" borderId="624" xfId="2" applyNumberFormat="1" applyFont="1" applyFill="1" applyBorder="1" applyAlignment="1">
      <alignment horizontal="center" vertical="center"/>
    </xf>
    <xf numFmtId="9" fontId="77" fillId="2" borderId="624" xfId="2" applyFont="1" applyFill="1" applyBorder="1" applyAlignment="1">
      <alignment horizontal="center" vertical="center"/>
    </xf>
    <xf numFmtId="166" fontId="12" fillId="2" borderId="624" xfId="6" applyFont="1" applyFill="1" applyBorder="1" applyAlignment="1">
      <alignment vertical="center"/>
    </xf>
    <xf numFmtId="164" fontId="4" fillId="2" borderId="624" xfId="6" applyNumberFormat="1" applyFont="1" applyFill="1" applyBorder="1" applyAlignment="1">
      <alignment horizontal="center" vertical="center"/>
    </xf>
    <xf numFmtId="164" fontId="4" fillId="2" borderId="624" xfId="6" applyNumberFormat="1" applyFont="1" applyFill="1" applyBorder="1" applyAlignment="1">
      <alignment vertical="center"/>
    </xf>
    <xf numFmtId="9" fontId="12" fillId="2" borderId="626" xfId="2" applyFont="1" applyFill="1" applyBorder="1" applyAlignment="1">
      <alignment horizontal="center" vertical="center"/>
    </xf>
    <xf numFmtId="164" fontId="12" fillId="2" borderId="627" xfId="6" applyNumberFormat="1" applyFont="1" applyFill="1" applyBorder="1" applyAlignment="1">
      <alignment vertical="center"/>
    </xf>
    <xf numFmtId="164" fontId="12" fillId="2" borderId="628" xfId="6" applyNumberFormat="1" applyFont="1" applyFill="1" applyBorder="1" applyAlignment="1">
      <alignment horizontal="center" vertical="center"/>
    </xf>
    <xf numFmtId="164" fontId="12" fillId="2" borderId="629" xfId="6" applyNumberFormat="1" applyFont="1" applyFill="1" applyBorder="1" applyAlignment="1">
      <alignment vertical="center"/>
    </xf>
    <xf numFmtId="164" fontId="12" fillId="2" borderId="630" xfId="6" applyNumberFormat="1" applyFont="1" applyFill="1" applyBorder="1" applyAlignment="1">
      <alignment vertical="center"/>
    </xf>
    <xf numFmtId="164" fontId="12" fillId="2" borderId="631" xfId="6" applyNumberFormat="1" applyFont="1" applyFill="1" applyBorder="1" applyAlignment="1">
      <alignment vertical="center"/>
    </xf>
    <xf numFmtId="164" fontId="12" fillId="2" borderId="50" xfId="6" applyNumberFormat="1" applyFont="1" applyFill="1" applyBorder="1" applyAlignment="1">
      <alignment vertical="center"/>
    </xf>
    <xf numFmtId="164" fontId="4" fillId="2" borderId="47" xfId="6" applyNumberFormat="1" applyFont="1" applyFill="1" applyBorder="1" applyAlignment="1">
      <alignment vertical="center"/>
    </xf>
    <xf numFmtId="164" fontId="4" fillId="2" borderId="49" xfId="6" applyNumberFormat="1" applyFont="1" applyFill="1" applyBorder="1" applyAlignment="1">
      <alignment vertical="center"/>
    </xf>
    <xf numFmtId="164" fontId="4" fillId="2" borderId="44" xfId="6" applyNumberFormat="1" applyFont="1" applyFill="1" applyBorder="1" applyAlignment="1">
      <alignment vertical="center"/>
    </xf>
    <xf numFmtId="164" fontId="4" fillId="2" borderId="325" xfId="6" applyNumberFormat="1" applyFont="1" applyFill="1" applyBorder="1" applyAlignment="1">
      <alignment vertical="center"/>
    </xf>
    <xf numFmtId="164" fontId="4" fillId="2" borderId="148" xfId="6" applyNumberFormat="1" applyFont="1" applyFill="1" applyBorder="1" applyAlignment="1">
      <alignment vertical="center"/>
    </xf>
    <xf numFmtId="164" fontId="12" fillId="2" borderId="367" xfId="6" applyNumberFormat="1" applyFont="1" applyFill="1" applyBorder="1" applyAlignment="1">
      <alignment vertical="center"/>
    </xf>
    <xf numFmtId="166" fontId="12" fillId="2" borderId="48" xfId="6" applyNumberFormat="1" applyFont="1" applyFill="1" applyBorder="1" applyAlignment="1">
      <alignment vertical="center"/>
    </xf>
    <xf numFmtId="164" fontId="12" fillId="2" borderId="49" xfId="6" applyNumberFormat="1" applyFont="1" applyFill="1" applyBorder="1" applyAlignment="1">
      <alignment vertical="center"/>
    </xf>
    <xf numFmtId="164" fontId="12" fillId="2" borderId="632" xfId="6" applyNumberFormat="1" applyFont="1" applyFill="1" applyBorder="1" applyAlignment="1">
      <alignment horizontal="center" vertical="center"/>
    </xf>
    <xf numFmtId="9" fontId="12" fillId="2" borderId="367" xfId="2" applyFont="1" applyFill="1" applyBorder="1" applyAlignment="1">
      <alignment horizontal="center" vertical="center"/>
    </xf>
    <xf numFmtId="164" fontId="12" fillId="2" borderId="368" xfId="6" applyNumberFormat="1" applyFont="1" applyFill="1" applyBorder="1" applyAlignment="1">
      <alignment vertical="center"/>
    </xf>
    <xf numFmtId="167" fontId="12" fillId="2" borderId="367" xfId="6" applyNumberFormat="1" applyFont="1" applyFill="1" applyBorder="1" applyAlignment="1">
      <alignment horizontal="center" vertical="center"/>
    </xf>
    <xf numFmtId="164" fontId="12" fillId="2" borderId="633" xfId="6" applyNumberFormat="1" applyFont="1" applyFill="1" applyBorder="1" applyAlignment="1">
      <alignment vertical="center"/>
    </xf>
    <xf numFmtId="167" fontId="12" fillId="2" borderId="634" xfId="6" applyNumberFormat="1" applyFont="1" applyFill="1" applyBorder="1" applyAlignment="1">
      <alignment horizontal="center" vertical="center"/>
    </xf>
    <xf numFmtId="164" fontId="4" fillId="2" borderId="59" xfId="6" applyNumberFormat="1" applyFont="1" applyFill="1" applyBorder="1" applyAlignment="1">
      <alignment vertical="center"/>
    </xf>
    <xf numFmtId="3" fontId="4" fillId="2" borderId="40" xfId="6" applyNumberFormat="1" applyFont="1" applyFill="1" applyBorder="1" applyAlignment="1">
      <alignment vertical="center"/>
    </xf>
    <xf numFmtId="167" fontId="4" fillId="2" borderId="206" xfId="6" applyNumberFormat="1" applyFont="1" applyFill="1" applyBorder="1" applyAlignment="1">
      <alignment vertical="center"/>
    </xf>
    <xf numFmtId="164" fontId="4" fillId="2" borderId="142" xfId="6" applyNumberFormat="1" applyFont="1" applyFill="1" applyBorder="1" applyAlignment="1">
      <alignment vertical="center"/>
    </xf>
    <xf numFmtId="167" fontId="4" fillId="2" borderId="205" xfId="6" applyNumberFormat="1" applyFont="1" applyFill="1" applyBorder="1" applyAlignment="1">
      <alignment horizontal="center" vertical="center"/>
    </xf>
    <xf numFmtId="167" fontId="70" fillId="2" borderId="205" xfId="6" applyNumberFormat="1" applyFont="1" applyFill="1" applyBorder="1" applyAlignment="1">
      <alignment horizontal="center" vertical="center"/>
    </xf>
    <xf numFmtId="164" fontId="70" fillId="2" borderId="103" xfId="6" applyNumberFormat="1" applyFont="1" applyFill="1" applyBorder="1" applyAlignment="1">
      <alignment vertical="center"/>
    </xf>
    <xf numFmtId="164" fontId="70" fillId="2" borderId="142" xfId="6" applyNumberFormat="1" applyFont="1" applyFill="1" applyBorder="1" applyAlignment="1">
      <alignment vertical="center"/>
    </xf>
    <xf numFmtId="164" fontId="4" fillId="2" borderId="69" xfId="6" applyNumberFormat="1" applyFont="1" applyFill="1" applyBorder="1" applyAlignment="1">
      <alignment vertical="center"/>
    </xf>
    <xf numFmtId="164" fontId="12" fillId="2" borderId="197" xfId="6" applyNumberFormat="1" applyFont="1" applyFill="1" applyBorder="1" applyAlignment="1">
      <alignment vertical="center"/>
    </xf>
    <xf numFmtId="164" fontId="12" fillId="2" borderId="631" xfId="6" applyNumberFormat="1" applyFont="1" applyFill="1" applyBorder="1" applyAlignment="1">
      <alignment horizontal="center" vertical="center"/>
    </xf>
    <xf numFmtId="164" fontId="12" fillId="2" borderId="635" xfId="6" applyNumberFormat="1" applyFont="1" applyFill="1" applyBorder="1" applyAlignment="1">
      <alignment horizontal="center" vertical="center"/>
    </xf>
    <xf numFmtId="164" fontId="12" fillId="2" borderId="636" xfId="6" applyNumberFormat="1" applyFont="1" applyFill="1" applyBorder="1" applyAlignment="1">
      <alignment vertical="center"/>
    </xf>
    <xf numFmtId="164" fontId="12" fillId="2" borderId="637" xfId="6" applyNumberFormat="1" applyFont="1" applyFill="1" applyBorder="1" applyAlignment="1">
      <alignment vertical="center"/>
    </xf>
    <xf numFmtId="164" fontId="12" fillId="2" borderId="638" xfId="6" applyNumberFormat="1" applyFont="1" applyFill="1" applyBorder="1" applyAlignment="1">
      <alignment horizontal="center" vertical="center"/>
    </xf>
    <xf numFmtId="164" fontId="12" fillId="2" borderId="639" xfId="6" applyNumberFormat="1" applyFont="1" applyFill="1" applyBorder="1" applyAlignment="1">
      <alignment vertical="center"/>
    </xf>
    <xf numFmtId="164" fontId="12" fillId="2" borderId="148" xfId="6" applyNumberFormat="1" applyFont="1" applyFill="1" applyBorder="1" applyAlignment="1">
      <alignment vertical="center"/>
    </xf>
    <xf numFmtId="49" fontId="12" fillId="2" borderId="137" xfId="6" applyNumberFormat="1" applyFont="1" applyFill="1" applyBorder="1" applyAlignment="1">
      <alignment horizontal="center" vertical="center"/>
    </xf>
    <xf numFmtId="164" fontId="4" fillId="2" borderId="102" xfId="6" applyNumberFormat="1" applyFont="1" applyFill="1" applyBorder="1" applyAlignment="1">
      <alignment vertical="center"/>
    </xf>
    <xf numFmtId="164" fontId="12" fillId="2" borderId="47" xfId="6" applyNumberFormat="1" applyFont="1" applyFill="1" applyBorder="1" applyAlignment="1">
      <alignment vertical="center"/>
    </xf>
    <xf numFmtId="164" fontId="12" fillId="2" borderId="640" xfId="6" applyNumberFormat="1" applyFont="1" applyFill="1" applyBorder="1" applyAlignment="1">
      <alignment horizontal="center" vertical="center"/>
    </xf>
    <xf numFmtId="49" fontId="4" fillId="2" borderId="137" xfId="6" applyNumberFormat="1" applyFont="1" applyFill="1" applyBorder="1" applyAlignment="1">
      <alignment horizontal="center" vertical="center"/>
    </xf>
    <xf numFmtId="164" fontId="4" fillId="2" borderId="149" xfId="6" applyNumberFormat="1" applyFont="1" applyFill="1" applyBorder="1" applyAlignment="1">
      <alignment vertical="center"/>
    </xf>
    <xf numFmtId="0" fontId="12" fillId="2" borderId="440" xfId="0" applyFont="1" applyFill="1" applyBorder="1" applyAlignment="1">
      <alignment horizontal="center" vertical="center"/>
    </xf>
    <xf numFmtId="0" fontId="3" fillId="2" borderId="641" xfId="0" applyFont="1" applyFill="1" applyBorder="1" applyAlignment="1">
      <alignment vertical="center"/>
    </xf>
    <xf numFmtId="164" fontId="12" fillId="2" borderId="438" xfId="6" applyNumberFormat="1" applyFont="1" applyFill="1" applyBorder="1" applyAlignment="1">
      <alignment horizontal="center" vertical="center"/>
    </xf>
    <xf numFmtId="164" fontId="13" fillId="2" borderId="438" xfId="6" applyNumberFormat="1" applyFont="1" applyFill="1" applyBorder="1" applyAlignment="1">
      <alignment horizontal="center" vertical="center"/>
    </xf>
    <xf numFmtId="164" fontId="12" fillId="2" borderId="441" xfId="6" applyNumberFormat="1" applyFont="1" applyFill="1" applyBorder="1" applyAlignment="1">
      <alignment horizontal="center" vertical="center"/>
    </xf>
    <xf numFmtId="164" fontId="12" fillId="2" borderId="456" xfId="6" applyNumberFormat="1" applyFont="1" applyFill="1" applyBorder="1" applyAlignment="1">
      <alignment horizontal="center" vertical="center"/>
    </xf>
    <xf numFmtId="164" fontId="12" fillId="2" borderId="439" xfId="6" applyNumberFormat="1" applyFont="1" applyFill="1" applyBorder="1" applyAlignment="1">
      <alignment vertical="center"/>
    </xf>
    <xf numFmtId="9" fontId="12" fillId="2" borderId="439" xfId="2" applyFont="1" applyFill="1" applyBorder="1" applyAlignment="1">
      <alignment vertical="center"/>
    </xf>
    <xf numFmtId="164" fontId="12" fillId="2" borderId="439" xfId="6" applyNumberFormat="1" applyFont="1" applyFill="1" applyBorder="1" applyAlignment="1">
      <alignment horizontal="center" vertical="center"/>
    </xf>
    <xf numFmtId="164" fontId="12" fillId="2" borderId="642" xfId="6" applyNumberFormat="1" applyFont="1" applyFill="1" applyBorder="1" applyAlignment="1">
      <alignment vertical="center"/>
    </xf>
    <xf numFmtId="164" fontId="12" fillId="2" borderId="456" xfId="6" applyNumberFormat="1" applyFont="1" applyFill="1" applyBorder="1" applyAlignment="1">
      <alignment vertical="center"/>
    </xf>
    <xf numFmtId="9" fontId="12" fillId="2" borderId="439" xfId="2" applyFont="1" applyFill="1" applyBorder="1" applyAlignment="1">
      <alignment horizontal="center" vertical="center"/>
    </xf>
    <xf numFmtId="164" fontId="77" fillId="2" borderId="439" xfId="6" applyNumberFormat="1" applyFont="1" applyFill="1" applyBorder="1" applyAlignment="1">
      <alignment vertical="center"/>
    </xf>
    <xf numFmtId="9" fontId="77" fillId="2" borderId="439" xfId="2" applyFont="1" applyFill="1" applyBorder="1" applyAlignment="1">
      <alignment vertical="center"/>
    </xf>
    <xf numFmtId="166" fontId="12" fillId="2" borderId="439" xfId="6" applyNumberFormat="1" applyFont="1" applyFill="1" applyBorder="1" applyAlignment="1">
      <alignment vertical="center"/>
    </xf>
    <xf numFmtId="167" fontId="12" fillId="2" borderId="439" xfId="2" applyNumberFormat="1" applyFont="1" applyFill="1" applyBorder="1" applyAlignment="1">
      <alignment horizontal="center" vertical="center"/>
    </xf>
    <xf numFmtId="167" fontId="77" fillId="2" borderId="439" xfId="2" applyNumberFormat="1" applyFont="1" applyFill="1" applyBorder="1" applyAlignment="1">
      <alignment horizontal="center" vertical="center"/>
    </xf>
    <xf numFmtId="9" fontId="77" fillId="2" borderId="439" xfId="2" applyFont="1" applyFill="1" applyBorder="1" applyAlignment="1">
      <alignment horizontal="center" vertical="center"/>
    </xf>
    <xf numFmtId="9" fontId="12" fillId="2" borderId="643" xfId="2" applyFont="1" applyFill="1" applyBorder="1" applyAlignment="1">
      <alignment horizontal="center" vertical="center"/>
    </xf>
    <xf numFmtId="164" fontId="12" fillId="2" borderId="644" xfId="6" applyNumberFormat="1" applyFont="1" applyFill="1" applyBorder="1" applyAlignment="1">
      <alignment vertical="center"/>
    </xf>
    <xf numFmtId="164" fontId="12" fillId="2" borderId="645" xfId="6" applyNumberFormat="1" applyFont="1" applyFill="1" applyBorder="1" applyAlignment="1">
      <alignment horizontal="center" vertical="center"/>
    </xf>
    <xf numFmtId="164" fontId="12" fillId="2" borderId="643" xfId="6" applyNumberFormat="1" applyFont="1" applyFill="1" applyBorder="1" applyAlignment="1">
      <alignment vertical="center"/>
    </xf>
    <xf numFmtId="164" fontId="12" fillId="2" borderId="646" xfId="6" applyNumberFormat="1" applyFont="1" applyFill="1" applyBorder="1" applyAlignment="1">
      <alignment vertical="center"/>
    </xf>
    <xf numFmtId="164" fontId="12" fillId="2" borderId="62" xfId="6" applyNumberFormat="1" applyFont="1" applyFill="1" applyBorder="1" applyAlignment="1">
      <alignment vertical="center"/>
    </xf>
    <xf numFmtId="164" fontId="12" fillId="2" borderId="106" xfId="6" applyNumberFormat="1" applyFont="1" applyFill="1" applyBorder="1" applyAlignment="1">
      <alignment vertical="center"/>
    </xf>
    <xf numFmtId="164" fontId="12" fillId="2" borderId="118" xfId="6" applyNumberFormat="1" applyFont="1" applyFill="1" applyBorder="1" applyAlignment="1">
      <alignment vertical="center"/>
    </xf>
    <xf numFmtId="164" fontId="12" fillId="2" borderId="440" xfId="6" applyNumberFormat="1" applyFont="1" applyFill="1" applyBorder="1" applyAlignment="1">
      <alignment horizontal="center" vertical="center"/>
    </xf>
    <xf numFmtId="164" fontId="12" fillId="2" borderId="438" xfId="6" applyNumberFormat="1" applyFont="1" applyFill="1" applyBorder="1" applyAlignment="1">
      <alignment vertical="center"/>
    </xf>
    <xf numFmtId="164" fontId="12" fillId="2" borderId="439" xfId="0" applyNumberFormat="1" applyFont="1" applyFill="1" applyBorder="1" applyAlignment="1">
      <alignment vertical="center"/>
    </xf>
    <xf numFmtId="164" fontId="12" fillId="2" borderId="58" xfId="6" applyNumberFormat="1" applyFont="1" applyFill="1" applyBorder="1" applyAlignment="1">
      <alignment horizontal="center" vertical="center"/>
    </xf>
    <xf numFmtId="164" fontId="12" fillId="2" borderId="446" xfId="0" applyNumberFormat="1" applyFont="1" applyFill="1" applyBorder="1" applyAlignment="1">
      <alignment vertical="center"/>
    </xf>
    <xf numFmtId="164" fontId="12" fillId="2" borderId="442" xfId="6" applyNumberFormat="1" applyFont="1" applyFill="1" applyBorder="1" applyAlignment="1">
      <alignment horizontal="center" vertical="center"/>
    </xf>
    <xf numFmtId="9" fontId="12" fillId="2" borderId="438" xfId="2" applyFont="1" applyFill="1" applyBorder="1" applyAlignment="1">
      <alignment horizontal="center" vertical="center"/>
    </xf>
    <xf numFmtId="164" fontId="12" fillId="2" borderId="441" xfId="6" applyNumberFormat="1" applyFont="1" applyFill="1" applyBorder="1" applyAlignment="1">
      <alignment vertical="center"/>
    </xf>
    <xf numFmtId="167" fontId="12" fillId="2" borderId="438" xfId="6" applyNumberFormat="1" applyFont="1" applyFill="1" applyBorder="1" applyAlignment="1">
      <alignment horizontal="center" vertical="center"/>
    </xf>
    <xf numFmtId="164" fontId="12" fillId="2" borderId="647" xfId="6" applyNumberFormat="1" applyFont="1" applyFill="1" applyBorder="1" applyAlignment="1">
      <alignment vertical="center"/>
    </xf>
    <xf numFmtId="167" fontId="12" fillId="2" borderId="648" xfId="6" applyNumberFormat="1" applyFont="1" applyFill="1" applyBorder="1" applyAlignment="1">
      <alignment horizontal="center" vertical="center"/>
    </xf>
    <xf numFmtId="3" fontId="12" fillId="2" borderId="41" xfId="6" applyNumberFormat="1" applyFont="1" applyFill="1" applyBorder="1" applyAlignment="1">
      <alignment vertical="center"/>
    </xf>
    <xf numFmtId="167" fontId="12" fillId="2" borderId="211" xfId="6" applyNumberFormat="1" applyFont="1" applyFill="1" applyBorder="1" applyAlignment="1">
      <alignment vertical="center"/>
    </xf>
    <xf numFmtId="164" fontId="12" fillId="0" borderId="56" xfId="6" applyNumberFormat="1" applyFont="1" applyFill="1" applyBorder="1" applyAlignment="1">
      <alignment vertical="center"/>
    </xf>
    <xf numFmtId="167" fontId="12" fillId="2" borderId="106" xfId="6" applyNumberFormat="1" applyFont="1" applyFill="1" applyBorder="1" applyAlignment="1">
      <alignment horizontal="center" vertical="center"/>
    </xf>
    <xf numFmtId="167" fontId="70" fillId="2" borderId="106" xfId="6" applyNumberFormat="1" applyFont="1" applyFill="1" applyBorder="1" applyAlignment="1">
      <alignment horizontal="center" vertical="center"/>
    </xf>
    <xf numFmtId="164" fontId="70" fillId="2" borderId="56" xfId="6" applyNumberFormat="1" applyFont="1" applyFill="1" applyBorder="1" applyAlignment="1">
      <alignment vertical="center"/>
    </xf>
    <xf numFmtId="164" fontId="70" fillId="2" borderId="118" xfId="6" applyNumberFormat="1" applyFont="1" applyFill="1" applyBorder="1" applyAlignment="1">
      <alignment vertical="center"/>
    </xf>
    <xf numFmtId="164" fontId="12" fillId="2" borderId="438" xfId="0" applyNumberFormat="1" applyFont="1" applyFill="1" applyBorder="1" applyAlignment="1">
      <alignment vertical="center"/>
    </xf>
    <xf numFmtId="164" fontId="12" fillId="2" borderId="57" xfId="6" applyNumberFormat="1" applyFont="1" applyFill="1" applyBorder="1" applyAlignment="1">
      <alignment vertical="center"/>
    </xf>
    <xf numFmtId="164" fontId="12" fillId="2" borderId="646" xfId="6" applyNumberFormat="1" applyFont="1" applyFill="1" applyBorder="1" applyAlignment="1">
      <alignment horizontal="center" vertical="center"/>
    </xf>
    <xf numFmtId="164" fontId="12" fillId="2" borderId="211" xfId="0" applyNumberFormat="1" applyFont="1" applyFill="1" applyBorder="1" applyAlignment="1">
      <alignment vertical="center"/>
    </xf>
    <xf numFmtId="164" fontId="12" fillId="2" borderId="262" xfId="6" applyNumberFormat="1" applyFont="1" applyFill="1" applyBorder="1" applyAlignment="1">
      <alignment horizontal="center" vertical="center"/>
    </xf>
    <xf numFmtId="164" fontId="12" fillId="2" borderId="211" xfId="6" applyNumberFormat="1" applyFont="1" applyFill="1" applyBorder="1" applyAlignment="1">
      <alignment vertical="center"/>
    </xf>
    <xf numFmtId="49" fontId="12" fillId="2" borderId="117" xfId="6" applyNumberFormat="1" applyFont="1" applyFill="1" applyBorder="1" applyAlignment="1">
      <alignment horizontal="center" vertical="center"/>
    </xf>
    <xf numFmtId="164" fontId="3" fillId="2" borderId="37" xfId="6" applyNumberFormat="1" applyFont="1" applyFill="1" applyBorder="1" applyAlignment="1">
      <alignment vertical="center"/>
    </xf>
    <xf numFmtId="49" fontId="4" fillId="2" borderId="117" xfId="6" applyNumberFormat="1" applyFont="1" applyFill="1" applyBorder="1" applyAlignment="1">
      <alignment horizontal="center" vertical="center"/>
    </xf>
    <xf numFmtId="164" fontId="12" fillId="2" borderId="66" xfId="0" applyNumberFormat="1" applyFont="1" applyFill="1" applyBorder="1" applyAlignment="1">
      <alignment vertical="center"/>
    </xf>
    <xf numFmtId="164" fontId="12" fillId="2" borderId="115" xfId="0" applyNumberFormat="1" applyFont="1" applyFill="1" applyBorder="1" applyAlignment="1">
      <alignment vertical="center"/>
    </xf>
    <xf numFmtId="0" fontId="0" fillId="2" borderId="641" xfId="0" applyFont="1" applyFill="1" applyBorder="1" applyAlignment="1">
      <alignment vertical="center"/>
    </xf>
    <xf numFmtId="164" fontId="19" fillId="2" borderId="37" xfId="6" applyNumberFormat="1" applyFont="1" applyFill="1" applyBorder="1" applyAlignment="1">
      <alignment vertical="center"/>
    </xf>
    <xf numFmtId="164" fontId="70" fillId="2" borderId="37" xfId="6" applyNumberFormat="1" applyFont="1" applyFill="1" applyBorder="1" applyAlignment="1">
      <alignment vertical="center"/>
    </xf>
    <xf numFmtId="164" fontId="12" fillId="2" borderId="41" xfId="0" applyNumberFormat="1" applyFont="1" applyFill="1" applyBorder="1" applyAlignment="1">
      <alignment vertical="center"/>
    </xf>
    <xf numFmtId="164" fontId="4" fillId="2" borderId="439" xfId="6" applyNumberFormat="1" applyFont="1" applyFill="1" applyBorder="1" applyAlignment="1">
      <alignment horizontal="center" vertical="center"/>
    </xf>
    <xf numFmtId="164" fontId="4" fillId="2" borderId="118" xfId="6" applyNumberFormat="1" applyFont="1" applyFill="1" applyBorder="1" applyAlignment="1">
      <alignment vertical="center"/>
    </xf>
    <xf numFmtId="3" fontId="4" fillId="2" borderId="41" xfId="6" applyNumberFormat="1" applyFont="1" applyFill="1" applyBorder="1" applyAlignment="1">
      <alignment vertical="center"/>
    </xf>
    <xf numFmtId="167" fontId="4" fillId="2" borderId="211" xfId="6" applyNumberFormat="1" applyFont="1" applyFill="1" applyBorder="1" applyAlignment="1">
      <alignment vertical="center"/>
    </xf>
    <xf numFmtId="0" fontId="4" fillId="2" borderId="641" xfId="0" applyFont="1" applyFill="1" applyBorder="1" applyAlignment="1">
      <alignment vertical="center"/>
    </xf>
    <xf numFmtId="164" fontId="4" fillId="2" borderId="211" xfId="0" applyNumberFormat="1" applyFont="1" applyFill="1" applyBorder="1" applyAlignment="1">
      <alignment vertical="center"/>
    </xf>
    <xf numFmtId="164" fontId="4" fillId="2" borderId="211" xfId="6" applyNumberFormat="1" applyFont="1" applyFill="1" applyBorder="1" applyAlignment="1">
      <alignment vertical="center"/>
    </xf>
    <xf numFmtId="164" fontId="94" fillId="2" borderId="439" xfId="6" applyNumberFormat="1" applyFont="1" applyFill="1" applyBorder="1" applyAlignment="1">
      <alignment vertical="center"/>
    </xf>
    <xf numFmtId="164" fontId="4" fillId="2" borderId="644" xfId="6" applyNumberFormat="1" applyFont="1" applyFill="1" applyBorder="1" applyAlignment="1">
      <alignment vertical="center"/>
    </xf>
    <xf numFmtId="164" fontId="4" fillId="2" borderId="645" xfId="6" applyNumberFormat="1" applyFont="1" applyFill="1" applyBorder="1" applyAlignment="1">
      <alignment horizontal="center" vertical="center"/>
    </xf>
    <xf numFmtId="164" fontId="94" fillId="2" borderId="58" xfId="6" applyNumberFormat="1" applyFont="1" applyFill="1" applyBorder="1" applyAlignment="1">
      <alignment vertical="center"/>
    </xf>
    <xf numFmtId="164" fontId="4" fillId="2" borderId="441" xfId="6" applyNumberFormat="1" applyFont="1" applyFill="1" applyBorder="1" applyAlignment="1">
      <alignment vertical="center"/>
    </xf>
    <xf numFmtId="167" fontId="4" fillId="2" borderId="438" xfId="6" applyNumberFormat="1" applyFont="1" applyFill="1" applyBorder="1" applyAlignment="1">
      <alignment horizontal="center" vertical="center"/>
    </xf>
    <xf numFmtId="164" fontId="4" fillId="4" borderId="67" xfId="6" applyNumberFormat="1" applyFont="1" applyFill="1" applyBorder="1" applyAlignment="1">
      <alignment vertical="center"/>
    </xf>
    <xf numFmtId="164" fontId="94" fillId="2" borderId="438" xfId="6" applyNumberFormat="1" applyFont="1" applyFill="1" applyBorder="1" applyAlignment="1">
      <alignment vertical="center"/>
    </xf>
    <xf numFmtId="3" fontId="4" fillId="2" borderId="57" xfId="6" applyNumberFormat="1" applyFont="1" applyFill="1" applyBorder="1" applyAlignment="1">
      <alignment vertical="center"/>
    </xf>
    <xf numFmtId="164" fontId="94" fillId="2" borderId="37" xfId="6" applyNumberFormat="1" applyFont="1" applyFill="1" applyBorder="1" applyAlignment="1">
      <alignment vertical="center"/>
    </xf>
    <xf numFmtId="0" fontId="4" fillId="2" borderId="649" xfId="0" applyFont="1" applyFill="1" applyBorder="1" applyAlignment="1">
      <alignment vertical="center"/>
    </xf>
    <xf numFmtId="164" fontId="12" fillId="2" borderId="482" xfId="6" applyNumberFormat="1" applyFont="1" applyFill="1" applyBorder="1" applyAlignment="1">
      <alignment horizontal="center" vertical="center"/>
    </xf>
    <xf numFmtId="164" fontId="13" fillId="2" borderId="482" xfId="6" applyNumberFormat="1" applyFont="1" applyFill="1" applyBorder="1" applyAlignment="1">
      <alignment horizontal="center" vertical="center"/>
    </xf>
    <xf numFmtId="164" fontId="12" fillId="2" borderId="501" xfId="6" applyNumberFormat="1" applyFont="1" applyFill="1" applyBorder="1" applyAlignment="1">
      <alignment horizontal="center" vertical="center"/>
    </xf>
    <xf numFmtId="164" fontId="12" fillId="2" borderId="503" xfId="6" applyNumberFormat="1" applyFont="1" applyFill="1" applyBorder="1" applyAlignment="1">
      <alignment horizontal="center" vertical="center"/>
    </xf>
    <xf numFmtId="164" fontId="12" fillId="2" borderId="495" xfId="6" applyNumberFormat="1" applyFont="1" applyFill="1" applyBorder="1" applyAlignment="1">
      <alignment vertical="center"/>
    </xf>
    <xf numFmtId="9" fontId="12" fillId="2" borderId="495" xfId="2" applyFont="1" applyFill="1" applyBorder="1" applyAlignment="1">
      <alignment vertical="center"/>
    </xf>
    <xf numFmtId="164" fontId="12" fillId="2" borderId="495" xfId="6" applyNumberFormat="1" applyFont="1" applyFill="1" applyBorder="1" applyAlignment="1">
      <alignment horizontal="center" vertical="center"/>
    </xf>
    <xf numFmtId="164" fontId="12" fillId="2" borderId="650" xfId="6" applyNumberFormat="1" applyFont="1" applyFill="1" applyBorder="1" applyAlignment="1">
      <alignment vertical="center"/>
    </xf>
    <xf numFmtId="164" fontId="12" fillId="2" borderId="503" xfId="6" applyNumberFormat="1" applyFont="1" applyFill="1" applyBorder="1" applyAlignment="1">
      <alignment vertical="center"/>
    </xf>
    <xf numFmtId="9" fontId="12" fillId="2" borderId="495" xfId="2" applyFont="1" applyFill="1" applyBorder="1" applyAlignment="1">
      <alignment horizontal="center" vertical="center"/>
    </xf>
    <xf numFmtId="164" fontId="77" fillId="2" borderId="495" xfId="6" applyNumberFormat="1" applyFont="1" applyFill="1" applyBorder="1" applyAlignment="1">
      <alignment vertical="center"/>
    </xf>
    <xf numFmtId="9" fontId="77" fillId="2" borderId="495" xfId="2" applyFont="1" applyFill="1" applyBorder="1" applyAlignment="1">
      <alignment vertical="center"/>
    </xf>
    <xf numFmtId="167" fontId="12" fillId="2" borderId="495" xfId="2" applyNumberFormat="1" applyFont="1" applyFill="1" applyBorder="1" applyAlignment="1">
      <alignment horizontal="center" vertical="center"/>
    </xf>
    <xf numFmtId="167" fontId="77" fillId="2" borderId="495" xfId="2" applyNumberFormat="1" applyFont="1" applyFill="1" applyBorder="1" applyAlignment="1">
      <alignment horizontal="center" vertical="center"/>
    </xf>
    <xf numFmtId="9" fontId="77" fillId="2" borderId="495" xfId="2" applyFont="1" applyFill="1" applyBorder="1" applyAlignment="1">
      <alignment horizontal="center" vertical="center"/>
    </xf>
    <xf numFmtId="164" fontId="4" fillId="2" borderId="495" xfId="6" applyNumberFormat="1" applyFont="1" applyFill="1" applyBorder="1" applyAlignment="1">
      <alignment horizontal="center" vertical="center"/>
    </xf>
    <xf numFmtId="9" fontId="12" fillId="2" borderId="651" xfId="2" applyFont="1" applyFill="1" applyBorder="1" applyAlignment="1">
      <alignment horizontal="center" vertical="center"/>
    </xf>
    <xf numFmtId="164" fontId="94" fillId="2" borderId="495" xfId="6" applyNumberFormat="1" applyFont="1" applyFill="1" applyBorder="1" applyAlignment="1">
      <alignment vertical="center"/>
    </xf>
    <xf numFmtId="164" fontId="4" fillId="2" borderId="652" xfId="6" applyNumberFormat="1" applyFont="1" applyFill="1" applyBorder="1" applyAlignment="1">
      <alignment vertical="center"/>
    </xf>
    <xf numFmtId="164" fontId="4" fillId="2" borderId="653" xfId="6" applyNumberFormat="1" applyFont="1" applyFill="1" applyBorder="1" applyAlignment="1">
      <alignment horizontal="center" vertical="center"/>
    </xf>
    <xf numFmtId="164" fontId="12" fillId="2" borderId="651" xfId="6" applyNumberFormat="1" applyFont="1" applyFill="1" applyBorder="1" applyAlignment="1">
      <alignment vertical="center"/>
    </xf>
    <xf numFmtId="164" fontId="94" fillId="2" borderId="60" xfId="6" applyNumberFormat="1" applyFont="1" applyFill="1" applyBorder="1" applyAlignment="1">
      <alignment vertical="center"/>
    </xf>
    <xf numFmtId="164" fontId="4" fillId="2" borderId="73" xfId="6" applyNumberFormat="1" applyFont="1" applyFill="1" applyBorder="1" applyAlignment="1">
      <alignment vertical="center"/>
    </xf>
    <xf numFmtId="164" fontId="4" fillId="2" borderId="196" xfId="6" applyNumberFormat="1" applyFont="1" applyFill="1" applyBorder="1" applyAlignment="1">
      <alignment vertical="center"/>
    </xf>
    <xf numFmtId="164" fontId="4" fillId="2" borderId="54" xfId="6" applyNumberFormat="1" applyFont="1" applyFill="1" applyBorder="1" applyAlignment="1">
      <alignment vertical="center"/>
    </xf>
    <xf numFmtId="164" fontId="12" fillId="2" borderId="654" xfId="6" applyNumberFormat="1" applyFont="1" applyFill="1" applyBorder="1" applyAlignment="1">
      <alignment horizontal="center" vertical="center"/>
    </xf>
    <xf numFmtId="164" fontId="12" fillId="2" borderId="482" xfId="6" applyNumberFormat="1" applyFont="1" applyFill="1" applyBorder="1" applyAlignment="1">
      <alignment vertical="center"/>
    </xf>
    <xf numFmtId="164" fontId="12" fillId="2" borderId="655" xfId="6" applyNumberFormat="1" applyFont="1" applyFill="1" applyBorder="1" applyAlignment="1">
      <alignment vertical="center"/>
    </xf>
    <xf numFmtId="164" fontId="12" fillId="2" borderId="73" xfId="6" applyNumberFormat="1" applyFont="1" applyFill="1" applyBorder="1" applyAlignment="1">
      <alignment vertical="center"/>
    </xf>
    <xf numFmtId="164" fontId="4" fillId="2" borderId="60" xfId="6" applyNumberFormat="1" applyFont="1" applyFill="1" applyBorder="1" applyAlignment="1">
      <alignment horizontal="center" vertical="center"/>
    </xf>
    <xf numFmtId="164" fontId="12" fillId="2" borderId="656" xfId="6" applyNumberFormat="1" applyFont="1" applyFill="1" applyBorder="1" applyAlignment="1">
      <alignment horizontal="center" vertical="center"/>
    </xf>
    <xf numFmtId="9" fontId="12" fillId="2" borderId="482" xfId="2" applyFont="1" applyFill="1" applyBorder="1" applyAlignment="1">
      <alignment horizontal="center" vertical="center"/>
    </xf>
    <xf numFmtId="164" fontId="4" fillId="2" borderId="501" xfId="6" applyNumberFormat="1" applyFont="1" applyFill="1" applyBorder="1" applyAlignment="1">
      <alignment vertical="center"/>
    </xf>
    <xf numFmtId="167" fontId="4" fillId="2" borderId="482" xfId="6" applyNumberFormat="1" applyFont="1" applyFill="1" applyBorder="1" applyAlignment="1">
      <alignment horizontal="center" vertical="center"/>
    </xf>
    <xf numFmtId="164" fontId="12" fillId="2" borderId="657" xfId="6" applyNumberFormat="1" applyFont="1" applyFill="1" applyBorder="1" applyAlignment="1">
      <alignment vertical="center"/>
    </xf>
    <xf numFmtId="3" fontId="4" fillId="2" borderId="72" xfId="6" applyNumberFormat="1" applyFont="1" applyFill="1" applyBorder="1" applyAlignment="1">
      <alignment vertical="center"/>
    </xf>
    <xf numFmtId="167" fontId="4" fillId="2" borderId="88" xfId="6" applyNumberFormat="1" applyFont="1" applyFill="1" applyBorder="1" applyAlignment="1">
      <alignment vertical="center"/>
    </xf>
    <xf numFmtId="167" fontId="70" fillId="2" borderId="196" xfId="6" applyNumberFormat="1" applyFont="1" applyFill="1" applyBorder="1" applyAlignment="1">
      <alignment horizontal="center" vertical="center"/>
    </xf>
    <xf numFmtId="164" fontId="70" fillId="2" borderId="53" xfId="6" applyNumberFormat="1" applyFont="1" applyFill="1" applyBorder="1" applyAlignment="1">
      <alignment vertical="center"/>
    </xf>
    <xf numFmtId="164" fontId="70" fillId="2" borderId="54" xfId="6" applyNumberFormat="1" applyFont="1" applyFill="1" applyBorder="1" applyAlignment="1">
      <alignment vertical="center"/>
    </xf>
    <xf numFmtId="164" fontId="12" fillId="2" borderId="501" xfId="6" applyNumberFormat="1" applyFont="1" applyFill="1" applyBorder="1" applyAlignment="1">
      <alignment vertical="center"/>
    </xf>
    <xf numFmtId="164" fontId="12" fillId="2" borderId="203" xfId="6" applyNumberFormat="1" applyFont="1" applyFill="1" applyBorder="1" applyAlignment="1">
      <alignment vertical="center"/>
    </xf>
    <xf numFmtId="164" fontId="12" fillId="2" borderId="655" xfId="6" applyNumberFormat="1" applyFont="1" applyFill="1" applyBorder="1" applyAlignment="1">
      <alignment horizontal="center" vertical="center"/>
    </xf>
    <xf numFmtId="164" fontId="4" fillId="2" borderId="536" xfId="6" applyNumberFormat="1" applyFont="1" applyFill="1" applyBorder="1" applyAlignment="1">
      <alignment vertical="center"/>
    </xf>
    <xf numFmtId="164" fontId="4" fillId="2" borderId="538" xfId="6" applyNumberFormat="1" applyFont="1" applyFill="1" applyBorder="1" applyAlignment="1">
      <alignment vertical="center"/>
    </xf>
    <xf numFmtId="164" fontId="4" fillId="2" borderId="658" xfId="6" applyNumberFormat="1" applyFont="1" applyFill="1" applyBorder="1" applyAlignment="1">
      <alignment vertical="center"/>
    </xf>
    <xf numFmtId="167" fontId="4" fillId="2" borderId="659" xfId="6" applyNumberFormat="1" applyFont="1" applyFill="1" applyBorder="1" applyAlignment="1">
      <alignment vertical="center"/>
    </xf>
    <xf numFmtId="167" fontId="70" fillId="2" borderId="536" xfId="6" applyNumberFormat="1" applyFont="1" applyFill="1" applyBorder="1" applyAlignment="1">
      <alignment horizontal="center" vertical="center"/>
    </xf>
    <xf numFmtId="164" fontId="70" fillId="2" borderId="537" xfId="6" applyNumberFormat="1" applyFont="1" applyFill="1" applyBorder="1" applyAlignment="1">
      <alignment vertical="center"/>
    </xf>
    <xf numFmtId="164" fontId="70" fillId="2" borderId="538" xfId="6" applyNumberFormat="1" applyFont="1" applyFill="1" applyBorder="1" applyAlignment="1">
      <alignment vertical="center"/>
    </xf>
    <xf numFmtId="164" fontId="4" fillId="2" borderId="146" xfId="6" applyNumberFormat="1" applyFont="1" applyFill="1" applyBorder="1" applyAlignment="1">
      <alignment vertical="center"/>
    </xf>
    <xf numFmtId="167" fontId="12" fillId="2" borderId="660" xfId="6" applyNumberFormat="1" applyFont="1" applyFill="1" applyBorder="1" applyAlignment="1">
      <alignment horizontal="center" vertical="center"/>
    </xf>
    <xf numFmtId="164" fontId="12" fillId="2" borderId="587" xfId="6" applyNumberFormat="1" applyFont="1" applyFill="1" applyBorder="1" applyAlignment="1">
      <alignment horizontal="center" vertical="center"/>
    </xf>
    <xf numFmtId="164" fontId="12" fillId="2" borderId="190" xfId="6" applyNumberFormat="1" applyFont="1" applyFill="1" applyBorder="1" applyAlignment="1">
      <alignment vertical="center"/>
    </xf>
    <xf numFmtId="49" fontId="12" fillId="2" borderId="126" xfId="6" applyNumberFormat="1" applyFont="1" applyFill="1" applyBorder="1" applyAlignment="1">
      <alignment horizontal="center" vertical="center"/>
    </xf>
    <xf numFmtId="164" fontId="12" fillId="2" borderId="109" xfId="6" applyNumberFormat="1" applyFont="1" applyFill="1" applyBorder="1" applyAlignment="1">
      <alignment horizontal="center" vertical="center"/>
    </xf>
    <xf numFmtId="49" fontId="4" fillId="2" borderId="126" xfId="6" applyNumberFormat="1" applyFont="1" applyFill="1" applyBorder="1" applyAlignment="1">
      <alignment horizontal="center" vertical="center"/>
    </xf>
    <xf numFmtId="164" fontId="4" fillId="4" borderId="107" xfId="6" applyNumberFormat="1" applyFont="1" applyFill="1" applyBorder="1" applyAlignment="1">
      <alignment vertical="center"/>
    </xf>
    <xf numFmtId="9" fontId="12" fillId="2" borderId="190" xfId="2" applyFont="1" applyFill="1" applyBorder="1" applyAlignment="1">
      <alignment vertical="center"/>
    </xf>
    <xf numFmtId="164" fontId="12" fillId="2" borderId="575" xfId="6" applyNumberFormat="1" applyFont="1" applyFill="1" applyBorder="1" applyAlignment="1">
      <alignment horizontal="center" vertical="center"/>
    </xf>
    <xf numFmtId="166" fontId="12" fillId="2" borderId="495" xfId="6" applyFont="1" applyFill="1" applyBorder="1" applyAlignment="1">
      <alignment vertical="center"/>
    </xf>
    <xf numFmtId="164" fontId="4" fillId="2" borderId="203" xfId="6" applyNumberFormat="1" applyFont="1" applyFill="1" applyBorder="1" applyAlignment="1">
      <alignment vertical="center"/>
    </xf>
    <xf numFmtId="164" fontId="4" fillId="2" borderId="316" xfId="6" applyNumberFormat="1" applyFont="1" applyFill="1" applyBorder="1" applyAlignment="1">
      <alignment vertical="center"/>
    </xf>
    <xf numFmtId="164" fontId="94" fillId="2" borderId="482" xfId="6" applyNumberFormat="1" applyFont="1" applyFill="1" applyBorder="1" applyAlignment="1">
      <alignment vertical="center"/>
    </xf>
    <xf numFmtId="167" fontId="4" fillId="2" borderId="480" xfId="6" applyNumberFormat="1" applyFont="1" applyFill="1" applyBorder="1" applyAlignment="1">
      <alignment vertical="center"/>
    </xf>
    <xf numFmtId="167" fontId="70" fillId="2" borderId="203" xfId="6" applyNumberFormat="1" applyFont="1" applyFill="1" applyBorder="1" applyAlignment="1">
      <alignment horizontal="center" vertical="center"/>
    </xf>
    <xf numFmtId="164" fontId="70" fillId="2" borderId="60" xfId="6" applyNumberFormat="1" applyFont="1" applyFill="1" applyBorder="1" applyAlignment="1">
      <alignment vertical="center"/>
    </xf>
    <xf numFmtId="164" fontId="70" fillId="2" borderId="73" xfId="6" applyNumberFormat="1" applyFont="1" applyFill="1" applyBorder="1" applyAlignment="1">
      <alignment vertical="center"/>
    </xf>
    <xf numFmtId="164" fontId="13" fillId="2" borderId="0" xfId="6" applyNumberFormat="1" applyFont="1" applyFill="1" applyBorder="1" applyAlignment="1">
      <alignment horizontal="center" vertical="center"/>
    </xf>
    <xf numFmtId="164" fontId="12" fillId="2" borderId="414" xfId="6" applyNumberFormat="1" applyFont="1" applyFill="1" applyBorder="1" applyAlignment="1">
      <alignment horizontal="center" vertical="center"/>
    </xf>
    <xf numFmtId="9" fontId="12" fillId="2" borderId="284" xfId="2" applyFont="1" applyFill="1" applyBorder="1" applyAlignment="1">
      <alignment vertical="center"/>
    </xf>
    <xf numFmtId="164" fontId="12" fillId="2" borderId="284" xfId="6" applyNumberFormat="1" applyFont="1" applyFill="1" applyBorder="1" applyAlignment="1">
      <alignment horizontal="center" vertical="center"/>
    </xf>
    <xf numFmtId="9" fontId="12" fillId="2" borderId="284" xfId="2" applyFont="1" applyFill="1" applyBorder="1" applyAlignment="1">
      <alignment horizontal="center" vertical="center"/>
    </xf>
    <xf numFmtId="164" fontId="77" fillId="2" borderId="284" xfId="6" applyNumberFormat="1" applyFont="1" applyFill="1" applyBorder="1" applyAlignment="1">
      <alignment vertical="center"/>
    </xf>
    <xf numFmtId="9" fontId="77" fillId="2" borderId="284" xfId="2" applyFont="1" applyFill="1" applyBorder="1" applyAlignment="1">
      <alignment vertical="center"/>
    </xf>
    <xf numFmtId="167" fontId="12" fillId="2" borderId="284" xfId="2" applyNumberFormat="1" applyFont="1" applyFill="1" applyBorder="1" applyAlignment="1">
      <alignment horizontal="center" vertical="center"/>
    </xf>
    <xf numFmtId="167" fontId="77" fillId="2" borderId="284" xfId="2" applyNumberFormat="1" applyFont="1" applyFill="1" applyBorder="1" applyAlignment="1">
      <alignment horizontal="center" vertical="center"/>
    </xf>
    <xf numFmtId="9" fontId="77" fillId="2" borderId="284" xfId="2" applyFont="1" applyFill="1" applyBorder="1" applyAlignment="1">
      <alignment horizontal="center" vertical="center"/>
    </xf>
    <xf numFmtId="166" fontId="12" fillId="2" borderId="284" xfId="6" applyFont="1" applyFill="1" applyBorder="1" applyAlignment="1">
      <alignment vertical="center"/>
    </xf>
    <xf numFmtId="164" fontId="4" fillId="2" borderId="284" xfId="6" applyNumberFormat="1" applyFont="1" applyFill="1" applyBorder="1" applyAlignment="1">
      <alignment horizontal="center" vertical="center"/>
    </xf>
    <xf numFmtId="9" fontId="12" fillId="2" borderId="661" xfId="2" applyFont="1" applyFill="1" applyBorder="1" applyAlignment="1">
      <alignment horizontal="center" vertical="center"/>
    </xf>
    <xf numFmtId="164" fontId="94" fillId="2" borderId="284" xfId="6" applyNumberFormat="1" applyFont="1" applyFill="1" applyBorder="1" applyAlignment="1">
      <alignment vertical="center"/>
    </xf>
    <xf numFmtId="164" fontId="4" fillId="2" borderId="285" xfId="6" applyNumberFormat="1" applyFont="1" applyFill="1" applyBorder="1" applyAlignment="1">
      <alignment vertical="center"/>
    </xf>
    <xf numFmtId="164" fontId="4" fillId="2" borderId="662" xfId="6" applyNumberFormat="1" applyFont="1" applyFill="1" applyBorder="1" applyAlignment="1">
      <alignment horizontal="center" vertical="center"/>
    </xf>
    <xf numFmtId="164" fontId="12" fillId="2" borderId="661" xfId="6" applyNumberFormat="1" applyFont="1" applyFill="1" applyBorder="1" applyAlignment="1">
      <alignment vertical="center"/>
    </xf>
    <xf numFmtId="164" fontId="12" fillId="2" borderId="12" xfId="6" applyNumberFormat="1" applyFont="1" applyFill="1" applyBorder="1" applyAlignment="1">
      <alignment vertical="center"/>
    </xf>
    <xf numFmtId="164" fontId="94" fillId="2" borderId="53" xfId="6" applyNumberFormat="1" applyFont="1" applyFill="1" applyBorder="1" applyAlignment="1">
      <alignment vertical="center"/>
    </xf>
    <xf numFmtId="164" fontId="12" fillId="2" borderId="663" xfId="6" applyNumberFormat="1" applyFont="1" applyFill="1" applyBorder="1" applyAlignment="1">
      <alignment vertical="center"/>
    </xf>
    <xf numFmtId="164" fontId="12" fillId="2" borderId="53" xfId="6" applyNumberFormat="1" applyFont="1" applyFill="1" applyBorder="1" applyAlignment="1">
      <alignment vertical="center"/>
    </xf>
    <xf numFmtId="164" fontId="4" fillId="2" borderId="53" xfId="6" applyNumberFormat="1" applyFont="1" applyFill="1" applyBorder="1" applyAlignment="1">
      <alignment horizontal="center" vertical="center"/>
    </xf>
    <xf numFmtId="164" fontId="12" fillId="2" borderId="54" xfId="6" applyNumberFormat="1" applyFont="1" applyFill="1" applyBorder="1" applyAlignment="1">
      <alignment vertical="center"/>
    </xf>
    <xf numFmtId="164" fontId="12" fillId="2" borderId="13" xfId="6" applyNumberFormat="1" applyFont="1" applyFill="1" applyBorder="1" applyAlignment="1">
      <alignment vertical="center"/>
    </xf>
    <xf numFmtId="167" fontId="12" fillId="2" borderId="12" xfId="6" applyNumberFormat="1" applyFont="1" applyFill="1" applyBorder="1" applyAlignment="1">
      <alignment horizontal="center" vertical="center"/>
    </xf>
    <xf numFmtId="3" fontId="4" fillId="2" borderId="0" xfId="6" applyNumberFormat="1" applyFont="1" applyFill="1" applyBorder="1" applyAlignment="1">
      <alignment vertical="center"/>
    </xf>
    <xf numFmtId="167" fontId="4" fillId="2" borderId="0" xfId="6" applyNumberFormat="1" applyFont="1" applyFill="1" applyBorder="1" applyAlignment="1">
      <alignment vertical="center"/>
    </xf>
    <xf numFmtId="167" fontId="70" fillId="2" borderId="6" xfId="6" applyNumberFormat="1" applyFont="1" applyFill="1" applyBorder="1" applyAlignment="1">
      <alignment horizontal="center" vertical="center"/>
    </xf>
    <xf numFmtId="164" fontId="12" fillId="2" borderId="196" xfId="6" applyNumberFormat="1" applyFont="1" applyFill="1" applyBorder="1" applyAlignment="1">
      <alignment vertical="center"/>
    </xf>
    <xf numFmtId="164" fontId="12" fillId="2" borderId="663" xfId="6" applyNumberFormat="1" applyFont="1" applyFill="1" applyBorder="1" applyAlignment="1">
      <alignment horizontal="center" vertical="center"/>
    </xf>
    <xf numFmtId="164" fontId="4" fillId="2" borderId="88" xfId="6" applyNumberFormat="1" applyFont="1" applyFill="1" applyBorder="1" applyAlignment="1">
      <alignment vertical="center"/>
    </xf>
    <xf numFmtId="164" fontId="12" fillId="2" borderId="122" xfId="6" applyNumberFormat="1" applyFont="1" applyFill="1" applyBorder="1" applyAlignment="1">
      <alignment horizontal="center" vertical="center"/>
    </xf>
    <xf numFmtId="49" fontId="12" fillId="2" borderId="6" xfId="6" applyNumberFormat="1" applyFont="1" applyFill="1" applyBorder="1" applyAlignment="1">
      <alignment horizontal="center" vertical="center"/>
    </xf>
    <xf numFmtId="164" fontId="12" fillId="2" borderId="183" xfId="6" applyNumberFormat="1" applyFont="1" applyFill="1" applyBorder="1" applyAlignment="1">
      <alignment horizontal="center" vertical="center"/>
    </xf>
    <xf numFmtId="164" fontId="12" fillId="2" borderId="152" xfId="6" applyNumberFormat="1" applyFont="1" applyFill="1" applyBorder="1" applyAlignment="1">
      <alignment vertical="center"/>
    </xf>
    <xf numFmtId="164" fontId="12" fillId="2" borderId="187" xfId="6" applyNumberFormat="1" applyFont="1" applyFill="1" applyBorder="1" applyAlignment="1">
      <alignment vertical="center"/>
    </xf>
    <xf numFmtId="164" fontId="4" fillId="2" borderId="183" xfId="6" applyNumberFormat="1" applyFont="1" applyFill="1" applyBorder="1" applyAlignment="1">
      <alignment vertical="center"/>
    </xf>
    <xf numFmtId="164" fontId="12" fillId="2" borderId="183" xfId="6" applyNumberFormat="1" applyFont="1" applyFill="1" applyBorder="1" applyAlignment="1">
      <alignment vertical="center"/>
    </xf>
    <xf numFmtId="9" fontId="12" fillId="2" borderId="136" xfId="2" applyFont="1" applyFill="1" applyBorder="1" applyAlignment="1">
      <alignment vertical="center"/>
    </xf>
    <xf numFmtId="9" fontId="12" fillId="2" borderId="54" xfId="2" applyFont="1" applyFill="1" applyBorder="1" applyAlignment="1">
      <alignment vertical="center"/>
    </xf>
    <xf numFmtId="164" fontId="4" fillId="2" borderId="74" xfId="6" applyNumberFormat="1" applyFont="1" applyFill="1" applyBorder="1" applyAlignment="1">
      <alignment horizontal="center" vertical="center"/>
    </xf>
    <xf numFmtId="49" fontId="4" fillId="2" borderId="6" xfId="6" applyNumberFormat="1" applyFont="1" applyFill="1" applyBorder="1" applyAlignment="1">
      <alignment horizontal="center" vertical="center"/>
    </xf>
    <xf numFmtId="164" fontId="12" fillId="2" borderId="144" xfId="6" applyNumberFormat="1" applyFont="1" applyFill="1" applyBorder="1" applyAlignment="1">
      <alignment vertical="center"/>
    </xf>
    <xf numFmtId="164" fontId="55" fillId="2" borderId="0" xfId="6" applyNumberFormat="1" applyFont="1" applyFill="1" applyBorder="1" applyAlignment="1">
      <alignment horizontal="center" vertical="center"/>
    </xf>
    <xf numFmtId="164" fontId="55" fillId="2" borderId="440" xfId="6" applyNumberFormat="1" applyFont="1" applyFill="1" applyBorder="1" applyAlignment="1">
      <alignment horizontal="center" vertical="center"/>
    </xf>
    <xf numFmtId="164" fontId="55" fillId="7" borderId="222" xfId="6" applyNumberFormat="1" applyFont="1" applyFill="1" applyBorder="1" applyAlignment="1">
      <alignment horizontal="center" vertical="center"/>
    </xf>
    <xf numFmtId="164" fontId="55" fillId="7" borderId="223" xfId="6" applyNumberFormat="1" applyFont="1" applyFill="1" applyBorder="1" applyAlignment="1">
      <alignment vertical="center"/>
    </xf>
    <xf numFmtId="9" fontId="55" fillId="7" borderId="223" xfId="2" applyFont="1" applyFill="1" applyBorder="1" applyAlignment="1">
      <alignment vertical="center"/>
    </xf>
    <xf numFmtId="164" fontId="55" fillId="7" borderId="223" xfId="6" applyNumberFormat="1" applyFont="1" applyFill="1" applyBorder="1" applyAlignment="1">
      <alignment horizontal="center" vertical="center"/>
    </xf>
    <xf numFmtId="164" fontId="55" fillId="7" borderId="516" xfId="6" applyNumberFormat="1" applyFont="1" applyFill="1" applyBorder="1" applyAlignment="1">
      <alignment vertical="center"/>
    </xf>
    <xf numFmtId="164" fontId="55" fillId="7" borderId="222" xfId="6" applyNumberFormat="1" applyFont="1" applyFill="1" applyBorder="1" applyAlignment="1">
      <alignment vertical="center"/>
    </xf>
    <xf numFmtId="9" fontId="55" fillId="7" borderId="223" xfId="2" applyFont="1" applyFill="1" applyBorder="1" applyAlignment="1">
      <alignment horizontal="center" vertical="center"/>
    </xf>
    <xf numFmtId="164" fontId="95" fillId="7" borderId="223" xfId="6" applyNumberFormat="1" applyFont="1" applyFill="1" applyBorder="1" applyAlignment="1">
      <alignment vertical="center"/>
    </xf>
    <xf numFmtId="9" fontId="95" fillId="7" borderId="223" xfId="2" applyFont="1" applyFill="1" applyBorder="1" applyAlignment="1">
      <alignment vertical="center"/>
    </xf>
    <xf numFmtId="167" fontId="55" fillId="7" borderId="223" xfId="2" applyNumberFormat="1" applyFont="1" applyFill="1" applyBorder="1" applyAlignment="1">
      <alignment horizontal="center" vertical="center"/>
    </xf>
    <xf numFmtId="167" fontId="95" fillId="7" borderId="223" xfId="2" applyNumberFormat="1" applyFont="1" applyFill="1" applyBorder="1" applyAlignment="1">
      <alignment horizontal="center" vertical="center"/>
    </xf>
    <xf numFmtId="9" fontId="95" fillId="7" borderId="223" xfId="2" applyFont="1" applyFill="1" applyBorder="1" applyAlignment="1">
      <alignment horizontal="center" vertical="center"/>
    </xf>
    <xf numFmtId="166" fontId="55" fillId="7" borderId="223" xfId="6" applyNumberFormat="1" applyFont="1" applyFill="1" applyBorder="1" applyAlignment="1">
      <alignment vertical="center"/>
    </xf>
    <xf numFmtId="166" fontId="55" fillId="7" borderId="223" xfId="6" applyFont="1" applyFill="1" applyBorder="1" applyAlignment="1">
      <alignment vertical="center"/>
    </xf>
    <xf numFmtId="164" fontId="8" fillId="7" borderId="223" xfId="6" applyNumberFormat="1" applyFont="1" applyFill="1" applyBorder="1" applyAlignment="1">
      <alignment horizontal="center" vertical="center"/>
    </xf>
    <xf numFmtId="164" fontId="8" fillId="7" borderId="223" xfId="6" applyNumberFormat="1" applyFont="1" applyFill="1" applyBorder="1" applyAlignment="1">
      <alignment vertical="center"/>
    </xf>
    <xf numFmtId="9" fontId="55" fillId="7" borderId="664" xfId="2" applyFont="1" applyFill="1" applyBorder="1" applyAlignment="1">
      <alignment horizontal="center" vertical="center"/>
    </xf>
    <xf numFmtId="164" fontId="55" fillId="7" borderId="224" xfId="6" applyNumberFormat="1" applyFont="1" applyFill="1" applyBorder="1" applyAlignment="1">
      <alignment vertical="center"/>
    </xf>
    <xf numFmtId="164" fontId="55" fillId="7" borderId="665" xfId="6" applyNumberFormat="1" applyFont="1" applyFill="1" applyBorder="1" applyAlignment="1">
      <alignment horizontal="center" vertical="center"/>
    </xf>
    <xf numFmtId="9" fontId="55" fillId="7" borderId="664" xfId="2" applyFont="1" applyFill="1" applyBorder="1" applyAlignment="1">
      <alignment vertical="center"/>
    </xf>
    <xf numFmtId="9" fontId="55" fillId="7" borderId="224" xfId="2" applyFont="1" applyFill="1" applyBorder="1" applyAlignment="1">
      <alignment vertical="center"/>
    </xf>
    <xf numFmtId="164" fontId="8" fillId="7" borderId="19" xfId="6" applyNumberFormat="1" applyFont="1" applyFill="1" applyBorder="1" applyAlignment="1">
      <alignment horizontal="center" vertical="center"/>
    </xf>
    <xf numFmtId="164" fontId="8" fillId="7" borderId="78" xfId="6" applyNumberFormat="1" applyFont="1" applyFill="1" applyBorder="1" applyAlignment="1">
      <alignment vertical="center"/>
    </xf>
    <xf numFmtId="9" fontId="8" fillId="7" borderId="79" xfId="2" applyFont="1" applyFill="1" applyBorder="1" applyAlignment="1">
      <alignment vertical="center"/>
    </xf>
    <xf numFmtId="164" fontId="8" fillId="7" borderId="20" xfId="6" applyNumberFormat="1" applyFont="1" applyFill="1" applyBorder="1" applyAlignment="1">
      <alignment horizontal="center" vertical="center"/>
    </xf>
    <xf numFmtId="9" fontId="8" fillId="7" borderId="80" xfId="2" applyFont="1" applyFill="1" applyBorder="1" applyAlignment="1">
      <alignment vertical="center"/>
    </xf>
    <xf numFmtId="164" fontId="8" fillId="7" borderId="20" xfId="6" applyNumberFormat="1" applyFont="1" applyFill="1" applyBorder="1" applyAlignment="1">
      <alignment vertical="center"/>
    </xf>
    <xf numFmtId="9" fontId="8" fillId="7" borderId="23" xfId="2" applyFont="1" applyFill="1" applyBorder="1" applyAlignment="1">
      <alignment vertical="center"/>
    </xf>
    <xf numFmtId="164" fontId="55" fillId="7" borderId="78" xfId="6" applyNumberFormat="1" applyFont="1" applyFill="1" applyBorder="1" applyAlignment="1">
      <alignment vertical="center"/>
    </xf>
    <xf numFmtId="164" fontId="55" fillId="7" borderId="19" xfId="6" applyNumberFormat="1" applyFont="1" applyFill="1" applyBorder="1" applyAlignment="1">
      <alignment horizontal="center" vertical="center"/>
    </xf>
    <xf numFmtId="164" fontId="55" fillId="7" borderId="20" xfId="6" applyNumberFormat="1" applyFont="1" applyFill="1" applyBorder="1" applyAlignment="1">
      <alignment vertical="center"/>
    </xf>
    <xf numFmtId="164" fontId="55" fillId="7" borderId="223" xfId="0" applyNumberFormat="1" applyFont="1" applyFill="1" applyBorder="1" applyAlignment="1">
      <alignment vertical="center"/>
    </xf>
    <xf numFmtId="164" fontId="55" fillId="7" borderId="666" xfId="6" applyNumberFormat="1" applyFont="1" applyFill="1" applyBorder="1" applyAlignment="1">
      <alignment vertical="center"/>
    </xf>
    <xf numFmtId="164" fontId="55" fillId="7" borderId="78" xfId="6" applyNumberFormat="1" applyFont="1" applyFill="1" applyBorder="1" applyAlignment="1">
      <alignment horizontal="center" vertical="center"/>
    </xf>
    <xf numFmtId="164" fontId="55" fillId="7" borderId="79" xfId="6" applyNumberFormat="1" applyFont="1" applyFill="1" applyBorder="1" applyAlignment="1">
      <alignment vertical="center"/>
    </xf>
    <xf numFmtId="164" fontId="55" fillId="7" borderId="78" xfId="0" applyNumberFormat="1" applyFont="1" applyFill="1" applyBorder="1" applyAlignment="1">
      <alignment vertical="center"/>
    </xf>
    <xf numFmtId="164" fontId="55" fillId="7" borderId="113" xfId="6" applyNumberFormat="1" applyFont="1" applyFill="1" applyBorder="1" applyAlignment="1">
      <alignment horizontal="center" vertical="center"/>
    </xf>
    <xf numFmtId="9" fontId="55" fillId="7" borderId="20" xfId="2" applyFont="1" applyFill="1" applyBorder="1" applyAlignment="1">
      <alignment horizontal="center" vertical="center"/>
    </xf>
    <xf numFmtId="9" fontId="55" fillId="7" borderId="23" xfId="2" applyFont="1" applyFill="1" applyBorder="1" applyAlignment="1">
      <alignment vertical="center"/>
    </xf>
    <xf numFmtId="167" fontId="55" fillId="7" borderId="20" xfId="6" applyNumberFormat="1" applyFont="1" applyFill="1" applyBorder="1" applyAlignment="1">
      <alignment horizontal="center" vertical="center"/>
    </xf>
    <xf numFmtId="9" fontId="55" fillId="7" borderId="22" xfId="2" applyFont="1" applyFill="1" applyBorder="1" applyAlignment="1">
      <alignment vertical="center"/>
    </xf>
    <xf numFmtId="167" fontId="55" fillId="7" borderId="21" xfId="6" applyNumberFormat="1" applyFont="1" applyFill="1" applyBorder="1" applyAlignment="1">
      <alignment horizontal="center" vertical="center"/>
    </xf>
    <xf numFmtId="3" fontId="8" fillId="7" borderId="20" xfId="6" applyNumberFormat="1" applyFont="1" applyFill="1" applyBorder="1" applyAlignment="1">
      <alignment horizontal="center" vertical="center"/>
    </xf>
    <xf numFmtId="167" fontId="8" fillId="7" borderId="20" xfId="6" applyNumberFormat="1" applyFont="1" applyFill="1" applyBorder="1" applyAlignment="1">
      <alignment horizontal="center" vertical="center"/>
    </xf>
    <xf numFmtId="9" fontId="55" fillId="7" borderId="79" xfId="2" applyFont="1" applyFill="1" applyBorder="1" applyAlignment="1">
      <alignment vertical="center"/>
    </xf>
    <xf numFmtId="167" fontId="8" fillId="7" borderId="19" xfId="6" applyNumberFormat="1" applyFont="1" applyFill="1" applyBorder="1" applyAlignment="1">
      <alignment horizontal="center" vertical="center"/>
    </xf>
    <xf numFmtId="167" fontId="96" fillId="7" borderId="19" xfId="6" applyNumberFormat="1" applyFont="1" applyFill="1" applyBorder="1" applyAlignment="1">
      <alignment horizontal="center" vertical="center"/>
    </xf>
    <xf numFmtId="164" fontId="96" fillId="7" borderId="78" xfId="6" applyNumberFormat="1" applyFont="1" applyFill="1" applyBorder="1" applyAlignment="1">
      <alignment vertical="center"/>
    </xf>
    <xf numFmtId="164" fontId="55" fillId="7" borderId="20" xfId="6" applyNumberFormat="1" applyFont="1" applyFill="1" applyBorder="1" applyAlignment="1">
      <alignment horizontal="center" vertical="center"/>
    </xf>
    <xf numFmtId="164" fontId="55" fillId="7" borderId="20" xfId="0" applyNumberFormat="1" applyFont="1" applyFill="1" applyBorder="1" applyAlignment="1">
      <alignment vertical="center"/>
    </xf>
    <xf numFmtId="164" fontId="55" fillId="7" borderId="327" xfId="6" applyNumberFormat="1" applyFont="1" applyFill="1" applyBorder="1" applyAlignment="1">
      <alignment vertical="center"/>
    </xf>
    <xf numFmtId="164" fontId="55" fillId="7" borderId="666" xfId="6" applyNumberFormat="1" applyFont="1" applyFill="1" applyBorder="1" applyAlignment="1">
      <alignment horizontal="center" vertical="center"/>
    </xf>
    <xf numFmtId="164" fontId="55" fillId="7" borderId="157" xfId="6" applyNumberFormat="1" applyFont="1" applyFill="1" applyBorder="1" applyAlignment="1">
      <alignment vertical="center"/>
    </xf>
    <xf numFmtId="9" fontId="55" fillId="7" borderId="80" xfId="2" applyFont="1" applyFill="1" applyBorder="1" applyAlignment="1">
      <alignment vertical="center"/>
    </xf>
    <xf numFmtId="164" fontId="55" fillId="7" borderId="19" xfId="6" applyNumberFormat="1" applyFont="1" applyFill="1" applyBorder="1" applyAlignment="1">
      <alignment vertical="center"/>
    </xf>
    <xf numFmtId="49" fontId="55" fillId="7" borderId="19" xfId="6" applyNumberFormat="1" applyFont="1" applyFill="1" applyBorder="1" applyAlignment="1">
      <alignment horizontal="center" vertical="center"/>
    </xf>
    <xf numFmtId="164" fontId="55" fillId="7" borderId="81" xfId="6" applyNumberFormat="1" applyFont="1" applyFill="1" applyBorder="1" applyAlignment="1">
      <alignment horizontal="center" vertical="center"/>
    </xf>
    <xf numFmtId="164" fontId="55" fillId="7" borderId="82" xfId="6" applyNumberFormat="1" applyFont="1" applyFill="1" applyBorder="1" applyAlignment="1">
      <alignment vertical="center"/>
    </xf>
    <xf numFmtId="164" fontId="55" fillId="7" borderId="114" xfId="6" applyNumberFormat="1" applyFont="1" applyFill="1" applyBorder="1" applyAlignment="1">
      <alignment vertical="center"/>
    </xf>
    <xf numFmtId="164" fontId="8" fillId="7" borderId="81" xfId="6" applyNumberFormat="1" applyFont="1" applyFill="1" applyBorder="1" applyAlignment="1">
      <alignment vertical="center"/>
    </xf>
    <xf numFmtId="164" fontId="8" fillId="7" borderId="82" xfId="6" applyNumberFormat="1" applyFont="1" applyFill="1" applyBorder="1" applyAlignment="1">
      <alignment vertical="center"/>
    </xf>
    <xf numFmtId="164" fontId="55" fillId="7" borderId="81" xfId="6" applyNumberFormat="1" applyFont="1" applyFill="1" applyBorder="1" applyAlignment="1">
      <alignment vertical="center"/>
    </xf>
    <xf numFmtId="164" fontId="55" fillId="7" borderId="0" xfId="6" applyNumberFormat="1" applyFont="1" applyFill="1" applyBorder="1" applyAlignment="1">
      <alignment vertical="center"/>
    </xf>
    <xf numFmtId="49" fontId="8" fillId="7" borderId="19" xfId="6" applyNumberFormat="1" applyFont="1" applyFill="1" applyBorder="1" applyAlignment="1">
      <alignment horizontal="center" vertical="center"/>
    </xf>
    <xf numFmtId="9" fontId="55" fillId="7" borderId="79" xfId="2" applyFont="1" applyFill="1" applyBorder="1" applyAlignment="1">
      <alignment horizontal="center" vertical="center"/>
    </xf>
    <xf numFmtId="164" fontId="8" fillId="7" borderId="19" xfId="6" applyNumberFormat="1" applyFont="1" applyFill="1" applyBorder="1" applyAlignment="1">
      <alignment vertical="center"/>
    </xf>
    <xf numFmtId="164" fontId="8" fillId="7" borderId="114" xfId="6" applyNumberFormat="1" applyFont="1" applyFill="1" applyBorder="1" applyAlignment="1">
      <alignment vertical="center"/>
    </xf>
    <xf numFmtId="164" fontId="55" fillId="2" borderId="0" xfId="6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right" vertical="center"/>
    </xf>
    <xf numFmtId="0" fontId="3" fillId="2" borderId="26" xfId="0" applyFont="1" applyFill="1" applyBorder="1" applyAlignment="1">
      <alignment horizontal="right" vertical="center"/>
    </xf>
    <xf numFmtId="166" fontId="12" fillId="2" borderId="284" xfId="6" applyNumberFormat="1" applyFont="1" applyFill="1" applyBorder="1" applyAlignment="1">
      <alignment vertical="center"/>
    </xf>
    <xf numFmtId="164" fontId="12" fillId="2" borderId="285" xfId="6" applyNumberFormat="1" applyFont="1" applyFill="1" applyBorder="1" applyAlignment="1">
      <alignment vertical="center"/>
    </xf>
    <xf numFmtId="164" fontId="12" fillId="2" borderId="662" xfId="6" applyNumberFormat="1" applyFont="1" applyFill="1" applyBorder="1" applyAlignment="1">
      <alignment horizontal="center" vertical="center"/>
    </xf>
    <xf numFmtId="9" fontId="12" fillId="2" borderId="661" xfId="2" applyFont="1" applyFill="1" applyBorder="1" applyAlignment="1">
      <alignment vertical="center"/>
    </xf>
    <xf numFmtId="9" fontId="12" fillId="2" borderId="285" xfId="2" applyFont="1" applyFill="1" applyBorder="1" applyAlignment="1">
      <alignment vertical="center"/>
    </xf>
    <xf numFmtId="164" fontId="12" fillId="2" borderId="284" xfId="0" applyNumberFormat="1" applyFont="1" applyFill="1" applyBorder="1" applyAlignment="1">
      <alignment vertical="center"/>
    </xf>
    <xf numFmtId="164" fontId="12" fillId="2" borderId="0" xfId="0" applyNumberFormat="1" applyFont="1" applyFill="1" applyBorder="1" applyAlignment="1">
      <alignment vertical="center"/>
    </xf>
    <xf numFmtId="167" fontId="12" fillId="2" borderId="0" xfId="6" applyNumberFormat="1" applyFont="1" applyFill="1" applyBorder="1" applyAlignment="1">
      <alignment horizontal="center" vertical="center"/>
    </xf>
    <xf numFmtId="9" fontId="12" fillId="2" borderId="13" xfId="2" applyFont="1" applyFill="1" applyBorder="1" applyAlignment="1">
      <alignment vertical="center"/>
    </xf>
    <xf numFmtId="3" fontId="4" fillId="2" borderId="0" xfId="6" applyNumberFormat="1" applyFont="1" applyFill="1" applyBorder="1" applyAlignment="1">
      <alignment horizontal="center" vertical="center"/>
    </xf>
    <xf numFmtId="164" fontId="12" fillId="2" borderId="88" xfId="0" applyNumberFormat="1" applyFont="1" applyFill="1" applyBorder="1" applyAlignment="1">
      <alignment vertical="center"/>
    </xf>
    <xf numFmtId="164" fontId="12" fillId="2" borderId="88" xfId="6" applyNumberFormat="1" applyFont="1" applyFill="1" applyBorder="1" applyAlignment="1">
      <alignment vertical="center"/>
    </xf>
    <xf numFmtId="9" fontId="12" fillId="2" borderId="122" xfId="2" applyFont="1" applyFill="1" applyBorder="1" applyAlignment="1">
      <alignment vertical="center"/>
    </xf>
    <xf numFmtId="164" fontId="12" fillId="2" borderId="177" xfId="0" applyNumberFormat="1" applyFont="1" applyFill="1" applyBorder="1" applyAlignment="1">
      <alignment vertical="center"/>
    </xf>
    <xf numFmtId="164" fontId="12" fillId="2" borderId="177" xfId="6" applyNumberFormat="1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3" fillId="2" borderId="10" xfId="0" applyFont="1" applyFill="1" applyBorder="1" applyAlignment="1">
      <alignment horizontal="right" vertical="center"/>
    </xf>
    <xf numFmtId="0" fontId="4" fillId="2" borderId="440" xfId="0" applyFont="1" applyFill="1" applyBorder="1" applyAlignment="1">
      <alignment vertical="center"/>
    </xf>
    <xf numFmtId="0" fontId="0" fillId="2" borderId="186" xfId="0" applyFont="1" applyFill="1" applyBorder="1" applyAlignment="1">
      <alignment vertical="center"/>
    </xf>
    <xf numFmtId="164" fontId="4" fillId="2" borderId="26" xfId="6" applyNumberFormat="1" applyFont="1" applyFill="1" applyBorder="1" applyAlignment="1">
      <alignment vertical="center"/>
    </xf>
    <xf numFmtId="0" fontId="4" fillId="2" borderId="414" xfId="0" applyFont="1" applyFill="1" applyBorder="1" applyAlignment="1">
      <alignment horizontal="center" vertical="center"/>
    </xf>
    <xf numFmtId="0" fontId="12" fillId="2" borderId="284" xfId="0" applyFont="1" applyFill="1" applyBorder="1" applyAlignment="1">
      <alignment vertical="center"/>
    </xf>
    <xf numFmtId="0" fontId="12" fillId="2" borderId="413" xfId="0" applyFont="1" applyFill="1" applyBorder="1" applyAlignment="1">
      <alignment vertical="center"/>
    </xf>
    <xf numFmtId="0" fontId="12" fillId="2" borderId="414" xfId="0" applyFont="1" applyFill="1" applyBorder="1" applyAlignment="1">
      <alignment vertical="center"/>
    </xf>
    <xf numFmtId="0" fontId="12" fillId="2" borderId="284" xfId="0" applyFont="1" applyFill="1" applyBorder="1" applyAlignment="1">
      <alignment horizontal="center" vertical="center"/>
    </xf>
    <xf numFmtId="0" fontId="4" fillId="2" borderId="284" xfId="0" applyFont="1" applyFill="1" applyBorder="1" applyAlignment="1">
      <alignment horizontal="center" vertical="center"/>
    </xf>
    <xf numFmtId="9" fontId="4" fillId="2" borderId="284" xfId="2" applyFont="1" applyFill="1" applyBorder="1" applyAlignment="1">
      <alignment vertical="center"/>
    </xf>
    <xf numFmtId="0" fontId="77" fillId="2" borderId="284" xfId="0" applyFont="1" applyFill="1" applyBorder="1" applyAlignment="1">
      <alignment vertical="center"/>
    </xf>
    <xf numFmtId="9" fontId="4" fillId="2" borderId="284" xfId="2" applyFont="1" applyFill="1" applyBorder="1" applyAlignment="1">
      <alignment horizontal="center" vertical="center"/>
    </xf>
    <xf numFmtId="9" fontId="4" fillId="2" borderId="661" xfId="2" applyFont="1" applyFill="1" applyBorder="1" applyAlignment="1">
      <alignment horizontal="center" vertical="center"/>
    </xf>
    <xf numFmtId="0" fontId="4" fillId="2" borderId="662" xfId="0" applyFont="1" applyFill="1" applyBorder="1" applyAlignment="1">
      <alignment horizontal="center" vertical="center"/>
    </xf>
    <xf numFmtId="9" fontId="4" fillId="2" borderId="661" xfId="2" applyFont="1" applyFill="1" applyBorder="1" applyAlignment="1">
      <alignment vertical="center"/>
    </xf>
    <xf numFmtId="9" fontId="4" fillId="2" borderId="285" xfId="2" applyFont="1" applyFill="1" applyBorder="1" applyAlignment="1">
      <alignment vertical="center"/>
    </xf>
    <xf numFmtId="0" fontId="4" fillId="2" borderId="54" xfId="0" applyFont="1" applyFill="1" applyBorder="1" applyAlignment="1">
      <alignment vertical="center"/>
    </xf>
    <xf numFmtId="0" fontId="4" fillId="2" borderId="663" xfId="0" applyFont="1" applyFill="1" applyBorder="1" applyAlignment="1">
      <alignment vertical="center"/>
    </xf>
    <xf numFmtId="9" fontId="4" fillId="2" borderId="13" xfId="2" applyFont="1" applyFill="1" applyBorder="1" applyAlignment="1">
      <alignment vertical="center"/>
    </xf>
    <xf numFmtId="167" fontId="4" fillId="2" borderId="12" xfId="0" applyNumberFormat="1" applyFont="1" applyFill="1" applyBorder="1" applyAlignment="1">
      <alignment horizontal="center" vertical="center"/>
    </xf>
    <xf numFmtId="0" fontId="12" fillId="2" borderId="54" xfId="0" applyFont="1" applyFill="1" applyBorder="1" applyAlignment="1">
      <alignment vertical="center"/>
    </xf>
    <xf numFmtId="167" fontId="4" fillId="2" borderId="6" xfId="0" applyNumberFormat="1" applyFont="1" applyFill="1" applyBorder="1" applyAlignment="1">
      <alignment horizontal="center" vertical="center"/>
    </xf>
    <xf numFmtId="167" fontId="70" fillId="2" borderId="6" xfId="0" applyNumberFormat="1" applyFont="1" applyFill="1" applyBorder="1" applyAlignment="1">
      <alignment horizontal="center" vertical="center"/>
    </xf>
    <xf numFmtId="0" fontId="70" fillId="2" borderId="53" xfId="0" applyFont="1" applyFill="1" applyBorder="1" applyAlignment="1">
      <alignment vertical="center"/>
    </xf>
    <xf numFmtId="164" fontId="12" fillId="2" borderId="667" xfId="0" applyNumberFormat="1" applyFont="1" applyFill="1" applyBorder="1" applyAlignment="1">
      <alignment vertical="center"/>
    </xf>
    <xf numFmtId="164" fontId="4" fillId="2" borderId="663" xfId="6" applyNumberFormat="1" applyFont="1" applyFill="1" applyBorder="1" applyAlignment="1">
      <alignment horizontal="center" vertical="center"/>
    </xf>
    <xf numFmtId="164" fontId="4" fillId="2" borderId="88" xfId="0" applyNumberFormat="1" applyFont="1" applyFill="1" applyBorder="1" applyAlignment="1">
      <alignment vertical="center"/>
    </xf>
    <xf numFmtId="164" fontId="4" fillId="2" borderId="122" xfId="0" applyNumberFormat="1" applyFont="1" applyFill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0" fontId="4" fillId="2" borderId="183" xfId="0" applyFont="1" applyFill="1" applyBorder="1" applyAlignment="1">
      <alignment vertical="center"/>
    </xf>
    <xf numFmtId="0" fontId="12" fillId="2" borderId="183" xfId="0" applyFont="1" applyFill="1" applyBorder="1" applyAlignment="1">
      <alignment vertical="center"/>
    </xf>
    <xf numFmtId="164" fontId="4" fillId="2" borderId="668" xfId="6" applyNumberFormat="1" applyFont="1" applyFill="1" applyBorder="1" applyAlignment="1">
      <alignment vertical="center"/>
    </xf>
    <xf numFmtId="9" fontId="12" fillId="2" borderId="669" xfId="2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164" fontId="4" fillId="2" borderId="177" xfId="6" applyNumberFormat="1" applyFont="1" applyFill="1" applyBorder="1" applyAlignment="1">
      <alignment vertical="center"/>
    </xf>
    <xf numFmtId="0" fontId="4" fillId="2" borderId="654" xfId="0" applyFont="1" applyFill="1" applyBorder="1" applyAlignment="1">
      <alignment horizontal="center" vertical="center"/>
    </xf>
    <xf numFmtId="0" fontId="0" fillId="2" borderId="15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center" vertical="center"/>
    </xf>
    <xf numFmtId="164" fontId="4" fillId="2" borderId="18" xfId="6" applyNumberFormat="1" applyFont="1" applyFill="1" applyBorder="1" applyAlignment="1">
      <alignment horizontal="center" vertical="center"/>
    </xf>
    <xf numFmtId="164" fontId="4" fillId="2" borderId="670" xfId="6" applyNumberFormat="1" applyFont="1" applyFill="1" applyBorder="1" applyAlignment="1">
      <alignment horizontal="center" vertical="center"/>
    </xf>
    <xf numFmtId="0" fontId="4" fillId="2" borderId="671" xfId="0" applyFont="1" applyFill="1" applyBorder="1" applyAlignment="1">
      <alignment vertical="center"/>
    </xf>
    <xf numFmtId="9" fontId="4" fillId="2" borderId="671" xfId="2" applyFont="1" applyFill="1" applyBorder="1" applyAlignment="1">
      <alignment horizontal="center" vertical="center"/>
    </xf>
    <xf numFmtId="9" fontId="12" fillId="2" borderId="671" xfId="2" applyFont="1" applyFill="1" applyBorder="1" applyAlignment="1">
      <alignment horizontal="center" vertical="center"/>
    </xf>
    <xf numFmtId="0" fontId="12" fillId="2" borderId="671" xfId="0" applyFont="1" applyFill="1" applyBorder="1" applyAlignment="1">
      <alignment vertical="center"/>
    </xf>
    <xf numFmtId="0" fontId="12" fillId="2" borderId="672" xfId="0" applyFont="1" applyFill="1" applyBorder="1" applyAlignment="1">
      <alignment vertical="center"/>
    </xf>
    <xf numFmtId="0" fontId="77" fillId="2" borderId="284" xfId="0" applyFont="1" applyFill="1" applyBorder="1" applyAlignment="1">
      <alignment horizontal="center" vertical="center"/>
    </xf>
    <xf numFmtId="164" fontId="77" fillId="2" borderId="284" xfId="0" applyNumberFormat="1" applyFont="1" applyFill="1" applyBorder="1" applyAlignment="1">
      <alignment vertical="center"/>
    </xf>
    <xf numFmtId="0" fontId="12" fillId="2" borderId="53" xfId="0" applyFont="1" applyFill="1" applyBorder="1" applyAlignment="1">
      <alignment vertical="center"/>
    </xf>
    <xf numFmtId="0" fontId="4" fillId="2" borderId="673" xfId="0" applyFont="1" applyFill="1" applyBorder="1" applyAlignment="1">
      <alignment vertical="center"/>
    </xf>
    <xf numFmtId="0" fontId="4" fillId="2" borderId="674" xfId="0" applyFont="1" applyFill="1" applyBorder="1" applyAlignment="1">
      <alignment vertical="center"/>
    </xf>
    <xf numFmtId="9" fontId="4" fillId="2" borderId="675" xfId="2" applyFont="1" applyFill="1" applyBorder="1" applyAlignment="1">
      <alignment vertical="center"/>
    </xf>
    <xf numFmtId="164" fontId="4" fillId="2" borderId="676" xfId="6" applyNumberFormat="1" applyFont="1" applyFill="1" applyBorder="1" applyAlignment="1">
      <alignment horizontal="center" vertical="center"/>
    </xf>
    <xf numFmtId="0" fontId="4" fillId="2" borderId="675" xfId="0" applyFont="1" applyFill="1" applyBorder="1" applyAlignment="1">
      <alignment vertical="center"/>
    </xf>
    <xf numFmtId="0" fontId="4" fillId="2" borderId="676" xfId="0" applyFont="1" applyFill="1" applyBorder="1" applyAlignment="1">
      <alignment vertical="center"/>
    </xf>
    <xf numFmtId="165" fontId="12" fillId="2" borderId="88" xfId="6" applyNumberFormat="1" applyFont="1" applyFill="1" applyBorder="1" applyAlignment="1">
      <alignment vertical="center"/>
    </xf>
    <xf numFmtId="0" fontId="97" fillId="2" borderId="0" xfId="0" applyFont="1" applyFill="1" applyBorder="1" applyAlignment="1">
      <alignment vertical="center"/>
    </xf>
    <xf numFmtId="0" fontId="77" fillId="2" borderId="0" xfId="0" applyFont="1" applyFill="1" applyBorder="1" applyAlignment="1">
      <alignment vertical="center"/>
    </xf>
    <xf numFmtId="0" fontId="98" fillId="2" borderId="0" xfId="0" applyFont="1" applyFill="1" applyBorder="1" applyAlignment="1">
      <alignment vertical="center"/>
    </xf>
    <xf numFmtId="17" fontId="28" fillId="2" borderId="0" xfId="0" applyNumberFormat="1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166" fontId="4" fillId="2" borderId="0" xfId="0" applyNumberFormat="1" applyFont="1" applyFill="1" applyAlignment="1">
      <alignment vertical="center"/>
    </xf>
    <xf numFmtId="164" fontId="18" fillId="2" borderId="0" xfId="0" applyNumberFormat="1" applyFont="1" applyFill="1" applyBorder="1" applyAlignment="1">
      <alignment horizontal="center" vertical="center"/>
    </xf>
    <xf numFmtId="164" fontId="28" fillId="2" borderId="0" xfId="0" applyNumberFormat="1" applyFont="1" applyFill="1" applyBorder="1" applyAlignment="1">
      <alignment horizontal="center" vertical="center"/>
    </xf>
    <xf numFmtId="164" fontId="4" fillId="2" borderId="0" xfId="2" applyNumberFormat="1" applyFont="1" applyFill="1" applyBorder="1" applyAlignment="1">
      <alignment horizontal="center" vertical="center"/>
    </xf>
    <xf numFmtId="164" fontId="4" fillId="2" borderId="0" xfId="6" applyNumberFormat="1" applyFont="1" applyFill="1" applyAlignment="1">
      <alignment horizontal="left" vertical="center"/>
    </xf>
    <xf numFmtId="164" fontId="0" fillId="2" borderId="0" xfId="6" applyNumberFormat="1" applyFont="1" applyFill="1" applyAlignment="1">
      <alignment horizontal="center" vertical="center"/>
    </xf>
    <xf numFmtId="164" fontId="12" fillId="2" borderId="0" xfId="6" applyNumberFormat="1" applyFont="1" applyFill="1" applyAlignment="1">
      <alignment horizontal="right" vertical="center"/>
    </xf>
    <xf numFmtId="164" fontId="3" fillId="2" borderId="0" xfId="6" applyNumberFormat="1" applyFont="1" applyFill="1" applyAlignment="1">
      <alignment horizontal="center" vertical="center"/>
    </xf>
    <xf numFmtId="0" fontId="12" fillId="2" borderId="0" xfId="0" applyFont="1" applyFill="1" applyAlignment="1">
      <alignment vertical="top"/>
    </xf>
    <xf numFmtId="0" fontId="3" fillId="2" borderId="0" xfId="0" applyFont="1" applyFill="1" applyAlignment="1">
      <alignment horizontal="right" vertical="center"/>
    </xf>
    <xf numFmtId="174" fontId="4" fillId="2" borderId="0" xfId="2" applyNumberFormat="1" applyFont="1" applyFill="1" applyAlignment="1">
      <alignment vertical="center"/>
    </xf>
    <xf numFmtId="164" fontId="0" fillId="2" borderId="0" xfId="0" applyNumberFormat="1" applyFont="1" applyFill="1" applyAlignment="1">
      <alignment horizontal="center" vertical="center"/>
    </xf>
    <xf numFmtId="164" fontId="3" fillId="2" borderId="0" xfId="0" applyNumberFormat="1" applyFont="1" applyFill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164" fontId="12" fillId="2" borderId="67" xfId="0" applyNumberFormat="1" applyFont="1" applyFill="1" applyBorder="1" applyAlignment="1">
      <alignment vertical="center"/>
    </xf>
    <xf numFmtId="9" fontId="12" fillId="2" borderId="112" xfId="2" applyFont="1" applyFill="1" applyBorder="1" applyAlignment="1">
      <alignment horizontal="center" vertical="center"/>
    </xf>
    <xf numFmtId="166" fontId="12" fillId="2" borderId="71" xfId="6" applyFont="1" applyFill="1" applyBorder="1" applyAlignment="1">
      <alignment horizontal="center" vertical="center"/>
    </xf>
    <xf numFmtId="164" fontId="32" fillId="0" borderId="105" xfId="6" applyNumberFormat="1" applyFont="1" applyFill="1" applyBorder="1" applyAlignment="1">
      <alignment vertical="center"/>
    </xf>
    <xf numFmtId="164" fontId="27" fillId="2" borderId="67" xfId="0" applyNumberFormat="1" applyFont="1" applyFill="1" applyBorder="1" applyAlignment="1">
      <alignment vertical="center"/>
    </xf>
    <xf numFmtId="164" fontId="69" fillId="0" borderId="105" xfId="6" applyNumberFormat="1" applyFont="1" applyFill="1" applyBorder="1" applyAlignment="1">
      <alignment vertical="center"/>
    </xf>
    <xf numFmtId="164" fontId="101" fillId="2" borderId="117" xfId="6" applyNumberFormat="1" applyFont="1" applyFill="1" applyBorder="1" applyAlignment="1">
      <alignment horizontal="center" vertical="center"/>
    </xf>
    <xf numFmtId="164" fontId="101" fillId="2" borderId="67" xfId="6" applyNumberFormat="1" applyFont="1" applyFill="1" applyBorder="1" applyAlignment="1">
      <alignment vertical="center"/>
    </xf>
    <xf numFmtId="164" fontId="4" fillId="2" borderId="128" xfId="6" applyNumberFormat="1" applyFont="1" applyFill="1" applyBorder="1" applyAlignment="1">
      <alignment horizontal="center" vertical="center"/>
    </xf>
    <xf numFmtId="164" fontId="4" fillId="2" borderId="214" xfId="6" applyNumberFormat="1" applyFont="1" applyFill="1" applyBorder="1" applyAlignment="1">
      <alignment vertical="center"/>
    </xf>
    <xf numFmtId="164" fontId="4" fillId="0" borderId="144" xfId="6" applyNumberFormat="1" applyFont="1" applyFill="1" applyBorder="1" applyAlignment="1">
      <alignment vertical="center"/>
    </xf>
    <xf numFmtId="164" fontId="12" fillId="0" borderId="67" xfId="0" applyNumberFormat="1" applyFont="1" applyFill="1" applyBorder="1" applyAlignment="1">
      <alignment vertical="center"/>
    </xf>
    <xf numFmtId="164" fontId="12" fillId="2" borderId="76" xfId="0" applyNumberFormat="1" applyFont="1" applyFill="1" applyBorder="1" applyAlignment="1">
      <alignment vertical="center"/>
    </xf>
    <xf numFmtId="9" fontId="12" fillId="2" borderId="77" xfId="2" applyFont="1" applyFill="1" applyBorder="1" applyAlignment="1">
      <alignment horizontal="center" vertical="center"/>
    </xf>
    <xf numFmtId="164" fontId="12" fillId="2" borderId="111" xfId="0" applyNumberFormat="1" applyFont="1" applyFill="1" applyBorder="1" applyAlignment="1">
      <alignment vertical="center"/>
    </xf>
    <xf numFmtId="9" fontId="12" fillId="2" borderId="141" xfId="2" applyFont="1" applyFill="1" applyBorder="1" applyAlignment="1">
      <alignment horizontal="center" vertical="center"/>
    </xf>
    <xf numFmtId="164" fontId="12" fillId="0" borderId="85" xfId="6" applyNumberFormat="1" applyFont="1" applyFill="1" applyBorder="1" applyAlignment="1">
      <alignment horizontal="center" vertical="center"/>
    </xf>
    <xf numFmtId="164" fontId="12" fillId="0" borderId="86" xfId="6" applyNumberFormat="1" applyFont="1" applyFill="1" applyBorder="1" applyAlignment="1">
      <alignment vertical="center"/>
    </xf>
    <xf numFmtId="9" fontId="102" fillId="2" borderId="71" xfId="2" applyFont="1" applyFill="1" applyBorder="1" applyAlignment="1">
      <alignment horizontal="center" vertical="center"/>
    </xf>
    <xf numFmtId="166" fontId="12" fillId="4" borderId="23" xfId="6" applyFont="1" applyFill="1" applyBorder="1" applyAlignment="1">
      <alignment vertical="center"/>
    </xf>
    <xf numFmtId="164" fontId="12" fillId="2" borderId="74" xfId="6" applyNumberFormat="1" applyFont="1" applyFill="1" applyBorder="1" applyAlignment="1">
      <alignment horizontal="center" vertical="center"/>
    </xf>
    <xf numFmtId="165" fontId="4" fillId="0" borderId="6" xfId="1" applyNumberFormat="1" applyFont="1" applyFill="1" applyBorder="1" applyAlignment="1">
      <alignment horizontal="center" vertical="center"/>
    </xf>
    <xf numFmtId="165" fontId="4" fillId="2" borderId="87" xfId="1" applyNumberFormat="1" applyFont="1" applyFill="1" applyBorder="1" applyAlignment="1">
      <alignment vertical="center"/>
    </xf>
    <xf numFmtId="165" fontId="4" fillId="2" borderId="71" xfId="1" applyNumberFormat="1" applyFont="1" applyFill="1" applyBorder="1" applyAlignment="1">
      <alignment vertical="center"/>
    </xf>
    <xf numFmtId="166" fontId="4" fillId="2" borderId="105" xfId="6" applyFont="1" applyFill="1" applyBorder="1" applyAlignment="1">
      <alignment horizontal="center" vertical="center"/>
    </xf>
    <xf numFmtId="164" fontId="12" fillId="23" borderId="82" xfId="0" applyNumberFormat="1" applyFont="1" applyFill="1" applyBorder="1" applyAlignment="1">
      <alignment vertical="center"/>
    </xf>
    <xf numFmtId="164" fontId="12" fillId="23" borderId="84" xfId="0" applyNumberFormat="1" applyFont="1" applyFill="1" applyBorder="1" applyAlignment="1">
      <alignment vertical="center"/>
    </xf>
    <xf numFmtId="164" fontId="4" fillId="2" borderId="186" xfId="6" applyNumberFormat="1" applyFont="1" applyFill="1" applyBorder="1" applyAlignment="1">
      <alignment vertical="center"/>
    </xf>
    <xf numFmtId="9" fontId="21" fillId="22" borderId="23" xfId="2" applyFont="1" applyFill="1" applyBorder="1" applyAlignment="1">
      <alignment horizontal="center" vertical="center"/>
    </xf>
    <xf numFmtId="164" fontId="57" fillId="2" borderId="34" xfId="0" applyNumberFormat="1" applyFont="1" applyFill="1" applyBorder="1" applyAlignment="1">
      <alignment vertical="center"/>
    </xf>
    <xf numFmtId="164" fontId="0" fillId="4" borderId="12" xfId="6" applyNumberFormat="1" applyFont="1" applyFill="1" applyBorder="1" applyAlignment="1">
      <alignment vertical="center"/>
    </xf>
    <xf numFmtId="164" fontId="0" fillId="2" borderId="15" xfId="0" applyNumberFormat="1" applyFill="1" applyBorder="1" applyAlignment="1">
      <alignment vertical="center"/>
    </xf>
    <xf numFmtId="164" fontId="12" fillId="2" borderId="106" xfId="6" applyNumberFormat="1" applyFont="1" applyFill="1" applyBorder="1" applyAlignment="1">
      <alignment horizontal="center" vertical="center"/>
    </xf>
    <xf numFmtId="9" fontId="103" fillId="0" borderId="71" xfId="2" applyFont="1" applyFill="1" applyBorder="1" applyAlignment="1">
      <alignment horizontal="left" vertical="center"/>
    </xf>
    <xf numFmtId="166" fontId="4" fillId="0" borderId="66" xfId="6" applyFont="1" applyFill="1" applyBorder="1" applyAlignment="1">
      <alignment horizontal="left" vertical="center" wrapText="1"/>
    </xf>
    <xf numFmtId="168" fontId="5" fillId="0" borderId="66" xfId="4" applyNumberFormat="1" applyFont="1" applyFill="1" applyBorder="1" applyAlignment="1">
      <alignment horizontal="center" vertical="center"/>
    </xf>
    <xf numFmtId="164" fontId="12" fillId="0" borderId="34" xfId="6" applyNumberFormat="1" applyFont="1" applyFill="1" applyBorder="1" applyAlignment="1">
      <alignment horizontal="center" vertical="center"/>
    </xf>
    <xf numFmtId="164" fontId="12" fillId="0" borderId="34" xfId="6" applyNumberFormat="1" applyFont="1" applyFill="1" applyBorder="1" applyAlignment="1">
      <alignment vertical="center"/>
    </xf>
    <xf numFmtId="9" fontId="12" fillId="0" borderId="34" xfId="2" applyFont="1" applyFill="1" applyBorder="1" applyAlignment="1">
      <alignment horizontal="center" vertical="center"/>
    </xf>
    <xf numFmtId="167" fontId="12" fillId="0" borderId="34" xfId="2" applyNumberFormat="1" applyFont="1" applyFill="1" applyBorder="1" applyAlignment="1">
      <alignment horizontal="center" vertical="center"/>
    </xf>
    <xf numFmtId="164" fontId="12" fillId="0" borderId="682" xfId="6" applyNumberFormat="1" applyFont="1" applyFill="1" applyBorder="1" applyAlignment="1">
      <alignment vertical="center"/>
    </xf>
    <xf numFmtId="164" fontId="12" fillId="0" borderId="33" xfId="6" applyNumberFormat="1" applyFont="1" applyFill="1" applyBorder="1" applyAlignment="1">
      <alignment vertical="center"/>
    </xf>
    <xf numFmtId="9" fontId="12" fillId="0" borderId="69" xfId="2" applyFont="1" applyFill="1" applyBorder="1" applyAlignment="1">
      <alignment vertical="center"/>
    </xf>
    <xf numFmtId="164" fontId="12" fillId="0" borderId="69" xfId="6" applyNumberFormat="1" applyFont="1" applyFill="1" applyBorder="1" applyAlignment="1">
      <alignment vertical="center"/>
    </xf>
    <xf numFmtId="164" fontId="12" fillId="0" borderId="33" xfId="6" applyNumberFormat="1" applyFont="1" applyFill="1" applyBorder="1" applyAlignment="1">
      <alignment horizontal="center" vertical="center"/>
    </xf>
    <xf numFmtId="9" fontId="12" fillId="0" borderId="69" xfId="2" applyFont="1" applyFill="1" applyBorder="1" applyAlignment="1">
      <alignment horizontal="center" vertical="center"/>
    </xf>
    <xf numFmtId="9" fontId="4" fillId="0" borderId="69" xfId="2" applyFont="1" applyFill="1" applyBorder="1" applyAlignment="1">
      <alignment horizontal="center" vertical="center"/>
    </xf>
    <xf numFmtId="1" fontId="12" fillId="2" borderId="683" xfId="2" applyNumberFormat="1" applyFont="1" applyFill="1" applyBorder="1" applyAlignment="1">
      <alignment horizontal="center" vertical="center"/>
    </xf>
    <xf numFmtId="164" fontId="12" fillId="2" borderId="684" xfId="6" applyNumberFormat="1" applyFont="1" applyFill="1" applyBorder="1" applyAlignment="1">
      <alignment horizontal="center" vertical="center"/>
    </xf>
    <xf numFmtId="9" fontId="12" fillId="2" borderId="685" xfId="2" applyFont="1" applyFill="1" applyBorder="1" applyAlignment="1">
      <alignment horizontal="center" vertical="center"/>
    </xf>
    <xf numFmtId="1" fontId="4" fillId="0" borderId="33" xfId="0" applyNumberFormat="1" applyFont="1" applyFill="1" applyBorder="1" applyAlignment="1">
      <alignment horizontal="center" vertical="center"/>
    </xf>
    <xf numFmtId="1" fontId="4" fillId="0" borderId="34" xfId="0" applyNumberFormat="1" applyFont="1" applyFill="1" applyBorder="1" applyAlignment="1">
      <alignment horizontal="center" vertical="center"/>
    </xf>
    <xf numFmtId="164" fontId="4" fillId="0" borderId="267" xfId="6" applyNumberFormat="1" applyFont="1" applyFill="1" applyBorder="1" applyAlignment="1">
      <alignment vertical="center"/>
    </xf>
    <xf numFmtId="164" fontId="12" fillId="0" borderId="193" xfId="6" applyNumberFormat="1" applyFont="1" applyFill="1" applyBorder="1" applyAlignment="1">
      <alignment vertical="center"/>
    </xf>
    <xf numFmtId="9" fontId="4" fillId="0" borderId="491" xfId="2" applyFont="1" applyFill="1" applyBorder="1" applyAlignment="1">
      <alignment horizontal="center" vertical="center"/>
    </xf>
    <xf numFmtId="167" fontId="4" fillId="0" borderId="324" xfId="6" applyNumberFormat="1" applyFont="1" applyFill="1" applyBorder="1" applyAlignment="1">
      <alignment horizontal="center" vertical="center"/>
    </xf>
    <xf numFmtId="164" fontId="4" fillId="0" borderId="446" xfId="6" applyNumberFormat="1" applyFont="1" applyFill="1" applyBorder="1" applyAlignment="1">
      <alignment vertical="center"/>
    </xf>
    <xf numFmtId="166" fontId="4" fillId="0" borderId="34" xfId="6" applyFont="1" applyFill="1" applyBorder="1" applyAlignment="1">
      <alignment horizontal="center" vertical="center"/>
    </xf>
    <xf numFmtId="167" fontId="4" fillId="2" borderId="33" xfId="6" applyNumberFormat="1" applyFont="1" applyFill="1" applyBorder="1" applyAlignment="1">
      <alignment horizontal="center" vertical="center"/>
    </xf>
    <xf numFmtId="164" fontId="4" fillId="2" borderId="686" xfId="6" applyNumberFormat="1" applyFont="1" applyFill="1" applyBorder="1" applyAlignment="1">
      <alignment vertical="center"/>
    </xf>
    <xf numFmtId="164" fontId="4" fillId="2" borderId="687" xfId="6" applyNumberFormat="1" applyFont="1" applyFill="1" applyBorder="1" applyAlignment="1">
      <alignment vertical="center"/>
    </xf>
    <xf numFmtId="3" fontId="4" fillId="2" borderId="33" xfId="6" applyNumberFormat="1" applyFont="1" applyFill="1" applyBorder="1" applyAlignment="1">
      <alignment horizontal="center" vertical="center"/>
    </xf>
    <xf numFmtId="3" fontId="4" fillId="0" borderId="33" xfId="6" applyNumberFormat="1" applyFont="1" applyFill="1" applyBorder="1" applyAlignment="1">
      <alignment horizontal="center" vertical="center"/>
    </xf>
    <xf numFmtId="164" fontId="4" fillId="0" borderId="204" xfId="6" applyNumberFormat="1" applyFont="1" applyFill="1" applyBorder="1" applyAlignment="1">
      <alignment vertical="center"/>
    </xf>
    <xf numFmtId="164" fontId="4" fillId="2" borderId="688" xfId="6" applyNumberFormat="1" applyFont="1" applyFill="1" applyBorder="1" applyAlignment="1">
      <alignment vertical="center"/>
    </xf>
    <xf numFmtId="9" fontId="4" fillId="2" borderId="689" xfId="2" applyFont="1" applyFill="1" applyBorder="1" applyAlignment="1">
      <alignment horizontal="center" vertical="center"/>
    </xf>
    <xf numFmtId="9" fontId="4" fillId="0" borderId="34" xfId="2" applyFont="1" applyFill="1" applyBorder="1" applyAlignment="1">
      <alignment horizontal="center" vertical="center"/>
    </xf>
    <xf numFmtId="169" fontId="4" fillId="2" borderId="185" xfId="6" applyNumberFormat="1" applyFont="1" applyFill="1" applyBorder="1" applyAlignment="1">
      <alignment horizontal="center" vertical="center"/>
    </xf>
    <xf numFmtId="9" fontId="4" fillId="2" borderId="491" xfId="2" applyFont="1" applyFill="1" applyBorder="1" applyAlignment="1">
      <alignment horizontal="center" vertical="center"/>
    </xf>
    <xf numFmtId="166" fontId="4" fillId="0" borderId="69" xfId="6" applyFont="1" applyFill="1" applyBorder="1" applyAlignment="1">
      <alignment vertical="center"/>
    </xf>
    <xf numFmtId="0" fontId="4" fillId="2" borderId="524" xfId="0" applyFont="1" applyFill="1" applyBorder="1" applyAlignment="1">
      <alignment horizontal="center" vertical="center"/>
    </xf>
    <xf numFmtId="0" fontId="4" fillId="2" borderId="690" xfId="0" applyFont="1" applyFill="1" applyBorder="1" applyAlignment="1">
      <alignment horizontal="left" vertical="center"/>
    </xf>
    <xf numFmtId="0" fontId="24" fillId="2" borderId="690" xfId="0" applyFont="1" applyFill="1" applyBorder="1" applyAlignment="1">
      <alignment horizontal="center" vertical="center"/>
    </xf>
    <xf numFmtId="168" fontId="24" fillId="2" borderId="690" xfId="3" applyNumberFormat="1" applyFont="1" applyFill="1" applyBorder="1" applyAlignment="1">
      <alignment horizontal="center" vertical="center"/>
    </xf>
    <xf numFmtId="168" fontId="24" fillId="2" borderId="690" xfId="4" applyNumberFormat="1" applyFont="1" applyFill="1" applyBorder="1" applyAlignment="1">
      <alignment horizontal="center" vertical="center"/>
    </xf>
    <xf numFmtId="164" fontId="18" fillId="2" borderId="691" xfId="6" applyNumberFormat="1" applyFont="1" applyFill="1" applyBorder="1" applyAlignment="1">
      <alignment horizontal="center" vertical="center"/>
    </xf>
    <xf numFmtId="164" fontId="4" fillId="2" borderId="444" xfId="0" applyNumberFormat="1" applyFont="1" applyFill="1" applyBorder="1" applyAlignment="1">
      <alignment horizontal="center" vertical="center"/>
    </xf>
    <xf numFmtId="164" fontId="80" fillId="2" borderId="444" xfId="5" applyNumberFormat="1" applyFont="1" applyFill="1" applyBorder="1" applyAlignment="1">
      <alignment vertical="center"/>
    </xf>
    <xf numFmtId="3" fontId="12" fillId="2" borderId="444" xfId="6" applyNumberFormat="1" applyFont="1" applyFill="1" applyBorder="1" applyAlignment="1">
      <alignment horizontal="center" vertical="center"/>
    </xf>
    <xf numFmtId="3" fontId="12" fillId="2" borderId="444" xfId="2" applyNumberFormat="1" applyFont="1" applyFill="1" applyBorder="1" applyAlignment="1">
      <alignment horizontal="center" vertical="center"/>
    </xf>
    <xf numFmtId="167" fontId="4" fillId="2" borderId="444" xfId="6" applyNumberFormat="1" applyFont="1" applyFill="1" applyBorder="1" applyAlignment="1">
      <alignment horizontal="center" vertical="center"/>
    </xf>
    <xf numFmtId="164" fontId="80" fillId="2" borderId="444" xfId="6" applyNumberFormat="1" applyFont="1" applyFill="1" applyBorder="1" applyAlignment="1">
      <alignment horizontal="center"/>
    </xf>
    <xf numFmtId="164" fontId="4" fillId="2" borderId="445" xfId="0" applyNumberFormat="1" applyFont="1" applyFill="1" applyBorder="1" applyAlignment="1">
      <alignment vertical="center"/>
    </xf>
    <xf numFmtId="0" fontId="80" fillId="2" borderId="443" xfId="0" applyFont="1" applyFill="1" applyBorder="1" applyAlignment="1">
      <alignment horizontal="center" vertical="center"/>
    </xf>
    <xf numFmtId="164" fontId="80" fillId="2" borderId="444" xfId="6" applyNumberFormat="1" applyFont="1" applyFill="1" applyBorder="1" applyAlignment="1">
      <alignment horizontal="center" vertical="center"/>
    </xf>
    <xf numFmtId="1" fontId="12" fillId="2" borderId="602" xfId="2" applyNumberFormat="1" applyFont="1" applyFill="1" applyBorder="1" applyAlignment="1">
      <alignment horizontal="center" vertical="center"/>
    </xf>
    <xf numFmtId="164" fontId="12" fillId="2" borderId="603" xfId="6" applyNumberFormat="1" applyFont="1" applyFill="1" applyBorder="1" applyAlignment="1">
      <alignment horizontal="center" vertical="center"/>
    </xf>
    <xf numFmtId="9" fontId="12" fillId="2" borderId="604" xfId="2" applyFont="1" applyFill="1" applyBorder="1" applyAlignment="1">
      <alignment horizontal="center" vertical="center"/>
    </xf>
    <xf numFmtId="9" fontId="4" fillId="2" borderId="600" xfId="2" applyFont="1" applyFill="1" applyBorder="1" applyAlignment="1">
      <alignment vertical="center"/>
    </xf>
    <xf numFmtId="0" fontId="4" fillId="2" borderId="599" xfId="0" applyFont="1" applyFill="1" applyBorder="1" applyAlignment="1">
      <alignment horizontal="center" vertical="center"/>
    </xf>
    <xf numFmtId="164" fontId="4" fillId="2" borderId="692" xfId="6" applyNumberFormat="1" applyFont="1" applyFill="1" applyBorder="1" applyAlignment="1">
      <alignment vertical="center"/>
    </xf>
    <xf numFmtId="164" fontId="4" fillId="2" borderId="693" xfId="6" applyNumberFormat="1" applyFont="1" applyFill="1" applyBorder="1" applyAlignment="1">
      <alignment vertical="center"/>
    </xf>
    <xf numFmtId="9" fontId="4" fillId="0" borderId="59" xfId="2" applyFont="1" applyFill="1" applyBorder="1" applyAlignment="1">
      <alignment horizontal="center" vertical="center"/>
    </xf>
    <xf numFmtId="49" fontId="4" fillId="2" borderId="200" xfId="6" applyNumberFormat="1" applyFont="1" applyFill="1" applyBorder="1" applyAlignment="1">
      <alignment horizontal="center" vertical="center"/>
    </xf>
    <xf numFmtId="164" fontId="4" fillId="0" borderId="101" xfId="6" applyNumberFormat="1" applyFont="1" applyFill="1" applyBorder="1" applyAlignment="1">
      <alignment vertical="center"/>
    </xf>
    <xf numFmtId="164" fontId="4" fillId="2" borderId="115" xfId="6" applyNumberFormat="1" applyFont="1" applyFill="1" applyBorder="1" applyAlignment="1">
      <alignment vertical="center"/>
    </xf>
    <xf numFmtId="0" fontId="4" fillId="2" borderId="65" xfId="6" applyNumberFormat="1" applyFont="1" applyFill="1" applyBorder="1" applyAlignment="1">
      <alignment horizontal="center" vertical="center"/>
    </xf>
    <xf numFmtId="0" fontId="4" fillId="2" borderId="200" xfId="6" applyNumberFormat="1" applyFont="1" applyFill="1" applyBorder="1" applyAlignment="1">
      <alignment horizontal="center" vertical="center"/>
    </xf>
    <xf numFmtId="9" fontId="73" fillId="2" borderId="142" xfId="2" applyFont="1" applyFill="1" applyBorder="1" applyAlignment="1">
      <alignment horizontal="center" vertical="center"/>
    </xf>
    <xf numFmtId="9" fontId="27" fillId="14" borderId="71" xfId="2" applyFont="1" applyFill="1" applyBorder="1" applyAlignment="1">
      <alignment horizontal="center" vertical="center"/>
    </xf>
    <xf numFmtId="164" fontId="5" fillId="0" borderId="107" xfId="6" quotePrefix="1" applyNumberFormat="1" applyFont="1" applyFill="1" applyBorder="1" applyAlignment="1">
      <alignment horizontal="center" vertical="center"/>
    </xf>
    <xf numFmtId="166" fontId="4" fillId="2" borderId="107" xfId="6" applyFont="1" applyFill="1" applyBorder="1" applyAlignment="1">
      <alignment vertical="center" wrapText="1"/>
    </xf>
    <xf numFmtId="164" fontId="74" fillId="2" borderId="67" xfId="0" applyNumberFormat="1" applyFont="1" applyFill="1" applyBorder="1" applyAlignment="1">
      <alignment vertical="center"/>
    </xf>
    <xf numFmtId="166" fontId="74" fillId="2" borderId="71" xfId="6" applyFont="1" applyFill="1" applyBorder="1" applyAlignment="1">
      <alignment horizontal="center" vertical="center"/>
    </xf>
    <xf numFmtId="0" fontId="69" fillId="0" borderId="524" xfId="0" applyFont="1" applyFill="1" applyBorder="1" applyAlignment="1">
      <alignment horizontal="center" vertical="center"/>
    </xf>
    <xf numFmtId="166" fontId="69" fillId="0" borderId="152" xfId="6" applyFont="1" applyFill="1" applyBorder="1" applyAlignment="1">
      <alignment horizontal="left" vertical="center" wrapText="1"/>
    </xf>
    <xf numFmtId="164" fontId="69" fillId="0" borderId="414" xfId="6" applyNumberFormat="1" applyFont="1" applyFill="1" applyBorder="1" applyAlignment="1">
      <alignment vertical="center"/>
    </xf>
    <xf numFmtId="164" fontId="12" fillId="0" borderId="75" xfId="6" applyNumberFormat="1" applyFont="1" applyFill="1" applyBorder="1" applyAlignment="1">
      <alignment horizontal="center" vertical="center"/>
    </xf>
    <xf numFmtId="164" fontId="12" fillId="0" borderId="76" xfId="0" applyNumberFormat="1" applyFont="1" applyFill="1" applyBorder="1" applyAlignment="1">
      <alignment vertical="center"/>
    </xf>
    <xf numFmtId="9" fontId="12" fillId="0" borderId="77" xfId="2" applyFont="1" applyFill="1" applyBorder="1" applyAlignment="1">
      <alignment horizontal="center" vertical="center"/>
    </xf>
    <xf numFmtId="9" fontId="12" fillId="2" borderId="102" xfId="2" applyFont="1" applyFill="1" applyBorder="1" applyAlignment="1">
      <alignment horizontal="center" vertical="center"/>
    </xf>
    <xf numFmtId="164" fontId="12" fillId="0" borderId="348" xfId="6" applyNumberFormat="1" applyFont="1" applyFill="1" applyBorder="1" applyAlignment="1">
      <alignment horizontal="center" vertical="center"/>
    </xf>
    <xf numFmtId="164" fontId="12" fillId="0" borderId="116" xfId="6" applyNumberFormat="1" applyFont="1" applyFill="1" applyBorder="1" applyAlignment="1">
      <alignment vertical="center"/>
    </xf>
    <xf numFmtId="164" fontId="12" fillId="0" borderId="116" xfId="0" applyNumberFormat="1" applyFont="1" applyFill="1" applyBorder="1" applyAlignment="1">
      <alignment vertical="center"/>
    </xf>
    <xf numFmtId="9" fontId="25" fillId="0" borderId="112" xfId="2" applyFont="1" applyFill="1" applyBorder="1" applyAlignment="1">
      <alignment horizontal="center" vertical="center"/>
    </xf>
    <xf numFmtId="164" fontId="12" fillId="4" borderId="106" xfId="6" applyNumberFormat="1" applyFont="1" applyFill="1" applyBorder="1" applyAlignment="1">
      <alignment horizontal="center" vertical="center"/>
    </xf>
    <xf numFmtId="164" fontId="12" fillId="4" borderId="56" xfId="6" applyNumberFormat="1" applyFont="1" applyFill="1" applyBorder="1" applyAlignment="1">
      <alignment vertical="center"/>
    </xf>
    <xf numFmtId="164" fontId="12" fillId="4" borderId="56" xfId="0" applyNumberFormat="1" applyFont="1" applyFill="1" applyBorder="1" applyAlignment="1">
      <alignment vertical="center"/>
    </xf>
    <xf numFmtId="9" fontId="12" fillId="4" borderId="118" xfId="2" applyFont="1" applyFill="1" applyBorder="1" applyAlignment="1">
      <alignment horizontal="center" vertical="center"/>
    </xf>
    <xf numFmtId="9" fontId="27" fillId="2" borderId="112" xfId="2" applyFont="1" applyFill="1" applyBorder="1" applyAlignment="1">
      <alignment horizontal="center" vertical="center"/>
    </xf>
    <xf numFmtId="166" fontId="12" fillId="2" borderId="112" xfId="6" applyFont="1" applyFill="1" applyBorder="1" applyAlignment="1">
      <alignment horizontal="center" vertical="center"/>
    </xf>
    <xf numFmtId="164" fontId="12" fillId="2" borderId="203" xfId="6" applyNumberFormat="1" applyFont="1" applyFill="1" applyBorder="1" applyAlignment="1">
      <alignment horizontal="center" vertical="center"/>
    </xf>
    <xf numFmtId="164" fontId="12" fillId="0" borderId="57" xfId="6" applyNumberFormat="1" applyFont="1" applyFill="1" applyBorder="1" applyAlignment="1">
      <alignment horizontal="center" vertical="center"/>
    </xf>
    <xf numFmtId="9" fontId="25" fillId="2" borderId="112" xfId="2" applyFont="1" applyFill="1" applyBorder="1" applyAlignment="1">
      <alignment horizontal="center" vertical="center"/>
    </xf>
    <xf numFmtId="166" fontId="50" fillId="0" borderId="152" xfId="6" applyFont="1" applyFill="1" applyBorder="1" applyAlignment="1">
      <alignment vertical="center" wrapText="1"/>
    </xf>
    <xf numFmtId="9" fontId="4" fillId="0" borderId="695" xfId="2" applyFont="1" applyFill="1" applyBorder="1" applyAlignment="1">
      <alignment horizontal="center" vertical="center"/>
    </xf>
    <xf numFmtId="164" fontId="4" fillId="0" borderId="195" xfId="6" applyNumberFormat="1" applyFont="1" applyFill="1" applyBorder="1" applyAlignment="1">
      <alignment horizontal="center" vertical="center"/>
    </xf>
    <xf numFmtId="164" fontId="12" fillId="0" borderId="572" xfId="6" applyNumberFormat="1" applyFont="1" applyFill="1" applyBorder="1" applyAlignment="1">
      <alignment vertical="center"/>
    </xf>
    <xf numFmtId="9" fontId="4" fillId="2" borderId="54" xfId="2" applyFont="1" applyFill="1" applyBorder="1" applyAlignment="1">
      <alignment horizontal="center" vertical="center"/>
    </xf>
    <xf numFmtId="49" fontId="12" fillId="2" borderId="183" xfId="6" applyNumberFormat="1" applyFont="1" applyFill="1" applyBorder="1" applyAlignment="1">
      <alignment horizontal="center" vertical="center"/>
    </xf>
    <xf numFmtId="49" fontId="12" fillId="2" borderId="200" xfId="6" applyNumberFormat="1" applyFont="1" applyFill="1" applyBorder="1" applyAlignment="1">
      <alignment horizontal="center" vertical="center"/>
    </xf>
    <xf numFmtId="9" fontId="12" fillId="2" borderId="59" xfId="2" applyFont="1" applyFill="1" applyBorder="1" applyAlignment="1">
      <alignment vertical="center"/>
    </xf>
    <xf numFmtId="164" fontId="12" fillId="2" borderId="74" xfId="6" applyNumberFormat="1" applyFont="1" applyFill="1" applyBorder="1" applyAlignment="1">
      <alignment vertical="center"/>
    </xf>
    <xf numFmtId="164" fontId="12" fillId="2" borderId="101" xfId="6" applyNumberFormat="1" applyFont="1" applyFill="1" applyBorder="1" applyAlignment="1">
      <alignment vertical="center"/>
    </xf>
    <xf numFmtId="9" fontId="12" fillId="2" borderId="74" xfId="2" applyFont="1" applyFill="1" applyBorder="1" applyAlignment="1">
      <alignment horizontal="center" vertical="center"/>
    </xf>
    <xf numFmtId="9" fontId="12" fillId="2" borderId="69" xfId="2" applyFont="1" applyFill="1" applyBorder="1" applyAlignment="1">
      <alignment horizontal="center" vertical="center"/>
    </xf>
    <xf numFmtId="164" fontId="26" fillId="2" borderId="67" xfId="0" applyNumberFormat="1" applyFont="1" applyFill="1" applyBorder="1" applyAlignment="1">
      <alignment vertical="center"/>
    </xf>
    <xf numFmtId="164" fontId="4" fillId="0" borderId="65" xfId="6" applyNumberFormat="1" applyFont="1" applyFill="1" applyBorder="1" applyAlignment="1">
      <alignment horizontal="center" vertical="center"/>
    </xf>
    <xf numFmtId="164" fontId="12" fillId="0" borderId="200" xfId="6" applyNumberFormat="1" applyFont="1" applyFill="1" applyBorder="1" applyAlignment="1">
      <alignment horizontal="center" vertical="center"/>
    </xf>
    <xf numFmtId="164" fontId="12" fillId="0" borderId="52" xfId="6" applyNumberFormat="1" applyFont="1" applyFill="1" applyBorder="1" applyAlignment="1">
      <alignment vertical="center"/>
    </xf>
    <xf numFmtId="164" fontId="12" fillId="0" borderId="52" xfId="0" applyNumberFormat="1" applyFont="1" applyFill="1" applyBorder="1" applyAlignment="1">
      <alignment vertical="center"/>
    </xf>
    <xf numFmtId="9" fontId="12" fillId="2" borderId="59" xfId="2" applyFont="1" applyFill="1" applyBorder="1" applyAlignment="1">
      <alignment horizontal="center" vertical="center"/>
    </xf>
    <xf numFmtId="9" fontId="92" fillId="2" borderId="54" xfId="2" applyFont="1" applyFill="1" applyBorder="1" applyAlignment="1">
      <alignment vertical="center"/>
    </xf>
    <xf numFmtId="164" fontId="4" fillId="0" borderId="211" xfId="6" applyNumberFormat="1" applyFont="1" applyFill="1" applyBorder="1" applyAlignment="1">
      <alignment vertical="center"/>
    </xf>
    <xf numFmtId="164" fontId="4" fillId="0" borderId="194" xfId="6" applyNumberFormat="1" applyFont="1" applyFill="1" applyBorder="1" applyAlignment="1">
      <alignment vertical="center"/>
    </xf>
    <xf numFmtId="164" fontId="4" fillId="2" borderId="696" xfId="6" applyNumberFormat="1" applyFont="1" applyFill="1" applyBorder="1" applyAlignment="1">
      <alignment vertical="center"/>
    </xf>
    <xf numFmtId="43" fontId="42" fillId="2" borderId="69" xfId="1" applyFont="1" applyFill="1" applyBorder="1" applyAlignment="1">
      <alignment vertical="center"/>
    </xf>
    <xf numFmtId="166" fontId="42" fillId="2" borderId="33" xfId="6" applyFont="1" applyFill="1" applyBorder="1" applyAlignment="1">
      <alignment vertical="center"/>
    </xf>
    <xf numFmtId="166" fontId="42" fillId="2" borderId="117" xfId="6" applyFont="1" applyFill="1" applyBorder="1" applyAlignment="1">
      <alignment horizontal="center" vertical="center"/>
    </xf>
    <xf numFmtId="166" fontId="42" fillId="2" borderId="37" xfId="6" applyFont="1" applyFill="1" applyBorder="1" applyAlignment="1">
      <alignment horizontal="center" vertical="center"/>
    </xf>
    <xf numFmtId="43" fontId="42" fillId="2" borderId="33" xfId="1" applyFont="1" applyFill="1" applyBorder="1" applyAlignment="1">
      <alignment horizontal="center" vertical="center"/>
    </xf>
    <xf numFmtId="43" fontId="42" fillId="2" borderId="34" xfId="1" applyFont="1" applyFill="1" applyBorder="1" applyAlignment="1">
      <alignment horizontal="center" vertical="center"/>
    </xf>
    <xf numFmtId="43" fontId="42" fillId="2" borderId="69" xfId="1" applyFont="1" applyFill="1" applyBorder="1" applyAlignment="1">
      <alignment horizontal="center" vertical="center"/>
    </xf>
    <xf numFmtId="166" fontId="0" fillId="2" borderId="10" xfId="6" applyFont="1" applyFill="1" applyBorder="1"/>
    <xf numFmtId="166" fontId="10" fillId="2" borderId="10" xfId="6" applyFont="1" applyFill="1" applyBorder="1"/>
    <xf numFmtId="166" fontId="0" fillId="2" borderId="23" xfId="6" applyFont="1" applyFill="1" applyBorder="1"/>
    <xf numFmtId="166" fontId="0" fillId="2" borderId="18" xfId="6" applyFont="1" applyFill="1" applyBorder="1"/>
    <xf numFmtId="166" fontId="3" fillId="2" borderId="29" xfId="6" applyFont="1" applyFill="1" applyBorder="1"/>
    <xf numFmtId="166" fontId="0" fillId="2" borderId="31" xfId="6" applyFont="1" applyFill="1" applyBorder="1"/>
    <xf numFmtId="166" fontId="0" fillId="2" borderId="0" xfId="6" applyFont="1" applyFill="1"/>
    <xf numFmtId="165" fontId="4" fillId="2" borderId="63" xfId="1" applyNumberFormat="1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3" fontId="4" fillId="0" borderId="37" xfId="0" applyNumberFormat="1" applyFont="1" applyFill="1" applyBorder="1" applyAlignment="1">
      <alignment horizontal="center" vertical="center" wrapText="1"/>
    </xf>
    <xf numFmtId="167" fontId="42" fillId="2" borderId="34" xfId="2" applyNumberFormat="1" applyFont="1" applyFill="1" applyBorder="1" applyAlignment="1">
      <alignment horizontal="center" vertical="center"/>
    </xf>
    <xf numFmtId="167" fontId="42" fillId="2" borderId="34" xfId="1" applyNumberFormat="1" applyFont="1" applyFill="1" applyBorder="1" applyAlignment="1">
      <alignment horizontal="center" vertical="center"/>
    </xf>
    <xf numFmtId="0" fontId="41" fillId="2" borderId="0" xfId="0" applyFont="1" applyFill="1" applyBorder="1" applyAlignment="1">
      <alignment vertical="center"/>
    </xf>
    <xf numFmtId="0" fontId="41" fillId="16" borderId="0" xfId="0" applyFont="1" applyFill="1" applyBorder="1" applyAlignment="1">
      <alignment horizontal="center" vertical="center"/>
    </xf>
    <xf numFmtId="164" fontId="41" fillId="16" borderId="0" xfId="6" applyNumberFormat="1" applyFont="1" applyFill="1" applyBorder="1" applyAlignment="1">
      <alignment horizontal="center" vertical="center"/>
    </xf>
    <xf numFmtId="9" fontId="41" fillId="16" borderId="0" xfId="2" applyFont="1" applyFill="1" applyBorder="1" applyAlignment="1">
      <alignment horizontal="center" vertical="center"/>
    </xf>
    <xf numFmtId="9" fontId="41" fillId="2" borderId="0" xfId="2" applyFont="1" applyFill="1" applyBorder="1" applyAlignment="1">
      <alignment vertical="center"/>
    </xf>
    <xf numFmtId="0" fontId="3" fillId="25" borderId="0" xfId="0" applyFont="1" applyFill="1" applyBorder="1" applyAlignment="1">
      <alignment horizontal="left" vertical="center"/>
    </xf>
    <xf numFmtId="0" fontId="55" fillId="25" borderId="0" xfId="0" applyFont="1" applyFill="1" applyBorder="1" applyAlignment="1">
      <alignment horizontal="left" vertical="center"/>
    </xf>
    <xf numFmtId="0" fontId="55" fillId="25" borderId="0" xfId="0" applyFont="1" applyFill="1" applyBorder="1" applyAlignment="1">
      <alignment horizontal="center" vertical="center"/>
    </xf>
    <xf numFmtId="0" fontId="55" fillId="25" borderId="0" xfId="0" applyFont="1" applyFill="1" applyBorder="1" applyAlignment="1">
      <alignment vertical="center"/>
    </xf>
    <xf numFmtId="0" fontId="55" fillId="16" borderId="0" xfId="0" applyFont="1" applyFill="1" applyBorder="1" applyAlignment="1">
      <alignment vertical="center"/>
    </xf>
    <xf numFmtId="0" fontId="12" fillId="15" borderId="0" xfId="0" applyFont="1" applyFill="1" applyBorder="1" applyAlignment="1">
      <alignment vertical="center"/>
    </xf>
    <xf numFmtId="0" fontId="3" fillId="15" borderId="0" xfId="0" applyFont="1" applyFill="1" applyBorder="1" applyAlignment="1">
      <alignment horizontal="left" vertical="center"/>
    </xf>
    <xf numFmtId="0" fontId="3" fillId="15" borderId="0" xfId="0" applyFont="1" applyFill="1" applyBorder="1" applyAlignment="1">
      <alignment horizontal="center" vertical="center"/>
    </xf>
    <xf numFmtId="0" fontId="12" fillId="15" borderId="0" xfId="0" applyFont="1" applyFill="1" applyBorder="1" applyAlignment="1">
      <alignment horizontal="center" vertical="center"/>
    </xf>
    <xf numFmtId="9" fontId="3" fillId="15" borderId="0" xfId="2" applyFont="1" applyFill="1" applyBorder="1" applyAlignment="1">
      <alignment vertical="center"/>
    </xf>
    <xf numFmtId="0" fontId="3" fillId="15" borderId="0" xfId="0" applyFont="1" applyFill="1" applyBorder="1" applyAlignment="1">
      <alignment vertical="center"/>
    </xf>
    <xf numFmtId="164" fontId="41" fillId="14" borderId="0" xfId="6" applyNumberFormat="1" applyFont="1" applyFill="1" applyBorder="1" applyAlignment="1">
      <alignment vertical="center"/>
    </xf>
    <xf numFmtId="0" fontId="41" fillId="14" borderId="0" xfId="0" applyFont="1" applyFill="1" applyBorder="1" applyAlignment="1">
      <alignment vertical="center"/>
    </xf>
    <xf numFmtId="164" fontId="41" fillId="24" borderId="0" xfId="6" applyNumberFormat="1" applyFont="1" applyFill="1" applyBorder="1" applyAlignment="1">
      <alignment vertical="center"/>
    </xf>
    <xf numFmtId="0" fontId="41" fillId="24" borderId="0" xfId="0" applyFont="1" applyFill="1" applyBorder="1" applyAlignment="1">
      <alignment vertical="center"/>
    </xf>
    <xf numFmtId="165" fontId="12" fillId="2" borderId="37" xfId="0" applyNumberFormat="1" applyFont="1" applyFill="1" applyBorder="1" applyAlignment="1">
      <alignment vertical="center"/>
    </xf>
    <xf numFmtId="0" fontId="12" fillId="2" borderId="63" xfId="0" applyFont="1" applyFill="1" applyBorder="1" applyAlignment="1">
      <alignment vertical="center"/>
    </xf>
    <xf numFmtId="166" fontId="4" fillId="0" borderId="107" xfId="6" applyFont="1" applyFill="1" applyBorder="1" applyAlignment="1">
      <alignment vertical="center" wrapText="1"/>
    </xf>
    <xf numFmtId="166" fontId="69" fillId="2" borderId="118" xfId="6" applyFont="1" applyFill="1" applyBorder="1" applyAlignment="1">
      <alignment horizontal="center" vertical="center"/>
    </xf>
    <xf numFmtId="166" fontId="69" fillId="2" borderId="71" xfId="6" applyFont="1" applyFill="1" applyBorder="1" applyAlignment="1">
      <alignment horizontal="center" vertical="center"/>
    </xf>
    <xf numFmtId="166" fontId="4" fillId="2" borderId="102" xfId="6" applyFont="1" applyFill="1" applyBorder="1" applyAlignment="1">
      <alignment vertical="center"/>
    </xf>
    <xf numFmtId="165" fontId="12" fillId="2" borderId="127" xfId="0" applyNumberFormat="1" applyFont="1" applyFill="1" applyBorder="1" applyAlignment="1">
      <alignment vertical="center"/>
    </xf>
    <xf numFmtId="165" fontId="12" fillId="2" borderId="125" xfId="0" applyNumberFormat="1" applyFont="1" applyFill="1" applyBorder="1" applyAlignment="1">
      <alignment vertical="center"/>
    </xf>
    <xf numFmtId="165" fontId="12" fillId="2" borderId="129" xfId="0" applyNumberFormat="1" applyFont="1" applyFill="1" applyBorder="1" applyAlignment="1">
      <alignment vertical="center"/>
    </xf>
    <xf numFmtId="165" fontId="12" fillId="0" borderId="37" xfId="0" applyNumberFormat="1" applyFont="1" applyFill="1" applyBorder="1" applyAlignment="1">
      <alignment vertical="center"/>
    </xf>
    <xf numFmtId="165" fontId="12" fillId="2" borderId="117" xfId="0" applyNumberFormat="1" applyFont="1" applyFill="1" applyBorder="1" applyAlignment="1">
      <alignment vertical="center"/>
    </xf>
    <xf numFmtId="166" fontId="12" fillId="2" borderId="117" xfId="6" applyFont="1" applyFill="1" applyBorder="1" applyAlignment="1">
      <alignment vertical="center"/>
    </xf>
    <xf numFmtId="165" fontId="12" fillId="2" borderId="128" xfId="0" applyNumberFormat="1" applyFont="1" applyFill="1" applyBorder="1" applyAlignment="1">
      <alignment vertical="center"/>
    </xf>
    <xf numFmtId="164" fontId="12" fillId="2" borderId="2" xfId="6" applyNumberFormat="1" applyFont="1" applyFill="1" applyBorder="1" applyAlignment="1">
      <alignment vertical="center"/>
    </xf>
    <xf numFmtId="167" fontId="4" fillId="2" borderId="126" xfId="2" applyNumberFormat="1" applyFont="1" applyFill="1" applyBorder="1" applyAlignment="1">
      <alignment vertical="center"/>
    </xf>
    <xf numFmtId="164" fontId="69" fillId="0" borderId="70" xfId="0" applyNumberFormat="1" applyFont="1" applyFill="1" applyBorder="1" applyAlignment="1">
      <alignment vertical="center"/>
    </xf>
    <xf numFmtId="164" fontId="69" fillId="0" borderId="117" xfId="0" applyNumberFormat="1" applyFont="1" applyFill="1" applyBorder="1" applyAlignment="1">
      <alignment vertical="center"/>
    </xf>
    <xf numFmtId="164" fontId="69" fillId="0" borderId="37" xfId="0" applyNumberFormat="1" applyFont="1" applyFill="1" applyBorder="1" applyAlignment="1">
      <alignment vertical="center"/>
    </xf>
    <xf numFmtId="164" fontId="69" fillId="0" borderId="68" xfId="0" applyNumberFormat="1" applyFont="1" applyFill="1" applyBorder="1" applyAlignment="1">
      <alignment vertical="center"/>
    </xf>
    <xf numFmtId="164" fontId="4" fillId="2" borderId="188" xfId="0" applyNumberFormat="1" applyFont="1" applyFill="1" applyBorder="1" applyAlignment="1">
      <alignment vertical="center"/>
    </xf>
    <xf numFmtId="164" fontId="4" fillId="2" borderId="143" xfId="0" applyNumberFormat="1" applyFont="1" applyFill="1" applyBorder="1" applyAlignment="1">
      <alignment vertical="center"/>
    </xf>
    <xf numFmtId="164" fontId="4" fillId="2" borderId="153" xfId="0" applyNumberFormat="1" applyFont="1" applyFill="1" applyBorder="1" applyAlignment="1">
      <alignment vertical="center"/>
    </xf>
    <xf numFmtId="9" fontId="4" fillId="2" borderId="189" xfId="2" applyFont="1" applyFill="1" applyBorder="1" applyAlignment="1">
      <alignment vertical="center"/>
    </xf>
    <xf numFmtId="9" fontId="4" fillId="2" borderId="144" xfId="2" applyFont="1" applyFill="1" applyBorder="1" applyAlignment="1">
      <alignment vertical="center"/>
    </xf>
    <xf numFmtId="164" fontId="4" fillId="2" borderId="14" xfId="0" applyNumberFormat="1" applyFont="1" applyFill="1" applyBorder="1" applyAlignment="1">
      <alignment vertical="center"/>
    </xf>
    <xf numFmtId="164" fontId="4" fillId="2" borderId="15" xfId="0" applyNumberFormat="1" applyFont="1" applyFill="1" applyBorder="1" applyAlignment="1">
      <alignment vertical="center"/>
    </xf>
    <xf numFmtId="9" fontId="4" fillId="2" borderId="154" xfId="2" applyFont="1" applyFill="1" applyBorder="1" applyAlignment="1">
      <alignment vertical="center"/>
    </xf>
    <xf numFmtId="166" fontId="4" fillId="2" borderId="77" xfId="6" applyFont="1" applyFill="1" applyBorder="1" applyAlignment="1">
      <alignment vertical="center"/>
    </xf>
    <xf numFmtId="165" fontId="4" fillId="0" borderId="117" xfId="0" applyNumberFormat="1" applyFont="1" applyFill="1" applyBorder="1" applyAlignment="1">
      <alignment vertical="center"/>
    </xf>
    <xf numFmtId="164" fontId="21" fillId="22" borderId="33" xfId="6" applyNumberFormat="1" applyFont="1" applyFill="1" applyBorder="1" applyAlignment="1">
      <alignment horizontal="center" vertical="center" wrapText="1"/>
    </xf>
    <xf numFmtId="164" fontId="12" fillId="23" borderId="81" xfId="6" applyNumberFormat="1" applyFont="1" applyFill="1" applyBorder="1" applyAlignment="1">
      <alignment horizontal="center" vertical="center"/>
    </xf>
    <xf numFmtId="166" fontId="4" fillId="2" borderId="191" xfId="6" applyFont="1" applyFill="1" applyBorder="1" applyAlignment="1">
      <alignment horizontal="center" vertical="center"/>
    </xf>
    <xf numFmtId="164" fontId="12" fillId="23" borderId="19" xfId="6" applyNumberFormat="1" applyFont="1" applyFill="1" applyBorder="1" applyAlignment="1">
      <alignment horizontal="center" vertical="center"/>
    </xf>
    <xf numFmtId="164" fontId="21" fillId="22" borderId="19" xfId="6" applyNumberFormat="1" applyFont="1" applyFill="1" applyBorder="1" applyAlignment="1">
      <alignment horizontal="center" vertical="center"/>
    </xf>
    <xf numFmtId="9" fontId="42" fillId="2" borderId="125" xfId="2" applyFont="1" applyFill="1" applyBorder="1" applyAlignment="1">
      <alignment vertical="center"/>
    </xf>
    <xf numFmtId="9" fontId="42" fillId="2" borderId="96" xfId="2" applyFont="1" applyFill="1" applyBorder="1" applyAlignment="1">
      <alignment vertical="center"/>
    </xf>
    <xf numFmtId="164" fontId="42" fillId="2" borderId="128" xfId="6" applyNumberFormat="1" applyFont="1" applyFill="1" applyBorder="1" applyAlignment="1">
      <alignment horizontal="center" vertical="center"/>
    </xf>
    <xf numFmtId="164" fontId="42" fillId="2" borderId="125" xfId="0" applyNumberFormat="1" applyFont="1" applyFill="1" applyBorder="1" applyAlignment="1">
      <alignment vertical="center"/>
    </xf>
    <xf numFmtId="165" fontId="42" fillId="2" borderId="33" xfId="1" applyNumberFormat="1" applyFont="1" applyFill="1" applyBorder="1" applyAlignment="1">
      <alignment vertical="center"/>
    </xf>
    <xf numFmtId="165" fontId="42" fillId="2" borderId="34" xfId="1" applyNumberFormat="1" applyFont="1" applyFill="1" applyBorder="1" applyAlignment="1">
      <alignment vertical="center"/>
    </xf>
    <xf numFmtId="9" fontId="42" fillId="2" borderId="34" xfId="2" applyFont="1" applyFill="1" applyBorder="1" applyAlignment="1">
      <alignment horizontal="center" vertical="center"/>
    </xf>
    <xf numFmtId="9" fontId="42" fillId="2" borderId="69" xfId="2" applyFont="1" applyFill="1" applyBorder="1" applyAlignment="1">
      <alignment horizontal="center" vertical="center"/>
    </xf>
    <xf numFmtId="165" fontId="42" fillId="2" borderId="33" xfId="1" applyNumberFormat="1" applyFont="1" applyFill="1" applyBorder="1" applyAlignment="1">
      <alignment horizontal="center" vertical="center"/>
    </xf>
    <xf numFmtId="165" fontId="42" fillId="2" borderId="34" xfId="2" applyNumberFormat="1" applyFont="1" applyFill="1" applyBorder="1" applyAlignment="1">
      <alignment horizontal="center" vertical="center"/>
    </xf>
    <xf numFmtId="164" fontId="42" fillId="2" borderId="65" xfId="0" applyNumberFormat="1" applyFont="1" applyFill="1" applyBorder="1" applyAlignment="1">
      <alignment vertical="center"/>
    </xf>
    <xf numFmtId="164" fontId="42" fillId="2" borderId="66" xfId="0" applyNumberFormat="1" applyFont="1" applyFill="1" applyBorder="1" applyAlignment="1">
      <alignment vertical="center"/>
    </xf>
    <xf numFmtId="43" fontId="42" fillId="2" borderId="66" xfId="1" applyFont="1" applyFill="1" applyBorder="1" applyAlignment="1">
      <alignment vertical="center"/>
    </xf>
    <xf numFmtId="9" fontId="42" fillId="2" borderId="66" xfId="2" applyFont="1" applyFill="1" applyBorder="1" applyAlignment="1">
      <alignment vertical="center"/>
    </xf>
    <xf numFmtId="9" fontId="42" fillId="2" borderId="102" xfId="2" applyFont="1" applyFill="1" applyBorder="1" applyAlignment="1">
      <alignment vertical="center"/>
    </xf>
    <xf numFmtId="1" fontId="42" fillId="2" borderId="117" xfId="0" applyNumberFormat="1" applyFont="1" applyFill="1" applyBorder="1" applyAlignment="1">
      <alignment horizontal="center" vertical="center"/>
    </xf>
    <xf numFmtId="165" fontId="4" fillId="27" borderId="37" xfId="1" applyNumberFormat="1" applyFont="1" applyFill="1" applyBorder="1" applyAlignment="1">
      <alignment vertical="center"/>
    </xf>
    <xf numFmtId="164" fontId="0" fillId="4" borderId="0" xfId="6" applyNumberFormat="1" applyFont="1" applyFill="1" applyBorder="1" applyAlignment="1">
      <alignment vertical="center"/>
    </xf>
    <xf numFmtId="1" fontId="4" fillId="2" borderId="127" xfId="0" applyNumberFormat="1" applyFont="1" applyFill="1" applyBorder="1" applyAlignment="1">
      <alignment horizontal="center" vertical="center"/>
    </xf>
    <xf numFmtId="165" fontId="4" fillId="2" borderId="107" xfId="1" applyNumberFormat="1" applyFont="1" applyFill="1" applyBorder="1" applyAlignment="1">
      <alignment horizontal="center" vertical="center"/>
    </xf>
    <xf numFmtId="165" fontId="4" fillId="2" borderId="203" xfId="1" applyNumberFormat="1" applyFont="1" applyFill="1" applyBorder="1" applyAlignment="1">
      <alignment vertical="center"/>
    </xf>
    <xf numFmtId="165" fontId="4" fillId="2" borderId="192" xfId="1" applyNumberFormat="1" applyFont="1" applyFill="1" applyBorder="1" applyAlignment="1">
      <alignment vertical="center"/>
    </xf>
    <xf numFmtId="165" fontId="4" fillId="2" borderId="191" xfId="1" applyNumberFormat="1" applyFont="1" applyFill="1" applyBorder="1" applyAlignment="1">
      <alignment vertical="center"/>
    </xf>
    <xf numFmtId="38" fontId="4" fillId="2" borderId="127" xfId="0" applyNumberFormat="1" applyFont="1" applyFill="1" applyBorder="1" applyAlignment="1">
      <alignment vertical="center"/>
    </xf>
    <xf numFmtId="169" fontId="4" fillId="2" borderId="108" xfId="1" applyNumberFormat="1" applyFont="1" applyFill="1" applyBorder="1" applyAlignment="1">
      <alignment horizontal="center" vertical="center"/>
    </xf>
    <xf numFmtId="0" fontId="4" fillId="2" borderId="126" xfId="0" applyFont="1" applyFill="1" applyBorder="1" applyAlignment="1">
      <alignment vertical="center"/>
    </xf>
    <xf numFmtId="0" fontId="104" fillId="2" borderId="0" xfId="0" applyFont="1" applyFill="1" applyAlignment="1">
      <alignment vertical="center"/>
    </xf>
    <xf numFmtId="166" fontId="4" fillId="0" borderId="697" xfId="6" applyFont="1" applyFill="1" applyBorder="1" applyAlignment="1">
      <alignment horizontal="left" vertical="center" wrapText="1"/>
    </xf>
    <xf numFmtId="164" fontId="5" fillId="0" borderId="697" xfId="6" applyNumberFormat="1" applyFont="1" applyFill="1" applyBorder="1" applyAlignment="1">
      <alignment horizontal="center" vertical="center"/>
    </xf>
    <xf numFmtId="168" fontId="52" fillId="0" borderId="697" xfId="4" applyNumberFormat="1" applyFont="1" applyFill="1" applyBorder="1" applyAlignment="1">
      <alignment horizontal="center" vertical="center"/>
    </xf>
    <xf numFmtId="164" fontId="4" fillId="0" borderId="698" xfId="6" applyNumberFormat="1" applyFont="1" applyFill="1" applyBorder="1" applyAlignment="1">
      <alignment horizontal="center" vertical="center"/>
    </xf>
    <xf numFmtId="0" fontId="4" fillId="2" borderId="694" xfId="0" applyFont="1" applyFill="1" applyBorder="1" applyAlignment="1">
      <alignment horizontal="center" vertical="center"/>
    </xf>
    <xf numFmtId="0" fontId="4" fillId="2" borderId="697" xfId="0" applyFont="1" applyFill="1" applyBorder="1" applyAlignment="1">
      <alignment horizontal="left" vertical="center" wrapText="1"/>
    </xf>
    <xf numFmtId="0" fontId="4" fillId="2" borderId="67" xfId="0" applyFont="1" applyFill="1" applyBorder="1" applyAlignment="1">
      <alignment horizontal="left" vertical="center" wrapText="1"/>
    </xf>
    <xf numFmtId="0" fontId="5" fillId="2" borderId="67" xfId="0" applyFont="1" applyFill="1" applyBorder="1" applyAlignment="1">
      <alignment horizontal="center" vertical="center" wrapText="1"/>
    </xf>
    <xf numFmtId="164" fontId="5" fillId="2" borderId="67" xfId="6" applyNumberFormat="1" applyFont="1" applyFill="1" applyBorder="1" applyAlignment="1">
      <alignment horizontal="left" vertical="center"/>
    </xf>
    <xf numFmtId="1" fontId="12" fillId="0" borderId="683" xfId="2" applyNumberFormat="1" applyFont="1" applyFill="1" applyBorder="1" applyAlignment="1">
      <alignment horizontal="center" vertical="center"/>
    </xf>
    <xf numFmtId="164" fontId="12" fillId="0" borderId="684" xfId="6" applyNumberFormat="1" applyFont="1" applyFill="1" applyBorder="1" applyAlignment="1">
      <alignment horizontal="center" vertical="center"/>
    </xf>
    <xf numFmtId="9" fontId="12" fillId="0" borderId="685" xfId="2" applyFont="1" applyFill="1" applyBorder="1" applyAlignment="1">
      <alignment horizontal="center" vertical="center"/>
    </xf>
    <xf numFmtId="9" fontId="4" fillId="2" borderId="255" xfId="2" applyFont="1" applyFill="1" applyBorder="1" applyAlignment="1">
      <alignment horizontal="center" vertical="center"/>
    </xf>
    <xf numFmtId="167" fontId="4" fillId="2" borderId="573" xfId="6" applyNumberFormat="1" applyFont="1" applyFill="1" applyBorder="1" applyAlignment="1">
      <alignment horizontal="center" vertical="center"/>
    </xf>
    <xf numFmtId="164" fontId="4" fillId="2" borderId="700" xfId="6" applyNumberFormat="1" applyFont="1" applyFill="1" applyBorder="1" applyAlignment="1">
      <alignment vertical="center"/>
    </xf>
    <xf numFmtId="9" fontId="4" fillId="2" borderId="575" xfId="2" applyFont="1" applyFill="1" applyBorder="1" applyAlignment="1">
      <alignment horizontal="center" vertical="center"/>
    </xf>
    <xf numFmtId="164" fontId="4" fillId="2" borderId="701" xfId="6" applyNumberFormat="1" applyFont="1" applyFill="1" applyBorder="1" applyAlignment="1">
      <alignment vertical="center"/>
    </xf>
    <xf numFmtId="164" fontId="4" fillId="2" borderId="702" xfId="6" applyNumberFormat="1" applyFont="1" applyFill="1" applyBorder="1" applyAlignment="1">
      <alignment vertical="center"/>
    </xf>
    <xf numFmtId="167" fontId="4" fillId="2" borderId="120" xfId="0" applyNumberFormat="1" applyFont="1" applyFill="1" applyBorder="1" applyAlignment="1">
      <alignment horizontal="center" vertical="center"/>
    </xf>
    <xf numFmtId="3" fontId="4" fillId="2" borderId="120" xfId="0" applyNumberFormat="1" applyFont="1" applyFill="1" applyBorder="1" applyAlignment="1">
      <alignment horizontal="center" vertical="center"/>
    </xf>
    <xf numFmtId="49" fontId="4" fillId="0" borderId="185" xfId="6" applyNumberFormat="1" applyFont="1" applyFill="1" applyBorder="1" applyAlignment="1">
      <alignment horizontal="center" vertical="center"/>
    </xf>
    <xf numFmtId="164" fontId="5" fillId="2" borderId="67" xfId="6" quotePrefix="1" applyNumberFormat="1" applyFont="1" applyFill="1" applyBorder="1" applyAlignment="1">
      <alignment horizontal="left" vertical="center"/>
    </xf>
    <xf numFmtId="1" fontId="12" fillId="0" borderId="106" xfId="2" applyNumberFormat="1" applyFont="1" applyFill="1" applyBorder="1" applyAlignment="1">
      <alignment horizontal="center" vertical="center"/>
    </xf>
    <xf numFmtId="164" fontId="12" fillId="0" borderId="56" xfId="6" applyNumberFormat="1" applyFont="1" applyFill="1" applyBorder="1" applyAlignment="1">
      <alignment horizontal="center" vertical="center"/>
    </xf>
    <xf numFmtId="169" fontId="4" fillId="2" borderId="106" xfId="6" applyNumberFormat="1" applyFont="1" applyFill="1" applyBorder="1" applyAlignment="1">
      <alignment horizontal="center" vertical="center"/>
    </xf>
    <xf numFmtId="9" fontId="4" fillId="2" borderId="451" xfId="2" applyFont="1" applyFill="1" applyBorder="1" applyAlignment="1">
      <alignment horizontal="center" vertical="center"/>
    </xf>
    <xf numFmtId="167" fontId="4" fillId="2" borderId="337" xfId="6" applyNumberFormat="1" applyFont="1" applyFill="1" applyBorder="1" applyAlignment="1">
      <alignment horizontal="center" vertical="center"/>
    </xf>
    <xf numFmtId="164" fontId="4" fillId="2" borderId="703" xfId="6" applyNumberFormat="1" applyFont="1" applyFill="1" applyBorder="1" applyAlignment="1">
      <alignment vertical="center"/>
    </xf>
    <xf numFmtId="164" fontId="4" fillId="2" borderId="704" xfId="6" applyNumberFormat="1" applyFont="1" applyFill="1" applyBorder="1" applyAlignment="1">
      <alignment vertical="center"/>
    </xf>
    <xf numFmtId="164" fontId="4" fillId="2" borderId="705" xfId="6" applyNumberFormat="1" applyFont="1" applyFill="1" applyBorder="1" applyAlignment="1">
      <alignment vertical="center"/>
    </xf>
    <xf numFmtId="3" fontId="4" fillId="2" borderId="117" xfId="0" applyNumberFormat="1" applyFont="1" applyFill="1" applyBorder="1" applyAlignment="1">
      <alignment horizontal="center" vertical="center"/>
    </xf>
    <xf numFmtId="169" fontId="4" fillId="2" borderId="256" xfId="6" applyNumberFormat="1" applyFont="1" applyFill="1" applyBorder="1" applyAlignment="1">
      <alignment horizontal="center" vertical="center"/>
    </xf>
    <xf numFmtId="49" fontId="4" fillId="2" borderId="106" xfId="0" applyNumberFormat="1" applyFont="1" applyFill="1" applyBorder="1" applyAlignment="1">
      <alignment horizontal="center" vertical="center"/>
    </xf>
    <xf numFmtId="164" fontId="4" fillId="2" borderId="70" xfId="0" applyNumberFormat="1" applyFont="1" applyFill="1" applyBorder="1" applyAlignment="1">
      <alignment vertical="center"/>
    </xf>
    <xf numFmtId="164" fontId="4" fillId="2" borderId="68" xfId="0" applyNumberFormat="1" applyFont="1" applyFill="1" applyBorder="1" applyAlignment="1">
      <alignment vertical="center"/>
    </xf>
    <xf numFmtId="0" fontId="4" fillId="2" borderId="106" xfId="0" applyNumberFormat="1" applyFont="1" applyFill="1" applyBorder="1" applyAlignment="1">
      <alignment horizontal="center" vertical="center"/>
    </xf>
    <xf numFmtId="49" fontId="4" fillId="0" borderId="106" xfId="6" applyNumberFormat="1" applyFont="1" applyFill="1" applyBorder="1" applyAlignment="1">
      <alignment horizontal="center" vertical="center"/>
    </xf>
    <xf numFmtId="0" fontId="4" fillId="0" borderId="106" xfId="6" applyNumberFormat="1" applyFont="1" applyFill="1" applyBorder="1" applyAlignment="1">
      <alignment horizontal="center" vertical="center"/>
    </xf>
    <xf numFmtId="1" fontId="12" fillId="2" borderId="106" xfId="2" applyNumberFormat="1" applyFont="1" applyFill="1" applyBorder="1" applyAlignment="1">
      <alignment horizontal="center" vertical="center"/>
    </xf>
    <xf numFmtId="164" fontId="4" fillId="2" borderId="68" xfId="6" applyNumberFormat="1" applyFont="1" applyFill="1" applyBorder="1" applyAlignment="1">
      <alignment horizontal="center" vertical="center"/>
    </xf>
    <xf numFmtId="169" fontId="4" fillId="2" borderId="117" xfId="6" applyNumberFormat="1" applyFont="1" applyFill="1" applyBorder="1" applyAlignment="1">
      <alignment horizontal="center" vertical="center"/>
    </xf>
    <xf numFmtId="166" fontId="0" fillId="0" borderId="67" xfId="6" applyFont="1" applyFill="1" applyBorder="1" applyAlignment="1">
      <alignment horizontal="left" vertical="center" wrapText="1"/>
    </xf>
    <xf numFmtId="9" fontId="4" fillId="2" borderId="706" xfId="2" applyFont="1" applyFill="1" applyBorder="1" applyAlignment="1">
      <alignment horizontal="center" vertical="center"/>
    </xf>
    <xf numFmtId="164" fontId="4" fillId="2" borderId="104" xfId="6" applyNumberFormat="1" applyFont="1" applyFill="1" applyBorder="1" applyAlignment="1">
      <alignment vertical="center"/>
    </xf>
    <xf numFmtId="164" fontId="12" fillId="2" borderId="257" xfId="6" applyNumberFormat="1" applyFont="1" applyFill="1" applyBorder="1" applyAlignment="1">
      <alignment vertical="center"/>
    </xf>
    <xf numFmtId="164" fontId="4" fillId="2" borderId="707" xfId="6" applyNumberFormat="1" applyFont="1" applyFill="1" applyBorder="1" applyAlignment="1">
      <alignment vertical="center"/>
    </xf>
    <xf numFmtId="49" fontId="4" fillId="6" borderId="106" xfId="6" applyNumberFormat="1" applyFont="1" applyFill="1" applyBorder="1" applyAlignment="1">
      <alignment horizontal="center" vertical="center"/>
    </xf>
    <xf numFmtId="164" fontId="4" fillId="6" borderId="56" xfId="6" applyNumberFormat="1" applyFont="1" applyFill="1" applyBorder="1" applyAlignment="1">
      <alignment vertical="center"/>
    </xf>
    <xf numFmtId="9" fontId="4" fillId="6" borderId="118" xfId="2" applyFont="1" applyFill="1" applyBorder="1" applyAlignment="1">
      <alignment vertical="center"/>
    </xf>
    <xf numFmtId="164" fontId="4" fillId="2" borderId="452" xfId="6" applyNumberFormat="1" applyFont="1" applyFill="1" applyBorder="1" applyAlignment="1">
      <alignment vertical="center"/>
    </xf>
    <xf numFmtId="167" fontId="4" fillId="0" borderId="106" xfId="6" applyNumberFormat="1" applyFont="1" applyFill="1" applyBorder="1" applyAlignment="1">
      <alignment horizontal="center" vertical="center"/>
    </xf>
    <xf numFmtId="0" fontId="24" fillId="2" borderId="67" xfId="0" applyFont="1" applyFill="1" applyBorder="1" applyAlignment="1">
      <alignment horizontal="center" vertical="center"/>
    </xf>
    <xf numFmtId="164" fontId="80" fillId="2" borderId="71" xfId="6" applyNumberFormat="1" applyFont="1" applyFill="1" applyBorder="1" applyAlignment="1">
      <alignment horizontal="center" vertical="center"/>
    </xf>
    <xf numFmtId="164" fontId="4" fillId="2" borderId="708" xfId="6" applyNumberFormat="1" applyFont="1" applyFill="1" applyBorder="1" applyAlignment="1">
      <alignment horizontal="center" vertical="center"/>
    </xf>
    <xf numFmtId="9" fontId="4" fillId="2" borderId="582" xfId="2" applyFont="1" applyFill="1" applyBorder="1" applyAlignment="1">
      <alignment horizontal="center" vertical="center"/>
    </xf>
    <xf numFmtId="4" fontId="12" fillId="2" borderId="582" xfId="2" applyNumberFormat="1" applyFont="1" applyFill="1" applyBorder="1" applyAlignment="1">
      <alignment horizontal="center" vertical="center"/>
    </xf>
    <xf numFmtId="164" fontId="12" fillId="2" borderId="582" xfId="6" applyNumberFormat="1" applyFont="1" applyFill="1" applyBorder="1" applyAlignment="1">
      <alignment vertical="center"/>
    </xf>
    <xf numFmtId="9" fontId="12" fillId="2" borderId="582" xfId="2" applyFont="1" applyFill="1" applyBorder="1" applyAlignment="1">
      <alignment horizontal="center" vertical="center"/>
    </xf>
    <xf numFmtId="164" fontId="4" fillId="2" borderId="582" xfId="6" applyNumberFormat="1" applyFont="1" applyFill="1" applyBorder="1" applyAlignment="1">
      <alignment horizontal="center" vertical="center"/>
    </xf>
    <xf numFmtId="166" fontId="4" fillId="2" borderId="582" xfId="6" applyFont="1" applyFill="1" applyBorder="1" applyAlignment="1">
      <alignment horizontal="center" vertical="center"/>
    </xf>
    <xf numFmtId="164" fontId="80" fillId="2" borderId="582" xfId="6" applyNumberFormat="1" applyFont="1" applyFill="1" applyBorder="1" applyAlignment="1">
      <alignment vertical="center"/>
    </xf>
    <xf numFmtId="166" fontId="80" fillId="2" borderId="582" xfId="6" applyFont="1" applyFill="1" applyBorder="1" applyAlignment="1">
      <alignment vertical="center"/>
    </xf>
    <xf numFmtId="0" fontId="4" fillId="2" borderId="582" xfId="0" applyFont="1" applyFill="1" applyBorder="1" applyAlignment="1">
      <alignment horizontal="center" vertical="center"/>
    </xf>
    <xf numFmtId="164" fontId="4" fillId="2" borderId="582" xfId="0" applyNumberFormat="1" applyFont="1" applyFill="1" applyBorder="1" applyAlignment="1">
      <alignment vertical="center"/>
    </xf>
    <xf numFmtId="0" fontId="4" fillId="2" borderId="582" xfId="2" applyNumberFormat="1" applyFont="1" applyFill="1" applyBorder="1" applyAlignment="1">
      <alignment horizontal="center" vertical="center"/>
    </xf>
    <xf numFmtId="164" fontId="4" fillId="2" borderId="582" xfId="6" applyNumberFormat="1" applyFont="1" applyFill="1" applyBorder="1" applyAlignment="1">
      <alignment horizontal="right" vertical="center"/>
    </xf>
    <xf numFmtId="164" fontId="4" fillId="2" borderId="582" xfId="2" applyNumberFormat="1" applyFont="1" applyFill="1" applyBorder="1" applyAlignment="1">
      <alignment horizontal="center" vertical="center"/>
    </xf>
    <xf numFmtId="167" fontId="4" fillId="2" borderId="582" xfId="2" applyNumberFormat="1" applyFont="1" applyFill="1" applyBorder="1" applyAlignment="1">
      <alignment horizontal="center" vertical="center"/>
    </xf>
    <xf numFmtId="167" fontId="12" fillId="2" borderId="582" xfId="2" applyNumberFormat="1" applyFont="1" applyFill="1" applyBorder="1" applyAlignment="1">
      <alignment horizontal="center" vertical="center"/>
    </xf>
    <xf numFmtId="164" fontId="4" fillId="2" borderId="582" xfId="6" applyNumberFormat="1" applyFont="1" applyFill="1" applyBorder="1" applyAlignment="1">
      <alignment horizontal="center"/>
    </xf>
    <xf numFmtId="166" fontId="12" fillId="2" borderId="582" xfId="6" applyFont="1" applyFill="1" applyBorder="1" applyAlignment="1">
      <alignment horizontal="center" vertical="center"/>
    </xf>
    <xf numFmtId="166" fontId="12" fillId="2" borderId="709" xfId="6" applyFont="1" applyFill="1" applyBorder="1" applyAlignment="1">
      <alignment horizontal="center" vertical="center"/>
    </xf>
    <xf numFmtId="0" fontId="25" fillId="2" borderId="580" xfId="0" applyFont="1" applyFill="1" applyBorder="1" applyAlignment="1">
      <alignment horizontal="center" vertical="center"/>
    </xf>
    <xf numFmtId="164" fontId="4" fillId="2" borderId="708" xfId="0" applyNumberFormat="1" applyFont="1" applyFill="1" applyBorder="1" applyAlignment="1">
      <alignment vertical="center"/>
    </xf>
    <xf numFmtId="164" fontId="4" fillId="2" borderId="709" xfId="0" applyNumberFormat="1" applyFont="1" applyFill="1" applyBorder="1" applyAlignment="1">
      <alignment vertical="center"/>
    </xf>
    <xf numFmtId="164" fontId="4" fillId="2" borderId="581" xfId="0" applyNumberFormat="1" applyFont="1" applyFill="1" applyBorder="1" applyAlignment="1">
      <alignment vertical="center"/>
    </xf>
    <xf numFmtId="9" fontId="4" fillId="2" borderId="710" xfId="2" applyFont="1" applyFill="1" applyBorder="1" applyAlignment="1">
      <alignment vertical="center"/>
    </xf>
    <xf numFmtId="164" fontId="4" fillId="2" borderId="581" xfId="6" applyNumberFormat="1" applyFont="1" applyFill="1" applyBorder="1" applyAlignment="1">
      <alignment vertical="center"/>
    </xf>
    <xf numFmtId="0" fontId="4" fillId="2" borderId="710" xfId="0" applyFont="1" applyFill="1" applyBorder="1" applyAlignment="1">
      <alignment vertical="center"/>
    </xf>
    <xf numFmtId="164" fontId="4" fillId="2" borderId="708" xfId="6" applyNumberFormat="1" applyFont="1" applyFill="1" applyBorder="1" applyAlignment="1">
      <alignment vertical="center"/>
    </xf>
    <xf numFmtId="0" fontId="4" fillId="2" borderId="709" xfId="0" applyFont="1" applyFill="1" applyBorder="1" applyAlignment="1">
      <alignment vertical="center"/>
    </xf>
    <xf numFmtId="0" fontId="4" fillId="2" borderId="581" xfId="0" applyFont="1" applyFill="1" applyBorder="1" applyAlignment="1">
      <alignment horizontal="center" vertical="center"/>
    </xf>
    <xf numFmtId="0" fontId="4" fillId="2" borderId="581" xfId="0" applyFont="1" applyFill="1" applyBorder="1" applyAlignment="1">
      <alignment vertical="center"/>
    </xf>
    <xf numFmtId="0" fontId="4" fillId="2" borderId="582" xfId="0" applyFont="1" applyFill="1" applyBorder="1" applyAlignment="1">
      <alignment vertical="center"/>
    </xf>
    <xf numFmtId="9" fontId="4" fillId="2" borderId="710" xfId="2" applyFont="1" applyFill="1" applyBorder="1" applyAlignment="1">
      <alignment horizontal="center" vertical="center"/>
    </xf>
    <xf numFmtId="0" fontId="80" fillId="2" borderId="581" xfId="0" applyFont="1" applyFill="1" applyBorder="1" applyAlignment="1">
      <alignment horizontal="center" vertical="center"/>
    </xf>
    <xf numFmtId="166" fontId="4" fillId="2" borderId="708" xfId="6" applyFont="1" applyFill="1" applyBorder="1" applyAlignment="1">
      <alignment horizontal="center" vertical="center"/>
    </xf>
    <xf numFmtId="166" fontId="4" fillId="2" borderId="582" xfId="6" applyFont="1" applyFill="1" applyBorder="1" applyAlignment="1">
      <alignment vertical="center"/>
    </xf>
    <xf numFmtId="166" fontId="4" fillId="2" borderId="709" xfId="6" applyFont="1" applyFill="1" applyBorder="1" applyAlignment="1">
      <alignment vertical="center"/>
    </xf>
    <xf numFmtId="166" fontId="4" fillId="2" borderId="581" xfId="6" applyFont="1" applyFill="1" applyBorder="1" applyAlignment="1">
      <alignment vertical="center"/>
    </xf>
    <xf numFmtId="166" fontId="4" fillId="2" borderId="710" xfId="6" applyFont="1" applyFill="1" applyBorder="1" applyAlignment="1">
      <alignment vertical="center"/>
    </xf>
    <xf numFmtId="1" fontId="4" fillId="2" borderId="708" xfId="0" applyNumberFormat="1" applyFont="1" applyFill="1" applyBorder="1" applyAlignment="1">
      <alignment horizontal="center" vertical="center"/>
    </xf>
    <xf numFmtId="9" fontId="4" fillId="2" borderId="709" xfId="2" applyFont="1" applyFill="1" applyBorder="1" applyAlignment="1">
      <alignment vertical="center"/>
    </xf>
    <xf numFmtId="1" fontId="4" fillId="2" borderId="581" xfId="0" applyNumberFormat="1" applyFont="1" applyFill="1" applyBorder="1" applyAlignment="1">
      <alignment horizontal="center" vertical="center"/>
    </xf>
    <xf numFmtId="167" fontId="4" fillId="2" borderId="337" xfId="0" applyNumberFormat="1" applyFont="1" applyFill="1" applyBorder="1" applyAlignment="1">
      <alignment horizontal="center" vertical="center"/>
    </xf>
    <xf numFmtId="164" fontId="4" fillId="0" borderId="257" xfId="6" applyNumberFormat="1" applyFont="1" applyFill="1" applyBorder="1" applyAlignment="1">
      <alignment vertical="center"/>
    </xf>
    <xf numFmtId="164" fontId="4" fillId="0" borderId="56" xfId="6" applyNumberFormat="1" applyFont="1" applyFill="1" applyBorder="1" applyAlignment="1">
      <alignment horizontal="center" vertical="center"/>
    </xf>
    <xf numFmtId="9" fontId="89" fillId="2" borderId="118" xfId="2" applyFont="1" applyFill="1" applyBorder="1" applyAlignment="1">
      <alignment horizontal="center" vertical="center"/>
    </xf>
    <xf numFmtId="166" fontId="12" fillId="0" borderId="118" xfId="6" applyFont="1" applyFill="1" applyBorder="1" applyAlignment="1">
      <alignment vertical="center"/>
    </xf>
    <xf numFmtId="166" fontId="12" fillId="2" borderId="118" xfId="6" applyFont="1" applyFill="1" applyBorder="1" applyAlignment="1">
      <alignment vertical="center"/>
    </xf>
    <xf numFmtId="164" fontId="5" fillId="0" borderId="67" xfId="6" quotePrefix="1" applyNumberFormat="1" applyFont="1" applyFill="1" applyBorder="1" applyAlignment="1">
      <alignment horizontal="left" vertical="center"/>
    </xf>
    <xf numFmtId="164" fontId="21" fillId="0" borderId="37" xfId="6" applyNumberFormat="1" applyFont="1" applyFill="1" applyBorder="1" applyAlignment="1">
      <alignment horizontal="center" vertical="center"/>
    </xf>
    <xf numFmtId="164" fontId="21" fillId="0" borderId="37" xfId="6" applyNumberFormat="1" applyFont="1" applyFill="1" applyBorder="1" applyAlignment="1">
      <alignment vertical="center"/>
    </xf>
    <xf numFmtId="9" fontId="21" fillId="0" borderId="37" xfId="2" applyFont="1" applyFill="1" applyBorder="1" applyAlignment="1">
      <alignment vertical="center"/>
    </xf>
    <xf numFmtId="9" fontId="21" fillId="0" borderId="37" xfId="2" applyFont="1" applyFill="1" applyBorder="1" applyAlignment="1">
      <alignment horizontal="center" vertical="center"/>
    </xf>
    <xf numFmtId="167" fontId="21" fillId="0" borderId="37" xfId="2" applyNumberFormat="1" applyFont="1" applyFill="1" applyBorder="1" applyAlignment="1">
      <alignment horizontal="center" vertical="center"/>
    </xf>
    <xf numFmtId="164" fontId="21" fillId="0" borderId="580" xfId="6" applyNumberFormat="1" applyFont="1" applyFill="1" applyBorder="1" applyAlignment="1">
      <alignment vertical="center"/>
    </xf>
    <xf numFmtId="164" fontId="21" fillId="0" borderId="117" xfId="6" applyNumberFormat="1" applyFont="1" applyFill="1" applyBorder="1" applyAlignment="1">
      <alignment vertical="center"/>
    </xf>
    <xf numFmtId="9" fontId="21" fillId="0" borderId="63" xfId="2" applyFont="1" applyFill="1" applyBorder="1" applyAlignment="1">
      <alignment vertical="center"/>
    </xf>
    <xf numFmtId="164" fontId="21" fillId="0" borderId="63" xfId="6" applyNumberFormat="1" applyFont="1" applyFill="1" applyBorder="1" applyAlignment="1">
      <alignment vertical="center"/>
    </xf>
    <xf numFmtId="164" fontId="21" fillId="0" borderId="117" xfId="6" applyNumberFormat="1" applyFont="1" applyFill="1" applyBorder="1" applyAlignment="1">
      <alignment horizontal="center" vertical="center"/>
    </xf>
    <xf numFmtId="9" fontId="21" fillId="0" borderId="63" xfId="2" applyFont="1" applyFill="1" applyBorder="1" applyAlignment="1">
      <alignment horizontal="center" vertical="center"/>
    </xf>
    <xf numFmtId="9" fontId="12" fillId="0" borderId="63" xfId="2" applyFont="1" applyFill="1" applyBorder="1" applyAlignment="1">
      <alignment horizontal="center" vertical="center"/>
    </xf>
    <xf numFmtId="164" fontId="12" fillId="0" borderId="37" xfId="6" applyNumberFormat="1" applyFont="1" applyFill="1" applyBorder="1" applyAlignment="1">
      <alignment horizontal="center" vertical="center"/>
    </xf>
    <xf numFmtId="9" fontId="12" fillId="0" borderId="37" xfId="2" applyFont="1" applyFill="1" applyBorder="1" applyAlignment="1">
      <alignment vertical="center"/>
    </xf>
    <xf numFmtId="1" fontId="4" fillId="0" borderId="117" xfId="0" applyNumberFormat="1" applyFont="1" applyFill="1" applyBorder="1" applyAlignment="1">
      <alignment horizontal="center" vertical="center"/>
    </xf>
    <xf numFmtId="1" fontId="4" fillId="0" borderId="37" xfId="0" applyNumberFormat="1" applyFont="1" applyFill="1" applyBorder="1" applyAlignment="1">
      <alignment horizontal="center" vertical="center"/>
    </xf>
    <xf numFmtId="164" fontId="4" fillId="0" borderId="37" xfId="0" applyNumberFormat="1" applyFont="1" applyFill="1" applyBorder="1" applyAlignment="1">
      <alignment vertical="center"/>
    </xf>
    <xf numFmtId="9" fontId="12" fillId="0" borderId="37" xfId="2" applyFont="1" applyFill="1" applyBorder="1" applyAlignment="1">
      <alignment horizontal="center" vertical="center"/>
    </xf>
    <xf numFmtId="164" fontId="4" fillId="0" borderId="581" xfId="6" applyNumberFormat="1" applyFont="1" applyFill="1" applyBorder="1" applyAlignment="1">
      <alignment horizontal="center" vertical="center"/>
    </xf>
    <xf numFmtId="164" fontId="4" fillId="0" borderId="582" xfId="6" applyNumberFormat="1" applyFont="1" applyFill="1" applyBorder="1" applyAlignment="1">
      <alignment vertical="center"/>
    </xf>
    <xf numFmtId="9" fontId="4" fillId="0" borderId="583" xfId="2" applyFont="1" applyFill="1" applyBorder="1" applyAlignment="1">
      <alignment horizontal="center" vertical="center"/>
    </xf>
    <xf numFmtId="164" fontId="4" fillId="0" borderId="584" xfId="6" applyNumberFormat="1" applyFont="1" applyFill="1" applyBorder="1" applyAlignment="1">
      <alignment vertical="center"/>
    </xf>
    <xf numFmtId="169" fontId="4" fillId="0" borderId="106" xfId="6" applyNumberFormat="1" applyFont="1" applyFill="1" applyBorder="1" applyAlignment="1">
      <alignment horizontal="center" vertical="center"/>
    </xf>
    <xf numFmtId="9" fontId="4" fillId="0" borderId="262" xfId="2" applyFont="1" applyFill="1" applyBorder="1" applyAlignment="1">
      <alignment horizontal="center" vertical="center"/>
    </xf>
    <xf numFmtId="164" fontId="4" fillId="0" borderId="452" xfId="0" applyNumberFormat="1" applyFont="1" applyFill="1" applyBorder="1" applyAlignment="1">
      <alignment vertical="center"/>
    </xf>
    <xf numFmtId="0" fontId="4" fillId="0" borderId="256" xfId="0" applyFont="1" applyFill="1" applyBorder="1" applyAlignment="1">
      <alignment horizontal="center" vertical="center"/>
    </xf>
    <xf numFmtId="9" fontId="4" fillId="0" borderId="451" xfId="2" applyFont="1" applyFill="1" applyBorder="1" applyAlignment="1">
      <alignment horizontal="center" vertical="center"/>
    </xf>
    <xf numFmtId="167" fontId="4" fillId="0" borderId="337" xfId="6" applyNumberFormat="1" applyFont="1" applyFill="1" applyBorder="1" applyAlignment="1">
      <alignment horizontal="center" vertical="center"/>
    </xf>
    <xf numFmtId="164" fontId="4" fillId="0" borderId="703" xfId="6" applyNumberFormat="1" applyFont="1" applyFill="1" applyBorder="1" applyAlignment="1">
      <alignment vertical="center"/>
    </xf>
    <xf numFmtId="9" fontId="4" fillId="0" borderId="585" xfId="2" applyFont="1" applyFill="1" applyBorder="1" applyAlignment="1">
      <alignment horizontal="center" vertical="center"/>
    </xf>
    <xf numFmtId="167" fontId="4" fillId="0" borderId="117" xfId="6" applyNumberFormat="1" applyFont="1" applyFill="1" applyBorder="1" applyAlignment="1">
      <alignment horizontal="center" vertical="center"/>
    </xf>
    <xf numFmtId="164" fontId="4" fillId="0" borderId="704" xfId="6" applyNumberFormat="1" applyFont="1" applyFill="1" applyBorder="1" applyAlignment="1">
      <alignment vertical="center"/>
    </xf>
    <xf numFmtId="164" fontId="4" fillId="0" borderId="705" xfId="6" applyNumberFormat="1" applyFont="1" applyFill="1" applyBorder="1" applyAlignment="1">
      <alignment vertical="center"/>
    </xf>
    <xf numFmtId="164" fontId="4" fillId="0" borderId="586" xfId="6" applyNumberFormat="1" applyFont="1" applyFill="1" applyBorder="1" applyAlignment="1">
      <alignment vertical="center"/>
    </xf>
    <xf numFmtId="3" fontId="4" fillId="0" borderId="117" xfId="0" applyNumberFormat="1" applyFont="1" applyFill="1" applyBorder="1" applyAlignment="1">
      <alignment horizontal="center" vertical="center"/>
    </xf>
    <xf numFmtId="164" fontId="4" fillId="0" borderId="262" xfId="6" applyNumberFormat="1" applyFont="1" applyFill="1" applyBorder="1" applyAlignment="1">
      <alignment vertical="center"/>
    </xf>
    <xf numFmtId="9" fontId="4" fillId="0" borderId="37" xfId="2" applyFont="1" applyFill="1" applyBorder="1" applyAlignment="1">
      <alignment horizontal="center" vertical="center"/>
    </xf>
    <xf numFmtId="169" fontId="4" fillId="0" borderId="256" xfId="6" applyNumberFormat="1" applyFont="1" applyFill="1" applyBorder="1" applyAlignment="1">
      <alignment horizontal="center" vertical="center"/>
    </xf>
    <xf numFmtId="164" fontId="4" fillId="0" borderId="70" xfId="0" applyNumberFormat="1" applyFont="1" applyFill="1" applyBorder="1" applyAlignment="1">
      <alignment vertical="center"/>
    </xf>
    <xf numFmtId="164" fontId="4" fillId="0" borderId="117" xfId="0" applyNumberFormat="1" applyFont="1" applyFill="1" applyBorder="1" applyAlignment="1">
      <alignment vertical="center"/>
    </xf>
    <xf numFmtId="164" fontId="4" fillId="0" borderId="68" xfId="0" applyNumberFormat="1" applyFont="1" applyFill="1" applyBorder="1" applyAlignment="1">
      <alignment vertical="center"/>
    </xf>
    <xf numFmtId="9" fontId="4" fillId="0" borderId="706" xfId="2" applyFont="1" applyFill="1" applyBorder="1" applyAlignment="1">
      <alignment horizontal="center" vertical="center"/>
    </xf>
    <xf numFmtId="164" fontId="4" fillId="0" borderId="452" xfId="6" applyNumberFormat="1" applyFont="1" applyFill="1" applyBorder="1" applyAlignment="1">
      <alignment vertical="center"/>
    </xf>
    <xf numFmtId="3" fontId="4" fillId="0" borderId="117" xfId="6" applyNumberFormat="1" applyFont="1" applyFill="1" applyBorder="1" applyAlignment="1">
      <alignment horizontal="center" vertical="center"/>
    </xf>
    <xf numFmtId="49" fontId="4" fillId="0" borderId="106" xfId="0" applyNumberFormat="1" applyFont="1" applyFill="1" applyBorder="1" applyAlignment="1">
      <alignment horizontal="center" vertical="center"/>
    </xf>
    <xf numFmtId="164" fontId="12" fillId="0" borderId="452" xfId="6" applyNumberFormat="1" applyFont="1" applyFill="1" applyBorder="1" applyAlignment="1">
      <alignment vertical="center"/>
    </xf>
    <xf numFmtId="164" fontId="12" fillId="0" borderId="451" xfId="6" applyNumberFormat="1" applyFont="1" applyFill="1" applyBorder="1" applyAlignment="1">
      <alignment vertical="center"/>
    </xf>
    <xf numFmtId="164" fontId="12" fillId="0" borderId="256" xfId="6" applyNumberFormat="1" applyFont="1" applyFill="1" applyBorder="1" applyAlignment="1">
      <alignment horizontal="center" vertical="center"/>
    </xf>
    <xf numFmtId="164" fontId="12" fillId="0" borderId="257" xfId="6" applyNumberFormat="1" applyFont="1" applyFill="1" applyBorder="1" applyAlignment="1">
      <alignment vertical="center"/>
    </xf>
    <xf numFmtId="164" fontId="12" fillId="0" borderId="256" xfId="6" applyNumberFormat="1" applyFont="1" applyFill="1" applyBorder="1" applyAlignment="1">
      <alignment vertical="center"/>
    </xf>
    <xf numFmtId="164" fontId="12" fillId="0" borderId="451" xfId="6" applyNumberFormat="1" applyFont="1" applyFill="1" applyBorder="1" applyAlignment="1">
      <alignment horizontal="center" vertical="center"/>
    </xf>
    <xf numFmtId="167" fontId="12" fillId="0" borderId="337" xfId="6" applyNumberFormat="1" applyFont="1" applyFill="1" applyBorder="1" applyAlignment="1">
      <alignment horizontal="center" vertical="center"/>
    </xf>
    <xf numFmtId="164" fontId="12" fillId="0" borderId="262" xfId="6" applyNumberFormat="1" applyFont="1" applyFill="1" applyBorder="1" applyAlignment="1">
      <alignment vertical="center"/>
    </xf>
    <xf numFmtId="167" fontId="12" fillId="0" borderId="117" xfId="6" applyNumberFormat="1" applyFont="1" applyFill="1" applyBorder="1" applyAlignment="1">
      <alignment horizontal="center" vertical="center"/>
    </xf>
    <xf numFmtId="167" fontId="4" fillId="0" borderId="117" xfId="6" applyNumberFormat="1" applyFont="1" applyFill="1" applyBorder="1" applyAlignment="1">
      <alignment vertical="center"/>
    </xf>
    <xf numFmtId="164" fontId="4" fillId="0" borderId="707" xfId="6" applyNumberFormat="1" applyFont="1" applyFill="1" applyBorder="1" applyAlignment="1">
      <alignment vertical="center"/>
    </xf>
    <xf numFmtId="164" fontId="4" fillId="0" borderId="67" xfId="6" applyNumberFormat="1" applyFont="1" applyFill="1" applyBorder="1" applyAlignment="1">
      <alignment horizontal="left" vertical="center"/>
    </xf>
    <xf numFmtId="164" fontId="21" fillId="0" borderId="586" xfId="6" applyNumberFormat="1" applyFont="1" applyFill="1" applyBorder="1" applyAlignment="1">
      <alignment horizontal="center" vertical="center"/>
    </xf>
    <xf numFmtId="164" fontId="21" fillId="0" borderId="584" xfId="6" applyNumberFormat="1" applyFont="1" applyFill="1" applyBorder="1" applyAlignment="1">
      <alignment vertical="center"/>
    </xf>
    <xf numFmtId="9" fontId="21" fillId="0" borderId="584" xfId="2" applyFont="1" applyFill="1" applyBorder="1" applyAlignment="1">
      <alignment vertical="center"/>
    </xf>
    <xf numFmtId="164" fontId="21" fillId="0" borderId="584" xfId="6" applyNumberFormat="1" applyFont="1" applyFill="1" applyBorder="1" applyAlignment="1">
      <alignment horizontal="center" vertical="center"/>
    </xf>
    <xf numFmtId="9" fontId="21" fillId="0" borderId="584" xfId="2" applyFont="1" applyFill="1" applyBorder="1" applyAlignment="1">
      <alignment horizontal="center" vertical="center"/>
    </xf>
    <xf numFmtId="167" fontId="21" fillId="0" borderId="584" xfId="2" applyNumberFormat="1" applyFont="1" applyFill="1" applyBorder="1" applyAlignment="1">
      <alignment horizontal="center" vertical="center"/>
    </xf>
    <xf numFmtId="9" fontId="21" fillId="0" borderId="585" xfId="2" applyFont="1" applyFill="1" applyBorder="1" applyAlignment="1">
      <alignment horizontal="center" vertical="center"/>
    </xf>
    <xf numFmtId="164" fontId="21" fillId="0" borderId="711" xfId="6" applyNumberFormat="1" applyFont="1" applyFill="1" applyBorder="1" applyAlignment="1">
      <alignment vertical="center"/>
    </xf>
    <xf numFmtId="164" fontId="21" fillId="0" borderId="585" xfId="6" applyNumberFormat="1" applyFont="1" applyFill="1" applyBorder="1" applyAlignment="1">
      <alignment vertical="center"/>
    </xf>
    <xf numFmtId="164" fontId="21" fillId="0" borderId="707" xfId="6" applyNumberFormat="1" applyFont="1" applyFill="1" applyBorder="1" applyAlignment="1">
      <alignment vertical="center"/>
    </xf>
    <xf numFmtId="9" fontId="21" fillId="0" borderId="583" xfId="2" applyFont="1" applyFill="1" applyBorder="1" applyAlignment="1">
      <alignment vertical="center"/>
    </xf>
    <xf numFmtId="164" fontId="21" fillId="0" borderId="583" xfId="6" applyNumberFormat="1" applyFont="1" applyFill="1" applyBorder="1" applyAlignment="1">
      <alignment vertical="center"/>
    </xf>
    <xf numFmtId="164" fontId="21" fillId="0" borderId="586" xfId="6" applyNumberFormat="1" applyFont="1" applyFill="1" applyBorder="1" applyAlignment="1">
      <alignment vertical="center"/>
    </xf>
    <xf numFmtId="164" fontId="21" fillId="0" borderId="707" xfId="6" applyNumberFormat="1" applyFont="1" applyFill="1" applyBorder="1" applyAlignment="1">
      <alignment horizontal="center" vertical="center"/>
    </xf>
    <xf numFmtId="9" fontId="21" fillId="0" borderId="583" xfId="2" applyFont="1" applyFill="1" applyBorder="1" applyAlignment="1">
      <alignment horizontal="center" vertical="center"/>
    </xf>
    <xf numFmtId="164" fontId="12" fillId="0" borderId="707" xfId="6" applyNumberFormat="1" applyFont="1" applyFill="1" applyBorder="1" applyAlignment="1">
      <alignment horizontal="center" vertical="center"/>
    </xf>
    <xf numFmtId="164" fontId="12" fillId="0" borderId="584" xfId="6" applyNumberFormat="1" applyFont="1" applyFill="1" applyBorder="1" applyAlignment="1">
      <alignment vertical="center"/>
    </xf>
    <xf numFmtId="9" fontId="12" fillId="0" borderId="583" xfId="2" applyFont="1" applyFill="1" applyBorder="1" applyAlignment="1">
      <alignment horizontal="center" vertical="center"/>
    </xf>
    <xf numFmtId="164" fontId="4" fillId="0" borderId="707" xfId="6" applyNumberFormat="1" applyFont="1" applyFill="1" applyBorder="1" applyAlignment="1">
      <alignment horizontal="center" vertical="center"/>
    </xf>
    <xf numFmtId="164" fontId="12" fillId="0" borderId="584" xfId="6" applyNumberFormat="1" applyFont="1" applyFill="1" applyBorder="1" applyAlignment="1">
      <alignment horizontal="center" vertical="center"/>
    </xf>
    <xf numFmtId="9" fontId="12" fillId="0" borderId="583" xfId="2" applyFont="1" applyFill="1" applyBorder="1" applyAlignment="1">
      <alignment vertical="center"/>
    </xf>
    <xf numFmtId="164" fontId="12" fillId="0" borderId="586" xfId="6" applyNumberFormat="1" applyFont="1" applyFill="1" applyBorder="1" applyAlignment="1">
      <alignment horizontal="center" vertical="center"/>
    </xf>
    <xf numFmtId="9" fontId="12" fillId="0" borderId="585" xfId="2" applyFont="1" applyFill="1" applyBorder="1" applyAlignment="1">
      <alignment vertical="center"/>
    </xf>
    <xf numFmtId="1" fontId="4" fillId="0" borderId="707" xfId="0" applyNumberFormat="1" applyFont="1" applyFill="1" applyBorder="1" applyAlignment="1">
      <alignment horizontal="center" vertical="center"/>
    </xf>
    <xf numFmtId="1" fontId="4" fillId="0" borderId="586" xfId="0" applyNumberFormat="1" applyFont="1" applyFill="1" applyBorder="1" applyAlignment="1">
      <alignment horizontal="center" vertical="center"/>
    </xf>
    <xf numFmtId="164" fontId="4" fillId="0" borderId="584" xfId="0" applyNumberFormat="1" applyFont="1" applyFill="1" applyBorder="1" applyAlignment="1">
      <alignment vertical="center"/>
    </xf>
    <xf numFmtId="9" fontId="4" fillId="0" borderId="583" xfId="2" applyFont="1" applyFill="1" applyBorder="1" applyAlignment="1">
      <alignment vertical="center"/>
    </xf>
    <xf numFmtId="9" fontId="12" fillId="0" borderId="585" xfId="2" applyFont="1" applyFill="1" applyBorder="1" applyAlignment="1">
      <alignment horizontal="center" vertical="center"/>
    </xf>
    <xf numFmtId="1" fontId="4" fillId="0" borderId="256" xfId="0" applyNumberFormat="1" applyFont="1" applyFill="1" applyBorder="1" applyAlignment="1">
      <alignment horizontal="center" vertical="center"/>
    </xf>
    <xf numFmtId="166" fontId="4" fillId="0" borderId="585" xfId="6" applyFont="1" applyFill="1" applyBorder="1" applyAlignment="1">
      <alignment horizontal="center" vertical="center"/>
    </xf>
    <xf numFmtId="164" fontId="4" fillId="0" borderId="707" xfId="6" quotePrefix="1" applyNumberFormat="1" applyFont="1" applyFill="1" applyBorder="1" applyAlignment="1">
      <alignment horizontal="center" vertical="center"/>
    </xf>
    <xf numFmtId="0" fontId="4" fillId="0" borderId="707" xfId="0" applyFont="1" applyFill="1" applyBorder="1" applyAlignment="1">
      <alignment horizontal="center" vertical="center"/>
    </xf>
    <xf numFmtId="9" fontId="4" fillId="0" borderId="585" xfId="2" applyFont="1" applyFill="1" applyBorder="1" applyAlignment="1">
      <alignment vertical="center"/>
    </xf>
    <xf numFmtId="0" fontId="4" fillId="0" borderId="586" xfId="0" applyFont="1" applyFill="1" applyBorder="1" applyAlignment="1">
      <alignment horizontal="center" vertical="center"/>
    </xf>
    <xf numFmtId="167" fontId="4" fillId="0" borderId="337" xfId="0" applyNumberFormat="1" applyFont="1" applyFill="1" applyBorder="1" applyAlignment="1">
      <alignment horizontal="center" vertical="center"/>
    </xf>
    <xf numFmtId="164" fontId="4" fillId="0" borderId="708" xfId="6" applyNumberFormat="1" applyFont="1" applyFill="1" applyBorder="1" applyAlignment="1">
      <alignment horizontal="center" vertical="center"/>
    </xf>
    <xf numFmtId="9" fontId="4" fillId="0" borderId="582" xfId="2" applyFont="1" applyFill="1" applyBorder="1" applyAlignment="1">
      <alignment horizontal="center" vertical="center"/>
    </xf>
    <xf numFmtId="4" fontId="12" fillId="0" borderId="582" xfId="2" applyNumberFormat="1" applyFont="1" applyFill="1" applyBorder="1" applyAlignment="1">
      <alignment horizontal="center" vertical="center"/>
    </xf>
    <xf numFmtId="164" fontId="12" fillId="0" borderId="582" xfId="6" applyNumberFormat="1" applyFont="1" applyFill="1" applyBorder="1" applyAlignment="1">
      <alignment vertical="center"/>
    </xf>
    <xf numFmtId="9" fontId="12" fillId="0" borderId="582" xfId="2" applyFont="1" applyFill="1" applyBorder="1" applyAlignment="1">
      <alignment horizontal="center" vertical="center"/>
    </xf>
    <xf numFmtId="164" fontId="4" fillId="0" borderId="582" xfId="6" applyNumberFormat="1" applyFont="1" applyFill="1" applyBorder="1" applyAlignment="1">
      <alignment horizontal="center" vertical="center"/>
    </xf>
    <xf numFmtId="166" fontId="4" fillId="0" borderId="582" xfId="6" applyFont="1" applyFill="1" applyBorder="1" applyAlignment="1">
      <alignment horizontal="center" vertical="center"/>
    </xf>
    <xf numFmtId="164" fontId="80" fillId="0" borderId="582" xfId="6" applyNumberFormat="1" applyFont="1" applyFill="1" applyBorder="1" applyAlignment="1">
      <alignment vertical="center"/>
    </xf>
    <xf numFmtId="166" fontId="80" fillId="0" borderId="582" xfId="6" applyFont="1" applyFill="1" applyBorder="1" applyAlignment="1">
      <alignment vertical="center"/>
    </xf>
    <xf numFmtId="0" fontId="4" fillId="0" borderId="582" xfId="0" applyFont="1" applyFill="1" applyBorder="1" applyAlignment="1">
      <alignment horizontal="center" vertical="center"/>
    </xf>
    <xf numFmtId="164" fontId="4" fillId="0" borderId="582" xfId="0" applyNumberFormat="1" applyFont="1" applyFill="1" applyBorder="1" applyAlignment="1">
      <alignment vertical="center"/>
    </xf>
    <xf numFmtId="0" fontId="4" fillId="0" borderId="582" xfId="2" applyNumberFormat="1" applyFont="1" applyFill="1" applyBorder="1" applyAlignment="1">
      <alignment horizontal="center" vertical="center"/>
    </xf>
    <xf numFmtId="164" fontId="4" fillId="0" borderId="582" xfId="6" applyNumberFormat="1" applyFont="1" applyFill="1" applyBorder="1" applyAlignment="1">
      <alignment horizontal="right" vertical="center"/>
    </xf>
    <xf numFmtId="164" fontId="4" fillId="0" borderId="582" xfId="2" applyNumberFormat="1" applyFont="1" applyFill="1" applyBorder="1" applyAlignment="1">
      <alignment horizontal="center" vertical="center"/>
    </xf>
    <xf numFmtId="167" fontId="4" fillId="0" borderId="582" xfId="2" applyNumberFormat="1" applyFont="1" applyFill="1" applyBorder="1" applyAlignment="1">
      <alignment horizontal="center" vertical="center"/>
    </xf>
    <xf numFmtId="167" fontId="12" fillId="0" borderId="582" xfId="2" applyNumberFormat="1" applyFont="1" applyFill="1" applyBorder="1" applyAlignment="1">
      <alignment horizontal="center" vertical="center"/>
    </xf>
    <xf numFmtId="164" fontId="4" fillId="0" borderId="582" xfId="6" applyNumberFormat="1" applyFont="1" applyFill="1" applyBorder="1" applyAlignment="1">
      <alignment horizontal="center"/>
    </xf>
    <xf numFmtId="166" fontId="12" fillId="0" borderId="582" xfId="6" applyFont="1" applyFill="1" applyBorder="1" applyAlignment="1">
      <alignment horizontal="center" vertical="center"/>
    </xf>
    <xf numFmtId="166" fontId="12" fillId="0" borderId="709" xfId="6" applyFont="1" applyFill="1" applyBorder="1" applyAlignment="1">
      <alignment horizontal="center" vertical="center"/>
    </xf>
    <xf numFmtId="0" fontId="25" fillId="0" borderId="580" xfId="0" applyFont="1" applyFill="1" applyBorder="1" applyAlignment="1">
      <alignment horizontal="center" vertical="center"/>
    </xf>
    <xf numFmtId="164" fontId="4" fillId="0" borderId="708" xfId="0" applyNumberFormat="1" applyFont="1" applyFill="1" applyBorder="1" applyAlignment="1">
      <alignment vertical="center"/>
    </xf>
    <xf numFmtId="164" fontId="4" fillId="0" borderId="709" xfId="0" applyNumberFormat="1" applyFont="1" applyFill="1" applyBorder="1" applyAlignment="1">
      <alignment vertical="center"/>
    </xf>
    <xf numFmtId="164" fontId="4" fillId="0" borderId="581" xfId="0" applyNumberFormat="1" applyFont="1" applyFill="1" applyBorder="1" applyAlignment="1">
      <alignment vertical="center"/>
    </xf>
    <xf numFmtId="9" fontId="4" fillId="0" borderId="710" xfId="2" applyFont="1" applyFill="1" applyBorder="1" applyAlignment="1">
      <alignment vertical="center"/>
    </xf>
    <xf numFmtId="164" fontId="4" fillId="0" borderId="581" xfId="6" applyNumberFormat="1" applyFont="1" applyFill="1" applyBorder="1" applyAlignment="1">
      <alignment vertical="center"/>
    </xf>
    <xf numFmtId="0" fontId="4" fillId="0" borderId="710" xfId="0" applyFont="1" applyFill="1" applyBorder="1" applyAlignment="1">
      <alignment vertical="center"/>
    </xf>
    <xf numFmtId="164" fontId="4" fillId="0" borderId="708" xfId="6" applyNumberFormat="1" applyFont="1" applyFill="1" applyBorder="1" applyAlignment="1">
      <alignment vertical="center"/>
    </xf>
    <xf numFmtId="0" fontId="4" fillId="0" borderId="709" xfId="0" applyFont="1" applyFill="1" applyBorder="1" applyAlignment="1">
      <alignment vertical="center"/>
    </xf>
    <xf numFmtId="0" fontId="4" fillId="0" borderId="581" xfId="0" applyFont="1" applyFill="1" applyBorder="1" applyAlignment="1">
      <alignment horizontal="center" vertical="center"/>
    </xf>
    <xf numFmtId="0" fontId="4" fillId="0" borderId="581" xfId="0" applyFont="1" applyFill="1" applyBorder="1" applyAlignment="1">
      <alignment vertical="center"/>
    </xf>
    <xf numFmtId="0" fontId="4" fillId="0" borderId="582" xfId="0" applyFont="1" applyFill="1" applyBorder="1" applyAlignment="1">
      <alignment vertical="center"/>
    </xf>
    <xf numFmtId="9" fontId="4" fillId="0" borderId="710" xfId="2" applyFont="1" applyFill="1" applyBorder="1" applyAlignment="1">
      <alignment horizontal="center" vertical="center"/>
    </xf>
    <xf numFmtId="0" fontId="80" fillId="0" borderId="581" xfId="0" applyFont="1" applyFill="1" applyBorder="1" applyAlignment="1">
      <alignment horizontal="center" vertical="center"/>
    </xf>
    <xf numFmtId="166" fontId="4" fillId="0" borderId="708" xfId="6" applyFont="1" applyFill="1" applyBorder="1" applyAlignment="1">
      <alignment horizontal="center" vertical="center"/>
    </xf>
    <xf numFmtId="166" fontId="4" fillId="0" borderId="582" xfId="6" applyFont="1" applyFill="1" applyBorder="1" applyAlignment="1">
      <alignment vertical="center"/>
    </xf>
    <xf numFmtId="166" fontId="4" fillId="0" borderId="709" xfId="6" applyFont="1" applyFill="1" applyBorder="1" applyAlignment="1">
      <alignment vertical="center"/>
    </xf>
    <xf numFmtId="166" fontId="4" fillId="0" borderId="581" xfId="6" applyFont="1" applyFill="1" applyBorder="1" applyAlignment="1">
      <alignment vertical="center"/>
    </xf>
    <xf numFmtId="166" fontId="4" fillId="0" borderId="710" xfId="6" applyFont="1" applyFill="1" applyBorder="1" applyAlignment="1">
      <alignment vertical="center"/>
    </xf>
    <xf numFmtId="1" fontId="4" fillId="0" borderId="708" xfId="0" applyNumberFormat="1" applyFont="1" applyFill="1" applyBorder="1" applyAlignment="1">
      <alignment horizontal="center" vertical="center"/>
    </xf>
    <xf numFmtId="9" fontId="4" fillId="0" borderId="709" xfId="2" applyFont="1" applyFill="1" applyBorder="1" applyAlignment="1">
      <alignment vertical="center"/>
    </xf>
    <xf numFmtId="1" fontId="4" fillId="0" borderId="581" xfId="0" applyNumberFormat="1" applyFont="1" applyFill="1" applyBorder="1" applyAlignment="1">
      <alignment horizontal="center" vertical="center"/>
    </xf>
    <xf numFmtId="166" fontId="4" fillId="0" borderId="37" xfId="6" applyFont="1" applyFill="1" applyBorder="1" applyAlignment="1">
      <alignment horizontal="center" vertical="center"/>
    </xf>
    <xf numFmtId="166" fontId="4" fillId="0" borderId="56" xfId="6" applyFont="1" applyFill="1" applyBorder="1" applyAlignment="1">
      <alignment vertical="center"/>
    </xf>
    <xf numFmtId="164" fontId="4" fillId="0" borderId="580" xfId="0" applyNumberFormat="1" applyFont="1" applyFill="1" applyBorder="1" applyAlignment="1">
      <alignment vertical="center"/>
    </xf>
    <xf numFmtId="0" fontId="4" fillId="0" borderId="710" xfId="0" applyFont="1" applyFill="1" applyBorder="1" applyAlignment="1">
      <alignment horizontal="center" vertical="center"/>
    </xf>
    <xf numFmtId="1" fontId="4" fillId="0" borderId="581" xfId="0" applyNumberFormat="1" applyFont="1" applyFill="1" applyBorder="1" applyAlignment="1">
      <alignment vertical="center"/>
    </xf>
    <xf numFmtId="9" fontId="27" fillId="0" borderId="118" xfId="2" applyFont="1" applyFill="1" applyBorder="1" applyAlignment="1">
      <alignment horizontal="right" vertical="center"/>
    </xf>
    <xf numFmtId="166" fontId="1" fillId="0" borderId="67" xfId="6" applyFont="1" applyFill="1" applyBorder="1" applyAlignment="1">
      <alignment horizontal="left" vertical="center" wrapText="1"/>
    </xf>
    <xf numFmtId="166" fontId="3" fillId="2" borderId="107" xfId="6" applyFont="1" applyFill="1" applyBorder="1" applyAlignment="1">
      <alignment horizontal="left" vertical="center" wrapText="1"/>
    </xf>
    <xf numFmtId="164" fontId="5" fillId="2" borderId="107" xfId="6" quotePrefix="1" applyNumberFormat="1" applyFont="1" applyFill="1" applyBorder="1" applyAlignment="1">
      <alignment horizontal="center" vertical="center"/>
    </xf>
    <xf numFmtId="168" fontId="52" fillId="2" borderId="107" xfId="4" applyNumberFormat="1" applyFont="1" applyFill="1" applyBorder="1" applyAlignment="1">
      <alignment horizontal="center" vertical="center"/>
    </xf>
    <xf numFmtId="164" fontId="4" fillId="2" borderId="109" xfId="6" applyNumberFormat="1" applyFont="1" applyFill="1" applyBorder="1" applyAlignment="1">
      <alignment horizontal="center" vertical="center"/>
    </xf>
    <xf numFmtId="164" fontId="21" fillId="2" borderId="127" xfId="6" applyNumberFormat="1" applyFont="1" applyFill="1" applyBorder="1" applyAlignment="1">
      <alignment horizontal="center" vertical="center"/>
    </xf>
    <xf numFmtId="164" fontId="21" fillId="2" borderId="127" xfId="6" applyNumberFormat="1" applyFont="1" applyFill="1" applyBorder="1" applyAlignment="1">
      <alignment vertical="center"/>
    </xf>
    <xf numFmtId="9" fontId="21" fillId="2" borderId="127" xfId="2" applyFont="1" applyFill="1" applyBorder="1" applyAlignment="1">
      <alignment vertical="center"/>
    </xf>
    <xf numFmtId="9" fontId="21" fillId="2" borderId="127" xfId="2" applyFont="1" applyFill="1" applyBorder="1" applyAlignment="1">
      <alignment horizontal="center" vertical="center"/>
    </xf>
    <xf numFmtId="167" fontId="21" fillId="2" borderId="127" xfId="2" applyNumberFormat="1" applyFont="1" applyFill="1" applyBorder="1" applyAlignment="1">
      <alignment horizontal="center" vertical="center"/>
    </xf>
    <xf numFmtId="164" fontId="21" fillId="2" borderId="712" xfId="6" applyNumberFormat="1" applyFont="1" applyFill="1" applyBorder="1" applyAlignment="1">
      <alignment vertical="center"/>
    </xf>
    <xf numFmtId="164" fontId="21" fillId="2" borderId="126" xfId="6" applyNumberFormat="1" applyFont="1" applyFill="1" applyBorder="1" applyAlignment="1">
      <alignment vertical="center"/>
    </xf>
    <xf numFmtId="9" fontId="21" fillId="2" borderId="145" xfId="2" applyFont="1" applyFill="1" applyBorder="1" applyAlignment="1">
      <alignment vertical="center"/>
    </xf>
    <xf numFmtId="164" fontId="21" fillId="2" borderId="145" xfId="6" applyNumberFormat="1" applyFont="1" applyFill="1" applyBorder="1" applyAlignment="1">
      <alignment vertical="center"/>
    </xf>
    <xf numFmtId="164" fontId="21" fillId="2" borderId="126" xfId="6" applyNumberFormat="1" applyFont="1" applyFill="1" applyBorder="1" applyAlignment="1">
      <alignment horizontal="center" vertical="center"/>
    </xf>
    <xf numFmtId="9" fontId="21" fillId="2" borderId="145" xfId="2" applyFont="1" applyFill="1" applyBorder="1" applyAlignment="1">
      <alignment horizontal="center" vertical="center"/>
    </xf>
    <xf numFmtId="9" fontId="12" fillId="2" borderId="145" xfId="2" applyFont="1" applyFill="1" applyBorder="1" applyAlignment="1">
      <alignment horizontal="center" vertical="center"/>
    </xf>
    <xf numFmtId="9" fontId="12" fillId="2" borderId="348" xfId="2" applyFont="1" applyFill="1" applyBorder="1" applyAlignment="1">
      <alignment horizontal="center" vertical="center"/>
    </xf>
    <xf numFmtId="164" fontId="12" fillId="2" borderId="116" xfId="6" applyNumberFormat="1" applyFont="1" applyFill="1" applyBorder="1" applyAlignment="1">
      <alignment horizontal="center" vertical="center"/>
    </xf>
    <xf numFmtId="9" fontId="12" fillId="2" borderId="127" xfId="2" applyFont="1" applyFill="1" applyBorder="1" applyAlignment="1">
      <alignment vertical="center"/>
    </xf>
    <xf numFmtId="9" fontId="12" fillId="2" borderId="127" xfId="2" applyFont="1" applyFill="1" applyBorder="1" applyAlignment="1">
      <alignment horizontal="center" vertical="center"/>
    </xf>
    <xf numFmtId="164" fontId="4" fillId="2" borderId="713" xfId="6" applyNumberFormat="1" applyFont="1" applyFill="1" applyBorder="1" applyAlignment="1">
      <alignment horizontal="center" vertical="center"/>
    </xf>
    <xf numFmtId="164" fontId="4" fillId="2" borderId="714" xfId="6" applyNumberFormat="1" applyFont="1" applyFill="1" applyBorder="1" applyAlignment="1">
      <alignment vertical="center"/>
    </xf>
    <xf numFmtId="9" fontId="4" fillId="2" borderId="715" xfId="2" applyFont="1" applyFill="1" applyBorder="1" applyAlignment="1">
      <alignment horizontal="center" vertical="center"/>
    </xf>
    <xf numFmtId="164" fontId="4" fillId="2" borderId="716" xfId="6" applyNumberFormat="1" applyFont="1" applyFill="1" applyBorder="1" applyAlignment="1">
      <alignment vertical="center"/>
    </xf>
    <xf numFmtId="164" fontId="4" fillId="2" borderId="717" xfId="6" applyNumberFormat="1" applyFont="1" applyFill="1" applyBorder="1" applyAlignment="1">
      <alignment vertical="center"/>
    </xf>
    <xf numFmtId="164" fontId="4" fillId="2" borderId="718" xfId="6" applyNumberFormat="1" applyFont="1" applyFill="1" applyBorder="1" applyAlignment="1">
      <alignment vertical="center"/>
    </xf>
    <xf numFmtId="9" fontId="4" fillId="2" borderId="719" xfId="2" applyFont="1" applyFill="1" applyBorder="1" applyAlignment="1">
      <alignment horizontal="center" vertical="center"/>
    </xf>
    <xf numFmtId="164" fontId="4" fillId="2" borderId="326" xfId="6" applyNumberFormat="1" applyFont="1" applyFill="1" applyBorder="1" applyAlignment="1">
      <alignment vertical="center"/>
    </xf>
    <xf numFmtId="164" fontId="12" fillId="2" borderId="720" xfId="6" applyNumberFormat="1" applyFont="1" applyFill="1" applyBorder="1" applyAlignment="1">
      <alignment vertical="center"/>
    </xf>
    <xf numFmtId="164" fontId="4" fillId="2" borderId="540" xfId="6" applyNumberFormat="1" applyFont="1" applyFill="1" applyBorder="1" applyAlignment="1">
      <alignment horizontal="center" vertical="center"/>
    </xf>
    <xf numFmtId="164" fontId="12" fillId="2" borderId="506" xfId="6" applyNumberFormat="1" applyFont="1" applyFill="1" applyBorder="1" applyAlignment="1">
      <alignment vertical="center"/>
    </xf>
    <xf numFmtId="164" fontId="12" fillId="2" borderId="508" xfId="6" applyNumberFormat="1" applyFont="1" applyFill="1" applyBorder="1" applyAlignment="1">
      <alignment vertical="center"/>
    </xf>
    <xf numFmtId="164" fontId="12" fillId="2" borderId="540" xfId="6" applyNumberFormat="1" applyFont="1" applyFill="1" applyBorder="1" applyAlignment="1">
      <alignment horizontal="center" vertical="center"/>
    </xf>
    <xf numFmtId="164" fontId="12" fillId="2" borderId="507" xfId="6" applyNumberFormat="1" applyFont="1" applyFill="1" applyBorder="1" applyAlignment="1">
      <alignment vertical="center"/>
    </xf>
    <xf numFmtId="164" fontId="12" fillId="2" borderId="540" xfId="6" applyNumberFormat="1" applyFont="1" applyFill="1" applyBorder="1" applyAlignment="1">
      <alignment vertical="center"/>
    </xf>
    <xf numFmtId="164" fontId="12" fillId="2" borderId="508" xfId="6" applyNumberFormat="1" applyFont="1" applyFill="1" applyBorder="1" applyAlignment="1">
      <alignment horizontal="center" vertical="center"/>
    </xf>
    <xf numFmtId="167" fontId="12" fillId="2" borderId="338" xfId="6" applyNumberFormat="1" applyFont="1" applyFill="1" applyBorder="1" applyAlignment="1">
      <alignment horizontal="center" vertical="center"/>
    </xf>
    <xf numFmtId="164" fontId="12" fillId="2" borderId="116" xfId="6" applyNumberFormat="1" applyFont="1" applyFill="1" applyBorder="1" applyAlignment="1">
      <alignment vertical="center"/>
    </xf>
    <xf numFmtId="164" fontId="12" fillId="2" borderId="587" xfId="6" applyNumberFormat="1" applyFont="1" applyFill="1" applyBorder="1" applyAlignment="1">
      <alignment vertical="center"/>
    </xf>
    <xf numFmtId="9" fontId="4" fillId="2" borderId="721" xfId="2" applyFont="1" applyFill="1" applyBorder="1" applyAlignment="1">
      <alignment horizontal="center" vertical="center"/>
    </xf>
    <xf numFmtId="167" fontId="12" fillId="2" borderId="126" xfId="6" applyNumberFormat="1" applyFont="1" applyFill="1" applyBorder="1" applyAlignment="1">
      <alignment horizontal="center" vertical="center"/>
    </xf>
    <xf numFmtId="3" fontId="4" fillId="2" borderId="126" xfId="6" applyNumberFormat="1" applyFont="1" applyFill="1" applyBorder="1" applyAlignment="1">
      <alignment horizontal="center" vertical="center"/>
    </xf>
    <xf numFmtId="164" fontId="4" fillId="2" borderId="587" xfId="6" applyNumberFormat="1" applyFont="1" applyFill="1" applyBorder="1" applyAlignment="1">
      <alignment vertical="center"/>
    </xf>
    <xf numFmtId="167" fontId="4" fillId="2" borderId="126" xfId="6" applyNumberFormat="1" applyFont="1" applyFill="1" applyBorder="1" applyAlignment="1">
      <alignment vertical="center"/>
    </xf>
    <xf numFmtId="164" fontId="4" fillId="2" borderId="722" xfId="6" applyNumberFormat="1" applyFont="1" applyFill="1" applyBorder="1" applyAlignment="1">
      <alignment vertical="center"/>
    </xf>
    <xf numFmtId="167" fontId="4" fillId="2" borderId="127" xfId="6" applyNumberFormat="1" applyFont="1" applyFill="1" applyBorder="1" applyAlignment="1">
      <alignment horizontal="center" vertical="center"/>
    </xf>
    <xf numFmtId="164" fontId="4" fillId="2" borderId="537" xfId="6" applyNumberFormat="1" applyFont="1" applyFill="1" applyBorder="1" applyAlignment="1">
      <alignment horizontal="center" vertical="center"/>
    </xf>
    <xf numFmtId="9" fontId="4" fillId="2" borderId="209" xfId="2" applyFont="1" applyFill="1" applyBorder="1" applyAlignment="1">
      <alignment horizontal="center" vertical="center"/>
    </xf>
    <xf numFmtId="164" fontId="4" fillId="2" borderId="723" xfId="6" applyNumberFormat="1" applyFont="1" applyFill="1" applyBorder="1" applyAlignment="1">
      <alignment vertical="center"/>
    </xf>
    <xf numFmtId="164" fontId="4" fillId="2" borderId="506" xfId="0" applyNumberFormat="1" applyFont="1" applyFill="1" applyBorder="1" applyAlignment="1">
      <alignment vertical="center"/>
    </xf>
    <xf numFmtId="49" fontId="4" fillId="2" borderId="717" xfId="6" applyNumberFormat="1" applyFont="1" applyFill="1" applyBorder="1" applyAlignment="1">
      <alignment horizontal="center" vertical="center"/>
    </xf>
    <xf numFmtId="9" fontId="4" fillId="2" borderId="538" xfId="2" applyFont="1" applyFill="1" applyBorder="1" applyAlignment="1">
      <alignment vertical="center"/>
    </xf>
    <xf numFmtId="9" fontId="12" fillId="2" borderId="538" xfId="2" applyFont="1" applyFill="1" applyBorder="1" applyAlignment="1">
      <alignment vertical="center"/>
    </xf>
    <xf numFmtId="164" fontId="4" fillId="0" borderId="537" xfId="6" applyNumberFormat="1" applyFont="1" applyFill="1" applyBorder="1" applyAlignment="1">
      <alignment vertical="center"/>
    </xf>
    <xf numFmtId="9" fontId="12" fillId="2" borderId="538" xfId="2" applyFont="1" applyFill="1" applyBorder="1" applyAlignment="1">
      <alignment horizontal="center" vertical="center"/>
    </xf>
    <xf numFmtId="9" fontId="4" fillId="2" borderId="724" xfId="2" applyFont="1" applyFill="1" applyBorder="1" applyAlignment="1">
      <alignment horizontal="center" vertical="center"/>
    </xf>
    <xf numFmtId="9" fontId="4" fillId="2" borderId="124" xfId="2" applyFont="1" applyFill="1" applyBorder="1" applyAlignment="1">
      <alignment horizontal="center" vertical="center"/>
    </xf>
    <xf numFmtId="164" fontId="65" fillId="2" borderId="67" xfId="6" quotePrefix="1" applyNumberFormat="1" applyFont="1" applyFill="1" applyBorder="1" applyAlignment="1">
      <alignment horizontal="center" vertical="center"/>
    </xf>
    <xf numFmtId="0" fontId="65" fillId="2" borderId="67" xfId="3" applyFont="1" applyFill="1" applyBorder="1" applyAlignment="1">
      <alignment horizontal="center" vertical="center"/>
    </xf>
    <xf numFmtId="164" fontId="0" fillId="2" borderId="37" xfId="0" applyNumberFormat="1" applyFont="1" applyFill="1" applyBorder="1" applyAlignment="1">
      <alignment vertical="center"/>
    </xf>
    <xf numFmtId="166" fontId="0" fillId="2" borderId="107" xfId="6" applyFont="1" applyFill="1" applyBorder="1" applyAlignment="1">
      <alignment horizontal="left" vertical="center" wrapText="1"/>
    </xf>
    <xf numFmtId="164" fontId="4" fillId="2" borderId="107" xfId="6" quotePrefix="1" applyNumberFormat="1" applyFont="1" applyFill="1" applyBorder="1" applyAlignment="1">
      <alignment horizontal="center" vertical="center"/>
    </xf>
    <xf numFmtId="9" fontId="4" fillId="2" borderId="127" xfId="2" applyFont="1" applyFill="1" applyBorder="1" applyAlignment="1">
      <alignment horizontal="center" vertical="center"/>
    </xf>
    <xf numFmtId="9" fontId="4" fillId="0" borderId="538" xfId="2" applyFont="1" applyFill="1" applyBorder="1" applyAlignment="1">
      <alignment vertical="center"/>
    </xf>
    <xf numFmtId="0" fontId="12" fillId="4" borderId="19" xfId="0" applyFont="1" applyFill="1" applyBorder="1" applyAlignment="1">
      <alignment horizontal="center" vertical="center"/>
    </xf>
    <xf numFmtId="164" fontId="12" fillId="4" borderId="20" xfId="6" quotePrefix="1" applyNumberFormat="1" applyFont="1" applyFill="1" applyBorder="1" applyAlignment="1">
      <alignment horizontal="center" vertical="center"/>
    </xf>
    <xf numFmtId="168" fontId="53" fillId="4" borderId="20" xfId="4" applyNumberFormat="1" applyFont="1" applyFill="1" applyBorder="1" applyAlignment="1">
      <alignment horizontal="center" vertical="center"/>
    </xf>
    <xf numFmtId="1" fontId="12" fillId="4" borderId="19" xfId="0" applyNumberFormat="1" applyFont="1" applyFill="1" applyBorder="1" applyAlignment="1">
      <alignment horizontal="center" vertical="center"/>
    </xf>
    <xf numFmtId="1" fontId="12" fillId="4" borderId="20" xfId="0" applyNumberFormat="1" applyFont="1" applyFill="1" applyBorder="1" applyAlignment="1">
      <alignment horizontal="center" vertical="center"/>
    </xf>
    <xf numFmtId="164" fontId="12" fillId="4" borderId="20" xfId="0" applyNumberFormat="1" applyFont="1" applyFill="1" applyBorder="1" applyAlignment="1">
      <alignment vertical="center"/>
    </xf>
    <xf numFmtId="164" fontId="12" fillId="4" borderId="519" xfId="6" applyNumberFormat="1" applyFont="1" applyFill="1" applyBorder="1" applyAlignment="1">
      <alignment horizontal="center" vertical="center"/>
    </xf>
    <xf numFmtId="164" fontId="12" fillId="4" borderId="520" xfId="6" applyNumberFormat="1" applyFont="1" applyFill="1" applyBorder="1" applyAlignment="1">
      <alignment vertical="center"/>
    </xf>
    <xf numFmtId="9" fontId="12" fillId="4" borderId="511" xfId="2" applyFont="1" applyFill="1" applyBorder="1" applyAlignment="1">
      <alignment horizontal="center" vertical="center"/>
    </xf>
    <xf numFmtId="164" fontId="12" fillId="4" borderId="512" xfId="6" applyNumberFormat="1" applyFont="1" applyFill="1" applyBorder="1" applyAlignment="1">
      <alignment vertical="center"/>
    </xf>
    <xf numFmtId="9" fontId="12" fillId="4" borderId="518" xfId="2" applyFont="1" applyFill="1" applyBorder="1" applyAlignment="1">
      <alignment horizontal="center" vertical="center"/>
    </xf>
    <xf numFmtId="164" fontId="12" fillId="4" borderId="594" xfId="6" applyNumberFormat="1" applyFont="1" applyFill="1" applyBorder="1" applyAlignment="1">
      <alignment vertical="center"/>
    </xf>
    <xf numFmtId="164" fontId="12" fillId="4" borderId="82" xfId="6" applyNumberFormat="1" applyFont="1" applyFill="1" applyBorder="1" applyAlignment="1">
      <alignment vertical="center"/>
    </xf>
    <xf numFmtId="164" fontId="12" fillId="4" borderId="223" xfId="0" applyNumberFormat="1" applyFont="1" applyFill="1" applyBorder="1" applyAlignment="1">
      <alignment vertical="center"/>
    </xf>
    <xf numFmtId="9" fontId="12" fillId="4" borderId="516" xfId="2" applyFont="1" applyFill="1" applyBorder="1" applyAlignment="1">
      <alignment vertical="center"/>
    </xf>
    <xf numFmtId="164" fontId="12" fillId="4" borderId="414" xfId="6" applyNumberFormat="1" applyFont="1" applyFill="1" applyBorder="1" applyAlignment="1">
      <alignment horizontal="center" vertical="center"/>
    </xf>
    <xf numFmtId="164" fontId="12" fillId="4" borderId="284" xfId="0" applyNumberFormat="1" applyFont="1" applyFill="1" applyBorder="1" applyAlignment="1">
      <alignment vertical="center"/>
    </xf>
    <xf numFmtId="9" fontId="12" fillId="4" borderId="413" xfId="2" applyFont="1" applyFill="1" applyBorder="1" applyAlignment="1">
      <alignment vertical="center"/>
    </xf>
    <xf numFmtId="164" fontId="12" fillId="4" borderId="266" xfId="6" applyNumberFormat="1" applyFont="1" applyFill="1" applyBorder="1" applyAlignment="1">
      <alignment horizontal="center" vertical="center"/>
    </xf>
    <xf numFmtId="164" fontId="12" fillId="4" borderId="446" xfId="0" applyNumberFormat="1" applyFont="1" applyFill="1" applyBorder="1" applyAlignment="1">
      <alignment vertical="center"/>
    </xf>
    <xf numFmtId="9" fontId="12" fillId="4" borderId="63" xfId="2" applyFont="1" applyFill="1" applyBorder="1" applyAlignment="1">
      <alignment vertical="center"/>
    </xf>
    <xf numFmtId="164" fontId="4" fillId="2" borderId="137" xfId="6" applyNumberFormat="1" applyFont="1" applyFill="1" applyBorder="1" applyAlignment="1">
      <alignment horizontal="center" vertical="center"/>
    </xf>
    <xf numFmtId="164" fontId="4" fillId="2" borderId="109" xfId="6" applyNumberFormat="1" applyFont="1" applyFill="1" applyBorder="1" applyAlignment="1">
      <alignment vertical="center"/>
    </xf>
    <xf numFmtId="165" fontId="0" fillId="0" borderId="0" xfId="8" applyNumberFormat="1" applyFont="1" applyAlignment="1">
      <alignment horizontal="center" vertical="center"/>
    </xf>
    <xf numFmtId="165" fontId="0" fillId="2" borderId="0" xfId="0" applyNumberFormat="1" applyFill="1"/>
    <xf numFmtId="164" fontId="4" fillId="2" borderId="184" xfId="6" applyNumberFormat="1" applyFont="1" applyFill="1" applyBorder="1" applyAlignment="1">
      <alignment vertical="center"/>
    </xf>
    <xf numFmtId="169" fontId="4" fillId="2" borderId="70" xfId="6" applyNumberFormat="1" applyFont="1" applyFill="1" applyBorder="1" applyAlignment="1">
      <alignment horizontal="center" vertical="center"/>
    </xf>
    <xf numFmtId="164" fontId="73" fillId="0" borderId="67" xfId="6" applyNumberFormat="1" applyFont="1" applyFill="1" applyBorder="1" applyAlignment="1">
      <alignment vertical="center"/>
    </xf>
    <xf numFmtId="0" fontId="4" fillId="2" borderId="108" xfId="6" applyNumberFormat="1" applyFont="1" applyFill="1" applyBorder="1" applyAlignment="1">
      <alignment horizontal="center" vertical="center"/>
    </xf>
    <xf numFmtId="0" fontId="4" fillId="0" borderId="108" xfId="6" applyNumberFormat="1" applyFont="1" applyFill="1" applyBorder="1" applyAlignment="1">
      <alignment horizontal="center" vertical="center"/>
    </xf>
    <xf numFmtId="9" fontId="32" fillId="2" borderId="71" xfId="2" applyFont="1" applyFill="1" applyBorder="1" applyAlignment="1">
      <alignment vertical="center"/>
    </xf>
    <xf numFmtId="49" fontId="69" fillId="0" borderId="70" xfId="6" applyNumberFormat="1" applyFont="1" applyFill="1" applyBorder="1" applyAlignment="1">
      <alignment horizontal="center" vertical="center"/>
    </xf>
    <xf numFmtId="49" fontId="4" fillId="2" borderId="75" xfId="6" applyNumberFormat="1" applyFont="1" applyFill="1" applyBorder="1" applyAlignment="1">
      <alignment horizontal="center" vertical="center"/>
    </xf>
    <xf numFmtId="49" fontId="4" fillId="2" borderId="85" xfId="6" applyNumberFormat="1" applyFont="1" applyFill="1" applyBorder="1" applyAlignment="1">
      <alignment horizontal="center" vertical="center"/>
    </xf>
    <xf numFmtId="49" fontId="4" fillId="2" borderId="70" xfId="0" applyNumberFormat="1" applyFont="1" applyFill="1" applyBorder="1" applyAlignment="1">
      <alignment horizontal="center" vertical="center"/>
    </xf>
    <xf numFmtId="49" fontId="4" fillId="2" borderId="183" xfId="6" applyNumberFormat="1" applyFont="1" applyFill="1" applyBorder="1" applyAlignment="1">
      <alignment horizontal="center" vertical="center"/>
    </xf>
    <xf numFmtId="49" fontId="4" fillId="0" borderId="70" xfId="0" applyNumberFormat="1" applyFont="1" applyFill="1" applyBorder="1" applyAlignment="1">
      <alignment horizontal="center" vertical="center"/>
    </xf>
    <xf numFmtId="9" fontId="26" fillId="2" borderId="71" xfId="2" applyFont="1" applyFill="1" applyBorder="1" applyAlignment="1">
      <alignment horizontal="center" vertical="center"/>
    </xf>
    <xf numFmtId="9" fontId="26" fillId="14" borderId="71" xfId="2" applyFont="1" applyFill="1" applyBorder="1" applyAlignment="1">
      <alignment horizontal="center" vertical="center"/>
    </xf>
    <xf numFmtId="0" fontId="4" fillId="0" borderId="699" xfId="0" applyFont="1" applyFill="1" applyBorder="1" applyAlignment="1">
      <alignment horizontal="center" vertical="center"/>
    </xf>
    <xf numFmtId="166" fontId="4" fillId="0" borderId="86" xfId="6" applyFont="1" applyFill="1" applyBorder="1" applyAlignment="1">
      <alignment vertical="center" wrapText="1"/>
    </xf>
    <xf numFmtId="164" fontId="5" fillId="0" borderId="86" xfId="6" applyNumberFormat="1" applyFont="1" applyFill="1" applyBorder="1" applyAlignment="1">
      <alignment horizontal="center" vertical="center"/>
    </xf>
    <xf numFmtId="168" fontId="5" fillId="0" borderId="86" xfId="6" applyNumberFormat="1" applyFont="1" applyFill="1" applyBorder="1" applyAlignment="1">
      <alignment horizontal="center" vertical="center"/>
    </xf>
    <xf numFmtId="166" fontId="3" fillId="0" borderId="86" xfId="6" applyFont="1" applyFill="1" applyBorder="1" applyAlignment="1">
      <alignment vertical="center" wrapText="1"/>
    </xf>
    <xf numFmtId="164" fontId="5" fillId="2" borderId="66" xfId="6" quotePrefix="1" applyNumberFormat="1" applyFont="1" applyFill="1" applyBorder="1" applyAlignment="1">
      <alignment horizontal="left" vertical="center"/>
    </xf>
    <xf numFmtId="168" fontId="52" fillId="2" borderId="66" xfId="4" applyNumberFormat="1" applyFont="1" applyFill="1" applyBorder="1" applyAlignment="1">
      <alignment horizontal="center" vertical="center"/>
    </xf>
    <xf numFmtId="0" fontId="4" fillId="0" borderId="70" xfId="0" applyNumberFormat="1" applyFont="1" applyFill="1" applyBorder="1" applyAlignment="1">
      <alignment horizontal="center" vertical="center"/>
    </xf>
    <xf numFmtId="0" fontId="4" fillId="2" borderId="70" xfId="0" applyNumberFormat="1" applyFont="1" applyFill="1" applyBorder="1" applyAlignment="1">
      <alignment horizontal="center" vertical="center"/>
    </xf>
    <xf numFmtId="164" fontId="12" fillId="6" borderId="37" xfId="6" applyNumberFormat="1" applyFont="1" applyFill="1" applyBorder="1" applyAlignment="1">
      <alignment vertical="center"/>
    </xf>
    <xf numFmtId="9" fontId="92" fillId="6" borderId="142" xfId="2" applyFont="1" applyFill="1" applyBorder="1" applyAlignment="1">
      <alignment vertical="center"/>
    </xf>
    <xf numFmtId="166" fontId="4" fillId="0" borderId="67" xfId="6" applyFont="1" applyFill="1" applyBorder="1" applyAlignment="1">
      <alignment vertical="center"/>
    </xf>
    <xf numFmtId="166" fontId="3" fillId="2" borderId="86" xfId="6" applyFont="1" applyFill="1" applyBorder="1" applyAlignment="1">
      <alignment horizontal="left" vertical="center" wrapText="1"/>
    </xf>
    <xf numFmtId="164" fontId="4" fillId="2" borderId="86" xfId="6" quotePrefix="1" applyNumberFormat="1" applyFont="1" applyFill="1" applyBorder="1" applyAlignment="1">
      <alignment horizontal="center" vertical="center"/>
    </xf>
    <xf numFmtId="168" fontId="52" fillId="2" borderId="86" xfId="4" applyNumberFormat="1" applyFont="1" applyFill="1" applyBorder="1" applyAlignment="1">
      <alignment horizontal="center" vertical="center"/>
    </xf>
    <xf numFmtId="164" fontId="4" fillId="2" borderId="87" xfId="6" applyNumberFormat="1" applyFont="1" applyFill="1" applyBorder="1" applyAlignment="1">
      <alignment horizontal="center" vertical="center"/>
    </xf>
    <xf numFmtId="166" fontId="0" fillId="2" borderId="66" xfId="6" applyFont="1" applyFill="1" applyBorder="1" applyAlignment="1">
      <alignment horizontal="left" vertical="center" wrapText="1"/>
    </xf>
    <xf numFmtId="164" fontId="4" fillId="2" borderId="66" xfId="6" quotePrefix="1" applyNumberFormat="1" applyFont="1" applyFill="1" applyBorder="1" applyAlignment="1">
      <alignment horizontal="center" vertical="center"/>
    </xf>
    <xf numFmtId="164" fontId="4" fillId="4" borderId="19" xfId="6" applyNumberFormat="1" applyFont="1" applyFill="1" applyBorder="1" applyAlignment="1">
      <alignment vertical="center"/>
    </xf>
    <xf numFmtId="164" fontId="4" fillId="4" borderId="20" xfId="6" applyNumberFormat="1" applyFont="1" applyFill="1" applyBorder="1" applyAlignment="1">
      <alignment vertical="center"/>
    </xf>
    <xf numFmtId="9" fontId="4" fillId="4" borderId="23" xfId="2" applyFont="1" applyFill="1" applyBorder="1" applyAlignment="1">
      <alignment vertical="center"/>
    </xf>
    <xf numFmtId="165" fontId="4" fillId="2" borderId="0" xfId="6" applyNumberFormat="1" applyFont="1" applyFill="1" applyAlignment="1">
      <alignment vertical="center"/>
    </xf>
    <xf numFmtId="49" fontId="4" fillId="2" borderId="128" xfId="6" applyNumberFormat="1" applyFont="1" applyFill="1" applyBorder="1" applyAlignment="1">
      <alignment horizontal="center" vertical="center"/>
    </xf>
    <xf numFmtId="165" fontId="4" fillId="2" borderId="88" xfId="6" applyNumberFormat="1" applyFont="1" applyFill="1" applyBorder="1" applyAlignment="1">
      <alignment vertical="center"/>
    </xf>
    <xf numFmtId="165" fontId="4" fillId="2" borderId="37" xfId="6" applyNumberFormat="1" applyFont="1" applyFill="1" applyBorder="1" applyAlignment="1">
      <alignment vertical="center"/>
    </xf>
    <xf numFmtId="165" fontId="26" fillId="2" borderId="117" xfId="1" applyNumberFormat="1" applyFont="1" applyFill="1" applyBorder="1" applyAlignment="1">
      <alignment vertical="center"/>
    </xf>
    <xf numFmtId="0" fontId="9" fillId="2" borderId="0" xfId="0" applyFont="1" applyFill="1" applyAlignment="1">
      <alignment vertical="center"/>
    </xf>
    <xf numFmtId="0" fontId="0" fillId="2" borderId="20" xfId="0" applyFill="1" applyBorder="1"/>
    <xf numFmtId="0" fontId="107" fillId="2" borderId="0" xfId="0" applyFont="1" applyFill="1" applyBorder="1"/>
    <xf numFmtId="0" fontId="6" fillId="31" borderId="15" xfId="0" applyFont="1" applyFill="1" applyBorder="1" applyAlignment="1">
      <alignment horizontal="center" vertical="center"/>
    </xf>
    <xf numFmtId="164" fontId="21" fillId="31" borderId="0" xfId="6" applyNumberFormat="1" applyFont="1" applyFill="1" applyBorder="1" applyAlignment="1">
      <alignment horizontal="center" vertical="center"/>
    </xf>
    <xf numFmtId="9" fontId="21" fillId="31" borderId="10" xfId="2" applyFont="1" applyFill="1" applyBorder="1" applyAlignment="1">
      <alignment horizontal="center" vertical="center"/>
    </xf>
    <xf numFmtId="164" fontId="21" fillId="31" borderId="6" xfId="6" applyNumberFormat="1" applyFont="1" applyFill="1" applyBorder="1" applyAlignment="1">
      <alignment horizontal="center" vertical="center"/>
    </xf>
    <xf numFmtId="9" fontId="21" fillId="31" borderId="0" xfId="2" applyFont="1" applyFill="1" applyBorder="1" applyAlignment="1">
      <alignment horizontal="center" vertical="center"/>
    </xf>
    <xf numFmtId="0" fontId="21" fillId="31" borderId="6" xfId="0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horizontal="right" vertical="center"/>
    </xf>
    <xf numFmtId="164" fontId="80" fillId="0" borderId="67" xfId="6" applyNumberFormat="1" applyFont="1" applyFill="1" applyBorder="1" applyAlignment="1">
      <alignment horizontal="center"/>
    </xf>
    <xf numFmtId="164" fontId="54" fillId="31" borderId="515" xfId="6" applyNumberFormat="1" applyFont="1" applyFill="1" applyBorder="1" applyAlignment="1">
      <alignment horizontal="center" vertical="center"/>
    </xf>
    <xf numFmtId="164" fontId="54" fillId="31" borderId="19" xfId="6" applyNumberFormat="1" applyFont="1" applyFill="1" applyBorder="1" applyAlignment="1">
      <alignment horizontal="center" vertical="center"/>
    </xf>
    <xf numFmtId="9" fontId="54" fillId="31" borderId="23" xfId="2" applyFont="1" applyFill="1" applyBorder="1" applyAlignment="1">
      <alignment vertical="center"/>
    </xf>
    <xf numFmtId="9" fontId="54" fillId="31" borderId="23" xfId="2" applyFont="1" applyFill="1" applyBorder="1" applyAlignment="1">
      <alignment horizontal="center" vertical="center"/>
    </xf>
    <xf numFmtId="164" fontId="54" fillId="31" borderId="222" xfId="6" applyNumberFormat="1" applyFont="1" applyFill="1" applyBorder="1" applyAlignment="1">
      <alignment vertical="center"/>
    </xf>
    <xf numFmtId="9" fontId="54" fillId="31" borderId="20" xfId="2" applyFont="1" applyFill="1" applyBorder="1" applyAlignment="1">
      <alignment horizontal="center" vertical="center"/>
    </xf>
    <xf numFmtId="164" fontId="54" fillId="31" borderId="20" xfId="6" applyNumberFormat="1" applyFont="1" applyFill="1" applyBorder="1" applyAlignment="1">
      <alignment vertical="center"/>
    </xf>
    <xf numFmtId="9" fontId="27" fillId="0" borderId="71" xfId="2" applyFont="1" applyFill="1" applyBorder="1" applyAlignment="1">
      <alignment horizontal="center" vertical="center"/>
    </xf>
    <xf numFmtId="164" fontId="4" fillId="19" borderId="194" xfId="6" applyNumberFormat="1" applyFont="1" applyFill="1" applyBorder="1" applyAlignment="1">
      <alignment vertical="center"/>
    </xf>
    <xf numFmtId="0" fontId="9" fillId="28" borderId="19" xfId="0" applyFont="1" applyFill="1" applyBorder="1" applyAlignment="1">
      <alignment horizontal="center" vertical="center"/>
    </xf>
    <xf numFmtId="0" fontId="9" fillId="28" borderId="20" xfId="0" applyFont="1" applyFill="1" applyBorder="1" applyAlignment="1">
      <alignment vertical="center"/>
    </xf>
    <xf numFmtId="0" fontId="9" fillId="28" borderId="20" xfId="0" applyFont="1" applyFill="1" applyBorder="1" applyAlignment="1">
      <alignment horizontal="center" vertical="center"/>
    </xf>
    <xf numFmtId="9" fontId="9" fillId="28" borderId="23" xfId="2" applyFont="1" applyFill="1" applyBorder="1" applyAlignment="1">
      <alignment horizontal="center" vertical="center"/>
    </xf>
    <xf numFmtId="0" fontId="9" fillId="28" borderId="23" xfId="0" applyFont="1" applyFill="1" applyBorder="1" applyAlignment="1">
      <alignment horizontal="center" vertical="center"/>
    </xf>
    <xf numFmtId="165" fontId="9" fillId="28" borderId="157" xfId="1" applyNumberFormat="1" applyFont="1" applyFill="1" applyBorder="1" applyAlignment="1">
      <alignment vertical="center"/>
    </xf>
    <xf numFmtId="0" fontId="9" fillId="28" borderId="81" xfId="0" applyFont="1" applyFill="1" applyBorder="1" applyAlignment="1">
      <alignment horizontal="center" vertical="center"/>
    </xf>
    <xf numFmtId="164" fontId="9" fillId="28" borderId="82" xfId="5" applyNumberFormat="1" applyFont="1" applyFill="1" applyBorder="1" applyAlignment="1">
      <alignment vertical="center"/>
    </xf>
    <xf numFmtId="164" fontId="9" fillId="28" borderId="82" xfId="0" applyNumberFormat="1" applyFont="1" applyFill="1" applyBorder="1" applyAlignment="1">
      <alignment vertical="center"/>
    </xf>
    <xf numFmtId="9" fontId="9" fillId="28" borderId="83" xfId="2" applyFont="1" applyFill="1" applyBorder="1" applyAlignment="1">
      <alignment vertical="center"/>
    </xf>
    <xf numFmtId="165" fontId="9" fillId="28" borderId="81" xfId="1" applyNumberFormat="1" applyFont="1" applyFill="1" applyBorder="1" applyAlignment="1">
      <alignment vertical="center"/>
    </xf>
    <xf numFmtId="165" fontId="9" fillId="28" borderId="82" xfId="1" applyNumberFormat="1" applyFont="1" applyFill="1" applyBorder="1" applyAlignment="1">
      <alignment vertical="center"/>
    </xf>
    <xf numFmtId="1" fontId="9" fillId="28" borderId="19" xfId="2" applyNumberFormat="1" applyFont="1" applyFill="1" applyBorder="1" applyAlignment="1">
      <alignment horizontal="center" vertical="center"/>
    </xf>
    <xf numFmtId="9" fontId="9" fillId="28" borderId="20" xfId="2" applyFont="1" applyFill="1" applyBorder="1" applyAlignment="1">
      <alignment vertical="center"/>
    </xf>
    <xf numFmtId="165" fontId="9" fillId="28" borderId="327" xfId="1" applyNumberFormat="1" applyFont="1" applyFill="1" applyBorder="1" applyAlignment="1">
      <alignment vertical="center"/>
    </xf>
    <xf numFmtId="171" fontId="9" fillId="28" borderId="20" xfId="2" applyNumberFormat="1" applyFont="1" applyFill="1" applyBorder="1" applyAlignment="1">
      <alignment vertical="center"/>
    </xf>
    <xf numFmtId="167" fontId="9" fillId="28" borderId="327" xfId="2" applyNumberFormat="1" applyFont="1" applyFill="1" applyBorder="1" applyAlignment="1">
      <alignment vertical="center"/>
    </xf>
    <xf numFmtId="9" fontId="9" fillId="28" borderId="157" xfId="2" applyFont="1" applyFill="1" applyBorder="1" applyAlignment="1">
      <alignment vertical="center"/>
    </xf>
    <xf numFmtId="9" fontId="9" fillId="28" borderId="79" xfId="2" applyFont="1" applyFill="1" applyBorder="1" applyAlignment="1">
      <alignment vertical="center"/>
    </xf>
    <xf numFmtId="9" fontId="9" fillId="28" borderId="84" xfId="2" applyFont="1" applyFill="1" applyBorder="1" applyAlignment="1">
      <alignment vertical="center"/>
    </xf>
    <xf numFmtId="9" fontId="9" fillId="28" borderId="23" xfId="2" applyFont="1" applyFill="1" applyBorder="1" applyAlignment="1">
      <alignment vertical="center"/>
    </xf>
    <xf numFmtId="164" fontId="9" fillId="28" borderId="19" xfId="0" applyNumberFormat="1" applyFont="1" applyFill="1" applyBorder="1" applyAlignment="1">
      <alignment vertical="center"/>
    </xf>
    <xf numFmtId="164" fontId="9" fillId="28" borderId="20" xfId="0" applyNumberFormat="1" applyFont="1" applyFill="1" applyBorder="1" applyAlignment="1">
      <alignment vertical="center"/>
    </xf>
    <xf numFmtId="165" fontId="9" fillId="28" borderId="19" xfId="0" applyNumberFormat="1" applyFont="1" applyFill="1" applyBorder="1" applyAlignment="1">
      <alignment vertical="center"/>
    </xf>
    <xf numFmtId="165" fontId="9" fillId="28" borderId="20" xfId="0" applyNumberFormat="1" applyFont="1" applyFill="1" applyBorder="1" applyAlignment="1">
      <alignment vertical="center"/>
    </xf>
    <xf numFmtId="165" fontId="9" fillId="28" borderId="23" xfId="0" applyNumberFormat="1" applyFont="1" applyFill="1" applyBorder="1" applyAlignment="1">
      <alignment vertical="center"/>
    </xf>
    <xf numFmtId="165" fontId="9" fillId="28" borderId="20" xfId="1" applyNumberFormat="1" applyFont="1" applyFill="1" applyBorder="1" applyAlignment="1">
      <alignment vertical="center"/>
    </xf>
    <xf numFmtId="165" fontId="9" fillId="28" borderId="19" xfId="1" applyNumberFormat="1" applyFont="1" applyFill="1" applyBorder="1" applyAlignment="1">
      <alignment vertical="center"/>
    </xf>
    <xf numFmtId="165" fontId="9" fillId="28" borderId="23" xfId="1" applyNumberFormat="1" applyFont="1" applyFill="1" applyBorder="1" applyAlignment="1">
      <alignment vertical="center"/>
    </xf>
    <xf numFmtId="165" fontId="9" fillId="28" borderId="114" xfId="1" applyNumberFormat="1" applyFont="1" applyFill="1" applyBorder="1" applyAlignment="1">
      <alignment vertical="center"/>
    </xf>
    <xf numFmtId="9" fontId="9" fillId="28" borderId="82" xfId="2" applyFont="1" applyFill="1" applyBorder="1" applyAlignment="1">
      <alignment vertical="center"/>
    </xf>
    <xf numFmtId="1" fontId="9" fillId="28" borderId="113" xfId="2" applyNumberFormat="1" applyFont="1" applyFill="1" applyBorder="1" applyAlignment="1">
      <alignment horizontal="center" vertical="center"/>
    </xf>
    <xf numFmtId="165" fontId="43" fillId="28" borderId="20" xfId="0" applyNumberFormat="1" applyFont="1" applyFill="1" applyBorder="1" applyAlignment="1">
      <alignment vertical="center"/>
    </xf>
    <xf numFmtId="9" fontId="43" fillId="28" borderId="20" xfId="2" applyFont="1" applyFill="1" applyBorder="1" applyAlignment="1">
      <alignment vertical="center"/>
    </xf>
    <xf numFmtId="165" fontId="4" fillId="19" borderId="0" xfId="1" applyNumberFormat="1" applyFont="1" applyFill="1" applyBorder="1" applyAlignment="1">
      <alignment vertical="center"/>
    </xf>
    <xf numFmtId="164" fontId="44" fillId="33" borderId="1" xfId="6" applyNumberFormat="1" applyFont="1" applyFill="1" applyBorder="1" applyAlignment="1">
      <alignment horizontal="center" vertical="center"/>
    </xf>
    <xf numFmtId="164" fontId="44" fillId="33" borderId="2" xfId="6" applyNumberFormat="1" applyFont="1" applyFill="1" applyBorder="1" applyAlignment="1">
      <alignment horizontal="center" vertical="center"/>
    </xf>
    <xf numFmtId="0" fontId="44" fillId="33" borderId="26" xfId="0" applyFont="1" applyFill="1" applyBorder="1" applyAlignment="1">
      <alignment horizontal="center" vertical="center"/>
    </xf>
    <xf numFmtId="165" fontId="44" fillId="33" borderId="2" xfId="1" applyNumberFormat="1" applyFont="1" applyFill="1" applyBorder="1" applyAlignment="1">
      <alignment horizontal="center" vertical="center"/>
    </xf>
    <xf numFmtId="0" fontId="44" fillId="33" borderId="1" xfId="0" applyFont="1" applyFill="1" applyBorder="1" applyAlignment="1">
      <alignment horizontal="center" vertical="center"/>
    </xf>
    <xf numFmtId="0" fontId="44" fillId="33" borderId="352" xfId="0" applyFont="1" applyFill="1" applyBorder="1" applyAlignment="1">
      <alignment horizontal="center" vertical="center"/>
    </xf>
    <xf numFmtId="9" fontId="44" fillId="33" borderId="2" xfId="2" applyFont="1" applyFill="1" applyBorder="1" applyAlignment="1">
      <alignment horizontal="center" vertical="center"/>
    </xf>
    <xf numFmtId="9" fontId="44" fillId="33" borderId="26" xfId="2" applyFont="1" applyFill="1" applyBorder="1" applyAlignment="1">
      <alignment horizontal="center" vertical="center"/>
    </xf>
    <xf numFmtId="164" fontId="41" fillId="33" borderId="2" xfId="6" applyNumberFormat="1" applyFont="1" applyFill="1" applyBorder="1" applyAlignment="1">
      <alignment horizontal="center" vertical="center"/>
    </xf>
    <xf numFmtId="0" fontId="41" fillId="33" borderId="2" xfId="0" applyFont="1" applyFill="1" applyBorder="1" applyAlignment="1">
      <alignment horizontal="center" vertical="center"/>
    </xf>
    <xf numFmtId="0" fontId="3" fillId="33" borderId="19" xfId="0" applyFont="1" applyFill="1" applyBorder="1" applyAlignment="1">
      <alignment horizontal="center" vertical="center"/>
    </xf>
    <xf numFmtId="164" fontId="3" fillId="33" borderId="20" xfId="6" applyNumberFormat="1" applyFont="1" applyFill="1" applyBorder="1" applyAlignment="1">
      <alignment horizontal="center" vertical="center"/>
    </xf>
    <xf numFmtId="9" fontId="3" fillId="33" borderId="20" xfId="2" applyFont="1" applyFill="1" applyBorder="1" applyAlignment="1">
      <alignment horizontal="center" vertical="center"/>
    </xf>
    <xf numFmtId="9" fontId="3" fillId="33" borderId="23" xfId="2" applyFont="1" applyFill="1" applyBorder="1" applyAlignment="1">
      <alignment horizontal="center" vertical="center"/>
    </xf>
    <xf numFmtId="0" fontId="0" fillId="33" borderId="0" xfId="0" applyFill="1" applyBorder="1"/>
    <xf numFmtId="0" fontId="21" fillId="33" borderId="1" xfId="0" applyFont="1" applyFill="1" applyBorder="1" applyAlignment="1">
      <alignment horizontal="center" vertical="center"/>
    </xf>
    <xf numFmtId="0" fontId="2" fillId="33" borderId="2" xfId="0" applyFont="1" applyFill="1" applyBorder="1" applyAlignment="1">
      <alignment horizontal="center" vertical="center"/>
    </xf>
    <xf numFmtId="0" fontId="21" fillId="33" borderId="2" xfId="0" applyFont="1" applyFill="1" applyBorder="1" applyAlignment="1">
      <alignment horizontal="center" vertical="center"/>
    </xf>
    <xf numFmtId="9" fontId="2" fillId="33" borderId="2" xfId="2" applyFont="1" applyFill="1" applyBorder="1" applyAlignment="1">
      <alignment horizontal="center" vertical="center"/>
    </xf>
    <xf numFmtId="0" fontId="2" fillId="33" borderId="26" xfId="0" applyFont="1" applyFill="1" applyBorder="1" applyAlignment="1">
      <alignment horizontal="center" vertical="center"/>
    </xf>
    <xf numFmtId="9" fontId="2" fillId="33" borderId="26" xfId="2" applyFont="1" applyFill="1" applyBorder="1" applyAlignment="1">
      <alignment horizontal="center" vertical="center"/>
    </xf>
    <xf numFmtId="0" fontId="3" fillId="33" borderId="85" xfId="0" applyFont="1" applyFill="1" applyBorder="1" applyAlignment="1">
      <alignment horizontal="center" vertical="center"/>
    </xf>
    <xf numFmtId="0" fontId="3" fillId="33" borderId="86" xfId="0" applyFont="1" applyFill="1" applyBorder="1" applyAlignment="1">
      <alignment horizontal="center" vertical="center"/>
    </xf>
    <xf numFmtId="9" fontId="3" fillId="33" borderId="86" xfId="2" applyFont="1" applyFill="1" applyBorder="1" applyAlignment="1">
      <alignment horizontal="center" vertical="center"/>
    </xf>
    <xf numFmtId="0" fontId="3" fillId="33" borderId="87" xfId="0" applyFont="1" applyFill="1" applyBorder="1" applyAlignment="1">
      <alignment horizontal="center" vertical="center"/>
    </xf>
    <xf numFmtId="0" fontId="58" fillId="33" borderId="14" xfId="0" applyFont="1" applyFill="1" applyBorder="1" applyAlignment="1">
      <alignment vertical="center"/>
    </xf>
    <xf numFmtId="0" fontId="58" fillId="33" borderId="15" xfId="0" applyFont="1" applyFill="1" applyBorder="1" applyAlignment="1">
      <alignment vertical="center"/>
    </xf>
    <xf numFmtId="164" fontId="58" fillId="33" borderId="14" xfId="6" applyNumberFormat="1" applyFont="1" applyFill="1" applyBorder="1" applyAlignment="1">
      <alignment horizontal="center" vertical="center"/>
    </xf>
    <xf numFmtId="164" fontId="58" fillId="33" borderId="15" xfId="6" applyNumberFormat="1" applyFont="1" applyFill="1" applyBorder="1" applyAlignment="1">
      <alignment vertical="center"/>
    </xf>
    <xf numFmtId="9" fontId="58" fillId="33" borderId="15" xfId="2" applyFont="1" applyFill="1" applyBorder="1" applyAlignment="1">
      <alignment vertical="center"/>
    </xf>
    <xf numFmtId="9" fontId="58" fillId="33" borderId="18" xfId="2" applyFont="1" applyFill="1" applyBorder="1" applyAlignment="1">
      <alignment vertical="center"/>
    </xf>
    <xf numFmtId="164" fontId="58" fillId="33" borderId="14" xfId="6" applyNumberFormat="1" applyFont="1" applyFill="1" applyBorder="1" applyAlignment="1">
      <alignment vertical="center"/>
    </xf>
    <xf numFmtId="164" fontId="58" fillId="33" borderId="15" xfId="6" applyNumberFormat="1" applyFont="1" applyFill="1" applyBorder="1" applyAlignment="1">
      <alignment horizontal="center" vertical="center"/>
    </xf>
    <xf numFmtId="1" fontId="58" fillId="33" borderId="14" xfId="2" applyNumberFormat="1" applyFont="1" applyFill="1" applyBorder="1" applyAlignment="1">
      <alignment vertical="center"/>
    </xf>
    <xf numFmtId="164" fontId="75" fillId="33" borderId="15" xfId="6" applyNumberFormat="1" applyFont="1" applyFill="1" applyBorder="1" applyAlignment="1">
      <alignment horizontal="center" vertical="center"/>
    </xf>
    <xf numFmtId="164" fontId="75" fillId="33" borderId="15" xfId="6" applyNumberFormat="1" applyFont="1" applyFill="1" applyBorder="1" applyAlignment="1">
      <alignment vertical="center"/>
    </xf>
    <xf numFmtId="9" fontId="75" fillId="33" borderId="15" xfId="2" applyFont="1" applyFill="1" applyBorder="1" applyAlignment="1">
      <alignment vertical="center"/>
    </xf>
    <xf numFmtId="164" fontId="58" fillId="33" borderId="14" xfId="0" applyNumberFormat="1" applyFont="1" applyFill="1" applyBorder="1" applyAlignment="1">
      <alignment vertical="center"/>
    </xf>
    <xf numFmtId="164" fontId="58" fillId="33" borderId="15" xfId="0" applyNumberFormat="1" applyFont="1" applyFill="1" applyBorder="1" applyAlignment="1">
      <alignment vertical="center"/>
    </xf>
    <xf numFmtId="0" fontId="59" fillId="33" borderId="0" xfId="0" applyFont="1" applyFill="1" applyBorder="1" applyAlignment="1">
      <alignment vertical="center"/>
    </xf>
    <xf numFmtId="164" fontId="58" fillId="33" borderId="19" xfId="6" applyNumberFormat="1" applyFont="1" applyFill="1" applyBorder="1" applyAlignment="1">
      <alignment horizontal="center" vertical="center"/>
    </xf>
    <xf numFmtId="164" fontId="58" fillId="33" borderId="20" xfId="6" applyNumberFormat="1" applyFont="1" applyFill="1" applyBorder="1" applyAlignment="1">
      <alignment vertical="center"/>
    </xf>
    <xf numFmtId="9" fontId="58" fillId="33" borderId="20" xfId="2" applyFont="1" applyFill="1" applyBorder="1" applyAlignment="1">
      <alignment vertical="center"/>
    </xf>
    <xf numFmtId="9" fontId="58" fillId="33" borderId="23" xfId="2" applyFont="1" applyFill="1" applyBorder="1" applyAlignment="1">
      <alignment vertical="center"/>
    </xf>
    <xf numFmtId="9" fontId="51" fillId="33" borderId="20" xfId="2" applyFont="1" applyFill="1" applyBorder="1" applyAlignment="1">
      <alignment vertical="center"/>
    </xf>
    <xf numFmtId="9" fontId="51" fillId="33" borderId="23" xfId="2" applyFont="1" applyFill="1" applyBorder="1" applyAlignment="1">
      <alignment vertical="center"/>
    </xf>
    <xf numFmtId="9" fontId="44" fillId="33" borderId="20" xfId="2" applyFont="1" applyFill="1" applyBorder="1" applyAlignment="1">
      <alignment vertical="center"/>
    </xf>
    <xf numFmtId="9" fontId="44" fillId="33" borderId="23" xfId="2" applyFont="1" applyFill="1" applyBorder="1" applyAlignment="1">
      <alignment vertical="center"/>
    </xf>
    <xf numFmtId="164" fontId="41" fillId="33" borderId="81" xfId="0" applyNumberFormat="1" applyFont="1" applyFill="1" applyBorder="1" applyAlignment="1">
      <alignment vertical="center"/>
    </xf>
    <xf numFmtId="164" fontId="41" fillId="33" borderId="82" xfId="0" applyNumberFormat="1" applyFont="1" applyFill="1" applyBorder="1" applyAlignment="1">
      <alignment vertical="center"/>
    </xf>
    <xf numFmtId="9" fontId="41" fillId="33" borderId="82" xfId="2" applyFont="1" applyFill="1" applyBorder="1" applyAlignment="1">
      <alignment vertical="center"/>
    </xf>
    <xf numFmtId="9" fontId="41" fillId="33" borderId="83" xfId="2" applyFont="1" applyFill="1" applyBorder="1" applyAlignment="1">
      <alignment vertical="center"/>
    </xf>
    <xf numFmtId="9" fontId="58" fillId="33" borderId="15" xfId="2" applyFont="1" applyFill="1" applyBorder="1" applyAlignment="1">
      <alignment horizontal="center" vertical="center"/>
    </xf>
    <xf numFmtId="9" fontId="58" fillId="33" borderId="18" xfId="2" applyFont="1" applyFill="1" applyBorder="1" applyAlignment="1">
      <alignment horizontal="center" vertical="center"/>
    </xf>
    <xf numFmtId="9" fontId="42" fillId="33" borderId="20" xfId="2" applyFont="1" applyFill="1" applyBorder="1" applyAlignment="1">
      <alignment vertical="center"/>
    </xf>
    <xf numFmtId="9" fontId="42" fillId="33" borderId="23" xfId="2" applyFont="1" applyFill="1" applyBorder="1" applyAlignment="1">
      <alignment vertical="center"/>
    </xf>
    <xf numFmtId="166" fontId="4" fillId="0" borderId="67" xfId="6" applyFont="1" applyFill="1" applyBorder="1" applyAlignment="1">
      <alignment horizontal="center" vertical="center" wrapText="1"/>
    </xf>
    <xf numFmtId="164" fontId="26" fillId="2" borderId="117" xfId="6" applyNumberFormat="1" applyFont="1" applyFill="1" applyBorder="1" applyAlignment="1">
      <alignment vertical="center"/>
    </xf>
    <xf numFmtId="165" fontId="42" fillId="2" borderId="128" xfId="1" applyNumberFormat="1" applyFont="1" applyFill="1" applyBorder="1" applyAlignment="1">
      <alignment vertical="center"/>
    </xf>
    <xf numFmtId="165" fontId="42" fillId="2" borderId="125" xfId="1" applyNumberFormat="1" applyFont="1" applyFill="1" applyBorder="1" applyAlignment="1">
      <alignment vertical="center"/>
    </xf>
    <xf numFmtId="0" fontId="42" fillId="2" borderId="128" xfId="0" applyFont="1" applyFill="1" applyBorder="1" applyAlignment="1">
      <alignment horizontal="center" vertical="center"/>
    </xf>
    <xf numFmtId="165" fontId="42" fillId="2" borderId="125" xfId="1" applyNumberFormat="1" applyFont="1" applyFill="1" applyBorder="1" applyAlignment="1">
      <alignment horizontal="center" vertical="center"/>
    </xf>
    <xf numFmtId="9" fontId="42" fillId="2" borderId="125" xfId="2" applyFont="1" applyFill="1" applyBorder="1" applyAlignment="1">
      <alignment horizontal="center" vertical="center"/>
    </xf>
    <xf numFmtId="9" fontId="42" fillId="2" borderId="96" xfId="2" applyFont="1" applyFill="1" applyBorder="1" applyAlignment="1">
      <alignment horizontal="center" vertical="center"/>
    </xf>
    <xf numFmtId="165" fontId="42" fillId="2" borderId="14" xfId="0" applyNumberFormat="1" applyFont="1" applyFill="1" applyBorder="1" applyAlignment="1">
      <alignment horizontal="center" vertical="center"/>
    </xf>
    <xf numFmtId="165" fontId="42" fillId="2" borderId="15" xfId="0" applyNumberFormat="1" applyFont="1" applyFill="1" applyBorder="1" applyAlignment="1">
      <alignment horizontal="center" vertical="center"/>
    </xf>
    <xf numFmtId="165" fontId="108" fillId="2" borderId="34" xfId="0" applyNumberFormat="1" applyFont="1" applyFill="1" applyBorder="1" applyAlignment="1">
      <alignment horizontal="center" vertical="center"/>
    </xf>
    <xf numFmtId="165" fontId="108" fillId="2" borderId="34" xfId="1" applyNumberFormat="1" applyFont="1" applyFill="1" applyBorder="1" applyAlignment="1">
      <alignment horizontal="center" vertical="center"/>
    </xf>
    <xf numFmtId="165" fontId="108" fillId="2" borderId="37" xfId="1" applyNumberFormat="1" applyFont="1" applyFill="1" applyBorder="1" applyAlignment="1">
      <alignment vertical="center"/>
    </xf>
    <xf numFmtId="164" fontId="108" fillId="2" borderId="37" xfId="6" applyNumberFormat="1" applyFont="1" applyFill="1" applyBorder="1" applyAlignment="1">
      <alignment vertical="center"/>
    </xf>
    <xf numFmtId="164" fontId="108" fillId="2" borderId="34" xfId="6" applyNumberFormat="1" applyFont="1" applyFill="1" applyBorder="1" applyAlignment="1">
      <alignment vertical="center"/>
    </xf>
    <xf numFmtId="164" fontId="54" fillId="5" borderId="0" xfId="6" applyNumberFormat="1" applyFont="1" applyFill="1" applyBorder="1" applyAlignment="1">
      <alignment vertical="center"/>
    </xf>
    <xf numFmtId="164" fontId="54" fillId="5" borderId="0" xfId="6" applyNumberFormat="1" applyFont="1" applyFill="1" applyAlignment="1">
      <alignment vertical="center"/>
    </xf>
    <xf numFmtId="164" fontId="3" fillId="2" borderId="20" xfId="6" applyNumberFormat="1" applyFont="1" applyFill="1" applyBorder="1" applyAlignment="1">
      <alignment vertical="center"/>
    </xf>
    <xf numFmtId="165" fontId="59" fillId="2" borderId="0" xfId="0" applyNumberFormat="1" applyFont="1" applyFill="1" applyBorder="1" applyAlignment="1">
      <alignment vertical="center"/>
    </xf>
    <xf numFmtId="164" fontId="4" fillId="0" borderId="71" xfId="6" applyNumberFormat="1" applyFont="1" applyFill="1" applyBorder="1" applyAlignment="1">
      <alignment vertical="center"/>
    </xf>
    <xf numFmtId="9" fontId="4" fillId="2" borderId="138" xfId="2" applyFont="1" applyFill="1" applyBorder="1" applyAlignment="1">
      <alignment horizontal="center" vertical="center"/>
    </xf>
    <xf numFmtId="43" fontId="4" fillId="2" borderId="63" xfId="1" applyFont="1" applyFill="1" applyBorder="1" applyAlignment="1">
      <alignment horizontal="center" vertical="center"/>
    </xf>
    <xf numFmtId="1" fontId="4" fillId="2" borderId="63" xfId="2" applyNumberFormat="1" applyFont="1" applyFill="1" applyBorder="1" applyAlignment="1">
      <alignment horizontal="center" vertical="center"/>
    </xf>
    <xf numFmtId="43" fontId="4" fillId="2" borderId="145" xfId="1" applyFont="1" applyFill="1" applyBorder="1" applyAlignment="1">
      <alignment horizontal="center" vertical="center"/>
    </xf>
    <xf numFmtId="165" fontId="9" fillId="2" borderId="0" xfId="0" applyNumberFormat="1" applyFont="1" applyFill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34" fillId="31" borderId="6" xfId="0" applyFont="1" applyFill="1" applyBorder="1" applyAlignment="1">
      <alignment horizontal="center" vertical="center" wrapText="1"/>
    </xf>
    <xf numFmtId="9" fontId="16" fillId="2" borderId="0" xfId="2" applyFont="1" applyFill="1" applyBorder="1" applyAlignment="1">
      <alignment horizontal="center" vertical="center" wrapText="1"/>
    </xf>
    <xf numFmtId="9" fontId="34" fillId="31" borderId="10" xfId="2" applyFont="1" applyFill="1" applyBorder="1" applyAlignment="1">
      <alignment horizontal="center" vertical="center" wrapText="1"/>
    </xf>
    <xf numFmtId="9" fontId="34" fillId="31" borderId="0" xfId="2" applyFont="1" applyFill="1" applyBorder="1" applyAlignment="1">
      <alignment horizontal="center" vertical="center" wrapText="1"/>
    </xf>
    <xf numFmtId="0" fontId="6" fillId="31" borderId="14" xfId="0" applyFont="1" applyFill="1" applyBorder="1" applyAlignment="1">
      <alignment horizontal="center" vertical="center" wrapText="1"/>
    </xf>
    <xf numFmtId="164" fontId="6" fillId="31" borderId="15" xfId="6" applyNumberFormat="1" applyFont="1" applyFill="1" applyBorder="1" applyAlignment="1">
      <alignment horizontal="center" vertical="center" wrapText="1"/>
    </xf>
    <xf numFmtId="0" fontId="6" fillId="31" borderId="17" xfId="0" applyFont="1" applyFill="1" applyBorder="1" applyAlignment="1">
      <alignment horizontal="center" vertical="center"/>
    </xf>
    <xf numFmtId="0" fontId="6" fillId="31" borderId="15" xfId="0" applyFont="1" applyFill="1" applyBorder="1" applyAlignment="1">
      <alignment vertical="center"/>
    </xf>
    <xf numFmtId="9" fontId="13" fillId="2" borderId="0" xfId="2" applyFont="1" applyFill="1" applyBorder="1" applyAlignment="1">
      <alignment horizontal="center" vertical="center" wrapText="1"/>
    </xf>
    <xf numFmtId="164" fontId="6" fillId="31" borderId="16" xfId="6" applyNumberFormat="1" applyFont="1" applyFill="1" applyBorder="1" applyAlignment="1">
      <alignment horizontal="center" vertical="center" wrapText="1"/>
    </xf>
    <xf numFmtId="0" fontId="6" fillId="31" borderId="15" xfId="0" applyFont="1" applyFill="1" applyBorder="1" applyAlignment="1">
      <alignment horizontal="center" vertical="center" wrapText="1"/>
    </xf>
    <xf numFmtId="9" fontId="6" fillId="31" borderId="15" xfId="2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164" fontId="13" fillId="2" borderId="0" xfId="6" applyNumberFormat="1" applyFont="1" applyFill="1" applyBorder="1" applyAlignment="1">
      <alignment horizontal="center" vertical="center" wrapText="1"/>
    </xf>
    <xf numFmtId="0" fontId="13" fillId="2" borderId="13" xfId="0" applyFont="1" applyFill="1" applyBorder="1" applyAlignment="1">
      <alignment horizontal="center" vertical="center"/>
    </xf>
    <xf numFmtId="166" fontId="13" fillId="2" borderId="10" xfId="6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vertical="center"/>
    </xf>
    <xf numFmtId="164" fontId="13" fillId="2" borderId="12" xfId="6" applyNumberFormat="1" applyFont="1" applyFill="1" applyBorder="1" applyAlignment="1">
      <alignment horizontal="center" vertical="center" wrapText="1"/>
    </xf>
    <xf numFmtId="9" fontId="13" fillId="2" borderId="10" xfId="2" applyFont="1" applyFill="1" applyBorder="1" applyAlignment="1">
      <alignment horizontal="center" vertical="center" wrapText="1"/>
    </xf>
    <xf numFmtId="164" fontId="13" fillId="2" borderId="6" xfId="6" applyNumberFormat="1" applyFont="1" applyFill="1" applyBorder="1" applyAlignment="1">
      <alignment horizontal="center" vertical="center" wrapText="1"/>
    </xf>
    <xf numFmtId="0" fontId="54" fillId="31" borderId="19" xfId="0" applyFont="1" applyFill="1" applyBorder="1" applyAlignment="1">
      <alignment vertical="center"/>
    </xf>
    <xf numFmtId="0" fontId="54" fillId="31" borderId="20" xfId="0" applyFont="1" applyFill="1" applyBorder="1" applyAlignment="1">
      <alignment horizontal="right" vertical="center"/>
    </xf>
    <xf numFmtId="164" fontId="54" fillId="31" borderId="19" xfId="6" applyNumberFormat="1" applyFont="1" applyFill="1" applyBorder="1" applyAlignment="1">
      <alignment vertical="center"/>
    </xf>
    <xf numFmtId="164" fontId="54" fillId="31" borderId="21" xfId="6" applyNumberFormat="1" applyFont="1" applyFill="1" applyBorder="1" applyAlignment="1">
      <alignment vertical="center"/>
    </xf>
    <xf numFmtId="164" fontId="54" fillId="31" borderId="22" xfId="6" applyNumberFormat="1" applyFont="1" applyFill="1" applyBorder="1" applyAlignment="1">
      <alignment vertical="center"/>
    </xf>
    <xf numFmtId="166" fontId="54" fillId="31" borderId="23" xfId="6" applyFont="1" applyFill="1" applyBorder="1" applyAlignment="1">
      <alignment vertical="center"/>
    </xf>
    <xf numFmtId="164" fontId="54" fillId="31" borderId="156" xfId="6" applyNumberFormat="1" applyFont="1" applyFill="1" applyBorder="1" applyAlignment="1">
      <alignment vertical="center"/>
    </xf>
    <xf numFmtId="164" fontId="54" fillId="31" borderId="168" xfId="6" applyNumberFormat="1" applyFont="1" applyFill="1" applyBorder="1" applyAlignment="1">
      <alignment vertical="center"/>
    </xf>
    <xf numFmtId="9" fontId="54" fillId="31" borderId="20" xfId="2" applyFont="1" applyFill="1" applyBorder="1" applyAlignment="1">
      <alignment vertical="center"/>
    </xf>
    <xf numFmtId="0" fontId="54" fillId="5" borderId="19" xfId="0" applyFont="1" applyFill="1" applyBorder="1" applyAlignment="1"/>
    <xf numFmtId="0" fontId="54" fillId="5" borderId="20" xfId="0" applyFont="1" applyFill="1" applyBorder="1" applyAlignment="1">
      <alignment horizontal="right"/>
    </xf>
    <xf numFmtId="0" fontId="2" fillId="5" borderId="14" xfId="0" applyFont="1" applyFill="1" applyBorder="1"/>
    <xf numFmtId="164" fontId="2" fillId="5" borderId="15" xfId="6" applyNumberFormat="1" applyFont="1" applyFill="1" applyBorder="1"/>
    <xf numFmtId="0" fontId="2" fillId="5" borderId="15" xfId="0" applyFont="1" applyFill="1" applyBorder="1"/>
    <xf numFmtId="166" fontId="2" fillId="5" borderId="18" xfId="6" applyFont="1" applyFill="1" applyBorder="1"/>
    <xf numFmtId="9" fontId="2" fillId="2" borderId="0" xfId="2" applyFont="1" applyFill="1" applyBorder="1"/>
    <xf numFmtId="9" fontId="2" fillId="5" borderId="18" xfId="2" applyFont="1" applyFill="1" applyBorder="1"/>
    <xf numFmtId="9" fontId="2" fillId="5" borderId="15" xfId="2" applyFont="1" applyFill="1" applyBorder="1"/>
    <xf numFmtId="9" fontId="2" fillId="5" borderId="14" xfId="2" applyFont="1" applyFill="1" applyBorder="1"/>
    <xf numFmtId="0" fontId="20" fillId="2" borderId="0" xfId="0" applyFont="1" applyFill="1"/>
    <xf numFmtId="0" fontId="9" fillId="29" borderId="19" xfId="0" applyFont="1" applyFill="1" applyBorder="1" applyAlignment="1"/>
    <xf numFmtId="0" fontId="3" fillId="29" borderId="14" xfId="0" applyFont="1" applyFill="1" applyBorder="1"/>
    <xf numFmtId="164" fontId="3" fillId="29" borderId="15" xfId="6" applyNumberFormat="1" applyFont="1" applyFill="1" applyBorder="1"/>
    <xf numFmtId="0" fontId="3" fillId="29" borderId="15" xfId="0" applyFont="1" applyFill="1" applyBorder="1"/>
    <xf numFmtId="164" fontId="3" fillId="29" borderId="20" xfId="6" applyNumberFormat="1" applyFont="1" applyFill="1" applyBorder="1"/>
    <xf numFmtId="0" fontId="3" fillId="29" borderId="14" xfId="0" applyFont="1" applyFill="1" applyBorder="1" applyAlignment="1">
      <alignment vertical="center"/>
    </xf>
    <xf numFmtId="164" fontId="3" fillId="29" borderId="15" xfId="6" applyNumberFormat="1" applyFont="1" applyFill="1" applyBorder="1" applyAlignment="1">
      <alignment vertical="center"/>
    </xf>
    <xf numFmtId="0" fontId="3" fillId="29" borderId="15" xfId="0" applyFont="1" applyFill="1" applyBorder="1" applyAlignment="1">
      <alignment vertical="center"/>
    </xf>
    <xf numFmtId="164" fontId="3" fillId="29" borderId="20" xfId="6" applyNumberFormat="1" applyFont="1" applyFill="1" applyBorder="1" applyAlignment="1">
      <alignment vertical="center"/>
    </xf>
    <xf numFmtId="9" fontId="3" fillId="29" borderId="23" xfId="2" applyFont="1" applyFill="1" applyBorder="1" applyAlignment="1">
      <alignment vertical="center"/>
    </xf>
    <xf numFmtId="0" fontId="60" fillId="34" borderId="113" xfId="0" applyFont="1" applyFill="1" applyBorder="1" applyAlignment="1">
      <alignment vertical="center"/>
    </xf>
    <xf numFmtId="0" fontId="21" fillId="34" borderId="20" xfId="0" applyFont="1" applyFill="1" applyBorder="1" applyAlignment="1">
      <alignment horizontal="center" vertical="center" wrapText="1"/>
    </xf>
    <xf numFmtId="0" fontId="21" fillId="34" borderId="23" xfId="0" applyFont="1" applyFill="1" applyBorder="1" applyAlignment="1">
      <alignment horizontal="center" vertical="center" wrapText="1"/>
    </xf>
    <xf numFmtId="0" fontId="21" fillId="34" borderId="19" xfId="0" applyFont="1" applyFill="1" applyBorder="1" applyAlignment="1">
      <alignment horizontal="center" vertical="center" wrapText="1"/>
    </xf>
    <xf numFmtId="165" fontId="21" fillId="34" borderId="20" xfId="1" applyNumberFormat="1" applyFont="1" applyFill="1" applyBorder="1" applyAlignment="1">
      <alignment horizontal="center" vertical="center" wrapText="1"/>
    </xf>
    <xf numFmtId="164" fontId="21" fillId="34" borderId="20" xfId="5" applyNumberFormat="1" applyFont="1" applyFill="1" applyBorder="1" applyAlignment="1">
      <alignment horizontal="center" vertical="center" wrapText="1"/>
    </xf>
    <xf numFmtId="9" fontId="21" fillId="34" borderId="23" xfId="2" applyFont="1" applyFill="1" applyBorder="1" applyAlignment="1">
      <alignment horizontal="center" vertical="center" wrapText="1"/>
    </xf>
    <xf numFmtId="164" fontId="21" fillId="34" borderId="23" xfId="5" applyNumberFormat="1" applyFont="1" applyFill="1" applyBorder="1" applyAlignment="1">
      <alignment horizontal="center" vertical="center" wrapText="1"/>
    </xf>
    <xf numFmtId="165" fontId="21" fillId="34" borderId="19" xfId="1" applyNumberFormat="1" applyFont="1" applyFill="1" applyBorder="1" applyAlignment="1">
      <alignment horizontal="center" vertical="center" wrapText="1"/>
    </xf>
    <xf numFmtId="167" fontId="21" fillId="34" borderId="19" xfId="0" applyNumberFormat="1" applyFont="1" applyFill="1" applyBorder="1" applyAlignment="1">
      <alignment horizontal="center" vertical="center" wrapText="1"/>
    </xf>
    <xf numFmtId="167" fontId="21" fillId="34" borderId="20" xfId="0" applyNumberFormat="1" applyFont="1" applyFill="1" applyBorder="1" applyAlignment="1">
      <alignment horizontal="center" vertical="center" wrapText="1"/>
    </xf>
    <xf numFmtId="171" fontId="21" fillId="34" borderId="20" xfId="2" applyNumberFormat="1" applyFont="1" applyFill="1" applyBorder="1" applyAlignment="1">
      <alignment horizontal="center" vertical="center" wrapText="1"/>
    </xf>
    <xf numFmtId="171" fontId="21" fillId="34" borderId="19" xfId="0" applyNumberFormat="1" applyFont="1" applyFill="1" applyBorder="1" applyAlignment="1">
      <alignment horizontal="center" vertical="center" wrapText="1"/>
    </xf>
    <xf numFmtId="9" fontId="21" fillId="34" borderId="20" xfId="2" applyFont="1" applyFill="1" applyBorder="1" applyAlignment="1">
      <alignment horizontal="center" vertical="center" wrapText="1"/>
    </xf>
    <xf numFmtId="9" fontId="21" fillId="34" borderId="1" xfId="2" applyFont="1" applyFill="1" applyBorder="1" applyAlignment="1">
      <alignment horizontal="center" vertical="center" wrapText="1"/>
    </xf>
    <xf numFmtId="9" fontId="21" fillId="34" borderId="2" xfId="2" applyFont="1" applyFill="1" applyBorder="1" applyAlignment="1">
      <alignment horizontal="center" vertical="center" wrapText="1"/>
    </xf>
    <xf numFmtId="164" fontId="21" fillId="34" borderId="2" xfId="5" applyNumberFormat="1" applyFont="1" applyFill="1" applyBorder="1" applyAlignment="1">
      <alignment horizontal="center" vertical="center"/>
    </xf>
    <xf numFmtId="165" fontId="21" fillId="34" borderId="2" xfId="1" applyNumberFormat="1" applyFont="1" applyFill="1" applyBorder="1" applyAlignment="1">
      <alignment horizontal="center" vertical="center"/>
    </xf>
    <xf numFmtId="9" fontId="21" fillId="34" borderId="2" xfId="2" applyFont="1" applyFill="1" applyBorder="1" applyAlignment="1">
      <alignment horizontal="center" vertical="center"/>
    </xf>
    <xf numFmtId="17" fontId="21" fillId="34" borderId="26" xfId="0" applyNumberFormat="1" applyFont="1" applyFill="1" applyBorder="1" applyAlignment="1">
      <alignment horizontal="center" vertical="center"/>
    </xf>
    <xf numFmtId="164" fontId="21" fillId="34" borderId="1" xfId="5" applyNumberFormat="1" applyFont="1" applyFill="1" applyBorder="1" applyAlignment="1">
      <alignment horizontal="center" vertical="center"/>
    </xf>
    <xf numFmtId="0" fontId="21" fillId="34" borderId="19" xfId="0" applyFont="1" applyFill="1" applyBorder="1" applyAlignment="1">
      <alignment horizontal="center" vertical="center"/>
    </xf>
    <xf numFmtId="0" fontId="21" fillId="34" borderId="20" xfId="0" applyFont="1" applyFill="1" applyBorder="1" applyAlignment="1">
      <alignment horizontal="center" vertical="center"/>
    </xf>
    <xf numFmtId="9" fontId="21" fillId="34" borderId="23" xfId="2" applyFont="1" applyFill="1" applyBorder="1" applyAlignment="1">
      <alignment horizontal="center" vertical="center"/>
    </xf>
    <xf numFmtId="9" fontId="21" fillId="34" borderId="20" xfId="2" applyFont="1" applyFill="1" applyBorder="1" applyAlignment="1">
      <alignment horizontal="center" vertical="center"/>
    </xf>
    <xf numFmtId="0" fontId="21" fillId="34" borderId="23" xfId="0" applyFont="1" applyFill="1" applyBorder="1" applyAlignment="1">
      <alignment horizontal="center" vertical="center"/>
    </xf>
    <xf numFmtId="172" fontId="21" fillId="34" borderId="20" xfId="1" applyNumberFormat="1" applyFont="1" applyFill="1" applyBorder="1" applyAlignment="1">
      <alignment horizontal="center" vertical="center" wrapText="1"/>
    </xf>
    <xf numFmtId="172" fontId="21" fillId="34" borderId="19" xfId="1" applyNumberFormat="1" applyFont="1" applyFill="1" applyBorder="1" applyAlignment="1">
      <alignment horizontal="center" vertical="center" wrapText="1"/>
    </xf>
    <xf numFmtId="172" fontId="21" fillId="34" borderId="14" xfId="1" applyNumberFormat="1" applyFont="1" applyFill="1" applyBorder="1" applyAlignment="1">
      <alignment horizontal="center" vertical="center" wrapText="1"/>
    </xf>
    <xf numFmtId="172" fontId="21" fillId="34" borderId="15" xfId="1" applyNumberFormat="1" applyFont="1" applyFill="1" applyBorder="1" applyAlignment="1">
      <alignment horizontal="center" vertical="center" wrapText="1"/>
    </xf>
    <xf numFmtId="9" fontId="21" fillId="34" borderId="10" xfId="2" applyFont="1" applyFill="1" applyBorder="1" applyAlignment="1">
      <alignment horizontal="center" vertical="center" wrapText="1"/>
    </xf>
    <xf numFmtId="9" fontId="21" fillId="34" borderId="0" xfId="2" applyFont="1" applyFill="1" applyBorder="1" applyAlignment="1">
      <alignment horizontal="center" vertical="center" wrapText="1"/>
    </xf>
    <xf numFmtId="9" fontId="21" fillId="34" borderId="6" xfId="2" applyFont="1" applyFill="1" applyBorder="1" applyAlignment="1">
      <alignment horizontal="center" vertical="center" wrapText="1"/>
    </xf>
    <xf numFmtId="9" fontId="21" fillId="34" borderId="19" xfId="2" applyFont="1" applyFill="1" applyBorder="1" applyAlignment="1">
      <alignment horizontal="center" vertical="center" wrapText="1"/>
    </xf>
    <xf numFmtId="165" fontId="21" fillId="34" borderId="23" xfId="1" applyNumberFormat="1" applyFont="1" applyFill="1" applyBorder="1" applyAlignment="1">
      <alignment horizontal="center" vertical="center" wrapText="1"/>
    </xf>
    <xf numFmtId="165" fontId="12" fillId="34" borderId="128" xfId="1" applyNumberFormat="1" applyFont="1" applyFill="1" applyBorder="1" applyAlignment="1">
      <alignment horizontal="center" vertical="center"/>
    </xf>
    <xf numFmtId="165" fontId="12" fillId="34" borderId="125" xfId="1" applyNumberFormat="1" applyFont="1" applyFill="1" applyBorder="1" applyAlignment="1">
      <alignment horizontal="center" vertical="center"/>
    </xf>
    <xf numFmtId="9" fontId="12" fillId="34" borderId="125" xfId="2" applyFont="1" applyFill="1" applyBorder="1" applyAlignment="1">
      <alignment horizontal="center" vertical="center"/>
    </xf>
    <xf numFmtId="9" fontId="12" fillId="34" borderId="96" xfId="2" applyFont="1" applyFill="1" applyBorder="1" applyAlignment="1">
      <alignment horizontal="center" vertical="center"/>
    </xf>
    <xf numFmtId="167" fontId="21" fillId="34" borderId="117" xfId="1" applyNumberFormat="1" applyFont="1" applyFill="1" applyBorder="1" applyAlignment="1">
      <alignment horizontal="center" vertical="center" wrapText="1"/>
    </xf>
    <xf numFmtId="165" fontId="21" fillId="34" borderId="37" xfId="1" applyNumberFormat="1" applyFont="1" applyFill="1" applyBorder="1" applyAlignment="1">
      <alignment horizontal="center" vertical="center" wrapText="1"/>
    </xf>
    <xf numFmtId="9" fontId="21" fillId="34" borderId="63" xfId="2" applyFont="1" applyFill="1" applyBorder="1" applyAlignment="1">
      <alignment horizontal="center" vertical="center" wrapText="1"/>
    </xf>
    <xf numFmtId="165" fontId="21" fillId="34" borderId="117" xfId="1" applyNumberFormat="1" applyFont="1" applyFill="1" applyBorder="1" applyAlignment="1">
      <alignment horizontal="center" vertical="center" wrapText="1"/>
    </xf>
    <xf numFmtId="165" fontId="21" fillId="34" borderId="113" xfId="1" applyNumberFormat="1" applyFont="1" applyFill="1" applyBorder="1" applyAlignment="1">
      <alignment horizontal="center" vertical="center" wrapText="1"/>
    </xf>
    <xf numFmtId="9" fontId="12" fillId="34" borderId="0" xfId="2" applyFont="1" applyFill="1" applyBorder="1" applyAlignment="1">
      <alignment horizontal="center" vertical="center" wrapText="1"/>
    </xf>
    <xf numFmtId="9" fontId="12" fillId="34" borderId="10" xfId="2" applyFont="1" applyFill="1" applyBorder="1" applyAlignment="1">
      <alignment horizontal="center" vertical="center" wrapText="1"/>
    </xf>
    <xf numFmtId="165" fontId="21" fillId="34" borderId="125" xfId="1" applyNumberFormat="1" applyFont="1" applyFill="1" applyBorder="1" applyAlignment="1">
      <alignment horizontal="center" vertical="center"/>
    </xf>
    <xf numFmtId="9" fontId="21" fillId="34" borderId="125" xfId="2" applyFont="1" applyFill="1" applyBorder="1" applyAlignment="1">
      <alignment horizontal="center" vertical="center"/>
    </xf>
    <xf numFmtId="164" fontId="6" fillId="31" borderId="215" xfId="6" applyNumberFormat="1" applyFont="1" applyFill="1" applyBorder="1" applyAlignment="1">
      <alignment horizontal="center" vertical="center" wrapText="1"/>
    </xf>
    <xf numFmtId="0" fontId="6" fillId="31" borderId="221" xfId="0" applyFont="1" applyFill="1" applyBorder="1" applyAlignment="1">
      <alignment horizontal="center" vertical="center"/>
    </xf>
    <xf numFmtId="164" fontId="9" fillId="3" borderId="19" xfId="6" applyNumberFormat="1" applyFont="1" applyFill="1" applyBorder="1" applyAlignment="1">
      <alignment vertical="center"/>
    </xf>
    <xf numFmtId="164" fontId="9" fillId="3" borderId="20" xfId="6" applyNumberFormat="1" applyFont="1" applyFill="1" applyBorder="1" applyAlignment="1">
      <alignment vertical="center"/>
    </xf>
    <xf numFmtId="164" fontId="9" fillId="3" borderId="21" xfId="6" applyNumberFormat="1" applyFont="1" applyFill="1" applyBorder="1" applyAlignment="1">
      <alignment vertical="center"/>
    </xf>
    <xf numFmtId="164" fontId="9" fillId="3" borderId="22" xfId="6" applyNumberFormat="1" applyFont="1" applyFill="1" applyBorder="1" applyAlignment="1">
      <alignment vertical="center"/>
    </xf>
    <xf numFmtId="9" fontId="9" fillId="3" borderId="23" xfId="2" applyFont="1" applyFill="1" applyBorder="1" applyAlignment="1">
      <alignment vertical="center"/>
    </xf>
    <xf numFmtId="164" fontId="9" fillId="3" borderId="24" xfId="6" applyNumberFormat="1" applyFont="1" applyFill="1" applyBorder="1" applyAlignment="1">
      <alignment vertical="center"/>
    </xf>
    <xf numFmtId="164" fontId="9" fillId="3" borderId="25" xfId="6" applyNumberFormat="1" applyFont="1" applyFill="1" applyBorder="1" applyAlignment="1">
      <alignment vertical="center"/>
    </xf>
    <xf numFmtId="164" fontId="9" fillId="7" borderId="19" xfId="6" applyNumberFormat="1" applyFont="1" applyFill="1" applyBorder="1" applyAlignment="1">
      <alignment vertical="center"/>
    </xf>
    <xf numFmtId="164" fontId="9" fillId="7" borderId="20" xfId="6" applyNumberFormat="1" applyFont="1" applyFill="1" applyBorder="1" applyAlignment="1">
      <alignment vertical="center"/>
    </xf>
    <xf numFmtId="164" fontId="9" fillId="7" borderId="24" xfId="6" applyNumberFormat="1" applyFont="1" applyFill="1" applyBorder="1" applyAlignment="1">
      <alignment vertical="center"/>
    </xf>
    <xf numFmtId="164" fontId="9" fillId="7" borderId="25" xfId="6" applyNumberFormat="1" applyFont="1" applyFill="1" applyBorder="1" applyAlignment="1">
      <alignment vertical="center"/>
    </xf>
    <xf numFmtId="9" fontId="9" fillId="7" borderId="23" xfId="2" applyFont="1" applyFill="1" applyBorder="1" applyAlignment="1">
      <alignment vertical="center"/>
    </xf>
    <xf numFmtId="0" fontId="2" fillId="35" borderId="19" xfId="0" applyFont="1" applyFill="1" applyBorder="1" applyAlignment="1">
      <alignment vertical="center"/>
    </xf>
    <xf numFmtId="0" fontId="2" fillId="35" borderId="20" xfId="0" applyFont="1" applyFill="1" applyBorder="1" applyAlignment="1">
      <alignment vertical="center"/>
    </xf>
    <xf numFmtId="164" fontId="2" fillId="35" borderId="20" xfId="6" applyNumberFormat="1" applyFont="1" applyFill="1" applyBorder="1" applyAlignment="1">
      <alignment vertical="center"/>
    </xf>
    <xf numFmtId="9" fontId="2" fillId="35" borderId="23" xfId="2" applyFont="1" applyFill="1" applyBorder="1" applyAlignment="1">
      <alignment vertical="center"/>
    </xf>
    <xf numFmtId="0" fontId="3" fillId="2" borderId="19" xfId="0" applyFont="1" applyFill="1" applyBorder="1" applyAlignment="1">
      <alignment vertical="center"/>
    </xf>
    <xf numFmtId="0" fontId="3" fillId="2" borderId="20" xfId="0" applyFont="1" applyFill="1" applyBorder="1" applyAlignment="1">
      <alignment vertical="center"/>
    </xf>
    <xf numFmtId="9" fontId="3" fillId="2" borderId="23" xfId="2" applyFont="1" applyFill="1" applyBorder="1" applyAlignment="1">
      <alignment vertical="center"/>
    </xf>
    <xf numFmtId="0" fontId="3" fillId="29" borderId="19" xfId="0" applyFont="1" applyFill="1" applyBorder="1" applyAlignment="1">
      <alignment vertical="center"/>
    </xf>
    <xf numFmtId="0" fontId="3" fillId="29" borderId="20" xfId="0" applyFont="1" applyFill="1" applyBorder="1" applyAlignment="1">
      <alignment vertical="center"/>
    </xf>
    <xf numFmtId="0" fontId="20" fillId="31" borderId="0" xfId="0" applyFont="1" applyFill="1"/>
    <xf numFmtId="0" fontId="6" fillId="2" borderId="6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164" fontId="6" fillId="2" borderId="0" xfId="6" applyNumberFormat="1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6" fillId="2" borderId="167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9" fontId="6" fillId="2" borderId="10" xfId="2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 wrapText="1"/>
    </xf>
    <xf numFmtId="9" fontId="6" fillId="2" borderId="0" xfId="2" applyFont="1" applyFill="1" applyBorder="1" applyAlignment="1">
      <alignment horizontal="center" vertical="center" wrapText="1"/>
    </xf>
    <xf numFmtId="164" fontId="6" fillId="2" borderId="155" xfId="6" applyNumberFormat="1" applyFont="1" applyFill="1" applyBorder="1" applyAlignment="1">
      <alignment horizontal="center" vertical="center" wrapText="1"/>
    </xf>
    <xf numFmtId="164" fontId="6" fillId="2" borderId="12" xfId="6" applyNumberFormat="1" applyFont="1" applyFill="1" applyBorder="1" applyAlignment="1">
      <alignment horizontal="center" vertical="center" wrapText="1"/>
    </xf>
    <xf numFmtId="164" fontId="6" fillId="2" borderId="729" xfId="6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6" fillId="2" borderId="174" xfId="6" applyNumberFormat="1" applyFont="1" applyFill="1" applyBorder="1" applyAlignment="1">
      <alignment horizontal="center" vertical="center" wrapText="1"/>
    </xf>
    <xf numFmtId="0" fontId="54" fillId="31" borderId="19" xfId="0" applyFont="1" applyFill="1" applyBorder="1" applyAlignment="1"/>
    <xf numFmtId="0" fontId="54" fillId="31" borderId="20" xfId="0" applyFont="1" applyFill="1" applyBorder="1" applyAlignment="1">
      <alignment horizontal="right"/>
    </xf>
    <xf numFmtId="0" fontId="2" fillId="31" borderId="14" xfId="0" applyFont="1" applyFill="1" applyBorder="1"/>
    <xf numFmtId="164" fontId="2" fillId="31" borderId="15" xfId="6" applyNumberFormat="1" applyFont="1" applyFill="1" applyBorder="1"/>
    <xf numFmtId="0" fontId="2" fillId="31" borderId="15" xfId="0" applyFont="1" applyFill="1" applyBorder="1"/>
    <xf numFmtId="9" fontId="2" fillId="31" borderId="18" xfId="2" applyFont="1" applyFill="1" applyBorder="1"/>
    <xf numFmtId="9" fontId="2" fillId="31" borderId="15" xfId="2" applyFont="1" applyFill="1" applyBorder="1"/>
    <xf numFmtId="9" fontId="2" fillId="31" borderId="14" xfId="2" applyFont="1" applyFill="1" applyBorder="1"/>
    <xf numFmtId="9" fontId="3" fillId="29" borderId="23" xfId="2" applyFont="1" applyFill="1" applyBorder="1"/>
    <xf numFmtId="9" fontId="3" fillId="29" borderId="20" xfId="2" applyFont="1" applyFill="1" applyBorder="1"/>
    <xf numFmtId="9" fontId="3" fillId="29" borderId="15" xfId="2" applyFont="1" applyFill="1" applyBorder="1"/>
    <xf numFmtId="9" fontId="3" fillId="29" borderId="14" xfId="2" applyFont="1" applyFill="1" applyBorder="1"/>
    <xf numFmtId="0" fontId="0" fillId="29" borderId="0" xfId="0" applyFill="1"/>
    <xf numFmtId="164" fontId="33" fillId="29" borderId="20" xfId="6" applyNumberFormat="1" applyFont="1" applyFill="1" applyBorder="1"/>
    <xf numFmtId="9" fontId="33" fillId="29" borderId="23" xfId="2" applyFont="1" applyFill="1" applyBorder="1"/>
    <xf numFmtId="0" fontId="3" fillId="2" borderId="19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167" fontId="4" fillId="2" borderId="70" xfId="6" applyNumberFormat="1" applyFont="1" applyFill="1" applyBorder="1" applyAlignment="1">
      <alignment horizontal="center" vertical="center"/>
    </xf>
    <xf numFmtId="167" fontId="12" fillId="2" borderId="6" xfId="6" applyNumberFormat="1" applyFont="1" applyFill="1" applyBorder="1" applyAlignment="1">
      <alignment horizontal="center" vertical="center"/>
    </xf>
    <xf numFmtId="167" fontId="4" fillId="0" borderId="70" xfId="6" applyNumberFormat="1" applyFont="1" applyFill="1" applyBorder="1" applyAlignment="1">
      <alignment horizontal="center" vertical="center"/>
    </xf>
    <xf numFmtId="166" fontId="4" fillId="2" borderId="63" xfId="6" applyFont="1" applyFill="1" applyBorder="1" applyAlignment="1">
      <alignment horizontal="center" vertical="center"/>
    </xf>
    <xf numFmtId="9" fontId="32" fillId="2" borderId="63" xfId="2" applyFont="1" applyFill="1" applyBorder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164" fontId="36" fillId="2" borderId="37" xfId="6" applyNumberFormat="1" applyFont="1" applyFill="1" applyBorder="1" applyAlignment="1">
      <alignment vertical="center"/>
    </xf>
    <xf numFmtId="0" fontId="36" fillId="2" borderId="0" xfId="0" applyFont="1" applyFill="1" applyAlignment="1">
      <alignment vertical="center"/>
    </xf>
    <xf numFmtId="164" fontId="36" fillId="0" borderId="37" xfId="6" applyNumberFormat="1" applyFont="1" applyFill="1" applyBorder="1" applyAlignment="1">
      <alignment vertical="center"/>
    </xf>
    <xf numFmtId="164" fontId="36" fillId="2" borderId="65" xfId="0" applyNumberFormat="1" applyFont="1" applyFill="1" applyBorder="1" applyAlignment="1">
      <alignment vertical="center"/>
    </xf>
    <xf numFmtId="164" fontId="36" fillId="2" borderId="66" xfId="0" applyNumberFormat="1" applyFont="1" applyFill="1" applyBorder="1" applyAlignment="1">
      <alignment vertical="center"/>
    </xf>
    <xf numFmtId="9" fontId="36" fillId="2" borderId="102" xfId="2" applyFont="1" applyFill="1" applyBorder="1" applyAlignment="1">
      <alignment vertical="center"/>
    </xf>
    <xf numFmtId="164" fontId="36" fillId="2" borderId="68" xfId="6" applyNumberFormat="1" applyFont="1" applyFill="1" applyBorder="1" applyAlignment="1">
      <alignment vertical="center"/>
    </xf>
    <xf numFmtId="9" fontId="36" fillId="2" borderId="105" xfId="2" applyFont="1" applyFill="1" applyBorder="1" applyAlignment="1">
      <alignment vertical="center"/>
    </xf>
    <xf numFmtId="164" fontId="36" fillId="2" borderId="33" xfId="0" applyNumberFormat="1" applyFont="1" applyFill="1" applyBorder="1" applyAlignment="1">
      <alignment vertical="center"/>
    </xf>
    <xf numFmtId="9" fontId="36" fillId="2" borderId="101" xfId="2" applyFont="1" applyFill="1" applyBorder="1" applyAlignment="1">
      <alignment vertical="center"/>
    </xf>
    <xf numFmtId="9" fontId="36" fillId="2" borderId="71" xfId="2" applyFont="1" applyFill="1" applyBorder="1" applyAlignment="1">
      <alignment vertical="center"/>
    </xf>
    <xf numFmtId="164" fontId="35" fillId="2" borderId="117" xfId="6" applyNumberFormat="1" applyFont="1" applyFill="1" applyBorder="1" applyAlignment="1">
      <alignment horizontal="center" vertical="center"/>
    </xf>
    <xf numFmtId="164" fontId="35" fillId="2" borderId="0" xfId="6" applyNumberFormat="1" applyFont="1" applyFill="1" applyAlignment="1">
      <alignment horizontal="center" vertical="center"/>
    </xf>
    <xf numFmtId="164" fontId="35" fillId="2" borderId="0" xfId="6" applyNumberFormat="1" applyFont="1" applyFill="1" applyAlignment="1">
      <alignment vertical="center"/>
    </xf>
    <xf numFmtId="166" fontId="36" fillId="2" borderId="71" xfId="6" applyFont="1" applyFill="1" applyBorder="1" applyAlignment="1">
      <alignment vertical="center"/>
    </xf>
    <xf numFmtId="164" fontId="112" fillId="2" borderId="0" xfId="6" applyNumberFormat="1" applyFont="1" applyFill="1" applyAlignment="1">
      <alignment horizontal="center" vertical="center"/>
    </xf>
    <xf numFmtId="164" fontId="113" fillId="2" borderId="37" xfId="6" applyNumberFormat="1" applyFont="1" applyFill="1" applyBorder="1" applyAlignment="1">
      <alignment vertical="center"/>
    </xf>
    <xf numFmtId="164" fontId="112" fillId="2" borderId="0" xfId="6" applyNumberFormat="1" applyFont="1" applyFill="1" applyAlignment="1">
      <alignment vertical="center"/>
    </xf>
    <xf numFmtId="9" fontId="113" fillId="2" borderId="101" xfId="2" applyFont="1" applyFill="1" applyBorder="1" applyAlignment="1">
      <alignment vertical="center"/>
    </xf>
    <xf numFmtId="164" fontId="35" fillId="0" borderId="0" xfId="6" applyNumberFormat="1" applyFont="1" applyFill="1" applyAlignment="1">
      <alignment horizontal="center" vertical="center"/>
    </xf>
    <xf numFmtId="164" fontId="35" fillId="0" borderId="0" xfId="6" applyNumberFormat="1" applyFont="1" applyFill="1" applyAlignment="1">
      <alignment vertical="center"/>
    </xf>
    <xf numFmtId="9" fontId="36" fillId="0" borderId="101" xfId="2" applyFont="1" applyFill="1" applyBorder="1" applyAlignment="1">
      <alignment vertical="center"/>
    </xf>
    <xf numFmtId="164" fontId="26" fillId="0" borderId="67" xfId="6" applyNumberFormat="1" applyFont="1" applyFill="1" applyBorder="1" applyAlignment="1">
      <alignment vertical="center"/>
    </xf>
    <xf numFmtId="167" fontId="69" fillId="0" borderId="70" xfId="6" applyNumberFormat="1" applyFont="1" applyFill="1" applyBorder="1" applyAlignment="1">
      <alignment horizontal="center" vertical="center"/>
    </xf>
    <xf numFmtId="166" fontId="4" fillId="0" borderId="63" xfId="6" applyFont="1" applyFill="1" applyBorder="1" applyAlignment="1">
      <alignment horizontal="center" vertical="center"/>
    </xf>
    <xf numFmtId="164" fontId="4" fillId="0" borderId="191" xfId="6" applyNumberFormat="1" applyFont="1" applyFill="1" applyBorder="1" applyAlignment="1">
      <alignment vertical="center"/>
    </xf>
    <xf numFmtId="167" fontId="12" fillId="0" borderId="70" xfId="6" applyNumberFormat="1" applyFont="1" applyFill="1" applyBorder="1" applyAlignment="1">
      <alignment horizontal="center" vertical="center"/>
    </xf>
    <xf numFmtId="167" fontId="12" fillId="2" borderId="75" xfId="6" applyNumberFormat="1" applyFont="1" applyFill="1" applyBorder="1" applyAlignment="1">
      <alignment horizontal="center" vertical="center"/>
    </xf>
    <xf numFmtId="166" fontId="12" fillId="4" borderId="20" xfId="6" applyFont="1" applyFill="1" applyBorder="1" applyAlignment="1">
      <alignment vertical="center" wrapText="1"/>
    </xf>
    <xf numFmtId="164" fontId="3" fillId="4" borderId="20" xfId="6" applyNumberFormat="1" applyFont="1" applyFill="1" applyBorder="1" applyAlignment="1">
      <alignment horizontal="center" vertical="center"/>
    </xf>
    <xf numFmtId="164" fontId="12" fillId="4" borderId="23" xfId="6" applyNumberFormat="1" applyFont="1" applyFill="1" applyBorder="1" applyAlignment="1">
      <alignment horizontal="center" vertical="center"/>
    </xf>
    <xf numFmtId="164" fontId="12" fillId="4" borderId="327" xfId="6" applyNumberFormat="1" applyFont="1" applyFill="1" applyBorder="1" applyAlignment="1">
      <alignment horizontal="center" vertical="center"/>
    </xf>
    <xf numFmtId="169" fontId="12" fillId="4" borderId="327" xfId="6" applyNumberFormat="1" applyFont="1" applyFill="1" applyBorder="1" applyAlignment="1">
      <alignment horizontal="center" vertical="center"/>
    </xf>
    <xf numFmtId="9" fontId="12" fillId="4" borderId="513" xfId="2" applyFont="1" applyFill="1" applyBorder="1" applyAlignment="1">
      <alignment horizontal="center" vertical="center"/>
    </xf>
    <xf numFmtId="164" fontId="12" fillId="4" borderId="113" xfId="6" applyNumberFormat="1" applyFont="1" applyFill="1" applyBorder="1" applyAlignment="1">
      <alignment horizontal="center" vertical="center"/>
    </xf>
    <xf numFmtId="164" fontId="12" fillId="4" borderId="514" xfId="6" applyNumberFormat="1" applyFont="1" applyFill="1" applyBorder="1" applyAlignment="1">
      <alignment vertical="center"/>
    </xf>
    <xf numFmtId="164" fontId="12" fillId="4" borderId="222" xfId="6" applyNumberFormat="1" applyFont="1" applyFill="1" applyBorder="1" applyAlignment="1">
      <alignment horizontal="center" vertical="center"/>
    </xf>
    <xf numFmtId="164" fontId="12" fillId="4" borderId="222" xfId="0" applyNumberFormat="1" applyFont="1" applyFill="1" applyBorder="1" applyAlignment="1">
      <alignment vertical="center"/>
    </xf>
    <xf numFmtId="1" fontId="12" fillId="4" borderId="515" xfId="0" applyNumberFormat="1" applyFont="1" applyFill="1" applyBorder="1" applyAlignment="1">
      <alignment horizontal="center" vertical="center"/>
    </xf>
    <xf numFmtId="9" fontId="12" fillId="4" borderId="516" xfId="2" applyFont="1" applyFill="1" applyBorder="1" applyAlignment="1">
      <alignment horizontal="center" vertical="center"/>
    </xf>
    <xf numFmtId="164" fontId="12" fillId="4" borderId="517" xfId="6" applyNumberFormat="1" applyFont="1" applyFill="1" applyBorder="1" applyAlignment="1">
      <alignment vertical="center"/>
    </xf>
    <xf numFmtId="166" fontId="12" fillId="4" borderId="518" xfId="6" applyFont="1" applyFill="1" applyBorder="1" applyAlignment="1">
      <alignment horizontal="center" vertical="center"/>
    </xf>
    <xf numFmtId="167" fontId="12" fillId="4" borderId="19" xfId="6" applyNumberFormat="1" applyFont="1" applyFill="1" applyBorder="1" applyAlignment="1">
      <alignment horizontal="center" vertical="center"/>
    </xf>
    <xf numFmtId="164" fontId="12" fillId="4" borderId="521" xfId="6" applyNumberFormat="1" applyFont="1" applyFill="1" applyBorder="1" applyAlignment="1">
      <alignment vertical="center"/>
    </xf>
    <xf numFmtId="164" fontId="12" fillId="4" borderId="522" xfId="6" applyNumberFormat="1" applyFont="1" applyFill="1" applyBorder="1" applyAlignment="1">
      <alignment vertical="center"/>
    </xf>
    <xf numFmtId="3" fontId="12" fillId="4" borderId="19" xfId="6" applyNumberFormat="1" applyFont="1" applyFill="1" applyBorder="1" applyAlignment="1">
      <alignment horizontal="center" vertical="center"/>
    </xf>
    <xf numFmtId="164" fontId="12" fillId="4" borderId="523" xfId="6" applyNumberFormat="1" applyFont="1" applyFill="1" applyBorder="1" applyAlignment="1">
      <alignment vertical="center"/>
    </xf>
    <xf numFmtId="164" fontId="12" fillId="4" borderId="80" xfId="6" applyNumberFormat="1" applyFont="1" applyFill="1" applyBorder="1" applyAlignment="1">
      <alignment vertical="center"/>
    </xf>
    <xf numFmtId="164" fontId="79" fillId="4" borderId="222" xfId="6" applyNumberFormat="1" applyFont="1" applyFill="1" applyBorder="1" applyAlignment="1">
      <alignment vertical="center"/>
    </xf>
    <xf numFmtId="167" fontId="12" fillId="4" borderId="327" xfId="6" applyNumberFormat="1" applyFont="1" applyFill="1" applyBorder="1" applyAlignment="1">
      <alignment horizontal="center" vertical="center"/>
    </xf>
    <xf numFmtId="164" fontId="12" fillId="4" borderId="81" xfId="6" applyNumberFormat="1" applyFont="1" applyFill="1" applyBorder="1" applyAlignment="1">
      <alignment horizontal="center" vertical="center"/>
    </xf>
    <xf numFmtId="9" fontId="12" fillId="4" borderId="83" xfId="2" applyFont="1" applyFill="1" applyBorder="1" applyAlignment="1">
      <alignment horizontal="center" vertical="center"/>
    </xf>
    <xf numFmtId="49" fontId="12" fillId="4" borderId="81" xfId="6" applyNumberFormat="1" applyFont="1" applyFill="1" applyBorder="1" applyAlignment="1">
      <alignment horizontal="center" vertical="center"/>
    </xf>
    <xf numFmtId="164" fontId="12" fillId="4" borderId="15" xfId="6" applyNumberFormat="1" applyFont="1" applyFill="1" applyBorder="1" applyAlignment="1">
      <alignment horizontal="center" vertical="center"/>
    </xf>
    <xf numFmtId="9" fontId="12" fillId="4" borderId="18" xfId="2" applyFont="1" applyFill="1" applyBorder="1" applyAlignment="1">
      <alignment horizontal="center" vertical="center"/>
    </xf>
    <xf numFmtId="9" fontId="12" fillId="4" borderId="83" xfId="2" applyFont="1" applyFill="1" applyBorder="1" applyAlignment="1">
      <alignment vertical="center"/>
    </xf>
    <xf numFmtId="164" fontId="12" fillId="4" borderId="0" xfId="0" applyNumberFormat="1" applyFont="1" applyFill="1" applyAlignment="1">
      <alignment vertical="center"/>
    </xf>
    <xf numFmtId="164" fontId="12" fillId="4" borderId="15" xfId="6" applyNumberFormat="1" applyFont="1" applyFill="1" applyBorder="1" applyAlignment="1">
      <alignment vertical="center"/>
    </xf>
    <xf numFmtId="164" fontId="4" fillId="4" borderId="82" xfId="6" applyNumberFormat="1" applyFont="1" applyFill="1" applyBorder="1" applyAlignment="1">
      <alignment vertical="center"/>
    </xf>
    <xf numFmtId="9" fontId="4" fillId="4" borderId="23" xfId="2" applyFont="1" applyFill="1" applyBorder="1" applyAlignment="1">
      <alignment horizontal="center" vertical="center"/>
    </xf>
    <xf numFmtId="167" fontId="12" fillId="4" borderId="81" xfId="6" applyNumberFormat="1" applyFont="1" applyFill="1" applyBorder="1" applyAlignment="1">
      <alignment horizontal="center" vertical="center"/>
    </xf>
    <xf numFmtId="0" fontId="4" fillId="0" borderId="85" xfId="0" applyFont="1" applyFill="1" applyBorder="1" applyAlignment="1">
      <alignment horizontal="center" vertical="center"/>
    </xf>
    <xf numFmtId="166" fontId="50" fillId="0" borderId="86" xfId="6" applyFont="1" applyFill="1" applyBorder="1" applyAlignment="1">
      <alignment vertical="center" wrapText="1"/>
    </xf>
    <xf numFmtId="164" fontId="12" fillId="2" borderId="86" xfId="0" applyNumberFormat="1" applyFont="1" applyFill="1" applyBorder="1" applyAlignment="1">
      <alignment vertical="center"/>
    </xf>
    <xf numFmtId="164" fontId="4" fillId="2" borderId="101" xfId="6" applyNumberFormat="1" applyFont="1" applyFill="1" applyBorder="1" applyAlignment="1">
      <alignment vertical="center"/>
    </xf>
    <xf numFmtId="167" fontId="12" fillId="2" borderId="85" xfId="6" applyNumberFormat="1" applyFont="1" applyFill="1" applyBorder="1" applyAlignment="1">
      <alignment horizontal="center" vertical="center"/>
    </xf>
    <xf numFmtId="164" fontId="12" fillId="2" borderId="678" xfId="6" applyNumberFormat="1" applyFont="1" applyFill="1" applyBorder="1" applyAlignment="1">
      <alignment vertical="center"/>
    </xf>
    <xf numFmtId="0" fontId="19" fillId="0" borderId="524" xfId="0" applyFont="1" applyFill="1" applyBorder="1" applyAlignment="1">
      <alignment horizontal="center" vertical="center"/>
    </xf>
    <xf numFmtId="167" fontId="12" fillId="2" borderId="70" xfId="6" applyNumberFormat="1" applyFont="1" applyFill="1" applyBorder="1" applyAlignment="1">
      <alignment horizontal="center" vertical="center"/>
    </xf>
    <xf numFmtId="9" fontId="12" fillId="2" borderId="112" xfId="2" applyFont="1" applyFill="1" applyBorder="1" applyAlignment="1">
      <alignment vertical="center"/>
    </xf>
    <xf numFmtId="0" fontId="4" fillId="2" borderId="105" xfId="0" applyFont="1" applyFill="1" applyBorder="1" applyAlignment="1">
      <alignment vertical="center"/>
    </xf>
    <xf numFmtId="9" fontId="12" fillId="2" borderId="486" xfId="2" applyFont="1" applyFill="1" applyBorder="1" applyAlignment="1">
      <alignment vertical="center"/>
    </xf>
    <xf numFmtId="167" fontId="4" fillId="2" borderId="108" xfId="6" applyNumberFormat="1" applyFont="1" applyFill="1" applyBorder="1" applyAlignment="1">
      <alignment horizontal="center" vertical="center"/>
    </xf>
    <xf numFmtId="167" fontId="12" fillId="2" borderId="65" xfId="6" applyNumberFormat="1" applyFont="1" applyFill="1" applyBorder="1" applyAlignment="1">
      <alignment horizontal="center" vertical="center"/>
    </xf>
    <xf numFmtId="164" fontId="5" fillId="0" borderId="66" xfId="6" quotePrefix="1" applyNumberFormat="1" applyFont="1" applyFill="1" applyBorder="1" applyAlignment="1">
      <alignment horizontal="center" vertical="center"/>
    </xf>
    <xf numFmtId="164" fontId="26" fillId="2" borderId="105" xfId="6" applyNumberFormat="1" applyFont="1" applyFill="1" applyBorder="1" applyAlignment="1">
      <alignment vertical="center"/>
    </xf>
    <xf numFmtId="9" fontId="26" fillId="2" borderId="71" xfId="2" applyFont="1" applyFill="1" applyBorder="1" applyAlignment="1">
      <alignment vertical="center"/>
    </xf>
    <xf numFmtId="167" fontId="4" fillId="0" borderId="108" xfId="6" applyNumberFormat="1" applyFont="1" applyFill="1" applyBorder="1" applyAlignment="1">
      <alignment horizontal="center" vertical="center"/>
    </xf>
    <xf numFmtId="167" fontId="12" fillId="2" borderId="108" xfId="6" applyNumberFormat="1" applyFont="1" applyFill="1" applyBorder="1" applyAlignment="1">
      <alignment horizontal="center" vertical="center"/>
    </xf>
    <xf numFmtId="0" fontId="12" fillId="4" borderId="519" xfId="0" applyFont="1" applyFill="1" applyBorder="1" applyAlignment="1">
      <alignment horizontal="center" vertical="center"/>
    </xf>
    <xf numFmtId="166" fontId="3" fillId="4" borderId="15" xfId="6" applyFont="1" applyFill="1" applyBorder="1" applyAlignment="1">
      <alignment vertical="center" wrapText="1"/>
    </xf>
    <xf numFmtId="164" fontId="3" fillId="4" borderId="15" xfId="6" applyNumberFormat="1" applyFont="1" applyFill="1" applyBorder="1" applyAlignment="1">
      <alignment horizontal="center" vertical="center"/>
    </xf>
    <xf numFmtId="168" fontId="13" fillId="4" borderId="15" xfId="6" applyNumberFormat="1" applyFont="1" applyFill="1" applyBorder="1" applyAlignment="1">
      <alignment horizontal="center" vertical="center"/>
    </xf>
    <xf numFmtId="164" fontId="12" fillId="4" borderId="18" xfId="6" applyNumberFormat="1" applyFont="1" applyFill="1" applyBorder="1" applyAlignment="1">
      <alignment horizontal="center" vertical="center"/>
    </xf>
    <xf numFmtId="9" fontId="12" fillId="4" borderId="80" xfId="2" applyFont="1" applyFill="1" applyBorder="1" applyAlignment="1">
      <alignment horizontal="center" vertical="center"/>
    </xf>
    <xf numFmtId="164" fontId="12" fillId="4" borderId="546" xfId="6" applyNumberFormat="1" applyFont="1" applyFill="1" applyBorder="1" applyAlignment="1">
      <alignment horizontal="center" vertical="center"/>
    </xf>
    <xf numFmtId="164" fontId="12" fillId="4" borderId="547" xfId="6" applyNumberFormat="1" applyFont="1" applyFill="1" applyBorder="1" applyAlignment="1">
      <alignment vertical="center"/>
    </xf>
    <xf numFmtId="9" fontId="12" fillId="4" borderId="84" xfId="2" applyFont="1" applyFill="1" applyBorder="1" applyAlignment="1">
      <alignment horizontal="center" vertical="center"/>
    </xf>
    <xf numFmtId="164" fontId="12" fillId="4" borderId="114" xfId="6" applyNumberFormat="1" applyFont="1" applyFill="1" applyBorder="1" applyAlignment="1">
      <alignment vertical="center"/>
    </xf>
    <xf numFmtId="164" fontId="12" fillId="4" borderId="84" xfId="6" applyNumberFormat="1" applyFont="1" applyFill="1" applyBorder="1" applyAlignment="1">
      <alignment vertical="center"/>
    </xf>
    <xf numFmtId="164" fontId="12" fillId="4" borderId="143" xfId="6" applyNumberFormat="1" applyFont="1" applyFill="1" applyBorder="1" applyAlignment="1">
      <alignment horizontal="center" vertical="center"/>
    </xf>
    <xf numFmtId="164" fontId="12" fillId="4" borderId="153" xfId="6" applyNumberFormat="1" applyFont="1" applyFill="1" applyBorder="1" applyAlignment="1">
      <alignment vertical="center"/>
    </xf>
    <xf numFmtId="9" fontId="12" fillId="4" borderId="189" xfId="2" applyFont="1" applyFill="1" applyBorder="1" applyAlignment="1">
      <alignment horizontal="center" vertical="center"/>
    </xf>
    <xf numFmtId="9" fontId="12" fillId="4" borderId="82" xfId="2" applyFont="1" applyFill="1" applyBorder="1" applyAlignment="1">
      <alignment vertical="center"/>
    </xf>
    <xf numFmtId="9" fontId="12" fillId="2" borderId="148" xfId="2" applyFont="1" applyFill="1" applyBorder="1" applyAlignment="1">
      <alignment vertical="center"/>
    </xf>
    <xf numFmtId="164" fontId="12" fillId="2" borderId="147" xfId="6" applyNumberFormat="1" applyFont="1" applyFill="1" applyBorder="1" applyAlignment="1">
      <alignment vertical="center"/>
    </xf>
    <xf numFmtId="9" fontId="12" fillId="2" borderId="138" xfId="2" applyFont="1" applyFill="1" applyBorder="1" applyAlignment="1">
      <alignment horizontal="center" vertical="center"/>
    </xf>
    <xf numFmtId="164" fontId="12" fillId="2" borderId="730" xfId="6" applyNumberFormat="1" applyFont="1" applyFill="1" applyBorder="1" applyAlignment="1">
      <alignment vertical="center"/>
    </xf>
    <xf numFmtId="164" fontId="12" fillId="2" borderId="718" xfId="6" applyNumberFormat="1" applyFont="1" applyFill="1" applyBorder="1" applyAlignment="1">
      <alignment vertical="center"/>
    </xf>
    <xf numFmtId="49" fontId="12" fillId="2" borderId="128" xfId="6" applyNumberFormat="1" applyFont="1" applyFill="1" applyBorder="1" applyAlignment="1">
      <alignment horizontal="center" vertical="center"/>
    </xf>
    <xf numFmtId="9" fontId="12" fillId="2" borderId="96" xfId="2" applyFont="1" applyFill="1" applyBorder="1" applyAlignment="1">
      <alignment horizontal="center" vertical="center"/>
    </xf>
    <xf numFmtId="164" fontId="12" fillId="2" borderId="731" xfId="6" applyNumberFormat="1" applyFont="1" applyFill="1" applyBorder="1" applyAlignment="1">
      <alignment vertical="center"/>
    </xf>
    <xf numFmtId="0" fontId="54" fillId="5" borderId="19" xfId="0" applyFont="1" applyFill="1" applyBorder="1" applyAlignment="1">
      <alignment horizontal="center" vertical="center"/>
    </xf>
    <xf numFmtId="166" fontId="110" fillId="5" borderId="20" xfId="6" applyFont="1" applyFill="1" applyBorder="1" applyAlignment="1">
      <alignment horizontal="right" vertical="center" wrapText="1"/>
    </xf>
    <xf numFmtId="164" fontId="54" fillId="5" borderId="20" xfId="6" applyNumberFormat="1" applyFont="1" applyFill="1" applyBorder="1" applyAlignment="1">
      <alignment horizontal="center" vertical="center"/>
    </xf>
    <xf numFmtId="168" fontId="54" fillId="5" borderId="20" xfId="4" applyNumberFormat="1" applyFont="1" applyFill="1" applyBorder="1" applyAlignment="1">
      <alignment horizontal="center" vertical="center"/>
    </xf>
    <xf numFmtId="164" fontId="54" fillId="5" borderId="23" xfId="6" applyNumberFormat="1" applyFont="1" applyFill="1" applyBorder="1" applyAlignment="1">
      <alignment horizontal="center" vertical="center"/>
    </xf>
    <xf numFmtId="164" fontId="54" fillId="5" borderId="40" xfId="6" applyNumberFormat="1" applyFont="1" applyFill="1" applyBorder="1" applyAlignment="1">
      <alignment horizontal="center" vertical="center"/>
    </xf>
    <xf numFmtId="164" fontId="54" fillId="5" borderId="40" xfId="6" applyNumberFormat="1" applyFont="1" applyFill="1" applyBorder="1" applyAlignment="1">
      <alignment vertical="center"/>
    </xf>
    <xf numFmtId="9" fontId="54" fillId="5" borderId="40" xfId="2" applyFont="1" applyFill="1" applyBorder="1" applyAlignment="1">
      <alignment vertical="center"/>
    </xf>
    <xf numFmtId="9" fontId="54" fillId="5" borderId="40" xfId="2" applyFont="1" applyFill="1" applyBorder="1" applyAlignment="1">
      <alignment horizontal="center" vertical="center"/>
    </xf>
    <xf numFmtId="167" fontId="54" fillId="5" borderId="40" xfId="2" applyNumberFormat="1" applyFont="1" applyFill="1" applyBorder="1" applyAlignment="1">
      <alignment horizontal="center" vertical="center"/>
    </xf>
    <xf numFmtId="164" fontId="54" fillId="5" borderId="459" xfId="6" applyNumberFormat="1" applyFont="1" applyFill="1" applyBorder="1" applyAlignment="1">
      <alignment vertical="center"/>
    </xf>
    <xf numFmtId="164" fontId="54" fillId="5" borderId="39" xfId="6" applyNumberFormat="1" applyFont="1" applyFill="1" applyBorder="1" applyAlignment="1">
      <alignment vertical="center"/>
    </xf>
    <xf numFmtId="9" fontId="54" fillId="5" borderId="130" xfId="2" applyFont="1" applyFill="1" applyBorder="1" applyAlignment="1">
      <alignment vertical="center"/>
    </xf>
    <xf numFmtId="164" fontId="54" fillId="5" borderId="130" xfId="6" applyNumberFormat="1" applyFont="1" applyFill="1" applyBorder="1" applyAlignment="1">
      <alignment vertical="center"/>
    </xf>
    <xf numFmtId="164" fontId="54" fillId="5" borderId="39" xfId="6" applyNumberFormat="1" applyFont="1" applyFill="1" applyBorder="1" applyAlignment="1">
      <alignment horizontal="center" vertical="center"/>
    </xf>
    <xf numFmtId="9" fontId="54" fillId="5" borderId="130" xfId="2" applyFont="1" applyFill="1" applyBorder="1" applyAlignment="1">
      <alignment horizontal="center" vertical="center"/>
    </xf>
    <xf numFmtId="167" fontId="54" fillId="5" borderId="113" xfId="6" applyNumberFormat="1" applyFont="1" applyFill="1" applyBorder="1" applyAlignment="1">
      <alignment horizontal="center" vertical="center"/>
    </xf>
    <xf numFmtId="164" fontId="54" fillId="5" borderId="78" xfId="6" applyNumberFormat="1" applyFont="1" applyFill="1" applyBorder="1" applyAlignment="1">
      <alignment vertical="center"/>
    </xf>
    <xf numFmtId="9" fontId="54" fillId="5" borderId="518" xfId="2" applyFont="1" applyFill="1" applyBorder="1" applyAlignment="1">
      <alignment horizontal="center" vertical="center"/>
    </xf>
    <xf numFmtId="1" fontId="54" fillId="5" borderId="39" xfId="0" applyNumberFormat="1" applyFont="1" applyFill="1" applyBorder="1" applyAlignment="1">
      <alignment horizontal="center" vertical="center"/>
    </xf>
    <xf numFmtId="1" fontId="54" fillId="5" borderId="40" xfId="0" applyNumberFormat="1" applyFont="1" applyFill="1" applyBorder="1" applyAlignment="1">
      <alignment horizontal="center" vertical="center"/>
    </xf>
    <xf numFmtId="164" fontId="54" fillId="5" borderId="40" xfId="0" applyNumberFormat="1" applyFont="1" applyFill="1" applyBorder="1" applyAlignment="1">
      <alignment vertical="center"/>
    </xf>
    <xf numFmtId="9" fontId="54" fillId="5" borderId="460" xfId="2" applyFont="1" applyFill="1" applyBorder="1" applyAlignment="1">
      <alignment horizontal="center" vertical="center"/>
    </xf>
    <xf numFmtId="164" fontId="54" fillId="5" borderId="36" xfId="6" applyNumberFormat="1" applyFont="1" applyFill="1" applyBorder="1" applyAlignment="1">
      <alignment horizontal="center" vertical="center"/>
    </xf>
    <xf numFmtId="164" fontId="54" fillId="5" borderId="41" xfId="6" applyNumberFormat="1" applyFont="1" applyFill="1" applyBorder="1" applyAlignment="1">
      <alignment vertical="center"/>
    </xf>
    <xf numFmtId="164" fontId="54" fillId="5" borderId="461" xfId="6" applyNumberFormat="1" applyFont="1" applyFill="1" applyBorder="1" applyAlignment="1">
      <alignment vertical="center"/>
    </xf>
    <xf numFmtId="164" fontId="54" fillId="5" borderId="203" xfId="6" applyNumberFormat="1" applyFont="1" applyFill="1" applyBorder="1" applyAlignment="1">
      <alignment horizontal="center" vertical="center"/>
    </xf>
    <xf numFmtId="164" fontId="54" fillId="5" borderId="60" xfId="6" applyNumberFormat="1" applyFont="1" applyFill="1" applyBorder="1" applyAlignment="1">
      <alignment vertical="center"/>
    </xf>
    <xf numFmtId="164" fontId="54" fillId="5" borderId="439" xfId="6" applyNumberFormat="1" applyFont="1" applyFill="1" applyBorder="1" applyAlignment="1">
      <alignment vertical="center"/>
    </xf>
    <xf numFmtId="167" fontId="54" fillId="5" borderId="392" xfId="6" applyNumberFormat="1" applyFont="1" applyFill="1" applyBorder="1" applyAlignment="1">
      <alignment horizontal="center" vertical="center"/>
    </xf>
    <xf numFmtId="164" fontId="54" fillId="5" borderId="51" xfId="6" applyNumberFormat="1" applyFont="1" applyFill="1" applyBorder="1" applyAlignment="1">
      <alignment vertical="center"/>
    </xf>
    <xf numFmtId="9" fontId="54" fillId="5" borderId="119" xfId="2" applyFont="1" applyFill="1" applyBorder="1" applyAlignment="1">
      <alignment horizontal="center" vertical="center"/>
    </xf>
    <xf numFmtId="164" fontId="54" fillId="5" borderId="414" xfId="6" applyNumberFormat="1" applyFont="1" applyFill="1" applyBorder="1" applyAlignment="1">
      <alignment horizontal="center" vertical="center"/>
    </xf>
    <xf numFmtId="164" fontId="54" fillId="5" borderId="284" xfId="0" applyNumberFormat="1" applyFont="1" applyFill="1" applyBorder="1" applyAlignment="1">
      <alignment vertical="center"/>
    </xf>
    <xf numFmtId="9" fontId="54" fillId="5" borderId="413" xfId="2" applyFont="1" applyFill="1" applyBorder="1" applyAlignment="1">
      <alignment vertical="center"/>
    </xf>
    <xf numFmtId="164" fontId="54" fillId="5" borderId="6" xfId="6" applyNumberFormat="1" applyFont="1" applyFill="1" applyBorder="1" applyAlignment="1">
      <alignment horizontal="center" vertical="center"/>
    </xf>
    <xf numFmtId="164" fontId="54" fillId="5" borderId="0" xfId="6" applyNumberFormat="1" applyFont="1" applyFill="1" applyBorder="1" applyAlignment="1">
      <alignment horizontal="center" vertical="center"/>
    </xf>
    <xf numFmtId="164" fontId="54" fillId="5" borderId="266" xfId="6" applyNumberFormat="1" applyFont="1" applyFill="1" applyBorder="1" applyAlignment="1">
      <alignment horizontal="center" vertical="center"/>
    </xf>
    <xf numFmtId="164" fontId="54" fillId="5" borderId="446" xfId="0" applyNumberFormat="1" applyFont="1" applyFill="1" applyBorder="1" applyAlignment="1">
      <alignment vertical="center"/>
    </xf>
    <xf numFmtId="9" fontId="54" fillId="5" borderId="10" xfId="2" applyFont="1" applyFill="1" applyBorder="1" applyAlignment="1">
      <alignment vertical="center"/>
    </xf>
    <xf numFmtId="1" fontId="54" fillId="5" borderId="266" xfId="0" applyNumberFormat="1" applyFont="1" applyFill="1" applyBorder="1" applyAlignment="1">
      <alignment horizontal="center" vertical="center"/>
    </xf>
    <xf numFmtId="9" fontId="54" fillId="5" borderId="413" xfId="2" applyFont="1" applyFill="1" applyBorder="1" applyAlignment="1">
      <alignment horizontal="center" vertical="center"/>
    </xf>
    <xf numFmtId="167" fontId="54" fillId="5" borderId="327" xfId="6" applyNumberFormat="1" applyFont="1" applyFill="1" applyBorder="1" applyAlignment="1">
      <alignment horizontal="center" vertical="center"/>
    </xf>
    <xf numFmtId="164" fontId="54" fillId="5" borderId="515" xfId="6" applyNumberFormat="1" applyFont="1" applyFill="1" applyBorder="1" applyAlignment="1">
      <alignment horizontal="center" vertical="center"/>
    </xf>
    <xf numFmtId="164" fontId="54" fillId="5" borderId="222" xfId="0" applyNumberFormat="1" applyFont="1" applyFill="1" applyBorder="1" applyAlignment="1">
      <alignment vertical="center"/>
    </xf>
    <xf numFmtId="9" fontId="54" fillId="5" borderId="511" xfId="2" applyFont="1" applyFill="1" applyBorder="1" applyAlignment="1">
      <alignment horizontal="center" vertical="center"/>
    </xf>
    <xf numFmtId="9" fontId="54" fillId="5" borderId="83" xfId="2" applyFont="1" applyFill="1" applyBorder="1" applyAlignment="1">
      <alignment horizontal="center" vertical="center"/>
    </xf>
    <xf numFmtId="164" fontId="54" fillId="5" borderId="19" xfId="6" applyNumberFormat="1" applyFont="1" applyFill="1" applyBorder="1" applyAlignment="1">
      <alignment horizontal="center" vertical="center"/>
    </xf>
    <xf numFmtId="164" fontId="54" fillId="5" borderId="222" xfId="6" applyNumberFormat="1" applyFont="1" applyFill="1" applyBorder="1" applyAlignment="1">
      <alignment horizontal="center" vertical="center"/>
    </xf>
    <xf numFmtId="9" fontId="54" fillId="5" borderId="23" xfId="2" applyFont="1" applyFill="1" applyBorder="1" applyAlignment="1">
      <alignment vertical="center"/>
    </xf>
    <xf numFmtId="9" fontId="54" fillId="5" borderId="23" xfId="2" applyFont="1" applyFill="1" applyBorder="1" applyAlignment="1">
      <alignment horizontal="center" vertical="center"/>
    </xf>
    <xf numFmtId="49" fontId="54" fillId="5" borderId="515" xfId="6" applyNumberFormat="1" applyFont="1" applyFill="1" applyBorder="1" applyAlignment="1">
      <alignment horizontal="center" vertical="center"/>
    </xf>
    <xf numFmtId="164" fontId="54" fillId="5" borderId="222" xfId="6" applyNumberFormat="1" applyFont="1" applyFill="1" applyBorder="1" applyAlignment="1">
      <alignment vertical="center"/>
    </xf>
    <xf numFmtId="9" fontId="54" fillId="5" borderId="20" xfId="2" applyFont="1" applyFill="1" applyBorder="1" applyAlignment="1">
      <alignment horizontal="center" vertical="center"/>
    </xf>
    <xf numFmtId="9" fontId="54" fillId="5" borderId="516" xfId="2" applyFont="1" applyFill="1" applyBorder="1" applyAlignment="1">
      <alignment horizontal="center" vertical="center"/>
    </xf>
    <xf numFmtId="164" fontId="54" fillId="5" borderId="20" xfId="6" applyNumberFormat="1" applyFont="1" applyFill="1" applyBorder="1" applyAlignment="1">
      <alignment vertical="center"/>
    </xf>
    <xf numFmtId="164" fontId="54" fillId="5" borderId="0" xfId="0" applyNumberFormat="1" applyFont="1" applyFill="1" applyAlignment="1">
      <alignment vertical="center"/>
    </xf>
    <xf numFmtId="164" fontId="54" fillId="5" borderId="20" xfId="0" applyNumberFormat="1" applyFont="1" applyFill="1" applyBorder="1" applyAlignment="1">
      <alignment vertical="center"/>
    </xf>
    <xf numFmtId="49" fontId="54" fillId="5" borderId="19" xfId="6" applyNumberFormat="1" applyFont="1" applyFill="1" applyBorder="1" applyAlignment="1">
      <alignment horizontal="center" vertical="center"/>
    </xf>
    <xf numFmtId="167" fontId="54" fillId="5" borderId="19" xfId="6" applyNumberFormat="1" applyFont="1" applyFill="1" applyBorder="1" applyAlignment="1">
      <alignment horizontal="center" vertical="center"/>
    </xf>
    <xf numFmtId="0" fontId="4" fillId="2" borderId="694" xfId="0" applyFont="1" applyFill="1" applyBorder="1" applyAlignment="1">
      <alignment horizontal="left" vertical="center"/>
    </xf>
    <xf numFmtId="0" fontId="4" fillId="2" borderId="70" xfId="0" applyFont="1" applyFill="1" applyBorder="1" applyAlignment="1">
      <alignment horizontal="left" vertical="center"/>
    </xf>
    <xf numFmtId="0" fontId="4" fillId="0" borderId="70" xfId="0" applyFont="1" applyFill="1" applyBorder="1" applyAlignment="1">
      <alignment horizontal="left" vertical="center"/>
    </xf>
    <xf numFmtId="164" fontId="9" fillId="2" borderId="0" xfId="6" applyNumberFormat="1" applyFont="1" applyFill="1" applyAlignment="1">
      <alignment horizontal="center" vertical="center"/>
    </xf>
    <xf numFmtId="164" fontId="54" fillId="5" borderId="20" xfId="6" quotePrefix="1" applyNumberFormat="1" applyFont="1" applyFill="1" applyBorder="1" applyAlignment="1">
      <alignment horizontal="center" vertical="center"/>
    </xf>
    <xf numFmtId="9" fontId="54" fillId="5" borderId="20" xfId="2" applyFont="1" applyFill="1" applyBorder="1" applyAlignment="1">
      <alignment vertical="center"/>
    </xf>
    <xf numFmtId="167" fontId="54" fillId="5" borderId="20" xfId="2" applyNumberFormat="1" applyFont="1" applyFill="1" applyBorder="1" applyAlignment="1">
      <alignment horizontal="center" vertical="center"/>
    </xf>
    <xf numFmtId="167" fontId="54" fillId="5" borderId="20" xfId="6" applyNumberFormat="1" applyFont="1" applyFill="1" applyBorder="1" applyAlignment="1">
      <alignment horizontal="center" vertical="center"/>
    </xf>
    <xf numFmtId="1" fontId="54" fillId="5" borderId="20" xfId="0" applyNumberFormat="1" applyFont="1" applyFill="1" applyBorder="1" applyAlignment="1">
      <alignment horizontal="center" vertical="center"/>
    </xf>
    <xf numFmtId="164" fontId="54" fillId="5" borderId="0" xfId="0" applyNumberFormat="1" applyFont="1" applyFill="1" applyBorder="1" applyAlignment="1">
      <alignment vertical="center"/>
    </xf>
    <xf numFmtId="9" fontId="54" fillId="5" borderId="0" xfId="2" applyFont="1" applyFill="1" applyBorder="1" applyAlignment="1">
      <alignment vertical="center"/>
    </xf>
    <xf numFmtId="9" fontId="54" fillId="5" borderId="224" xfId="2" applyFont="1" applyFill="1" applyBorder="1" applyAlignment="1">
      <alignment vertical="center"/>
    </xf>
    <xf numFmtId="9" fontId="54" fillId="5" borderId="516" xfId="2" applyFont="1" applyFill="1" applyBorder="1" applyAlignment="1">
      <alignment vertical="center"/>
    </xf>
    <xf numFmtId="167" fontId="54" fillId="5" borderId="81" xfId="6" applyNumberFormat="1" applyFont="1" applyFill="1" applyBorder="1" applyAlignment="1">
      <alignment horizontal="center" vertical="center"/>
    </xf>
    <xf numFmtId="164" fontId="54" fillId="5" borderId="82" xfId="6" applyNumberFormat="1" applyFont="1" applyFill="1" applyBorder="1" applyAlignment="1">
      <alignment vertical="center"/>
    </xf>
    <xf numFmtId="164" fontId="54" fillId="5" borderId="327" xfId="6" applyNumberFormat="1" applyFont="1" applyFill="1" applyBorder="1" applyAlignment="1">
      <alignment horizontal="center" vertical="center"/>
    </xf>
    <xf numFmtId="9" fontId="54" fillId="5" borderId="79" xfId="2" applyFont="1" applyFill="1" applyBorder="1" applyAlignment="1">
      <alignment vertical="center"/>
    </xf>
    <xf numFmtId="49" fontId="54" fillId="5" borderId="327" xfId="6" applyNumberFormat="1" applyFont="1" applyFill="1" applyBorder="1" applyAlignment="1">
      <alignment horizontal="center" vertical="center"/>
    </xf>
    <xf numFmtId="9" fontId="54" fillId="5" borderId="80" xfId="2" applyFont="1" applyFill="1" applyBorder="1" applyAlignment="1">
      <alignment vertical="center"/>
    </xf>
    <xf numFmtId="9" fontId="54" fillId="5" borderId="136" xfId="2" applyFont="1" applyFill="1" applyBorder="1" applyAlignment="1">
      <alignment vertical="center"/>
    </xf>
    <xf numFmtId="164" fontId="54" fillId="5" borderId="327" xfId="6" applyNumberFormat="1" applyFont="1" applyFill="1" applyBorder="1" applyAlignment="1">
      <alignment vertical="center"/>
    </xf>
    <xf numFmtId="164" fontId="54" fillId="5" borderId="80" xfId="6" applyNumberFormat="1" applyFont="1" applyFill="1" applyBorder="1" applyAlignment="1">
      <alignment vertical="center"/>
    </xf>
    <xf numFmtId="9" fontId="54" fillId="5" borderId="189" xfId="2" applyFont="1" applyFill="1" applyBorder="1" applyAlignment="1">
      <alignment vertical="center"/>
    </xf>
    <xf numFmtId="167" fontId="9" fillId="3" borderId="327" xfId="6" applyNumberFormat="1" applyFont="1" applyFill="1" applyBorder="1" applyAlignment="1">
      <alignment horizontal="center" vertical="center"/>
    </xf>
    <xf numFmtId="164" fontId="9" fillId="3" borderId="78" xfId="6" applyNumberFormat="1" applyFont="1" applyFill="1" applyBorder="1" applyAlignment="1">
      <alignment vertical="center"/>
    </xf>
    <xf numFmtId="9" fontId="9" fillId="3" borderId="79" xfId="2" applyFont="1" applyFill="1" applyBorder="1" applyAlignment="1">
      <alignment vertical="center"/>
    </xf>
    <xf numFmtId="9" fontId="9" fillId="3" borderId="80" xfId="2" applyFont="1" applyFill="1" applyBorder="1" applyAlignment="1">
      <alignment vertical="center"/>
    </xf>
    <xf numFmtId="167" fontId="9" fillId="3" borderId="19" xfId="6" applyNumberFormat="1" applyFont="1" applyFill="1" applyBorder="1" applyAlignment="1">
      <alignment horizontal="center" vertical="center"/>
    </xf>
    <xf numFmtId="164" fontId="9" fillId="2" borderId="0" xfId="6" applyNumberFormat="1" applyFont="1" applyFill="1" applyAlignment="1">
      <alignment vertical="center"/>
    </xf>
    <xf numFmtId="164" fontId="9" fillId="29" borderId="611" xfId="6" applyNumberFormat="1" applyFont="1" applyFill="1" applyBorder="1" applyAlignment="1">
      <alignment vertical="center"/>
    </xf>
    <xf numFmtId="164" fontId="9" fillId="29" borderId="610" xfId="6" applyNumberFormat="1" applyFont="1" applyFill="1" applyBorder="1" applyAlignment="1">
      <alignment vertical="center"/>
    </xf>
    <xf numFmtId="164" fontId="9" fillId="29" borderId="610" xfId="6" applyNumberFormat="1" applyFont="1" applyFill="1" applyBorder="1" applyAlignment="1">
      <alignment horizontal="center" vertical="center"/>
    </xf>
    <xf numFmtId="9" fontId="3" fillId="29" borderId="607" xfId="2" applyFont="1" applyFill="1" applyBorder="1" applyAlignment="1">
      <alignment vertical="center"/>
    </xf>
    <xf numFmtId="9" fontId="9" fillId="29" borderId="607" xfId="2" applyFont="1" applyFill="1" applyBorder="1" applyAlignment="1">
      <alignment vertical="center"/>
    </xf>
    <xf numFmtId="9" fontId="9" fillId="29" borderId="612" xfId="2" applyFont="1" applyFill="1" applyBorder="1" applyAlignment="1">
      <alignment vertical="center"/>
    </xf>
    <xf numFmtId="167" fontId="12" fillId="2" borderId="0" xfId="6" applyNumberFormat="1" applyFont="1" applyFill="1" applyAlignment="1">
      <alignment horizontal="center" vertical="center"/>
    </xf>
    <xf numFmtId="0" fontId="4" fillId="4" borderId="649" xfId="0" applyFont="1" applyFill="1" applyBorder="1" applyAlignment="1">
      <alignment vertical="center"/>
    </xf>
    <xf numFmtId="164" fontId="4" fillId="19" borderId="211" xfId="6" applyNumberFormat="1" applyFont="1" applyFill="1" applyBorder="1" applyAlignment="1">
      <alignment vertical="center"/>
    </xf>
    <xf numFmtId="164" fontId="114" fillId="7" borderId="157" xfId="6" applyNumberFormat="1" applyFont="1" applyFill="1" applyBorder="1" applyAlignment="1">
      <alignment vertical="center"/>
    </xf>
    <xf numFmtId="167" fontId="55" fillId="7" borderId="19" xfId="6" applyNumberFormat="1" applyFont="1" applyFill="1" applyBorder="1" applyAlignment="1">
      <alignment horizontal="center" vertical="center"/>
    </xf>
    <xf numFmtId="164" fontId="115" fillId="7" borderId="157" xfId="6" applyNumberFormat="1" applyFont="1" applyFill="1" applyBorder="1" applyAlignment="1">
      <alignment vertical="center"/>
    </xf>
    <xf numFmtId="0" fontId="3" fillId="37" borderId="19" xfId="0" applyFont="1" applyFill="1" applyBorder="1" applyAlignment="1">
      <alignment horizontal="right" vertical="center"/>
    </xf>
    <xf numFmtId="0" fontId="3" fillId="37" borderId="20" xfId="0" applyFont="1" applyFill="1" applyBorder="1" applyAlignment="1">
      <alignment horizontal="right" vertical="center"/>
    </xf>
    <xf numFmtId="0" fontId="3" fillId="37" borderId="23" xfId="0" applyFont="1" applyFill="1" applyBorder="1" applyAlignment="1">
      <alignment horizontal="right" vertical="center"/>
    </xf>
    <xf numFmtId="164" fontId="12" fillId="37" borderId="222" xfId="6" applyNumberFormat="1" applyFont="1" applyFill="1" applyBorder="1" applyAlignment="1">
      <alignment horizontal="center" vertical="center"/>
    </xf>
    <xf numFmtId="164" fontId="12" fillId="37" borderId="223" xfId="6" applyNumberFormat="1" applyFont="1" applyFill="1" applyBorder="1" applyAlignment="1">
      <alignment vertical="center"/>
    </xf>
    <xf numFmtId="9" fontId="12" fillId="37" borderId="223" xfId="2" applyFont="1" applyFill="1" applyBorder="1" applyAlignment="1">
      <alignment vertical="center"/>
    </xf>
    <xf numFmtId="164" fontId="12" fillId="37" borderId="223" xfId="6" applyNumberFormat="1" applyFont="1" applyFill="1" applyBorder="1" applyAlignment="1">
      <alignment horizontal="center" vertical="center"/>
    </xf>
    <xf numFmtId="164" fontId="12" fillId="37" borderId="516" xfId="6" applyNumberFormat="1" applyFont="1" applyFill="1" applyBorder="1" applyAlignment="1">
      <alignment vertical="center"/>
    </xf>
    <xf numFmtId="164" fontId="12" fillId="37" borderId="222" xfId="6" applyNumberFormat="1" applyFont="1" applyFill="1" applyBorder="1" applyAlignment="1">
      <alignment vertical="center"/>
    </xf>
    <xf numFmtId="9" fontId="12" fillId="37" borderId="223" xfId="2" applyFont="1" applyFill="1" applyBorder="1" applyAlignment="1">
      <alignment horizontal="center" vertical="center"/>
    </xf>
    <xf numFmtId="164" fontId="77" fillId="37" borderId="223" xfId="6" applyNumberFormat="1" applyFont="1" applyFill="1" applyBorder="1" applyAlignment="1">
      <alignment vertical="center"/>
    </xf>
    <xf numFmtId="9" fontId="77" fillId="37" borderId="223" xfId="2" applyFont="1" applyFill="1" applyBorder="1" applyAlignment="1">
      <alignment vertical="center"/>
    </xf>
    <xf numFmtId="167" fontId="12" fillId="37" borderId="223" xfId="2" applyNumberFormat="1" applyFont="1" applyFill="1" applyBorder="1" applyAlignment="1">
      <alignment horizontal="center" vertical="center"/>
    </xf>
    <xf numFmtId="167" fontId="77" fillId="37" borderId="223" xfId="2" applyNumberFormat="1" applyFont="1" applyFill="1" applyBorder="1" applyAlignment="1">
      <alignment horizontal="center" vertical="center"/>
    </xf>
    <xf numFmtId="9" fontId="77" fillId="37" borderId="223" xfId="2" applyFont="1" applyFill="1" applyBorder="1" applyAlignment="1">
      <alignment horizontal="center" vertical="center"/>
    </xf>
    <xf numFmtId="166" fontId="12" fillId="37" borderId="223" xfId="6" applyNumberFormat="1" applyFont="1" applyFill="1" applyBorder="1" applyAlignment="1">
      <alignment vertical="center"/>
    </xf>
    <xf numFmtId="166" fontId="12" fillId="37" borderId="223" xfId="6" applyFont="1" applyFill="1" applyBorder="1" applyAlignment="1">
      <alignment vertical="center"/>
    </xf>
    <xf numFmtId="164" fontId="4" fillId="37" borderId="223" xfId="6" applyNumberFormat="1" applyFont="1" applyFill="1" applyBorder="1" applyAlignment="1">
      <alignment horizontal="center" vertical="center"/>
    </xf>
    <xf numFmtId="164" fontId="4" fillId="37" borderId="223" xfId="6" applyNumberFormat="1" applyFont="1" applyFill="1" applyBorder="1" applyAlignment="1">
      <alignment vertical="center"/>
    </xf>
    <xf numFmtId="9" fontId="12" fillId="37" borderId="664" xfId="2" applyFont="1" applyFill="1" applyBorder="1" applyAlignment="1">
      <alignment horizontal="center" vertical="center"/>
    </xf>
    <xf numFmtId="164" fontId="12" fillId="37" borderId="224" xfId="6" applyNumberFormat="1" applyFont="1" applyFill="1" applyBorder="1" applyAlignment="1">
      <alignment vertical="center"/>
    </xf>
    <xf numFmtId="164" fontId="12" fillId="37" borderId="665" xfId="6" applyNumberFormat="1" applyFont="1" applyFill="1" applyBorder="1" applyAlignment="1">
      <alignment horizontal="center" vertical="center"/>
    </xf>
    <xf numFmtId="9" fontId="12" fillId="37" borderId="664" xfId="2" applyFont="1" applyFill="1" applyBorder="1" applyAlignment="1">
      <alignment vertical="center"/>
    </xf>
    <xf numFmtId="164" fontId="12" fillId="37" borderId="20" xfId="6" applyNumberFormat="1" applyFont="1" applyFill="1" applyBorder="1" applyAlignment="1">
      <alignment horizontal="center" vertical="center"/>
    </xf>
    <xf numFmtId="164" fontId="12" fillId="37" borderId="20" xfId="6" applyNumberFormat="1" applyFont="1" applyFill="1" applyBorder="1" applyAlignment="1">
      <alignment vertical="center"/>
    </xf>
    <xf numFmtId="9" fontId="12" fillId="37" borderId="224" xfId="2" applyFont="1" applyFill="1" applyBorder="1" applyAlignment="1">
      <alignment vertical="center"/>
    </xf>
    <xf numFmtId="164" fontId="4" fillId="37" borderId="19" xfId="6" applyNumberFormat="1" applyFont="1" applyFill="1" applyBorder="1" applyAlignment="1">
      <alignment horizontal="center" vertical="center"/>
    </xf>
    <xf numFmtId="164" fontId="4" fillId="37" borderId="78" xfId="6" applyNumberFormat="1" applyFont="1" applyFill="1" applyBorder="1" applyAlignment="1">
      <alignment vertical="center"/>
    </xf>
    <xf numFmtId="9" fontId="4" fillId="37" borderId="79" xfId="2" applyFont="1" applyFill="1" applyBorder="1" applyAlignment="1">
      <alignment vertical="center"/>
    </xf>
    <xf numFmtId="164" fontId="4" fillId="37" borderId="20" xfId="6" applyNumberFormat="1" applyFont="1" applyFill="1" applyBorder="1" applyAlignment="1">
      <alignment horizontal="center" vertical="center"/>
    </xf>
    <xf numFmtId="9" fontId="4" fillId="37" borderId="80" xfId="2" applyFont="1" applyFill="1" applyBorder="1" applyAlignment="1">
      <alignment vertical="center"/>
    </xf>
    <xf numFmtId="164" fontId="4" fillId="37" borderId="20" xfId="6" applyNumberFormat="1" applyFont="1" applyFill="1" applyBorder="1" applyAlignment="1">
      <alignment vertical="center"/>
    </xf>
    <xf numFmtId="9" fontId="4" fillId="37" borderId="23" xfId="2" applyFont="1" applyFill="1" applyBorder="1" applyAlignment="1">
      <alignment vertical="center"/>
    </xf>
    <xf numFmtId="164" fontId="12" fillId="37" borderId="19" xfId="6" applyNumberFormat="1" applyFont="1" applyFill="1" applyBorder="1" applyAlignment="1">
      <alignment horizontal="center" vertical="center"/>
    </xf>
    <xf numFmtId="164" fontId="12" fillId="37" borderId="223" xfId="0" applyNumberFormat="1" applyFont="1" applyFill="1" applyBorder="1" applyAlignment="1">
      <alignment vertical="center"/>
    </xf>
    <xf numFmtId="164" fontId="12" fillId="37" borderId="666" xfId="6" applyNumberFormat="1" applyFont="1" applyFill="1" applyBorder="1" applyAlignment="1">
      <alignment vertical="center"/>
    </xf>
    <xf numFmtId="164" fontId="12" fillId="37" borderId="78" xfId="6" applyNumberFormat="1" applyFont="1" applyFill="1" applyBorder="1" applyAlignment="1">
      <alignment vertical="center"/>
    </xf>
    <xf numFmtId="164" fontId="12" fillId="37" borderId="78" xfId="6" applyNumberFormat="1" applyFont="1" applyFill="1" applyBorder="1" applyAlignment="1">
      <alignment horizontal="center" vertical="center"/>
    </xf>
    <xf numFmtId="164" fontId="12" fillId="37" borderId="79" xfId="6" applyNumberFormat="1" applyFont="1" applyFill="1" applyBorder="1" applyAlignment="1">
      <alignment vertical="center"/>
    </xf>
    <xf numFmtId="164" fontId="12" fillId="37" borderId="20" xfId="0" applyNumberFormat="1" applyFont="1" applyFill="1" applyBorder="1" applyAlignment="1">
      <alignment vertical="center"/>
    </xf>
    <xf numFmtId="164" fontId="12" fillId="37" borderId="113" xfId="6" applyNumberFormat="1" applyFont="1" applyFill="1" applyBorder="1" applyAlignment="1">
      <alignment horizontal="center" vertical="center"/>
    </xf>
    <xf numFmtId="9" fontId="12" fillId="37" borderId="20" xfId="2" applyFont="1" applyFill="1" applyBorder="1" applyAlignment="1">
      <alignment horizontal="center" vertical="center"/>
    </xf>
    <xf numFmtId="9" fontId="12" fillId="37" borderId="23" xfId="2" applyFont="1" applyFill="1" applyBorder="1" applyAlignment="1">
      <alignment vertical="center"/>
    </xf>
    <xf numFmtId="167" fontId="12" fillId="37" borderId="20" xfId="6" applyNumberFormat="1" applyFont="1" applyFill="1" applyBorder="1" applyAlignment="1">
      <alignment horizontal="center" vertical="center"/>
    </xf>
    <xf numFmtId="9" fontId="12" fillId="37" borderId="22" xfId="2" applyFont="1" applyFill="1" applyBorder="1" applyAlignment="1">
      <alignment vertical="center"/>
    </xf>
    <xf numFmtId="167" fontId="12" fillId="37" borderId="21" xfId="6" applyNumberFormat="1" applyFont="1" applyFill="1" applyBorder="1" applyAlignment="1">
      <alignment horizontal="center" vertical="center"/>
    </xf>
    <xf numFmtId="3" fontId="4" fillId="37" borderId="20" xfId="6" applyNumberFormat="1" applyFont="1" applyFill="1" applyBorder="1" applyAlignment="1">
      <alignment horizontal="center" vertical="center"/>
    </xf>
    <xf numFmtId="167" fontId="4" fillId="37" borderId="20" xfId="6" applyNumberFormat="1" applyFont="1" applyFill="1" applyBorder="1" applyAlignment="1">
      <alignment horizontal="center" vertical="center"/>
    </xf>
    <xf numFmtId="9" fontId="12" fillId="37" borderId="79" xfId="2" applyFont="1" applyFill="1" applyBorder="1" applyAlignment="1">
      <alignment vertical="center"/>
    </xf>
    <xf numFmtId="167" fontId="4" fillId="37" borderId="19" xfId="6" applyNumberFormat="1" applyFont="1" applyFill="1" applyBorder="1" applyAlignment="1">
      <alignment horizontal="center" vertical="center"/>
    </xf>
    <xf numFmtId="167" fontId="70" fillId="37" borderId="19" xfId="6" applyNumberFormat="1" applyFont="1" applyFill="1" applyBorder="1" applyAlignment="1">
      <alignment horizontal="center" vertical="center"/>
    </xf>
    <xf numFmtId="164" fontId="70" fillId="37" borderId="78" xfId="6" applyNumberFormat="1" applyFont="1" applyFill="1" applyBorder="1" applyAlignment="1">
      <alignment vertical="center"/>
    </xf>
    <xf numFmtId="164" fontId="3" fillId="37" borderId="20" xfId="6" applyNumberFormat="1" applyFont="1" applyFill="1" applyBorder="1" applyAlignment="1">
      <alignment vertical="center"/>
    </xf>
    <xf numFmtId="164" fontId="12" fillId="37" borderId="327" xfId="6" applyNumberFormat="1" applyFont="1" applyFill="1" applyBorder="1" applyAlignment="1">
      <alignment vertical="center"/>
    </xf>
    <xf numFmtId="164" fontId="12" fillId="37" borderId="666" xfId="6" applyNumberFormat="1" applyFont="1" applyFill="1" applyBorder="1" applyAlignment="1">
      <alignment horizontal="center" vertical="center"/>
    </xf>
    <xf numFmtId="164" fontId="12" fillId="37" borderId="157" xfId="0" applyNumberFormat="1" applyFont="1" applyFill="1" applyBorder="1" applyAlignment="1">
      <alignment vertical="center"/>
    </xf>
    <xf numFmtId="164" fontId="12" fillId="37" borderId="0" xfId="6" applyNumberFormat="1" applyFont="1" applyFill="1" applyBorder="1" applyAlignment="1">
      <alignment vertical="center"/>
    </xf>
    <xf numFmtId="164" fontId="12" fillId="37" borderId="157" xfId="6" applyNumberFormat="1" applyFont="1" applyFill="1" applyBorder="1" applyAlignment="1">
      <alignment vertical="center"/>
    </xf>
    <xf numFmtId="9" fontId="12" fillId="37" borderId="80" xfId="2" applyFont="1" applyFill="1" applyBorder="1" applyAlignment="1">
      <alignment vertical="center"/>
    </xf>
    <xf numFmtId="164" fontId="12" fillId="37" borderId="19" xfId="6" applyNumberFormat="1" applyFont="1" applyFill="1" applyBorder="1" applyAlignment="1">
      <alignment vertical="center"/>
    </xf>
    <xf numFmtId="49" fontId="12" fillId="37" borderId="19" xfId="6" applyNumberFormat="1" applyFont="1" applyFill="1" applyBorder="1" applyAlignment="1">
      <alignment horizontal="center" vertical="center"/>
    </xf>
    <xf numFmtId="164" fontId="12" fillId="37" borderId="81" xfId="6" applyNumberFormat="1" applyFont="1" applyFill="1" applyBorder="1" applyAlignment="1">
      <alignment horizontal="center" vertical="center"/>
    </xf>
    <xf numFmtId="164" fontId="12" fillId="37" borderId="82" xfId="6" applyNumberFormat="1" applyFont="1" applyFill="1" applyBorder="1" applyAlignment="1">
      <alignment vertical="center"/>
    </xf>
    <xf numFmtId="164" fontId="12" fillId="37" borderId="114" xfId="6" applyNumberFormat="1" applyFont="1" applyFill="1" applyBorder="1" applyAlignment="1">
      <alignment vertical="center"/>
    </xf>
    <xf numFmtId="164" fontId="4" fillId="37" borderId="81" xfId="6" applyNumberFormat="1" applyFont="1" applyFill="1" applyBorder="1" applyAlignment="1">
      <alignment vertical="center"/>
    </xf>
    <xf numFmtId="164" fontId="4" fillId="37" borderId="82" xfId="6" applyNumberFormat="1" applyFont="1" applyFill="1" applyBorder="1" applyAlignment="1">
      <alignment vertical="center"/>
    </xf>
    <xf numFmtId="164" fontId="12" fillId="37" borderId="81" xfId="6" applyNumberFormat="1" applyFont="1" applyFill="1" applyBorder="1" applyAlignment="1">
      <alignment vertical="center"/>
    </xf>
    <xf numFmtId="164" fontId="12" fillId="37" borderId="6" xfId="6" applyNumberFormat="1" applyFont="1" applyFill="1" applyBorder="1" applyAlignment="1">
      <alignment vertical="center"/>
    </xf>
    <xf numFmtId="9" fontId="12" fillId="37" borderId="54" xfId="2" applyFont="1" applyFill="1" applyBorder="1" applyAlignment="1">
      <alignment vertical="center"/>
    </xf>
    <xf numFmtId="9" fontId="12" fillId="37" borderId="10" xfId="2" applyFont="1" applyFill="1" applyBorder="1" applyAlignment="1">
      <alignment vertical="center"/>
    </xf>
    <xf numFmtId="49" fontId="4" fillId="37" borderId="19" xfId="6" applyNumberFormat="1" applyFont="1" applyFill="1" applyBorder="1" applyAlignment="1">
      <alignment horizontal="center" vertical="center"/>
    </xf>
    <xf numFmtId="164" fontId="4" fillId="37" borderId="19" xfId="6" applyNumberFormat="1" applyFont="1" applyFill="1" applyBorder="1" applyAlignment="1">
      <alignment vertical="center"/>
    </xf>
    <xf numFmtId="164" fontId="4" fillId="37" borderId="114" xfId="6" applyNumberFormat="1" applyFont="1" applyFill="1" applyBorder="1" applyAlignment="1">
      <alignment vertical="center"/>
    </xf>
    <xf numFmtId="164" fontId="26" fillId="37" borderId="20" xfId="6" applyNumberFormat="1" applyFont="1" applyFill="1" applyBorder="1" applyAlignment="1">
      <alignment vertical="center"/>
    </xf>
    <xf numFmtId="167" fontId="12" fillId="37" borderId="19" xfId="6" applyNumberFormat="1" applyFont="1" applyFill="1" applyBorder="1" applyAlignment="1">
      <alignment horizontal="center" vertical="center"/>
    </xf>
    <xf numFmtId="164" fontId="27" fillId="37" borderId="20" xfId="6" applyNumberFormat="1" applyFont="1" applyFill="1" applyBorder="1" applyAlignment="1">
      <alignment vertical="center"/>
    </xf>
    <xf numFmtId="0" fontId="0" fillId="2" borderId="14" xfId="0" applyFont="1" applyFill="1" applyBorder="1" applyAlignment="1">
      <alignment horizontal="center" vertical="center"/>
    </xf>
    <xf numFmtId="164" fontId="0" fillId="7" borderId="20" xfId="6" applyNumberFormat="1" applyFont="1" applyFill="1" applyBorder="1" applyAlignment="1">
      <alignment horizontal="center" vertical="center"/>
    </xf>
    <xf numFmtId="164" fontId="0" fillId="7" borderId="20" xfId="0" applyNumberFormat="1" applyFont="1" applyFill="1" applyBorder="1" applyAlignment="1">
      <alignment vertical="center"/>
    </xf>
    <xf numFmtId="0" fontId="0" fillId="7" borderId="20" xfId="0" applyFont="1" applyFill="1" applyBorder="1" applyAlignment="1">
      <alignment vertical="center"/>
    </xf>
    <xf numFmtId="9" fontId="0" fillId="7" borderId="20" xfId="2" applyFont="1" applyFill="1" applyBorder="1" applyAlignment="1">
      <alignment horizontal="center" vertical="center"/>
    </xf>
    <xf numFmtId="9" fontId="3" fillId="7" borderId="20" xfId="2" applyFont="1" applyFill="1" applyBorder="1" applyAlignment="1">
      <alignment horizontal="center" vertical="center"/>
    </xf>
    <xf numFmtId="0" fontId="3" fillId="7" borderId="20" xfId="0" applyFont="1" applyFill="1" applyBorder="1" applyAlignment="1">
      <alignment vertical="center"/>
    </xf>
    <xf numFmtId="164" fontId="3" fillId="7" borderId="20" xfId="0" applyNumberFormat="1" applyFont="1" applyFill="1" applyBorder="1" applyAlignment="1">
      <alignment vertical="center"/>
    </xf>
    <xf numFmtId="0" fontId="0" fillId="7" borderId="20" xfId="0" applyFont="1" applyFill="1" applyBorder="1" applyAlignment="1">
      <alignment horizontal="center" vertical="center"/>
    </xf>
    <xf numFmtId="0" fontId="116" fillId="7" borderId="20" xfId="0" applyFont="1" applyFill="1" applyBorder="1" applyAlignment="1">
      <alignment horizontal="center" vertical="center"/>
    </xf>
    <xf numFmtId="164" fontId="116" fillId="7" borderId="20" xfId="6" applyNumberFormat="1" applyFont="1" applyFill="1" applyBorder="1" applyAlignment="1">
      <alignment vertical="center"/>
    </xf>
    <xf numFmtId="164" fontId="116" fillId="7" borderId="20" xfId="0" applyNumberFormat="1" applyFont="1" applyFill="1" applyBorder="1" applyAlignment="1">
      <alignment vertical="center"/>
    </xf>
    <xf numFmtId="9" fontId="116" fillId="7" borderId="20" xfId="2" applyFont="1" applyFill="1" applyBorder="1" applyAlignment="1">
      <alignment vertical="center"/>
    </xf>
    <xf numFmtId="164" fontId="3" fillId="7" borderId="20" xfId="6" applyNumberFormat="1" applyFont="1" applyFill="1" applyBorder="1" applyAlignment="1">
      <alignment vertical="center"/>
    </xf>
    <xf numFmtId="166" fontId="3" fillId="7" borderId="20" xfId="6" applyFont="1" applyFill="1" applyBorder="1" applyAlignment="1">
      <alignment vertical="center"/>
    </xf>
    <xf numFmtId="164" fontId="0" fillId="7" borderId="20" xfId="6" applyNumberFormat="1" applyFont="1" applyFill="1" applyBorder="1" applyAlignment="1">
      <alignment vertical="center"/>
    </xf>
    <xf numFmtId="0" fontId="116" fillId="7" borderId="20" xfId="0" applyFont="1" applyFill="1" applyBorder="1" applyAlignment="1">
      <alignment vertical="center"/>
    </xf>
    <xf numFmtId="0" fontId="3" fillId="7" borderId="20" xfId="0" applyFont="1" applyFill="1" applyBorder="1" applyAlignment="1">
      <alignment horizontal="center" vertical="center"/>
    </xf>
    <xf numFmtId="9" fontId="0" fillId="7" borderId="20" xfId="2" applyFont="1" applyFill="1" applyBorder="1" applyAlignment="1">
      <alignment vertical="center"/>
    </xf>
    <xf numFmtId="166" fontId="0" fillId="7" borderId="20" xfId="6" applyFont="1" applyFill="1" applyBorder="1" applyAlignment="1">
      <alignment vertical="center"/>
    </xf>
    <xf numFmtId="9" fontId="0" fillId="7" borderId="22" xfId="2" applyFont="1" applyFill="1" applyBorder="1" applyAlignment="1">
      <alignment horizontal="center" vertical="center"/>
    </xf>
    <xf numFmtId="0" fontId="0" fillId="7" borderId="21" xfId="0" applyFont="1" applyFill="1" applyBorder="1" applyAlignment="1">
      <alignment horizontal="center" vertical="center"/>
    </xf>
    <xf numFmtId="9" fontId="0" fillId="7" borderId="22" xfId="2" applyFont="1" applyFill="1" applyBorder="1" applyAlignment="1">
      <alignment vertical="center"/>
    </xf>
    <xf numFmtId="0" fontId="0" fillId="7" borderId="19" xfId="0" applyFont="1" applyFill="1" applyBorder="1" applyAlignment="1">
      <alignment vertical="center"/>
    </xf>
    <xf numFmtId="0" fontId="0" fillId="7" borderId="78" xfId="0" applyFont="1" applyFill="1" applyBorder="1" applyAlignment="1">
      <alignment vertical="center"/>
    </xf>
    <xf numFmtId="164" fontId="0" fillId="7" borderId="78" xfId="0" applyNumberFormat="1" applyFont="1" applyFill="1" applyBorder="1" applyAlignment="1">
      <alignment vertical="center"/>
    </xf>
    <xf numFmtId="9" fontId="0" fillId="7" borderId="79" xfId="2" applyFont="1" applyFill="1" applyBorder="1" applyAlignment="1">
      <alignment vertical="center"/>
    </xf>
    <xf numFmtId="9" fontId="0" fillId="7" borderId="80" xfId="2" applyFont="1" applyFill="1" applyBorder="1" applyAlignment="1">
      <alignment vertical="center"/>
    </xf>
    <xf numFmtId="9" fontId="0" fillId="7" borderId="23" xfId="2" applyFont="1" applyFill="1" applyBorder="1" applyAlignment="1">
      <alignment vertical="center"/>
    </xf>
    <xf numFmtId="164" fontId="0" fillId="7" borderId="19" xfId="6" applyNumberFormat="1" applyFont="1" applyFill="1" applyBorder="1" applyAlignment="1">
      <alignment vertical="center"/>
    </xf>
    <xf numFmtId="164" fontId="3" fillId="7" borderId="78" xfId="0" applyNumberFormat="1" applyFont="1" applyFill="1" applyBorder="1" applyAlignment="1">
      <alignment vertical="center"/>
    </xf>
    <xf numFmtId="164" fontId="0" fillId="7" borderId="19" xfId="6" applyNumberFormat="1" applyFont="1" applyFill="1" applyBorder="1" applyAlignment="1">
      <alignment horizontal="center" vertical="center"/>
    </xf>
    <xf numFmtId="164" fontId="3" fillId="7" borderId="223" xfId="0" applyNumberFormat="1" applyFont="1" applyFill="1" applyBorder="1" applyAlignment="1">
      <alignment vertical="center"/>
    </xf>
    <xf numFmtId="0" fontId="0" fillId="7" borderId="666" xfId="0" applyFont="1" applyFill="1" applyBorder="1" applyAlignment="1">
      <alignment vertical="center"/>
    </xf>
    <xf numFmtId="164" fontId="3" fillId="7" borderId="78" xfId="6" applyNumberFormat="1" applyFont="1" applyFill="1" applyBorder="1" applyAlignment="1">
      <alignment horizontal="center" vertical="center"/>
    </xf>
    <xf numFmtId="164" fontId="3" fillId="7" borderId="517" xfId="0" applyNumberFormat="1" applyFont="1" applyFill="1" applyBorder="1" applyAlignment="1">
      <alignment vertical="center"/>
    </xf>
    <xf numFmtId="164" fontId="3" fillId="7" borderId="222" xfId="0" applyNumberFormat="1" applyFont="1" applyFill="1" applyBorder="1" applyAlignment="1">
      <alignment vertical="center"/>
    </xf>
    <xf numFmtId="0" fontId="0" fillId="7" borderId="113" xfId="0" applyFont="1" applyFill="1" applyBorder="1" applyAlignment="1">
      <alignment horizontal="center" vertical="center"/>
    </xf>
    <xf numFmtId="0" fontId="0" fillId="7" borderId="19" xfId="0" applyFont="1" applyFill="1" applyBorder="1" applyAlignment="1">
      <alignment horizontal="center" vertical="center"/>
    </xf>
    <xf numFmtId="167" fontId="0" fillId="7" borderId="20" xfId="0" applyNumberFormat="1" applyFont="1" applyFill="1" applyBorder="1" applyAlignment="1">
      <alignment horizontal="center" vertical="center"/>
    </xf>
    <xf numFmtId="167" fontId="0" fillId="7" borderId="21" xfId="0" applyNumberFormat="1" applyFont="1" applyFill="1" applyBorder="1" applyAlignment="1">
      <alignment horizontal="center" vertical="center"/>
    </xf>
    <xf numFmtId="3" fontId="0" fillId="7" borderId="20" xfId="0" applyNumberFormat="1" applyFont="1" applyFill="1" applyBorder="1" applyAlignment="1">
      <alignment vertical="center"/>
    </xf>
    <xf numFmtId="167" fontId="0" fillId="7" borderId="20" xfId="0" applyNumberFormat="1" applyFont="1" applyFill="1" applyBorder="1" applyAlignment="1">
      <alignment vertical="center"/>
    </xf>
    <xf numFmtId="9" fontId="3" fillId="7" borderId="79" xfId="2" applyFont="1" applyFill="1" applyBorder="1" applyAlignment="1">
      <alignment vertical="center"/>
    </xf>
    <xf numFmtId="167" fontId="0" fillId="7" borderId="19" xfId="0" applyNumberFormat="1" applyFont="1" applyFill="1" applyBorder="1" applyAlignment="1">
      <alignment horizontal="center" vertical="center"/>
    </xf>
    <xf numFmtId="167" fontId="50" fillId="7" borderId="19" xfId="0" applyNumberFormat="1" applyFont="1" applyFill="1" applyBorder="1" applyAlignment="1">
      <alignment horizontal="center" vertical="center"/>
    </xf>
    <xf numFmtId="0" fontId="50" fillId="7" borderId="78" xfId="0" applyFont="1" applyFill="1" applyBorder="1" applyAlignment="1">
      <alignment vertical="center"/>
    </xf>
    <xf numFmtId="9" fontId="3" fillId="7" borderId="23" xfId="2" applyFont="1" applyFill="1" applyBorder="1" applyAlignment="1">
      <alignment vertical="center"/>
    </xf>
    <xf numFmtId="0" fontId="0" fillId="7" borderId="327" xfId="0" applyFont="1" applyFill="1" applyBorder="1" applyAlignment="1">
      <alignment vertical="center"/>
    </xf>
    <xf numFmtId="164" fontId="0" fillId="7" borderId="666" xfId="6" applyNumberFormat="1" applyFont="1" applyFill="1" applyBorder="1" applyAlignment="1">
      <alignment horizontal="center" vertical="center"/>
    </xf>
    <xf numFmtId="164" fontId="3" fillId="7" borderId="157" xfId="0" applyNumberFormat="1" applyFont="1" applyFill="1" applyBorder="1" applyAlignment="1">
      <alignment vertical="center"/>
    </xf>
    <xf numFmtId="164" fontId="3" fillId="7" borderId="19" xfId="6" applyNumberFormat="1" applyFont="1" applyFill="1" applyBorder="1" applyAlignment="1">
      <alignment horizontal="center" vertical="center"/>
    </xf>
    <xf numFmtId="9" fontId="3" fillId="7" borderId="80" xfId="2" applyFont="1" applyFill="1" applyBorder="1" applyAlignment="1">
      <alignment vertical="center"/>
    </xf>
    <xf numFmtId="49" fontId="0" fillId="7" borderId="19" xfId="6" applyNumberFormat="1" applyFont="1" applyFill="1" applyBorder="1" applyAlignment="1">
      <alignment horizontal="center" vertical="center"/>
    </xf>
    <xf numFmtId="49" fontId="0" fillId="7" borderId="19" xfId="0" applyNumberFormat="1" applyFont="1" applyFill="1" applyBorder="1" applyAlignment="1">
      <alignment horizontal="center" vertical="center"/>
    </xf>
    <xf numFmtId="164" fontId="3" fillId="7" borderId="81" xfId="6" applyNumberFormat="1" applyFont="1" applyFill="1" applyBorder="1" applyAlignment="1">
      <alignment horizontal="center" vertical="center"/>
    </xf>
    <xf numFmtId="164" fontId="3" fillId="7" borderId="82" xfId="6" applyNumberFormat="1" applyFont="1" applyFill="1" applyBorder="1" applyAlignment="1">
      <alignment vertical="center"/>
    </xf>
    <xf numFmtId="164" fontId="3" fillId="7" borderId="157" xfId="6" applyNumberFormat="1" applyFont="1" applyFill="1" applyBorder="1" applyAlignment="1">
      <alignment vertical="center"/>
    </xf>
    <xf numFmtId="164" fontId="3" fillId="7" borderId="114" xfId="6" applyNumberFormat="1" applyFont="1" applyFill="1" applyBorder="1" applyAlignment="1">
      <alignment vertical="center"/>
    </xf>
    <xf numFmtId="0" fontId="3" fillId="7" borderId="19" xfId="0" applyFont="1" applyFill="1" applyBorder="1" applyAlignment="1">
      <alignment vertical="center"/>
    </xf>
    <xf numFmtId="0" fontId="0" fillId="7" borderId="81" xfId="0" applyFont="1" applyFill="1" applyBorder="1" applyAlignment="1">
      <alignment vertical="center"/>
    </xf>
    <xf numFmtId="0" fontId="0" fillId="7" borderId="82" xfId="0" applyFont="1" applyFill="1" applyBorder="1" applyAlignment="1">
      <alignment vertical="center"/>
    </xf>
    <xf numFmtId="164" fontId="0" fillId="7" borderId="82" xfId="6" applyNumberFormat="1" applyFont="1" applyFill="1" applyBorder="1" applyAlignment="1">
      <alignment vertical="center"/>
    </xf>
    <xf numFmtId="0" fontId="3" fillId="7" borderId="8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49" fontId="3" fillId="7" borderId="19" xfId="6" applyNumberFormat="1" applyFont="1" applyFill="1" applyBorder="1" applyAlignment="1">
      <alignment horizontal="center" vertical="center"/>
    </xf>
    <xf numFmtId="164" fontId="0" fillId="7" borderId="114" xfId="6" applyNumberFormat="1" applyFont="1" applyFill="1" applyBorder="1" applyAlignment="1">
      <alignment vertical="center"/>
    </xf>
    <xf numFmtId="164" fontId="111" fillId="7" borderId="157" xfId="6" applyNumberFormat="1" applyFont="1" applyFill="1" applyBorder="1" applyAlignment="1">
      <alignment vertical="center"/>
    </xf>
    <xf numFmtId="167" fontId="3" fillId="7" borderId="19" xfId="6" applyNumberFormat="1" applyFont="1" applyFill="1" applyBorder="1" applyAlignment="1">
      <alignment horizontal="center" vertical="center"/>
    </xf>
    <xf numFmtId="164" fontId="33" fillId="7" borderId="157" xfId="6" applyNumberFormat="1" applyFont="1" applyFill="1" applyBorder="1" applyAlignment="1">
      <alignment vertical="center"/>
    </xf>
    <xf numFmtId="0" fontId="9" fillId="2" borderId="34" xfId="0" applyFont="1" applyFill="1" applyBorder="1" applyAlignment="1">
      <alignment horizontal="center" vertical="center"/>
    </xf>
    <xf numFmtId="0" fontId="9" fillId="2" borderId="34" xfId="0" applyFont="1" applyFill="1" applyBorder="1" applyAlignment="1">
      <alignment vertical="center"/>
    </xf>
    <xf numFmtId="165" fontId="9" fillId="2" borderId="34" xfId="1" applyNumberFormat="1" applyFont="1" applyFill="1" applyBorder="1" applyAlignment="1">
      <alignment vertical="center"/>
    </xf>
    <xf numFmtId="165" fontId="9" fillId="2" borderId="33" xfId="1" applyNumberFormat="1" applyFont="1" applyFill="1" applyBorder="1" applyAlignment="1">
      <alignment vertical="center"/>
    </xf>
    <xf numFmtId="165" fontId="9" fillId="2" borderId="69" xfId="1" applyNumberFormat="1" applyFont="1" applyFill="1" applyBorder="1" applyAlignment="1">
      <alignment vertical="center"/>
    </xf>
    <xf numFmtId="0" fontId="9" fillId="2" borderId="33" xfId="0" applyFont="1" applyFill="1" applyBorder="1" applyAlignment="1">
      <alignment horizontal="center" vertical="center"/>
    </xf>
    <xf numFmtId="0" fontId="9" fillId="2" borderId="69" xfId="0" applyFont="1" applyFill="1" applyBorder="1" applyAlignment="1">
      <alignment horizontal="center" vertical="center"/>
    </xf>
    <xf numFmtId="165" fontId="9" fillId="2" borderId="206" xfId="1" applyNumberFormat="1" applyFont="1" applyFill="1" applyBorder="1" applyAlignment="1">
      <alignment vertical="center"/>
    </xf>
    <xf numFmtId="0" fontId="9" fillId="2" borderId="65" xfId="0" applyFont="1" applyFill="1" applyBorder="1" applyAlignment="1">
      <alignment horizontal="center" vertical="center"/>
    </xf>
    <xf numFmtId="164" fontId="9" fillId="2" borderId="66" xfId="5" applyNumberFormat="1" applyFont="1" applyFill="1" applyBorder="1" applyAlignment="1">
      <alignment vertical="center"/>
    </xf>
    <xf numFmtId="164" fontId="9" fillId="2" borderId="66" xfId="0" applyNumberFormat="1" applyFont="1" applyFill="1" applyBorder="1" applyAlignment="1">
      <alignment vertical="center"/>
    </xf>
    <xf numFmtId="9" fontId="9" fillId="2" borderId="102" xfId="2" applyFont="1" applyFill="1" applyBorder="1" applyAlignment="1">
      <alignment vertical="center"/>
    </xf>
    <xf numFmtId="165" fontId="9" fillId="2" borderId="65" xfId="1" applyNumberFormat="1" applyFont="1" applyFill="1" applyBorder="1" applyAlignment="1">
      <alignment vertical="center"/>
    </xf>
    <xf numFmtId="165" fontId="9" fillId="2" borderId="66" xfId="1" applyNumberFormat="1" applyFont="1" applyFill="1" applyBorder="1" applyAlignment="1">
      <alignment vertical="center"/>
    </xf>
    <xf numFmtId="165" fontId="9" fillId="2" borderId="205" xfId="1" applyNumberFormat="1" applyFont="1" applyFill="1" applyBorder="1" applyAlignment="1">
      <alignment vertical="center"/>
    </xf>
    <xf numFmtId="171" fontId="9" fillId="2" borderId="34" xfId="2" applyNumberFormat="1" applyFont="1" applyFill="1" applyBorder="1" applyAlignment="1">
      <alignment vertical="center"/>
    </xf>
    <xf numFmtId="167" fontId="9" fillId="2" borderId="205" xfId="2" applyNumberFormat="1" applyFont="1" applyFill="1" applyBorder="1" applyAlignment="1">
      <alignment vertical="center"/>
    </xf>
    <xf numFmtId="9" fontId="9" fillId="2" borderId="206" xfId="2" applyFont="1" applyFill="1" applyBorder="1" applyAlignment="1">
      <alignment vertical="center"/>
    </xf>
    <xf numFmtId="9" fontId="9" fillId="2" borderId="34" xfId="2" applyFont="1" applyFill="1" applyBorder="1" applyAlignment="1">
      <alignment vertical="center"/>
    </xf>
    <xf numFmtId="9" fontId="9" fillId="2" borderId="142" xfId="2" applyFont="1" applyFill="1" applyBorder="1" applyAlignment="1">
      <alignment vertical="center"/>
    </xf>
    <xf numFmtId="167" fontId="9" fillId="2" borderId="33" xfId="2" applyNumberFormat="1" applyFont="1" applyFill="1" applyBorder="1" applyAlignment="1">
      <alignment vertical="center"/>
    </xf>
    <xf numFmtId="167" fontId="9" fillId="2" borderId="34" xfId="2" applyNumberFormat="1" applyFont="1" applyFill="1" applyBorder="1" applyAlignment="1">
      <alignment vertical="center"/>
    </xf>
    <xf numFmtId="9" fontId="9" fillId="2" borderId="101" xfId="2" applyFont="1" applyFill="1" applyBorder="1" applyAlignment="1">
      <alignment vertical="center"/>
    </xf>
    <xf numFmtId="9" fontId="9" fillId="2" borderId="69" xfId="2" applyFont="1" applyFill="1" applyBorder="1" applyAlignment="1">
      <alignment vertical="center"/>
    </xf>
    <xf numFmtId="164" fontId="9" fillId="2" borderId="33" xfId="0" applyNumberFormat="1" applyFont="1" applyFill="1" applyBorder="1" applyAlignment="1">
      <alignment vertical="center"/>
    </xf>
    <xf numFmtId="164" fontId="9" fillId="2" borderId="34" xfId="0" applyNumberFormat="1" applyFont="1" applyFill="1" applyBorder="1" applyAlignment="1">
      <alignment vertical="center"/>
    </xf>
    <xf numFmtId="165" fontId="9" fillId="2" borderId="33" xfId="0" applyNumberFormat="1" applyFont="1" applyFill="1" applyBorder="1" applyAlignment="1">
      <alignment vertical="center"/>
    </xf>
    <xf numFmtId="165" fontId="9" fillId="2" borderId="34" xfId="0" applyNumberFormat="1" applyFont="1" applyFill="1" applyBorder="1" applyAlignment="1">
      <alignment vertical="center"/>
    </xf>
    <xf numFmtId="165" fontId="9" fillId="2" borderId="69" xfId="0" applyNumberFormat="1" applyFont="1" applyFill="1" applyBorder="1" applyAlignment="1">
      <alignment vertical="center"/>
    </xf>
    <xf numFmtId="1" fontId="9" fillId="2" borderId="33" xfId="2" applyNumberFormat="1" applyFont="1" applyFill="1" applyBorder="1" applyAlignment="1">
      <alignment horizontal="center" vertical="center"/>
    </xf>
    <xf numFmtId="165" fontId="9" fillId="2" borderId="115" xfId="1" applyNumberFormat="1" applyFont="1" applyFill="1" applyBorder="1" applyAlignment="1">
      <alignment vertical="center"/>
    </xf>
    <xf numFmtId="9" fontId="9" fillId="2" borderId="66" xfId="2" applyFont="1" applyFill="1" applyBorder="1" applyAlignment="1">
      <alignment vertical="center"/>
    </xf>
    <xf numFmtId="1" fontId="9" fillId="2" borderId="34" xfId="2" applyNumberFormat="1" applyFont="1" applyFill="1" applyBorder="1" applyAlignment="1">
      <alignment horizontal="center" vertical="center"/>
    </xf>
    <xf numFmtId="1" fontId="9" fillId="2" borderId="324" xfId="2" applyNumberFormat="1" applyFont="1" applyFill="1" applyBorder="1" applyAlignment="1">
      <alignment horizontal="center" vertical="center"/>
    </xf>
    <xf numFmtId="165" fontId="43" fillId="2" borderId="34" xfId="0" applyNumberFormat="1" applyFont="1" applyFill="1" applyBorder="1" applyAlignment="1">
      <alignment vertical="center"/>
    </xf>
    <xf numFmtId="9" fontId="43" fillId="2" borderId="34" xfId="2" applyFont="1" applyFill="1" applyBorder="1" applyAlignment="1">
      <alignment vertical="center"/>
    </xf>
    <xf numFmtId="9" fontId="9" fillId="2" borderId="69" xfId="2" applyFont="1" applyFill="1" applyBorder="1" applyAlignment="1">
      <alignment horizontal="center" vertical="center"/>
    </xf>
    <xf numFmtId="165" fontId="9" fillId="2" borderId="129" xfId="1" applyNumberFormat="1" applyFont="1" applyFill="1" applyBorder="1" applyAlignment="1">
      <alignment vertical="center"/>
    </xf>
    <xf numFmtId="165" fontId="9" fillId="2" borderId="137" xfId="1" applyNumberFormat="1" applyFont="1" applyFill="1" applyBorder="1" applyAlignment="1">
      <alignment vertical="center"/>
    </xf>
    <xf numFmtId="9" fontId="9" fillId="2" borderId="138" xfId="2" applyFont="1" applyFill="1" applyBorder="1" applyAlignment="1">
      <alignment vertical="center"/>
    </xf>
    <xf numFmtId="165" fontId="32" fillId="2" borderId="117" xfId="0" applyNumberFormat="1" applyFont="1" applyFill="1" applyBorder="1" applyAlignment="1">
      <alignment vertical="center"/>
    </xf>
    <xf numFmtId="165" fontId="57" fillId="2" borderId="37" xfId="1" applyNumberFormat="1" applyFont="1" applyFill="1" applyBorder="1" applyAlignment="1">
      <alignment horizontal="center" vertical="center"/>
    </xf>
    <xf numFmtId="9" fontId="6" fillId="31" borderId="18" xfId="2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right"/>
    </xf>
    <xf numFmtId="164" fontId="13" fillId="2" borderId="1" xfId="6" applyNumberFormat="1" applyFont="1" applyFill="1" applyBorder="1" applyAlignment="1">
      <alignment horizontal="center" vertical="center" wrapText="1"/>
    </xf>
    <xf numFmtId="165" fontId="93" fillId="2" borderId="15" xfId="6" applyNumberFormat="1" applyFont="1" applyFill="1" applyBorder="1" applyAlignment="1">
      <alignment vertical="center"/>
    </xf>
    <xf numFmtId="164" fontId="0" fillId="2" borderId="20" xfId="0" applyNumberFormat="1" applyFill="1" applyBorder="1" applyAlignment="1">
      <alignment vertical="center"/>
    </xf>
    <xf numFmtId="0" fontId="20" fillId="34" borderId="0" xfId="0" applyFont="1" applyFill="1" applyBorder="1"/>
    <xf numFmtId="9" fontId="34" fillId="34" borderId="10" xfId="2" applyFont="1" applyFill="1" applyBorder="1" applyAlignment="1">
      <alignment horizontal="center" vertical="center" wrapText="1"/>
    </xf>
    <xf numFmtId="0" fontId="34" fillId="34" borderId="6" xfId="0" applyFont="1" applyFill="1" applyBorder="1" applyAlignment="1">
      <alignment horizontal="center" vertical="center" wrapText="1"/>
    </xf>
    <xf numFmtId="9" fontId="34" fillId="34" borderId="0" xfId="2" applyFont="1" applyFill="1" applyBorder="1" applyAlignment="1">
      <alignment horizontal="center" vertical="center" wrapText="1"/>
    </xf>
    <xf numFmtId="0" fontId="37" fillId="34" borderId="0" xfId="0" applyFont="1" applyFill="1" applyBorder="1"/>
    <xf numFmtId="0" fontId="6" fillId="34" borderId="14" xfId="0" applyFont="1" applyFill="1" applyBorder="1" applyAlignment="1">
      <alignment horizontal="center" vertical="center" wrapText="1"/>
    </xf>
    <xf numFmtId="164" fontId="6" fillId="34" borderId="15" xfId="6" applyNumberFormat="1" applyFont="1" applyFill="1" applyBorder="1" applyAlignment="1">
      <alignment horizontal="center" vertical="center" wrapText="1"/>
    </xf>
    <xf numFmtId="0" fontId="6" fillId="34" borderId="15" xfId="0" applyFont="1" applyFill="1" applyBorder="1" applyAlignment="1">
      <alignment horizontal="center" vertical="center"/>
    </xf>
    <xf numFmtId="164" fontId="6" fillId="34" borderId="16" xfId="6" applyNumberFormat="1" applyFont="1" applyFill="1" applyBorder="1" applyAlignment="1">
      <alignment horizontal="center" vertical="center" wrapText="1"/>
    </xf>
    <xf numFmtId="0" fontId="6" fillId="34" borderId="15" xfId="0" applyFont="1" applyFill="1" applyBorder="1" applyAlignment="1">
      <alignment horizontal="center" vertical="center" wrapText="1"/>
    </xf>
    <xf numFmtId="0" fontId="6" fillId="34" borderId="17" xfId="0" applyFont="1" applyFill="1" applyBorder="1" applyAlignment="1">
      <alignment horizontal="center" vertical="center"/>
    </xf>
    <xf numFmtId="0" fontId="6" fillId="34" borderId="15" xfId="0" applyFont="1" applyFill="1" applyBorder="1" applyAlignment="1">
      <alignment vertical="center"/>
    </xf>
    <xf numFmtId="9" fontId="6" fillId="34" borderId="15" xfId="2" applyFont="1" applyFill="1" applyBorder="1" applyAlignment="1">
      <alignment horizontal="center" vertical="center" wrapText="1"/>
    </xf>
    <xf numFmtId="0" fontId="38" fillId="34" borderId="0" xfId="0" applyFont="1" applyFill="1" applyBorder="1" applyAlignment="1">
      <alignment vertical="center"/>
    </xf>
    <xf numFmtId="164" fontId="6" fillId="34" borderId="215" xfId="6" applyNumberFormat="1" applyFont="1" applyFill="1" applyBorder="1" applyAlignment="1">
      <alignment horizontal="center" vertical="center" wrapText="1"/>
    </xf>
    <xf numFmtId="0" fontId="6" fillId="34" borderId="221" xfId="0" applyFont="1" applyFill="1" applyBorder="1" applyAlignment="1">
      <alignment horizontal="center" vertical="center"/>
    </xf>
    <xf numFmtId="164" fontId="9" fillId="2" borderId="0" xfId="0" applyNumberFormat="1" applyFont="1" applyFill="1" applyBorder="1" applyAlignment="1">
      <alignment vertical="center"/>
    </xf>
    <xf numFmtId="165" fontId="15" fillId="2" borderId="15" xfId="6" applyNumberFormat="1" applyFont="1" applyFill="1" applyBorder="1" applyAlignment="1">
      <alignment vertical="center"/>
    </xf>
    <xf numFmtId="0" fontId="54" fillId="34" borderId="19" xfId="0" applyFont="1" applyFill="1" applyBorder="1" applyAlignment="1"/>
    <xf numFmtId="0" fontId="54" fillId="34" borderId="20" xfId="0" applyFont="1" applyFill="1" applyBorder="1" applyAlignment="1">
      <alignment horizontal="right"/>
    </xf>
    <xf numFmtId="0" fontId="2" fillId="34" borderId="14" xfId="0" applyFont="1" applyFill="1" applyBorder="1"/>
    <xf numFmtId="164" fontId="2" fillId="34" borderId="15" xfId="6" applyNumberFormat="1" applyFont="1" applyFill="1" applyBorder="1"/>
    <xf numFmtId="0" fontId="2" fillId="34" borderId="15" xfId="0" applyFont="1" applyFill="1" applyBorder="1"/>
    <xf numFmtId="164" fontId="2" fillId="34" borderId="20" xfId="6" applyNumberFormat="1" applyFont="1" applyFill="1" applyBorder="1"/>
    <xf numFmtId="9" fontId="2" fillId="34" borderId="23" xfId="2" applyFont="1" applyFill="1" applyBorder="1"/>
    <xf numFmtId="0" fontId="2" fillId="34" borderId="19" xfId="0" applyFont="1" applyFill="1" applyBorder="1"/>
    <xf numFmtId="0" fontId="2" fillId="34" borderId="20" xfId="0" applyFont="1" applyFill="1" applyBorder="1"/>
    <xf numFmtId="0" fontId="2" fillId="34" borderId="0" xfId="0" applyFont="1" applyFill="1" applyBorder="1"/>
    <xf numFmtId="9" fontId="2" fillId="34" borderId="15" xfId="2" applyFont="1" applyFill="1" applyBorder="1"/>
    <xf numFmtId="0" fontId="2" fillId="34" borderId="14" xfId="0" applyFont="1" applyFill="1" applyBorder="1" applyAlignment="1">
      <alignment horizontal="center"/>
    </xf>
    <xf numFmtId="0" fontId="2" fillId="38" borderId="361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vertical="center"/>
    </xf>
    <xf numFmtId="0" fontId="2" fillId="38" borderId="0" xfId="0" applyFont="1" applyFill="1" applyBorder="1" applyAlignment="1">
      <alignment vertical="center"/>
    </xf>
    <xf numFmtId="0" fontId="2" fillId="38" borderId="0" xfId="0" applyFont="1" applyFill="1" applyAlignment="1">
      <alignment vertical="center"/>
    </xf>
    <xf numFmtId="0" fontId="2" fillId="2" borderId="90" xfId="0" applyFont="1" applyFill="1" applyBorder="1" applyAlignment="1">
      <alignment vertical="center"/>
    </xf>
    <xf numFmtId="0" fontId="6" fillId="38" borderId="15" xfId="0" applyFont="1" applyFill="1" applyBorder="1" applyAlignment="1">
      <alignment horizontal="center" vertical="center"/>
    </xf>
    <xf numFmtId="0" fontId="21" fillId="38" borderId="386" xfId="0" applyFont="1" applyFill="1" applyBorder="1" applyAlignment="1">
      <alignment horizontal="center" vertical="center"/>
    </xf>
    <xf numFmtId="9" fontId="21" fillId="38" borderId="387" xfId="2" applyFont="1" applyFill="1" applyBorder="1" applyAlignment="1">
      <alignment horizontal="center" vertical="center"/>
    </xf>
    <xf numFmtId="0" fontId="21" fillId="38" borderId="387" xfId="0" applyFont="1" applyFill="1" applyBorder="1" applyAlignment="1">
      <alignment horizontal="center" vertical="center"/>
    </xf>
    <xf numFmtId="164" fontId="21" fillId="38" borderId="386" xfId="6" applyNumberFormat="1" applyFont="1" applyFill="1" applyBorder="1" applyAlignment="1">
      <alignment horizontal="center" vertical="center"/>
    </xf>
    <xf numFmtId="166" fontId="21" fillId="38" borderId="386" xfId="6" applyFont="1" applyFill="1" applyBorder="1" applyAlignment="1">
      <alignment horizontal="center" vertical="center"/>
    </xf>
    <xf numFmtId="0" fontId="21" fillId="38" borderId="388" xfId="0" applyFont="1" applyFill="1" applyBorder="1" applyAlignment="1">
      <alignment horizontal="center" vertical="center"/>
    </xf>
    <xf numFmtId="0" fontId="21" fillId="38" borderId="389" xfId="0" applyFont="1" applyFill="1" applyBorder="1" applyAlignment="1">
      <alignment horizontal="center" vertical="center"/>
    </xf>
    <xf numFmtId="0" fontId="21" fillId="38" borderId="390" xfId="0" applyFont="1" applyFill="1" applyBorder="1" applyAlignment="1">
      <alignment horizontal="center" vertical="center"/>
    </xf>
    <xf numFmtId="164" fontId="21" fillId="38" borderId="15" xfId="6" applyNumberFormat="1" applyFont="1" applyFill="1" applyBorder="1" applyAlignment="1">
      <alignment horizontal="center" vertical="center"/>
    </xf>
    <xf numFmtId="0" fontId="21" fillId="38" borderId="14" xfId="0" applyFont="1" applyFill="1" applyBorder="1" applyAlignment="1">
      <alignment horizontal="center" vertical="center"/>
    </xf>
    <xf numFmtId="9" fontId="21" fillId="38" borderId="18" xfId="2" applyFont="1" applyFill="1" applyBorder="1" applyAlignment="1">
      <alignment horizontal="center" vertical="center"/>
    </xf>
    <xf numFmtId="164" fontId="21" fillId="38" borderId="14" xfId="6" applyNumberFormat="1" applyFont="1" applyFill="1" applyBorder="1" applyAlignment="1">
      <alignment horizontal="center" vertical="center"/>
    </xf>
    <xf numFmtId="0" fontId="21" fillId="38" borderId="18" xfId="0" applyFont="1" applyFill="1" applyBorder="1" applyAlignment="1">
      <alignment horizontal="center" vertical="center"/>
    </xf>
    <xf numFmtId="0" fontId="21" fillId="38" borderId="15" xfId="0" applyFont="1" applyFill="1" applyBorder="1" applyAlignment="1">
      <alignment horizontal="center" vertical="center"/>
    </xf>
    <xf numFmtId="164" fontId="21" fillId="38" borderId="98" xfId="6" applyNumberFormat="1" applyFont="1" applyFill="1" applyBorder="1" applyAlignment="1">
      <alignment horizontal="center" vertical="center"/>
    </xf>
    <xf numFmtId="164" fontId="21" fillId="38" borderId="296" xfId="6" applyNumberFormat="1" applyFont="1" applyFill="1" applyBorder="1" applyAlignment="1">
      <alignment horizontal="center" vertical="center"/>
    </xf>
    <xf numFmtId="166" fontId="21" fillId="38" borderId="296" xfId="6" applyFont="1" applyFill="1" applyBorder="1" applyAlignment="1">
      <alignment horizontal="center" vertical="center"/>
    </xf>
    <xf numFmtId="9" fontId="21" fillId="38" borderId="391" xfId="2" applyFont="1" applyFill="1" applyBorder="1" applyAlignment="1">
      <alignment horizontal="center" vertical="center"/>
    </xf>
    <xf numFmtId="0" fontId="21" fillId="38" borderId="296" xfId="0" applyFont="1" applyFill="1" applyBorder="1" applyAlignment="1">
      <alignment horizontal="center" vertical="center"/>
    </xf>
    <xf numFmtId="0" fontId="21" fillId="38" borderId="391" xfId="0" applyFont="1" applyFill="1" applyBorder="1" applyAlignment="1">
      <alignment horizontal="center" vertical="center"/>
    </xf>
    <xf numFmtId="9" fontId="21" fillId="38" borderId="297" xfId="2" applyFont="1" applyFill="1" applyBorder="1" applyAlignment="1">
      <alignment horizontal="center" vertical="center"/>
    </xf>
    <xf numFmtId="0" fontId="21" fillId="38" borderId="298" xfId="0" applyFont="1" applyFill="1" applyBorder="1" applyAlignment="1">
      <alignment horizontal="center" vertical="center"/>
    </xf>
    <xf numFmtId="0" fontId="21" fillId="38" borderId="392" xfId="0" applyFont="1" applyFill="1" applyBorder="1" applyAlignment="1">
      <alignment horizontal="center" vertical="center"/>
    </xf>
    <xf numFmtId="164" fontId="21" fillId="38" borderId="51" xfId="6" applyNumberFormat="1" applyFont="1" applyFill="1" applyBorder="1" applyAlignment="1">
      <alignment horizontal="center" vertical="center"/>
    </xf>
    <xf numFmtId="0" fontId="21" fillId="38" borderId="136" xfId="0" applyFont="1" applyFill="1" applyBorder="1" applyAlignment="1">
      <alignment horizontal="center" vertical="center"/>
    </xf>
    <xf numFmtId="0" fontId="21" fillId="38" borderId="385" xfId="0" applyFont="1" applyFill="1" applyBorder="1" applyAlignment="1">
      <alignment horizontal="center" vertical="center"/>
    </xf>
    <xf numFmtId="9" fontId="21" fillId="38" borderId="389" xfId="2" applyFont="1" applyFill="1" applyBorder="1" applyAlignment="1">
      <alignment horizontal="center" vertical="center"/>
    </xf>
    <xf numFmtId="164" fontId="21" fillId="38" borderId="393" xfId="6" applyNumberFormat="1" applyFont="1" applyFill="1" applyBorder="1" applyAlignment="1">
      <alignment horizontal="center" vertical="center"/>
    </xf>
    <xf numFmtId="0" fontId="21" fillId="38" borderId="394" xfId="0" applyFont="1" applyFill="1" applyBorder="1" applyAlignment="1">
      <alignment horizontal="center" vertical="center"/>
    </xf>
    <xf numFmtId="0" fontId="21" fillId="38" borderId="393" xfId="0" applyFont="1" applyFill="1" applyBorder="1" applyAlignment="1">
      <alignment horizontal="center" vertical="center"/>
    </xf>
    <xf numFmtId="9" fontId="21" fillId="38" borderId="394" xfId="2" applyFont="1" applyFill="1" applyBorder="1" applyAlignment="1">
      <alignment horizontal="center" vertical="center"/>
    </xf>
    <xf numFmtId="166" fontId="21" fillId="38" borderId="15" xfId="6" applyFont="1" applyFill="1" applyBorder="1" applyAlignment="1">
      <alignment horizontal="center" vertical="center"/>
    </xf>
    <xf numFmtId="9" fontId="21" fillId="38" borderId="15" xfId="2" applyFont="1" applyFill="1" applyBorder="1" applyAlignment="1">
      <alignment horizontal="center" vertical="center"/>
    </xf>
    <xf numFmtId="0" fontId="21" fillId="38" borderId="383" xfId="0" applyFont="1" applyFill="1" applyBorder="1" applyAlignment="1">
      <alignment horizontal="center" vertical="center"/>
    </xf>
    <xf numFmtId="164" fontId="21" fillId="38" borderId="383" xfId="6" applyNumberFormat="1" applyFont="1" applyFill="1" applyBorder="1" applyAlignment="1">
      <alignment horizontal="center" vertical="center"/>
    </xf>
    <xf numFmtId="164" fontId="21" fillId="38" borderId="395" xfId="6" applyNumberFormat="1" applyFont="1" applyFill="1" applyBorder="1" applyAlignment="1">
      <alignment horizontal="center" vertical="center"/>
    </xf>
    <xf numFmtId="0" fontId="21" fillId="38" borderId="396" xfId="0" applyFont="1" applyFill="1" applyBorder="1" applyAlignment="1">
      <alignment horizontal="center" vertical="center"/>
    </xf>
    <xf numFmtId="164" fontId="21" fillId="38" borderId="397" xfId="6" applyNumberFormat="1" applyFont="1" applyFill="1" applyBorder="1" applyAlignment="1">
      <alignment horizontal="center" vertical="center"/>
    </xf>
    <xf numFmtId="164" fontId="21" fillId="38" borderId="398" xfId="6" applyNumberFormat="1" applyFont="1" applyFill="1" applyBorder="1" applyAlignment="1">
      <alignment horizontal="center" vertical="center"/>
    </xf>
    <xf numFmtId="9" fontId="21" fillId="38" borderId="399" xfId="2" applyFont="1" applyFill="1" applyBorder="1" applyAlignment="1">
      <alignment horizontal="center" vertical="center"/>
    </xf>
    <xf numFmtId="164" fontId="21" fillId="38" borderId="400" xfId="6" applyNumberFormat="1" applyFont="1" applyFill="1" applyBorder="1" applyAlignment="1">
      <alignment horizontal="center" vertical="center"/>
    </xf>
    <xf numFmtId="0" fontId="21" fillId="38" borderId="399" xfId="0" applyFont="1" applyFill="1" applyBorder="1" applyAlignment="1">
      <alignment horizontal="center" vertical="center"/>
    </xf>
    <xf numFmtId="0" fontId="21" fillId="38" borderId="397" xfId="0" applyFont="1" applyFill="1" applyBorder="1" applyAlignment="1">
      <alignment horizontal="center" vertical="center"/>
    </xf>
    <xf numFmtId="9" fontId="21" fillId="38" borderId="401" xfId="2" applyFont="1" applyFill="1" applyBorder="1" applyAlignment="1">
      <alignment horizontal="center" vertical="center"/>
    </xf>
    <xf numFmtId="9" fontId="21" fillId="38" borderId="384" xfId="2" applyFont="1" applyFill="1" applyBorder="1" applyAlignment="1">
      <alignment horizontal="center" vertical="center"/>
    </xf>
    <xf numFmtId="164" fontId="21" fillId="38" borderId="382" xfId="6" applyNumberFormat="1" applyFont="1" applyFill="1" applyBorder="1" applyAlignment="1">
      <alignment horizontal="center" vertical="center"/>
    </xf>
    <xf numFmtId="0" fontId="21" fillId="38" borderId="384" xfId="0" applyFont="1" applyFill="1" applyBorder="1" applyAlignment="1">
      <alignment horizontal="center" vertical="center"/>
    </xf>
    <xf numFmtId="0" fontId="21" fillId="38" borderId="382" xfId="0" applyFont="1" applyFill="1" applyBorder="1" applyAlignment="1">
      <alignment horizontal="center" vertical="center"/>
    </xf>
    <xf numFmtId="9" fontId="21" fillId="38" borderId="383" xfId="2" applyFont="1" applyFill="1" applyBorder="1" applyAlignment="1">
      <alignment horizontal="center" vertical="center"/>
    </xf>
    <xf numFmtId="0" fontId="21" fillId="38" borderId="0" xfId="0" applyFont="1" applyFill="1" applyAlignment="1">
      <alignment horizontal="center" vertical="center"/>
    </xf>
    <xf numFmtId="164" fontId="21" fillId="38" borderId="0" xfId="6" applyNumberFormat="1" applyFont="1" applyFill="1" applyBorder="1" applyAlignment="1">
      <alignment horizontal="center" vertical="center"/>
    </xf>
    <xf numFmtId="9" fontId="21" fillId="38" borderId="10" xfId="2" applyFont="1" applyFill="1" applyBorder="1" applyAlignment="1">
      <alignment horizontal="center" vertical="center"/>
    </xf>
    <xf numFmtId="0" fontId="21" fillId="38" borderId="10" xfId="0" applyFont="1" applyFill="1" applyBorder="1" applyAlignment="1">
      <alignment horizontal="center" vertical="center"/>
    </xf>
    <xf numFmtId="0" fontId="21" fillId="38" borderId="0" xfId="0" applyFont="1" applyFill="1" applyBorder="1" applyAlignment="1">
      <alignment horizontal="center" vertical="center"/>
    </xf>
    <xf numFmtId="164" fontId="21" fillId="38" borderId="6" xfId="6" applyNumberFormat="1" applyFont="1" applyFill="1" applyBorder="1" applyAlignment="1">
      <alignment horizontal="center" vertical="center"/>
    </xf>
    <xf numFmtId="9" fontId="21" fillId="38" borderId="0" xfId="2" applyFont="1" applyFill="1" applyBorder="1" applyAlignment="1">
      <alignment horizontal="center" vertical="center"/>
    </xf>
    <xf numFmtId="0" fontId="21" fillId="38" borderId="6" xfId="0" applyFont="1" applyFill="1" applyBorder="1" applyAlignment="1">
      <alignment horizontal="center" vertical="center"/>
    </xf>
    <xf numFmtId="0" fontId="21" fillId="2" borderId="90" xfId="0" applyFont="1" applyFill="1" applyBorder="1" applyAlignment="1">
      <alignment horizontal="center" vertical="center"/>
    </xf>
    <xf numFmtId="0" fontId="40" fillId="38" borderId="10" xfId="0" applyFont="1" applyFill="1" applyBorder="1" applyAlignment="1">
      <alignment horizontal="center" vertical="center"/>
    </xf>
    <xf numFmtId="164" fontId="40" fillId="38" borderId="0" xfId="6" applyNumberFormat="1" applyFont="1" applyFill="1" applyBorder="1" applyAlignment="1">
      <alignment horizontal="center" vertical="center"/>
    </xf>
    <xf numFmtId="167" fontId="12" fillId="2" borderId="33" xfId="6" applyNumberFormat="1" applyFont="1" applyFill="1" applyBorder="1" applyAlignment="1">
      <alignment horizontal="center" vertical="center"/>
    </xf>
    <xf numFmtId="167" fontId="12" fillId="2" borderId="33" xfId="8" applyNumberFormat="1" applyFont="1" applyFill="1" applyBorder="1" applyAlignment="1">
      <alignment horizontal="center" vertical="center"/>
    </xf>
    <xf numFmtId="165" fontId="12" fillId="2" borderId="34" xfId="8" applyNumberFormat="1" applyFont="1" applyFill="1" applyBorder="1" applyAlignment="1">
      <alignment vertical="center"/>
    </xf>
    <xf numFmtId="166" fontId="12" fillId="0" borderId="71" xfId="6" applyFont="1" applyFill="1" applyBorder="1" applyAlignment="1">
      <alignment vertical="center"/>
    </xf>
    <xf numFmtId="164" fontId="26" fillId="2" borderId="70" xfId="6" applyNumberFormat="1" applyFont="1" applyFill="1" applyBorder="1" applyAlignment="1">
      <alignment horizontal="center" vertical="center"/>
    </xf>
    <xf numFmtId="164" fontId="25" fillId="2" borderId="67" xfId="0" applyNumberFormat="1" applyFont="1" applyFill="1" applyBorder="1" applyAlignment="1">
      <alignment vertical="center"/>
    </xf>
    <xf numFmtId="9" fontId="25" fillId="2" borderId="71" xfId="2" applyFont="1" applyFill="1" applyBorder="1" applyAlignment="1">
      <alignment horizontal="center" vertical="center"/>
    </xf>
    <xf numFmtId="164" fontId="26" fillId="0" borderId="70" xfId="6" applyNumberFormat="1" applyFont="1" applyFill="1" applyBorder="1" applyAlignment="1">
      <alignment horizontal="center" vertical="center"/>
    </xf>
    <xf numFmtId="164" fontId="26" fillId="0" borderId="56" xfId="0" applyNumberFormat="1" applyFont="1" applyFill="1" applyBorder="1" applyAlignment="1">
      <alignment vertical="center"/>
    </xf>
    <xf numFmtId="9" fontId="26" fillId="0" borderId="118" xfId="2" applyFont="1" applyFill="1" applyBorder="1" applyAlignment="1">
      <alignment horizontal="center" vertical="center"/>
    </xf>
    <xf numFmtId="49" fontId="26" fillId="2" borderId="70" xfId="6" applyNumberFormat="1" applyFont="1" applyFill="1" applyBorder="1" applyAlignment="1">
      <alignment horizontal="center" vertical="center"/>
    </xf>
    <xf numFmtId="9" fontId="26" fillId="2" borderId="63" xfId="2" applyFont="1" applyFill="1" applyBorder="1" applyAlignment="1">
      <alignment horizontal="center" vertical="center"/>
    </xf>
    <xf numFmtId="164" fontId="26" fillId="2" borderId="70" xfId="6" applyNumberFormat="1" applyFont="1" applyFill="1" applyBorder="1" applyAlignment="1">
      <alignment vertical="center"/>
    </xf>
    <xf numFmtId="167" fontId="26" fillId="2" borderId="70" xfId="6" applyNumberFormat="1" applyFont="1" applyFill="1" applyBorder="1" applyAlignment="1">
      <alignment horizontal="center" vertical="center"/>
    </xf>
    <xf numFmtId="164" fontId="25" fillId="2" borderId="117" xfId="6" applyNumberFormat="1" applyFont="1" applyFill="1" applyBorder="1" applyAlignment="1">
      <alignment horizontal="center" vertical="center"/>
    </xf>
    <xf numFmtId="164" fontId="25" fillId="2" borderId="37" xfId="6" applyNumberFormat="1" applyFont="1" applyFill="1" applyBorder="1" applyAlignment="1">
      <alignment vertical="center"/>
    </xf>
    <xf numFmtId="164" fontId="25" fillId="0" borderId="37" xfId="6" applyNumberFormat="1" applyFont="1" applyFill="1" applyBorder="1" applyAlignment="1">
      <alignment vertical="center"/>
    </xf>
    <xf numFmtId="9" fontId="26" fillId="0" borderId="71" xfId="2" applyFont="1" applyFill="1" applyBorder="1" applyAlignment="1">
      <alignment vertical="center"/>
    </xf>
    <xf numFmtId="9" fontId="25" fillId="2" borderId="63" xfId="2" applyFont="1" applyFill="1" applyBorder="1" applyAlignment="1">
      <alignment vertical="center"/>
    </xf>
    <xf numFmtId="3" fontId="12" fillId="2" borderId="430" xfId="2" applyNumberFormat="1" applyFont="1" applyFill="1" applyBorder="1" applyAlignment="1">
      <alignment horizontal="center" vertical="center"/>
    </xf>
    <xf numFmtId="164" fontId="4" fillId="2" borderId="430" xfId="6" applyNumberFormat="1" applyFont="1" applyFill="1" applyBorder="1" applyAlignment="1"/>
    <xf numFmtId="167" fontId="4" fillId="2" borderId="430" xfId="0" applyNumberFormat="1" applyFont="1" applyFill="1" applyBorder="1" applyAlignment="1">
      <alignment horizontal="center" vertical="center"/>
    </xf>
    <xf numFmtId="0" fontId="4" fillId="2" borderId="349" xfId="0" applyFont="1" applyFill="1" applyBorder="1" applyAlignment="1">
      <alignment vertical="center"/>
    </xf>
    <xf numFmtId="167" fontId="12" fillId="0" borderId="40" xfId="2" applyNumberFormat="1" applyFont="1" applyFill="1" applyBorder="1" applyAlignment="1">
      <alignment horizontal="center" vertical="center"/>
    </xf>
    <xf numFmtId="164" fontId="12" fillId="0" borderId="459" xfId="6" applyNumberFormat="1" applyFont="1" applyFill="1" applyBorder="1" applyAlignment="1">
      <alignment vertical="center"/>
    </xf>
    <xf numFmtId="164" fontId="12" fillId="0" borderId="39" xfId="6" applyNumberFormat="1" applyFont="1" applyFill="1" applyBorder="1" applyAlignment="1">
      <alignment vertical="center"/>
    </xf>
    <xf numFmtId="0" fontId="4" fillId="0" borderId="57" xfId="6" applyNumberFormat="1" applyFont="1" applyFill="1" applyBorder="1" applyAlignment="1">
      <alignment horizontal="center" vertical="center"/>
    </xf>
    <xf numFmtId="169" fontId="4" fillId="10" borderId="283" xfId="6" applyNumberFormat="1" applyFont="1" applyFill="1" applyBorder="1" applyAlignment="1">
      <alignment horizontal="center" vertical="center"/>
    </xf>
    <xf numFmtId="164" fontId="4" fillId="10" borderId="414" xfId="0" applyNumberFormat="1" applyFont="1" applyFill="1" applyBorder="1" applyAlignment="1">
      <alignment vertical="center"/>
    </xf>
    <xf numFmtId="164" fontId="4" fillId="6" borderId="0" xfId="6" applyNumberFormat="1" applyFont="1" applyFill="1" applyBorder="1" applyAlignment="1">
      <alignment vertical="center"/>
    </xf>
    <xf numFmtId="0" fontId="4" fillId="0" borderId="152" xfId="0" applyFont="1" applyFill="1" applyBorder="1" applyAlignment="1">
      <alignment horizontal="left" vertical="center" wrapText="1"/>
    </xf>
    <xf numFmtId="0" fontId="5" fillId="0" borderId="152" xfId="0" applyFont="1" applyFill="1" applyBorder="1" applyAlignment="1">
      <alignment horizontal="center" vertical="center"/>
    </xf>
    <xf numFmtId="9" fontId="4" fillId="0" borderId="0" xfId="2" applyFont="1" applyFill="1" applyBorder="1" applyAlignment="1">
      <alignment horizontal="center" vertical="center"/>
    </xf>
    <xf numFmtId="4" fontId="12" fillId="0" borderId="0" xfId="2" applyNumberFormat="1" applyFont="1" applyFill="1" applyBorder="1" applyAlignment="1">
      <alignment horizontal="center" vertical="center"/>
    </xf>
    <xf numFmtId="166" fontId="4" fillId="0" borderId="0" xfId="6" applyFont="1" applyFill="1" applyBorder="1" applyAlignment="1">
      <alignment horizontal="center" vertical="center"/>
    </xf>
    <xf numFmtId="166" fontId="4" fillId="0" borderId="0" xfId="6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2" applyNumberFormat="1" applyFont="1" applyFill="1" applyBorder="1" applyAlignment="1">
      <alignment horizontal="center" vertical="center"/>
    </xf>
    <xf numFmtId="164" fontId="4" fillId="0" borderId="0" xfId="6" applyNumberFormat="1" applyFont="1" applyFill="1" applyBorder="1" applyAlignment="1">
      <alignment horizontal="right" vertical="center"/>
    </xf>
    <xf numFmtId="164" fontId="4" fillId="0" borderId="0" xfId="2" applyNumberFormat="1" applyFont="1" applyFill="1" applyBorder="1" applyAlignment="1">
      <alignment horizontal="center" vertical="center"/>
    </xf>
    <xf numFmtId="167" fontId="4" fillId="0" borderId="0" xfId="2" applyNumberFormat="1" applyFont="1" applyFill="1" applyBorder="1" applyAlignment="1">
      <alignment horizontal="center" vertical="center"/>
    </xf>
    <xf numFmtId="164" fontId="4" fillId="0" borderId="0" xfId="6" applyNumberFormat="1" applyFont="1" applyFill="1" applyBorder="1" applyAlignment="1">
      <alignment horizontal="center"/>
    </xf>
    <xf numFmtId="166" fontId="12" fillId="0" borderId="0" xfId="6" applyFont="1" applyFill="1" applyBorder="1" applyAlignment="1">
      <alignment horizontal="center" vertical="center"/>
    </xf>
    <xf numFmtId="0" fontId="12" fillId="0" borderId="407" xfId="0" applyFont="1" applyFill="1" applyBorder="1" applyAlignment="1">
      <alignment horizontal="center" vertical="center"/>
    </xf>
    <xf numFmtId="164" fontId="4" fillId="0" borderId="6" xfId="0" applyNumberFormat="1" applyFont="1" applyFill="1" applyBorder="1" applyAlignment="1">
      <alignment vertical="center"/>
    </xf>
    <xf numFmtId="164" fontId="4" fillId="0" borderId="6" xfId="6" applyNumberFormat="1" applyFont="1" applyFill="1" applyBorder="1" applyAlignment="1">
      <alignment vertical="center"/>
    </xf>
    <xf numFmtId="166" fontId="4" fillId="0" borderId="6" xfId="6" applyFont="1" applyFill="1" applyBorder="1" applyAlignment="1">
      <alignment vertical="center"/>
    </xf>
    <xf numFmtId="166" fontId="4" fillId="0" borderId="10" xfId="6" applyFont="1" applyFill="1" applyBorder="1" applyAlignment="1">
      <alignment vertical="center"/>
    </xf>
    <xf numFmtId="0" fontId="4" fillId="0" borderId="462" xfId="0" applyFont="1" applyFill="1" applyBorder="1" applyAlignment="1">
      <alignment vertical="center"/>
    </xf>
    <xf numFmtId="167" fontId="4" fillId="0" borderId="343" xfId="0" applyNumberFormat="1" applyFont="1" applyFill="1" applyBorder="1" applyAlignment="1">
      <alignment horizontal="center" vertical="center"/>
    </xf>
    <xf numFmtId="167" fontId="4" fillId="2" borderId="64" xfId="0" applyNumberFormat="1" applyFont="1" applyFill="1" applyBorder="1" applyAlignment="1">
      <alignment horizontal="center" vertical="center"/>
    </xf>
    <xf numFmtId="3" fontId="4" fillId="2" borderId="64" xfId="0" applyNumberFormat="1" applyFont="1" applyFill="1" applyBorder="1" applyAlignment="1">
      <alignment horizontal="center" vertical="center"/>
    </xf>
    <xf numFmtId="167" fontId="4" fillId="0" borderId="64" xfId="0" applyNumberFormat="1" applyFont="1" applyFill="1" applyBorder="1" applyAlignment="1">
      <alignment horizontal="center" vertical="center"/>
    </xf>
    <xf numFmtId="0" fontId="4" fillId="2" borderId="203" xfId="6" applyNumberFormat="1" applyFont="1" applyFill="1" applyBorder="1" applyAlignment="1">
      <alignment horizontal="center" vertical="center"/>
    </xf>
    <xf numFmtId="166" fontId="12" fillId="0" borderId="118" xfId="6" applyFont="1" applyFill="1" applyBorder="1" applyAlignment="1">
      <alignment horizontal="right" vertical="center"/>
    </xf>
    <xf numFmtId="0" fontId="12" fillId="0" borderId="432" xfId="0" applyFont="1" applyFill="1" applyBorder="1" applyAlignment="1">
      <alignment horizontal="center" vertical="center"/>
    </xf>
    <xf numFmtId="0" fontId="118" fillId="0" borderId="447" xfId="0" applyFont="1" applyFill="1" applyBorder="1" applyAlignment="1">
      <alignment horizontal="center" vertical="center"/>
    </xf>
    <xf numFmtId="166" fontId="118" fillId="0" borderId="107" xfId="6" applyFont="1" applyFill="1" applyBorder="1" applyAlignment="1">
      <alignment horizontal="left" vertical="center" wrapText="1"/>
    </xf>
    <xf numFmtId="164" fontId="119" fillId="0" borderId="107" xfId="6" applyNumberFormat="1" applyFont="1" applyFill="1" applyBorder="1" applyAlignment="1">
      <alignment horizontal="center" vertical="center"/>
    </xf>
    <xf numFmtId="168" fontId="119" fillId="0" borderId="67" xfId="4" applyNumberFormat="1" applyFont="1" applyFill="1" applyBorder="1" applyAlignment="1">
      <alignment horizontal="center" vertical="center"/>
    </xf>
    <xf numFmtId="164" fontId="49" fillId="0" borderId="71" xfId="6" applyNumberFormat="1" applyFont="1" applyFill="1" applyBorder="1" applyAlignment="1">
      <alignment horizontal="center" vertical="center"/>
    </xf>
    <xf numFmtId="164" fontId="49" fillId="0" borderId="0" xfId="6" applyNumberFormat="1" applyFont="1" applyFill="1" applyBorder="1" applyAlignment="1">
      <alignment horizontal="center" vertical="center"/>
    </xf>
    <xf numFmtId="164" fontId="49" fillId="0" borderId="0" xfId="6" applyNumberFormat="1" applyFont="1" applyFill="1" applyBorder="1" applyAlignment="1">
      <alignment vertical="center"/>
    </xf>
    <xf numFmtId="9" fontId="49" fillId="0" borderId="0" xfId="2" applyFont="1" applyFill="1" applyBorder="1" applyAlignment="1">
      <alignment vertical="center"/>
    </xf>
    <xf numFmtId="9" fontId="49" fillId="0" borderId="0" xfId="2" applyFont="1" applyFill="1" applyBorder="1" applyAlignment="1">
      <alignment horizontal="center" vertical="center"/>
    </xf>
    <xf numFmtId="167" fontId="49" fillId="0" borderId="0" xfId="2" applyNumberFormat="1" applyFont="1" applyFill="1" applyBorder="1" applyAlignment="1">
      <alignment horizontal="center" vertical="center"/>
    </xf>
    <xf numFmtId="164" fontId="49" fillId="0" borderId="407" xfId="6" applyNumberFormat="1" applyFont="1" applyFill="1" applyBorder="1" applyAlignment="1">
      <alignment vertical="center"/>
    </xf>
    <xf numFmtId="164" fontId="49" fillId="0" borderId="6" xfId="6" applyNumberFormat="1" applyFont="1" applyFill="1" applyBorder="1" applyAlignment="1">
      <alignment vertical="center"/>
    </xf>
    <xf numFmtId="9" fontId="49" fillId="0" borderId="10" xfId="2" applyFont="1" applyFill="1" applyBorder="1" applyAlignment="1">
      <alignment vertical="center"/>
    </xf>
    <xf numFmtId="164" fontId="49" fillId="0" borderId="10" xfId="6" applyNumberFormat="1" applyFont="1" applyFill="1" applyBorder="1" applyAlignment="1">
      <alignment vertical="center"/>
    </xf>
    <xf numFmtId="164" fontId="49" fillId="0" borderId="6" xfId="6" applyNumberFormat="1" applyFont="1" applyFill="1" applyBorder="1" applyAlignment="1">
      <alignment horizontal="center" vertical="center"/>
    </xf>
    <xf numFmtId="9" fontId="49" fillId="0" borderId="10" xfId="2" applyFont="1" applyFill="1" applyBorder="1" applyAlignment="1">
      <alignment horizontal="center" vertical="center"/>
    </xf>
    <xf numFmtId="164" fontId="94" fillId="0" borderId="6" xfId="6" applyNumberFormat="1" applyFont="1" applyFill="1" applyBorder="1" applyAlignment="1">
      <alignment horizontal="center" vertical="center"/>
    </xf>
    <xf numFmtId="164" fontId="94" fillId="0" borderId="0" xfId="6" applyNumberFormat="1" applyFont="1" applyFill="1" applyBorder="1" applyAlignment="1">
      <alignment vertical="center"/>
    </xf>
    <xf numFmtId="9" fontId="94" fillId="0" borderId="10" xfId="2" applyFont="1" applyFill="1" applyBorder="1" applyAlignment="1">
      <alignment horizontal="center" vertical="center"/>
    </xf>
    <xf numFmtId="1" fontId="49" fillId="2" borderId="435" xfId="2" applyNumberFormat="1" applyFont="1" applyFill="1" applyBorder="1" applyAlignment="1">
      <alignment horizontal="center" vertical="center"/>
    </xf>
    <xf numFmtId="164" fontId="49" fillId="2" borderId="436" xfId="6" applyNumberFormat="1" applyFont="1" applyFill="1" applyBorder="1" applyAlignment="1">
      <alignment horizontal="center" vertical="center"/>
    </xf>
    <xf numFmtId="9" fontId="49" fillId="2" borderId="437" xfId="2" applyFont="1" applyFill="1" applyBorder="1" applyAlignment="1">
      <alignment horizontal="center" vertical="center"/>
    </xf>
    <xf numFmtId="1" fontId="94" fillId="0" borderId="6" xfId="0" applyNumberFormat="1" applyFont="1" applyFill="1" applyBorder="1" applyAlignment="1">
      <alignment horizontal="center" vertical="center"/>
    </xf>
    <xf numFmtId="1" fontId="94" fillId="0" borderId="0" xfId="0" applyNumberFormat="1" applyFont="1" applyFill="1" applyBorder="1" applyAlignment="1">
      <alignment horizontal="center" vertical="center"/>
    </xf>
    <xf numFmtId="164" fontId="94" fillId="0" borderId="0" xfId="0" applyNumberFormat="1" applyFont="1" applyFill="1" applyBorder="1" applyAlignment="1">
      <alignment vertical="center"/>
    </xf>
    <xf numFmtId="9" fontId="94" fillId="0" borderId="10" xfId="2" applyFont="1" applyFill="1" applyBorder="1" applyAlignment="1">
      <alignment vertical="center"/>
    </xf>
    <xf numFmtId="164" fontId="49" fillId="0" borderId="36" xfId="6" applyNumberFormat="1" applyFont="1" applyFill="1" applyBorder="1" applyAlignment="1">
      <alignment horizontal="center" vertical="center"/>
    </xf>
    <xf numFmtId="164" fontId="49" fillId="0" borderId="41" xfId="6" applyNumberFormat="1" applyFont="1" applyFill="1" applyBorder="1" applyAlignment="1">
      <alignment vertical="center"/>
    </xf>
    <xf numFmtId="164" fontId="94" fillId="0" borderId="36" xfId="6" applyNumberFormat="1" applyFont="1" applyFill="1" applyBorder="1" applyAlignment="1">
      <alignment horizontal="center" vertical="center"/>
    </xf>
    <xf numFmtId="164" fontId="94" fillId="0" borderId="41" xfId="6" applyNumberFormat="1" applyFont="1" applyFill="1" applyBorder="1" applyAlignment="1">
      <alignment vertical="center"/>
    </xf>
    <xf numFmtId="164" fontId="94" fillId="0" borderId="64" xfId="6" applyNumberFormat="1" applyFont="1" applyFill="1" applyBorder="1" applyAlignment="1">
      <alignment horizontal="center" vertical="center"/>
    </xf>
    <xf numFmtId="164" fontId="94" fillId="0" borderId="72" xfId="6" applyNumberFormat="1" applyFont="1" applyFill="1" applyBorder="1" applyAlignment="1">
      <alignment vertical="center"/>
    </xf>
    <xf numFmtId="164" fontId="94" fillId="0" borderId="439" xfId="6" applyNumberFormat="1" applyFont="1" applyFill="1" applyBorder="1" applyAlignment="1">
      <alignment vertical="center"/>
    </xf>
    <xf numFmtId="169" fontId="94" fillId="0" borderId="57" xfId="6" applyNumberFormat="1" applyFont="1" applyFill="1" applyBorder="1" applyAlignment="1">
      <alignment horizontal="center" vertical="center"/>
    </xf>
    <xf numFmtId="164" fontId="94" fillId="0" borderId="58" xfId="6" applyNumberFormat="1" applyFont="1" applyFill="1" applyBorder="1" applyAlignment="1">
      <alignment vertical="center"/>
    </xf>
    <xf numFmtId="9" fontId="94" fillId="0" borderId="450" xfId="2" applyFont="1" applyFill="1" applyBorder="1" applyAlignment="1">
      <alignment horizontal="center" vertical="center"/>
    </xf>
    <xf numFmtId="164" fontId="94" fillId="2" borderId="324" xfId="6" applyNumberFormat="1" applyFont="1" applyFill="1" applyBorder="1" applyAlignment="1">
      <alignment vertical="center"/>
    </xf>
    <xf numFmtId="164" fontId="94" fillId="2" borderId="34" xfId="6" applyNumberFormat="1" applyFont="1" applyFill="1" applyBorder="1" applyAlignment="1">
      <alignment vertical="center"/>
    </xf>
    <xf numFmtId="164" fontId="49" fillId="0" borderId="462" xfId="6" applyNumberFormat="1" applyFont="1" applyFill="1" applyBorder="1" applyAlignment="1">
      <alignment vertical="center"/>
    </xf>
    <xf numFmtId="164" fontId="94" fillId="0" borderId="283" xfId="6" applyNumberFormat="1" applyFont="1" applyFill="1" applyBorder="1" applyAlignment="1">
      <alignment horizontal="center" vertical="center"/>
    </xf>
    <xf numFmtId="164" fontId="94" fillId="0" borderId="284" xfId="0" applyNumberFormat="1" applyFont="1" applyFill="1" applyBorder="1" applyAlignment="1">
      <alignment vertical="center"/>
    </xf>
    <xf numFmtId="9" fontId="94" fillId="0" borderId="413" xfId="2" applyFont="1" applyFill="1" applyBorder="1" applyAlignment="1">
      <alignment vertical="center"/>
    </xf>
    <xf numFmtId="164" fontId="94" fillId="0" borderId="0" xfId="6" applyNumberFormat="1" applyFont="1" applyFill="1" applyBorder="1" applyAlignment="1">
      <alignment horizontal="center" vertical="center"/>
    </xf>
    <xf numFmtId="164" fontId="94" fillId="0" borderId="414" xfId="6" applyNumberFormat="1" applyFont="1" applyFill="1" applyBorder="1" applyAlignment="1">
      <alignment horizontal="center" vertical="center"/>
    </xf>
    <xf numFmtId="164" fontId="94" fillId="0" borderId="266" xfId="6" applyNumberFormat="1" applyFont="1" applyFill="1" applyBorder="1" applyAlignment="1">
      <alignment horizontal="center" vertical="center"/>
    </xf>
    <xf numFmtId="164" fontId="94" fillId="0" borderId="446" xfId="0" applyNumberFormat="1" applyFont="1" applyFill="1" applyBorder="1" applyAlignment="1">
      <alignment vertical="center"/>
    </xf>
    <xf numFmtId="1" fontId="94" fillId="0" borderId="266" xfId="0" applyNumberFormat="1" applyFont="1" applyFill="1" applyBorder="1" applyAlignment="1">
      <alignment horizontal="center" vertical="center"/>
    </xf>
    <xf numFmtId="9" fontId="94" fillId="0" borderId="413" xfId="2" applyFont="1" applyFill="1" applyBorder="1" applyAlignment="1">
      <alignment horizontal="center" vertical="center"/>
    </xf>
    <xf numFmtId="167" fontId="94" fillId="0" borderId="343" xfId="6" applyNumberFormat="1" applyFont="1" applyFill="1" applyBorder="1" applyAlignment="1">
      <alignment horizontal="center" vertical="center"/>
    </xf>
    <xf numFmtId="164" fontId="94" fillId="0" borderId="456" xfId="6" applyNumberFormat="1" applyFont="1" applyFill="1" applyBorder="1" applyAlignment="1">
      <alignment vertical="center"/>
    </xf>
    <xf numFmtId="166" fontId="94" fillId="0" borderId="482" xfId="6" applyFont="1" applyFill="1" applyBorder="1" applyAlignment="1">
      <alignment horizontal="center" vertical="center"/>
    </xf>
    <xf numFmtId="164" fontId="94" fillId="2" borderId="0" xfId="6" applyNumberFormat="1" applyFont="1" applyFill="1" applyBorder="1" applyAlignment="1">
      <alignment vertical="center"/>
    </xf>
    <xf numFmtId="9" fontId="94" fillId="2" borderId="441" xfId="2" applyFont="1" applyFill="1" applyBorder="1" applyAlignment="1">
      <alignment horizontal="center" vertical="center"/>
    </xf>
    <xf numFmtId="167" fontId="94" fillId="2" borderId="6" xfId="6" applyNumberFormat="1" applyFont="1" applyFill="1" applyBorder="1" applyAlignment="1">
      <alignment horizontal="center" vertical="center"/>
    </xf>
    <xf numFmtId="164" fontId="94" fillId="2" borderId="483" xfId="6" applyNumberFormat="1" applyFont="1" applyFill="1" applyBorder="1" applyAlignment="1">
      <alignment vertical="center"/>
    </xf>
    <xf numFmtId="164" fontId="94" fillId="2" borderId="484" xfId="6" applyNumberFormat="1" applyFont="1" applyFill="1" applyBorder="1" applyAlignment="1">
      <alignment vertical="center"/>
    </xf>
    <xf numFmtId="167" fontId="94" fillId="2" borderId="36" xfId="6" applyNumberFormat="1" applyFont="1" applyFill="1" applyBorder="1" applyAlignment="1">
      <alignment horizontal="center" vertical="center"/>
    </xf>
    <xf numFmtId="164" fontId="94" fillId="2" borderId="41" xfId="6" applyNumberFormat="1" applyFont="1" applyFill="1" applyBorder="1" applyAlignment="1">
      <alignment vertical="center"/>
    </xf>
    <xf numFmtId="3" fontId="94" fillId="2" borderId="36" xfId="6" applyNumberFormat="1" applyFont="1" applyFill="1" applyBorder="1" applyAlignment="1">
      <alignment horizontal="center" vertical="center"/>
    </xf>
    <xf numFmtId="3" fontId="94" fillId="0" borderId="36" xfId="6" applyNumberFormat="1" applyFont="1" applyFill="1" applyBorder="1" applyAlignment="1">
      <alignment horizontal="center" vertical="center"/>
    </xf>
    <xf numFmtId="164" fontId="94" fillId="0" borderId="243" xfId="6" applyNumberFormat="1" applyFont="1" applyFill="1" applyBorder="1" applyAlignment="1">
      <alignment vertical="center"/>
    </xf>
    <xf numFmtId="9" fontId="94" fillId="0" borderId="441" xfId="2" applyFont="1" applyFill="1" applyBorder="1" applyAlignment="1">
      <alignment horizontal="center" vertical="center"/>
    </xf>
    <xf numFmtId="167" fontId="94" fillId="2" borderId="64" xfId="6" applyNumberFormat="1" applyFont="1" applyFill="1" applyBorder="1" applyAlignment="1">
      <alignment horizontal="center" vertical="center"/>
    </xf>
    <xf numFmtId="164" fontId="94" fillId="2" borderId="72" xfId="6" applyNumberFormat="1" applyFont="1" applyFill="1" applyBorder="1" applyAlignment="1">
      <alignment vertical="center"/>
    </xf>
    <xf numFmtId="164" fontId="94" fillId="2" borderId="243" xfId="6" applyNumberFormat="1" applyFont="1" applyFill="1" applyBorder="1" applyAlignment="1">
      <alignment vertical="center"/>
    </xf>
    <xf numFmtId="164" fontId="94" fillId="2" borderId="239" xfId="6" applyNumberFormat="1" applyFont="1" applyFill="1" applyBorder="1" applyAlignment="1">
      <alignment vertical="center"/>
    </xf>
    <xf numFmtId="9" fontId="94" fillId="2" borderId="61" xfId="2" applyFont="1" applyFill="1" applyBorder="1" applyAlignment="1">
      <alignment horizontal="center" vertical="center"/>
    </xf>
    <xf numFmtId="164" fontId="94" fillId="2" borderId="457" xfId="6" applyNumberFormat="1" applyFont="1" applyFill="1" applyBorder="1" applyAlignment="1">
      <alignment vertical="center"/>
    </xf>
    <xf numFmtId="9" fontId="94" fillId="2" borderId="458" xfId="2" applyFont="1" applyFill="1" applyBorder="1" applyAlignment="1">
      <alignment horizontal="center" vertical="center"/>
    </xf>
    <xf numFmtId="0" fontId="94" fillId="0" borderId="36" xfId="0" applyFont="1" applyFill="1" applyBorder="1" applyAlignment="1">
      <alignment horizontal="center" vertical="center"/>
    </xf>
    <xf numFmtId="9" fontId="94" fillId="0" borderId="438" xfId="2" applyFont="1" applyFill="1" applyBorder="1" applyAlignment="1">
      <alignment horizontal="center" vertical="center"/>
    </xf>
    <xf numFmtId="169" fontId="94" fillId="2" borderId="57" xfId="6" applyNumberFormat="1" applyFont="1" applyFill="1" applyBorder="1" applyAlignment="1">
      <alignment horizontal="center" vertical="center"/>
    </xf>
    <xf numFmtId="9" fontId="94" fillId="2" borderId="62" xfId="2" applyFont="1" applyFill="1" applyBorder="1" applyAlignment="1">
      <alignment horizontal="center" vertical="center"/>
    </xf>
    <xf numFmtId="164" fontId="94" fillId="2" borderId="117" xfId="6" applyNumberFormat="1" applyFont="1" applyFill="1" applyBorder="1" applyAlignment="1">
      <alignment horizontal="center" vertical="center"/>
    </xf>
    <xf numFmtId="9" fontId="94" fillId="2" borderId="63" xfId="2" applyFont="1" applyFill="1" applyBorder="1" applyAlignment="1">
      <alignment vertical="center"/>
    </xf>
    <xf numFmtId="164" fontId="94" fillId="2" borderId="452" xfId="6" applyNumberFormat="1" applyFont="1" applyFill="1" applyBorder="1" applyAlignment="1">
      <alignment horizontal="center" vertical="center"/>
    </xf>
    <xf numFmtId="164" fontId="94" fillId="2" borderId="257" xfId="0" applyNumberFormat="1" applyFont="1" applyFill="1" applyBorder="1" applyAlignment="1">
      <alignment vertical="center"/>
    </xf>
    <xf numFmtId="9" fontId="94" fillId="2" borderId="451" xfId="2" applyFont="1" applyFill="1" applyBorder="1" applyAlignment="1">
      <alignment vertical="center"/>
    </xf>
    <xf numFmtId="164" fontId="94" fillId="2" borderId="37" xfId="6" applyNumberFormat="1" applyFont="1" applyFill="1" applyBorder="1" applyAlignment="1">
      <alignment horizontal="center" vertical="center"/>
    </xf>
    <xf numFmtId="164" fontId="94" fillId="2" borderId="266" xfId="6" applyNumberFormat="1" applyFont="1" applyFill="1" applyBorder="1" applyAlignment="1">
      <alignment horizontal="center" vertical="center"/>
    </xf>
    <xf numFmtId="164" fontId="94" fillId="2" borderId="446" xfId="0" applyNumberFormat="1" applyFont="1" applyFill="1" applyBorder="1" applyAlignment="1">
      <alignment vertical="center"/>
    </xf>
    <xf numFmtId="169" fontId="94" fillId="2" borderId="266" xfId="6" applyNumberFormat="1" applyFont="1" applyFill="1" applyBorder="1" applyAlignment="1">
      <alignment horizontal="center" vertical="center"/>
    </xf>
    <xf numFmtId="9" fontId="94" fillId="2" borderId="413" xfId="2" applyFont="1" applyFill="1" applyBorder="1" applyAlignment="1">
      <alignment horizontal="center" vertical="center"/>
    </xf>
    <xf numFmtId="164" fontId="49" fillId="2" borderId="0" xfId="6" applyNumberFormat="1" applyFont="1" applyFill="1" applyAlignment="1">
      <alignment vertical="center"/>
    </xf>
    <xf numFmtId="164" fontId="94" fillId="2" borderId="70" xfId="6" applyNumberFormat="1" applyFont="1" applyFill="1" applyBorder="1" applyAlignment="1">
      <alignment horizontal="center" vertical="center"/>
    </xf>
    <xf numFmtId="164" fontId="94" fillId="2" borderId="67" xfId="6" applyNumberFormat="1" applyFont="1" applyFill="1" applyBorder="1" applyAlignment="1">
      <alignment vertical="center"/>
    </xf>
    <xf numFmtId="164" fontId="94" fillId="2" borderId="67" xfId="0" applyNumberFormat="1" applyFont="1" applyFill="1" applyBorder="1" applyAlignment="1">
      <alignment vertical="center"/>
    </xf>
    <xf numFmtId="9" fontId="94" fillId="2" borderId="71" xfId="2" applyFont="1" applyFill="1" applyBorder="1" applyAlignment="1">
      <alignment horizontal="center" vertical="center"/>
    </xf>
    <xf numFmtId="164" fontId="94" fillId="0" borderId="117" xfId="6" applyNumberFormat="1" applyFont="1" applyFill="1" applyBorder="1" applyAlignment="1">
      <alignment horizontal="center" vertical="center"/>
    </xf>
    <xf numFmtId="164" fontId="94" fillId="0" borderId="37" xfId="6" applyNumberFormat="1" applyFont="1" applyFill="1" applyBorder="1" applyAlignment="1">
      <alignment vertical="center"/>
    </xf>
    <xf numFmtId="164" fontId="94" fillId="0" borderId="56" xfId="0" applyNumberFormat="1" applyFont="1" applyFill="1" applyBorder="1" applyAlignment="1">
      <alignment vertical="center"/>
    </xf>
    <xf numFmtId="9" fontId="94" fillId="0" borderId="118" xfId="2" applyFont="1" applyFill="1" applyBorder="1" applyAlignment="1">
      <alignment horizontal="center" vertical="center"/>
    </xf>
    <xf numFmtId="164" fontId="49" fillId="2" borderId="70" xfId="6" applyNumberFormat="1" applyFont="1" applyFill="1" applyBorder="1" applyAlignment="1">
      <alignment horizontal="center" vertical="center"/>
    </xf>
    <xf numFmtId="164" fontId="49" fillId="2" borderId="67" xfId="6" applyNumberFormat="1" applyFont="1" applyFill="1" applyBorder="1" applyAlignment="1">
      <alignment vertical="center"/>
    </xf>
    <xf numFmtId="164" fontId="49" fillId="2" borderId="37" xfId="6" applyNumberFormat="1" applyFont="1" applyFill="1" applyBorder="1" applyAlignment="1">
      <alignment vertical="center"/>
    </xf>
    <xf numFmtId="164" fontId="94" fillId="2" borderId="56" xfId="0" applyNumberFormat="1" applyFont="1" applyFill="1" applyBorder="1" applyAlignment="1">
      <alignment vertical="center"/>
    </xf>
    <xf numFmtId="9" fontId="94" fillId="2" borderId="118" xfId="2" applyFont="1" applyFill="1" applyBorder="1" applyAlignment="1">
      <alignment horizontal="center" vertical="center"/>
    </xf>
    <xf numFmtId="49" fontId="94" fillId="2" borderId="70" xfId="6" applyNumberFormat="1" applyFont="1" applyFill="1" applyBorder="1" applyAlignment="1">
      <alignment horizontal="center" vertical="center"/>
    </xf>
    <xf numFmtId="49" fontId="94" fillId="2" borderId="57" xfId="6" applyNumberFormat="1" applyFont="1" applyFill="1" applyBorder="1" applyAlignment="1">
      <alignment horizontal="center" vertical="center"/>
    </xf>
    <xf numFmtId="9" fontId="94" fillId="2" borderId="62" xfId="2" applyFont="1" applyFill="1" applyBorder="1" applyAlignment="1">
      <alignment vertical="center"/>
    </xf>
    <xf numFmtId="164" fontId="94" fillId="2" borderId="70" xfId="6" applyNumberFormat="1" applyFont="1" applyFill="1" applyBorder="1" applyAlignment="1">
      <alignment vertical="center"/>
    </xf>
    <xf numFmtId="9" fontId="94" fillId="0" borderId="62" xfId="2" applyFont="1" applyFill="1" applyBorder="1" applyAlignment="1">
      <alignment vertical="center"/>
    </xf>
    <xf numFmtId="9" fontId="94" fillId="2" borderId="118" xfId="2" applyFont="1" applyFill="1" applyBorder="1" applyAlignment="1">
      <alignment vertical="center"/>
    </xf>
    <xf numFmtId="164" fontId="94" fillId="2" borderId="117" xfId="6" applyNumberFormat="1" applyFont="1" applyFill="1" applyBorder="1" applyAlignment="1">
      <alignment vertical="center"/>
    </xf>
    <xf numFmtId="164" fontId="94" fillId="2" borderId="68" xfId="6" applyNumberFormat="1" applyFont="1" applyFill="1" applyBorder="1" applyAlignment="1">
      <alignment vertical="center"/>
    </xf>
    <xf numFmtId="9" fontId="94" fillId="0" borderId="71" xfId="2" applyFont="1" applyFill="1" applyBorder="1" applyAlignment="1">
      <alignment vertical="center"/>
    </xf>
    <xf numFmtId="165" fontId="94" fillId="2" borderId="37" xfId="0" applyNumberFormat="1" applyFont="1" applyFill="1" applyBorder="1" applyAlignment="1">
      <alignment vertical="center"/>
    </xf>
    <xf numFmtId="9" fontId="49" fillId="2" borderId="63" xfId="2" applyFont="1" applyFill="1" applyBorder="1" applyAlignment="1">
      <alignment vertical="center"/>
    </xf>
    <xf numFmtId="164" fontId="94" fillId="2" borderId="65" xfId="0" applyNumberFormat="1" applyFont="1" applyFill="1" applyBorder="1" applyAlignment="1">
      <alignment vertical="center"/>
    </xf>
    <xf numFmtId="164" fontId="94" fillId="2" borderId="66" xfId="0" applyNumberFormat="1" applyFont="1" applyFill="1" applyBorder="1" applyAlignment="1">
      <alignment vertical="center"/>
    </xf>
    <xf numFmtId="9" fontId="94" fillId="2" borderId="102" xfId="2" applyFont="1" applyFill="1" applyBorder="1" applyAlignment="1">
      <alignment vertical="center"/>
    </xf>
    <xf numFmtId="9" fontId="94" fillId="2" borderId="105" xfId="2" applyFont="1" applyFill="1" applyBorder="1" applyAlignment="1">
      <alignment vertical="center"/>
    </xf>
    <xf numFmtId="164" fontId="94" fillId="2" borderId="33" xfId="0" applyNumberFormat="1" applyFont="1" applyFill="1" applyBorder="1" applyAlignment="1">
      <alignment vertical="center"/>
    </xf>
    <xf numFmtId="164" fontId="94" fillId="2" borderId="34" xfId="0" applyNumberFormat="1" applyFont="1" applyFill="1" applyBorder="1" applyAlignment="1">
      <alignment vertical="center"/>
    </xf>
    <xf numFmtId="164" fontId="94" fillId="2" borderId="115" xfId="0" applyNumberFormat="1" applyFont="1" applyFill="1" applyBorder="1" applyAlignment="1">
      <alignment vertical="center"/>
    </xf>
    <xf numFmtId="9" fontId="94" fillId="2" borderId="101" xfId="2" applyFont="1" applyFill="1" applyBorder="1" applyAlignment="1">
      <alignment vertical="center"/>
    </xf>
    <xf numFmtId="9" fontId="94" fillId="2" borderId="71" xfId="2" applyFont="1" applyFill="1" applyBorder="1" applyAlignment="1">
      <alignment vertical="center"/>
    </xf>
    <xf numFmtId="164" fontId="94" fillId="2" borderId="0" xfId="0" applyNumberFormat="1" applyFont="1" applyFill="1" applyAlignment="1">
      <alignment vertical="center"/>
    </xf>
    <xf numFmtId="164" fontId="94" fillId="0" borderId="70" xfId="6" applyNumberFormat="1" applyFont="1" applyFill="1" applyBorder="1" applyAlignment="1">
      <alignment horizontal="center" vertical="center"/>
    </xf>
    <xf numFmtId="164" fontId="94" fillId="0" borderId="67" xfId="6" applyNumberFormat="1" applyFont="1" applyFill="1" applyBorder="1" applyAlignment="1">
      <alignment vertical="center"/>
    </xf>
    <xf numFmtId="9" fontId="94" fillId="0" borderId="118" xfId="2" applyFont="1" applyFill="1" applyBorder="1" applyAlignment="1">
      <alignment vertical="center"/>
    </xf>
    <xf numFmtId="164" fontId="94" fillId="0" borderId="70" xfId="6" applyNumberFormat="1" applyFont="1" applyFill="1" applyBorder="1" applyAlignment="1">
      <alignment vertical="center"/>
    </xf>
    <xf numFmtId="9" fontId="49" fillId="0" borderId="118" xfId="2" applyFont="1" applyFill="1" applyBorder="1" applyAlignment="1">
      <alignment horizontal="center" vertical="center"/>
    </xf>
    <xf numFmtId="166" fontId="94" fillId="2" borderId="71" xfId="6" applyFont="1" applyFill="1" applyBorder="1" applyAlignment="1">
      <alignment vertical="center"/>
    </xf>
    <xf numFmtId="167" fontId="94" fillId="2" borderId="70" xfId="6" applyNumberFormat="1" applyFont="1" applyFill="1" applyBorder="1" applyAlignment="1">
      <alignment horizontal="center" vertical="center"/>
    </xf>
    <xf numFmtId="167" fontId="49" fillId="2" borderId="70" xfId="6" applyNumberFormat="1" applyFont="1" applyFill="1" applyBorder="1" applyAlignment="1">
      <alignment horizontal="center" vertical="center"/>
    </xf>
    <xf numFmtId="166" fontId="4" fillId="0" borderId="107" xfId="6" applyFont="1" applyFill="1" applyBorder="1" applyAlignment="1">
      <alignment horizontal="left" vertical="center" wrapText="1"/>
    </xf>
    <xf numFmtId="164" fontId="7" fillId="0" borderId="107" xfId="6" applyNumberFormat="1" applyFont="1" applyFill="1" applyBorder="1" applyAlignment="1">
      <alignment horizontal="center" vertical="center"/>
    </xf>
    <xf numFmtId="164" fontId="12" fillId="0" borderId="127" xfId="6" applyNumberFormat="1" applyFont="1" applyFill="1" applyBorder="1" applyAlignment="1">
      <alignment vertical="center"/>
    </xf>
    <xf numFmtId="9" fontId="4" fillId="6" borderId="71" xfId="2" applyFont="1" applyFill="1" applyBorder="1" applyAlignment="1">
      <alignment horizontal="center" vertical="center"/>
    </xf>
    <xf numFmtId="166" fontId="4" fillId="0" borderId="108" xfId="6" applyFont="1" applyFill="1" applyBorder="1" applyAlignment="1">
      <alignment horizontal="center" vertical="center"/>
    </xf>
    <xf numFmtId="166" fontId="4" fillId="0" borderId="70" xfId="6" applyFont="1" applyFill="1" applyBorder="1" applyAlignment="1">
      <alignment horizontal="center" vertical="center"/>
    </xf>
    <xf numFmtId="164" fontId="25" fillId="0" borderId="0" xfId="6" applyNumberFormat="1" applyFont="1" applyFill="1" applyAlignment="1">
      <alignment horizontal="center" vertical="center"/>
    </xf>
    <xf numFmtId="168" fontId="120" fillId="0" borderId="67" xfId="4" applyNumberFormat="1" applyFont="1" applyFill="1" applyBorder="1" applyAlignment="1">
      <alignment horizontal="center" vertical="center"/>
    </xf>
    <xf numFmtId="164" fontId="26" fillId="0" borderId="71" xfId="6" applyNumberFormat="1" applyFont="1" applyFill="1" applyBorder="1" applyAlignment="1">
      <alignment horizontal="center" vertical="center"/>
    </xf>
    <xf numFmtId="164" fontId="25" fillId="0" borderId="0" xfId="6" applyNumberFormat="1" applyFont="1" applyFill="1" applyBorder="1" applyAlignment="1">
      <alignment horizontal="center" vertical="center"/>
    </xf>
    <xf numFmtId="164" fontId="25" fillId="0" borderId="0" xfId="6" applyNumberFormat="1" applyFont="1" applyFill="1" applyBorder="1" applyAlignment="1">
      <alignment vertical="center"/>
    </xf>
    <xf numFmtId="9" fontId="25" fillId="0" borderId="0" xfId="2" applyFont="1" applyFill="1" applyBorder="1" applyAlignment="1">
      <alignment vertical="center"/>
    </xf>
    <xf numFmtId="9" fontId="25" fillId="0" borderId="0" xfId="2" applyFont="1" applyFill="1" applyBorder="1" applyAlignment="1">
      <alignment horizontal="center" vertical="center"/>
    </xf>
    <xf numFmtId="167" fontId="25" fillId="0" borderId="0" xfId="2" applyNumberFormat="1" applyFont="1" applyFill="1" applyBorder="1" applyAlignment="1">
      <alignment horizontal="center" vertical="center"/>
    </xf>
    <xf numFmtId="164" fontId="25" fillId="0" borderId="407" xfId="6" applyNumberFormat="1" applyFont="1" applyFill="1" applyBorder="1" applyAlignment="1">
      <alignment vertical="center"/>
    </xf>
    <xf numFmtId="164" fontId="25" fillId="0" borderId="6" xfId="6" applyNumberFormat="1" applyFont="1" applyFill="1" applyBorder="1" applyAlignment="1">
      <alignment vertical="center"/>
    </xf>
    <xf numFmtId="9" fontId="25" fillId="0" borderId="10" xfId="2" applyFont="1" applyFill="1" applyBorder="1" applyAlignment="1">
      <alignment vertical="center"/>
    </xf>
    <xf numFmtId="164" fontId="25" fillId="0" borderId="10" xfId="6" applyNumberFormat="1" applyFont="1" applyFill="1" applyBorder="1" applyAlignment="1">
      <alignment vertical="center"/>
    </xf>
    <xf numFmtId="164" fontId="25" fillId="0" borderId="6" xfId="6" applyNumberFormat="1" applyFont="1" applyFill="1" applyBorder="1" applyAlignment="1">
      <alignment horizontal="center" vertical="center"/>
    </xf>
    <xf numFmtId="9" fontId="25" fillId="0" borderId="10" xfId="2" applyFont="1" applyFill="1" applyBorder="1" applyAlignment="1">
      <alignment horizontal="center" vertical="center"/>
    </xf>
    <xf numFmtId="164" fontId="26" fillId="0" borderId="6" xfId="6" applyNumberFormat="1" applyFont="1" applyFill="1" applyBorder="1" applyAlignment="1">
      <alignment horizontal="center" vertical="center"/>
    </xf>
    <xf numFmtId="164" fontId="26" fillId="0" borderId="0" xfId="6" applyNumberFormat="1" applyFont="1" applyFill="1" applyBorder="1" applyAlignment="1">
      <alignment vertical="center"/>
    </xf>
    <xf numFmtId="9" fontId="26" fillId="0" borderId="10" xfId="2" applyFont="1" applyFill="1" applyBorder="1" applyAlignment="1">
      <alignment horizontal="center" vertical="center"/>
    </xf>
    <xf numFmtId="1" fontId="25" fillId="0" borderId="435" xfId="2" applyNumberFormat="1" applyFont="1" applyFill="1" applyBorder="1" applyAlignment="1">
      <alignment horizontal="center" vertical="center"/>
    </xf>
    <xf numFmtId="164" fontId="25" fillId="0" borderId="436" xfId="6" applyNumberFormat="1" applyFont="1" applyFill="1" applyBorder="1" applyAlignment="1">
      <alignment horizontal="center" vertical="center"/>
    </xf>
    <xf numFmtId="9" fontId="25" fillId="0" borderId="437" xfId="2" applyFont="1" applyFill="1" applyBorder="1" applyAlignment="1">
      <alignment horizontal="center" vertical="center"/>
    </xf>
    <xf numFmtId="1" fontId="26" fillId="0" borderId="6" xfId="0" applyNumberFormat="1" applyFont="1" applyFill="1" applyBorder="1" applyAlignment="1">
      <alignment horizontal="center" vertical="center"/>
    </xf>
    <xf numFmtId="1" fontId="26" fillId="0" borderId="0" xfId="0" applyNumberFormat="1" applyFont="1" applyFill="1" applyBorder="1" applyAlignment="1">
      <alignment horizontal="center" vertical="center"/>
    </xf>
    <xf numFmtId="164" fontId="26" fillId="0" borderId="0" xfId="0" applyNumberFormat="1" applyFont="1" applyFill="1" applyBorder="1" applyAlignment="1">
      <alignment vertical="center"/>
    </xf>
    <xf numFmtId="9" fontId="26" fillId="0" borderId="10" xfId="2" applyFont="1" applyFill="1" applyBorder="1" applyAlignment="1">
      <alignment vertical="center"/>
    </xf>
    <xf numFmtId="164" fontId="25" fillId="0" borderId="64" xfId="6" applyNumberFormat="1" applyFont="1" applyFill="1" applyBorder="1" applyAlignment="1">
      <alignment horizontal="center" vertical="center"/>
    </xf>
    <xf numFmtId="164" fontId="25" fillId="0" borderId="72" xfId="6" applyNumberFormat="1" applyFont="1" applyFill="1" applyBorder="1" applyAlignment="1">
      <alignment vertical="center"/>
    </xf>
    <xf numFmtId="164" fontId="26" fillId="0" borderId="64" xfId="6" applyNumberFormat="1" applyFont="1" applyFill="1" applyBorder="1" applyAlignment="1">
      <alignment horizontal="center" vertical="center"/>
    </xf>
    <xf numFmtId="164" fontId="26" fillId="0" borderId="72" xfId="6" applyNumberFormat="1" applyFont="1" applyFill="1" applyBorder="1" applyAlignment="1">
      <alignment vertical="center"/>
    </xf>
    <xf numFmtId="164" fontId="26" fillId="0" borderId="495" xfId="6" applyNumberFormat="1" applyFont="1" applyFill="1" applyBorder="1" applyAlignment="1">
      <alignment vertical="center"/>
    </xf>
    <xf numFmtId="169" fontId="26" fillId="0" borderId="203" xfId="6" applyNumberFormat="1" applyFont="1" applyFill="1" applyBorder="1" applyAlignment="1">
      <alignment horizontal="center" vertical="center"/>
    </xf>
    <xf numFmtId="164" fontId="26" fillId="0" borderId="60" xfId="6" applyNumberFormat="1" applyFont="1" applyFill="1" applyBorder="1" applyAlignment="1">
      <alignment vertical="center"/>
    </xf>
    <xf numFmtId="9" fontId="26" fillId="0" borderId="496" xfId="2" applyFont="1" applyFill="1" applyBorder="1" applyAlignment="1">
      <alignment horizontal="center" vertical="center"/>
    </xf>
    <xf numFmtId="164" fontId="26" fillId="0" borderId="324" xfId="6" applyNumberFormat="1" applyFont="1" applyFill="1" applyBorder="1" applyAlignment="1">
      <alignment vertical="center"/>
    </xf>
    <xf numFmtId="164" fontId="26" fillId="0" borderId="34" xfId="6" applyNumberFormat="1" applyFont="1" applyFill="1" applyBorder="1" applyAlignment="1">
      <alignment vertical="center"/>
    </xf>
    <xf numFmtId="164" fontId="25" fillId="0" borderId="462" xfId="6" applyNumberFormat="1" applyFont="1" applyFill="1" applyBorder="1" applyAlignment="1">
      <alignment vertical="center"/>
    </xf>
    <xf numFmtId="164" fontId="26" fillId="0" borderId="283" xfId="6" applyNumberFormat="1" applyFont="1" applyFill="1" applyBorder="1" applyAlignment="1">
      <alignment horizontal="center" vertical="center"/>
    </xf>
    <xf numFmtId="164" fontId="26" fillId="0" borderId="284" xfId="0" applyNumberFormat="1" applyFont="1" applyFill="1" applyBorder="1" applyAlignment="1">
      <alignment vertical="center"/>
    </xf>
    <xf numFmtId="9" fontId="26" fillId="0" borderId="413" xfId="2" applyFont="1" applyFill="1" applyBorder="1" applyAlignment="1">
      <alignment vertical="center"/>
    </xf>
    <xf numFmtId="164" fontId="26" fillId="0" borderId="0" xfId="6" applyNumberFormat="1" applyFont="1" applyFill="1" applyBorder="1" applyAlignment="1">
      <alignment horizontal="center" vertical="center"/>
    </xf>
    <xf numFmtId="164" fontId="26" fillId="0" borderId="414" xfId="6" applyNumberFormat="1" applyFont="1" applyFill="1" applyBorder="1" applyAlignment="1">
      <alignment horizontal="center" vertical="center"/>
    </xf>
    <xf numFmtId="164" fontId="26" fillId="0" borderId="414" xfId="0" applyNumberFormat="1" applyFont="1" applyFill="1" applyBorder="1" applyAlignment="1">
      <alignment vertical="center"/>
    </xf>
    <xf numFmtId="1" fontId="26" fillId="0" borderId="283" xfId="0" applyNumberFormat="1" applyFont="1" applyFill="1" applyBorder="1" applyAlignment="1">
      <alignment horizontal="center" vertical="center"/>
    </xf>
    <xf numFmtId="9" fontId="26" fillId="0" borderId="413" xfId="2" applyFont="1" applyFill="1" applyBorder="1" applyAlignment="1">
      <alignment horizontal="center" vertical="center"/>
    </xf>
    <xf numFmtId="167" fontId="26" fillId="0" borderId="343" xfId="6" applyNumberFormat="1" applyFont="1" applyFill="1" applyBorder="1" applyAlignment="1">
      <alignment horizontal="center" vertical="center"/>
    </xf>
    <xf numFmtId="164" fontId="26" fillId="0" borderId="503" xfId="6" applyNumberFormat="1" applyFont="1" applyFill="1" applyBorder="1" applyAlignment="1">
      <alignment vertical="center"/>
    </xf>
    <xf numFmtId="166" fontId="26" fillId="0" borderId="482" xfId="6" applyFont="1" applyFill="1" applyBorder="1" applyAlignment="1">
      <alignment horizontal="center" vertical="center"/>
    </xf>
    <xf numFmtId="9" fontId="26" fillId="0" borderId="501" xfId="2" applyFont="1" applyFill="1" applyBorder="1" applyAlignment="1">
      <alignment horizontal="center" vertical="center"/>
    </xf>
    <xf numFmtId="167" fontId="26" fillId="0" borderId="6" xfId="6" applyNumberFormat="1" applyFont="1" applyFill="1" applyBorder="1" applyAlignment="1">
      <alignment horizontal="center" vertical="center"/>
    </xf>
    <xf numFmtId="164" fontId="26" fillId="0" borderId="483" xfId="6" applyNumberFormat="1" applyFont="1" applyFill="1" applyBorder="1" applyAlignment="1">
      <alignment vertical="center"/>
    </xf>
    <xf numFmtId="164" fontId="26" fillId="0" borderId="484" xfId="6" applyNumberFormat="1" applyFont="1" applyFill="1" applyBorder="1" applyAlignment="1">
      <alignment vertical="center"/>
    </xf>
    <xf numFmtId="167" fontId="26" fillId="0" borderId="64" xfId="6" applyNumberFormat="1" applyFont="1" applyFill="1" applyBorder="1" applyAlignment="1">
      <alignment horizontal="center" vertical="center"/>
    </xf>
    <xf numFmtId="164" fontId="26" fillId="0" borderId="482" xfId="6" applyNumberFormat="1" applyFont="1" applyFill="1" applyBorder="1" applyAlignment="1">
      <alignment vertical="center"/>
    </xf>
    <xf numFmtId="3" fontId="26" fillId="0" borderId="64" xfId="6" applyNumberFormat="1" applyFont="1" applyFill="1" applyBorder="1" applyAlignment="1">
      <alignment horizontal="center" vertical="center"/>
    </xf>
    <xf numFmtId="164" fontId="26" fillId="0" borderId="281" xfId="6" applyNumberFormat="1" applyFont="1" applyFill="1" applyBorder="1" applyAlignment="1">
      <alignment vertical="center"/>
    </xf>
    <xf numFmtId="164" fontId="26" fillId="0" borderId="276" xfId="6" applyNumberFormat="1" applyFont="1" applyFill="1" applyBorder="1" applyAlignment="1">
      <alignment vertical="center"/>
    </xf>
    <xf numFmtId="9" fontId="26" fillId="0" borderId="316" xfId="2" applyFont="1" applyFill="1" applyBorder="1" applyAlignment="1">
      <alignment horizontal="center" vertical="center"/>
    </xf>
    <xf numFmtId="164" fontId="26" fillId="0" borderId="504" xfId="6" applyNumberFormat="1" applyFont="1" applyFill="1" applyBorder="1" applyAlignment="1">
      <alignment vertical="center"/>
    </xf>
    <xf numFmtId="9" fontId="26" fillId="0" borderId="505" xfId="2" applyFont="1" applyFill="1" applyBorder="1" applyAlignment="1">
      <alignment horizontal="center" vertical="center"/>
    </xf>
    <xf numFmtId="0" fontId="26" fillId="0" borderId="64" xfId="0" applyFont="1" applyFill="1" applyBorder="1" applyAlignment="1">
      <alignment horizontal="center" vertical="center"/>
    </xf>
    <xf numFmtId="9" fontId="26" fillId="0" borderId="482" xfId="2" applyFont="1" applyFill="1" applyBorder="1" applyAlignment="1">
      <alignment horizontal="center" vertical="center"/>
    </xf>
    <xf numFmtId="9" fontId="26" fillId="0" borderId="73" xfId="2" applyFont="1" applyFill="1" applyBorder="1" applyAlignment="1">
      <alignment horizontal="center" vertical="center"/>
    </xf>
    <xf numFmtId="164" fontId="26" fillId="0" borderId="117" xfId="6" applyNumberFormat="1" applyFont="1" applyFill="1" applyBorder="1" applyAlignment="1">
      <alignment horizontal="center" vertical="center"/>
    </xf>
    <xf numFmtId="164" fontId="26" fillId="0" borderId="37" xfId="6" applyNumberFormat="1" applyFont="1" applyFill="1" applyBorder="1" applyAlignment="1">
      <alignment vertical="center"/>
    </xf>
    <xf numFmtId="9" fontId="26" fillId="0" borderId="63" xfId="2" applyFont="1" applyFill="1" applyBorder="1" applyAlignment="1">
      <alignment vertical="center"/>
    </xf>
    <xf numFmtId="164" fontId="26" fillId="0" borderId="506" xfId="6" applyNumberFormat="1" applyFont="1" applyFill="1" applyBorder="1" applyAlignment="1">
      <alignment horizontal="center" vertical="center"/>
    </xf>
    <xf numFmtId="164" fontId="26" fillId="0" borderId="507" xfId="0" applyNumberFormat="1" applyFont="1" applyFill="1" applyBorder="1" applyAlignment="1">
      <alignment vertical="center"/>
    </xf>
    <xf numFmtId="9" fontId="26" fillId="0" borderId="508" xfId="2" applyFont="1" applyFill="1" applyBorder="1" applyAlignment="1">
      <alignment vertical="center"/>
    </xf>
    <xf numFmtId="164" fontId="26" fillId="0" borderId="126" xfId="6" applyNumberFormat="1" applyFont="1" applyFill="1" applyBorder="1" applyAlignment="1">
      <alignment horizontal="center" vertical="center"/>
    </xf>
    <xf numFmtId="164" fontId="26" fillId="0" borderId="127" xfId="6" applyNumberFormat="1" applyFont="1" applyFill="1" applyBorder="1" applyAlignment="1">
      <alignment horizontal="center" vertical="center"/>
    </xf>
    <xf numFmtId="9" fontId="26" fillId="0" borderId="145" xfId="2" applyFont="1" applyFill="1" applyBorder="1" applyAlignment="1">
      <alignment vertical="center"/>
    </xf>
    <xf numFmtId="169" fontId="26" fillId="0" borderId="283" xfId="6" applyNumberFormat="1" applyFont="1" applyFill="1" applyBorder="1" applyAlignment="1">
      <alignment horizontal="center" vertical="center"/>
    </xf>
    <xf numFmtId="164" fontId="25" fillId="0" borderId="0" xfId="6" applyNumberFormat="1" applyFont="1" applyFill="1" applyAlignment="1">
      <alignment vertical="center"/>
    </xf>
    <xf numFmtId="164" fontId="26" fillId="0" borderId="108" xfId="6" applyNumberFormat="1" applyFont="1" applyFill="1" applyBorder="1" applyAlignment="1">
      <alignment horizontal="center" vertical="center"/>
    </xf>
    <xf numFmtId="164" fontId="26" fillId="0" borderId="107" xfId="6" applyNumberFormat="1" applyFont="1" applyFill="1" applyBorder="1" applyAlignment="1">
      <alignment vertical="center"/>
    </xf>
    <xf numFmtId="164" fontId="26" fillId="0" borderId="107" xfId="0" applyNumberFormat="1" applyFont="1" applyFill="1" applyBorder="1" applyAlignment="1">
      <alignment vertical="center"/>
    </xf>
    <xf numFmtId="9" fontId="26" fillId="0" borderId="109" xfId="2" applyFont="1" applyFill="1" applyBorder="1" applyAlignment="1">
      <alignment horizontal="center" vertical="center"/>
    </xf>
    <xf numFmtId="164" fontId="26" fillId="0" borderId="127" xfId="6" applyNumberFormat="1" applyFont="1" applyFill="1" applyBorder="1" applyAlignment="1">
      <alignment vertical="center"/>
    </xf>
    <xf numFmtId="164" fontId="26" fillId="0" borderId="116" xfId="0" applyNumberFormat="1" applyFont="1" applyFill="1" applyBorder="1" applyAlignment="1">
      <alignment vertical="center"/>
    </xf>
    <xf numFmtId="9" fontId="26" fillId="0" borderId="190" xfId="2" applyFont="1" applyFill="1" applyBorder="1" applyAlignment="1">
      <alignment horizontal="center" vertical="center"/>
    </xf>
    <xf numFmtId="164" fontId="25" fillId="0" borderId="108" xfId="6" applyNumberFormat="1" applyFont="1" applyFill="1" applyBorder="1" applyAlignment="1">
      <alignment horizontal="center" vertical="center"/>
    </xf>
    <xf numFmtId="164" fontId="25" fillId="0" borderId="107" xfId="6" applyNumberFormat="1" applyFont="1" applyFill="1" applyBorder="1" applyAlignment="1">
      <alignment vertical="center"/>
    </xf>
    <xf numFmtId="164" fontId="25" fillId="0" borderId="127" xfId="6" applyNumberFormat="1" applyFont="1" applyFill="1" applyBorder="1" applyAlignment="1">
      <alignment vertical="center"/>
    </xf>
    <xf numFmtId="49" fontId="26" fillId="0" borderId="108" xfId="6" applyNumberFormat="1" applyFont="1" applyFill="1" applyBorder="1" applyAlignment="1">
      <alignment horizontal="center" vertical="center"/>
    </xf>
    <xf numFmtId="49" fontId="26" fillId="0" borderId="203" xfId="6" applyNumberFormat="1" applyFont="1" applyFill="1" applyBorder="1" applyAlignment="1">
      <alignment horizontal="center" vertical="center"/>
    </xf>
    <xf numFmtId="9" fontId="26" fillId="0" borderId="73" xfId="2" applyFont="1" applyFill="1" applyBorder="1" applyAlignment="1">
      <alignment vertical="center"/>
    </xf>
    <xf numFmtId="164" fontId="26" fillId="0" borderId="70" xfId="6" applyNumberFormat="1" applyFont="1" applyFill="1" applyBorder="1" applyAlignment="1">
      <alignment vertical="center"/>
    </xf>
    <xf numFmtId="9" fontId="26" fillId="0" borderId="62" xfId="2" applyFont="1" applyFill="1" applyBorder="1" applyAlignment="1">
      <alignment vertical="center"/>
    </xf>
    <xf numFmtId="9" fontId="26" fillId="0" borderId="118" xfId="2" applyFont="1" applyFill="1" applyBorder="1" applyAlignment="1">
      <alignment vertical="center"/>
    </xf>
    <xf numFmtId="164" fontId="26" fillId="0" borderId="117" xfId="6" applyNumberFormat="1" applyFont="1" applyFill="1" applyBorder="1" applyAlignment="1">
      <alignment vertical="center"/>
    </xf>
    <xf numFmtId="164" fontId="26" fillId="0" borderId="68" xfId="6" applyNumberFormat="1" applyFont="1" applyFill="1" applyBorder="1" applyAlignment="1">
      <alignment vertical="center"/>
    </xf>
    <xf numFmtId="165" fontId="26" fillId="0" borderId="37" xfId="0" applyNumberFormat="1" applyFont="1" applyFill="1" applyBorder="1" applyAlignment="1">
      <alignment vertical="center"/>
    </xf>
    <xf numFmtId="9" fontId="25" fillId="0" borderId="63" xfId="2" applyFont="1" applyFill="1" applyBorder="1" applyAlignment="1">
      <alignment vertical="center"/>
    </xf>
    <xf numFmtId="164" fontId="26" fillId="0" borderId="65" xfId="0" applyNumberFormat="1" applyFont="1" applyFill="1" applyBorder="1" applyAlignment="1">
      <alignment vertical="center"/>
    </xf>
    <xf numFmtId="164" fontId="26" fillId="0" borderId="66" xfId="0" applyNumberFormat="1" applyFont="1" applyFill="1" applyBorder="1" applyAlignment="1">
      <alignment vertical="center"/>
    </xf>
    <xf numFmtId="9" fontId="26" fillId="0" borderId="102" xfId="2" applyFont="1" applyFill="1" applyBorder="1" applyAlignment="1">
      <alignment vertical="center"/>
    </xf>
    <xf numFmtId="9" fontId="26" fillId="0" borderId="105" xfId="2" applyFont="1" applyFill="1" applyBorder="1" applyAlignment="1">
      <alignment vertical="center"/>
    </xf>
    <xf numFmtId="164" fontId="26" fillId="0" borderId="33" xfId="0" applyNumberFormat="1" applyFont="1" applyFill="1" applyBorder="1" applyAlignment="1">
      <alignment vertical="center"/>
    </xf>
    <xf numFmtId="164" fontId="26" fillId="0" borderId="34" xfId="0" applyNumberFormat="1" applyFont="1" applyFill="1" applyBorder="1" applyAlignment="1">
      <alignment vertical="center"/>
    </xf>
    <xf numFmtId="164" fontId="26" fillId="0" borderId="115" xfId="0" applyNumberFormat="1" applyFont="1" applyFill="1" applyBorder="1" applyAlignment="1">
      <alignment vertical="center"/>
    </xf>
    <xf numFmtId="9" fontId="26" fillId="0" borderId="101" xfId="2" applyFont="1" applyFill="1" applyBorder="1" applyAlignment="1">
      <alignment vertical="center"/>
    </xf>
    <xf numFmtId="164" fontId="26" fillId="0" borderId="0" xfId="0" applyNumberFormat="1" applyFont="1" applyFill="1" applyAlignment="1">
      <alignment vertical="center"/>
    </xf>
    <xf numFmtId="164" fontId="26" fillId="0" borderId="67" xfId="0" applyNumberFormat="1" applyFont="1" applyFill="1" applyBorder="1" applyAlignment="1">
      <alignment vertical="center"/>
    </xf>
    <xf numFmtId="9" fontId="26" fillId="0" borderId="71" xfId="2" applyFont="1" applyFill="1" applyBorder="1" applyAlignment="1">
      <alignment horizontal="center" vertical="center"/>
    </xf>
    <xf numFmtId="164" fontId="25" fillId="0" borderId="70" xfId="6" applyNumberFormat="1" applyFont="1" applyFill="1" applyBorder="1" applyAlignment="1">
      <alignment vertical="center"/>
    </xf>
    <xf numFmtId="164" fontId="25" fillId="0" borderId="67" xfId="6" applyNumberFormat="1" applyFont="1" applyFill="1" applyBorder="1" applyAlignment="1">
      <alignment vertical="center"/>
    </xf>
    <xf numFmtId="9" fontId="25" fillId="0" borderId="118" xfId="2" applyFont="1" applyFill="1" applyBorder="1" applyAlignment="1">
      <alignment horizontal="center" vertical="center"/>
    </xf>
    <xf numFmtId="0" fontId="26" fillId="2" borderId="70" xfId="0" applyFont="1" applyFill="1" applyBorder="1" applyAlignment="1">
      <alignment vertical="center"/>
    </xf>
    <xf numFmtId="164" fontId="26" fillId="2" borderId="117" xfId="6" applyNumberFormat="1" applyFont="1" applyFill="1" applyBorder="1" applyAlignment="1">
      <alignment horizontal="center" vertical="center"/>
    </xf>
    <xf numFmtId="164" fontId="26" fillId="0" borderId="105" xfId="6" applyNumberFormat="1" applyFont="1" applyFill="1" applyBorder="1" applyAlignment="1">
      <alignment vertical="center"/>
    </xf>
    <xf numFmtId="166" fontId="26" fillId="0" borderId="71" xfId="6" applyFont="1" applyFill="1" applyBorder="1" applyAlignment="1">
      <alignment vertical="center"/>
    </xf>
    <xf numFmtId="166" fontId="25" fillId="2" borderId="63" xfId="6" applyFont="1" applyFill="1" applyBorder="1" applyAlignment="1">
      <alignment vertical="center"/>
    </xf>
    <xf numFmtId="164" fontId="26" fillId="2" borderId="68" xfId="6" applyNumberFormat="1" applyFont="1" applyFill="1" applyBorder="1" applyAlignment="1">
      <alignment vertical="center"/>
    </xf>
    <xf numFmtId="166" fontId="26" fillId="2" borderId="71" xfId="6" applyFont="1" applyFill="1" applyBorder="1" applyAlignment="1">
      <alignment vertical="center"/>
    </xf>
    <xf numFmtId="164" fontId="25" fillId="2" borderId="0" xfId="6" applyNumberFormat="1" applyFont="1" applyFill="1" applyAlignment="1">
      <alignment vertical="center"/>
    </xf>
    <xf numFmtId="164" fontId="26" fillId="2" borderId="107" xfId="6" applyNumberFormat="1" applyFont="1" applyFill="1" applyBorder="1" applyAlignment="1">
      <alignment vertical="center"/>
    </xf>
    <xf numFmtId="164" fontId="26" fillId="2" borderId="127" xfId="6" applyNumberFormat="1" applyFont="1" applyFill="1" applyBorder="1" applyAlignment="1">
      <alignment vertical="center"/>
    </xf>
    <xf numFmtId="166" fontId="26" fillId="2" borderId="71" xfId="6" applyFont="1" applyFill="1" applyBorder="1" applyAlignment="1">
      <alignment horizontal="center" vertical="center"/>
    </xf>
    <xf numFmtId="164" fontId="26" fillId="2" borderId="108" xfId="6" applyNumberFormat="1" applyFont="1" applyFill="1" applyBorder="1" applyAlignment="1">
      <alignment horizontal="center" vertical="center"/>
    </xf>
    <xf numFmtId="166" fontId="26" fillId="0" borderId="108" xfId="6" applyFont="1" applyFill="1" applyBorder="1" applyAlignment="1">
      <alignment horizontal="center" vertical="center"/>
    </xf>
    <xf numFmtId="166" fontId="26" fillId="0" borderId="70" xfId="6" applyFont="1" applyFill="1" applyBorder="1" applyAlignment="1">
      <alignment horizontal="center" vertical="center"/>
    </xf>
    <xf numFmtId="167" fontId="26" fillId="0" borderId="70" xfId="6" applyNumberFormat="1" applyFont="1" applyFill="1" applyBorder="1" applyAlignment="1">
      <alignment horizontal="center" vertical="center"/>
    </xf>
    <xf numFmtId="164" fontId="26" fillId="2" borderId="65" xfId="0" applyNumberFormat="1" applyFont="1" applyFill="1" applyBorder="1" applyAlignment="1">
      <alignment vertical="center"/>
    </xf>
    <xf numFmtId="164" fontId="26" fillId="2" borderId="66" xfId="0" applyNumberFormat="1" applyFont="1" applyFill="1" applyBorder="1" applyAlignment="1">
      <alignment vertical="center"/>
    </xf>
    <xf numFmtId="9" fontId="26" fillId="2" borderId="102" xfId="2" applyFont="1" applyFill="1" applyBorder="1" applyAlignment="1">
      <alignment vertical="center"/>
    </xf>
    <xf numFmtId="9" fontId="26" fillId="2" borderId="105" xfId="2" applyFont="1" applyFill="1" applyBorder="1" applyAlignment="1">
      <alignment vertical="center"/>
    </xf>
    <xf numFmtId="164" fontId="26" fillId="2" borderId="33" xfId="0" applyNumberFormat="1" applyFont="1" applyFill="1" applyBorder="1" applyAlignment="1">
      <alignment vertical="center"/>
    </xf>
    <xf numFmtId="164" fontId="26" fillId="2" borderId="34" xfId="0" applyNumberFormat="1" applyFont="1" applyFill="1" applyBorder="1" applyAlignment="1">
      <alignment vertical="center"/>
    </xf>
    <xf numFmtId="164" fontId="26" fillId="2" borderId="115" xfId="0" applyNumberFormat="1" applyFont="1" applyFill="1" applyBorder="1" applyAlignment="1">
      <alignment vertical="center"/>
    </xf>
    <xf numFmtId="173" fontId="4" fillId="2" borderId="67" xfId="6" applyNumberFormat="1" applyFont="1" applyFill="1" applyBorder="1" applyAlignment="1">
      <alignment vertical="center"/>
    </xf>
    <xf numFmtId="0" fontId="4" fillId="0" borderId="694" xfId="0" applyFont="1" applyFill="1" applyBorder="1" applyAlignment="1">
      <alignment horizontal="center" vertical="center"/>
    </xf>
    <xf numFmtId="164" fontId="7" fillId="0" borderId="67" xfId="6" applyNumberFormat="1" applyFont="1" applyFill="1" applyBorder="1" applyAlignment="1">
      <alignment horizontal="center" vertical="center"/>
    </xf>
    <xf numFmtId="164" fontId="25" fillId="2" borderId="67" xfId="6" applyNumberFormat="1" applyFont="1" applyFill="1" applyBorder="1" applyAlignment="1">
      <alignment vertical="center"/>
    </xf>
    <xf numFmtId="164" fontId="120" fillId="0" borderId="67" xfId="6" applyNumberFormat="1" applyFont="1" applyFill="1" applyBorder="1" applyAlignment="1">
      <alignment horizontal="center" vertical="center"/>
    </xf>
    <xf numFmtId="164" fontId="26" fillId="0" borderId="414" xfId="6" applyNumberFormat="1" applyFont="1" applyFill="1" applyBorder="1" applyAlignment="1">
      <alignment vertical="center"/>
    </xf>
    <xf numFmtId="173" fontId="26" fillId="2" borderId="67" xfId="6" applyNumberFormat="1" applyFont="1" applyFill="1" applyBorder="1" applyAlignment="1">
      <alignment vertical="center"/>
    </xf>
    <xf numFmtId="0" fontId="26" fillId="0" borderId="108" xfId="6" applyNumberFormat="1" applyFont="1" applyFill="1" applyBorder="1" applyAlignment="1">
      <alignment horizontal="center" vertical="center"/>
    </xf>
    <xf numFmtId="0" fontId="26" fillId="0" borderId="70" xfId="6" applyNumberFormat="1" applyFont="1" applyFill="1" applyBorder="1" applyAlignment="1">
      <alignment horizontal="center" vertical="center"/>
    </xf>
    <xf numFmtId="164" fontId="4" fillId="0" borderId="414" xfId="6" applyNumberFormat="1" applyFont="1" applyFill="1" applyBorder="1" applyAlignment="1">
      <alignment vertical="center"/>
    </xf>
    <xf numFmtId="166" fontId="4" fillId="0" borderId="152" xfId="6" applyFont="1" applyFill="1" applyBorder="1" applyAlignment="1">
      <alignment horizontal="left" vertical="center" wrapText="1"/>
    </xf>
    <xf numFmtId="167" fontId="74" fillId="0" borderId="117" xfId="6" applyNumberFormat="1" applyFont="1" applyFill="1" applyBorder="1" applyAlignment="1">
      <alignment horizontal="center" vertical="center"/>
    </xf>
    <xf numFmtId="164" fontId="74" fillId="0" borderId="105" xfId="6" applyNumberFormat="1" applyFont="1" applyFill="1" applyBorder="1" applyAlignment="1">
      <alignment vertical="center"/>
    </xf>
    <xf numFmtId="9" fontId="74" fillId="0" borderId="71" xfId="2" applyFont="1" applyFill="1" applyBorder="1" applyAlignment="1">
      <alignment vertical="center"/>
    </xf>
    <xf numFmtId="49" fontId="26" fillId="0" borderId="70" xfId="0" applyNumberFormat="1" applyFont="1" applyFill="1" applyBorder="1" applyAlignment="1">
      <alignment horizontal="center" vertical="center"/>
    </xf>
    <xf numFmtId="166" fontId="12" fillId="2" borderId="71" xfId="6" applyFont="1" applyFill="1" applyBorder="1" applyAlignment="1">
      <alignment vertical="center"/>
    </xf>
    <xf numFmtId="0" fontId="4" fillId="2" borderId="699" xfId="0" applyFont="1" applyFill="1" applyBorder="1" applyAlignment="1">
      <alignment horizontal="center" vertical="center"/>
    </xf>
    <xf numFmtId="167" fontId="12" fillId="2" borderId="325" xfId="6" applyNumberFormat="1" applyFont="1" applyFill="1" applyBorder="1" applyAlignment="1">
      <alignment horizontal="center" vertical="center"/>
    </xf>
    <xf numFmtId="167" fontId="12" fillId="2" borderId="717" xfId="6" applyNumberFormat="1" applyFont="1" applyFill="1" applyBorder="1" applyAlignment="1">
      <alignment horizontal="center" vertical="center"/>
    </xf>
    <xf numFmtId="9" fontId="89" fillId="2" borderId="71" xfId="2" applyFont="1" applyFill="1" applyBorder="1" applyAlignment="1">
      <alignment horizontal="center" vertical="center"/>
    </xf>
    <xf numFmtId="9" fontId="27" fillId="0" borderId="71" xfId="2" applyFont="1" applyFill="1" applyBorder="1" applyAlignment="1">
      <alignment horizontal="right" vertical="center"/>
    </xf>
    <xf numFmtId="166" fontId="12" fillId="4" borderId="19" xfId="6" applyFont="1" applyFill="1" applyBorder="1" applyAlignment="1">
      <alignment horizontal="center" vertical="center"/>
    </xf>
    <xf numFmtId="164" fontId="54" fillId="38" borderId="610" xfId="6" applyNumberFormat="1" applyFont="1" applyFill="1" applyBorder="1" applyAlignment="1">
      <alignment horizontal="left" vertical="center"/>
    </xf>
    <xf numFmtId="164" fontId="60" fillId="38" borderId="611" xfId="6" applyNumberFormat="1" applyFont="1" applyFill="1" applyBorder="1" applyAlignment="1">
      <alignment horizontal="right" vertical="center"/>
    </xf>
    <xf numFmtId="164" fontId="6" fillId="38" borderId="611" xfId="6" applyNumberFormat="1" applyFont="1" applyFill="1" applyBorder="1" applyAlignment="1">
      <alignment horizontal="center" vertical="center"/>
    </xf>
    <xf numFmtId="164" fontId="54" fillId="38" borderId="611" xfId="6" applyNumberFormat="1" applyFont="1" applyFill="1" applyBorder="1" applyAlignment="1">
      <alignment vertical="center"/>
    </xf>
    <xf numFmtId="9" fontId="54" fillId="38" borderId="611" xfId="2" applyFont="1" applyFill="1" applyBorder="1" applyAlignment="1">
      <alignment vertical="center"/>
    </xf>
    <xf numFmtId="164" fontId="54" fillId="38" borderId="610" xfId="6" applyNumberFormat="1" applyFont="1" applyFill="1" applyBorder="1" applyAlignment="1">
      <alignment vertical="center"/>
    </xf>
    <xf numFmtId="164" fontId="54" fillId="38" borderId="612" xfId="6" applyNumberFormat="1" applyFont="1" applyFill="1" applyBorder="1" applyAlignment="1">
      <alignment vertical="center"/>
    </xf>
    <xf numFmtId="164" fontId="54" fillId="38" borderId="610" xfId="6" applyNumberFormat="1" applyFont="1" applyFill="1" applyBorder="1" applyAlignment="1">
      <alignment horizontal="center" vertical="center"/>
    </xf>
    <xf numFmtId="164" fontId="54" fillId="38" borderId="613" xfId="6" applyNumberFormat="1" applyFont="1" applyFill="1" applyBorder="1" applyAlignment="1">
      <alignment horizontal="center" vertical="center"/>
    </xf>
    <xf numFmtId="9" fontId="54" fillId="38" borderId="614" xfId="2" applyFont="1" applyFill="1" applyBorder="1" applyAlignment="1">
      <alignment horizontal="center" vertical="center"/>
    </xf>
    <xf numFmtId="164" fontId="54" fillId="38" borderId="615" xfId="6" applyNumberFormat="1" applyFont="1" applyFill="1" applyBorder="1" applyAlignment="1">
      <alignment horizontal="center" vertical="center"/>
    </xf>
    <xf numFmtId="9" fontId="54" fillId="38" borderId="616" xfId="2" applyFont="1" applyFill="1" applyBorder="1" applyAlignment="1">
      <alignment horizontal="center" vertical="center"/>
    </xf>
    <xf numFmtId="9" fontId="54" fillId="38" borderId="611" xfId="2" applyFont="1" applyFill="1" applyBorder="1" applyAlignment="1">
      <alignment horizontal="center" vertical="center"/>
    </xf>
    <xf numFmtId="9" fontId="54" fillId="38" borderId="612" xfId="2" applyFont="1" applyFill="1" applyBorder="1" applyAlignment="1">
      <alignment horizontal="center" vertical="center"/>
    </xf>
    <xf numFmtId="164" fontId="54" fillId="38" borderId="0" xfId="6" applyNumberFormat="1" applyFont="1" applyFill="1" applyBorder="1" applyAlignment="1">
      <alignment vertical="center"/>
    </xf>
    <xf numFmtId="164" fontId="54" fillId="38" borderId="0" xfId="6" applyNumberFormat="1" applyFont="1" applyFill="1" applyAlignment="1">
      <alignment vertical="center"/>
    </xf>
    <xf numFmtId="9" fontId="21" fillId="38" borderId="612" xfId="2" applyFont="1" applyFill="1" applyBorder="1" applyAlignment="1">
      <alignment horizontal="center" vertical="center"/>
    </xf>
    <xf numFmtId="9" fontId="2" fillId="38" borderId="611" xfId="2" applyFont="1" applyFill="1" applyBorder="1" applyAlignment="1">
      <alignment horizontal="center" vertical="center"/>
    </xf>
    <xf numFmtId="9" fontId="2" fillId="38" borderId="612" xfId="2" applyFont="1" applyFill="1" applyBorder="1" applyAlignment="1">
      <alignment vertical="center"/>
    </xf>
    <xf numFmtId="49" fontId="54" fillId="38" borderId="610" xfId="6" applyNumberFormat="1" applyFont="1" applyFill="1" applyBorder="1" applyAlignment="1">
      <alignment horizontal="center" vertical="center"/>
    </xf>
    <xf numFmtId="49" fontId="54" fillId="38" borderId="611" xfId="6" applyNumberFormat="1" applyFont="1" applyFill="1" applyBorder="1" applyAlignment="1">
      <alignment horizontal="center" vertical="center"/>
    </xf>
    <xf numFmtId="9" fontId="2" fillId="38" borderId="606" xfId="2" applyFont="1" applyFill="1" applyBorder="1" applyAlignment="1">
      <alignment vertical="center"/>
    </xf>
    <xf numFmtId="9" fontId="2" fillId="38" borderId="607" xfId="2" applyFont="1" applyFill="1" applyBorder="1" applyAlignment="1">
      <alignment vertical="center"/>
    </xf>
    <xf numFmtId="164" fontId="60" fillId="38" borderId="610" xfId="6" applyNumberFormat="1" applyFont="1" applyFill="1" applyBorder="1" applyAlignment="1">
      <alignment horizontal="center" vertical="center"/>
    </xf>
    <xf numFmtId="164" fontId="60" fillId="38" borderId="611" xfId="6" applyNumberFormat="1" applyFont="1" applyFill="1" applyBorder="1" applyAlignment="1">
      <alignment vertical="center"/>
    </xf>
    <xf numFmtId="9" fontId="60" fillId="38" borderId="612" xfId="2" applyFont="1" applyFill="1" applyBorder="1" applyAlignment="1">
      <alignment vertical="center"/>
    </xf>
    <xf numFmtId="9" fontId="54" fillId="38" borderId="607" xfId="2" applyFont="1" applyFill="1" applyBorder="1" applyAlignment="1">
      <alignment vertical="center"/>
    </xf>
    <xf numFmtId="9" fontId="54" fillId="38" borderId="612" xfId="2" applyFont="1" applyFill="1" applyBorder="1" applyAlignment="1">
      <alignment vertical="center"/>
    </xf>
    <xf numFmtId="164" fontId="21" fillId="38" borderId="0" xfId="0" applyNumberFormat="1" applyFont="1" applyFill="1" applyAlignment="1">
      <alignment vertical="center"/>
    </xf>
    <xf numFmtId="9" fontId="2" fillId="38" borderId="607" xfId="2" applyFont="1" applyFill="1" applyBorder="1" applyAlignment="1">
      <alignment horizontal="center" vertical="center"/>
    </xf>
    <xf numFmtId="167" fontId="54" fillId="38" borderId="610" xfId="6" applyNumberFormat="1" applyFont="1" applyFill="1" applyBorder="1" applyAlignment="1">
      <alignment horizontal="center" vertical="center"/>
    </xf>
    <xf numFmtId="164" fontId="12" fillId="2" borderId="620" xfId="6" applyNumberFormat="1" applyFont="1" applyFill="1" applyBorder="1" applyAlignment="1">
      <alignment horizontal="center" vertical="center"/>
    </xf>
    <xf numFmtId="164" fontId="12" fillId="0" borderId="211" xfId="6" applyNumberFormat="1" applyFont="1" applyFill="1" applyBorder="1" applyAlignment="1">
      <alignment vertical="center"/>
    </xf>
    <xf numFmtId="164" fontId="12" fillId="19" borderId="67" xfId="6" applyNumberFormat="1" applyFont="1" applyFill="1" applyBorder="1" applyAlignment="1">
      <alignment vertical="center"/>
    </xf>
    <xf numFmtId="167" fontId="12" fillId="2" borderId="183" xfId="6" applyNumberFormat="1" applyFont="1" applyFill="1" applyBorder="1" applyAlignment="1">
      <alignment horizontal="center" vertical="center"/>
    </xf>
    <xf numFmtId="164" fontId="12" fillId="2" borderId="696" xfId="6" applyNumberFormat="1" applyFont="1" applyFill="1" applyBorder="1" applyAlignment="1">
      <alignment vertical="center"/>
    </xf>
    <xf numFmtId="167" fontId="12" fillId="37" borderId="81" xfId="6" applyNumberFormat="1" applyFont="1" applyFill="1" applyBorder="1" applyAlignment="1">
      <alignment horizontal="center" vertical="center"/>
    </xf>
    <xf numFmtId="164" fontId="121" fillId="7" borderId="157" xfId="6" applyNumberFormat="1" applyFont="1" applyFill="1" applyBorder="1" applyAlignment="1">
      <alignment vertical="center"/>
    </xf>
    <xf numFmtId="167" fontId="3" fillId="7" borderId="81" xfId="6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vertical="center"/>
    </xf>
    <xf numFmtId="164" fontId="4" fillId="2" borderId="41" xfId="5" applyNumberFormat="1" applyFont="1" applyFill="1" applyBorder="1" applyAlignment="1">
      <alignment vertical="center"/>
    </xf>
    <xf numFmtId="165" fontId="4" fillId="39" borderId="37" xfId="1" applyNumberFormat="1" applyFont="1" applyFill="1" applyBorder="1" applyAlignment="1">
      <alignment vertical="center"/>
    </xf>
    <xf numFmtId="43" fontId="9" fillId="2" borderId="0" xfId="0" applyNumberFormat="1" applyFont="1" applyFill="1" applyAlignment="1">
      <alignment vertical="center"/>
    </xf>
    <xf numFmtId="165" fontId="4" fillId="2" borderId="109" xfId="1" applyNumberFormat="1" applyFont="1" applyFill="1" applyBorder="1" applyAlignment="1">
      <alignment vertical="center"/>
    </xf>
    <xf numFmtId="165" fontId="61" fillId="2" borderId="109" xfId="1" applyNumberFormat="1" applyFont="1" applyFill="1" applyBorder="1" applyAlignment="1">
      <alignment vertical="center"/>
    </xf>
    <xf numFmtId="165" fontId="9" fillId="2" borderId="102" xfId="1" applyNumberFormat="1" applyFont="1" applyFill="1" applyBorder="1" applyAlignment="1">
      <alignment vertical="center"/>
    </xf>
    <xf numFmtId="165" fontId="4" fillId="2" borderId="74" xfId="1" applyNumberFormat="1" applyFont="1" applyFill="1" applyBorder="1" applyAlignment="1">
      <alignment vertical="center"/>
    </xf>
    <xf numFmtId="0" fontId="4" fillId="2" borderId="324" xfId="0" applyFont="1" applyFill="1" applyBorder="1" applyAlignment="1">
      <alignment horizontal="center" vertical="center"/>
    </xf>
    <xf numFmtId="0" fontId="4" fillId="2" borderId="337" xfId="0" applyFont="1" applyFill="1" applyBorder="1" applyAlignment="1">
      <alignment horizontal="center" vertical="center"/>
    </xf>
    <xf numFmtId="0" fontId="4" fillId="2" borderId="338" xfId="0" applyFont="1" applyFill="1" applyBorder="1" applyAlignment="1">
      <alignment horizontal="center" vertical="center"/>
    </xf>
    <xf numFmtId="0" fontId="61" fillId="2" borderId="338" xfId="0" applyFont="1" applyFill="1" applyBorder="1" applyAlignment="1">
      <alignment horizontal="center" vertical="center"/>
    </xf>
    <xf numFmtId="167" fontId="4" fillId="2" borderId="129" xfId="1" applyNumberFormat="1" applyFont="1" applyFill="1" applyBorder="1" applyAlignment="1">
      <alignment horizontal="center" vertical="center"/>
    </xf>
    <xf numFmtId="167" fontId="4" fillId="2" borderId="37" xfId="1" applyNumberFormat="1" applyFont="1" applyFill="1" applyBorder="1" applyAlignment="1">
      <alignment horizontal="center" vertical="center"/>
    </xf>
    <xf numFmtId="167" fontId="4" fillId="2" borderId="37" xfId="0" applyNumberFormat="1" applyFont="1" applyFill="1" applyBorder="1" applyAlignment="1">
      <alignment horizontal="center" vertical="center"/>
    </xf>
    <xf numFmtId="167" fontId="4" fillId="2" borderId="127" xfId="1" applyNumberFormat="1" applyFont="1" applyFill="1" applyBorder="1" applyAlignment="1">
      <alignment horizontal="center" vertical="center"/>
    </xf>
    <xf numFmtId="167" fontId="61" fillId="2" borderId="127" xfId="1" applyNumberFormat="1" applyFont="1" applyFill="1" applyBorder="1" applyAlignment="1">
      <alignment horizontal="center" vertical="center"/>
    </xf>
    <xf numFmtId="167" fontId="4" fillId="2" borderId="34" xfId="1" applyNumberFormat="1" applyFont="1" applyFill="1" applyBorder="1" applyAlignment="1">
      <alignment horizontal="center" vertical="center"/>
    </xf>
    <xf numFmtId="0" fontId="55" fillId="2" borderId="732" xfId="0" applyFont="1" applyFill="1" applyBorder="1" applyAlignment="1">
      <alignment vertical="center"/>
    </xf>
    <xf numFmtId="0" fontId="55" fillId="2" borderId="620" xfId="0" applyFont="1" applyFill="1" applyBorder="1" applyAlignment="1">
      <alignment horizontal="center" vertical="center"/>
    </xf>
    <xf numFmtId="0" fontId="55" fillId="2" borderId="342" xfId="0" applyFont="1" applyFill="1" applyBorder="1" applyAlignment="1">
      <alignment horizontal="center" vertical="center"/>
    </xf>
    <xf numFmtId="0" fontId="55" fillId="2" borderId="620" xfId="0" applyFont="1" applyFill="1" applyBorder="1" applyAlignment="1">
      <alignment horizontal="left" vertical="center"/>
    </xf>
    <xf numFmtId="165" fontId="55" fillId="2" borderId="620" xfId="1" applyNumberFormat="1" applyFont="1" applyFill="1" applyBorder="1" applyAlignment="1">
      <alignment horizontal="left" vertical="center"/>
    </xf>
    <xf numFmtId="165" fontId="55" fillId="2" borderId="620" xfId="1" applyNumberFormat="1" applyFont="1" applyFill="1" applyBorder="1" applyAlignment="1">
      <alignment horizontal="center" vertical="center"/>
    </xf>
    <xf numFmtId="0" fontId="55" fillId="2" borderId="341" xfId="0" applyFont="1" applyFill="1" applyBorder="1" applyAlignment="1">
      <alignment horizontal="left" vertical="center"/>
    </xf>
    <xf numFmtId="9" fontId="55" fillId="2" borderId="342" xfId="2" applyFont="1" applyFill="1" applyBorder="1" applyAlignment="1">
      <alignment horizontal="center" vertical="center"/>
    </xf>
    <xf numFmtId="0" fontId="55" fillId="2" borderId="341" xfId="0" applyFont="1" applyFill="1" applyBorder="1" applyAlignment="1">
      <alignment horizontal="center" vertical="center"/>
    </xf>
    <xf numFmtId="0" fontId="55" fillId="2" borderId="341" xfId="0" applyFont="1" applyFill="1" applyBorder="1" applyAlignment="1">
      <alignment vertical="center"/>
    </xf>
    <xf numFmtId="0" fontId="55" fillId="2" borderId="620" xfId="0" applyFont="1" applyFill="1" applyBorder="1" applyAlignment="1">
      <alignment vertical="center"/>
    </xf>
    <xf numFmtId="165" fontId="55" fillId="2" borderId="620" xfId="1" applyNumberFormat="1" applyFont="1" applyFill="1" applyBorder="1" applyAlignment="1">
      <alignment vertical="center"/>
    </xf>
    <xf numFmtId="167" fontId="55" fillId="2" borderId="341" xfId="0" applyNumberFormat="1" applyFont="1" applyFill="1" applyBorder="1" applyAlignment="1">
      <alignment vertical="center"/>
    </xf>
    <xf numFmtId="167" fontId="55" fillId="2" borderId="620" xfId="0" applyNumberFormat="1" applyFont="1" applyFill="1" applyBorder="1" applyAlignment="1">
      <alignment vertical="center"/>
    </xf>
    <xf numFmtId="0" fontId="55" fillId="2" borderId="342" xfId="0" applyFont="1" applyFill="1" applyBorder="1" applyAlignment="1">
      <alignment vertical="center"/>
    </xf>
    <xf numFmtId="165" fontId="55" fillId="2" borderId="341" xfId="1" applyNumberFormat="1" applyFont="1" applyFill="1" applyBorder="1" applyAlignment="1">
      <alignment vertical="center"/>
    </xf>
    <xf numFmtId="171" fontId="55" fillId="2" borderId="620" xfId="0" applyNumberFormat="1" applyFont="1" applyFill="1" applyBorder="1" applyAlignment="1">
      <alignment vertical="center"/>
    </xf>
    <xf numFmtId="164" fontId="55" fillId="2" borderId="620" xfId="5" applyNumberFormat="1" applyFont="1" applyFill="1" applyBorder="1" applyAlignment="1">
      <alignment vertical="center"/>
    </xf>
    <xf numFmtId="9" fontId="55" fillId="2" borderId="620" xfId="2" applyFont="1" applyFill="1" applyBorder="1" applyAlignment="1">
      <alignment vertical="center"/>
    </xf>
    <xf numFmtId="9" fontId="55" fillId="2" borderId="342" xfId="2" applyFont="1" applyFill="1" applyBorder="1" applyAlignment="1">
      <alignment vertical="center"/>
    </xf>
    <xf numFmtId="9" fontId="55" fillId="2" borderId="341" xfId="2" applyFont="1" applyFill="1" applyBorder="1" applyAlignment="1">
      <alignment vertical="center"/>
    </xf>
    <xf numFmtId="172" fontId="55" fillId="2" borderId="620" xfId="1" applyNumberFormat="1" applyFont="1" applyFill="1" applyBorder="1" applyAlignment="1">
      <alignment horizontal="center" vertical="center"/>
    </xf>
    <xf numFmtId="172" fontId="55" fillId="2" borderId="620" xfId="1" applyNumberFormat="1" applyFont="1" applyFill="1" applyBorder="1" applyAlignment="1">
      <alignment vertical="center"/>
    </xf>
    <xf numFmtId="165" fontId="55" fillId="2" borderId="618" xfId="1" applyNumberFormat="1" applyFont="1" applyFill="1" applyBorder="1" applyAlignment="1">
      <alignment vertical="center"/>
    </xf>
    <xf numFmtId="9" fontId="55" fillId="2" borderId="618" xfId="2" applyFont="1" applyFill="1" applyBorder="1" applyAlignment="1">
      <alignment vertical="center"/>
    </xf>
    <xf numFmtId="9" fontId="55" fillId="2" borderId="619" xfId="2" applyFont="1" applyFill="1" applyBorder="1" applyAlignment="1">
      <alignment vertical="center"/>
    </xf>
    <xf numFmtId="172" fontId="55" fillId="2" borderId="341" xfId="1" applyNumberFormat="1" applyFont="1" applyFill="1" applyBorder="1" applyAlignment="1">
      <alignment horizontal="left" vertical="center"/>
    </xf>
    <xf numFmtId="0" fontId="55" fillId="2" borderId="618" xfId="0" applyFont="1" applyFill="1" applyBorder="1" applyAlignment="1">
      <alignment vertical="center"/>
    </xf>
    <xf numFmtId="165" fontId="55" fillId="2" borderId="341" xfId="1" applyNumberFormat="1" applyFont="1" applyFill="1" applyBorder="1" applyAlignment="1">
      <alignment horizontal="left" vertical="center"/>
    </xf>
    <xf numFmtId="165" fontId="55" fillId="2" borderId="617" xfId="1" applyNumberFormat="1" applyFont="1" applyFill="1" applyBorder="1" applyAlignment="1">
      <alignment vertical="center"/>
    </xf>
    <xf numFmtId="9" fontId="55" fillId="2" borderId="617" xfId="2" applyFont="1" applyFill="1" applyBorder="1" applyAlignment="1">
      <alignment vertical="center"/>
    </xf>
    <xf numFmtId="0" fontId="21" fillId="34" borderId="0" xfId="0" applyFont="1" applyFill="1" applyBorder="1" applyAlignment="1">
      <alignment horizontal="center" vertical="center"/>
    </xf>
    <xf numFmtId="9" fontId="21" fillId="34" borderId="514" xfId="2" applyFont="1" applyFill="1" applyBorder="1" applyAlignment="1">
      <alignment horizontal="center" vertical="center" wrapText="1"/>
    </xf>
    <xf numFmtId="0" fontId="4" fillId="2" borderId="195" xfId="0" applyFont="1" applyFill="1" applyBorder="1" applyAlignment="1">
      <alignment vertical="center"/>
    </xf>
    <xf numFmtId="9" fontId="4" fillId="2" borderId="737" xfId="2" applyFont="1" applyFill="1" applyBorder="1" applyAlignment="1">
      <alignment horizontal="center" vertical="center"/>
    </xf>
    <xf numFmtId="0" fontId="4" fillId="2" borderId="104" xfId="0" applyFont="1" applyFill="1" applyBorder="1" applyAlignment="1">
      <alignment vertical="center"/>
    </xf>
    <xf numFmtId="9" fontId="4" fillId="2" borderId="349" xfId="2" applyFont="1" applyFill="1" applyBorder="1" applyAlignment="1">
      <alignment horizontal="center" vertical="center"/>
    </xf>
    <xf numFmtId="0" fontId="4" fillId="2" borderId="326" xfId="0" applyFont="1" applyFill="1" applyBorder="1" applyAlignment="1">
      <alignment vertical="center"/>
    </xf>
    <xf numFmtId="9" fontId="4" fillId="2" borderId="462" xfId="2" applyFont="1" applyFill="1" applyBorder="1" applyAlignment="1">
      <alignment horizontal="center" vertical="center"/>
    </xf>
    <xf numFmtId="0" fontId="61" fillId="2" borderId="326" xfId="0" applyFont="1" applyFill="1" applyBorder="1" applyAlignment="1">
      <alignment vertical="center"/>
    </xf>
    <xf numFmtId="9" fontId="61" fillId="2" borderId="462" xfId="2" applyFont="1" applyFill="1" applyBorder="1" applyAlignment="1">
      <alignment horizontal="center" vertical="center"/>
    </xf>
    <xf numFmtId="0" fontId="9" fillId="28" borderId="113" xfId="0" applyFont="1" applyFill="1" applyBorder="1" applyAlignment="1">
      <alignment vertical="center"/>
    </xf>
    <xf numFmtId="9" fontId="9" fillId="28" borderId="514" xfId="2" applyFont="1" applyFill="1" applyBorder="1" applyAlignment="1">
      <alignment horizontal="center" vertical="center"/>
    </xf>
    <xf numFmtId="0" fontId="9" fillId="2" borderId="324" xfId="0" applyFont="1" applyFill="1" applyBorder="1" applyAlignment="1">
      <alignment vertical="center"/>
    </xf>
    <xf numFmtId="9" fontId="9" fillId="2" borderId="193" xfId="2" applyFont="1" applyFill="1" applyBorder="1" applyAlignment="1">
      <alignment horizontal="center" vertical="center"/>
    </xf>
    <xf numFmtId="9" fontId="4" fillId="2" borderId="193" xfId="2" applyFont="1" applyFill="1" applyBorder="1" applyAlignment="1">
      <alignment horizontal="center" vertical="center"/>
    </xf>
    <xf numFmtId="0" fontId="4" fillId="2" borderId="566" xfId="0" applyFont="1" applyFill="1" applyBorder="1" applyAlignment="1">
      <alignment vertical="center"/>
    </xf>
    <xf numFmtId="43" fontId="4" fillId="2" borderId="349" xfId="1" applyFont="1" applyFill="1" applyBorder="1" applyAlignment="1">
      <alignment horizontal="center" vertical="center"/>
    </xf>
    <xf numFmtId="0" fontId="4" fillId="0" borderId="326" xfId="0" applyFont="1" applyFill="1" applyBorder="1" applyAlignment="1">
      <alignment vertical="center"/>
    </xf>
    <xf numFmtId="0" fontId="4" fillId="2" borderId="324" xfId="0" applyFont="1" applyFill="1" applyBorder="1" applyAlignment="1">
      <alignment vertical="center"/>
    </xf>
    <xf numFmtId="0" fontId="4" fillId="0" borderId="104" xfId="0" applyFont="1" applyFill="1" applyBorder="1" applyAlignment="1">
      <alignment vertical="center"/>
    </xf>
    <xf numFmtId="0" fontId="4" fillId="2" borderId="337" xfId="0" applyFont="1" applyFill="1" applyBorder="1" applyAlignment="1">
      <alignment vertical="center"/>
    </xf>
    <xf numFmtId="167" fontId="4" fillId="2" borderId="339" xfId="1" applyNumberFormat="1" applyFont="1" applyFill="1" applyBorder="1" applyAlignment="1">
      <alignment horizontal="center" vertical="center"/>
    </xf>
    <xf numFmtId="9" fontId="4" fillId="2" borderId="737" xfId="2" applyFont="1" applyFill="1" applyBorder="1" applyAlignment="1">
      <alignment vertical="center"/>
    </xf>
    <xf numFmtId="167" fontId="4" fillId="2" borderId="337" xfId="1" applyNumberFormat="1" applyFont="1" applyFill="1" applyBorder="1" applyAlignment="1">
      <alignment horizontal="center" vertical="center"/>
    </xf>
    <xf numFmtId="9" fontId="4" fillId="2" borderId="349" xfId="2" applyFont="1" applyFill="1" applyBorder="1" applyAlignment="1">
      <alignment vertical="center"/>
    </xf>
    <xf numFmtId="43" fontId="4" fillId="2" borderId="349" xfId="1" applyFont="1" applyFill="1" applyBorder="1" applyAlignment="1">
      <alignment vertical="center"/>
    </xf>
    <xf numFmtId="167" fontId="4" fillId="2" borderId="338" xfId="1" applyNumberFormat="1" applyFont="1" applyFill="1" applyBorder="1" applyAlignment="1">
      <alignment horizontal="center" vertical="center"/>
    </xf>
    <xf numFmtId="9" fontId="4" fillId="2" borderId="462" xfId="2" applyFont="1" applyFill="1" applyBorder="1" applyAlignment="1">
      <alignment vertical="center"/>
    </xf>
    <xf numFmtId="167" fontId="61" fillId="2" borderId="338" xfId="1" applyNumberFormat="1" applyFont="1" applyFill="1" applyBorder="1" applyAlignment="1">
      <alignment horizontal="center" vertical="center"/>
    </xf>
    <xf numFmtId="9" fontId="61" fillId="2" borderId="462" xfId="2" applyFont="1" applyFill="1" applyBorder="1" applyAlignment="1">
      <alignment vertical="center"/>
    </xf>
    <xf numFmtId="9" fontId="9" fillId="28" borderId="514" xfId="2" applyFont="1" applyFill="1" applyBorder="1" applyAlignment="1">
      <alignment vertical="center"/>
    </xf>
    <xf numFmtId="9" fontId="9" fillId="2" borderId="193" xfId="2" applyFont="1" applyFill="1" applyBorder="1" applyAlignment="1">
      <alignment vertical="center"/>
    </xf>
    <xf numFmtId="167" fontId="4" fillId="2" borderId="324" xfId="1" applyNumberFormat="1" applyFont="1" applyFill="1" applyBorder="1" applyAlignment="1">
      <alignment horizontal="center" vertical="center"/>
    </xf>
    <xf numFmtId="9" fontId="4" fillId="2" borderId="193" xfId="2" applyFont="1" applyFill="1" applyBorder="1" applyAlignment="1">
      <alignment vertical="center"/>
    </xf>
    <xf numFmtId="0" fontId="4" fillId="0" borderId="104" xfId="0" applyFont="1" applyFill="1" applyBorder="1" applyAlignment="1">
      <alignment horizontal="center" vertical="center"/>
    </xf>
    <xf numFmtId="0" fontId="4" fillId="0" borderId="337" xfId="0" applyFont="1" applyFill="1" applyBorder="1" applyAlignment="1">
      <alignment horizontal="center" vertical="center"/>
    </xf>
    <xf numFmtId="165" fontId="4" fillId="2" borderId="337" xfId="1" applyNumberFormat="1" applyFont="1" applyFill="1" applyBorder="1" applyAlignment="1">
      <alignment horizontal="center" vertical="center"/>
    </xf>
    <xf numFmtId="167" fontId="4" fillId="0" borderId="37" xfId="0" applyNumberFormat="1" applyFont="1" applyFill="1" applyBorder="1" applyAlignment="1">
      <alignment horizontal="center" vertical="center"/>
    </xf>
    <xf numFmtId="165" fontId="4" fillId="2" borderId="343" xfId="1" applyNumberFormat="1" applyFont="1" applyFill="1" applyBorder="1" applyAlignment="1">
      <alignment horizontal="center" vertical="center"/>
    </xf>
    <xf numFmtId="9" fontId="55" fillId="2" borderId="738" xfId="2" applyFont="1" applyFill="1" applyBorder="1" applyAlignment="1">
      <alignment vertical="center"/>
    </xf>
    <xf numFmtId="167" fontId="4" fillId="2" borderId="104" xfId="0" applyNumberFormat="1" applyFont="1" applyFill="1" applyBorder="1" applyAlignment="1">
      <alignment horizontal="center" vertical="center"/>
    </xf>
    <xf numFmtId="167" fontId="4" fillId="0" borderId="195" xfId="0" applyNumberFormat="1" applyFont="1" applyFill="1" applyBorder="1" applyAlignment="1">
      <alignment horizontal="center" vertical="center"/>
    </xf>
    <xf numFmtId="167" fontId="4" fillId="0" borderId="104" xfId="0" applyNumberFormat="1" applyFont="1" applyFill="1" applyBorder="1" applyAlignment="1">
      <alignment horizontal="center" vertical="center"/>
    </xf>
    <xf numFmtId="1" fontId="9" fillId="2" borderId="339" xfId="2" applyNumberFormat="1" applyFont="1" applyFill="1" applyBorder="1" applyAlignment="1">
      <alignment horizontal="center" vertical="center"/>
    </xf>
    <xf numFmtId="9" fontId="9" fillId="2" borderId="737" xfId="2" applyFont="1" applyFill="1" applyBorder="1" applyAlignment="1">
      <alignment vertical="center"/>
    </xf>
    <xf numFmtId="9" fontId="32" fillId="2" borderId="349" xfId="2" applyFont="1" applyFill="1" applyBorder="1" applyAlignment="1">
      <alignment vertical="center"/>
    </xf>
    <xf numFmtId="1" fontId="9" fillId="2" borderId="195" xfId="2" applyNumberFormat="1" applyFont="1" applyFill="1" applyBorder="1" applyAlignment="1">
      <alignment horizontal="center" vertical="center"/>
    </xf>
    <xf numFmtId="165" fontId="55" fillId="2" borderId="739" xfId="1" applyNumberFormat="1" applyFont="1" applyFill="1" applyBorder="1" applyAlignment="1">
      <alignment vertical="center"/>
    </xf>
    <xf numFmtId="165" fontId="4" fillId="2" borderId="526" xfId="1" applyNumberFormat="1" applyFont="1" applyFill="1" applyBorder="1" applyAlignment="1">
      <alignment vertical="center"/>
    </xf>
    <xf numFmtId="165" fontId="4" fillId="2" borderId="104" xfId="1" applyNumberFormat="1" applyFont="1" applyFill="1" applyBorder="1" applyAlignment="1">
      <alignment vertical="center"/>
    </xf>
    <xf numFmtId="165" fontId="4" fillId="2" borderId="326" xfId="1" applyNumberFormat="1" applyFont="1" applyFill="1" applyBorder="1" applyAlignment="1">
      <alignment vertical="center"/>
    </xf>
    <xf numFmtId="165" fontId="61" fillId="2" borderId="326" xfId="1" applyNumberFormat="1" applyFont="1" applyFill="1" applyBorder="1" applyAlignment="1">
      <alignment vertical="center"/>
    </xf>
    <xf numFmtId="1" fontId="9" fillId="28" borderId="594" xfId="2" applyNumberFormat="1" applyFont="1" applyFill="1" applyBorder="1" applyAlignment="1">
      <alignment horizontal="center" vertical="center"/>
    </xf>
    <xf numFmtId="43" fontId="4" fillId="2" borderId="193" xfId="1" applyFont="1" applyFill="1" applyBorder="1" applyAlignment="1">
      <alignment vertical="center"/>
    </xf>
    <xf numFmtId="43" fontId="4" fillId="2" borderId="462" xfId="1" applyFont="1" applyFill="1" applyBorder="1" applyAlignment="1">
      <alignment vertical="center"/>
    </xf>
    <xf numFmtId="165" fontId="4" fillId="0" borderId="127" xfId="1" applyNumberFormat="1" applyFont="1" applyFill="1" applyBorder="1" applyAlignment="1">
      <alignment vertical="center"/>
    </xf>
    <xf numFmtId="0" fontId="4" fillId="2" borderId="192" xfId="0" applyFont="1" applyFill="1" applyBorder="1" applyAlignment="1">
      <alignment horizontal="center" vertical="center"/>
    </xf>
    <xf numFmtId="9" fontId="4" fillId="0" borderId="191" xfId="2" applyFont="1" applyFill="1" applyBorder="1" applyAlignment="1">
      <alignment vertical="center"/>
    </xf>
    <xf numFmtId="9" fontId="4" fillId="0" borderId="108" xfId="2" applyFont="1" applyFill="1" applyBorder="1" applyAlignment="1">
      <alignment vertical="center"/>
    </xf>
    <xf numFmtId="9" fontId="4" fillId="0" borderId="107" xfId="2" applyFont="1" applyFill="1" applyBorder="1" applyAlignment="1">
      <alignment vertical="center"/>
    </xf>
    <xf numFmtId="165" fontId="4" fillId="0" borderId="126" xfId="1" applyNumberFormat="1" applyFont="1" applyFill="1" applyBorder="1" applyAlignment="1">
      <alignment vertical="center"/>
    </xf>
    <xf numFmtId="171" fontId="4" fillId="0" borderId="127" xfId="2" applyNumberFormat="1" applyFont="1" applyFill="1" applyBorder="1" applyAlignment="1">
      <alignment vertical="center"/>
    </xf>
    <xf numFmtId="167" fontId="4" fillId="0" borderId="126" xfId="2" applyNumberFormat="1" applyFont="1" applyFill="1" applyBorder="1" applyAlignment="1">
      <alignment vertical="center"/>
    </xf>
    <xf numFmtId="9" fontId="4" fillId="0" borderId="126" xfId="2" applyFont="1" applyFill="1" applyBorder="1" applyAlignment="1">
      <alignment vertical="center"/>
    </xf>
    <xf numFmtId="9" fontId="12" fillId="0" borderId="127" xfId="2" applyFont="1" applyFill="1" applyBorder="1" applyAlignment="1">
      <alignment vertical="center"/>
    </xf>
    <xf numFmtId="0" fontId="4" fillId="0" borderId="126" xfId="0" applyFont="1" applyFill="1" applyBorder="1" applyAlignment="1">
      <alignment horizontal="center" vertical="center"/>
    </xf>
    <xf numFmtId="164" fontId="4" fillId="0" borderId="127" xfId="5" applyNumberFormat="1" applyFont="1" applyFill="1" applyBorder="1" applyAlignment="1">
      <alignment vertical="center"/>
    </xf>
    <xf numFmtId="9" fontId="4" fillId="0" borderId="190" xfId="2" applyFont="1" applyFill="1" applyBorder="1" applyAlignment="1">
      <alignment vertical="center"/>
    </xf>
    <xf numFmtId="172" fontId="4" fillId="2" borderId="127" xfId="1" applyNumberFormat="1" applyFont="1" applyFill="1" applyBorder="1" applyAlignment="1">
      <alignment vertical="center"/>
    </xf>
    <xf numFmtId="9" fontId="4" fillId="2" borderId="55" xfId="2" applyFont="1" applyFill="1" applyBorder="1" applyAlignment="1">
      <alignment horizontal="center" vertical="center"/>
    </xf>
    <xf numFmtId="9" fontId="4" fillId="2" borderId="55" xfId="2" applyFont="1" applyFill="1" applyBorder="1" applyAlignment="1">
      <alignment vertical="center"/>
    </xf>
    <xf numFmtId="165" fontId="4" fillId="2" borderId="566" xfId="1" applyNumberFormat="1" applyFont="1" applyFill="1" applyBorder="1" applyAlignment="1">
      <alignment vertical="center"/>
    </xf>
    <xf numFmtId="43" fontId="4" fillId="2" borderId="55" xfId="1" applyFont="1" applyFill="1" applyBorder="1" applyAlignment="1">
      <alignment vertical="center"/>
    </xf>
    <xf numFmtId="0" fontId="9" fillId="32" borderId="615" xfId="0" applyFont="1" applyFill="1" applyBorder="1" applyAlignment="1">
      <alignment horizontal="center" vertical="center"/>
    </xf>
    <xf numFmtId="0" fontId="9" fillId="28" borderId="615" xfId="0" applyFont="1" applyFill="1" applyBorder="1" applyAlignment="1">
      <alignment horizontal="right" vertical="center"/>
    </xf>
    <xf numFmtId="0" fontId="9" fillId="28" borderId="611" xfId="0" applyFont="1" applyFill="1" applyBorder="1" applyAlignment="1">
      <alignment horizontal="center" vertical="center"/>
    </xf>
    <xf numFmtId="165" fontId="9" fillId="28" borderId="610" xfId="1" applyNumberFormat="1" applyFont="1" applyFill="1" applyBorder="1" applyAlignment="1">
      <alignment vertical="center"/>
    </xf>
    <xf numFmtId="165" fontId="9" fillId="28" borderId="611" xfId="1" applyNumberFormat="1" applyFont="1" applyFill="1" applyBorder="1" applyAlignment="1">
      <alignment vertical="center"/>
    </xf>
    <xf numFmtId="9" fontId="9" fillId="28" borderId="611" xfId="2" applyFont="1" applyFill="1" applyBorder="1" applyAlignment="1">
      <alignment horizontal="center" vertical="center"/>
    </xf>
    <xf numFmtId="9" fontId="9" fillId="28" borderId="612" xfId="2" applyFont="1" applyFill="1" applyBorder="1" applyAlignment="1">
      <alignment horizontal="center" vertical="center"/>
    </xf>
    <xf numFmtId="0" fontId="9" fillId="28" borderId="612" xfId="0" applyFont="1" applyFill="1" applyBorder="1" applyAlignment="1">
      <alignment horizontal="center" vertical="center"/>
    </xf>
    <xf numFmtId="9" fontId="9" fillId="28" borderId="612" xfId="2" applyFont="1" applyFill="1" applyBorder="1" applyAlignment="1">
      <alignment vertical="center"/>
    </xf>
    <xf numFmtId="9" fontId="9" fillId="28" borderId="611" xfId="2" applyFont="1" applyFill="1" applyBorder="1" applyAlignment="1">
      <alignment vertical="center"/>
    </xf>
    <xf numFmtId="165" fontId="9" fillId="28" borderId="610" xfId="1" applyNumberFormat="1" applyFont="1" applyFill="1" applyBorder="1" applyAlignment="1">
      <alignment horizontal="center" vertical="center"/>
    </xf>
    <xf numFmtId="9" fontId="9" fillId="28" borderId="610" xfId="2" applyFont="1" applyFill="1" applyBorder="1" applyAlignment="1">
      <alignment vertical="center"/>
    </xf>
    <xf numFmtId="167" fontId="9" fillId="28" borderId="610" xfId="1" applyNumberFormat="1" applyFont="1" applyFill="1" applyBorder="1" applyAlignment="1">
      <alignment vertical="center"/>
    </xf>
    <xf numFmtId="9" fontId="9" fillId="28" borderId="740" xfId="2" applyFont="1" applyFill="1" applyBorder="1" applyAlignment="1">
      <alignment vertical="center"/>
    </xf>
    <xf numFmtId="9" fontId="9" fillId="28" borderId="741" xfId="2" applyFont="1" applyFill="1" applyBorder="1" applyAlignment="1">
      <alignment vertical="center"/>
    </xf>
    <xf numFmtId="164" fontId="9" fillId="28" borderId="610" xfId="0" applyNumberFormat="1" applyFont="1" applyFill="1" applyBorder="1" applyAlignment="1">
      <alignment vertical="center"/>
    </xf>
    <xf numFmtId="164" fontId="9" fillId="28" borderId="611" xfId="0" applyNumberFormat="1" applyFont="1" applyFill="1" applyBorder="1" applyAlignment="1">
      <alignment vertical="center"/>
    </xf>
    <xf numFmtId="164" fontId="43" fillId="28" borderId="611" xfId="0" applyNumberFormat="1" applyFont="1" applyFill="1" applyBorder="1" applyAlignment="1">
      <alignment vertical="center"/>
    </xf>
    <xf numFmtId="9" fontId="43" fillId="28" borderId="612" xfId="2" applyFont="1" applyFill="1" applyBorder="1" applyAlignment="1">
      <alignment vertical="center"/>
    </xf>
    <xf numFmtId="165" fontId="9" fillId="28" borderId="610" xfId="0" applyNumberFormat="1" applyFont="1" applyFill="1" applyBorder="1" applyAlignment="1">
      <alignment vertical="center"/>
    </xf>
    <xf numFmtId="165" fontId="9" fillId="28" borderId="611" xfId="0" applyNumberFormat="1" applyFont="1" applyFill="1" applyBorder="1" applyAlignment="1">
      <alignment vertical="center"/>
    </xf>
    <xf numFmtId="165" fontId="9" fillId="28" borderId="612" xfId="1" applyNumberFormat="1" applyFont="1" applyFill="1" applyBorder="1" applyAlignment="1">
      <alignment vertical="center"/>
    </xf>
    <xf numFmtId="165" fontId="9" fillId="28" borderId="612" xfId="0" applyNumberFormat="1" applyFont="1" applyFill="1" applyBorder="1" applyAlignment="1">
      <alignment vertical="center"/>
    </xf>
    <xf numFmtId="0" fontId="9" fillId="28" borderId="611" xfId="0" applyFont="1" applyFill="1" applyBorder="1" applyAlignment="1">
      <alignment vertical="center"/>
    </xf>
    <xf numFmtId="165" fontId="9" fillId="28" borderId="742" xfId="1" applyNumberFormat="1" applyFont="1" applyFill="1" applyBorder="1" applyAlignment="1">
      <alignment vertical="center"/>
    </xf>
    <xf numFmtId="165" fontId="9" fillId="28" borderId="743" xfId="1" applyNumberFormat="1" applyFont="1" applyFill="1" applyBorder="1" applyAlignment="1">
      <alignment vertical="center"/>
    </xf>
    <xf numFmtId="9" fontId="9" fillId="28" borderId="743" xfId="2" applyFont="1" applyFill="1" applyBorder="1" applyAlignment="1">
      <alignment vertical="center"/>
    </xf>
    <xf numFmtId="165" fontId="9" fillId="28" borderId="615" xfId="1" applyNumberFormat="1" applyFont="1" applyFill="1" applyBorder="1" applyAlignment="1">
      <alignment vertical="center"/>
    </xf>
    <xf numFmtId="0" fontId="9" fillId="2" borderId="611" xfId="0" applyFont="1" applyFill="1" applyBorder="1" applyAlignment="1">
      <alignment vertical="center"/>
    </xf>
    <xf numFmtId="9" fontId="9" fillId="28" borderId="744" xfId="2" applyFont="1" applyFill="1" applyBorder="1" applyAlignment="1">
      <alignment horizontal="center" vertical="center"/>
    </xf>
    <xf numFmtId="9" fontId="9" fillId="28" borderId="744" xfId="2" applyFont="1" applyFill="1" applyBorder="1" applyAlignment="1">
      <alignment vertical="center"/>
    </xf>
    <xf numFmtId="165" fontId="9" fillId="28" borderId="745" xfId="1" applyNumberFormat="1" applyFont="1" applyFill="1" applyBorder="1" applyAlignment="1">
      <alignment vertical="center"/>
    </xf>
    <xf numFmtId="165" fontId="9" fillId="28" borderId="741" xfId="1" applyNumberFormat="1" applyFont="1" applyFill="1" applyBorder="1" applyAlignment="1">
      <alignment vertical="center"/>
    </xf>
    <xf numFmtId="9" fontId="3" fillId="28" borderId="611" xfId="2" applyFont="1" applyFill="1" applyBorder="1" applyAlignment="1">
      <alignment vertical="center"/>
    </xf>
    <xf numFmtId="9" fontId="3" fillId="28" borderId="744" xfId="2" applyFont="1" applyFill="1" applyBorder="1" applyAlignment="1">
      <alignment vertical="center"/>
    </xf>
    <xf numFmtId="9" fontId="4" fillId="2" borderId="587" xfId="2" applyFont="1" applyFill="1" applyBorder="1" applyAlignment="1">
      <alignment vertical="center"/>
    </xf>
    <xf numFmtId="165" fontId="4" fillId="2" borderId="126" xfId="2" applyNumberFormat="1" applyFont="1" applyFill="1" applyBorder="1" applyAlignment="1">
      <alignment vertical="center"/>
    </xf>
    <xf numFmtId="165" fontId="4" fillId="2" borderId="107" xfId="2" applyNumberFormat="1" applyFont="1" applyFill="1" applyBorder="1" applyAlignment="1">
      <alignment vertical="center"/>
    </xf>
    <xf numFmtId="9" fontId="4" fillId="2" borderId="107" xfId="2" applyFont="1" applyFill="1" applyBorder="1" applyAlignment="1">
      <alignment vertical="center"/>
    </xf>
    <xf numFmtId="171" fontId="4" fillId="2" borderId="462" xfId="2" applyNumberFormat="1" applyFont="1" applyFill="1" applyBorder="1" applyAlignment="1">
      <alignment horizontal="center" vertical="center"/>
    </xf>
    <xf numFmtId="9" fontId="4" fillId="2" borderId="65" xfId="2" applyFont="1" applyFill="1" applyBorder="1" applyAlignment="1">
      <alignment vertical="center"/>
    </xf>
    <xf numFmtId="172" fontId="4" fillId="2" borderId="66" xfId="1" applyNumberFormat="1" applyFont="1" applyFill="1" applyBorder="1" applyAlignment="1">
      <alignment vertical="center"/>
    </xf>
    <xf numFmtId="9" fontId="4" fillId="2" borderId="33" xfId="2" applyFont="1" applyFill="1" applyBorder="1" applyAlignment="1">
      <alignment vertical="center"/>
    </xf>
    <xf numFmtId="165" fontId="4" fillId="2" borderId="102" xfId="1" applyNumberFormat="1" applyFont="1" applyFill="1" applyBorder="1" applyAlignment="1">
      <alignment vertical="center"/>
    </xf>
    <xf numFmtId="165" fontId="4" fillId="2" borderId="69" xfId="1" applyNumberFormat="1" applyFont="1" applyFill="1" applyBorder="1" applyAlignment="1">
      <alignment vertical="center"/>
    </xf>
    <xf numFmtId="165" fontId="4" fillId="2" borderId="195" xfId="1" applyNumberFormat="1" applyFont="1" applyFill="1" applyBorder="1" applyAlignment="1">
      <alignment vertical="center"/>
    </xf>
    <xf numFmtId="0" fontId="9" fillId="28" borderId="615" xfId="0" applyFont="1" applyFill="1" applyBorder="1" applyAlignment="1">
      <alignment horizontal="center" vertical="center"/>
    </xf>
    <xf numFmtId="165" fontId="9" fillId="28" borderId="611" xfId="1" applyNumberFormat="1" applyFont="1" applyFill="1" applyBorder="1" applyAlignment="1">
      <alignment horizontal="center" vertical="center"/>
    </xf>
    <xf numFmtId="0" fontId="9" fillId="28" borderId="610" xfId="0" applyFont="1" applyFill="1" applyBorder="1" applyAlignment="1">
      <alignment horizontal="center" vertical="center"/>
    </xf>
    <xf numFmtId="0" fontId="9" fillId="28" borderId="742" xfId="0" applyFont="1" applyFill="1" applyBorder="1" applyAlignment="1">
      <alignment horizontal="center" vertical="center"/>
    </xf>
    <xf numFmtId="164" fontId="9" fillId="28" borderId="743" xfId="5" applyNumberFormat="1" applyFont="1" applyFill="1" applyBorder="1" applyAlignment="1">
      <alignment vertical="center"/>
    </xf>
    <xf numFmtId="165" fontId="9" fillId="28" borderId="742" xfId="1" applyNumberFormat="1" applyFont="1" applyFill="1" applyBorder="1" applyAlignment="1">
      <alignment horizontal="center" vertical="center"/>
    </xf>
    <xf numFmtId="9" fontId="9" fillId="28" borderId="746" xfId="2" applyFont="1" applyFill="1" applyBorder="1" applyAlignment="1">
      <alignment vertical="center"/>
    </xf>
    <xf numFmtId="164" fontId="9" fillId="28" borderId="610" xfId="5" applyNumberFormat="1" applyFont="1" applyFill="1" applyBorder="1" applyAlignment="1">
      <alignment vertical="center"/>
    </xf>
    <xf numFmtId="164" fontId="9" fillId="28" borderId="611" xfId="5" applyNumberFormat="1" applyFont="1" applyFill="1" applyBorder="1" applyAlignment="1">
      <alignment vertical="center"/>
    </xf>
    <xf numFmtId="9" fontId="43" fillId="28" borderId="611" xfId="2" applyFont="1" applyFill="1" applyBorder="1" applyAlignment="1">
      <alignment vertical="center"/>
    </xf>
    <xf numFmtId="9" fontId="106" fillId="28" borderId="611" xfId="2" applyFont="1" applyFill="1" applyBorder="1" applyAlignment="1">
      <alignment vertical="center"/>
    </xf>
    <xf numFmtId="9" fontId="106" fillId="28" borderId="612" xfId="2" applyFont="1" applyFill="1" applyBorder="1" applyAlignment="1">
      <alignment vertical="center"/>
    </xf>
    <xf numFmtId="164" fontId="9" fillId="28" borderId="612" xfId="5" applyNumberFormat="1" applyFont="1" applyFill="1" applyBorder="1" applyAlignment="1">
      <alignment vertical="center"/>
    </xf>
    <xf numFmtId="9" fontId="9" fillId="28" borderId="612" xfId="2" applyNumberFormat="1" applyFont="1" applyFill="1" applyBorder="1" applyAlignment="1">
      <alignment vertical="center"/>
    </xf>
    <xf numFmtId="9" fontId="9" fillId="28" borderId="611" xfId="2" applyNumberFormat="1" applyFont="1" applyFill="1" applyBorder="1" applyAlignment="1">
      <alignment vertical="center"/>
    </xf>
    <xf numFmtId="165" fontId="9" fillId="28" borderId="615" xfId="1" applyNumberFormat="1" applyFont="1" applyFill="1" applyBorder="1" applyAlignment="1">
      <alignment horizontal="center" vertical="center"/>
    </xf>
    <xf numFmtId="165" fontId="122" fillId="28" borderId="610" xfId="1" applyNumberFormat="1" applyFont="1" applyFill="1" applyBorder="1" applyAlignment="1">
      <alignment vertical="center"/>
    </xf>
    <xf numFmtId="37" fontId="9" fillId="28" borderId="615" xfId="1" applyNumberFormat="1" applyFont="1" applyFill="1" applyBorder="1" applyAlignment="1">
      <alignment horizontal="center" vertical="center"/>
    </xf>
    <xf numFmtId="9" fontId="9" fillId="28" borderId="744" xfId="2" applyNumberFormat="1" applyFont="1" applyFill="1" applyBorder="1" applyAlignment="1">
      <alignment vertical="center"/>
    </xf>
    <xf numFmtId="165" fontId="9" fillId="28" borderId="745" xfId="1" applyNumberFormat="1" applyFont="1" applyFill="1" applyBorder="1" applyAlignment="1">
      <alignment horizontal="center" vertical="center"/>
    </xf>
    <xf numFmtId="0" fontId="9" fillId="2" borderId="127" xfId="0" applyFont="1" applyFill="1" applyBorder="1" applyAlignment="1">
      <alignment horizontal="center" vertical="center"/>
    </xf>
    <xf numFmtId="165" fontId="9" fillId="2" borderId="127" xfId="1" applyNumberFormat="1" applyFont="1" applyFill="1" applyBorder="1" applyAlignment="1">
      <alignment vertical="center"/>
    </xf>
    <xf numFmtId="165" fontId="9" fillId="2" borderId="126" xfId="1" applyNumberFormat="1" applyFont="1" applyFill="1" applyBorder="1" applyAlignment="1">
      <alignment vertical="center"/>
    </xf>
    <xf numFmtId="165" fontId="9" fillId="2" borderId="145" xfId="1" applyNumberFormat="1" applyFont="1" applyFill="1" applyBorder="1" applyAlignment="1">
      <alignment vertical="center"/>
    </xf>
    <xf numFmtId="0" fontId="9" fillId="2" borderId="126" xfId="0" applyFont="1" applyFill="1" applyBorder="1" applyAlignment="1">
      <alignment horizontal="center" vertical="center"/>
    </xf>
    <xf numFmtId="0" fontId="9" fillId="2" borderId="145" xfId="0" applyFont="1" applyFill="1" applyBorder="1" applyAlignment="1">
      <alignment horizontal="center" vertical="center"/>
    </xf>
    <xf numFmtId="165" fontId="9" fillId="2" borderId="194" xfId="1" applyNumberFormat="1" applyFont="1" applyFill="1" applyBorder="1" applyAlignment="1">
      <alignment vertical="center"/>
    </xf>
    <xf numFmtId="0" fontId="9" fillId="2" borderId="108" xfId="0" applyFont="1" applyFill="1" applyBorder="1" applyAlignment="1">
      <alignment horizontal="center" vertical="center"/>
    </xf>
    <xf numFmtId="164" fontId="9" fillId="2" borderId="107" xfId="5" applyNumberFormat="1" applyFont="1" applyFill="1" applyBorder="1" applyAlignment="1">
      <alignment vertical="center"/>
    </xf>
    <xf numFmtId="164" fontId="9" fillId="2" borderId="107" xfId="0" applyNumberFormat="1" applyFont="1" applyFill="1" applyBorder="1" applyAlignment="1">
      <alignment vertical="center"/>
    </xf>
    <xf numFmtId="9" fontId="9" fillId="2" borderId="109" xfId="2" applyFont="1" applyFill="1" applyBorder="1" applyAlignment="1">
      <alignment vertical="center"/>
    </xf>
    <xf numFmtId="165" fontId="9" fillId="2" borderId="108" xfId="1" applyNumberFormat="1" applyFont="1" applyFill="1" applyBorder="1" applyAlignment="1">
      <alignment vertical="center"/>
    </xf>
    <xf numFmtId="165" fontId="9" fillId="2" borderId="107" xfId="1" applyNumberFormat="1" applyFont="1" applyFill="1" applyBorder="1" applyAlignment="1">
      <alignment vertical="center"/>
    </xf>
    <xf numFmtId="165" fontId="9" fillId="2" borderId="348" xfId="1" applyNumberFormat="1" applyFont="1" applyFill="1" applyBorder="1" applyAlignment="1">
      <alignment vertical="center"/>
    </xf>
    <xf numFmtId="171" fontId="9" fillId="2" borderId="127" xfId="2" applyNumberFormat="1" applyFont="1" applyFill="1" applyBorder="1" applyAlignment="1">
      <alignment vertical="center"/>
    </xf>
    <xf numFmtId="167" fontId="9" fillId="2" borderId="348" xfId="2" applyNumberFormat="1" applyFont="1" applyFill="1" applyBorder="1" applyAlignment="1">
      <alignment vertical="center"/>
    </xf>
    <xf numFmtId="9" fontId="9" fillId="2" borderId="194" xfId="2" applyFont="1" applyFill="1" applyBorder="1" applyAlignment="1">
      <alignment vertical="center"/>
    </xf>
    <xf numFmtId="9" fontId="9" fillId="2" borderId="127" xfId="2" applyFont="1" applyFill="1" applyBorder="1" applyAlignment="1">
      <alignment vertical="center"/>
    </xf>
    <xf numFmtId="9" fontId="9" fillId="2" borderId="190" xfId="2" applyFont="1" applyFill="1" applyBorder="1" applyAlignment="1">
      <alignment vertical="center"/>
    </xf>
    <xf numFmtId="167" fontId="9" fillId="2" borderId="126" xfId="2" applyNumberFormat="1" applyFont="1" applyFill="1" applyBorder="1" applyAlignment="1">
      <alignment vertical="center"/>
    </xf>
    <xf numFmtId="167" fontId="9" fillId="2" borderId="127" xfId="2" applyNumberFormat="1" applyFont="1" applyFill="1" applyBorder="1" applyAlignment="1">
      <alignment vertical="center"/>
    </xf>
    <xf numFmtId="9" fontId="9" fillId="2" borderId="191" xfId="2" applyFont="1" applyFill="1" applyBorder="1" applyAlignment="1">
      <alignment vertical="center"/>
    </xf>
    <xf numFmtId="9" fontId="9" fillId="2" borderId="145" xfId="2" applyFont="1" applyFill="1" applyBorder="1" applyAlignment="1">
      <alignment vertical="center"/>
    </xf>
    <xf numFmtId="164" fontId="9" fillId="2" borderId="126" xfId="0" applyNumberFormat="1" applyFont="1" applyFill="1" applyBorder="1" applyAlignment="1">
      <alignment vertical="center"/>
    </xf>
    <xf numFmtId="164" fontId="9" fillId="2" borderId="127" xfId="0" applyNumberFormat="1" applyFont="1" applyFill="1" applyBorder="1" applyAlignment="1">
      <alignment vertical="center"/>
    </xf>
    <xf numFmtId="165" fontId="9" fillId="2" borderId="126" xfId="0" applyNumberFormat="1" applyFont="1" applyFill="1" applyBorder="1" applyAlignment="1">
      <alignment vertical="center"/>
    </xf>
    <xf numFmtId="165" fontId="9" fillId="2" borderId="127" xfId="0" applyNumberFormat="1" applyFont="1" applyFill="1" applyBorder="1" applyAlignment="1">
      <alignment vertical="center"/>
    </xf>
    <xf numFmtId="165" fontId="9" fillId="2" borderId="145" xfId="0" applyNumberFormat="1" applyFont="1" applyFill="1" applyBorder="1" applyAlignment="1">
      <alignment vertical="center"/>
    </xf>
    <xf numFmtId="1" fontId="9" fillId="2" borderId="126" xfId="2" applyNumberFormat="1" applyFont="1" applyFill="1" applyBorder="1" applyAlignment="1">
      <alignment horizontal="center" vertical="center"/>
    </xf>
    <xf numFmtId="0" fontId="9" fillId="2" borderId="127" xfId="0" applyFont="1" applyFill="1" applyBorder="1" applyAlignment="1">
      <alignment vertical="center"/>
    </xf>
    <xf numFmtId="165" fontId="9" fillId="2" borderId="192" xfId="1" applyNumberFormat="1" applyFont="1" applyFill="1" applyBorder="1" applyAlignment="1">
      <alignment vertical="center"/>
    </xf>
    <xf numFmtId="9" fontId="9" fillId="2" borderId="107" xfId="2" applyFont="1" applyFill="1" applyBorder="1" applyAlignment="1">
      <alignment vertical="center"/>
    </xf>
    <xf numFmtId="1" fontId="9" fillId="2" borderId="127" xfId="2" applyNumberFormat="1" applyFont="1" applyFill="1" applyBorder="1" applyAlignment="1">
      <alignment horizontal="center" vertical="center"/>
    </xf>
    <xf numFmtId="1" fontId="9" fillId="2" borderId="338" xfId="2" applyNumberFormat="1" applyFont="1" applyFill="1" applyBorder="1" applyAlignment="1">
      <alignment horizontal="center" vertical="center"/>
    </xf>
    <xf numFmtId="165" fontId="43" fillId="2" borderId="127" xfId="0" applyNumberFormat="1" applyFont="1" applyFill="1" applyBorder="1" applyAlignment="1">
      <alignment vertical="center"/>
    </xf>
    <xf numFmtId="9" fontId="43" fillId="2" borderId="127" xfId="2" applyFont="1" applyFill="1" applyBorder="1" applyAlignment="1">
      <alignment vertical="center"/>
    </xf>
    <xf numFmtId="9" fontId="9" fillId="2" borderId="145" xfId="2" applyFont="1" applyFill="1" applyBorder="1" applyAlignment="1">
      <alignment horizontal="center" vertical="center"/>
    </xf>
    <xf numFmtId="9" fontId="9" fillId="2" borderId="462" xfId="2" applyFont="1" applyFill="1" applyBorder="1" applyAlignment="1">
      <alignment horizontal="center" vertical="center"/>
    </xf>
    <xf numFmtId="9" fontId="9" fillId="2" borderId="462" xfId="2" applyFont="1" applyFill="1" applyBorder="1" applyAlignment="1">
      <alignment vertical="center"/>
    </xf>
    <xf numFmtId="167" fontId="93" fillId="2" borderId="326" xfId="6" applyNumberFormat="1" applyFont="1" applyFill="1" applyBorder="1" applyAlignment="1">
      <alignment horizontal="center" vertical="center"/>
    </xf>
    <xf numFmtId="164" fontId="93" fillId="2" borderId="107" xfId="6" applyNumberFormat="1" applyFont="1" applyFill="1" applyBorder="1" applyAlignment="1">
      <alignment vertical="center"/>
    </xf>
    <xf numFmtId="164" fontId="93" fillId="2" borderId="326" xfId="6" applyNumberFormat="1" applyFont="1" applyFill="1" applyBorder="1" applyAlignment="1">
      <alignment vertical="center"/>
    </xf>
    <xf numFmtId="165" fontId="9" fillId="2" borderId="109" xfId="1" applyNumberFormat="1" applyFont="1" applyFill="1" applyBorder="1" applyAlignment="1">
      <alignment vertical="center"/>
    </xf>
    <xf numFmtId="164" fontId="93" fillId="0" borderId="107" xfId="6" applyNumberFormat="1" applyFont="1" applyFill="1" applyBorder="1" applyAlignment="1">
      <alignment vertical="center"/>
    </xf>
    <xf numFmtId="0" fontId="9" fillId="13" borderId="615" xfId="0" applyFont="1" applyFill="1" applyBorder="1" applyAlignment="1">
      <alignment horizontal="center" vertical="center"/>
    </xf>
    <xf numFmtId="0" fontId="9" fillId="13" borderId="745" xfId="0" applyFont="1" applyFill="1" applyBorder="1" applyAlignment="1">
      <alignment horizontal="right" vertical="center"/>
    </xf>
    <xf numFmtId="0" fontId="9" fillId="13" borderId="611" xfId="0" applyFont="1" applyFill="1" applyBorder="1" applyAlignment="1">
      <alignment horizontal="center" vertical="center"/>
    </xf>
    <xf numFmtId="165" fontId="9" fillId="13" borderId="611" xfId="1" applyNumberFormat="1" applyFont="1" applyFill="1" applyBorder="1" applyAlignment="1">
      <alignment vertical="center"/>
    </xf>
    <xf numFmtId="165" fontId="9" fillId="13" borderId="610" xfId="1" applyNumberFormat="1" applyFont="1" applyFill="1" applyBorder="1" applyAlignment="1">
      <alignment vertical="center"/>
    </xf>
    <xf numFmtId="165" fontId="9" fillId="13" borderId="612" xfId="1" applyNumberFormat="1" applyFont="1" applyFill="1" applyBorder="1" applyAlignment="1">
      <alignment vertical="center"/>
    </xf>
    <xf numFmtId="0" fontId="9" fillId="13" borderId="610" xfId="0" applyFont="1" applyFill="1" applyBorder="1" applyAlignment="1">
      <alignment horizontal="center" vertical="center"/>
    </xf>
    <xf numFmtId="0" fontId="9" fillId="13" borderId="612" xfId="0" applyFont="1" applyFill="1" applyBorder="1" applyAlignment="1">
      <alignment horizontal="center" vertical="center"/>
    </xf>
    <xf numFmtId="165" fontId="9" fillId="13" borderId="747" xfId="1" applyNumberFormat="1" applyFont="1" applyFill="1" applyBorder="1" applyAlignment="1">
      <alignment vertical="center"/>
    </xf>
    <xf numFmtId="0" fontId="9" fillId="13" borderId="742" xfId="0" applyFont="1" applyFill="1" applyBorder="1" applyAlignment="1">
      <alignment horizontal="center" vertical="center"/>
    </xf>
    <xf numFmtId="164" fontId="9" fillId="13" borderId="743" xfId="5" applyNumberFormat="1" applyFont="1" applyFill="1" applyBorder="1" applyAlignment="1">
      <alignment vertical="center"/>
    </xf>
    <xf numFmtId="164" fontId="9" fillId="13" borderId="743" xfId="0" applyNumberFormat="1" applyFont="1" applyFill="1" applyBorder="1" applyAlignment="1">
      <alignment vertical="center"/>
    </xf>
    <xf numFmtId="9" fontId="9" fillId="13" borderId="741" xfId="2" applyFont="1" applyFill="1" applyBorder="1" applyAlignment="1">
      <alignment vertical="center"/>
    </xf>
    <xf numFmtId="165" fontId="9" fillId="13" borderId="742" xfId="1" applyNumberFormat="1" applyFont="1" applyFill="1" applyBorder="1" applyAlignment="1">
      <alignment vertical="center"/>
    </xf>
    <xf numFmtId="165" fontId="9" fillId="13" borderId="743" xfId="1" applyNumberFormat="1" applyFont="1" applyFill="1" applyBorder="1" applyAlignment="1">
      <alignment vertical="center"/>
    </xf>
    <xf numFmtId="165" fontId="9" fillId="13" borderId="748" xfId="1" applyNumberFormat="1" applyFont="1" applyFill="1" applyBorder="1" applyAlignment="1">
      <alignment vertical="center"/>
    </xf>
    <xf numFmtId="171" fontId="9" fillId="13" borderId="611" xfId="2" applyNumberFormat="1" applyFont="1" applyFill="1" applyBorder="1" applyAlignment="1">
      <alignment vertical="center"/>
    </xf>
    <xf numFmtId="167" fontId="9" fillId="13" borderId="748" xfId="2" applyNumberFormat="1" applyFont="1" applyFill="1" applyBorder="1" applyAlignment="1">
      <alignment vertical="center"/>
    </xf>
    <xf numFmtId="9" fontId="9" fillId="13" borderId="747" xfId="2" applyFont="1" applyFill="1" applyBorder="1" applyAlignment="1">
      <alignment vertical="center"/>
    </xf>
    <xf numFmtId="9" fontId="9" fillId="13" borderId="611" xfId="2" applyFont="1" applyFill="1" applyBorder="1" applyAlignment="1">
      <alignment vertical="center"/>
    </xf>
    <xf numFmtId="9" fontId="9" fillId="13" borderId="740" xfId="2" applyFont="1" applyFill="1" applyBorder="1" applyAlignment="1">
      <alignment vertical="center"/>
    </xf>
    <xf numFmtId="167" fontId="9" fillId="13" borderId="610" xfId="2" applyNumberFormat="1" applyFont="1" applyFill="1" applyBorder="1" applyAlignment="1">
      <alignment vertical="center"/>
    </xf>
    <xf numFmtId="167" fontId="9" fillId="13" borderId="611" xfId="2" applyNumberFormat="1" applyFont="1" applyFill="1" applyBorder="1" applyAlignment="1">
      <alignment vertical="center"/>
    </xf>
    <xf numFmtId="9" fontId="9" fillId="13" borderId="616" xfId="2" applyFont="1" applyFill="1" applyBorder="1" applyAlignment="1">
      <alignment vertical="center"/>
    </xf>
    <xf numFmtId="9" fontId="9" fillId="13" borderId="612" xfId="2" applyFont="1" applyFill="1" applyBorder="1" applyAlignment="1">
      <alignment vertical="center"/>
    </xf>
    <xf numFmtId="164" fontId="9" fillId="13" borderId="610" xfId="0" applyNumberFormat="1" applyFont="1" applyFill="1" applyBorder="1" applyAlignment="1">
      <alignment vertical="center"/>
    </xf>
    <xf numFmtId="164" fontId="9" fillId="13" borderId="611" xfId="0" applyNumberFormat="1" applyFont="1" applyFill="1" applyBorder="1" applyAlignment="1">
      <alignment vertical="center"/>
    </xf>
    <xf numFmtId="165" fontId="9" fillId="13" borderId="610" xfId="0" applyNumberFormat="1" applyFont="1" applyFill="1" applyBorder="1" applyAlignment="1">
      <alignment vertical="center"/>
    </xf>
    <xf numFmtId="165" fontId="9" fillId="13" borderId="611" xfId="0" applyNumberFormat="1" applyFont="1" applyFill="1" applyBorder="1" applyAlignment="1">
      <alignment vertical="center"/>
    </xf>
    <xf numFmtId="165" fontId="9" fillId="13" borderId="612" xfId="0" applyNumberFormat="1" applyFont="1" applyFill="1" applyBorder="1" applyAlignment="1">
      <alignment vertical="center"/>
    </xf>
    <xf numFmtId="1" fontId="9" fillId="13" borderId="610" xfId="2" applyNumberFormat="1" applyFont="1" applyFill="1" applyBorder="1" applyAlignment="1">
      <alignment horizontal="center" vertical="center"/>
    </xf>
    <xf numFmtId="0" fontId="9" fillId="13" borderId="611" xfId="0" applyFont="1" applyFill="1" applyBorder="1" applyAlignment="1">
      <alignment vertical="center"/>
    </xf>
    <xf numFmtId="165" fontId="9" fillId="13" borderId="749" xfId="1" applyNumberFormat="1" applyFont="1" applyFill="1" applyBorder="1" applyAlignment="1">
      <alignment vertical="center"/>
    </xf>
    <xf numFmtId="9" fontId="9" fillId="13" borderId="743" xfId="2" applyFont="1" applyFill="1" applyBorder="1" applyAlignment="1">
      <alignment vertical="center"/>
    </xf>
    <xf numFmtId="1" fontId="9" fillId="13" borderId="611" xfId="2" applyNumberFormat="1" applyFont="1" applyFill="1" applyBorder="1" applyAlignment="1">
      <alignment horizontal="center" vertical="center"/>
    </xf>
    <xf numFmtId="1" fontId="9" fillId="13" borderId="615" xfId="2" applyNumberFormat="1" applyFont="1" applyFill="1" applyBorder="1" applyAlignment="1">
      <alignment horizontal="center" vertical="center"/>
    </xf>
    <xf numFmtId="165" fontId="43" fillId="13" borderId="611" xfId="0" applyNumberFormat="1" applyFont="1" applyFill="1" applyBorder="1" applyAlignment="1">
      <alignment vertical="center"/>
    </xf>
    <xf numFmtId="9" fontId="43" fillId="13" borderId="611" xfId="2" applyFont="1" applyFill="1" applyBorder="1" applyAlignment="1">
      <alignment vertical="center"/>
    </xf>
    <xf numFmtId="9" fontId="9" fillId="13" borderId="612" xfId="2" applyFont="1" applyFill="1" applyBorder="1" applyAlignment="1">
      <alignment horizontal="center" vertical="center"/>
    </xf>
    <xf numFmtId="9" fontId="9" fillId="13" borderId="744" xfId="2" applyFont="1" applyFill="1" applyBorder="1" applyAlignment="1">
      <alignment horizontal="center" vertical="center"/>
    </xf>
    <xf numFmtId="9" fontId="9" fillId="13" borderId="744" xfId="2" applyFont="1" applyFill="1" applyBorder="1" applyAlignment="1">
      <alignment vertical="center"/>
    </xf>
    <xf numFmtId="165" fontId="9" fillId="13" borderId="610" xfId="1" applyNumberFormat="1" applyFont="1" applyFill="1" applyBorder="1" applyAlignment="1">
      <alignment horizontal="center" vertical="center"/>
    </xf>
    <xf numFmtId="1" fontId="9" fillId="13" borderId="745" xfId="2" applyNumberFormat="1" applyFont="1" applyFill="1" applyBorder="1" applyAlignment="1">
      <alignment horizontal="center" vertical="center"/>
    </xf>
    <xf numFmtId="165" fontId="9" fillId="13" borderId="741" xfId="1" applyNumberFormat="1" applyFont="1" applyFill="1" applyBorder="1" applyAlignment="1">
      <alignment vertical="center"/>
    </xf>
    <xf numFmtId="1" fontId="9" fillId="13" borderId="742" xfId="2" applyNumberFormat="1" applyFont="1" applyFill="1" applyBorder="1" applyAlignment="1">
      <alignment horizontal="center" vertical="center"/>
    </xf>
    <xf numFmtId="165" fontId="9" fillId="13" borderId="611" xfId="1" applyNumberFormat="1" applyFont="1" applyFill="1" applyBorder="1" applyAlignment="1">
      <alignment horizontal="center" vertical="center"/>
    </xf>
    <xf numFmtId="0" fontId="9" fillId="28" borderId="113" xfId="0" applyFont="1" applyFill="1" applyBorder="1" applyAlignment="1">
      <alignment horizontal="center" vertical="center"/>
    </xf>
    <xf numFmtId="0" fontId="9" fillId="2" borderId="324" xfId="0" applyFont="1" applyFill="1" applyBorder="1" applyAlignment="1">
      <alignment horizontal="center" vertical="center"/>
    </xf>
    <xf numFmtId="0" fontId="9" fillId="2" borderId="338" xfId="0" applyFont="1" applyFill="1" applyBorder="1" applyAlignment="1">
      <alignment horizontal="center" vertical="center"/>
    </xf>
    <xf numFmtId="0" fontId="41" fillId="2" borderId="0" xfId="0" applyFont="1" applyFill="1" applyAlignment="1">
      <alignment vertical="center"/>
    </xf>
    <xf numFmtId="165" fontId="42" fillId="2" borderId="0" xfId="8" applyNumberFormat="1" applyFont="1" applyFill="1" applyAlignment="1">
      <alignment vertical="center"/>
    </xf>
    <xf numFmtId="165" fontId="41" fillId="2" borderId="0" xfId="8" applyNumberFormat="1" applyFont="1" applyFill="1" applyAlignment="1">
      <alignment vertical="center"/>
    </xf>
    <xf numFmtId="165" fontId="41" fillId="2" borderId="0" xfId="0" applyNumberFormat="1" applyFont="1" applyFill="1" applyAlignment="1">
      <alignment vertical="center"/>
    </xf>
    <xf numFmtId="0" fontId="42" fillId="2" borderId="0" xfId="0" applyFont="1" applyFill="1" applyAlignment="1">
      <alignment vertical="center"/>
    </xf>
    <xf numFmtId="0" fontId="42" fillId="2" borderId="0" xfId="0" applyFont="1" applyFill="1" applyAlignment="1">
      <alignment horizontal="center" vertical="center"/>
    </xf>
    <xf numFmtId="0" fontId="41" fillId="2" borderId="99" xfId="0" applyFont="1" applyFill="1" applyBorder="1" applyAlignment="1">
      <alignment vertical="center"/>
    </xf>
    <xf numFmtId="165" fontId="42" fillId="2" borderId="99" xfId="8" applyNumberFormat="1" applyFont="1" applyFill="1" applyBorder="1" applyAlignment="1">
      <alignment vertical="center"/>
    </xf>
    <xf numFmtId="165" fontId="42" fillId="2" borderId="137" xfId="8" applyNumberFormat="1" applyFont="1" applyFill="1" applyBorder="1" applyAlignment="1">
      <alignment vertical="center"/>
    </xf>
    <xf numFmtId="165" fontId="41" fillId="6" borderId="332" xfId="8" applyNumberFormat="1" applyFont="1" applyFill="1" applyBorder="1" applyAlignment="1">
      <alignment vertical="center"/>
    </xf>
    <xf numFmtId="165" fontId="42" fillId="2" borderId="138" xfId="8" applyNumberFormat="1" applyFont="1" applyFill="1" applyBorder="1" applyAlignment="1">
      <alignment vertical="center"/>
    </xf>
    <xf numFmtId="165" fontId="41" fillId="4" borderId="129" xfId="8" applyNumberFormat="1" applyFont="1" applyFill="1" applyBorder="1" applyAlignment="1">
      <alignment vertical="center"/>
    </xf>
    <xf numFmtId="165" fontId="41" fillId="2" borderId="90" xfId="0" applyNumberFormat="1" applyFont="1" applyFill="1" applyBorder="1" applyAlignment="1">
      <alignment vertical="center"/>
    </xf>
    <xf numFmtId="165" fontId="41" fillId="2" borderId="0" xfId="0" applyNumberFormat="1" applyFont="1" applyFill="1" applyBorder="1" applyAlignment="1">
      <alignment vertical="center"/>
    </xf>
    <xf numFmtId="165" fontId="42" fillId="2" borderId="0" xfId="0" applyNumberFormat="1" applyFont="1" applyFill="1" applyAlignment="1">
      <alignment vertical="center"/>
    </xf>
    <xf numFmtId="165" fontId="41" fillId="2" borderId="99" xfId="8" applyNumberFormat="1" applyFont="1" applyFill="1" applyBorder="1" applyAlignment="1">
      <alignment vertical="center"/>
    </xf>
    <xf numFmtId="165" fontId="41" fillId="2" borderId="10" xfId="0" applyNumberFormat="1" applyFont="1" applyFill="1" applyBorder="1" applyAlignment="1">
      <alignment vertical="center"/>
    </xf>
    <xf numFmtId="0" fontId="41" fillId="2" borderId="38" xfId="0" applyFont="1" applyFill="1" applyBorder="1" applyAlignment="1">
      <alignment vertical="center"/>
    </xf>
    <xf numFmtId="165" fontId="42" fillId="2" borderId="38" xfId="8" applyNumberFormat="1" applyFont="1" applyFill="1" applyBorder="1" applyAlignment="1">
      <alignment vertical="center"/>
    </xf>
    <xf numFmtId="165" fontId="42" fillId="2" borderId="117" xfId="8" applyNumberFormat="1" applyFont="1" applyFill="1" applyBorder="1" applyAlignment="1">
      <alignment vertical="center"/>
    </xf>
    <xf numFmtId="165" fontId="41" fillId="6" borderId="333" xfId="8" applyNumberFormat="1" applyFont="1" applyFill="1" applyBorder="1" applyAlignment="1">
      <alignment vertical="center"/>
    </xf>
    <xf numFmtId="165" fontId="42" fillId="2" borderId="63" xfId="8" applyNumberFormat="1" applyFont="1" applyFill="1" applyBorder="1" applyAlignment="1">
      <alignment vertical="center"/>
    </xf>
    <xf numFmtId="165" fontId="41" fillId="4" borderId="37" xfId="8" applyNumberFormat="1" applyFont="1" applyFill="1" applyBorder="1" applyAlignment="1">
      <alignment vertical="center"/>
    </xf>
    <xf numFmtId="165" fontId="42" fillId="2" borderId="37" xfId="8" applyNumberFormat="1" applyFont="1" applyFill="1" applyBorder="1" applyAlignment="1">
      <alignment vertical="center"/>
    </xf>
    <xf numFmtId="9" fontId="41" fillId="2" borderId="90" xfId="2" applyFont="1" applyFill="1" applyBorder="1" applyAlignment="1">
      <alignment vertical="center"/>
    </xf>
    <xf numFmtId="9" fontId="41" fillId="2" borderId="10" xfId="2" applyFont="1" applyFill="1" applyBorder="1" applyAlignment="1">
      <alignment vertical="center"/>
    </xf>
    <xf numFmtId="9" fontId="41" fillId="10" borderId="90" xfId="2" applyFont="1" applyFill="1" applyBorder="1" applyAlignment="1">
      <alignment vertical="center"/>
    </xf>
    <xf numFmtId="9" fontId="41" fillId="10" borderId="10" xfId="2" applyFont="1" applyFill="1" applyBorder="1" applyAlignment="1">
      <alignment vertical="center"/>
    </xf>
    <xf numFmtId="0" fontId="41" fillId="2" borderId="100" xfId="0" applyFont="1" applyFill="1" applyBorder="1" applyAlignment="1">
      <alignment vertical="center"/>
    </xf>
    <xf numFmtId="165" fontId="42" fillId="2" borderId="100" xfId="8" applyNumberFormat="1" applyFont="1" applyFill="1" applyBorder="1" applyAlignment="1">
      <alignment vertical="center"/>
    </xf>
    <xf numFmtId="165" fontId="42" fillId="2" borderId="128" xfId="8" applyNumberFormat="1" applyFont="1" applyFill="1" applyBorder="1" applyAlignment="1">
      <alignment vertical="center"/>
    </xf>
    <xf numFmtId="165" fontId="41" fillId="6" borderId="334" xfId="8" applyNumberFormat="1" applyFont="1" applyFill="1" applyBorder="1" applyAlignment="1">
      <alignment vertical="center"/>
    </xf>
    <xf numFmtId="165" fontId="42" fillId="2" borderId="96" xfId="8" applyNumberFormat="1" applyFont="1" applyFill="1" applyBorder="1" applyAlignment="1">
      <alignment vertical="center"/>
    </xf>
    <xf numFmtId="165" fontId="41" fillId="4" borderId="128" xfId="8" applyNumberFormat="1" applyFont="1" applyFill="1" applyBorder="1" applyAlignment="1">
      <alignment vertical="center"/>
    </xf>
    <xf numFmtId="165" fontId="42" fillId="2" borderId="125" xfId="8" applyNumberFormat="1" applyFont="1" applyFill="1" applyBorder="1" applyAlignment="1">
      <alignment vertical="center"/>
    </xf>
    <xf numFmtId="9" fontId="41" fillId="2" borderId="725" xfId="2" applyFont="1" applyFill="1" applyBorder="1" applyAlignment="1">
      <alignment vertical="center"/>
    </xf>
    <xf numFmtId="0" fontId="41" fillId="2" borderId="90" xfId="0" applyFont="1" applyFill="1" applyBorder="1" applyAlignment="1">
      <alignment vertical="center"/>
    </xf>
    <xf numFmtId="165" fontId="41" fillId="2" borderId="90" xfId="8" applyNumberFormat="1" applyFont="1" applyFill="1" applyBorder="1" applyAlignment="1">
      <alignment vertical="center"/>
    </xf>
    <xf numFmtId="165" fontId="41" fillId="2" borderId="6" xfId="8" applyNumberFormat="1" applyFont="1" applyFill="1" applyBorder="1" applyAlignment="1">
      <alignment vertical="center"/>
    </xf>
    <xf numFmtId="165" fontId="41" fillId="6" borderId="335" xfId="8" applyNumberFormat="1" applyFont="1" applyFill="1" applyBorder="1" applyAlignment="1">
      <alignment vertical="center"/>
    </xf>
    <xf numFmtId="165" fontId="41" fillId="2" borderId="10" xfId="8" applyNumberFormat="1" applyFont="1" applyFill="1" applyBorder="1" applyAlignment="1">
      <alignment vertical="center"/>
    </xf>
    <xf numFmtId="165" fontId="41" fillId="4" borderId="0" xfId="8" applyNumberFormat="1" applyFont="1" applyFill="1" applyBorder="1" applyAlignment="1">
      <alignment vertical="center"/>
    </xf>
    <xf numFmtId="9" fontId="41" fillId="2" borderId="728" xfId="2" applyFont="1" applyFill="1" applyBorder="1" applyAlignment="1">
      <alignment vertical="center"/>
    </xf>
    <xf numFmtId="0" fontId="41" fillId="2" borderId="728" xfId="0" applyFont="1" applyFill="1" applyBorder="1" applyAlignment="1">
      <alignment vertical="center"/>
    </xf>
    <xf numFmtId="165" fontId="42" fillId="2" borderId="129" xfId="8" applyNumberFormat="1" applyFont="1" applyFill="1" applyBorder="1" applyAlignment="1">
      <alignment vertical="center"/>
    </xf>
    <xf numFmtId="0" fontId="41" fillId="2" borderId="10" xfId="0" applyFont="1" applyFill="1" applyBorder="1" applyAlignment="1">
      <alignment vertical="center"/>
    </xf>
    <xf numFmtId="165" fontId="108" fillId="2" borderId="100" xfId="8" applyNumberFormat="1" applyFont="1" applyFill="1" applyBorder="1" applyAlignment="1">
      <alignment vertical="center"/>
    </xf>
    <xf numFmtId="165" fontId="108" fillId="2" borderId="96" xfId="8" applyNumberFormat="1" applyFont="1" applyFill="1" applyBorder="1" applyAlignment="1">
      <alignment vertical="center"/>
    </xf>
    <xf numFmtId="165" fontId="123" fillId="2" borderId="96" xfId="8" applyNumberFormat="1" applyFont="1" applyFill="1" applyBorder="1" applyAlignment="1">
      <alignment vertical="center"/>
    </xf>
    <xf numFmtId="9" fontId="41" fillId="2" borderId="32" xfId="2" applyFont="1" applyFill="1" applyBorder="1" applyAlignment="1">
      <alignment vertical="center"/>
    </xf>
    <xf numFmtId="165" fontId="124" fillId="2" borderId="100" xfId="8" applyNumberFormat="1" applyFont="1" applyFill="1" applyBorder="1" applyAlignment="1">
      <alignment vertical="center"/>
    </xf>
    <xf numFmtId="165" fontId="42" fillId="2" borderId="90" xfId="8" applyNumberFormat="1" applyFont="1" applyFill="1" applyBorder="1" applyAlignment="1">
      <alignment vertical="center"/>
    </xf>
    <xf numFmtId="0" fontId="41" fillId="2" borderId="32" xfId="0" applyFont="1" applyFill="1" applyBorder="1" applyAlignment="1">
      <alignment vertical="center"/>
    </xf>
    <xf numFmtId="0" fontId="41" fillId="2" borderId="99" xfId="0" applyFont="1" applyFill="1" applyBorder="1" applyAlignment="1">
      <alignment horizontal="left" vertical="center"/>
    </xf>
    <xf numFmtId="165" fontId="42" fillId="2" borderId="99" xfId="8" applyNumberFormat="1" applyFont="1" applyFill="1" applyBorder="1" applyAlignment="1">
      <alignment horizontal="center" vertical="center"/>
    </xf>
    <xf numFmtId="165" fontId="42" fillId="2" borderId="137" xfId="8" applyNumberFormat="1" applyFont="1" applyFill="1" applyBorder="1" applyAlignment="1">
      <alignment horizontal="center" vertical="center"/>
    </xf>
    <xf numFmtId="165" fontId="41" fillId="6" borderId="332" xfId="8" applyNumberFormat="1" applyFont="1" applyFill="1" applyBorder="1" applyAlignment="1">
      <alignment horizontal="center" vertical="center"/>
    </xf>
    <xf numFmtId="165" fontId="42" fillId="2" borderId="138" xfId="8" applyNumberFormat="1" applyFont="1" applyFill="1" applyBorder="1" applyAlignment="1">
      <alignment horizontal="center" vertical="center"/>
    </xf>
    <xf numFmtId="165" fontId="41" fillId="4" borderId="129" xfId="8" applyNumberFormat="1" applyFont="1" applyFill="1" applyBorder="1" applyAlignment="1">
      <alignment horizontal="center" vertical="center"/>
    </xf>
    <xf numFmtId="165" fontId="41" fillId="2" borderId="728" xfId="0" applyNumberFormat="1" applyFont="1" applyFill="1" applyBorder="1" applyAlignment="1">
      <alignment vertical="center"/>
    </xf>
    <xf numFmtId="165" fontId="42" fillId="2" borderId="129" xfId="8" applyNumberFormat="1" applyFont="1" applyFill="1" applyBorder="1" applyAlignment="1">
      <alignment horizontal="center" vertical="center"/>
    </xf>
    <xf numFmtId="9" fontId="125" fillId="2" borderId="725" xfId="2" applyFont="1" applyFill="1" applyBorder="1" applyAlignment="1">
      <alignment vertical="center"/>
    </xf>
    <xf numFmtId="165" fontId="42" fillId="2" borderId="6" xfId="8" applyNumberFormat="1" applyFont="1" applyFill="1" applyBorder="1" applyAlignment="1">
      <alignment vertical="center"/>
    </xf>
    <xf numFmtId="165" fontId="42" fillId="2" borderId="10" xfId="8" applyNumberFormat="1" applyFont="1" applyFill="1" applyBorder="1" applyAlignment="1">
      <alignment vertical="center"/>
    </xf>
    <xf numFmtId="165" fontId="124" fillId="2" borderId="38" xfId="8" applyNumberFormat="1" applyFont="1" applyFill="1" applyBorder="1" applyAlignment="1">
      <alignment vertical="center"/>
    </xf>
    <xf numFmtId="165" fontId="41" fillId="4" borderId="125" xfId="8" applyNumberFormat="1" applyFont="1" applyFill="1" applyBorder="1" applyAlignment="1">
      <alignment vertical="center"/>
    </xf>
    <xf numFmtId="165" fontId="124" fillId="2" borderId="96" xfId="8" applyNumberFormat="1" applyFont="1" applyFill="1" applyBorder="1" applyAlignment="1">
      <alignment vertical="center"/>
    </xf>
    <xf numFmtId="9" fontId="41" fillId="6" borderId="335" xfId="2" applyFont="1" applyFill="1" applyBorder="1" applyAlignment="1">
      <alignment vertical="center"/>
    </xf>
    <xf numFmtId="9" fontId="41" fillId="2" borderId="90" xfId="2" applyFont="1" applyFill="1" applyBorder="1" applyAlignment="1">
      <alignment horizontal="center" vertical="center"/>
    </xf>
    <xf numFmtId="0" fontId="41" fillId="2" borderId="345" xfId="0" applyFont="1" applyFill="1" applyBorder="1" applyAlignment="1">
      <alignment vertical="center"/>
    </xf>
    <xf numFmtId="165" fontId="42" fillId="2" borderId="346" xfId="8" applyNumberFormat="1" applyFont="1" applyFill="1" applyBorder="1" applyAlignment="1">
      <alignment vertical="center"/>
    </xf>
    <xf numFmtId="165" fontId="42" fillId="2" borderId="345" xfId="8" applyNumberFormat="1" applyFont="1" applyFill="1" applyBorder="1" applyAlignment="1">
      <alignment vertical="center"/>
    </xf>
    <xf numFmtId="165" fontId="42" fillId="2" borderId="681" xfId="8" applyNumberFormat="1" applyFont="1" applyFill="1" applyBorder="1" applyAlignment="1">
      <alignment vertical="center"/>
    </xf>
    <xf numFmtId="165" fontId="41" fillId="6" borderId="336" xfId="8" applyNumberFormat="1" applyFont="1" applyFill="1" applyBorder="1" applyAlignment="1">
      <alignment vertical="center"/>
    </xf>
    <xf numFmtId="165" fontId="42" fillId="2" borderId="347" xfId="8" applyNumberFormat="1" applyFont="1" applyFill="1" applyBorder="1" applyAlignment="1">
      <alignment vertical="center"/>
    </xf>
    <xf numFmtId="165" fontId="41" fillId="4" borderId="681" xfId="8" applyNumberFormat="1" applyFont="1" applyFill="1" applyBorder="1" applyAlignment="1">
      <alignment vertical="center"/>
    </xf>
    <xf numFmtId="9" fontId="41" fillId="2" borderId="726" xfId="2" applyFont="1" applyFill="1" applyBorder="1" applyAlignment="1">
      <alignment vertical="center"/>
    </xf>
    <xf numFmtId="165" fontId="124" fillId="2" borderId="347" xfId="8" applyNumberFormat="1" applyFont="1" applyFill="1" applyBorder="1" applyAlignment="1">
      <alignment vertical="center"/>
    </xf>
    <xf numFmtId="9" fontId="41" fillId="2" borderId="0" xfId="2" applyFont="1" applyFill="1" applyAlignment="1">
      <alignment vertical="center"/>
    </xf>
    <xf numFmtId="9" fontId="42" fillId="2" borderId="0" xfId="2" applyFont="1" applyFill="1" applyAlignment="1">
      <alignment vertical="center"/>
    </xf>
    <xf numFmtId="0" fontId="41" fillId="2" borderId="0" xfId="0" applyFont="1" applyFill="1" applyAlignment="1">
      <alignment horizontal="center" vertical="center"/>
    </xf>
    <xf numFmtId="0" fontId="41" fillId="2" borderId="339" xfId="0" applyFont="1" applyFill="1" applyBorder="1" applyAlignment="1">
      <alignment horizontal="center" vertical="center"/>
    </xf>
    <xf numFmtId="0" fontId="41" fillId="2" borderId="337" xfId="0" applyFont="1" applyFill="1" applyBorder="1" applyAlignment="1">
      <alignment horizontal="center" vertical="center"/>
    </xf>
    <xf numFmtId="0" fontId="41" fillId="2" borderId="340" xfId="0" applyFont="1" applyFill="1" applyBorder="1" applyAlignment="1">
      <alignment horizontal="center" vertical="center"/>
    </xf>
    <xf numFmtId="0" fontId="41" fillId="2" borderId="343" xfId="0" applyFont="1" applyFill="1" applyBorder="1" applyAlignment="1">
      <alignment horizontal="center" vertical="center"/>
    </xf>
    <xf numFmtId="0" fontId="41" fillId="2" borderId="344" xfId="0" applyFont="1" applyFill="1" applyBorder="1" applyAlignment="1">
      <alignment horizontal="center" vertical="center"/>
    </xf>
    <xf numFmtId="9" fontId="9" fillId="2" borderId="0" xfId="2" applyFont="1" applyFill="1" applyAlignment="1">
      <alignment vertical="center"/>
    </xf>
    <xf numFmtId="0" fontId="78" fillId="0" borderId="0" xfId="0" applyFont="1" applyFill="1" applyAlignment="1">
      <alignment horizontal="center" vertical="center"/>
    </xf>
    <xf numFmtId="0" fontId="4" fillId="0" borderId="200" xfId="0" applyFont="1" applyFill="1" applyBorder="1" applyAlignment="1">
      <alignment horizontal="center" vertical="center"/>
    </xf>
    <xf numFmtId="0" fontId="0" fillId="0" borderId="52" xfId="0" applyFont="1" applyFill="1" applyBorder="1" applyAlignment="1">
      <alignment horizontal="left" vertical="center"/>
    </xf>
    <xf numFmtId="0" fontId="4" fillId="0" borderId="52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164" fontId="4" fillId="0" borderId="59" xfId="6" applyNumberFormat="1" applyFont="1" applyFill="1" applyBorder="1" applyAlignment="1">
      <alignment horizontal="center" vertical="center"/>
    </xf>
    <xf numFmtId="164" fontId="40" fillId="0" borderId="402" xfId="6" applyNumberFormat="1" applyFont="1" applyFill="1" applyBorder="1" applyAlignment="1">
      <alignment horizontal="center" vertical="center"/>
    </xf>
    <xf numFmtId="164" fontId="40" fillId="0" borderId="403" xfId="6" applyNumberFormat="1" applyFont="1" applyFill="1" applyBorder="1" applyAlignment="1">
      <alignment vertical="center"/>
    </xf>
    <xf numFmtId="9" fontId="40" fillId="0" borderId="404" xfId="2" applyFont="1" applyFill="1" applyBorder="1" applyAlignment="1">
      <alignment horizontal="center" vertical="center"/>
    </xf>
    <xf numFmtId="9" fontId="21" fillId="0" borderId="405" xfId="2" applyFont="1" applyFill="1" applyBorder="1" applyAlignment="1">
      <alignment horizontal="center" vertical="center"/>
    </xf>
    <xf numFmtId="164" fontId="21" fillId="0" borderId="403" xfId="6" applyNumberFormat="1" applyFont="1" applyFill="1" applyBorder="1" applyAlignment="1">
      <alignment vertical="center"/>
    </xf>
    <xf numFmtId="9" fontId="21" fillId="0" borderId="404" xfId="2" applyFont="1" applyFill="1" applyBorder="1" applyAlignment="1">
      <alignment horizontal="center" vertical="center"/>
    </xf>
    <xf numFmtId="9" fontId="40" fillId="0" borderId="405" xfId="2" applyFont="1" applyFill="1" applyBorder="1" applyAlignment="1">
      <alignment horizontal="center" vertical="center"/>
    </xf>
    <xf numFmtId="9" fontId="40" fillId="0" borderId="405" xfId="2" applyFont="1" applyFill="1" applyBorder="1" applyAlignment="1">
      <alignment vertical="center"/>
    </xf>
    <xf numFmtId="164" fontId="40" fillId="0" borderId="403" xfId="0" applyNumberFormat="1" applyFont="1" applyFill="1" applyBorder="1" applyAlignment="1">
      <alignment vertical="center"/>
    </xf>
    <xf numFmtId="164" fontId="21" fillId="0" borderId="403" xfId="6" applyNumberFormat="1" applyFont="1" applyFill="1" applyBorder="1" applyAlignment="1">
      <alignment horizontal="center" vertical="center"/>
    </xf>
    <xf numFmtId="9" fontId="40" fillId="0" borderId="403" xfId="2" applyFont="1" applyFill="1" applyBorder="1" applyAlignment="1">
      <alignment horizontal="center" vertical="center"/>
    </xf>
    <xf numFmtId="164" fontId="40" fillId="0" borderId="403" xfId="6" applyNumberFormat="1" applyFont="1" applyFill="1" applyBorder="1" applyAlignment="1">
      <alignment horizontal="center" vertical="center"/>
    </xf>
    <xf numFmtId="9" fontId="21" fillId="0" borderId="403" xfId="2" applyFont="1" applyFill="1" applyBorder="1" applyAlignment="1">
      <alignment horizontal="center" vertical="center"/>
    </xf>
    <xf numFmtId="9" fontId="21" fillId="0" borderId="406" xfId="2" applyFont="1" applyFill="1" applyBorder="1" applyAlignment="1">
      <alignment horizontal="center" vertical="center"/>
    </xf>
    <xf numFmtId="0" fontId="21" fillId="0" borderId="407" xfId="0" applyFont="1" applyFill="1" applyBorder="1" applyAlignment="1">
      <alignment horizontal="center" vertical="center"/>
    </xf>
    <xf numFmtId="164" fontId="40" fillId="0" borderId="402" xfId="0" applyNumberFormat="1" applyFont="1" applyFill="1" applyBorder="1" applyAlignment="1">
      <alignment vertical="center"/>
    </xf>
    <xf numFmtId="164" fontId="40" fillId="0" borderId="408" xfId="0" applyNumberFormat="1" applyFont="1" applyFill="1" applyBorder="1" applyAlignment="1">
      <alignment vertical="center"/>
    </xf>
    <xf numFmtId="164" fontId="40" fillId="0" borderId="406" xfId="0" applyNumberFormat="1" applyFont="1" applyFill="1" applyBorder="1" applyAlignment="1">
      <alignment vertical="center"/>
    </xf>
    <xf numFmtId="0" fontId="40" fillId="0" borderId="409" xfId="0" applyFont="1" applyFill="1" applyBorder="1" applyAlignment="1">
      <alignment vertical="center"/>
    </xf>
    <xf numFmtId="9" fontId="40" fillId="0" borderId="409" xfId="2" applyFont="1" applyFill="1" applyBorder="1" applyAlignment="1">
      <alignment vertical="center"/>
    </xf>
    <xf numFmtId="0" fontId="40" fillId="0" borderId="410" xfId="0" applyFont="1" applyFill="1" applyBorder="1" applyAlignment="1">
      <alignment vertical="center"/>
    </xf>
    <xf numFmtId="0" fontId="40" fillId="0" borderId="411" xfId="0" applyFont="1" applyFill="1" applyBorder="1" applyAlignment="1">
      <alignment vertical="center"/>
    </xf>
    <xf numFmtId="0" fontId="40" fillId="0" borderId="408" xfId="0" applyFont="1" applyFill="1" applyBorder="1" applyAlignment="1">
      <alignment horizontal="center" vertical="center"/>
    </xf>
    <xf numFmtId="166" fontId="40" fillId="0" borderId="403" xfId="6" applyFont="1" applyFill="1" applyBorder="1" applyAlignment="1">
      <alignment vertical="center"/>
    </xf>
    <xf numFmtId="0" fontId="40" fillId="0" borderId="412" xfId="0" applyFont="1" applyFill="1" applyBorder="1" applyAlignment="1">
      <alignment vertical="center"/>
    </xf>
    <xf numFmtId="0" fontId="40" fillId="0" borderId="403" xfId="0" applyFont="1" applyFill="1" applyBorder="1" applyAlignment="1">
      <alignment vertical="center"/>
    </xf>
    <xf numFmtId="0" fontId="40" fillId="0" borderId="408" xfId="0" applyFont="1" applyFill="1" applyBorder="1" applyAlignment="1">
      <alignment vertical="center"/>
    </xf>
    <xf numFmtId="0" fontId="40" fillId="0" borderId="412" xfId="0" applyFont="1" applyFill="1" applyBorder="1" applyAlignment="1">
      <alignment horizontal="center" vertical="center"/>
    </xf>
    <xf numFmtId="0" fontId="40" fillId="0" borderId="411" xfId="0" applyFont="1" applyFill="1" applyBorder="1" applyAlignment="1">
      <alignment horizontal="center" vertical="center"/>
    </xf>
    <xf numFmtId="9" fontId="40" fillId="0" borderId="412" xfId="2" applyFont="1" applyFill="1" applyBorder="1" applyAlignment="1">
      <alignment horizontal="center" vertical="center"/>
    </xf>
    <xf numFmtId="0" fontId="21" fillId="0" borderId="196" xfId="0" applyFont="1" applyFill="1" applyBorder="1" applyAlignment="1">
      <alignment vertical="center"/>
    </xf>
    <xf numFmtId="164" fontId="21" fillId="0" borderId="53" xfId="6" applyNumberFormat="1" applyFont="1" applyFill="1" applyBorder="1" applyAlignment="1">
      <alignment vertical="center"/>
    </xf>
    <xf numFmtId="0" fontId="21" fillId="0" borderId="54" xfId="0" applyFont="1" applyFill="1" applyBorder="1" applyAlignment="1">
      <alignment vertical="center"/>
    </xf>
    <xf numFmtId="0" fontId="40" fillId="0" borderId="402" xfId="0" applyFont="1" applyFill="1" applyBorder="1" applyAlignment="1">
      <alignment horizontal="center" vertical="center"/>
    </xf>
    <xf numFmtId="0" fontId="40" fillId="0" borderId="406" xfId="0" applyFont="1" applyFill="1" applyBorder="1" applyAlignment="1">
      <alignment vertical="center"/>
    </xf>
    <xf numFmtId="0" fontId="40" fillId="0" borderId="402" xfId="0" applyFont="1" applyFill="1" applyBorder="1" applyAlignment="1">
      <alignment vertical="center"/>
    </xf>
    <xf numFmtId="0" fontId="40" fillId="0" borderId="0" xfId="0" applyFont="1" applyFill="1" applyBorder="1" applyAlignment="1">
      <alignment horizontal="center" vertical="center"/>
    </xf>
    <xf numFmtId="164" fontId="40" fillId="0" borderId="0" xfId="6" applyNumberFormat="1" applyFont="1" applyFill="1" applyBorder="1" applyAlignment="1">
      <alignment vertical="center"/>
    </xf>
    <xf numFmtId="0" fontId="40" fillId="0" borderId="0" xfId="0" applyFont="1" applyFill="1" applyBorder="1" applyAlignment="1">
      <alignment vertical="center"/>
    </xf>
    <xf numFmtId="9" fontId="40" fillId="0" borderId="0" xfId="2" applyFont="1" applyFill="1" applyBorder="1" applyAlignment="1">
      <alignment horizontal="center" vertical="center"/>
    </xf>
    <xf numFmtId="0" fontId="40" fillId="0" borderId="6" xfId="0" applyFont="1" applyFill="1" applyBorder="1" applyAlignment="1">
      <alignment horizontal="center" vertical="center"/>
    </xf>
    <xf numFmtId="0" fontId="40" fillId="0" borderId="10" xfId="0" applyFont="1" applyFill="1" applyBorder="1" applyAlignment="1">
      <alignment vertical="center"/>
    </xf>
    <xf numFmtId="164" fontId="40" fillId="0" borderId="337" xfId="6" applyNumberFormat="1" applyFont="1" applyFill="1" applyBorder="1" applyAlignment="1">
      <alignment horizontal="center" vertical="center"/>
    </xf>
    <xf numFmtId="164" fontId="40" fillId="0" borderId="37" xfId="6" applyNumberFormat="1" applyFont="1" applyFill="1" applyBorder="1" applyAlignment="1">
      <alignment vertical="center"/>
    </xf>
    <xf numFmtId="0" fontId="40" fillId="0" borderId="55" xfId="0" applyFont="1" applyFill="1" applyBorder="1" applyAlignment="1">
      <alignment vertical="center"/>
    </xf>
    <xf numFmtId="164" fontId="40" fillId="0" borderId="283" xfId="6" applyNumberFormat="1" applyFont="1" applyFill="1" applyBorder="1" applyAlignment="1">
      <alignment horizontal="center" vertical="center"/>
    </xf>
    <xf numFmtId="0" fontId="40" fillId="0" borderId="284" xfId="0" applyFont="1" applyFill="1" applyBorder="1" applyAlignment="1">
      <alignment vertical="center"/>
    </xf>
    <xf numFmtId="0" fontId="40" fillId="0" borderId="413" xfId="0" applyFont="1" applyFill="1" applyBorder="1" applyAlignment="1">
      <alignment vertical="center"/>
    </xf>
    <xf numFmtId="0" fontId="40" fillId="0" borderId="414" xfId="0" applyFont="1" applyFill="1" applyBorder="1" applyAlignment="1">
      <alignment vertical="center"/>
    </xf>
    <xf numFmtId="0" fontId="40" fillId="0" borderId="283" xfId="0" applyFont="1" applyFill="1" applyBorder="1" applyAlignment="1">
      <alignment horizontal="center" vertical="center"/>
    </xf>
    <xf numFmtId="0" fontId="40" fillId="0" borderId="283" xfId="0" applyFont="1" applyFill="1" applyBorder="1" applyAlignment="1">
      <alignment vertical="center"/>
    </xf>
    <xf numFmtId="0" fontId="40" fillId="0" borderId="413" xfId="0" applyFont="1" applyFill="1" applyBorder="1" applyAlignment="1">
      <alignment horizontal="center" vertical="center"/>
    </xf>
    <xf numFmtId="0" fontId="40" fillId="0" borderId="343" xfId="0" applyFont="1" applyFill="1" applyBorder="1" applyAlignment="1">
      <alignment horizontal="center" vertical="center"/>
    </xf>
    <xf numFmtId="167" fontId="40" fillId="0" borderId="6" xfId="0" applyNumberFormat="1" applyFont="1" applyFill="1" applyBorder="1" applyAlignment="1">
      <alignment horizontal="center" vertical="center"/>
    </xf>
    <xf numFmtId="167" fontId="40" fillId="0" borderId="0" xfId="0" applyNumberFormat="1" applyFont="1" applyFill="1" applyBorder="1" applyAlignment="1">
      <alignment horizontal="center" vertical="center"/>
    </xf>
    <xf numFmtId="3" fontId="40" fillId="0" borderId="0" xfId="0" applyNumberFormat="1" applyFont="1" applyFill="1" applyBorder="1" applyAlignment="1">
      <alignment vertical="center"/>
    </xf>
    <xf numFmtId="167" fontId="40" fillId="0" borderId="0" xfId="0" applyNumberFormat="1" applyFont="1" applyFill="1" applyBorder="1" applyAlignment="1">
      <alignment vertical="center"/>
    </xf>
    <xf numFmtId="0" fontId="40" fillId="0" borderId="6" xfId="0" applyFont="1" applyFill="1" applyBorder="1" applyAlignment="1">
      <alignment vertical="center"/>
    </xf>
    <xf numFmtId="164" fontId="4" fillId="0" borderId="33" xfId="6" applyNumberFormat="1" applyFont="1" applyFill="1" applyBorder="1" applyAlignment="1">
      <alignment vertical="center"/>
    </xf>
    <xf numFmtId="166" fontId="4" fillId="0" borderId="34" xfId="6" applyFont="1" applyFill="1" applyBorder="1" applyAlignment="1">
      <alignment vertical="center"/>
    </xf>
    <xf numFmtId="0" fontId="78" fillId="0" borderId="10" xfId="0" applyFont="1" applyFill="1" applyBorder="1" applyAlignment="1">
      <alignment vertical="center"/>
    </xf>
    <xf numFmtId="164" fontId="78" fillId="0" borderId="414" xfId="6" applyNumberFormat="1" applyFont="1" applyFill="1" applyBorder="1" applyAlignment="1">
      <alignment horizontal="center" vertical="center"/>
    </xf>
    <xf numFmtId="0" fontId="78" fillId="0" borderId="284" xfId="0" applyFont="1" applyFill="1" applyBorder="1" applyAlignment="1">
      <alignment vertical="center"/>
    </xf>
    <xf numFmtId="0" fontId="78" fillId="0" borderId="413" xfId="0" applyFont="1" applyFill="1" applyBorder="1" applyAlignment="1">
      <alignment vertical="center"/>
    </xf>
    <xf numFmtId="0" fontId="78" fillId="0" borderId="283" xfId="0" applyFont="1" applyFill="1" applyBorder="1" applyAlignment="1">
      <alignment vertical="center"/>
    </xf>
    <xf numFmtId="164" fontId="78" fillId="0" borderId="283" xfId="6" applyNumberFormat="1" applyFont="1" applyFill="1" applyBorder="1" applyAlignment="1">
      <alignment horizontal="center" vertical="center"/>
    </xf>
    <xf numFmtId="0" fontId="78" fillId="0" borderId="413" xfId="0" applyFont="1" applyFill="1" applyBorder="1" applyAlignment="1">
      <alignment horizontal="center" vertical="center"/>
    </xf>
    <xf numFmtId="0" fontId="78" fillId="0" borderId="0" xfId="0" applyFont="1" applyFill="1" applyAlignment="1">
      <alignment vertical="center"/>
    </xf>
    <xf numFmtId="0" fontId="78" fillId="0" borderId="6" xfId="0" applyFont="1" applyFill="1" applyBorder="1" applyAlignment="1">
      <alignment horizontal="center" vertical="center"/>
    </xf>
    <xf numFmtId="0" fontId="78" fillId="0" borderId="0" xfId="0" applyFont="1" applyFill="1" applyBorder="1" applyAlignment="1">
      <alignment vertical="center"/>
    </xf>
    <xf numFmtId="0" fontId="78" fillId="0" borderId="10" xfId="0" applyFont="1" applyFill="1" applyBorder="1" applyAlignment="1">
      <alignment horizontal="center" vertical="center"/>
    </xf>
    <xf numFmtId="164" fontId="78" fillId="0" borderId="0" xfId="6" applyNumberFormat="1" applyFont="1" applyFill="1" applyAlignment="1">
      <alignment horizontal="center" vertical="center"/>
    </xf>
    <xf numFmtId="49" fontId="78" fillId="0" borderId="0" xfId="0" applyNumberFormat="1" applyFont="1" applyFill="1" applyAlignment="1">
      <alignment horizontal="center" vertical="center"/>
    </xf>
    <xf numFmtId="9" fontId="78" fillId="0" borderId="10" xfId="2" applyFont="1" applyFill="1" applyBorder="1" applyAlignment="1">
      <alignment vertical="center"/>
    </xf>
    <xf numFmtId="164" fontId="79" fillId="0" borderId="6" xfId="6" applyNumberFormat="1" applyFont="1" applyFill="1" applyBorder="1" applyAlignment="1">
      <alignment vertical="center"/>
    </xf>
    <xf numFmtId="164" fontId="79" fillId="0" borderId="0" xfId="6" applyNumberFormat="1" applyFont="1" applyFill="1" applyBorder="1" applyAlignment="1">
      <alignment vertical="center"/>
    </xf>
    <xf numFmtId="0" fontId="79" fillId="0" borderId="0" xfId="0" applyFont="1" applyFill="1" applyBorder="1" applyAlignment="1">
      <alignment vertical="center"/>
    </xf>
    <xf numFmtId="0" fontId="78" fillId="0" borderId="6" xfId="0" applyFont="1" applyFill="1" applyBorder="1" applyAlignment="1">
      <alignment vertical="center"/>
    </xf>
    <xf numFmtId="0" fontId="79" fillId="0" borderId="0" xfId="0" applyFont="1" applyFill="1" applyAlignment="1">
      <alignment vertical="center"/>
    </xf>
    <xf numFmtId="164" fontId="79" fillId="0" borderId="0" xfId="6" applyNumberFormat="1" applyFont="1" applyFill="1" applyAlignment="1">
      <alignment vertical="center"/>
    </xf>
    <xf numFmtId="164" fontId="78" fillId="0" borderId="0" xfId="6" applyNumberFormat="1" applyFont="1" applyFill="1" applyBorder="1" applyAlignment="1">
      <alignment vertical="center"/>
    </xf>
    <xf numFmtId="0" fontId="79" fillId="0" borderId="6" xfId="0" applyFont="1" applyFill="1" applyBorder="1" applyAlignment="1">
      <alignment vertical="center"/>
    </xf>
    <xf numFmtId="164" fontId="78" fillId="0" borderId="0" xfId="6" applyNumberFormat="1" applyFont="1" applyFill="1" applyAlignment="1">
      <alignment vertical="center"/>
    </xf>
    <xf numFmtId="9" fontId="78" fillId="0" borderId="0" xfId="2" applyFont="1" applyFill="1" applyBorder="1" applyAlignment="1">
      <alignment vertical="center"/>
    </xf>
    <xf numFmtId="164" fontId="40" fillId="0" borderId="0" xfId="6" applyNumberFormat="1" applyFont="1" applyFill="1" applyBorder="1" applyAlignment="1">
      <alignment horizontal="center" vertical="center"/>
    </xf>
    <xf numFmtId="49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164" fontId="21" fillId="0" borderId="53" xfId="0" applyNumberFormat="1" applyFont="1" applyFill="1" applyBorder="1" applyAlignment="1">
      <alignment vertical="center"/>
    </xf>
    <xf numFmtId="49" fontId="40" fillId="0" borderId="0" xfId="0" applyNumberFormat="1" applyFont="1" applyFill="1" applyBorder="1" applyAlignment="1">
      <alignment horizontal="center" vertical="center"/>
    </xf>
    <xf numFmtId="9" fontId="40" fillId="0" borderId="10" xfId="2" applyFont="1" applyFill="1" applyBorder="1" applyAlignment="1">
      <alignment vertical="center"/>
    </xf>
    <xf numFmtId="164" fontId="40" fillId="0" borderId="6" xfId="6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9" fontId="40" fillId="0" borderId="0" xfId="2" applyFont="1" applyFill="1" applyBorder="1" applyAlignment="1">
      <alignment vertical="center"/>
    </xf>
    <xf numFmtId="0" fontId="79" fillId="0" borderId="6" xfId="0" applyFont="1" applyFill="1" applyBorder="1" applyAlignment="1">
      <alignment horizontal="center" vertical="center"/>
    </xf>
    <xf numFmtId="0" fontId="79" fillId="0" borderId="10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vertical="center"/>
    </xf>
    <xf numFmtId="164" fontId="40" fillId="0" borderId="53" xfId="0" applyNumberFormat="1" applyFont="1" applyFill="1" applyBorder="1" applyAlignment="1">
      <alignment vertical="center"/>
    </xf>
    <xf numFmtId="167" fontId="40" fillId="0" borderId="6" xfId="6" applyNumberFormat="1" applyFont="1" applyFill="1" applyBorder="1" applyAlignment="1">
      <alignment horizontal="center" vertical="center"/>
    </xf>
    <xf numFmtId="167" fontId="21" fillId="0" borderId="0" xfId="6" applyNumberFormat="1" applyFont="1" applyFill="1" applyBorder="1" applyAlignment="1">
      <alignment horizontal="center" vertical="center"/>
    </xf>
    <xf numFmtId="0" fontId="0" fillId="0" borderId="58" xfId="0" applyFont="1" applyFill="1" applyBorder="1" applyAlignment="1">
      <alignment horizontal="left" vertical="center"/>
    </xf>
    <xf numFmtId="0" fontId="4" fillId="0" borderId="58" xfId="0" applyFont="1" applyFill="1" applyBorder="1" applyAlignment="1">
      <alignment horizontal="center" vertical="center"/>
    </xf>
    <xf numFmtId="0" fontId="5" fillId="0" borderId="58" xfId="0" applyFont="1" applyFill="1" applyBorder="1" applyAlignment="1">
      <alignment horizontal="center" vertical="center"/>
    </xf>
    <xf numFmtId="164" fontId="4" fillId="0" borderId="62" xfId="6" applyNumberFormat="1" applyFont="1" applyFill="1" applyBorder="1" applyAlignment="1">
      <alignment horizontal="center" vertical="center"/>
    </xf>
    <xf numFmtId="164" fontId="40" fillId="0" borderId="415" xfId="6" applyNumberFormat="1" applyFont="1" applyFill="1" applyBorder="1" applyAlignment="1">
      <alignment horizontal="center" vertical="center"/>
    </xf>
    <xf numFmtId="164" fontId="40" fillId="0" borderId="416" xfId="6" applyNumberFormat="1" applyFont="1" applyFill="1" applyBorder="1" applyAlignment="1">
      <alignment vertical="center"/>
    </xf>
    <xf numFmtId="9" fontId="40" fillId="0" borderId="417" xfId="2" applyFont="1" applyFill="1" applyBorder="1" applyAlignment="1">
      <alignment horizontal="center" vertical="center"/>
    </xf>
    <xf numFmtId="9" fontId="21" fillId="0" borderId="418" xfId="2" applyFont="1" applyFill="1" applyBorder="1" applyAlignment="1">
      <alignment horizontal="center" vertical="center"/>
    </xf>
    <xf numFmtId="164" fontId="21" fillId="0" borderId="416" xfId="6" applyNumberFormat="1" applyFont="1" applyFill="1" applyBorder="1" applyAlignment="1">
      <alignment vertical="center"/>
    </xf>
    <xf numFmtId="9" fontId="21" fillId="0" borderId="417" xfId="2" applyFont="1" applyFill="1" applyBorder="1" applyAlignment="1">
      <alignment horizontal="center" vertical="center"/>
    </xf>
    <xf numFmtId="9" fontId="40" fillId="0" borderId="418" xfId="2" applyFont="1" applyFill="1" applyBorder="1" applyAlignment="1">
      <alignment horizontal="center" vertical="center"/>
    </xf>
    <xf numFmtId="164" fontId="40" fillId="0" borderId="416" xfId="6" applyNumberFormat="1" applyFont="1" applyFill="1" applyBorder="1" applyAlignment="1" applyProtection="1">
      <alignment horizontal="right" vertical="center"/>
      <protection hidden="1"/>
    </xf>
    <xf numFmtId="164" fontId="40" fillId="0" borderId="416" xfId="6" applyNumberFormat="1" applyFont="1" applyFill="1" applyBorder="1" applyAlignment="1">
      <alignment horizontal="center" vertical="center"/>
    </xf>
    <xf numFmtId="9" fontId="40" fillId="0" borderId="418" xfId="2" applyFont="1" applyFill="1" applyBorder="1" applyAlignment="1">
      <alignment vertical="center"/>
    </xf>
    <xf numFmtId="164" fontId="40" fillId="0" borderId="416" xfId="0" applyNumberFormat="1" applyFont="1" applyFill="1" applyBorder="1" applyAlignment="1">
      <alignment vertical="center"/>
    </xf>
    <xf numFmtId="164" fontId="21" fillId="0" borderId="416" xfId="6" applyNumberFormat="1" applyFont="1" applyFill="1" applyBorder="1" applyAlignment="1">
      <alignment horizontal="center" vertical="center"/>
    </xf>
    <xf numFmtId="9" fontId="40" fillId="0" borderId="416" xfId="2" applyFont="1" applyFill="1" applyBorder="1" applyAlignment="1">
      <alignment horizontal="center" vertical="center"/>
    </xf>
    <xf numFmtId="9" fontId="21" fillId="0" borderId="416" xfId="2" applyFont="1" applyFill="1" applyBorder="1" applyAlignment="1">
      <alignment horizontal="center" vertical="center"/>
    </xf>
    <xf numFmtId="9" fontId="21" fillId="0" borderId="419" xfId="2" applyFont="1" applyFill="1" applyBorder="1" applyAlignment="1">
      <alignment horizontal="center" vertical="center"/>
    </xf>
    <xf numFmtId="164" fontId="40" fillId="0" borderId="415" xfId="0" applyNumberFormat="1" applyFont="1" applyFill="1" applyBorder="1" applyAlignment="1">
      <alignment vertical="center"/>
    </xf>
    <xf numFmtId="164" fontId="40" fillId="0" borderId="420" xfId="0" applyNumberFormat="1" applyFont="1" applyFill="1" applyBorder="1" applyAlignment="1">
      <alignment vertical="center"/>
    </xf>
    <xf numFmtId="164" fontId="40" fillId="0" borderId="419" xfId="0" applyNumberFormat="1" applyFont="1" applyFill="1" applyBorder="1" applyAlignment="1">
      <alignment vertical="center"/>
    </xf>
    <xf numFmtId="0" fontId="40" fillId="0" borderId="421" xfId="0" applyFont="1" applyFill="1" applyBorder="1" applyAlignment="1">
      <alignment vertical="center"/>
    </xf>
    <xf numFmtId="9" fontId="40" fillId="0" borderId="421" xfId="2" applyFont="1" applyFill="1" applyBorder="1" applyAlignment="1">
      <alignment vertical="center"/>
    </xf>
    <xf numFmtId="0" fontId="40" fillId="0" borderId="422" xfId="0" applyFont="1" applyFill="1" applyBorder="1" applyAlignment="1">
      <alignment vertical="center"/>
    </xf>
    <xf numFmtId="0" fontId="40" fillId="0" borderId="423" xfId="0" applyFont="1" applyFill="1" applyBorder="1" applyAlignment="1">
      <alignment vertical="center"/>
    </xf>
    <xf numFmtId="0" fontId="40" fillId="0" borderId="420" xfId="0" applyFont="1" applyFill="1" applyBorder="1" applyAlignment="1">
      <alignment horizontal="center" vertical="center"/>
    </xf>
    <xf numFmtId="166" fontId="40" fillId="0" borderId="416" xfId="6" applyFont="1" applyFill="1" applyBorder="1" applyAlignment="1">
      <alignment vertical="center"/>
    </xf>
    <xf numFmtId="0" fontId="40" fillId="0" borderId="424" xfId="0" applyFont="1" applyFill="1" applyBorder="1" applyAlignment="1">
      <alignment vertical="center"/>
    </xf>
    <xf numFmtId="0" fontId="40" fillId="0" borderId="416" xfId="0" applyFont="1" applyFill="1" applyBorder="1" applyAlignment="1">
      <alignment vertical="center"/>
    </xf>
    <xf numFmtId="0" fontId="40" fillId="0" borderId="420" xfId="0" applyFont="1" applyFill="1" applyBorder="1" applyAlignment="1">
      <alignment vertical="center"/>
    </xf>
    <xf numFmtId="0" fontId="40" fillId="0" borderId="424" xfId="0" applyFont="1" applyFill="1" applyBorder="1" applyAlignment="1">
      <alignment horizontal="center" vertical="center"/>
    </xf>
    <xf numFmtId="0" fontId="40" fillId="0" borderId="423" xfId="0" applyFont="1" applyFill="1" applyBorder="1" applyAlignment="1">
      <alignment horizontal="center" vertical="center"/>
    </xf>
    <xf numFmtId="9" fontId="40" fillId="0" borderId="424" xfId="2" applyFont="1" applyFill="1" applyBorder="1" applyAlignment="1">
      <alignment horizontal="center" vertical="center"/>
    </xf>
    <xf numFmtId="0" fontId="40" fillId="0" borderId="415" xfId="0" applyFont="1" applyFill="1" applyBorder="1" applyAlignment="1">
      <alignment horizontal="center" vertical="center"/>
    </xf>
    <xf numFmtId="0" fontId="40" fillId="0" borderId="419" xfId="0" applyFont="1" applyFill="1" applyBorder="1" applyAlignment="1">
      <alignment vertical="center"/>
    </xf>
    <xf numFmtId="0" fontId="40" fillId="0" borderId="415" xfId="0" applyFont="1" applyFill="1" applyBorder="1" applyAlignment="1">
      <alignment vertical="center"/>
    </xf>
    <xf numFmtId="166" fontId="40" fillId="0" borderId="417" xfId="6" applyFont="1" applyFill="1" applyBorder="1" applyAlignment="1">
      <alignment horizontal="center" vertical="center"/>
    </xf>
    <xf numFmtId="9" fontId="40" fillId="0" borderId="425" xfId="2" applyFont="1" applyFill="1" applyBorder="1" applyAlignment="1">
      <alignment horizontal="center" vertical="center"/>
    </xf>
    <xf numFmtId="164" fontId="40" fillId="0" borderId="426" xfId="6" applyNumberFormat="1" applyFont="1" applyFill="1" applyBorder="1" applyAlignment="1">
      <alignment vertical="center"/>
    </xf>
    <xf numFmtId="164" fontId="21" fillId="0" borderId="407" xfId="0" applyNumberFormat="1" applyFont="1" applyFill="1" applyBorder="1" applyAlignment="1">
      <alignment horizontal="center" vertical="center"/>
    </xf>
    <xf numFmtId="0" fontId="40" fillId="0" borderId="427" xfId="0" applyFont="1" applyFill="1" applyBorder="1" applyAlignment="1">
      <alignment horizontal="center" vertical="center"/>
    </xf>
    <xf numFmtId="0" fontId="40" fillId="0" borderId="426" xfId="0" applyFont="1" applyFill="1" applyBorder="1" applyAlignment="1">
      <alignment vertical="center"/>
    </xf>
    <xf numFmtId="0" fontId="40" fillId="0" borderId="428" xfId="0" applyFont="1" applyFill="1" applyBorder="1" applyAlignment="1">
      <alignment horizontal="center" vertical="center"/>
    </xf>
    <xf numFmtId="164" fontId="21" fillId="0" borderId="103" xfId="0" applyNumberFormat="1" applyFont="1" applyFill="1" applyBorder="1" applyAlignment="1">
      <alignment vertical="center"/>
    </xf>
    <xf numFmtId="164" fontId="40" fillId="0" borderId="103" xfId="0" applyNumberFormat="1" applyFont="1" applyFill="1" applyBorder="1" applyAlignment="1">
      <alignment vertical="center"/>
    </xf>
    <xf numFmtId="164" fontId="40" fillId="0" borderId="429" xfId="6" applyNumberFormat="1" applyFont="1" applyFill="1" applyBorder="1" applyAlignment="1">
      <alignment horizontal="center" vertical="center"/>
    </xf>
    <xf numFmtId="164" fontId="40" fillId="0" borderId="430" xfId="6" applyNumberFormat="1" applyFont="1" applyFill="1" applyBorder="1" applyAlignment="1">
      <alignment vertical="center"/>
    </xf>
    <xf numFmtId="9" fontId="40" fillId="0" borderId="430" xfId="2" applyFont="1" applyFill="1" applyBorder="1" applyAlignment="1">
      <alignment horizontal="center" vertical="center"/>
    </xf>
    <xf numFmtId="4" fontId="21" fillId="0" borderId="430" xfId="2" applyNumberFormat="1" applyFont="1" applyFill="1" applyBorder="1" applyAlignment="1">
      <alignment horizontal="center" vertical="center"/>
    </xf>
    <xf numFmtId="164" fontId="21" fillId="0" borderId="430" xfId="6" applyNumberFormat="1" applyFont="1" applyFill="1" applyBorder="1" applyAlignment="1">
      <alignment vertical="center"/>
    </xf>
    <xf numFmtId="9" fontId="21" fillId="0" borderId="430" xfId="2" applyFont="1" applyFill="1" applyBorder="1" applyAlignment="1">
      <alignment horizontal="center" vertical="center"/>
    </xf>
    <xf numFmtId="167" fontId="40" fillId="0" borderId="430" xfId="2" applyNumberFormat="1" applyFont="1" applyFill="1" applyBorder="1" applyAlignment="1">
      <alignment horizontal="center" vertical="center"/>
    </xf>
    <xf numFmtId="166" fontId="40" fillId="0" borderId="430" xfId="6" applyFont="1" applyFill="1" applyBorder="1" applyAlignment="1">
      <alignment horizontal="center" vertical="center"/>
    </xf>
    <xf numFmtId="9" fontId="40" fillId="0" borderId="430" xfId="2" applyFont="1" applyFill="1" applyBorder="1" applyAlignment="1">
      <alignment vertical="center"/>
    </xf>
    <xf numFmtId="164" fontId="40" fillId="0" borderId="430" xfId="0" applyNumberFormat="1" applyFont="1" applyFill="1" applyBorder="1" applyAlignment="1">
      <alignment vertical="center"/>
    </xf>
    <xf numFmtId="164" fontId="40" fillId="0" borderId="430" xfId="6" applyNumberFormat="1" applyFont="1" applyFill="1" applyBorder="1" applyAlignment="1">
      <alignment horizontal="center" vertical="center"/>
    </xf>
    <xf numFmtId="0" fontId="40" fillId="0" borderId="430" xfId="2" applyNumberFormat="1" applyFont="1" applyFill="1" applyBorder="1" applyAlignment="1">
      <alignment horizontal="center" vertical="center"/>
    </xf>
    <xf numFmtId="164" fontId="40" fillId="0" borderId="430" xfId="2" applyNumberFormat="1" applyFont="1" applyFill="1" applyBorder="1" applyAlignment="1">
      <alignment horizontal="center" vertical="center"/>
    </xf>
    <xf numFmtId="167" fontId="21" fillId="0" borderId="430" xfId="2" applyNumberFormat="1" applyFont="1" applyFill="1" applyBorder="1" applyAlignment="1">
      <alignment horizontal="center" vertical="center"/>
    </xf>
    <xf numFmtId="9" fontId="21" fillId="0" borderId="431" xfId="2" applyFont="1" applyFill="1" applyBorder="1" applyAlignment="1">
      <alignment horizontal="center" vertical="center"/>
    </xf>
    <xf numFmtId="164" fontId="40" fillId="0" borderId="432" xfId="0" applyNumberFormat="1" applyFont="1" applyFill="1" applyBorder="1" applyAlignment="1">
      <alignment vertical="center"/>
    </xf>
    <xf numFmtId="164" fontId="40" fillId="0" borderId="429" xfId="0" applyNumberFormat="1" applyFont="1" applyFill="1" applyBorder="1" applyAlignment="1">
      <alignment vertical="center"/>
    </xf>
    <xf numFmtId="164" fontId="40" fillId="0" borderId="431" xfId="0" applyNumberFormat="1" applyFont="1" applyFill="1" applyBorder="1" applyAlignment="1">
      <alignment vertical="center"/>
    </xf>
    <xf numFmtId="164" fontId="40" fillId="0" borderId="433" xfId="0" applyNumberFormat="1" applyFont="1" applyFill="1" applyBorder="1" applyAlignment="1">
      <alignment vertical="center"/>
    </xf>
    <xf numFmtId="9" fontId="40" fillId="0" borderId="434" xfId="2" applyFont="1" applyFill="1" applyBorder="1" applyAlignment="1">
      <alignment vertical="center"/>
    </xf>
    <xf numFmtId="164" fontId="40" fillId="0" borderId="433" xfId="6" applyNumberFormat="1" applyFont="1" applyFill="1" applyBorder="1" applyAlignment="1">
      <alignment vertical="center"/>
    </xf>
    <xf numFmtId="0" fontId="40" fillId="0" borderId="434" xfId="0" applyFont="1" applyFill="1" applyBorder="1" applyAlignment="1">
      <alignment vertical="center"/>
    </xf>
    <xf numFmtId="164" fontId="40" fillId="0" borderId="429" xfId="6" applyNumberFormat="1" applyFont="1" applyFill="1" applyBorder="1" applyAlignment="1">
      <alignment vertical="center"/>
    </xf>
    <xf numFmtId="0" fontId="40" fillId="0" borderId="431" xfId="0" applyFont="1" applyFill="1" applyBorder="1" applyAlignment="1">
      <alignment vertical="center"/>
    </xf>
    <xf numFmtId="0" fontId="40" fillId="0" borderId="433" xfId="0" applyFont="1" applyFill="1" applyBorder="1" applyAlignment="1">
      <alignment horizontal="center" vertical="center"/>
    </xf>
    <xf numFmtId="0" fontId="40" fillId="0" borderId="433" xfId="0" applyFont="1" applyFill="1" applyBorder="1" applyAlignment="1">
      <alignment vertical="center"/>
    </xf>
    <xf numFmtId="0" fontId="40" fillId="0" borderId="430" xfId="0" applyFont="1" applyFill="1" applyBorder="1" applyAlignment="1">
      <alignment vertical="center"/>
    </xf>
    <xf numFmtId="9" fontId="40" fillId="0" borderId="434" xfId="2" applyFont="1" applyFill="1" applyBorder="1" applyAlignment="1">
      <alignment horizontal="center" vertical="center"/>
    </xf>
    <xf numFmtId="1" fontId="21" fillId="0" borderId="435" xfId="2" applyNumberFormat="1" applyFont="1" applyFill="1" applyBorder="1" applyAlignment="1">
      <alignment horizontal="center" vertical="center"/>
    </xf>
    <xf numFmtId="164" fontId="21" fillId="0" borderId="436" xfId="6" applyNumberFormat="1" applyFont="1" applyFill="1" applyBorder="1" applyAlignment="1">
      <alignment horizontal="center" vertical="center"/>
    </xf>
    <xf numFmtId="9" fontId="21" fillId="0" borderId="437" xfId="2" applyFont="1" applyFill="1" applyBorder="1" applyAlignment="1">
      <alignment horizontal="center" vertical="center"/>
    </xf>
    <xf numFmtId="1" fontId="40" fillId="0" borderId="429" xfId="0" applyNumberFormat="1" applyFont="1" applyFill="1" applyBorder="1" applyAlignment="1">
      <alignment horizontal="center" vertical="center"/>
    </xf>
    <xf numFmtId="9" fontId="40" fillId="0" borderId="431" xfId="2" applyFont="1" applyFill="1" applyBorder="1" applyAlignment="1">
      <alignment vertical="center"/>
    </xf>
    <xf numFmtId="1" fontId="40" fillId="0" borderId="433" xfId="0" applyNumberFormat="1" applyFont="1" applyFill="1" applyBorder="1" applyAlignment="1">
      <alignment vertical="center"/>
    </xf>
    <xf numFmtId="1" fontId="40" fillId="0" borderId="433" xfId="0" applyNumberFormat="1" applyFont="1" applyFill="1" applyBorder="1" applyAlignment="1">
      <alignment horizontal="center" vertical="center"/>
    </xf>
    <xf numFmtId="0" fontId="40" fillId="0" borderId="438" xfId="0" applyFont="1" applyFill="1" applyBorder="1" applyAlignment="1">
      <alignment horizontal="center" vertical="center"/>
    </xf>
    <xf numFmtId="164" fontId="40" fillId="0" borderId="439" xfId="6" applyNumberFormat="1" applyFont="1" applyFill="1" applyBorder="1" applyAlignment="1">
      <alignment vertical="center"/>
    </xf>
    <xf numFmtId="9" fontId="40" fillId="0" borderId="438" xfId="2" applyFont="1" applyFill="1" applyBorder="1" applyAlignment="1">
      <alignment horizontal="center" vertical="center"/>
    </xf>
    <xf numFmtId="0" fontId="40" fillId="0" borderId="440" xfId="0" applyFont="1" applyFill="1" applyBorder="1" applyAlignment="1">
      <alignment horizontal="center" vertical="center"/>
    </xf>
    <xf numFmtId="9" fontId="40" fillId="0" borderId="441" xfId="2" applyFont="1" applyFill="1" applyBorder="1" applyAlignment="1">
      <alignment horizontal="center" vertical="center"/>
    </xf>
    <xf numFmtId="164" fontId="40" fillId="0" borderId="438" xfId="6" applyNumberFormat="1" applyFont="1" applyFill="1" applyBorder="1" applyAlignment="1">
      <alignment vertical="center"/>
    </xf>
    <xf numFmtId="0" fontId="40" fillId="0" borderId="36" xfId="0" applyFont="1" applyFill="1" applyBorder="1" applyAlignment="1">
      <alignment horizontal="center" vertical="center"/>
    </xf>
    <xf numFmtId="164" fontId="40" fillId="0" borderId="41" xfId="6" applyNumberFormat="1" applyFont="1" applyFill="1" applyBorder="1" applyAlignment="1">
      <alignment vertical="center"/>
    </xf>
    <xf numFmtId="164" fontId="40" fillId="0" borderId="284" xfId="0" applyNumberFormat="1" applyFont="1" applyFill="1" applyBorder="1" applyAlignment="1">
      <alignment vertical="center"/>
    </xf>
    <xf numFmtId="9" fontId="40" fillId="0" borderId="413" xfId="2" applyFont="1" applyFill="1" applyBorder="1" applyAlignment="1">
      <alignment vertical="center"/>
    </xf>
    <xf numFmtId="0" fontId="40" fillId="0" borderId="442" xfId="0" applyFont="1" applyFill="1" applyBorder="1" applyAlignment="1">
      <alignment horizontal="center" vertical="center"/>
    </xf>
    <xf numFmtId="167" fontId="40" fillId="0" borderId="440" xfId="0" applyNumberFormat="1" applyFont="1" applyFill="1" applyBorder="1" applyAlignment="1">
      <alignment horizontal="center" vertical="center"/>
    </xf>
    <xf numFmtId="167" fontId="40" fillId="0" borderId="36" xfId="0" applyNumberFormat="1" applyFont="1" applyFill="1" applyBorder="1" applyAlignment="1">
      <alignment horizontal="center" vertical="center"/>
    </xf>
    <xf numFmtId="3" fontId="40" fillId="0" borderId="36" xfId="0" applyNumberFormat="1" applyFont="1" applyFill="1" applyBorder="1" applyAlignment="1">
      <alignment horizontal="center" vertical="center"/>
    </xf>
    <xf numFmtId="0" fontId="4" fillId="0" borderId="283" xfId="0" applyFont="1" applyFill="1" applyBorder="1" applyAlignment="1">
      <alignment vertical="center"/>
    </xf>
    <xf numFmtId="0" fontId="4" fillId="0" borderId="284" xfId="0" applyFont="1" applyFill="1" applyBorder="1" applyAlignment="1">
      <alignment vertical="center"/>
    </xf>
    <xf numFmtId="0" fontId="4" fillId="0" borderId="413" xfId="0" applyFont="1" applyFill="1" applyBorder="1" applyAlignment="1">
      <alignment vertical="center"/>
    </xf>
    <xf numFmtId="0" fontId="4" fillId="0" borderId="413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164" fontId="4" fillId="0" borderId="0" xfId="6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6" xfId="0" applyFont="1" applyFill="1" applyBorder="1" applyAlignment="1">
      <alignment vertical="center"/>
    </xf>
    <xf numFmtId="164" fontId="4" fillId="0" borderId="0" xfId="6" applyNumberFormat="1" applyFont="1" applyFill="1" applyAlignment="1">
      <alignment vertical="center"/>
    </xf>
    <xf numFmtId="49" fontId="12" fillId="0" borderId="0" xfId="0" applyNumberFormat="1" applyFont="1" applyFill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167" fontId="12" fillId="0" borderId="0" xfId="6" applyNumberFormat="1" applyFont="1" applyFill="1" applyAlignment="1">
      <alignment horizontal="center" vertical="center"/>
    </xf>
    <xf numFmtId="4" fontId="21" fillId="0" borderId="430" xfId="6" applyNumberFormat="1" applyFont="1" applyFill="1" applyBorder="1" applyAlignment="1">
      <alignment horizontal="center" vertical="center"/>
    </xf>
    <xf numFmtId="164" fontId="21" fillId="0" borderId="430" xfId="6" applyNumberFormat="1" applyFont="1" applyFill="1" applyBorder="1" applyAlignment="1">
      <alignment horizontal="center" vertical="center"/>
    </xf>
    <xf numFmtId="167" fontId="40" fillId="0" borderId="430" xfId="6" applyNumberFormat="1" applyFont="1" applyFill="1" applyBorder="1" applyAlignment="1">
      <alignment horizontal="center" vertical="center"/>
    </xf>
    <xf numFmtId="0" fontId="40" fillId="0" borderId="430" xfId="0" applyFont="1" applyFill="1" applyBorder="1" applyAlignment="1">
      <alignment horizontal="center" vertical="center"/>
    </xf>
    <xf numFmtId="166" fontId="40" fillId="0" borderId="430" xfId="6" applyFont="1" applyFill="1" applyBorder="1" applyAlignment="1">
      <alignment vertical="center"/>
    </xf>
    <xf numFmtId="0" fontId="40" fillId="0" borderId="434" xfId="0" applyFont="1" applyFill="1" applyBorder="1" applyAlignment="1">
      <alignment horizontal="center" vertical="center"/>
    </xf>
    <xf numFmtId="0" fontId="40" fillId="0" borderId="429" xfId="0" applyFont="1" applyFill="1" applyBorder="1" applyAlignment="1">
      <alignment vertical="center"/>
    </xf>
    <xf numFmtId="49" fontId="79" fillId="0" borderId="0" xfId="0" applyNumberFormat="1" applyFont="1" applyFill="1" applyAlignment="1">
      <alignment horizontal="center" vertical="center"/>
    </xf>
    <xf numFmtId="164" fontId="78" fillId="0" borderId="6" xfId="6" applyNumberFormat="1" applyFont="1" applyFill="1" applyBorder="1" applyAlignment="1">
      <alignment horizontal="center" vertical="center"/>
    </xf>
    <xf numFmtId="0" fontId="79" fillId="0" borderId="0" xfId="0" applyFont="1" applyFill="1" applyAlignment="1">
      <alignment horizontal="center" vertical="center"/>
    </xf>
    <xf numFmtId="164" fontId="79" fillId="0" borderId="6" xfId="6" applyNumberFormat="1" applyFont="1" applyFill="1" applyBorder="1" applyAlignment="1">
      <alignment horizontal="center" vertical="center"/>
    </xf>
    <xf numFmtId="167" fontId="78" fillId="0" borderId="6" xfId="6" applyNumberFormat="1" applyFont="1" applyFill="1" applyBorder="1" applyAlignment="1">
      <alignment horizontal="center" vertical="center"/>
    </xf>
    <xf numFmtId="167" fontId="79" fillId="0" borderId="0" xfId="6" applyNumberFormat="1" applyFont="1" applyFill="1" applyAlignment="1">
      <alignment horizontal="center" vertical="center"/>
    </xf>
    <xf numFmtId="164" fontId="78" fillId="0" borderId="429" xfId="6" applyNumberFormat="1" applyFont="1" applyFill="1" applyBorder="1" applyAlignment="1">
      <alignment horizontal="center" vertical="center"/>
    </xf>
    <xf numFmtId="164" fontId="78" fillId="0" borderId="430" xfId="6" applyNumberFormat="1" applyFont="1" applyFill="1" applyBorder="1" applyAlignment="1">
      <alignment vertical="center"/>
    </xf>
    <xf numFmtId="9" fontId="78" fillId="0" borderId="430" xfId="2" applyFont="1" applyFill="1" applyBorder="1" applyAlignment="1">
      <alignment horizontal="center" vertical="center"/>
    </xf>
    <xf numFmtId="4" fontId="79" fillId="0" borderId="430" xfId="2" applyNumberFormat="1" applyFont="1" applyFill="1" applyBorder="1" applyAlignment="1">
      <alignment horizontal="center" vertical="center"/>
    </xf>
    <xf numFmtId="164" fontId="79" fillId="0" borderId="430" xfId="6" applyNumberFormat="1" applyFont="1" applyFill="1" applyBorder="1" applyAlignment="1">
      <alignment vertical="center"/>
    </xf>
    <xf numFmtId="9" fontId="79" fillId="0" borderId="430" xfId="2" applyFont="1" applyFill="1" applyBorder="1" applyAlignment="1">
      <alignment horizontal="center" vertical="center"/>
    </xf>
    <xf numFmtId="167" fontId="78" fillId="0" borderId="430" xfId="2" applyNumberFormat="1" applyFont="1" applyFill="1" applyBorder="1" applyAlignment="1">
      <alignment horizontal="center" vertical="center"/>
    </xf>
    <xf numFmtId="166" fontId="78" fillId="0" borderId="430" xfId="6" applyFont="1" applyFill="1" applyBorder="1" applyAlignment="1">
      <alignment horizontal="center" vertical="center"/>
    </xf>
    <xf numFmtId="9" fontId="78" fillId="0" borderId="430" xfId="2" applyFont="1" applyFill="1" applyBorder="1" applyAlignment="1">
      <alignment vertical="center"/>
    </xf>
    <xf numFmtId="164" fontId="78" fillId="0" borderId="430" xfId="0" applyNumberFormat="1" applyFont="1" applyFill="1" applyBorder="1" applyAlignment="1">
      <alignment vertical="center"/>
    </xf>
    <xf numFmtId="164" fontId="78" fillId="0" borderId="430" xfId="6" applyNumberFormat="1" applyFont="1" applyFill="1" applyBorder="1" applyAlignment="1">
      <alignment horizontal="center" vertical="center"/>
    </xf>
    <xf numFmtId="0" fontId="78" fillId="0" borderId="430" xfId="2" applyNumberFormat="1" applyFont="1" applyFill="1" applyBorder="1" applyAlignment="1">
      <alignment horizontal="center" vertical="center"/>
    </xf>
    <xf numFmtId="164" fontId="78" fillId="0" borderId="430" xfId="2" applyNumberFormat="1" applyFont="1" applyFill="1" applyBorder="1" applyAlignment="1">
      <alignment horizontal="center" vertical="center"/>
    </xf>
    <xf numFmtId="167" fontId="79" fillId="0" borderId="430" xfId="2" applyNumberFormat="1" applyFont="1" applyFill="1" applyBorder="1" applyAlignment="1">
      <alignment horizontal="center" vertical="center"/>
    </xf>
    <xf numFmtId="9" fontId="79" fillId="0" borderId="431" xfId="2" applyFont="1" applyFill="1" applyBorder="1" applyAlignment="1">
      <alignment horizontal="center" vertical="center"/>
    </xf>
    <xf numFmtId="164" fontId="78" fillId="0" borderId="429" xfId="0" applyNumberFormat="1" applyFont="1" applyFill="1" applyBorder="1" applyAlignment="1">
      <alignment vertical="center"/>
    </xf>
    <xf numFmtId="164" fontId="78" fillId="0" borderId="431" xfId="0" applyNumberFormat="1" applyFont="1" applyFill="1" applyBorder="1" applyAlignment="1">
      <alignment vertical="center"/>
    </xf>
    <xf numFmtId="164" fontId="78" fillId="0" borderId="433" xfId="0" applyNumberFormat="1" applyFont="1" applyFill="1" applyBorder="1" applyAlignment="1">
      <alignment vertical="center"/>
    </xf>
    <xf numFmtId="9" fontId="78" fillId="0" borderId="434" xfId="2" applyFont="1" applyFill="1" applyBorder="1" applyAlignment="1">
      <alignment vertical="center"/>
    </xf>
    <xf numFmtId="164" fontId="78" fillId="0" borderId="433" xfId="6" applyNumberFormat="1" applyFont="1" applyFill="1" applyBorder="1" applyAlignment="1">
      <alignment vertical="center"/>
    </xf>
    <xf numFmtId="0" fontId="78" fillId="0" borderId="434" xfId="0" applyFont="1" applyFill="1" applyBorder="1" applyAlignment="1">
      <alignment vertical="center"/>
    </xf>
    <xf numFmtId="164" fontId="78" fillId="0" borderId="429" xfId="6" applyNumberFormat="1" applyFont="1" applyFill="1" applyBorder="1" applyAlignment="1">
      <alignment vertical="center"/>
    </xf>
    <xf numFmtId="0" fontId="78" fillId="0" borderId="431" xfId="0" applyFont="1" applyFill="1" applyBorder="1" applyAlignment="1">
      <alignment vertical="center"/>
    </xf>
    <xf numFmtId="0" fontId="78" fillId="0" borderId="433" xfId="0" applyFont="1" applyFill="1" applyBorder="1" applyAlignment="1">
      <alignment horizontal="center" vertical="center"/>
    </xf>
    <xf numFmtId="166" fontId="78" fillId="0" borderId="430" xfId="6" applyFont="1" applyFill="1" applyBorder="1" applyAlignment="1">
      <alignment vertical="center"/>
    </xf>
    <xf numFmtId="0" fontId="78" fillId="0" borderId="430" xfId="0" applyFont="1" applyFill="1" applyBorder="1" applyAlignment="1">
      <alignment vertical="center"/>
    </xf>
    <xf numFmtId="0" fontId="78" fillId="0" borderId="433" xfId="0" applyFont="1" applyFill="1" applyBorder="1" applyAlignment="1">
      <alignment vertical="center"/>
    </xf>
    <xf numFmtId="0" fontId="78" fillId="0" borderId="434" xfId="0" applyFont="1" applyFill="1" applyBorder="1" applyAlignment="1">
      <alignment horizontal="center" vertical="center"/>
    </xf>
    <xf numFmtId="9" fontId="78" fillId="0" borderId="434" xfId="2" applyFont="1" applyFill="1" applyBorder="1" applyAlignment="1">
      <alignment horizontal="center" vertical="center"/>
    </xf>
    <xf numFmtId="1" fontId="78" fillId="0" borderId="429" xfId="0" applyNumberFormat="1" applyFont="1" applyFill="1" applyBorder="1" applyAlignment="1">
      <alignment horizontal="center" vertical="center"/>
    </xf>
    <xf numFmtId="9" fontId="78" fillId="0" borderId="431" xfId="2" applyFont="1" applyFill="1" applyBorder="1" applyAlignment="1">
      <alignment vertical="center"/>
    </xf>
    <xf numFmtId="0" fontId="78" fillId="0" borderId="429" xfId="0" applyFont="1" applyFill="1" applyBorder="1" applyAlignment="1">
      <alignment vertical="center"/>
    </xf>
    <xf numFmtId="0" fontId="78" fillId="0" borderId="438" xfId="0" applyFont="1" applyFill="1" applyBorder="1" applyAlignment="1">
      <alignment horizontal="center" vertical="center"/>
    </xf>
    <xf numFmtId="164" fontId="78" fillId="0" borderId="439" xfId="6" applyNumberFormat="1" applyFont="1" applyFill="1" applyBorder="1" applyAlignment="1">
      <alignment vertical="center"/>
    </xf>
    <xf numFmtId="0" fontId="78" fillId="0" borderId="440" xfId="0" applyFont="1" applyFill="1" applyBorder="1" applyAlignment="1">
      <alignment horizontal="center" vertical="center"/>
    </xf>
    <xf numFmtId="164" fontId="78" fillId="0" borderId="438" xfId="6" applyNumberFormat="1" applyFont="1" applyFill="1" applyBorder="1" applyAlignment="1">
      <alignment vertical="center"/>
    </xf>
    <xf numFmtId="0" fontId="78" fillId="0" borderId="36" xfId="0" applyFont="1" applyFill="1" applyBorder="1" applyAlignment="1">
      <alignment horizontal="center" vertical="center"/>
    </xf>
    <xf numFmtId="164" fontId="78" fillId="0" borderId="41" xfId="6" applyNumberFormat="1" applyFont="1" applyFill="1" applyBorder="1" applyAlignment="1">
      <alignment vertical="center"/>
    </xf>
    <xf numFmtId="164" fontId="4" fillId="0" borderId="337" xfId="6" applyNumberFormat="1" applyFont="1" applyFill="1" applyBorder="1" applyAlignment="1">
      <alignment horizontal="center" vertical="center"/>
    </xf>
    <xf numFmtId="0" fontId="78" fillId="0" borderId="55" xfId="0" applyFont="1" applyFill="1" applyBorder="1" applyAlignment="1">
      <alignment vertical="center"/>
    </xf>
    <xf numFmtId="0" fontId="78" fillId="0" borderId="414" xfId="0" applyFont="1" applyFill="1" applyBorder="1" applyAlignment="1">
      <alignment vertical="center"/>
    </xf>
    <xf numFmtId="0" fontId="78" fillId="0" borderId="283" xfId="0" applyFont="1" applyFill="1" applyBorder="1" applyAlignment="1">
      <alignment horizontal="center" vertical="center"/>
    </xf>
    <xf numFmtId="0" fontId="78" fillId="0" borderId="442" xfId="0" applyFont="1" applyFill="1" applyBorder="1" applyAlignment="1">
      <alignment horizontal="center" vertical="center"/>
    </xf>
    <xf numFmtId="167" fontId="78" fillId="0" borderId="440" xfId="0" applyNumberFormat="1" applyFont="1" applyFill="1" applyBorder="1" applyAlignment="1">
      <alignment horizontal="center" vertical="center"/>
    </xf>
    <xf numFmtId="167" fontId="78" fillId="0" borderId="36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vertical="center"/>
    </xf>
    <xf numFmtId="167" fontId="78" fillId="0" borderId="0" xfId="0" applyNumberFormat="1" applyFont="1" applyFill="1" applyBorder="1" applyAlignment="1">
      <alignment vertical="center"/>
    </xf>
    <xf numFmtId="167" fontId="78" fillId="0" borderId="0" xfId="0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>
      <alignment horizontal="center" vertical="center"/>
    </xf>
    <xf numFmtId="0" fontId="4" fillId="0" borderId="443" xfId="0" applyFont="1" applyFill="1" applyBorder="1" applyAlignment="1">
      <alignment horizontal="center" vertical="center"/>
    </xf>
    <xf numFmtId="0" fontId="0" fillId="0" borderId="444" xfId="0" applyFont="1" applyFill="1" applyBorder="1" applyAlignment="1">
      <alignment horizontal="left" vertical="center"/>
    </xf>
    <xf numFmtId="0" fontId="4" fillId="0" borderId="444" xfId="0" applyFont="1" applyFill="1" applyBorder="1" applyAlignment="1">
      <alignment horizontal="center" vertical="center"/>
    </xf>
    <xf numFmtId="0" fontId="5" fillId="0" borderId="444" xfId="0" applyFont="1" applyFill="1" applyBorder="1" applyAlignment="1">
      <alignment horizontal="center" vertical="center"/>
    </xf>
    <xf numFmtId="164" fontId="4" fillId="0" borderId="445" xfId="6" applyNumberFormat="1" applyFont="1" applyFill="1" applyBorder="1" applyAlignment="1">
      <alignment horizontal="center" vertical="center"/>
    </xf>
    <xf numFmtId="4" fontId="79" fillId="0" borderId="430" xfId="6" applyNumberFormat="1" applyFont="1" applyFill="1" applyBorder="1" applyAlignment="1">
      <alignment horizontal="center" vertical="center"/>
    </xf>
    <xf numFmtId="164" fontId="79" fillId="0" borderId="430" xfId="6" applyNumberFormat="1" applyFont="1" applyFill="1" applyBorder="1" applyAlignment="1">
      <alignment horizontal="center" vertical="center"/>
    </xf>
    <xf numFmtId="0" fontId="0" fillId="0" borderId="430" xfId="0" applyFont="1" applyFill="1" applyBorder="1" applyAlignment="1">
      <alignment horizontal="left" vertical="center"/>
    </xf>
    <xf numFmtId="164" fontId="4" fillId="0" borderId="430" xfId="6" applyNumberFormat="1" applyFont="1" applyFill="1" applyBorder="1" applyAlignment="1" applyProtection="1">
      <alignment horizontal="center" vertical="center"/>
      <protection locked="0"/>
    </xf>
    <xf numFmtId="164" fontId="5" fillId="0" borderId="430" xfId="6" applyNumberFormat="1" applyFont="1" applyFill="1" applyBorder="1" applyAlignment="1" applyProtection="1">
      <alignment horizontal="center" vertical="center"/>
      <protection locked="0"/>
    </xf>
    <xf numFmtId="164" fontId="4" fillId="0" borderId="434" xfId="6" applyNumberFormat="1" applyFont="1" applyFill="1" applyBorder="1" applyAlignment="1" applyProtection="1">
      <alignment horizontal="center" vertical="center"/>
      <protection locked="0"/>
    </xf>
    <xf numFmtId="164" fontId="78" fillId="0" borderId="429" xfId="6" applyNumberFormat="1" applyFont="1" applyFill="1" applyBorder="1" applyAlignment="1" applyProtection="1">
      <alignment horizontal="center" vertical="center"/>
      <protection locked="0"/>
    </xf>
    <xf numFmtId="168" fontId="5" fillId="0" borderId="430" xfId="3" applyNumberFormat="1" applyFont="1" applyFill="1" applyBorder="1" applyAlignment="1">
      <alignment horizontal="center" vertical="center"/>
    </xf>
    <xf numFmtId="164" fontId="4" fillId="0" borderId="434" xfId="6" applyNumberFormat="1" applyFont="1" applyFill="1" applyBorder="1" applyAlignment="1">
      <alignment horizontal="center" vertical="center"/>
    </xf>
    <xf numFmtId="3" fontId="79" fillId="0" borderId="430" xfId="2" applyNumberFormat="1" applyFont="1" applyFill="1" applyBorder="1" applyAlignment="1">
      <alignment horizontal="center" vertical="center"/>
    </xf>
    <xf numFmtId="9" fontId="79" fillId="0" borderId="430" xfId="2" quotePrefix="1" applyFont="1" applyFill="1" applyBorder="1" applyAlignment="1">
      <alignment horizontal="center" vertical="center"/>
    </xf>
    <xf numFmtId="167" fontId="78" fillId="0" borderId="430" xfId="6" applyNumberFormat="1" applyFont="1" applyFill="1" applyBorder="1" applyAlignment="1">
      <alignment horizontal="center" vertical="center"/>
    </xf>
    <xf numFmtId="0" fontId="78" fillId="0" borderId="430" xfId="0" applyFont="1" applyFill="1" applyBorder="1" applyAlignment="1">
      <alignment horizontal="center" vertical="center"/>
    </xf>
    <xf numFmtId="166" fontId="78" fillId="0" borderId="0" xfId="6" applyFont="1" applyFill="1" applyBorder="1" applyAlignment="1">
      <alignment vertical="center"/>
    </xf>
    <xf numFmtId="164" fontId="5" fillId="0" borderId="430" xfId="6" applyNumberFormat="1" applyFont="1" applyFill="1" applyBorder="1" applyAlignment="1">
      <alignment horizontal="center" vertical="center"/>
    </xf>
    <xf numFmtId="164" fontId="78" fillId="0" borderId="430" xfId="6" applyNumberFormat="1" applyFont="1" applyFill="1" applyBorder="1" applyAlignment="1" applyProtection="1">
      <alignment horizontal="right" vertical="center"/>
      <protection hidden="1"/>
    </xf>
    <xf numFmtId="168" fontId="52" fillId="0" borderId="430" xfId="3" applyNumberFormat="1" applyFont="1" applyFill="1" applyBorder="1" applyAlignment="1">
      <alignment horizontal="center" vertical="center"/>
    </xf>
    <xf numFmtId="164" fontId="80" fillId="0" borderId="434" xfId="6" applyNumberFormat="1" applyFont="1" applyFill="1" applyBorder="1" applyAlignment="1">
      <alignment horizontal="center" vertical="center"/>
    </xf>
    <xf numFmtId="9" fontId="12" fillId="0" borderId="430" xfId="2" quotePrefix="1" applyFont="1" applyFill="1" applyBorder="1" applyAlignment="1">
      <alignment horizontal="center" vertical="center"/>
    </xf>
    <xf numFmtId="167" fontId="4" fillId="0" borderId="430" xfId="6" applyNumberFormat="1" applyFont="1" applyFill="1" applyBorder="1" applyAlignment="1">
      <alignment horizontal="center" vertical="center"/>
    </xf>
    <xf numFmtId="0" fontId="80" fillId="0" borderId="430" xfId="0" applyFont="1" applyFill="1" applyBorder="1" applyAlignment="1">
      <alignment horizontal="center" vertical="center"/>
    </xf>
    <xf numFmtId="9" fontId="12" fillId="0" borderId="431" xfId="2" applyFont="1" applyFill="1" applyBorder="1" applyAlignment="1">
      <alignment horizontal="center" vertical="center"/>
    </xf>
    <xf numFmtId="0" fontId="4" fillId="0" borderId="429" xfId="0" applyFont="1" applyFill="1" applyBorder="1" applyAlignment="1">
      <alignment vertical="center"/>
    </xf>
    <xf numFmtId="0" fontId="4" fillId="0" borderId="55" xfId="0" applyFont="1" applyFill="1" applyBorder="1" applyAlignment="1">
      <alignment vertical="center"/>
    </xf>
    <xf numFmtId="0" fontId="4" fillId="0" borderId="414" xfId="0" applyFont="1" applyFill="1" applyBorder="1" applyAlignment="1">
      <alignment vertical="center"/>
    </xf>
    <xf numFmtId="0" fontId="4" fillId="0" borderId="283" xfId="0" applyFont="1" applyFill="1" applyBorder="1" applyAlignment="1">
      <alignment horizontal="center" vertical="center"/>
    </xf>
    <xf numFmtId="0" fontId="4" fillId="0" borderId="442" xfId="0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>
      <alignment vertical="center"/>
    </xf>
    <xf numFmtId="168" fontId="52" fillId="0" borderId="430" xfId="4" applyNumberFormat="1" applyFont="1" applyFill="1" applyBorder="1" applyAlignment="1">
      <alignment horizontal="center" vertical="center"/>
    </xf>
    <xf numFmtId="3" fontId="12" fillId="0" borderId="430" xfId="2" applyNumberFormat="1" applyFont="1" applyFill="1" applyBorder="1" applyAlignment="1">
      <alignment horizontal="center" vertical="center"/>
    </xf>
    <xf numFmtId="167" fontId="80" fillId="0" borderId="430" xfId="0" applyNumberFormat="1" applyFont="1" applyFill="1" applyBorder="1" applyAlignment="1">
      <alignment horizontal="center" vertical="center"/>
    </xf>
    <xf numFmtId="0" fontId="0" fillId="0" borderId="430" xfId="0" applyFont="1" applyFill="1" applyBorder="1" applyAlignment="1">
      <alignment horizontal="left" vertical="center" wrapText="1"/>
    </xf>
    <xf numFmtId="0" fontId="5" fillId="0" borderId="430" xfId="0" applyFont="1" applyFill="1" applyBorder="1" applyAlignment="1">
      <alignment horizontal="center" vertical="center"/>
    </xf>
    <xf numFmtId="4" fontId="12" fillId="0" borderId="430" xfId="6" applyNumberFormat="1" applyFont="1" applyFill="1" applyBorder="1" applyAlignment="1">
      <alignment horizontal="center" vertical="center"/>
    </xf>
    <xf numFmtId="164" fontId="12" fillId="0" borderId="430" xfId="6" applyNumberFormat="1" applyFont="1" applyFill="1" applyBorder="1" applyAlignment="1">
      <alignment horizontal="center" vertical="center"/>
    </xf>
    <xf numFmtId="3" fontId="12" fillId="0" borderId="430" xfId="6" applyNumberFormat="1" applyFont="1" applyFill="1" applyBorder="1" applyAlignment="1">
      <alignment horizontal="center" vertical="center"/>
    </xf>
    <xf numFmtId="164" fontId="80" fillId="0" borderId="430" xfId="6" applyNumberFormat="1" applyFont="1" applyFill="1" applyBorder="1" applyAlignment="1"/>
    <xf numFmtId="164" fontId="4" fillId="0" borderId="430" xfId="6" applyNumberFormat="1" applyFont="1" applyFill="1" applyBorder="1" applyAlignment="1"/>
    <xf numFmtId="164" fontId="4" fillId="0" borderId="430" xfId="6" applyNumberFormat="1" applyFont="1" applyFill="1" applyBorder="1"/>
    <xf numFmtId="0" fontId="4" fillId="0" borderId="430" xfId="3" applyFont="1" applyFill="1" applyBorder="1" applyAlignment="1">
      <alignment horizontal="center" vertical="center"/>
    </xf>
    <xf numFmtId="164" fontId="80" fillId="0" borderId="434" xfId="6" applyNumberFormat="1" applyFont="1" applyFill="1" applyBorder="1" applyAlignment="1">
      <alignment vertical="center"/>
    </xf>
    <xf numFmtId="168" fontId="24" fillId="0" borderId="430" xfId="4" applyNumberFormat="1" applyFont="1" applyFill="1" applyBorder="1" applyAlignment="1">
      <alignment horizontal="center" vertical="center"/>
    </xf>
    <xf numFmtId="166" fontId="4" fillId="0" borderId="430" xfId="6" applyFont="1" applyFill="1" applyBorder="1"/>
    <xf numFmtId="164" fontId="80" fillId="0" borderId="430" xfId="6" applyNumberFormat="1" applyFont="1" applyFill="1" applyBorder="1"/>
    <xf numFmtId="9" fontId="4" fillId="0" borderId="441" xfId="2" applyFont="1" applyFill="1" applyBorder="1" applyAlignment="1">
      <alignment horizontal="left" vertical="center"/>
    </xf>
    <xf numFmtId="0" fontId="80" fillId="0" borderId="430" xfId="0" applyFont="1" applyFill="1" applyBorder="1" applyAlignment="1">
      <alignment horizontal="center" vertical="center" wrapText="1"/>
    </xf>
    <xf numFmtId="166" fontId="4" fillId="0" borderId="434" xfId="6" applyFont="1" applyFill="1" applyBorder="1" applyAlignment="1">
      <alignment horizontal="center" vertical="center"/>
    </xf>
    <xf numFmtId="0" fontId="81" fillId="0" borderId="430" xfId="0" applyFont="1" applyFill="1" applyBorder="1" applyAlignment="1">
      <alignment horizontal="left" vertical="center"/>
    </xf>
    <xf numFmtId="0" fontId="4" fillId="0" borderId="430" xfId="0" applyFont="1" applyFill="1" applyBorder="1" applyAlignment="1">
      <alignment horizontal="center" vertical="center" wrapText="1"/>
    </xf>
    <xf numFmtId="164" fontId="80" fillId="0" borderId="430" xfId="6" applyNumberFormat="1" applyFont="1" applyFill="1" applyBorder="1" applyAlignment="1">
      <alignment horizontal="right" vertical="center"/>
    </xf>
    <xf numFmtId="0" fontId="18" fillId="0" borderId="430" xfId="0" applyFont="1" applyFill="1" applyBorder="1" applyAlignment="1">
      <alignment horizontal="center" vertical="center"/>
    </xf>
    <xf numFmtId="164" fontId="82" fillId="0" borderId="430" xfId="6" applyNumberFormat="1" applyFont="1" applyFill="1" applyBorder="1" applyAlignment="1">
      <alignment vertical="center"/>
    </xf>
    <xf numFmtId="0" fontId="24" fillId="0" borderId="448" xfId="0" applyFont="1" applyFill="1" applyBorder="1" applyAlignment="1">
      <alignment horizontal="center" vertical="center"/>
    </xf>
    <xf numFmtId="168" fontId="52" fillId="0" borderId="448" xfId="4" applyNumberFormat="1" applyFont="1" applyFill="1" applyBorder="1" applyAlignment="1">
      <alignment horizontal="center" vertical="center"/>
    </xf>
    <xf numFmtId="164" fontId="80" fillId="0" borderId="449" xfId="6" applyNumberFormat="1" applyFont="1" applyFill="1" applyBorder="1" applyAlignment="1">
      <alignment horizontal="center" vertical="center"/>
    </xf>
    <xf numFmtId="164" fontId="4" fillId="0" borderId="455" xfId="6" applyNumberFormat="1" applyFont="1" applyFill="1" applyBorder="1" applyAlignment="1">
      <alignment vertical="center"/>
    </xf>
    <xf numFmtId="3" fontId="4" fillId="0" borderId="36" xfId="0" applyNumberFormat="1" applyFont="1" applyFill="1" applyBorder="1" applyAlignment="1">
      <alignment horizontal="center" vertical="center"/>
    </xf>
    <xf numFmtId="167" fontId="4" fillId="0" borderId="57" xfId="6" applyNumberFormat="1" applyFont="1" applyFill="1" applyBorder="1" applyAlignment="1">
      <alignment horizontal="center" vertical="center"/>
    </xf>
    <xf numFmtId="164" fontId="12" fillId="0" borderId="106" xfId="6" applyNumberFormat="1" applyFont="1" applyFill="1" applyBorder="1" applyAlignment="1">
      <alignment horizontal="center" vertical="center"/>
    </xf>
    <xf numFmtId="0" fontId="4" fillId="0" borderId="433" xfId="0" applyFont="1" applyFill="1" applyBorder="1" applyAlignment="1">
      <alignment horizontal="left" vertical="center"/>
    </xf>
    <xf numFmtId="166" fontId="12" fillId="0" borderId="40" xfId="6" applyFont="1" applyFill="1" applyBorder="1" applyAlignment="1">
      <alignment horizontal="left" vertical="center" wrapText="1"/>
    </xf>
    <xf numFmtId="164" fontId="5" fillId="0" borderId="40" xfId="6" applyNumberFormat="1" applyFont="1" applyFill="1" applyBorder="1" applyAlignment="1">
      <alignment horizontal="center" vertical="center"/>
    </xf>
    <xf numFmtId="168" fontId="52" fillId="0" borderId="40" xfId="4" applyNumberFormat="1" applyFont="1" applyFill="1" applyBorder="1" applyAlignment="1">
      <alignment horizontal="center" vertical="center"/>
    </xf>
    <xf numFmtId="164" fontId="4" fillId="0" borderId="130" xfId="6" applyNumberFormat="1" applyFont="1" applyFill="1" applyBorder="1" applyAlignment="1">
      <alignment horizontal="center" vertical="center"/>
    </xf>
    <xf numFmtId="167" fontId="4" fillId="0" borderId="39" xfId="6" applyNumberFormat="1" applyFont="1" applyFill="1" applyBorder="1" applyAlignment="1">
      <alignment horizontal="center" vertical="center"/>
    </xf>
    <xf numFmtId="164" fontId="4" fillId="0" borderId="468" xfId="6" applyNumberFormat="1" applyFont="1" applyFill="1" applyBorder="1" applyAlignment="1">
      <alignment vertical="center"/>
    </xf>
    <xf numFmtId="164" fontId="4" fillId="0" borderId="469" xfId="6" applyNumberFormat="1" applyFont="1" applyFill="1" applyBorder="1" applyAlignment="1">
      <alignment vertical="center"/>
    </xf>
    <xf numFmtId="164" fontId="12" fillId="0" borderId="59" xfId="6" applyNumberFormat="1" applyFont="1" applyFill="1" applyBorder="1" applyAlignment="1">
      <alignment horizontal="center" vertical="center"/>
    </xf>
    <xf numFmtId="166" fontId="12" fillId="0" borderId="0" xfId="6" applyFont="1" applyFill="1" applyBorder="1" applyAlignment="1">
      <alignment vertical="center"/>
    </xf>
    <xf numFmtId="49" fontId="12" fillId="0" borderId="0" xfId="6" applyNumberFormat="1" applyFont="1" applyFill="1" applyAlignment="1">
      <alignment horizontal="center" vertical="center"/>
    </xf>
    <xf numFmtId="164" fontId="4" fillId="0" borderId="10" xfId="6" applyNumberFormat="1" applyFont="1" applyFill="1" applyBorder="1" applyAlignment="1">
      <alignment vertical="center"/>
    </xf>
    <xf numFmtId="49" fontId="4" fillId="0" borderId="0" xfId="6" applyNumberFormat="1" applyFont="1" applyFill="1" applyAlignment="1">
      <alignment horizontal="center" vertical="center"/>
    </xf>
    <xf numFmtId="164" fontId="12" fillId="0" borderId="58" xfId="0" applyNumberFormat="1" applyFont="1" applyFill="1" applyBorder="1" applyAlignment="1">
      <alignment vertical="center"/>
    </xf>
    <xf numFmtId="167" fontId="12" fillId="0" borderId="6" xfId="6" applyNumberFormat="1" applyFont="1" applyFill="1" applyBorder="1" applyAlignment="1">
      <alignment horizontal="center" vertical="center"/>
    </xf>
    <xf numFmtId="0" fontId="12" fillId="0" borderId="430" xfId="0" applyFont="1" applyFill="1" applyBorder="1" applyAlignment="1">
      <alignment horizontal="left" vertical="center" wrapText="1"/>
    </xf>
    <xf numFmtId="168" fontId="5" fillId="0" borderId="430" xfId="4" applyNumberFormat="1" applyFont="1" applyFill="1" applyBorder="1" applyAlignment="1">
      <alignment horizontal="center" vertical="center"/>
    </xf>
    <xf numFmtId="0" fontId="4" fillId="0" borderId="62" xfId="0" applyFont="1" applyFill="1" applyBorder="1" applyAlignment="1">
      <alignment horizontal="center" vertical="center"/>
    </xf>
    <xf numFmtId="0" fontId="12" fillId="0" borderId="62" xfId="0" applyFont="1" applyFill="1" applyBorder="1" applyAlignment="1">
      <alignment horizontal="center" vertical="center"/>
    </xf>
    <xf numFmtId="164" fontId="4" fillId="0" borderId="434" xfId="6" applyNumberFormat="1" applyFont="1" applyFill="1" applyBorder="1" applyAlignment="1">
      <alignment vertical="center"/>
    </xf>
    <xf numFmtId="0" fontId="4" fillId="0" borderId="439" xfId="0" applyFont="1" applyFill="1" applyBorder="1" applyAlignment="1">
      <alignment vertical="center"/>
    </xf>
    <xf numFmtId="0" fontId="4" fillId="0" borderId="438" xfId="0" applyFont="1" applyFill="1" applyBorder="1" applyAlignment="1">
      <alignment vertical="center"/>
    </xf>
    <xf numFmtId="0" fontId="4" fillId="0" borderId="36" xfId="0" applyFont="1" applyFill="1" applyBorder="1" applyAlignment="1">
      <alignment vertical="center"/>
    </xf>
    <xf numFmtId="166" fontId="4" fillId="0" borderId="441" xfId="6" applyFont="1" applyFill="1" applyBorder="1" applyAlignment="1">
      <alignment horizontal="center" vertical="center"/>
    </xf>
    <xf numFmtId="166" fontId="12" fillId="0" borderId="467" xfId="6" applyFont="1" applyFill="1" applyBorder="1" applyAlignment="1">
      <alignment horizontal="left" vertical="center" wrapText="1"/>
    </xf>
    <xf numFmtId="164" fontId="5" fillId="0" borderId="41" xfId="6" applyNumberFormat="1" applyFont="1" applyFill="1" applyBorder="1" applyAlignment="1">
      <alignment horizontal="center" vertical="center"/>
    </xf>
    <xf numFmtId="170" fontId="5" fillId="0" borderId="41" xfId="6" applyNumberFormat="1" applyFont="1" applyFill="1" applyBorder="1" applyAlignment="1">
      <alignment horizontal="center" vertical="center"/>
    </xf>
    <xf numFmtId="164" fontId="4" fillId="0" borderId="343" xfId="6" applyNumberFormat="1" applyFont="1" applyFill="1" applyBorder="1" applyAlignment="1">
      <alignment vertical="center"/>
    </xf>
    <xf numFmtId="164" fontId="12" fillId="0" borderId="55" xfId="6" applyNumberFormat="1" applyFont="1" applyFill="1" applyBorder="1" applyAlignment="1">
      <alignment vertical="center"/>
    </xf>
    <xf numFmtId="164" fontId="12" fillId="0" borderId="284" xfId="6" applyNumberFormat="1" applyFont="1" applyFill="1" applyBorder="1" applyAlignment="1">
      <alignment vertical="center"/>
    </xf>
    <xf numFmtId="164" fontId="4" fillId="0" borderId="474" xfId="6" applyNumberFormat="1" applyFont="1" applyFill="1" applyBorder="1" applyAlignment="1">
      <alignment vertical="center"/>
    </xf>
    <xf numFmtId="164" fontId="4" fillId="0" borderId="475" xfId="6" applyNumberFormat="1" applyFont="1" applyFill="1" applyBorder="1" applyAlignment="1">
      <alignment vertical="center"/>
    </xf>
    <xf numFmtId="164" fontId="12" fillId="0" borderId="62" xfId="6" applyNumberFormat="1" applyFont="1" applyFill="1" applyBorder="1" applyAlignment="1">
      <alignment horizontal="center" vertical="center"/>
    </xf>
    <xf numFmtId="164" fontId="4" fillId="0" borderId="122" xfId="6" applyNumberFormat="1" applyFont="1" applyFill="1" applyBorder="1" applyAlignment="1">
      <alignment vertical="center"/>
    </xf>
    <xf numFmtId="0" fontId="12" fillId="0" borderId="430" xfId="0" applyFont="1" applyFill="1" applyBorder="1" applyAlignment="1">
      <alignment horizontal="left" vertical="center"/>
    </xf>
    <xf numFmtId="164" fontId="4" fillId="0" borderId="476" xfId="6" applyNumberFormat="1" applyFont="1" applyFill="1" applyBorder="1" applyAlignment="1">
      <alignment vertical="center"/>
    </xf>
    <xf numFmtId="9" fontId="4" fillId="0" borderId="477" xfId="2" applyFont="1" applyFill="1" applyBorder="1" applyAlignment="1">
      <alignment horizontal="center" vertical="center"/>
    </xf>
    <xf numFmtId="9" fontId="4" fillId="0" borderId="478" xfId="2" applyFont="1" applyFill="1" applyBorder="1" applyAlignment="1">
      <alignment horizontal="center" vertical="center"/>
    </xf>
    <xf numFmtId="168" fontId="5" fillId="0" borderId="430" xfId="0" applyNumberFormat="1" applyFont="1" applyFill="1" applyBorder="1" applyAlignment="1">
      <alignment horizontal="center" vertical="center"/>
    </xf>
    <xf numFmtId="164" fontId="4" fillId="0" borderId="434" xfId="6" applyNumberFormat="1" applyFont="1" applyFill="1" applyBorder="1" applyAlignment="1">
      <alignment horizontal="center" vertical="center" wrapText="1"/>
    </xf>
    <xf numFmtId="9" fontId="12" fillId="0" borderId="62" xfId="2" applyFont="1" applyFill="1" applyBorder="1" applyAlignment="1">
      <alignment horizontal="center" vertical="center"/>
    </xf>
    <xf numFmtId="1" fontId="5" fillId="0" borderId="430" xfId="0" applyNumberFormat="1" applyFont="1" applyFill="1" applyBorder="1" applyAlignment="1">
      <alignment horizontal="center" vertical="center"/>
    </xf>
    <xf numFmtId="164" fontId="26" fillId="0" borderId="439" xfId="6" applyNumberFormat="1" applyFont="1" applyFill="1" applyBorder="1" applyAlignment="1">
      <alignment vertical="center"/>
    </xf>
    <xf numFmtId="164" fontId="26" fillId="0" borderId="58" xfId="6" applyNumberFormat="1" applyFont="1" applyFill="1" applyBorder="1" applyAlignment="1">
      <alignment vertical="center"/>
    </xf>
    <xf numFmtId="164" fontId="26" fillId="0" borderId="456" xfId="6" applyNumberFormat="1" applyFont="1" applyFill="1" applyBorder="1" applyAlignment="1">
      <alignment vertical="center"/>
    </xf>
    <xf numFmtId="0" fontId="80" fillId="0" borderId="433" xfId="0" applyFont="1" applyFill="1" applyBorder="1" applyAlignment="1">
      <alignment vertical="center"/>
    </xf>
    <xf numFmtId="164" fontId="4" fillId="0" borderId="479" xfId="6" applyNumberFormat="1" applyFont="1" applyFill="1" applyBorder="1" applyAlignment="1">
      <alignment vertical="center"/>
    </xf>
    <xf numFmtId="164" fontId="4" fillId="0" borderId="480" xfId="6" applyNumberFormat="1" applyFont="1" applyFill="1" applyBorder="1" applyAlignment="1">
      <alignment vertical="center"/>
    </xf>
    <xf numFmtId="0" fontId="4" fillId="0" borderId="453" xfId="0" applyFont="1" applyFill="1" applyBorder="1" applyAlignment="1">
      <alignment vertical="center"/>
    </xf>
    <xf numFmtId="0" fontId="4" fillId="0" borderId="454" xfId="0" applyFont="1" applyFill="1" applyBorder="1" applyAlignment="1">
      <alignment vertical="center"/>
    </xf>
    <xf numFmtId="165" fontId="4" fillId="0" borderId="58" xfId="6" applyNumberFormat="1" applyFont="1" applyFill="1" applyBorder="1" applyAlignment="1">
      <alignment vertical="center"/>
    </xf>
    <xf numFmtId="9" fontId="4" fillId="0" borderId="112" xfId="2" applyFont="1" applyFill="1" applyBorder="1" applyAlignment="1">
      <alignment horizontal="center" vertical="center"/>
    </xf>
    <xf numFmtId="9" fontId="12" fillId="0" borderId="112" xfId="2" applyFont="1" applyFill="1" applyBorder="1" applyAlignment="1">
      <alignment horizontal="center" vertical="center"/>
    </xf>
    <xf numFmtId="168" fontId="52" fillId="0" borderId="94" xfId="4" applyNumberFormat="1" applyFont="1" applyFill="1" applyBorder="1" applyAlignment="1">
      <alignment horizontal="center" vertical="center"/>
    </xf>
    <xf numFmtId="164" fontId="4" fillId="0" borderId="202" xfId="6" applyNumberFormat="1" applyFont="1" applyFill="1" applyBorder="1" applyAlignment="1">
      <alignment horizontal="center" vertical="center"/>
    </xf>
    <xf numFmtId="9" fontId="32" fillId="0" borderId="62" xfId="2" applyFont="1" applyFill="1" applyBorder="1" applyAlignment="1">
      <alignment horizontal="center" vertical="center"/>
    </xf>
    <xf numFmtId="169" fontId="26" fillId="0" borderId="57" xfId="6" applyNumberFormat="1" applyFont="1" applyFill="1" applyBorder="1" applyAlignment="1">
      <alignment horizontal="center" vertical="center"/>
    </xf>
    <xf numFmtId="9" fontId="26" fillId="0" borderId="62" xfId="2" applyFont="1" applyFill="1" applyBorder="1" applyAlignment="1">
      <alignment horizontal="center" vertical="center"/>
    </xf>
    <xf numFmtId="164" fontId="32" fillId="0" borderId="37" xfId="6" applyNumberFormat="1" applyFont="1" applyFill="1" applyBorder="1" applyAlignment="1">
      <alignment vertical="center"/>
    </xf>
    <xf numFmtId="164" fontId="80" fillId="0" borderId="430" xfId="6" applyNumberFormat="1" applyFont="1" applyFill="1" applyBorder="1" applyAlignment="1">
      <alignment horizontal="center"/>
    </xf>
    <xf numFmtId="165" fontId="4" fillId="0" borderId="120" xfId="6" applyNumberFormat="1" applyFont="1" applyFill="1" applyBorder="1" applyAlignment="1">
      <alignment horizontal="center" vertical="center"/>
    </xf>
    <xf numFmtId="165" fontId="4" fillId="0" borderId="72" xfId="6" applyNumberFormat="1" applyFont="1" applyFill="1" applyBorder="1" applyAlignment="1">
      <alignment horizontal="center" vertical="center"/>
    </xf>
    <xf numFmtId="169" fontId="4" fillId="0" borderId="64" xfId="6" applyNumberFormat="1" applyFont="1" applyFill="1" applyBorder="1" applyAlignment="1">
      <alignment horizontal="center" vertical="center"/>
    </xf>
    <xf numFmtId="165" fontId="4" fillId="0" borderId="58" xfId="6" applyNumberFormat="1" applyFont="1" applyFill="1" applyBorder="1" applyAlignment="1">
      <alignment horizontal="center" vertical="center"/>
    </xf>
    <xf numFmtId="165" fontId="12" fillId="0" borderId="72" xfId="6" applyNumberFormat="1" applyFont="1" applyFill="1" applyBorder="1" applyAlignment="1">
      <alignment horizontal="center" vertical="center"/>
    </xf>
    <xf numFmtId="165" fontId="12" fillId="0" borderId="95" xfId="6" applyNumberFormat="1" applyFont="1" applyFill="1" applyBorder="1" applyAlignment="1">
      <alignment horizontal="center" vertical="center"/>
    </xf>
    <xf numFmtId="165" fontId="12" fillId="0" borderId="64" xfId="6" applyNumberFormat="1" applyFont="1" applyFill="1" applyBorder="1" applyAlignment="1">
      <alignment horizontal="center" vertical="center"/>
    </xf>
    <xf numFmtId="165" fontId="12" fillId="0" borderId="140" xfId="6" applyNumberFormat="1" applyFont="1" applyFill="1" applyBorder="1" applyAlignment="1">
      <alignment horizontal="center" vertical="center"/>
    </xf>
    <xf numFmtId="0" fontId="4" fillId="0" borderId="448" xfId="0" applyFont="1" applyFill="1" applyBorder="1" applyAlignment="1">
      <alignment horizontal="left" vertical="center"/>
    </xf>
    <xf numFmtId="168" fontId="24" fillId="0" borderId="448" xfId="3" applyNumberFormat="1" applyFont="1" applyFill="1" applyBorder="1" applyAlignment="1">
      <alignment horizontal="center" vertical="center"/>
    </xf>
    <xf numFmtId="168" fontId="24" fillId="0" borderId="448" xfId="4" applyNumberFormat="1" applyFont="1" applyFill="1" applyBorder="1" applyAlignment="1">
      <alignment horizontal="center" vertical="center"/>
    </xf>
    <xf numFmtId="164" fontId="18" fillId="0" borderId="449" xfId="6" applyNumberFormat="1" applyFont="1" applyFill="1" applyBorder="1" applyAlignment="1">
      <alignment horizontal="center" vertical="center"/>
    </xf>
    <xf numFmtId="164" fontId="4" fillId="0" borderId="430" xfId="0" applyNumberFormat="1" applyFont="1" applyFill="1" applyBorder="1" applyAlignment="1">
      <alignment horizontal="center" vertical="center"/>
    </xf>
    <xf numFmtId="164" fontId="80" fillId="0" borderId="430" xfId="5" applyNumberFormat="1" applyFont="1" applyFill="1" applyBorder="1" applyAlignment="1">
      <alignment vertical="center"/>
    </xf>
    <xf numFmtId="164" fontId="4" fillId="0" borderId="434" xfId="0" applyNumberFormat="1" applyFont="1" applyFill="1" applyBorder="1" applyAlignment="1">
      <alignment vertical="center"/>
    </xf>
    <xf numFmtId="0" fontId="4" fillId="0" borderId="429" xfId="0" applyFont="1" applyFill="1" applyBorder="1" applyAlignment="1">
      <alignment horizontal="center" vertical="center"/>
    </xf>
    <xf numFmtId="164" fontId="4" fillId="0" borderId="337" xfId="6" applyNumberFormat="1" applyFont="1" applyFill="1" applyBorder="1" applyAlignment="1">
      <alignment vertical="center"/>
    </xf>
    <xf numFmtId="164" fontId="4" fillId="0" borderId="485" xfId="6" applyNumberFormat="1" applyFont="1" applyFill="1" applyBorder="1" applyAlignment="1">
      <alignment horizontal="center" vertical="center"/>
    </xf>
    <xf numFmtId="164" fontId="4" fillId="0" borderId="184" xfId="6" applyNumberFormat="1" applyFont="1" applyFill="1" applyBorder="1" applyAlignment="1">
      <alignment vertical="center"/>
    </xf>
    <xf numFmtId="164" fontId="4" fillId="0" borderId="184" xfId="0" applyNumberFormat="1" applyFont="1" applyFill="1" applyBorder="1" applyAlignment="1">
      <alignment vertical="center"/>
    </xf>
    <xf numFmtId="9" fontId="4" fillId="0" borderId="486" xfId="2" applyFont="1" applyFill="1" applyBorder="1" applyAlignment="1">
      <alignment horizontal="center" vertical="center"/>
    </xf>
    <xf numFmtId="164" fontId="4" fillId="0" borderId="185" xfId="6" applyNumberFormat="1" applyFont="1" applyFill="1" applyBorder="1" applyAlignment="1">
      <alignment horizontal="center" vertical="center"/>
    </xf>
    <xf numFmtId="164" fontId="4" fillId="0" borderId="121" xfId="0" applyNumberFormat="1" applyFont="1" applyFill="1" applyBorder="1" applyAlignment="1">
      <alignment vertical="center"/>
    </xf>
    <xf numFmtId="9" fontId="4" fillId="0" borderId="123" xfId="2" applyFont="1" applyFill="1" applyBorder="1" applyAlignment="1">
      <alignment horizontal="center" vertical="center"/>
    </xf>
    <xf numFmtId="166" fontId="4" fillId="0" borderId="66" xfId="6" applyFont="1" applyFill="1" applyBorder="1" applyAlignment="1">
      <alignment vertical="center"/>
    </xf>
    <xf numFmtId="49" fontId="4" fillId="0" borderId="65" xfId="6" applyNumberFormat="1" applyFont="1" applyFill="1" applyBorder="1" applyAlignment="1">
      <alignment horizontal="center" vertical="center"/>
    </xf>
    <xf numFmtId="0" fontId="4" fillId="0" borderId="66" xfId="0" applyFont="1" applyFill="1" applyBorder="1" applyAlignment="1">
      <alignment vertical="center"/>
    </xf>
    <xf numFmtId="49" fontId="4" fillId="0" borderId="200" xfId="0" applyNumberFormat="1" applyFont="1" applyFill="1" applyBorder="1" applyAlignment="1">
      <alignment horizontal="center" vertical="center"/>
    </xf>
    <xf numFmtId="0" fontId="4" fillId="0" borderId="52" xfId="0" applyFont="1" applyFill="1" applyBorder="1" applyAlignment="1">
      <alignment vertical="center"/>
    </xf>
    <xf numFmtId="164" fontId="12" fillId="0" borderId="65" xfId="6" applyNumberFormat="1" applyFont="1" applyFill="1" applyBorder="1" applyAlignment="1">
      <alignment vertical="center"/>
    </xf>
    <xf numFmtId="164" fontId="12" fillId="0" borderId="66" xfId="6" applyNumberFormat="1" applyFont="1" applyFill="1" applyBorder="1" applyAlignment="1">
      <alignment vertical="center"/>
    </xf>
    <xf numFmtId="0" fontId="12" fillId="0" borderId="33" xfId="0" applyFont="1" applyFill="1" applyBorder="1" applyAlignment="1">
      <alignment vertical="center"/>
    </xf>
    <xf numFmtId="164" fontId="12" fillId="0" borderId="115" xfId="6" applyNumberFormat="1" applyFont="1" applyFill="1" applyBorder="1" applyAlignment="1">
      <alignment vertical="center"/>
    </xf>
    <xf numFmtId="43" fontId="4" fillId="0" borderId="37" xfId="0" applyNumberFormat="1" applyFont="1" applyFill="1" applyBorder="1" applyAlignment="1">
      <alignment vertical="center"/>
    </xf>
    <xf numFmtId="0" fontId="4" fillId="0" borderId="63" xfId="0" applyFont="1" applyFill="1" applyBorder="1" applyAlignment="1">
      <alignment vertical="center"/>
    </xf>
    <xf numFmtId="0" fontId="4" fillId="0" borderId="65" xfId="0" applyFont="1" applyFill="1" applyBorder="1" applyAlignment="1">
      <alignment vertical="center"/>
    </xf>
    <xf numFmtId="0" fontId="4" fillId="0" borderId="115" xfId="0" applyFont="1" applyFill="1" applyBorder="1" applyAlignment="1">
      <alignment vertical="center"/>
    </xf>
    <xf numFmtId="0" fontId="4" fillId="0" borderId="102" xfId="0" applyFont="1" applyFill="1" applyBorder="1" applyAlignment="1">
      <alignment vertical="center"/>
    </xf>
    <xf numFmtId="49" fontId="12" fillId="0" borderId="65" xfId="6" applyNumberFormat="1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vertical="center"/>
    </xf>
    <xf numFmtId="9" fontId="12" fillId="0" borderId="123" xfId="2" applyFont="1" applyFill="1" applyBorder="1" applyAlignment="1">
      <alignment horizontal="center" vertical="center"/>
    </xf>
    <xf numFmtId="9" fontId="12" fillId="0" borderId="123" xfId="2" applyFont="1" applyFill="1" applyBorder="1" applyAlignment="1">
      <alignment vertical="center"/>
    </xf>
    <xf numFmtId="43" fontId="12" fillId="0" borderId="37" xfId="0" applyNumberFormat="1" applyFont="1" applyFill="1" applyBorder="1" applyAlignment="1">
      <alignment vertical="center"/>
    </xf>
    <xf numFmtId="0" fontId="12" fillId="0" borderId="63" xfId="0" applyFont="1" applyFill="1" applyBorder="1" applyAlignment="1">
      <alignment vertical="center"/>
    </xf>
    <xf numFmtId="164" fontId="12" fillId="0" borderId="485" xfId="6" applyNumberFormat="1" applyFont="1" applyFill="1" applyBorder="1" applyAlignment="1">
      <alignment horizontal="center" vertical="center"/>
    </xf>
    <xf numFmtId="164" fontId="12" fillId="0" borderId="184" xfId="6" applyNumberFormat="1" applyFont="1" applyFill="1" applyBorder="1" applyAlignment="1">
      <alignment vertical="center"/>
    </xf>
    <xf numFmtId="164" fontId="12" fillId="0" borderId="184" xfId="0" applyNumberFormat="1" applyFont="1" applyFill="1" applyBorder="1" applyAlignment="1">
      <alignment vertical="center"/>
    </xf>
    <xf numFmtId="9" fontId="12" fillId="0" borderId="486" xfId="2" applyFont="1" applyFill="1" applyBorder="1" applyAlignment="1">
      <alignment horizontal="center" vertical="center"/>
    </xf>
    <xf numFmtId="164" fontId="12" fillId="0" borderId="185" xfId="6" applyNumberFormat="1" applyFont="1" applyFill="1" applyBorder="1" applyAlignment="1">
      <alignment horizontal="center" vertical="center"/>
    </xf>
    <xf numFmtId="164" fontId="12" fillId="0" borderId="121" xfId="6" applyNumberFormat="1" applyFont="1" applyFill="1" applyBorder="1" applyAlignment="1">
      <alignment vertical="center"/>
    </xf>
    <xf numFmtId="164" fontId="12" fillId="0" borderId="121" xfId="0" applyNumberFormat="1" applyFont="1" applyFill="1" applyBorder="1" applyAlignment="1">
      <alignment vertical="center"/>
    </xf>
    <xf numFmtId="167" fontId="4" fillId="0" borderId="65" xfId="6" applyNumberFormat="1" applyFont="1" applyFill="1" applyBorder="1" applyAlignment="1">
      <alignment horizontal="center" vertical="center"/>
    </xf>
    <xf numFmtId="167" fontId="12" fillId="0" borderId="65" xfId="6" applyNumberFormat="1" applyFont="1" applyFill="1" applyBorder="1" applyAlignment="1">
      <alignment horizontal="center" vertical="center"/>
    </xf>
    <xf numFmtId="168" fontId="5" fillId="0" borderId="448" xfId="3" applyNumberFormat="1" applyFont="1" applyFill="1" applyBorder="1" applyAlignment="1">
      <alignment horizontal="center" vertical="center"/>
    </xf>
    <xf numFmtId="164" fontId="4" fillId="0" borderId="141" xfId="6" applyNumberFormat="1" applyFont="1" applyFill="1" applyBorder="1" applyAlignment="1">
      <alignment horizontal="center" vertical="center"/>
    </xf>
    <xf numFmtId="168" fontId="24" fillId="0" borderId="487" xfId="3" applyNumberFormat="1" applyFont="1" applyFill="1" applyBorder="1" applyAlignment="1">
      <alignment horizontal="center" vertical="center"/>
    </xf>
    <xf numFmtId="168" fontId="24" fillId="0" borderId="487" xfId="4" applyNumberFormat="1" applyFont="1" applyFill="1" applyBorder="1" applyAlignment="1">
      <alignment horizontal="center" vertical="center"/>
    </xf>
    <xf numFmtId="165" fontId="4" fillId="0" borderId="117" xfId="8" applyNumberFormat="1" applyFont="1" applyFill="1" applyBorder="1" applyAlignment="1">
      <alignment horizontal="center" vertical="center"/>
    </xf>
    <xf numFmtId="165" fontId="4" fillId="0" borderId="37" xfId="8" applyNumberFormat="1" applyFont="1" applyFill="1" applyBorder="1" applyAlignment="1">
      <alignment vertical="center"/>
    </xf>
    <xf numFmtId="9" fontId="73" fillId="0" borderId="118" xfId="2" applyFont="1" applyFill="1" applyBorder="1" applyAlignment="1">
      <alignment horizontal="center" vertical="center"/>
    </xf>
    <xf numFmtId="167" fontId="12" fillId="0" borderId="117" xfId="8" applyNumberFormat="1" applyFont="1" applyFill="1" applyBorder="1" applyAlignment="1">
      <alignment horizontal="center" vertical="center"/>
    </xf>
    <xf numFmtId="165" fontId="12" fillId="0" borderId="37" xfId="8" applyNumberFormat="1" applyFont="1" applyFill="1" applyBorder="1" applyAlignment="1">
      <alignment vertical="center"/>
    </xf>
    <xf numFmtId="9" fontId="83" fillId="0" borderId="118" xfId="2" applyFont="1" applyFill="1" applyBorder="1" applyAlignment="1">
      <alignment horizontal="center" vertical="center"/>
    </xf>
    <xf numFmtId="166" fontId="12" fillId="0" borderId="71" xfId="6" applyFont="1" applyFill="1" applyBorder="1" applyAlignment="1">
      <alignment horizontal="center" vertical="center"/>
    </xf>
    <xf numFmtId="167" fontId="4" fillId="2" borderId="117" xfId="8" applyNumberFormat="1" applyFont="1" applyFill="1" applyBorder="1" applyAlignment="1">
      <alignment horizontal="center" vertical="center"/>
    </xf>
    <xf numFmtId="167" fontId="26" fillId="2" borderId="117" xfId="8" applyNumberFormat="1" applyFont="1" applyFill="1" applyBorder="1" applyAlignment="1">
      <alignment horizontal="center" vertical="center"/>
    </xf>
    <xf numFmtId="165" fontId="26" fillId="2" borderId="37" xfId="8" applyNumberFormat="1" applyFont="1" applyFill="1" applyBorder="1" applyAlignment="1">
      <alignment vertical="center"/>
    </xf>
    <xf numFmtId="164" fontId="25" fillId="2" borderId="70" xfId="6" applyNumberFormat="1" applyFont="1" applyFill="1" applyBorder="1" applyAlignment="1">
      <alignment vertical="center"/>
    </xf>
    <xf numFmtId="167" fontId="4" fillId="2" borderId="105" xfId="2" applyNumberFormat="1" applyFont="1" applyFill="1" applyBorder="1" applyAlignment="1">
      <alignment horizontal="center" vertical="center"/>
    </xf>
    <xf numFmtId="164" fontId="49" fillId="2" borderId="70" xfId="6" applyNumberFormat="1" applyFont="1" applyFill="1" applyBorder="1" applyAlignment="1">
      <alignment vertical="center"/>
    </xf>
    <xf numFmtId="166" fontId="126" fillId="0" borderId="107" xfId="6" applyFont="1" applyFill="1" applyBorder="1" applyAlignment="1">
      <alignment horizontal="left" vertical="center" wrapText="1"/>
    </xf>
    <xf numFmtId="166" fontId="126" fillId="0" borderId="67" xfId="6" applyFont="1" applyFill="1" applyBorder="1" applyAlignment="1">
      <alignment horizontal="left" vertical="center" wrapText="1"/>
    </xf>
    <xf numFmtId="167" fontId="4" fillId="2" borderId="75" xfId="6" applyNumberFormat="1" applyFont="1" applyFill="1" applyBorder="1" applyAlignment="1">
      <alignment horizontal="center" vertical="center"/>
    </xf>
    <xf numFmtId="166" fontId="4" fillId="0" borderId="183" xfId="6" applyFont="1" applyFill="1" applyBorder="1" applyAlignment="1">
      <alignment horizontal="left" vertical="center" wrapText="1"/>
    </xf>
    <xf numFmtId="164" fontId="54" fillId="40" borderId="610" xfId="6" applyNumberFormat="1" applyFont="1" applyFill="1" applyBorder="1" applyAlignment="1">
      <alignment vertical="center"/>
    </xf>
    <xf numFmtId="164" fontId="54" fillId="40" borderId="611" xfId="6" applyNumberFormat="1" applyFont="1" applyFill="1" applyBorder="1" applyAlignment="1">
      <alignment vertical="center"/>
    </xf>
    <xf numFmtId="9" fontId="2" fillId="40" borderId="612" xfId="2" applyFont="1" applyFill="1" applyBorder="1" applyAlignment="1">
      <alignment vertical="center"/>
    </xf>
    <xf numFmtId="0" fontId="9" fillId="29" borderId="20" xfId="0" applyFont="1" applyFill="1" applyBorder="1" applyAlignment="1">
      <alignment horizontal="right"/>
    </xf>
    <xf numFmtId="9" fontId="6" fillId="34" borderId="18" xfId="2" applyFont="1" applyFill="1" applyBorder="1" applyAlignment="1">
      <alignment horizontal="center" vertical="center" wrapText="1"/>
    </xf>
    <xf numFmtId="165" fontId="42" fillId="2" borderId="0" xfId="1" applyNumberFormat="1" applyFont="1" applyFill="1" applyAlignment="1">
      <alignment vertical="center"/>
    </xf>
    <xf numFmtId="0" fontId="55" fillId="2" borderId="620" xfId="0" applyFont="1" applyFill="1" applyBorder="1" applyAlignment="1">
      <alignment horizontal="center" vertical="center"/>
    </xf>
    <xf numFmtId="0" fontId="20" fillId="38" borderId="0" xfId="0" applyFont="1" applyFill="1" applyBorder="1"/>
    <xf numFmtId="0" fontId="20" fillId="38" borderId="0" xfId="0" applyFont="1" applyFill="1" applyBorder="1" applyAlignment="1"/>
    <xf numFmtId="9" fontId="34" fillId="38" borderId="10" xfId="2" applyFont="1" applyFill="1" applyBorder="1" applyAlignment="1">
      <alignment horizontal="center" vertical="center" wrapText="1"/>
    </xf>
    <xf numFmtId="0" fontId="34" fillId="38" borderId="6" xfId="0" applyFont="1" applyFill="1" applyBorder="1" applyAlignment="1">
      <alignment horizontal="center" vertical="center" wrapText="1"/>
    </xf>
    <xf numFmtId="9" fontId="34" fillId="38" borderId="0" xfId="2" applyFont="1" applyFill="1" applyBorder="1" applyAlignment="1">
      <alignment horizontal="center" vertical="center" wrapText="1"/>
    </xf>
    <xf numFmtId="9" fontId="21" fillId="38" borderId="10" xfId="2" applyFont="1" applyFill="1" applyBorder="1" applyAlignment="1">
      <alignment horizontal="center" vertical="center" wrapText="1"/>
    </xf>
    <xf numFmtId="9" fontId="6" fillId="38" borderId="0" xfId="2" applyFont="1" applyFill="1" applyBorder="1" applyAlignment="1">
      <alignment horizontal="center" vertical="center" wrapText="1"/>
    </xf>
    <xf numFmtId="0" fontId="34" fillId="38" borderId="12" xfId="0" applyFont="1" applyFill="1" applyBorder="1" applyAlignment="1">
      <alignment horizontal="center" vertical="center" wrapText="1"/>
    </xf>
    <xf numFmtId="9" fontId="34" fillId="38" borderId="13" xfId="2" applyFont="1" applyFill="1" applyBorder="1" applyAlignment="1">
      <alignment horizontal="center" vertical="center" wrapText="1"/>
    </xf>
    <xf numFmtId="0" fontId="37" fillId="38" borderId="0" xfId="0" applyFont="1" applyFill="1" applyBorder="1"/>
    <xf numFmtId="164" fontId="34" fillId="38" borderId="6" xfId="6" applyNumberFormat="1" applyFont="1" applyFill="1" applyBorder="1" applyAlignment="1">
      <alignment horizontal="center" vertical="center" wrapText="1"/>
    </xf>
    <xf numFmtId="164" fontId="34" fillId="38" borderId="328" xfId="6" applyNumberFormat="1" applyFont="1" applyFill="1" applyBorder="1" applyAlignment="1">
      <alignment horizontal="center" vertical="center" wrapText="1"/>
    </xf>
    <xf numFmtId="0" fontId="6" fillId="38" borderId="14" xfId="0" applyFont="1" applyFill="1" applyBorder="1" applyAlignment="1">
      <alignment horizontal="center" vertical="center" wrapText="1"/>
    </xf>
    <xf numFmtId="164" fontId="6" fillId="38" borderId="15" xfId="6" applyNumberFormat="1" applyFont="1" applyFill="1" applyBorder="1" applyAlignment="1">
      <alignment horizontal="center" vertical="center" wrapText="1"/>
    </xf>
    <xf numFmtId="164" fontId="6" fillId="38" borderId="16" xfId="6" applyNumberFormat="1" applyFont="1" applyFill="1" applyBorder="1" applyAlignment="1">
      <alignment horizontal="center" vertical="center" wrapText="1"/>
    </xf>
    <xf numFmtId="164" fontId="6" fillId="38" borderId="17" xfId="6" applyNumberFormat="1" applyFont="1" applyFill="1" applyBorder="1" applyAlignment="1">
      <alignment horizontal="center" vertical="center"/>
    </xf>
    <xf numFmtId="164" fontId="6" fillId="38" borderId="15" xfId="6" applyNumberFormat="1" applyFont="1" applyFill="1" applyBorder="1" applyAlignment="1">
      <alignment vertical="center"/>
    </xf>
    <xf numFmtId="0" fontId="6" fillId="38" borderId="15" xfId="0" applyFont="1" applyFill="1" applyBorder="1" applyAlignment="1">
      <alignment horizontal="center" vertical="center" wrapText="1"/>
    </xf>
    <xf numFmtId="0" fontId="6" fillId="38" borderId="17" xfId="0" applyFont="1" applyFill="1" applyBorder="1" applyAlignment="1">
      <alignment horizontal="center" vertical="center"/>
    </xf>
    <xf numFmtId="0" fontId="6" fillId="38" borderId="15" xfId="0" applyFont="1" applyFill="1" applyBorder="1" applyAlignment="1">
      <alignment vertical="center"/>
    </xf>
    <xf numFmtId="9" fontId="6" fillId="38" borderId="15" xfId="2" applyFont="1" applyFill="1" applyBorder="1" applyAlignment="1">
      <alignment horizontal="center" vertical="center" wrapText="1"/>
    </xf>
    <xf numFmtId="9" fontId="21" fillId="38" borderId="18" xfId="2" applyFont="1" applyFill="1" applyBorder="1" applyAlignment="1">
      <alignment horizontal="center" vertical="center" wrapText="1"/>
    </xf>
    <xf numFmtId="0" fontId="6" fillId="38" borderId="16" xfId="0" applyFont="1" applyFill="1" applyBorder="1" applyAlignment="1">
      <alignment horizontal="center" vertical="center" wrapText="1"/>
    </xf>
    <xf numFmtId="9" fontId="6" fillId="38" borderId="17" xfId="2" applyFont="1" applyFill="1" applyBorder="1" applyAlignment="1">
      <alignment horizontal="center" vertical="center" wrapText="1"/>
    </xf>
    <xf numFmtId="164" fontId="6" fillId="38" borderId="119" xfId="6" applyNumberFormat="1" applyFont="1" applyFill="1" applyBorder="1" applyAlignment="1">
      <alignment horizontal="center" vertical="center" wrapText="1"/>
    </xf>
    <xf numFmtId="0" fontId="6" fillId="38" borderId="173" xfId="0" applyFont="1" applyFill="1" applyBorder="1" applyAlignment="1">
      <alignment horizontal="center" vertical="center"/>
    </xf>
    <xf numFmtId="0" fontId="38" fillId="38" borderId="0" xfId="0" applyFont="1" applyFill="1" applyBorder="1" applyAlignment="1">
      <alignment vertical="center"/>
    </xf>
    <xf numFmtId="164" fontId="6" fillId="38" borderId="161" xfId="6" applyNumberFormat="1" applyFont="1" applyFill="1" applyBorder="1" applyAlignment="1">
      <alignment horizontal="center" vertical="center" wrapText="1"/>
    </xf>
    <xf numFmtId="0" fontId="6" fillId="38" borderId="162" xfId="0" applyFont="1" applyFill="1" applyBorder="1" applyAlignment="1">
      <alignment horizontal="center" vertical="center"/>
    </xf>
    <xf numFmtId="164" fontId="6" fillId="38" borderId="215" xfId="6" applyNumberFormat="1" applyFont="1" applyFill="1" applyBorder="1" applyAlignment="1">
      <alignment horizontal="center" vertical="center" wrapText="1"/>
    </xf>
    <xf numFmtId="164" fontId="6" fillId="38" borderId="14" xfId="6" applyNumberFormat="1" applyFont="1" applyFill="1" applyBorder="1" applyAlignment="1">
      <alignment horizontal="center" vertical="center" wrapText="1"/>
    </xf>
    <xf numFmtId="0" fontId="6" fillId="38" borderId="221" xfId="0" applyFont="1" applyFill="1" applyBorder="1" applyAlignment="1">
      <alignment horizontal="center" vertical="center"/>
    </xf>
    <xf numFmtId="164" fontId="6" fillId="38" borderId="15" xfId="6" applyNumberFormat="1" applyFont="1" applyFill="1" applyBorder="1" applyAlignment="1">
      <alignment horizontal="center" vertical="center"/>
    </xf>
    <xf numFmtId="0" fontId="6" fillId="38" borderId="329" xfId="0" applyFont="1" applyFill="1" applyBorder="1" applyAlignment="1">
      <alignment horizontal="center" vertical="center"/>
    </xf>
    <xf numFmtId="0" fontId="9" fillId="41" borderId="19" xfId="0" applyFont="1" applyFill="1" applyBorder="1" applyAlignment="1">
      <alignment vertical="center"/>
    </xf>
    <xf numFmtId="0" fontId="9" fillId="41" borderId="20" xfId="0" applyFont="1" applyFill="1" applyBorder="1" applyAlignment="1">
      <alignment horizontal="right" vertical="center"/>
    </xf>
    <xf numFmtId="0" fontId="9" fillId="41" borderId="19" xfId="0" applyFont="1" applyFill="1" applyBorder="1" applyAlignment="1">
      <alignment horizontal="center" vertical="center"/>
    </xf>
    <xf numFmtId="164" fontId="9" fillId="41" borderId="20" xfId="6" applyNumberFormat="1" applyFont="1" applyFill="1" applyBorder="1" applyAlignment="1">
      <alignment vertical="center"/>
    </xf>
    <xf numFmtId="164" fontId="9" fillId="41" borderId="21" xfId="6" applyNumberFormat="1" applyFont="1" applyFill="1" applyBorder="1" applyAlignment="1">
      <alignment vertical="center"/>
    </xf>
    <xf numFmtId="164" fontId="9" fillId="41" borderId="22" xfId="6" applyNumberFormat="1" applyFont="1" applyFill="1" applyBorder="1" applyAlignment="1">
      <alignment vertical="center"/>
    </xf>
    <xf numFmtId="9" fontId="9" fillId="41" borderId="23" xfId="2" applyFont="1" applyFill="1" applyBorder="1" applyAlignment="1">
      <alignment horizontal="center" vertical="center"/>
    </xf>
    <xf numFmtId="0" fontId="9" fillId="41" borderId="20" xfId="0" applyFont="1" applyFill="1" applyBorder="1" applyAlignment="1">
      <alignment horizontal="center" vertical="center"/>
    </xf>
    <xf numFmtId="9" fontId="9" fillId="41" borderId="20" xfId="2" applyFont="1" applyFill="1" applyBorder="1" applyAlignment="1">
      <alignment vertical="center"/>
    </xf>
    <xf numFmtId="9" fontId="9" fillId="41" borderId="23" xfId="2" applyFont="1" applyFill="1" applyBorder="1" applyAlignment="1">
      <alignment vertical="center"/>
    </xf>
    <xf numFmtId="0" fontId="9" fillId="41" borderId="20" xfId="0" applyFont="1" applyFill="1" applyBorder="1" applyAlignment="1">
      <alignment vertical="center"/>
    </xf>
    <xf numFmtId="0" fontId="9" fillId="41" borderId="21" xfId="0" applyFont="1" applyFill="1" applyBorder="1" applyAlignment="1">
      <alignment vertical="center"/>
    </xf>
    <xf numFmtId="9" fontId="9" fillId="41" borderId="22" xfId="2" applyFont="1" applyFill="1" applyBorder="1" applyAlignment="1">
      <alignment vertical="center"/>
    </xf>
    <xf numFmtId="164" fontId="9" fillId="41" borderId="80" xfId="6" applyNumberFormat="1" applyFont="1" applyFill="1" applyBorder="1" applyAlignment="1">
      <alignment vertical="center"/>
    </xf>
    <xf numFmtId="164" fontId="9" fillId="41" borderId="157" xfId="6" applyNumberFormat="1" applyFont="1" applyFill="1" applyBorder="1" applyAlignment="1">
      <alignment vertical="center"/>
    </xf>
    <xf numFmtId="1" fontId="9" fillId="41" borderId="19" xfId="0" applyNumberFormat="1" applyFont="1" applyFill="1" applyBorder="1" applyAlignment="1">
      <alignment vertical="center"/>
    </xf>
    <xf numFmtId="164" fontId="9" fillId="41" borderId="156" xfId="6" applyNumberFormat="1" applyFont="1" applyFill="1" applyBorder="1" applyAlignment="1">
      <alignment vertical="center"/>
    </xf>
    <xf numFmtId="164" fontId="9" fillId="41" borderId="168" xfId="6" applyNumberFormat="1" applyFont="1" applyFill="1" applyBorder="1" applyAlignment="1">
      <alignment vertical="center"/>
    </xf>
    <xf numFmtId="164" fontId="9" fillId="41" borderId="180" xfId="6" applyNumberFormat="1" applyFont="1" applyFill="1" applyBorder="1" applyAlignment="1">
      <alignment vertical="center"/>
    </xf>
    <xf numFmtId="164" fontId="9" fillId="41" borderId="181" xfId="6" applyNumberFormat="1" applyFont="1" applyFill="1" applyBorder="1" applyAlignment="1">
      <alignment vertical="center"/>
    </xf>
    <xf numFmtId="164" fontId="9" fillId="41" borderId="19" xfId="6" applyNumberFormat="1" applyFont="1" applyFill="1" applyBorder="1" applyAlignment="1">
      <alignment vertical="center"/>
    </xf>
    <xf numFmtId="0" fontId="9" fillId="41" borderId="0" xfId="0" applyFont="1" applyFill="1" applyBorder="1" applyAlignment="1">
      <alignment vertical="center"/>
    </xf>
    <xf numFmtId="164" fontId="9" fillId="41" borderId="165" xfId="6" applyNumberFormat="1" applyFont="1" applyFill="1" applyBorder="1" applyAlignment="1">
      <alignment vertical="center"/>
    </xf>
    <xf numFmtId="164" fontId="9" fillId="41" borderId="166" xfId="6" applyNumberFormat="1" applyFont="1" applyFill="1" applyBorder="1" applyAlignment="1">
      <alignment vertical="center"/>
    </xf>
    <xf numFmtId="164" fontId="9" fillId="41" borderId="19" xfId="6" applyNumberFormat="1" applyFont="1" applyFill="1" applyBorder="1" applyAlignment="1">
      <alignment horizontal="center" vertical="center"/>
    </xf>
    <xf numFmtId="164" fontId="9" fillId="41" borderId="24" xfId="6" applyNumberFormat="1" applyFont="1" applyFill="1" applyBorder="1" applyAlignment="1">
      <alignment vertical="center"/>
    </xf>
    <xf numFmtId="164" fontId="9" fillId="41" borderId="25" xfId="6" applyNumberFormat="1" applyFont="1" applyFill="1" applyBorder="1" applyAlignment="1">
      <alignment vertical="center"/>
    </xf>
    <xf numFmtId="164" fontId="9" fillId="41" borderId="84" xfId="6" applyNumberFormat="1" applyFont="1" applyFill="1" applyBorder="1" applyAlignment="1">
      <alignment vertical="center"/>
    </xf>
    <xf numFmtId="164" fontId="9" fillId="41" borderId="0" xfId="0" applyNumberFormat="1" applyFont="1" applyFill="1" applyBorder="1" applyAlignment="1">
      <alignment vertical="center"/>
    </xf>
    <xf numFmtId="0" fontId="2" fillId="38" borderId="19" xfId="0" applyFont="1" applyFill="1" applyBorder="1" applyAlignment="1">
      <alignment vertical="center"/>
    </xf>
    <xf numFmtId="164" fontId="2" fillId="38" borderId="20" xfId="6" applyNumberFormat="1" applyFont="1" applyFill="1" applyBorder="1" applyAlignment="1">
      <alignment vertical="center"/>
    </xf>
    <xf numFmtId="0" fontId="2" fillId="38" borderId="20" xfId="0" applyFont="1" applyFill="1" applyBorder="1" applyAlignment="1">
      <alignment vertical="center"/>
    </xf>
    <xf numFmtId="9" fontId="2" fillId="38" borderId="23" xfId="2" applyFont="1" applyFill="1" applyBorder="1" applyAlignment="1">
      <alignment vertical="center"/>
    </xf>
    <xf numFmtId="164" fontId="2" fillId="38" borderId="23" xfId="6" applyNumberFormat="1" applyFont="1" applyFill="1" applyBorder="1" applyAlignment="1">
      <alignment vertical="center"/>
    </xf>
    <xf numFmtId="9" fontId="2" fillId="38" borderId="20" xfId="2" applyFont="1" applyFill="1" applyBorder="1" applyAlignment="1">
      <alignment vertical="center"/>
    </xf>
    <xf numFmtId="0" fontId="2" fillId="38" borderId="23" xfId="0" applyFont="1" applyFill="1" applyBorder="1" applyAlignment="1">
      <alignment vertical="center"/>
    </xf>
    <xf numFmtId="9" fontId="21" fillId="38" borderId="23" xfId="2" applyFont="1" applyFill="1" applyBorder="1" applyAlignment="1">
      <alignment vertical="center"/>
    </xf>
    <xf numFmtId="0" fontId="2" fillId="38" borderId="21" xfId="0" applyFont="1" applyFill="1" applyBorder="1" applyAlignment="1">
      <alignment vertical="center"/>
    </xf>
    <xf numFmtId="9" fontId="2" fillId="38" borderId="22" xfId="2" applyFont="1" applyFill="1" applyBorder="1" applyAlignment="1">
      <alignment vertical="center"/>
    </xf>
    <xf numFmtId="0" fontId="105" fillId="38" borderId="19" xfId="0" applyFont="1" applyFill="1" applyBorder="1" applyAlignment="1">
      <alignment vertical="center"/>
    </xf>
    <xf numFmtId="0" fontId="105" fillId="38" borderId="20" xfId="0" applyFont="1" applyFill="1" applyBorder="1" applyAlignment="1">
      <alignment vertical="center"/>
    </xf>
    <xf numFmtId="0" fontId="2" fillId="38" borderId="15" xfId="0" applyFont="1" applyFill="1" applyBorder="1" applyAlignment="1">
      <alignment vertical="center"/>
    </xf>
    <xf numFmtId="0" fontId="2" fillId="38" borderId="14" xfId="0" applyFont="1" applyFill="1" applyBorder="1" applyAlignment="1">
      <alignment vertical="center"/>
    </xf>
    <xf numFmtId="164" fontId="2" fillId="38" borderId="15" xfId="6" applyNumberFormat="1" applyFont="1" applyFill="1" applyBorder="1" applyAlignment="1">
      <alignment vertical="center"/>
    </xf>
    <xf numFmtId="9" fontId="2" fillId="38" borderId="18" xfId="2" applyFont="1" applyFill="1" applyBorder="1" applyAlignment="1">
      <alignment vertical="center"/>
    </xf>
    <xf numFmtId="0" fontId="2" fillId="38" borderId="14" xfId="0" applyFont="1" applyFill="1" applyBorder="1" applyAlignment="1">
      <alignment horizontal="center" vertical="center"/>
    </xf>
    <xf numFmtId="164" fontId="2" fillId="38" borderId="14" xfId="6" applyNumberFormat="1" applyFont="1" applyFill="1" applyBorder="1" applyAlignment="1">
      <alignment vertical="center"/>
    </xf>
    <xf numFmtId="0" fontId="3" fillId="41" borderId="19" xfId="0" applyFont="1" applyFill="1" applyBorder="1"/>
    <xf numFmtId="164" fontId="3" fillId="41" borderId="20" xfId="6" applyNumberFormat="1" applyFont="1" applyFill="1" applyBorder="1"/>
    <xf numFmtId="0" fontId="3" fillId="41" borderId="20" xfId="0" applyFont="1" applyFill="1" applyBorder="1"/>
    <xf numFmtId="9" fontId="3" fillId="41" borderId="23" xfId="2" applyFont="1" applyFill="1" applyBorder="1"/>
    <xf numFmtId="164" fontId="3" fillId="41" borderId="23" xfId="6" applyNumberFormat="1" applyFont="1" applyFill="1" applyBorder="1"/>
    <xf numFmtId="9" fontId="3" fillId="41" borderId="20" xfId="2" applyFont="1" applyFill="1" applyBorder="1"/>
    <xf numFmtId="0" fontId="3" fillId="41" borderId="23" xfId="0" applyFont="1" applyFill="1" applyBorder="1"/>
    <xf numFmtId="9" fontId="12" fillId="41" borderId="23" xfId="2" applyFont="1" applyFill="1" applyBorder="1"/>
    <xf numFmtId="0" fontId="3" fillId="41" borderId="21" xfId="0" applyFont="1" applyFill="1" applyBorder="1"/>
    <xf numFmtId="9" fontId="3" fillId="41" borderId="22" xfId="2" applyFont="1" applyFill="1" applyBorder="1"/>
    <xf numFmtId="0" fontId="39" fillId="41" borderId="19" xfId="0" applyFont="1" applyFill="1" applyBorder="1"/>
    <xf numFmtId="0" fontId="39" fillId="41" borderId="20" xfId="0" applyFont="1" applyFill="1" applyBorder="1"/>
    <xf numFmtId="0" fontId="3" fillId="41" borderId="15" xfId="0" applyFont="1" applyFill="1" applyBorder="1"/>
    <xf numFmtId="0" fontId="3" fillId="41" borderId="14" xfId="0" applyFont="1" applyFill="1" applyBorder="1"/>
    <xf numFmtId="164" fontId="3" fillId="41" borderId="15" xfId="6" applyNumberFormat="1" applyFont="1" applyFill="1" applyBorder="1"/>
    <xf numFmtId="9" fontId="3" fillId="41" borderId="18" xfId="2" applyFont="1" applyFill="1" applyBorder="1"/>
    <xf numFmtId="0" fontId="3" fillId="41" borderId="14" xfId="0" applyFont="1" applyFill="1" applyBorder="1" applyAlignment="1">
      <alignment horizontal="center"/>
    </xf>
    <xf numFmtId="0" fontId="3" fillId="41" borderId="19" xfId="0" applyFont="1" applyFill="1" applyBorder="1" applyAlignment="1">
      <alignment horizontal="center"/>
    </xf>
    <xf numFmtId="164" fontId="3" fillId="41" borderId="19" xfId="6" applyNumberFormat="1" applyFont="1" applyFill="1" applyBorder="1" applyAlignment="1">
      <alignment horizontal="center" vertical="center"/>
    </xf>
    <xf numFmtId="164" fontId="3" fillId="41" borderId="20" xfId="6" applyNumberFormat="1" applyFont="1" applyFill="1" applyBorder="1" applyAlignment="1">
      <alignment vertical="center"/>
    </xf>
    <xf numFmtId="0" fontId="3" fillId="41" borderId="20" xfId="0" applyFont="1" applyFill="1" applyBorder="1" applyAlignment="1">
      <alignment vertical="center"/>
    </xf>
    <xf numFmtId="164" fontId="3" fillId="41" borderId="15" xfId="6" applyNumberFormat="1" applyFont="1" applyFill="1" applyBorder="1" applyAlignment="1">
      <alignment vertical="center"/>
    </xf>
    <xf numFmtId="0" fontId="2" fillId="38" borderId="19" xfId="0" applyFont="1" applyFill="1" applyBorder="1" applyAlignment="1">
      <alignment horizontal="center" vertical="center"/>
    </xf>
    <xf numFmtId="0" fontId="9" fillId="41" borderId="19" xfId="0" applyFont="1" applyFill="1" applyBorder="1" applyAlignment="1"/>
    <xf numFmtId="0" fontId="3" fillId="41" borderId="0" xfId="0" applyFont="1" applyFill="1" applyBorder="1"/>
    <xf numFmtId="9" fontId="3" fillId="41" borderId="15" xfId="2" applyFont="1" applyFill="1" applyBorder="1"/>
    <xf numFmtId="165" fontId="9" fillId="28" borderId="744" xfId="1" applyNumberFormat="1" applyFont="1" applyFill="1" applyBorder="1" applyAlignment="1">
      <alignment vertical="center"/>
    </xf>
    <xf numFmtId="1" fontId="9" fillId="28" borderId="20" xfId="2" applyNumberFormat="1" applyFont="1" applyFill="1" applyBorder="1" applyAlignment="1">
      <alignment horizontal="center" vertical="center"/>
    </xf>
    <xf numFmtId="165" fontId="4" fillId="21" borderId="37" xfId="1" applyNumberFormat="1" applyFont="1" applyFill="1" applyBorder="1" applyAlignment="1">
      <alignment vertical="center"/>
    </xf>
    <xf numFmtId="167" fontId="21" fillId="34" borderId="337" xfId="1" applyNumberFormat="1" applyFont="1" applyFill="1" applyBorder="1" applyAlignment="1">
      <alignment horizontal="center" vertical="center" wrapText="1"/>
    </xf>
    <xf numFmtId="9" fontId="21" fillId="34" borderId="349" xfId="2" applyFont="1" applyFill="1" applyBorder="1" applyAlignment="1">
      <alignment horizontal="center" vertical="center" wrapText="1"/>
    </xf>
    <xf numFmtId="167" fontId="4" fillId="2" borderId="324" xfId="2" applyNumberFormat="1" applyFont="1" applyFill="1" applyBorder="1" applyAlignment="1">
      <alignment vertical="center"/>
    </xf>
    <xf numFmtId="167" fontId="4" fillId="2" borderId="337" xfId="2" applyNumberFormat="1" applyFont="1" applyFill="1" applyBorder="1" applyAlignment="1">
      <alignment vertical="center"/>
    </xf>
    <xf numFmtId="167" fontId="4" fillId="2" borderId="338" xfId="2" applyNumberFormat="1" applyFont="1" applyFill="1" applyBorder="1" applyAlignment="1">
      <alignment vertical="center"/>
    </xf>
    <xf numFmtId="167" fontId="61" fillId="2" borderId="338" xfId="2" applyNumberFormat="1" applyFont="1" applyFill="1" applyBorder="1" applyAlignment="1">
      <alignment vertical="center"/>
    </xf>
    <xf numFmtId="167" fontId="4" fillId="2" borderId="337" xfId="1" applyNumberFormat="1" applyFont="1" applyFill="1" applyBorder="1" applyAlignment="1">
      <alignment vertical="center"/>
    </xf>
    <xf numFmtId="167" fontId="4" fillId="2" borderId="338" xfId="1" applyNumberFormat="1" applyFont="1" applyFill="1" applyBorder="1" applyAlignment="1">
      <alignment vertical="center"/>
    </xf>
    <xf numFmtId="0" fontId="55" fillId="2" borderId="736" xfId="0" applyFont="1" applyFill="1" applyBorder="1" applyAlignment="1">
      <alignment horizontal="center" vertical="center"/>
    </xf>
    <xf numFmtId="0" fontId="21" fillId="34" borderId="514" xfId="0" applyFont="1" applyFill="1" applyBorder="1" applyAlignment="1">
      <alignment horizontal="center" vertical="center" wrapText="1"/>
    </xf>
    <xf numFmtId="0" fontId="4" fillId="2" borderId="572" xfId="0" applyFont="1" applyFill="1" applyBorder="1" applyAlignment="1">
      <alignment horizontal="center" vertical="center"/>
    </xf>
    <xf numFmtId="0" fontId="4" fillId="2" borderId="481" xfId="0" applyFont="1" applyFill="1" applyBorder="1" applyAlignment="1">
      <alignment horizontal="center" vertical="center"/>
    </xf>
    <xf numFmtId="0" fontId="4" fillId="2" borderId="720" xfId="0" applyFont="1" applyFill="1" applyBorder="1" applyAlignment="1">
      <alignment horizontal="center" vertical="center"/>
    </xf>
    <xf numFmtId="0" fontId="61" fillId="2" borderId="720" xfId="0" applyFont="1" applyFill="1" applyBorder="1" applyAlignment="1">
      <alignment horizontal="center" vertical="center"/>
    </xf>
    <xf numFmtId="0" fontId="9" fillId="28" borderId="514" xfId="0" applyFont="1" applyFill="1" applyBorder="1" applyAlignment="1">
      <alignment horizontal="center" vertical="center"/>
    </xf>
    <xf numFmtId="0" fontId="9" fillId="2" borderId="193" xfId="0" applyFont="1" applyFill="1" applyBorder="1" applyAlignment="1">
      <alignment horizontal="center" vertical="center"/>
    </xf>
    <xf numFmtId="0" fontId="9" fillId="2" borderId="462" xfId="0" applyFont="1" applyFill="1" applyBorder="1" applyAlignment="1">
      <alignment horizontal="center" vertical="center"/>
    </xf>
    <xf numFmtId="0" fontId="9" fillId="13" borderId="744" xfId="0" applyFont="1" applyFill="1" applyBorder="1" applyAlignment="1">
      <alignment horizontal="center" vertical="center"/>
    </xf>
    <xf numFmtId="0" fontId="9" fillId="28" borderId="744" xfId="0" applyFont="1" applyFill="1" applyBorder="1" applyAlignment="1">
      <alignment horizontal="center" vertical="center"/>
    </xf>
    <xf numFmtId="0" fontId="12" fillId="2" borderId="343" xfId="0" applyFont="1" applyFill="1" applyBorder="1" applyAlignment="1">
      <alignment vertical="center"/>
    </xf>
    <xf numFmtId="0" fontId="12" fillId="2" borderId="55" xfId="0" applyFont="1" applyFill="1" applyBorder="1" applyAlignment="1">
      <alignment vertical="center"/>
    </xf>
    <xf numFmtId="0" fontId="4" fillId="0" borderId="115" xfId="0" applyFont="1" applyFill="1" applyBorder="1" applyAlignment="1">
      <alignment horizontal="center" vertical="center"/>
    </xf>
    <xf numFmtId="0" fontId="4" fillId="0" borderId="68" xfId="0" applyFont="1" applyFill="1" applyBorder="1" applyAlignment="1">
      <alignment horizontal="center" vertical="center"/>
    </xf>
    <xf numFmtId="165" fontId="4" fillId="2" borderId="339" xfId="1" applyNumberFormat="1" applyFont="1" applyFill="1" applyBorder="1" applyAlignment="1">
      <alignment vertical="center"/>
    </xf>
    <xf numFmtId="9" fontId="21" fillId="34" borderId="24" xfId="2" applyFont="1" applyFill="1" applyBorder="1" applyAlignment="1">
      <alignment horizontal="center" vertical="center" wrapText="1"/>
    </xf>
    <xf numFmtId="9" fontId="21" fillId="34" borderId="25" xfId="2" applyFont="1" applyFill="1" applyBorder="1" applyAlignment="1">
      <alignment horizontal="center" vertical="center" wrapText="1"/>
    </xf>
    <xf numFmtId="165" fontId="4" fillId="2" borderId="752" xfId="1" applyNumberFormat="1" applyFont="1" applyFill="1" applyBorder="1" applyAlignment="1">
      <alignment vertical="center"/>
    </xf>
    <xf numFmtId="9" fontId="4" fillId="2" borderId="753" xfId="2" applyFont="1" applyFill="1" applyBorder="1" applyAlignment="1">
      <alignment vertical="center"/>
    </xf>
    <xf numFmtId="9" fontId="4" fillId="2" borderId="754" xfId="2" applyFont="1" applyFill="1" applyBorder="1" applyAlignment="1">
      <alignment vertical="center"/>
    </xf>
    <xf numFmtId="43" fontId="4" fillId="2" borderId="754" xfId="1" applyFont="1" applyFill="1" applyBorder="1" applyAlignment="1">
      <alignment vertical="center"/>
    </xf>
    <xf numFmtId="165" fontId="4" fillId="2" borderId="755" xfId="1" applyNumberFormat="1" applyFont="1" applyFill="1" applyBorder="1" applyAlignment="1">
      <alignment vertical="center"/>
    </xf>
    <xf numFmtId="9" fontId="4" fillId="2" borderId="756" xfId="2" applyFont="1" applyFill="1" applyBorder="1" applyAlignment="1">
      <alignment vertical="center"/>
    </xf>
    <xf numFmtId="165" fontId="61" fillId="2" borderId="755" xfId="1" applyNumberFormat="1" applyFont="1" applyFill="1" applyBorder="1" applyAlignment="1">
      <alignment vertical="center"/>
    </xf>
    <xf numFmtId="9" fontId="61" fillId="2" borderId="756" xfId="2" applyFont="1" applyFill="1" applyBorder="1" applyAlignment="1">
      <alignment vertical="center"/>
    </xf>
    <xf numFmtId="165" fontId="9" fillId="28" borderId="24" xfId="1" applyNumberFormat="1" applyFont="1" applyFill="1" applyBorder="1" applyAlignment="1">
      <alignment vertical="center"/>
    </xf>
    <xf numFmtId="9" fontId="9" fillId="28" borderId="25" xfId="2" applyFont="1" applyFill="1" applyBorder="1" applyAlignment="1">
      <alignment vertical="center"/>
    </xf>
    <xf numFmtId="165" fontId="9" fillId="2" borderId="757" xfId="1" applyNumberFormat="1" applyFont="1" applyFill="1" applyBorder="1" applyAlignment="1">
      <alignment vertical="center"/>
    </xf>
    <xf numFmtId="9" fontId="9" fillId="2" borderId="758" xfId="2" applyFont="1" applyFill="1" applyBorder="1" applyAlignment="1">
      <alignment vertical="center"/>
    </xf>
    <xf numFmtId="165" fontId="9" fillId="2" borderId="755" xfId="1" applyNumberFormat="1" applyFont="1" applyFill="1" applyBorder="1" applyAlignment="1">
      <alignment vertical="center"/>
    </xf>
    <xf numFmtId="9" fontId="9" fillId="2" borderId="756" xfId="2" applyFont="1" applyFill="1" applyBorder="1" applyAlignment="1">
      <alignment vertical="center"/>
    </xf>
    <xf numFmtId="165" fontId="9" fillId="13" borderId="759" xfId="1" applyNumberFormat="1" applyFont="1" applyFill="1" applyBorder="1" applyAlignment="1">
      <alignment vertical="center"/>
    </xf>
    <xf numFmtId="9" fontId="9" fillId="13" borderId="760" xfId="2" applyFont="1" applyFill="1" applyBorder="1" applyAlignment="1">
      <alignment vertical="center"/>
    </xf>
    <xf numFmtId="165" fontId="4" fillId="2" borderId="757" xfId="1" applyNumberFormat="1" applyFont="1" applyFill="1" applyBorder="1" applyAlignment="1">
      <alignment vertical="center"/>
    </xf>
    <xf numFmtId="9" fontId="4" fillId="2" borderId="758" xfId="2" applyFont="1" applyFill="1" applyBorder="1" applyAlignment="1">
      <alignment vertical="center"/>
    </xf>
    <xf numFmtId="165" fontId="9" fillId="28" borderId="759" xfId="1" applyNumberFormat="1" applyFont="1" applyFill="1" applyBorder="1" applyAlignment="1">
      <alignment vertical="center"/>
    </xf>
    <xf numFmtId="9" fontId="9" fillId="28" borderId="760" xfId="2" applyFont="1" applyFill="1" applyBorder="1" applyAlignment="1">
      <alignment vertical="center"/>
    </xf>
    <xf numFmtId="165" fontId="4" fillId="2" borderId="330" xfId="1" applyNumberFormat="1" applyFont="1" applyFill="1" applyBorder="1" applyAlignment="1">
      <alignment vertical="center"/>
    </xf>
    <xf numFmtId="9" fontId="4" fillId="2" borderId="761" xfId="2" applyFont="1" applyFill="1" applyBorder="1" applyAlignment="1">
      <alignment vertical="center"/>
    </xf>
    <xf numFmtId="165" fontId="9" fillId="28" borderId="760" xfId="1" applyNumberFormat="1" applyFont="1" applyFill="1" applyBorder="1" applyAlignment="1">
      <alignment vertical="center"/>
    </xf>
    <xf numFmtId="43" fontId="4" fillId="2" borderId="756" xfId="1" applyFont="1" applyFill="1" applyBorder="1" applyAlignment="1">
      <alignment vertical="center"/>
    </xf>
    <xf numFmtId="0" fontId="4" fillId="2" borderId="339" xfId="0" applyFont="1" applyFill="1" applyBorder="1" applyAlignment="1">
      <alignment vertical="center"/>
    </xf>
    <xf numFmtId="0" fontId="4" fillId="2" borderId="338" xfId="0" applyFont="1" applyFill="1" applyBorder="1" applyAlignment="1">
      <alignment vertical="center"/>
    </xf>
    <xf numFmtId="0" fontId="61" fillId="2" borderId="338" xfId="0" applyFont="1" applyFill="1" applyBorder="1" applyAlignment="1">
      <alignment vertical="center"/>
    </xf>
    <xf numFmtId="165" fontId="9" fillId="28" borderId="113" xfId="1" applyNumberFormat="1" applyFont="1" applyFill="1" applyBorder="1" applyAlignment="1">
      <alignment vertical="center"/>
    </xf>
    <xf numFmtId="165" fontId="9" fillId="2" borderId="339" xfId="1" applyNumberFormat="1" applyFont="1" applyFill="1" applyBorder="1" applyAlignment="1">
      <alignment vertical="center"/>
    </xf>
    <xf numFmtId="165" fontId="9" fillId="2" borderId="338" xfId="1" applyNumberFormat="1" applyFont="1" applyFill="1" applyBorder="1" applyAlignment="1">
      <alignment vertical="center"/>
    </xf>
    <xf numFmtId="165" fontId="9" fillId="13" borderId="615" xfId="1" applyNumberFormat="1" applyFont="1" applyFill="1" applyBorder="1" applyAlignment="1">
      <alignment vertical="center"/>
    </xf>
    <xf numFmtId="165" fontId="9" fillId="2" borderId="324" xfId="1" applyNumberFormat="1" applyFont="1" applyFill="1" applyBorder="1" applyAlignment="1">
      <alignment vertical="center"/>
    </xf>
    <xf numFmtId="165" fontId="4" fillId="2" borderId="324" xfId="0" applyNumberFormat="1" applyFont="1" applyFill="1" applyBorder="1" applyAlignment="1">
      <alignment vertical="center"/>
    </xf>
    <xf numFmtId="167" fontId="4" fillId="2" borderId="149" xfId="1" applyNumberFormat="1" applyFont="1" applyFill="1" applyBorder="1" applyAlignment="1">
      <alignment horizontal="center" vertical="center"/>
    </xf>
    <xf numFmtId="167" fontId="4" fillId="2" borderId="68" xfId="1" applyNumberFormat="1" applyFont="1" applyFill="1" applyBorder="1" applyAlignment="1">
      <alignment horizontal="center" vertical="center"/>
    </xf>
    <xf numFmtId="167" fontId="4" fillId="2" borderId="68" xfId="0" applyNumberFormat="1" applyFont="1" applyFill="1" applyBorder="1" applyAlignment="1">
      <alignment horizontal="center" vertical="center"/>
    </xf>
    <xf numFmtId="167" fontId="4" fillId="2" borderId="192" xfId="1" applyNumberFormat="1" applyFont="1" applyFill="1" applyBorder="1" applyAlignment="1">
      <alignment horizontal="center" vertical="center"/>
    </xf>
    <xf numFmtId="167" fontId="61" fillId="2" borderId="192" xfId="1" applyNumberFormat="1" applyFont="1" applyFill="1" applyBorder="1" applyAlignment="1">
      <alignment horizontal="center" vertical="center"/>
    </xf>
    <xf numFmtId="1" fontId="9" fillId="2" borderId="115" xfId="2" applyNumberFormat="1" applyFont="1" applyFill="1" applyBorder="1" applyAlignment="1">
      <alignment horizontal="center" vertical="center"/>
    </xf>
    <xf numFmtId="164" fontId="93" fillId="2" borderId="192" xfId="6" applyNumberFormat="1" applyFont="1" applyFill="1" applyBorder="1" applyAlignment="1">
      <alignment vertical="center"/>
    </xf>
    <xf numFmtId="1" fontId="9" fillId="13" borderId="749" xfId="2" applyNumberFormat="1" applyFont="1" applyFill="1" applyBorder="1" applyAlignment="1">
      <alignment horizontal="center" vertical="center"/>
    </xf>
    <xf numFmtId="0" fontId="4" fillId="2" borderId="115" xfId="0" applyFont="1" applyFill="1" applyBorder="1" applyAlignment="1">
      <alignment horizontal="center" vertical="center"/>
    </xf>
    <xf numFmtId="165" fontId="4" fillId="2" borderId="187" xfId="1" applyNumberFormat="1" applyFont="1" applyFill="1" applyBorder="1" applyAlignment="1">
      <alignment horizontal="center" vertical="center"/>
    </xf>
    <xf numFmtId="167" fontId="4" fillId="2" borderId="115" xfId="1" applyNumberFormat="1" applyFont="1" applyFill="1" applyBorder="1" applyAlignment="1">
      <alignment horizontal="center" vertical="center"/>
    </xf>
    <xf numFmtId="165" fontId="21" fillId="34" borderId="340" xfId="1" applyNumberFormat="1" applyFont="1" applyFill="1" applyBorder="1" applyAlignment="1">
      <alignment horizontal="center" vertical="center"/>
    </xf>
    <xf numFmtId="9" fontId="21" fillId="34" borderId="762" xfId="2" applyFont="1" applyFill="1" applyBorder="1" applyAlignment="1">
      <alignment horizontal="center" vertical="center"/>
    </xf>
    <xf numFmtId="9" fontId="4" fillId="2" borderId="572" xfId="2" applyFont="1" applyFill="1" applyBorder="1" applyAlignment="1">
      <alignment vertical="center"/>
    </xf>
    <xf numFmtId="165" fontId="4" fillId="2" borderId="343" xfId="1" applyNumberFormat="1" applyFont="1" applyFill="1" applyBorder="1" applyAlignment="1">
      <alignment vertical="center"/>
    </xf>
    <xf numFmtId="9" fontId="4" fillId="2" borderId="563" xfId="2" applyFont="1" applyFill="1" applyBorder="1" applyAlignment="1">
      <alignment vertical="center"/>
    </xf>
    <xf numFmtId="165" fontId="61" fillId="2" borderId="343" xfId="1" applyNumberFormat="1" applyFont="1" applyFill="1" applyBorder="1" applyAlignment="1">
      <alignment vertical="center"/>
    </xf>
    <xf numFmtId="9" fontId="61" fillId="2" borderId="563" xfId="2" applyFont="1" applyFill="1" applyBorder="1" applyAlignment="1">
      <alignment vertical="center"/>
    </xf>
    <xf numFmtId="9" fontId="9" fillId="28" borderId="595" xfId="2" applyFont="1" applyFill="1" applyBorder="1" applyAlignment="1">
      <alignment vertical="center"/>
    </xf>
    <xf numFmtId="9" fontId="9" fillId="2" borderId="572" xfId="2" applyFont="1" applyFill="1" applyBorder="1" applyAlignment="1">
      <alignment vertical="center"/>
    </xf>
    <xf numFmtId="9" fontId="9" fillId="2" borderId="720" xfId="2" applyFont="1" applyFill="1" applyBorder="1" applyAlignment="1">
      <alignment vertical="center"/>
    </xf>
    <xf numFmtId="9" fontId="9" fillId="13" borderId="763" xfId="2" applyFont="1" applyFill="1" applyBorder="1" applyAlignment="1">
      <alignment vertical="center"/>
    </xf>
    <xf numFmtId="43" fontId="4" fillId="2" borderId="481" xfId="1" applyFont="1" applyFill="1" applyBorder="1" applyAlignment="1">
      <alignment vertical="center"/>
    </xf>
    <xf numFmtId="43" fontId="4" fillId="2" borderId="720" xfId="1" applyFont="1" applyFill="1" applyBorder="1" applyAlignment="1">
      <alignment vertical="center"/>
    </xf>
    <xf numFmtId="9" fontId="9" fillId="28" borderId="763" xfId="2" applyFont="1" applyFill="1" applyBorder="1" applyAlignment="1">
      <alignment vertical="center"/>
    </xf>
    <xf numFmtId="43" fontId="4" fillId="2" borderId="572" xfId="1" applyFont="1" applyFill="1" applyBorder="1" applyAlignment="1">
      <alignment vertical="center"/>
    </xf>
    <xf numFmtId="165" fontId="4" fillId="2" borderId="134" xfId="1" applyNumberFormat="1" applyFont="1" applyFill="1" applyBorder="1" applyAlignment="1">
      <alignment vertical="center"/>
    </xf>
    <xf numFmtId="165" fontId="9" fillId="28" borderId="84" xfId="1" applyNumberFormat="1" applyFont="1" applyFill="1" applyBorder="1" applyAlignment="1">
      <alignment vertical="center"/>
    </xf>
    <xf numFmtId="165" fontId="9" fillId="2" borderId="101" xfId="1" applyNumberFormat="1" applyFont="1" applyFill="1" applyBorder="1" applyAlignment="1">
      <alignment vertical="center"/>
    </xf>
    <xf numFmtId="165" fontId="9" fillId="2" borderId="191" xfId="1" applyNumberFormat="1" applyFont="1" applyFill="1" applyBorder="1" applyAlignment="1">
      <alignment vertical="center"/>
    </xf>
    <xf numFmtId="165" fontId="9" fillId="13" borderId="616" xfId="1" applyNumberFormat="1" applyFont="1" applyFill="1" applyBorder="1" applyAlignment="1">
      <alignment vertical="center"/>
    </xf>
    <xf numFmtId="165" fontId="9" fillId="28" borderId="616" xfId="1" applyNumberFormat="1" applyFont="1" applyFill="1" applyBorder="1" applyAlignment="1">
      <alignment vertical="center"/>
    </xf>
    <xf numFmtId="165" fontId="26" fillId="2" borderId="37" xfId="1" applyNumberFormat="1" applyFont="1" applyFill="1" applyBorder="1" applyAlignment="1">
      <alignment vertical="center"/>
    </xf>
    <xf numFmtId="9" fontId="21" fillId="34" borderId="21" xfId="2" applyFont="1" applyFill="1" applyBorder="1" applyAlignment="1">
      <alignment horizontal="center" vertical="center" wrapText="1"/>
    </xf>
    <xf numFmtId="9" fontId="21" fillId="34" borderId="22" xfId="2" applyFont="1" applyFill="1" applyBorder="1" applyAlignment="1">
      <alignment horizontal="center" vertical="center" wrapText="1"/>
    </xf>
    <xf numFmtId="165" fontId="4" fillId="2" borderId="274" xfId="1" applyNumberFormat="1" applyFont="1" applyFill="1" applyBorder="1" applyAlignment="1">
      <alignment vertical="center"/>
    </xf>
    <xf numFmtId="9" fontId="4" fillId="2" borderId="764" xfId="2" applyFont="1" applyFill="1" applyBorder="1" applyAlignment="1">
      <alignment vertical="center"/>
    </xf>
    <xf numFmtId="9" fontId="4" fillId="2" borderId="765" xfId="2" applyFont="1" applyFill="1" applyBorder="1" applyAlignment="1">
      <alignment vertical="center"/>
    </xf>
    <xf numFmtId="165" fontId="26" fillId="2" borderId="274" xfId="1" applyNumberFormat="1" applyFont="1" applyFill="1" applyBorder="1" applyAlignment="1">
      <alignment vertical="center"/>
    </xf>
    <xf numFmtId="165" fontId="4" fillId="2" borderId="766" xfId="1" applyNumberFormat="1" applyFont="1" applyFill="1" applyBorder="1" applyAlignment="1">
      <alignment vertical="center"/>
    </xf>
    <xf numFmtId="9" fontId="4" fillId="2" borderId="767" xfId="2" applyFont="1" applyFill="1" applyBorder="1" applyAlignment="1">
      <alignment vertical="center"/>
    </xf>
    <xf numFmtId="165" fontId="61" fillId="2" borderId="766" xfId="1" applyNumberFormat="1" applyFont="1" applyFill="1" applyBorder="1" applyAlignment="1">
      <alignment vertical="center"/>
    </xf>
    <xf numFmtId="9" fontId="61" fillId="2" borderId="767" xfId="2" applyFont="1" applyFill="1" applyBorder="1" applyAlignment="1">
      <alignment vertical="center"/>
    </xf>
    <xf numFmtId="165" fontId="9" fillId="28" borderId="21" xfId="1" applyNumberFormat="1" applyFont="1" applyFill="1" applyBorder="1" applyAlignment="1">
      <alignment vertical="center"/>
    </xf>
    <xf numFmtId="9" fontId="9" fillId="28" borderId="22" xfId="2" applyFont="1" applyFill="1" applyBorder="1" applyAlignment="1">
      <alignment vertical="center"/>
    </xf>
    <xf numFmtId="165" fontId="9" fillId="2" borderId="768" xfId="1" applyNumberFormat="1" applyFont="1" applyFill="1" applyBorder="1" applyAlignment="1">
      <alignment vertical="center"/>
    </xf>
    <xf numFmtId="9" fontId="9" fillId="2" borderId="769" xfId="2" applyFont="1" applyFill="1" applyBorder="1" applyAlignment="1">
      <alignment vertical="center"/>
    </xf>
    <xf numFmtId="165" fontId="9" fillId="13" borderId="770" xfId="1" applyNumberFormat="1" applyFont="1" applyFill="1" applyBorder="1" applyAlignment="1">
      <alignment horizontal="center" vertical="center"/>
    </xf>
    <xf numFmtId="9" fontId="9" fillId="13" borderId="771" xfId="2" applyFont="1" applyFill="1" applyBorder="1" applyAlignment="1">
      <alignment vertical="center"/>
    </xf>
    <xf numFmtId="165" fontId="4" fillId="2" borderId="768" xfId="1" applyNumberFormat="1" applyFont="1" applyFill="1" applyBorder="1" applyAlignment="1">
      <alignment vertical="center"/>
    </xf>
    <xf numFmtId="9" fontId="4" fillId="2" borderId="769" xfId="2" applyFont="1" applyFill="1" applyBorder="1" applyAlignment="1">
      <alignment vertical="center"/>
    </xf>
    <xf numFmtId="43" fontId="4" fillId="2" borderId="765" xfId="1" applyFont="1" applyFill="1" applyBorder="1" applyAlignment="1">
      <alignment vertical="center"/>
    </xf>
    <xf numFmtId="165" fontId="9" fillId="28" borderId="770" xfId="1" applyNumberFormat="1" applyFont="1" applyFill="1" applyBorder="1" applyAlignment="1">
      <alignment vertical="center"/>
    </xf>
    <xf numFmtId="9" fontId="9" fillId="28" borderId="771" xfId="2" applyFont="1" applyFill="1" applyBorder="1" applyAlignment="1">
      <alignment vertical="center"/>
    </xf>
    <xf numFmtId="9" fontId="4" fillId="2" borderId="768" xfId="2" applyFont="1" applyFill="1" applyBorder="1" applyAlignment="1">
      <alignment vertical="center"/>
    </xf>
    <xf numFmtId="165" fontId="9" fillId="28" borderId="771" xfId="1" applyNumberFormat="1" applyFont="1" applyFill="1" applyBorder="1" applyAlignment="1">
      <alignment vertical="center"/>
    </xf>
    <xf numFmtId="0" fontId="12" fillId="2" borderId="34" xfId="0" applyFont="1" applyFill="1" applyBorder="1" applyAlignment="1">
      <alignment vertical="center"/>
    </xf>
    <xf numFmtId="0" fontId="12" fillId="2" borderId="324" xfId="0" applyFont="1" applyFill="1" applyBorder="1" applyAlignment="1">
      <alignment vertical="center"/>
    </xf>
    <xf numFmtId="0" fontId="12" fillId="2" borderId="193" xfId="0" applyFont="1" applyFill="1" applyBorder="1" applyAlignment="1">
      <alignment vertical="center"/>
    </xf>
    <xf numFmtId="0" fontId="12" fillId="2" borderId="37" xfId="0" applyFont="1" applyFill="1" applyBorder="1" applyAlignment="1">
      <alignment horizontal="center" vertical="center"/>
    </xf>
    <xf numFmtId="165" fontId="12" fillId="2" borderId="37" xfId="1" applyNumberFormat="1" applyFont="1" applyFill="1" applyBorder="1" applyAlignment="1">
      <alignment horizontal="center" vertical="center"/>
    </xf>
    <xf numFmtId="0" fontId="12" fillId="2" borderId="37" xfId="0" applyFont="1" applyFill="1" applyBorder="1" applyAlignment="1">
      <alignment vertical="center"/>
    </xf>
    <xf numFmtId="165" fontId="12" fillId="2" borderId="37" xfId="1" applyNumberFormat="1" applyFont="1" applyFill="1" applyBorder="1" applyAlignment="1">
      <alignment vertical="center"/>
    </xf>
    <xf numFmtId="171" fontId="12" fillId="2" borderId="37" xfId="0" applyNumberFormat="1" applyFont="1" applyFill="1" applyBorder="1" applyAlignment="1">
      <alignment vertical="center"/>
    </xf>
    <xf numFmtId="167" fontId="12" fillId="2" borderId="37" xfId="0" applyNumberFormat="1" applyFont="1" applyFill="1" applyBorder="1" applyAlignment="1">
      <alignment vertical="center"/>
    </xf>
    <xf numFmtId="164" fontId="12" fillId="2" borderId="37" xfId="5" applyNumberFormat="1" applyFont="1" applyFill="1" applyBorder="1" applyAlignment="1">
      <alignment vertical="center"/>
    </xf>
    <xf numFmtId="172" fontId="12" fillId="2" borderId="37" xfId="1" applyNumberFormat="1" applyFont="1" applyFill="1" applyBorder="1" applyAlignment="1">
      <alignment vertical="center"/>
    </xf>
    <xf numFmtId="0" fontId="12" fillId="2" borderId="37" xfId="0" applyFont="1" applyFill="1" applyBorder="1" applyAlignment="1">
      <alignment horizontal="right" vertical="center"/>
    </xf>
    <xf numFmtId="0" fontId="12" fillId="2" borderId="337" xfId="0" applyFont="1" applyFill="1" applyBorder="1" applyAlignment="1">
      <alignment vertical="center"/>
    </xf>
    <xf numFmtId="0" fontId="12" fillId="2" borderId="349" xfId="0" applyFont="1" applyFill="1" applyBorder="1" applyAlignment="1">
      <alignment vertical="center"/>
    </xf>
    <xf numFmtId="0" fontId="12" fillId="2" borderId="349" xfId="0" applyFont="1" applyFill="1" applyBorder="1" applyAlignment="1">
      <alignment horizontal="center" vertical="center"/>
    </xf>
    <xf numFmtId="0" fontId="12" fillId="2" borderId="752" xfId="0" applyFont="1" applyFill="1" applyBorder="1" applyAlignment="1">
      <alignment vertical="center"/>
    </xf>
    <xf numFmtId="0" fontId="12" fillId="2" borderId="754" xfId="0" applyFont="1" applyFill="1" applyBorder="1" applyAlignment="1">
      <alignment vertical="center"/>
    </xf>
    <xf numFmtId="0" fontId="12" fillId="2" borderId="274" xfId="0" applyFont="1" applyFill="1" applyBorder="1" applyAlignment="1">
      <alignment vertical="center"/>
    </xf>
    <xf numFmtId="0" fontId="12" fillId="2" borderId="765" xfId="0" applyFont="1" applyFill="1" applyBorder="1" applyAlignment="1">
      <alignment vertical="center"/>
    </xf>
    <xf numFmtId="0" fontId="12" fillId="2" borderId="127" xfId="0" applyFont="1" applyFill="1" applyBorder="1" applyAlignment="1">
      <alignment horizontal="center" vertical="center"/>
    </xf>
    <xf numFmtId="165" fontId="12" fillId="2" borderId="127" xfId="1" applyNumberFormat="1" applyFont="1" applyFill="1" applyBorder="1" applyAlignment="1">
      <alignment horizontal="center" vertical="center"/>
    </xf>
    <xf numFmtId="0" fontId="12" fillId="2" borderId="127" xfId="0" applyFont="1" applyFill="1" applyBorder="1" applyAlignment="1">
      <alignment vertical="center"/>
    </xf>
    <xf numFmtId="165" fontId="12" fillId="2" borderId="127" xfId="1" applyNumberFormat="1" applyFont="1" applyFill="1" applyBorder="1" applyAlignment="1">
      <alignment vertical="center"/>
    </xf>
    <xf numFmtId="171" fontId="12" fillId="2" borderId="127" xfId="0" applyNumberFormat="1" applyFont="1" applyFill="1" applyBorder="1" applyAlignment="1">
      <alignment vertical="center"/>
    </xf>
    <xf numFmtId="167" fontId="12" fillId="2" borderId="127" xfId="0" applyNumberFormat="1" applyFont="1" applyFill="1" applyBorder="1" applyAlignment="1">
      <alignment vertical="center"/>
    </xf>
    <xf numFmtId="164" fontId="12" fillId="2" borderId="127" xfId="5" applyNumberFormat="1" applyFont="1" applyFill="1" applyBorder="1" applyAlignment="1">
      <alignment vertical="center"/>
    </xf>
    <xf numFmtId="172" fontId="12" fillId="2" borderId="127" xfId="1" applyNumberFormat="1" applyFont="1" applyFill="1" applyBorder="1" applyAlignment="1">
      <alignment vertical="center"/>
    </xf>
    <xf numFmtId="0" fontId="12" fillId="2" borderId="127" xfId="0" applyFont="1" applyFill="1" applyBorder="1" applyAlignment="1">
      <alignment horizontal="right" vertical="center"/>
    </xf>
    <xf numFmtId="0" fontId="12" fillId="2" borderId="338" xfId="0" applyFont="1" applyFill="1" applyBorder="1" applyAlignment="1">
      <alignment vertical="center"/>
    </xf>
    <xf numFmtId="0" fontId="12" fillId="2" borderId="462" xfId="0" applyFont="1" applyFill="1" applyBorder="1" applyAlignment="1">
      <alignment vertical="center"/>
    </xf>
    <xf numFmtId="0" fontId="12" fillId="2" borderId="462" xfId="0" applyFont="1" applyFill="1" applyBorder="1" applyAlignment="1">
      <alignment horizontal="center" vertical="center"/>
    </xf>
    <xf numFmtId="0" fontId="12" fillId="2" borderId="755" xfId="0" applyFont="1" applyFill="1" applyBorder="1" applyAlignment="1">
      <alignment vertical="center"/>
    </xf>
    <xf numFmtId="0" fontId="12" fillId="2" borderId="756" xfId="0" applyFont="1" applyFill="1" applyBorder="1" applyAlignment="1">
      <alignment vertical="center"/>
    </xf>
    <xf numFmtId="0" fontId="12" fillId="2" borderId="766" xfId="0" applyFont="1" applyFill="1" applyBorder="1" applyAlignment="1">
      <alignment vertical="center"/>
    </xf>
    <xf numFmtId="0" fontId="12" fillId="2" borderId="767" xfId="0" applyFont="1" applyFill="1" applyBorder="1" applyAlignment="1">
      <alignment vertical="center"/>
    </xf>
    <xf numFmtId="9" fontId="21" fillId="34" borderId="343" xfId="2" applyFont="1" applyFill="1" applyBorder="1" applyAlignment="1">
      <alignment horizontal="center" vertical="center" wrapText="1"/>
    </xf>
    <xf numFmtId="9" fontId="40" fillId="34" borderId="55" xfId="2" applyFont="1" applyFill="1" applyBorder="1" applyAlignment="1">
      <alignment horizontal="center" vertical="center" wrapText="1"/>
    </xf>
    <xf numFmtId="0" fontId="61" fillId="2" borderId="340" xfId="0" applyFont="1" applyFill="1" applyBorder="1" applyAlignment="1">
      <alignment vertical="center"/>
    </xf>
    <xf numFmtId="0" fontId="61" fillId="2" borderId="762" xfId="0" applyFont="1" applyFill="1" applyBorder="1" applyAlignment="1">
      <alignment vertical="center"/>
    </xf>
    <xf numFmtId="9" fontId="12" fillId="28" borderId="514" xfId="2" applyFont="1" applyFill="1" applyBorder="1" applyAlignment="1">
      <alignment vertical="center"/>
    </xf>
    <xf numFmtId="43" fontId="9" fillId="28" borderId="615" xfId="1" applyFont="1" applyFill="1" applyBorder="1" applyAlignment="1">
      <alignment vertical="center"/>
    </xf>
    <xf numFmtId="0" fontId="4" fillId="0" borderId="337" xfId="0" applyFont="1" applyFill="1" applyBorder="1" applyAlignment="1">
      <alignment vertical="center"/>
    </xf>
    <xf numFmtId="0" fontId="9" fillId="28" borderId="615" xfId="0" applyFont="1" applyFill="1" applyBorder="1" applyAlignment="1">
      <alignment vertical="center"/>
    </xf>
    <xf numFmtId="0" fontId="4" fillId="2" borderId="55" xfId="0" applyFont="1" applyFill="1" applyBorder="1" applyAlignment="1">
      <alignment vertical="center"/>
    </xf>
    <xf numFmtId="0" fontId="12" fillId="2" borderId="750" xfId="0" applyFont="1" applyFill="1" applyBorder="1" applyAlignment="1">
      <alignment horizontal="right" vertical="center"/>
    </xf>
    <xf numFmtId="0" fontId="13" fillId="2" borderId="734" xfId="0" applyFont="1" applyFill="1" applyBorder="1" applyAlignment="1">
      <alignment horizontal="center" vertical="center"/>
    </xf>
    <xf numFmtId="0" fontId="12" fillId="2" borderId="751" xfId="0" applyFont="1" applyFill="1" applyBorder="1" applyAlignment="1">
      <alignment horizontal="center" vertical="center"/>
    </xf>
    <xf numFmtId="0" fontId="12" fillId="2" borderId="734" xfId="0" applyFont="1" applyFill="1" applyBorder="1" applyAlignment="1">
      <alignment horizontal="center" vertical="center"/>
    </xf>
    <xf numFmtId="165" fontId="12" fillId="2" borderId="734" xfId="1" applyNumberFormat="1" applyFont="1" applyFill="1" applyBorder="1" applyAlignment="1">
      <alignment horizontal="center" vertical="center"/>
    </xf>
    <xf numFmtId="9" fontId="12" fillId="2" borderId="734" xfId="2" applyFont="1" applyFill="1" applyBorder="1" applyAlignment="1">
      <alignment horizontal="center" vertical="center"/>
    </xf>
    <xf numFmtId="0" fontId="12" fillId="2" borderId="734" xfId="0" applyFont="1" applyFill="1" applyBorder="1" applyAlignment="1">
      <alignment vertical="center"/>
    </xf>
    <xf numFmtId="165" fontId="12" fillId="2" borderId="734" xfId="1" applyNumberFormat="1" applyFont="1" applyFill="1" applyBorder="1" applyAlignment="1">
      <alignment vertical="center"/>
    </xf>
    <xf numFmtId="171" fontId="12" fillId="2" borderId="734" xfId="0" applyNumberFormat="1" applyFont="1" applyFill="1" applyBorder="1" applyAlignment="1">
      <alignment vertical="center"/>
    </xf>
    <xf numFmtId="167" fontId="12" fillId="2" borderId="734" xfId="0" applyNumberFormat="1" applyFont="1" applyFill="1" applyBorder="1" applyAlignment="1">
      <alignment vertical="center"/>
    </xf>
    <xf numFmtId="164" fontId="12" fillId="2" borderId="734" xfId="5" applyNumberFormat="1" applyFont="1" applyFill="1" applyBorder="1" applyAlignment="1">
      <alignment vertical="center"/>
    </xf>
    <xf numFmtId="9" fontId="12" fillId="2" borderId="734" xfId="2" applyFont="1" applyFill="1" applyBorder="1" applyAlignment="1">
      <alignment vertical="center"/>
    </xf>
    <xf numFmtId="172" fontId="12" fillId="2" borderId="734" xfId="1" applyNumberFormat="1" applyFont="1" applyFill="1" applyBorder="1" applyAlignment="1">
      <alignment vertical="center"/>
    </xf>
    <xf numFmtId="165" fontId="12" fillId="2" borderId="734" xfId="0" applyNumberFormat="1" applyFont="1" applyFill="1" applyBorder="1" applyAlignment="1">
      <alignment vertical="center"/>
    </xf>
    <xf numFmtId="0" fontId="12" fillId="2" borderId="734" xfId="0" applyFont="1" applyFill="1" applyBorder="1" applyAlignment="1">
      <alignment horizontal="right" vertical="center"/>
    </xf>
    <xf numFmtId="0" fontId="12" fillId="2" borderId="750" xfId="0" applyFont="1" applyFill="1" applyBorder="1" applyAlignment="1">
      <alignment vertical="center"/>
    </xf>
    <xf numFmtId="0" fontId="12" fillId="2" borderId="751" xfId="0" applyFont="1" applyFill="1" applyBorder="1" applyAlignment="1">
      <alignment vertical="center"/>
    </xf>
    <xf numFmtId="0" fontId="12" fillId="2" borderId="772" xfId="0" applyFont="1" applyFill="1" applyBorder="1" applyAlignment="1">
      <alignment vertical="center"/>
    </xf>
    <xf numFmtId="0" fontId="12" fillId="2" borderId="773" xfId="0" applyFont="1" applyFill="1" applyBorder="1" applyAlignment="1">
      <alignment vertical="center"/>
    </xf>
    <xf numFmtId="0" fontId="12" fillId="2" borderId="774" xfId="0" applyFont="1" applyFill="1" applyBorder="1" applyAlignment="1">
      <alignment vertical="center"/>
    </xf>
    <xf numFmtId="0" fontId="12" fillId="2" borderId="775" xfId="0" applyFont="1" applyFill="1" applyBorder="1" applyAlignment="1">
      <alignment vertical="center"/>
    </xf>
    <xf numFmtId="165" fontId="4" fillId="2" borderId="733" xfId="0" applyNumberFormat="1" applyFont="1" applyFill="1" applyBorder="1" applyAlignment="1">
      <alignment vertical="center"/>
    </xf>
    <xf numFmtId="43" fontId="4" fillId="2" borderId="751" xfId="1" applyFont="1" applyFill="1" applyBorder="1" applyAlignment="1">
      <alignment vertical="center"/>
    </xf>
    <xf numFmtId="43" fontId="12" fillId="2" borderId="37" xfId="1" applyFont="1" applyFill="1" applyBorder="1" applyAlignment="1">
      <alignment vertical="center"/>
    </xf>
    <xf numFmtId="0" fontId="12" fillId="2" borderId="733" xfId="0" applyFont="1" applyFill="1" applyBorder="1" applyAlignment="1">
      <alignment vertical="center"/>
    </xf>
    <xf numFmtId="0" fontId="12" fillId="2" borderId="126" xfId="0" applyFont="1" applyFill="1" applyBorder="1" applyAlignment="1">
      <alignment vertical="center"/>
    </xf>
    <xf numFmtId="165" fontId="9" fillId="28" borderId="749" xfId="1" applyNumberFormat="1" applyFont="1" applyFill="1" applyBorder="1" applyAlignment="1">
      <alignment vertical="center"/>
    </xf>
    <xf numFmtId="9" fontId="73" fillId="2" borderId="349" xfId="2" applyFont="1" applyFill="1" applyBorder="1" applyAlignment="1">
      <alignment vertical="center"/>
    </xf>
    <xf numFmtId="165" fontId="57" fillId="2" borderId="37" xfId="1" applyNumberFormat="1" applyFont="1" applyFill="1" applyBorder="1" applyAlignment="1">
      <alignment vertical="center"/>
    </xf>
    <xf numFmtId="165" fontId="57" fillId="2" borderId="125" xfId="1" applyNumberFormat="1" applyFont="1" applyFill="1" applyBorder="1" applyAlignment="1">
      <alignment vertical="center"/>
    </xf>
    <xf numFmtId="165" fontId="57" fillId="2" borderId="0" xfId="1" applyNumberFormat="1" applyFont="1" applyFill="1" applyBorder="1" applyAlignment="1">
      <alignment vertical="center"/>
    </xf>
    <xf numFmtId="165" fontId="41" fillId="14" borderId="0" xfId="1" applyNumberFormat="1" applyFont="1" applyFill="1" applyBorder="1" applyAlignment="1">
      <alignment horizontal="center" vertical="center"/>
    </xf>
    <xf numFmtId="165" fontId="42" fillId="2" borderId="0" xfId="0" applyNumberFormat="1" applyFont="1" applyFill="1" applyBorder="1" applyAlignment="1">
      <alignment vertical="center"/>
    </xf>
    <xf numFmtId="165" fontId="41" fillId="2" borderId="137" xfId="8" applyNumberFormat="1" applyFont="1" applyFill="1" applyBorder="1" applyAlignment="1">
      <alignment vertical="center"/>
    </xf>
    <xf numFmtId="165" fontId="41" fillId="2" borderId="138" xfId="8" applyNumberFormat="1" applyFont="1" applyFill="1" applyBorder="1" applyAlignment="1">
      <alignment vertical="center"/>
    </xf>
    <xf numFmtId="9" fontId="41" fillId="2" borderId="99" xfId="2" applyFont="1" applyFill="1" applyBorder="1" applyAlignment="1">
      <alignment vertical="center"/>
    </xf>
    <xf numFmtId="165" fontId="41" fillId="2" borderId="129" xfId="0" applyNumberFormat="1" applyFont="1" applyFill="1" applyBorder="1" applyAlignment="1">
      <alignment vertical="center"/>
    </xf>
    <xf numFmtId="165" fontId="42" fillId="2" borderId="129" xfId="0" applyNumberFormat="1" applyFont="1" applyFill="1" applyBorder="1" applyAlignment="1">
      <alignment vertical="center"/>
    </xf>
    <xf numFmtId="9" fontId="41" fillId="2" borderId="138" xfId="2" applyFont="1" applyFill="1" applyBorder="1" applyAlignment="1">
      <alignment vertical="center"/>
    </xf>
    <xf numFmtId="9" fontId="42" fillId="2" borderId="138" xfId="2" applyFont="1" applyFill="1" applyBorder="1" applyAlignment="1">
      <alignment vertical="center"/>
    </xf>
    <xf numFmtId="165" fontId="41" fillId="2" borderId="129" xfId="8" applyNumberFormat="1" applyFont="1" applyFill="1" applyBorder="1" applyAlignment="1">
      <alignment vertical="center"/>
    </xf>
    <xf numFmtId="165" fontId="41" fillId="2" borderId="38" xfId="8" applyNumberFormat="1" applyFont="1" applyFill="1" applyBorder="1" applyAlignment="1">
      <alignment vertical="center"/>
    </xf>
    <xf numFmtId="165" fontId="41" fillId="2" borderId="117" xfId="8" applyNumberFormat="1" applyFont="1" applyFill="1" applyBorder="1" applyAlignment="1">
      <alignment vertical="center"/>
    </xf>
    <xf numFmtId="165" fontId="41" fillId="2" borderId="63" xfId="8" applyNumberFormat="1" applyFont="1" applyFill="1" applyBorder="1" applyAlignment="1">
      <alignment vertical="center"/>
    </xf>
    <xf numFmtId="9" fontId="41" fillId="2" borderId="38" xfId="2" applyFont="1" applyFill="1" applyBorder="1" applyAlignment="1">
      <alignment vertical="center"/>
    </xf>
    <xf numFmtId="165" fontId="41" fillId="2" borderId="37" xfId="0" applyNumberFormat="1" applyFont="1" applyFill="1" applyBorder="1" applyAlignment="1">
      <alignment vertical="center"/>
    </xf>
    <xf numFmtId="165" fontId="42" fillId="2" borderId="37" xfId="0" applyNumberFormat="1" applyFont="1" applyFill="1" applyBorder="1" applyAlignment="1">
      <alignment vertical="center"/>
    </xf>
    <xf numFmtId="9" fontId="41" fillId="2" borderId="63" xfId="2" applyFont="1" applyFill="1" applyBorder="1" applyAlignment="1">
      <alignment vertical="center"/>
    </xf>
    <xf numFmtId="165" fontId="41" fillId="2" borderId="37" xfId="8" applyNumberFormat="1" applyFont="1" applyFill="1" applyBorder="1" applyAlignment="1">
      <alignment vertical="center"/>
    </xf>
    <xf numFmtId="165" fontId="41" fillId="2" borderId="100" xfId="8" applyNumberFormat="1" applyFont="1" applyFill="1" applyBorder="1" applyAlignment="1">
      <alignment vertical="center"/>
    </xf>
    <xf numFmtId="165" fontId="41" fillId="2" borderId="128" xfId="8" applyNumberFormat="1" applyFont="1" applyFill="1" applyBorder="1" applyAlignment="1">
      <alignment vertical="center"/>
    </xf>
    <xf numFmtId="165" fontId="41" fillId="2" borderId="96" xfId="8" applyNumberFormat="1" applyFont="1" applyFill="1" applyBorder="1" applyAlignment="1">
      <alignment vertical="center"/>
    </xf>
    <xf numFmtId="9" fontId="41" fillId="2" borderId="100" xfId="2" applyFont="1" applyFill="1" applyBorder="1" applyAlignment="1">
      <alignment vertical="center"/>
    </xf>
    <xf numFmtId="165" fontId="41" fillId="2" borderId="125" xfId="0" applyNumberFormat="1" applyFont="1" applyFill="1" applyBorder="1" applyAlignment="1">
      <alignment vertical="center"/>
    </xf>
    <xf numFmtId="165" fontId="42" fillId="2" borderId="125" xfId="0" applyNumberFormat="1" applyFont="1" applyFill="1" applyBorder="1" applyAlignment="1">
      <alignment vertical="center"/>
    </xf>
    <xf numFmtId="9" fontId="41" fillId="2" borderId="96" xfId="2" applyFont="1" applyFill="1" applyBorder="1" applyAlignment="1">
      <alignment vertical="center"/>
    </xf>
    <xf numFmtId="165" fontId="41" fillId="2" borderId="125" xfId="8" applyNumberFormat="1" applyFont="1" applyFill="1" applyBorder="1" applyAlignment="1">
      <alignment vertical="center"/>
    </xf>
    <xf numFmtId="0" fontId="54" fillId="38" borderId="19" xfId="0" applyFont="1" applyFill="1" applyBorder="1" applyAlignment="1"/>
    <xf numFmtId="0" fontId="54" fillId="38" borderId="20" xfId="0" applyFont="1" applyFill="1" applyBorder="1" applyAlignment="1">
      <alignment horizontal="right"/>
    </xf>
    <xf numFmtId="0" fontId="2" fillId="38" borderId="14" xfId="0" applyFont="1" applyFill="1" applyBorder="1"/>
    <xf numFmtId="164" fontId="2" fillId="38" borderId="15" xfId="6" applyNumberFormat="1" applyFont="1" applyFill="1" applyBorder="1"/>
    <xf numFmtId="0" fontId="2" fillId="38" borderId="15" xfId="0" applyFont="1" applyFill="1" applyBorder="1"/>
    <xf numFmtId="164" fontId="2" fillId="38" borderId="20" xfId="6" applyNumberFormat="1" applyFont="1" applyFill="1" applyBorder="1"/>
    <xf numFmtId="166" fontId="2" fillId="38" borderId="23" xfId="6" applyFont="1" applyFill="1" applyBorder="1"/>
    <xf numFmtId="9" fontId="2" fillId="38" borderId="15" xfId="2" applyFont="1" applyFill="1" applyBorder="1" applyAlignment="1">
      <alignment vertical="center"/>
    </xf>
    <xf numFmtId="9" fontId="2" fillId="38" borderId="14" xfId="2" applyFont="1" applyFill="1" applyBorder="1" applyAlignment="1">
      <alignment vertical="center"/>
    </xf>
    <xf numFmtId="164" fontId="54" fillId="38" borderId="611" xfId="6" applyNumberFormat="1" applyFont="1" applyFill="1" applyBorder="1" applyAlignment="1">
      <alignment horizontal="center" vertical="center"/>
    </xf>
    <xf numFmtId="0" fontId="12" fillId="0" borderId="70" xfId="0" applyFont="1" applyFill="1" applyBorder="1" applyAlignment="1">
      <alignment vertical="center"/>
    </xf>
    <xf numFmtId="9" fontId="129" fillId="0" borderId="118" xfId="2" applyFont="1" applyFill="1" applyBorder="1" applyAlignment="1">
      <alignment horizontal="center" vertical="center"/>
    </xf>
    <xf numFmtId="9" fontId="129" fillId="2" borderId="118" xfId="2" applyFont="1" applyFill="1" applyBorder="1" applyAlignment="1">
      <alignment horizontal="center" vertical="center"/>
    </xf>
    <xf numFmtId="49" fontId="4" fillId="2" borderId="485" xfId="6" applyNumberFormat="1" applyFont="1" applyFill="1" applyBorder="1" applyAlignment="1">
      <alignment horizontal="center" vertical="center"/>
    </xf>
    <xf numFmtId="9" fontId="4" fillId="2" borderId="486" xfId="2" applyFont="1" applyFill="1" applyBorder="1" applyAlignment="1">
      <alignment horizontal="right" vertical="center"/>
    </xf>
    <xf numFmtId="0" fontId="12" fillId="2" borderId="70" xfId="0" applyFont="1" applyFill="1" applyBorder="1" applyAlignment="1">
      <alignment vertical="center"/>
    </xf>
    <xf numFmtId="166" fontId="129" fillId="2" borderId="118" xfId="6" applyFont="1" applyFill="1" applyBorder="1" applyAlignment="1">
      <alignment horizontal="center" vertical="center"/>
    </xf>
    <xf numFmtId="9" fontId="25" fillId="2" borderId="118" xfId="2" applyFont="1" applyFill="1" applyBorder="1" applyAlignment="1">
      <alignment horizontal="center" vertical="center"/>
    </xf>
    <xf numFmtId="164" fontId="12" fillId="0" borderId="776" xfId="6" applyNumberFormat="1" applyFont="1" applyFill="1" applyBorder="1" applyAlignment="1">
      <alignment vertical="center"/>
    </xf>
    <xf numFmtId="164" fontId="25" fillId="0" borderId="776" xfId="6" applyNumberFormat="1" applyFont="1" applyFill="1" applyBorder="1" applyAlignment="1">
      <alignment vertical="center"/>
    </xf>
    <xf numFmtId="9" fontId="32" fillId="0" borderId="71" xfId="2" applyFont="1" applyFill="1" applyBorder="1" applyAlignment="1">
      <alignment vertical="center"/>
    </xf>
    <xf numFmtId="164" fontId="12" fillId="0" borderId="777" xfId="6" applyNumberFormat="1" applyFont="1" applyFill="1" applyBorder="1" applyAlignment="1">
      <alignment vertical="center"/>
    </xf>
    <xf numFmtId="164" fontId="12" fillId="2" borderId="70" xfId="8" applyNumberFormat="1" applyFont="1" applyFill="1" applyBorder="1" applyAlignment="1">
      <alignment vertical="center"/>
    </xf>
    <xf numFmtId="165" fontId="12" fillId="2" borderId="67" xfId="8" applyNumberFormat="1" applyFont="1" applyFill="1" applyBorder="1" applyAlignment="1">
      <alignment vertical="center"/>
    </xf>
    <xf numFmtId="164" fontId="12" fillId="2" borderId="67" xfId="8" applyNumberFormat="1" applyFont="1" applyFill="1" applyBorder="1" applyAlignment="1">
      <alignment vertical="center"/>
    </xf>
    <xf numFmtId="166" fontId="12" fillId="2" borderId="118" xfId="6" applyFont="1" applyFill="1" applyBorder="1" applyAlignment="1">
      <alignment horizontal="center" vertical="center"/>
    </xf>
    <xf numFmtId="43" fontId="15" fillId="2" borderId="0" xfId="6" applyNumberFormat="1" applyFont="1" applyFill="1" applyAlignment="1">
      <alignment vertical="center"/>
    </xf>
    <xf numFmtId="0" fontId="12" fillId="2" borderId="66" xfId="0" applyFont="1" applyFill="1" applyBorder="1" applyAlignment="1">
      <alignment horizontal="left" vertical="center" wrapText="1"/>
    </xf>
    <xf numFmtId="165" fontId="130" fillId="2" borderId="0" xfId="6" applyNumberFormat="1" applyFont="1" applyFill="1" applyAlignment="1">
      <alignment vertical="center"/>
    </xf>
    <xf numFmtId="0" fontId="4" fillId="2" borderId="778" xfId="0" applyFont="1" applyFill="1" applyBorder="1" applyAlignment="1">
      <alignment vertical="center"/>
    </xf>
    <xf numFmtId="164" fontId="12" fillId="2" borderId="578" xfId="6" applyNumberFormat="1" applyFont="1" applyFill="1" applyBorder="1" applyAlignment="1">
      <alignment horizontal="center" vertical="center"/>
    </xf>
    <xf numFmtId="164" fontId="13" fillId="2" borderId="578" xfId="6" applyNumberFormat="1" applyFont="1" applyFill="1" applyBorder="1" applyAlignment="1">
      <alignment horizontal="center" vertical="center"/>
    </xf>
    <xf numFmtId="164" fontId="114" fillId="7" borderId="20" xfId="6" applyNumberFormat="1" applyFont="1" applyFill="1" applyBorder="1" applyAlignment="1">
      <alignment vertical="center"/>
    </xf>
    <xf numFmtId="164" fontId="26" fillId="37" borderId="157" xfId="6" applyNumberFormat="1" applyFont="1" applyFill="1" applyBorder="1" applyAlignment="1">
      <alignment vertical="center"/>
    </xf>
    <xf numFmtId="164" fontId="111" fillId="7" borderId="20" xfId="6" applyNumberFormat="1" applyFont="1" applyFill="1" applyBorder="1" applyAlignment="1">
      <alignment vertical="center"/>
    </xf>
    <xf numFmtId="164" fontId="34" fillId="38" borderId="0" xfId="6" applyNumberFormat="1" applyFont="1" applyFill="1" applyBorder="1" applyAlignment="1">
      <alignment horizontal="center" vertical="center" wrapText="1"/>
    </xf>
    <xf numFmtId="164" fontId="34" fillId="38" borderId="11" xfId="6" applyNumberFormat="1" applyFont="1" applyFill="1" applyBorder="1" applyAlignment="1">
      <alignment horizontal="center" vertical="center" wrapText="1"/>
    </xf>
    <xf numFmtId="164" fontId="34" fillId="38" borderId="8" xfId="6" applyNumberFormat="1" applyFont="1" applyFill="1" applyBorder="1" applyAlignment="1">
      <alignment horizontal="center" vertical="center" wrapText="1"/>
    </xf>
    <xf numFmtId="0" fontId="34" fillId="38" borderId="0" xfId="0" applyFont="1" applyFill="1" applyBorder="1" applyAlignment="1">
      <alignment horizontal="center" vertical="center" wrapText="1"/>
    </xf>
    <xf numFmtId="9" fontId="6" fillId="38" borderId="9" xfId="2" applyFont="1" applyFill="1" applyBorder="1" applyAlignment="1">
      <alignment horizontal="center" vertical="center" wrapText="1"/>
    </xf>
    <xf numFmtId="9" fontId="6" fillId="38" borderId="18" xfId="2" applyFont="1" applyFill="1" applyBorder="1" applyAlignment="1">
      <alignment horizontal="center" vertical="center" wrapText="1"/>
    </xf>
    <xf numFmtId="164" fontId="34" fillId="38" borderId="220" xfId="6" applyNumberFormat="1" applyFont="1" applyFill="1" applyBorder="1" applyAlignment="1">
      <alignment horizontal="center" vertical="center" wrapText="1"/>
    </xf>
    <xf numFmtId="0" fontId="2" fillId="38" borderId="2" xfId="0" applyFont="1" applyFill="1" applyBorder="1" applyAlignment="1">
      <alignment horizontal="center" vertical="center" wrapText="1"/>
    </xf>
    <xf numFmtId="0" fontId="2" fillId="38" borderId="0" xfId="0" applyFont="1" applyFill="1" applyBorder="1" applyAlignment="1">
      <alignment horizontal="center" vertical="center" wrapText="1"/>
    </xf>
    <xf numFmtId="0" fontId="2" fillId="38" borderId="15" xfId="0" applyFont="1" applyFill="1" applyBorder="1" applyAlignment="1">
      <alignment horizontal="center" vertical="center" wrapText="1"/>
    </xf>
    <xf numFmtId="9" fontId="34" fillId="38" borderId="9" xfId="2" applyFont="1" applyFill="1" applyBorder="1" applyAlignment="1">
      <alignment horizontal="center" vertical="center" wrapText="1"/>
    </xf>
    <xf numFmtId="0" fontId="9" fillId="41" borderId="20" xfId="0" applyFont="1" applyFill="1" applyBorder="1" applyAlignment="1">
      <alignment horizontal="right"/>
    </xf>
    <xf numFmtId="0" fontId="34" fillId="31" borderId="0" xfId="0" applyFont="1" applyFill="1" applyBorder="1" applyAlignment="1">
      <alignment horizontal="center" vertical="center" wrapText="1"/>
    </xf>
    <xf numFmtId="0" fontId="34" fillId="34" borderId="0" xfId="0" applyFont="1" applyFill="1" applyBorder="1" applyAlignment="1">
      <alignment horizontal="center" vertical="center" wrapText="1"/>
    </xf>
    <xf numFmtId="43" fontId="9" fillId="28" borderId="744" xfId="1" applyFont="1" applyFill="1" applyBorder="1" applyAlignment="1">
      <alignment vertical="center"/>
    </xf>
    <xf numFmtId="0" fontId="42" fillId="11" borderId="0" xfId="0" applyFont="1" applyFill="1" applyAlignment="1">
      <alignment vertical="center"/>
    </xf>
    <xf numFmtId="0" fontId="42" fillId="11" borderId="0" xfId="0" applyFont="1" applyFill="1" applyAlignment="1">
      <alignment horizontal="center" vertical="center"/>
    </xf>
    <xf numFmtId="165" fontId="42" fillId="11" borderId="0" xfId="1" applyNumberFormat="1" applyFont="1" applyFill="1" applyAlignment="1">
      <alignment vertical="center"/>
    </xf>
    <xf numFmtId="9" fontId="42" fillId="11" borderId="0" xfId="2" applyFont="1" applyFill="1" applyAlignment="1">
      <alignment vertical="center"/>
    </xf>
    <xf numFmtId="165" fontId="44" fillId="33" borderId="32" xfId="8" applyNumberFormat="1" applyFont="1" applyFill="1" applyBorder="1" applyAlignment="1">
      <alignment horizontal="center" vertical="center"/>
    </xf>
    <xf numFmtId="165" fontId="44" fillId="33" borderId="19" xfId="8" applyNumberFormat="1" applyFont="1" applyFill="1" applyBorder="1" applyAlignment="1">
      <alignment horizontal="center" vertical="center"/>
    </xf>
    <xf numFmtId="165" fontId="108" fillId="2" borderId="125" xfId="8" applyNumberFormat="1" applyFont="1" applyFill="1" applyBorder="1" applyAlignment="1">
      <alignment vertical="center"/>
    </xf>
    <xf numFmtId="165" fontId="42" fillId="0" borderId="63" xfId="8" applyNumberFormat="1" applyFont="1" applyFill="1" applyBorder="1" applyAlignment="1">
      <alignment vertical="center"/>
    </xf>
    <xf numFmtId="43" fontId="42" fillId="2" borderId="0" xfId="0" applyNumberFormat="1" applyFont="1" applyFill="1" applyAlignment="1">
      <alignment vertical="center"/>
    </xf>
    <xf numFmtId="165" fontId="41" fillId="6" borderId="26" xfId="0" applyNumberFormat="1" applyFont="1" applyFill="1" applyBorder="1" applyAlignment="1">
      <alignment vertical="center"/>
    </xf>
    <xf numFmtId="165" fontId="41" fillId="6" borderId="10" xfId="0" applyNumberFormat="1" applyFont="1" applyFill="1" applyBorder="1" applyAlignment="1">
      <alignment vertical="center"/>
    </xf>
    <xf numFmtId="165" fontId="41" fillId="6" borderId="18" xfId="0" applyNumberFormat="1" applyFont="1" applyFill="1" applyBorder="1" applyAlignment="1">
      <alignment vertical="center"/>
    </xf>
    <xf numFmtId="43" fontId="41" fillId="6" borderId="0" xfId="0" applyNumberFormat="1" applyFont="1" applyFill="1" applyBorder="1" applyAlignment="1">
      <alignment vertical="center"/>
    </xf>
    <xf numFmtId="0" fontId="41" fillId="6" borderId="26" xfId="0" applyFont="1" applyFill="1" applyBorder="1" applyAlignment="1">
      <alignment horizontal="center" vertical="center"/>
    </xf>
    <xf numFmtId="165" fontId="41" fillId="6" borderId="129" xfId="0" applyNumberFormat="1" applyFont="1" applyFill="1" applyBorder="1" applyAlignment="1">
      <alignment vertical="center"/>
    </xf>
    <xf numFmtId="165" fontId="41" fillId="6" borderId="37" xfId="0" applyNumberFormat="1" applyFont="1" applyFill="1" applyBorder="1" applyAlignment="1">
      <alignment vertical="center"/>
    </xf>
    <xf numFmtId="165" fontId="41" fillId="6" borderId="125" xfId="0" applyNumberFormat="1" applyFont="1" applyFill="1" applyBorder="1" applyAlignment="1">
      <alignment vertical="center"/>
    </xf>
    <xf numFmtId="0" fontId="41" fillId="6" borderId="0" xfId="0" applyFont="1" applyFill="1" applyBorder="1" applyAlignment="1">
      <alignment vertical="center"/>
    </xf>
    <xf numFmtId="165" fontId="41" fillId="6" borderId="681" xfId="0" applyNumberFormat="1" applyFont="1" applyFill="1" applyBorder="1" applyAlignment="1">
      <alignment vertical="center"/>
    </xf>
    <xf numFmtId="165" fontId="42" fillId="27" borderId="63" xfId="8" applyNumberFormat="1" applyFont="1" applyFill="1" applyBorder="1" applyAlignment="1">
      <alignment vertical="center"/>
    </xf>
    <xf numFmtId="0" fontId="132" fillId="2" borderId="343" xfId="0" applyFont="1" applyFill="1" applyBorder="1" applyAlignment="1">
      <alignment horizontal="center" vertical="center"/>
    </xf>
    <xf numFmtId="0" fontId="132" fillId="2" borderId="0" xfId="0" applyFont="1" applyFill="1" applyBorder="1" applyAlignment="1">
      <alignment vertical="center"/>
    </xf>
    <xf numFmtId="165" fontId="132" fillId="2" borderId="10" xfId="8" applyNumberFormat="1" applyFont="1" applyFill="1" applyBorder="1" applyAlignment="1">
      <alignment vertical="center"/>
    </xf>
    <xf numFmtId="165" fontId="132" fillId="2" borderId="90" xfId="8" applyNumberFormat="1" applyFont="1" applyFill="1" applyBorder="1" applyAlignment="1">
      <alignment vertical="center"/>
    </xf>
    <xf numFmtId="165" fontId="132" fillId="2" borderId="6" xfId="8" applyNumberFormat="1" applyFont="1" applyFill="1" applyBorder="1" applyAlignment="1">
      <alignment vertical="center"/>
    </xf>
    <xf numFmtId="9" fontId="132" fillId="6" borderId="335" xfId="2" applyFont="1" applyFill="1" applyBorder="1" applyAlignment="1">
      <alignment vertical="center"/>
    </xf>
    <xf numFmtId="165" fontId="132" fillId="4" borderId="0" xfId="8" applyNumberFormat="1" applyFont="1" applyFill="1" applyBorder="1" applyAlignment="1">
      <alignment vertical="center"/>
    </xf>
    <xf numFmtId="43" fontId="132" fillId="6" borderId="0" xfId="0" applyNumberFormat="1" applyFont="1" applyFill="1" applyBorder="1" applyAlignment="1">
      <alignment vertical="center"/>
    </xf>
    <xf numFmtId="9" fontId="132" fillId="2" borderId="728" xfId="2" applyFont="1" applyFill="1" applyBorder="1" applyAlignment="1">
      <alignment vertical="center"/>
    </xf>
    <xf numFmtId="165" fontId="132" fillId="2" borderId="0" xfId="0" applyNumberFormat="1" applyFont="1" applyFill="1" applyBorder="1" applyAlignment="1">
      <alignment vertical="center"/>
    </xf>
    <xf numFmtId="165" fontId="132" fillId="2" borderId="0" xfId="0" applyNumberFormat="1" applyFont="1" applyFill="1" applyAlignment="1">
      <alignment vertical="center"/>
    </xf>
    <xf numFmtId="9" fontId="132" fillId="2" borderId="90" xfId="2" applyFont="1" applyFill="1" applyBorder="1" applyAlignment="1">
      <alignment horizontal="center" vertical="center"/>
    </xf>
    <xf numFmtId="9" fontId="132" fillId="2" borderId="32" xfId="2" applyFont="1" applyFill="1" applyBorder="1" applyAlignment="1">
      <alignment vertical="center"/>
    </xf>
    <xf numFmtId="0" fontId="132" fillId="2" borderId="0" xfId="0" applyFont="1" applyFill="1" applyAlignment="1">
      <alignment vertical="center"/>
    </xf>
    <xf numFmtId="0" fontId="44" fillId="42" borderId="113" xfId="0" applyFont="1" applyFill="1" applyBorder="1" applyAlignment="1">
      <alignment horizontal="center" vertical="center"/>
    </xf>
    <xf numFmtId="0" fontId="44" fillId="42" borderId="32" xfId="0" applyFont="1" applyFill="1" applyBorder="1" applyAlignment="1">
      <alignment horizontal="center" vertical="center"/>
    </xf>
    <xf numFmtId="165" fontId="44" fillId="42" borderId="32" xfId="8" applyNumberFormat="1" applyFont="1" applyFill="1" applyBorder="1" applyAlignment="1">
      <alignment horizontal="center" vertical="center"/>
    </xf>
    <xf numFmtId="165" fontId="44" fillId="42" borderId="19" xfId="8" applyNumberFormat="1" applyFont="1" applyFill="1" applyBorder="1" applyAlignment="1">
      <alignment horizontal="center" vertical="center"/>
    </xf>
    <xf numFmtId="165" fontId="44" fillId="42" borderId="727" xfId="8" applyNumberFormat="1" applyFont="1" applyFill="1" applyBorder="1" applyAlignment="1">
      <alignment horizontal="center" vertical="center" wrapText="1"/>
    </xf>
    <xf numFmtId="165" fontId="44" fillId="42" borderId="23" xfId="8" applyNumberFormat="1" applyFont="1" applyFill="1" applyBorder="1" applyAlignment="1">
      <alignment horizontal="center" vertical="center"/>
    </xf>
    <xf numFmtId="165" fontId="44" fillId="42" borderId="20" xfId="8" applyNumberFormat="1" applyFont="1" applyFill="1" applyBorder="1" applyAlignment="1">
      <alignment horizontal="center" vertical="center"/>
    </xf>
    <xf numFmtId="0" fontId="44" fillId="42" borderId="20" xfId="0" applyFont="1" applyFill="1" applyBorder="1" applyAlignment="1">
      <alignment horizontal="center" vertical="center" wrapText="1"/>
    </xf>
    <xf numFmtId="0" fontId="44" fillId="42" borderId="728" xfId="0" applyFont="1" applyFill="1" applyBorder="1" applyAlignment="1">
      <alignment horizontal="center" vertical="center"/>
    </xf>
    <xf numFmtId="0" fontId="44" fillId="42" borderId="0" xfId="0" applyFont="1" applyFill="1" applyBorder="1" applyAlignment="1">
      <alignment horizontal="center" vertical="center"/>
    </xf>
    <xf numFmtId="0" fontId="41" fillId="42" borderId="0" xfId="0" applyFont="1" applyFill="1" applyAlignment="1">
      <alignment vertical="center"/>
    </xf>
    <xf numFmtId="0" fontId="44" fillId="42" borderId="26" xfId="0" applyFont="1" applyFill="1" applyBorder="1" applyAlignment="1">
      <alignment horizontal="center" vertical="center"/>
    </xf>
    <xf numFmtId="0" fontId="41" fillId="15" borderId="32" xfId="0" applyFont="1" applyFill="1" applyBorder="1" applyAlignment="1">
      <alignment horizontal="center" vertical="center" wrapText="1"/>
    </xf>
    <xf numFmtId="165" fontId="41" fillId="15" borderId="99" xfId="0" applyNumberFormat="1" applyFont="1" applyFill="1" applyBorder="1" applyAlignment="1">
      <alignment vertical="center"/>
    </xf>
    <xf numFmtId="165" fontId="41" fillId="15" borderId="38" xfId="0" applyNumberFormat="1" applyFont="1" applyFill="1" applyBorder="1" applyAlignment="1">
      <alignment vertical="center"/>
    </xf>
    <xf numFmtId="165" fontId="41" fillId="15" borderId="100" xfId="0" applyNumberFormat="1" applyFont="1" applyFill="1" applyBorder="1" applyAlignment="1">
      <alignment vertical="center"/>
    </xf>
    <xf numFmtId="9" fontId="132" fillId="15" borderId="90" xfId="2" applyFont="1" applyFill="1" applyBorder="1" applyAlignment="1">
      <alignment horizontal="center" vertical="center"/>
    </xf>
    <xf numFmtId="165" fontId="41" fillId="15" borderId="117" xfId="0" applyNumberFormat="1" applyFont="1" applyFill="1" applyBorder="1" applyAlignment="1">
      <alignment vertical="center"/>
    </xf>
    <xf numFmtId="165" fontId="41" fillId="15" borderId="128" xfId="0" applyNumberFormat="1" applyFont="1" applyFill="1" applyBorder="1" applyAlignment="1">
      <alignment vertical="center"/>
    </xf>
    <xf numFmtId="165" fontId="41" fillId="15" borderId="137" xfId="0" applyNumberFormat="1" applyFont="1" applyFill="1" applyBorder="1" applyAlignment="1">
      <alignment vertical="center"/>
    </xf>
    <xf numFmtId="9" fontId="41" fillId="15" borderId="90" xfId="2" applyFont="1" applyFill="1" applyBorder="1" applyAlignment="1">
      <alignment horizontal="center" vertical="center"/>
    </xf>
    <xf numFmtId="165" fontId="131" fillId="15" borderId="128" xfId="0" applyNumberFormat="1" applyFont="1" applyFill="1" applyBorder="1" applyAlignment="1">
      <alignment vertical="center"/>
    </xf>
    <xf numFmtId="0" fontId="41" fillId="15" borderId="6" xfId="0" applyFont="1" applyFill="1" applyBorder="1" applyAlignment="1">
      <alignment vertical="center"/>
    </xf>
    <xf numFmtId="165" fontId="41" fillId="15" borderId="346" xfId="0" applyNumberFormat="1" applyFont="1" applyFill="1" applyBorder="1" applyAlignment="1">
      <alignment vertical="center"/>
    </xf>
    <xf numFmtId="0" fontId="34" fillId="43" borderId="6" xfId="0" applyFont="1" applyFill="1" applyBorder="1" applyAlignment="1">
      <alignment horizontal="center" vertical="center" wrapText="1"/>
    </xf>
    <xf numFmtId="166" fontId="34" fillId="43" borderId="10" xfId="6" applyFont="1" applyFill="1" applyBorder="1" applyAlignment="1">
      <alignment horizontal="center" vertical="center" wrapText="1"/>
    </xf>
    <xf numFmtId="9" fontId="34" fillId="43" borderId="10" xfId="2" applyFont="1" applyFill="1" applyBorder="1" applyAlignment="1">
      <alignment horizontal="center" vertical="center" wrapText="1"/>
    </xf>
    <xf numFmtId="0" fontId="34" fillId="43" borderId="0" xfId="0" applyFont="1" applyFill="1" applyBorder="1" applyAlignment="1">
      <alignment horizontal="center" vertical="center" wrapText="1"/>
    </xf>
    <xf numFmtId="9" fontId="34" fillId="43" borderId="0" xfId="2" applyFont="1" applyFill="1" applyBorder="1" applyAlignment="1">
      <alignment horizontal="center" vertical="center" wrapText="1"/>
    </xf>
    <xf numFmtId="9" fontId="34" fillId="43" borderId="9" xfId="2" applyFont="1" applyFill="1" applyBorder="1" applyAlignment="1">
      <alignment horizontal="center" vertical="center" wrapText="1"/>
    </xf>
    <xf numFmtId="0" fontId="6" fillId="43" borderId="14" xfId="0" applyFont="1" applyFill="1" applyBorder="1" applyAlignment="1">
      <alignment horizontal="center" vertical="center" wrapText="1"/>
    </xf>
    <xf numFmtId="164" fontId="6" fillId="43" borderId="15" xfId="6" applyNumberFormat="1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horizontal="center" vertical="center"/>
    </xf>
    <xf numFmtId="0" fontId="6" fillId="43" borderId="17" xfId="0" applyFont="1" applyFill="1" applyBorder="1" applyAlignment="1">
      <alignment horizontal="center" vertical="center"/>
    </xf>
    <xf numFmtId="166" fontId="6" fillId="43" borderId="18" xfId="6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vertical="center"/>
    </xf>
    <xf numFmtId="164" fontId="6" fillId="43" borderId="16" xfId="6" applyNumberFormat="1" applyFont="1" applyFill="1" applyBorder="1" applyAlignment="1">
      <alignment horizontal="center" vertical="center" wrapText="1"/>
    </xf>
    <xf numFmtId="9" fontId="6" fillId="43" borderId="18" xfId="2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horizontal="center" vertical="center" wrapText="1"/>
    </xf>
    <xf numFmtId="9" fontId="6" fillId="43" borderId="15" xfId="2" applyFont="1" applyFill="1" applyBorder="1" applyAlignment="1">
      <alignment horizontal="center" vertical="center" wrapText="1"/>
    </xf>
    <xf numFmtId="164" fontId="6" fillId="43" borderId="14" xfId="6" applyNumberFormat="1" applyFont="1" applyFill="1" applyBorder="1" applyAlignment="1">
      <alignment horizontal="center" vertical="center" wrapText="1"/>
    </xf>
    <xf numFmtId="9" fontId="54" fillId="2" borderId="0" xfId="2" applyFont="1" applyFill="1" applyBorder="1" applyAlignment="1">
      <alignment vertical="center"/>
    </xf>
    <xf numFmtId="165" fontId="108" fillId="2" borderId="37" xfId="1" applyNumberFormat="1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 wrapText="1"/>
    </xf>
    <xf numFmtId="0" fontId="21" fillId="22" borderId="34" xfId="0" applyFont="1" applyFill="1" applyBorder="1" applyAlignment="1">
      <alignment horizontal="center" vertical="center" wrapText="1"/>
    </xf>
    <xf numFmtId="0" fontId="12" fillId="23" borderId="82" xfId="0" applyFont="1" applyFill="1" applyBorder="1" applyAlignment="1">
      <alignment vertical="center"/>
    </xf>
    <xf numFmtId="0" fontId="12" fillId="23" borderId="82" xfId="0" applyFont="1" applyFill="1" applyBorder="1" applyAlignment="1">
      <alignment horizontal="center" vertical="center"/>
    </xf>
    <xf numFmtId="0" fontId="4" fillId="23" borderId="81" xfId="0" applyFont="1" applyFill="1" applyBorder="1" applyAlignment="1">
      <alignment horizontal="center" vertical="center"/>
    </xf>
    <xf numFmtId="0" fontId="4" fillId="23" borderId="82" xfId="0" applyFont="1" applyFill="1" applyBorder="1" applyAlignment="1">
      <alignment vertical="center"/>
    </xf>
    <xf numFmtId="165" fontId="44" fillId="24" borderId="15" xfId="1" applyNumberFormat="1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56" fillId="8" borderId="0" xfId="0" applyFont="1" applyFill="1" applyBorder="1" applyAlignment="1">
      <alignment horizontal="center" vertical="center"/>
    </xf>
    <xf numFmtId="164" fontId="55" fillId="2" borderId="15" xfId="6" applyNumberFormat="1" applyFont="1" applyFill="1" applyBorder="1" applyAlignment="1">
      <alignment horizontal="center" vertical="center"/>
    </xf>
    <xf numFmtId="0" fontId="3" fillId="23" borderId="15" xfId="0" applyFont="1" applyFill="1" applyBorder="1" applyAlignment="1">
      <alignment horizontal="center" vertical="center"/>
    </xf>
    <xf numFmtId="165" fontId="41" fillId="2" borderId="15" xfId="1" applyNumberFormat="1" applyFont="1" applyFill="1" applyBorder="1" applyAlignment="1">
      <alignment horizontal="center" vertical="center"/>
    </xf>
    <xf numFmtId="165" fontId="55" fillId="2" borderId="341" xfId="1" applyNumberFormat="1" applyFont="1" applyFill="1" applyBorder="1" applyAlignment="1">
      <alignment horizontal="center" vertical="center"/>
    </xf>
    <xf numFmtId="165" fontId="55" fillId="2" borderId="620" xfId="1" applyNumberFormat="1" applyFont="1" applyFill="1" applyBorder="1" applyAlignment="1">
      <alignment horizontal="center" vertical="center"/>
    </xf>
    <xf numFmtId="9" fontId="55" fillId="2" borderId="732" xfId="2" applyFont="1" applyFill="1" applyBorder="1" applyAlignment="1">
      <alignment horizontal="center" vertical="center"/>
    </xf>
    <xf numFmtId="9" fontId="55" fillId="2" borderId="620" xfId="2" applyFont="1" applyFill="1" applyBorder="1" applyAlignment="1">
      <alignment horizontal="center" vertical="center"/>
    </xf>
    <xf numFmtId="9" fontId="55" fillId="2" borderId="736" xfId="2" applyFont="1" applyFill="1" applyBorder="1" applyAlignment="1">
      <alignment horizontal="center" vertical="center"/>
    </xf>
    <xf numFmtId="9" fontId="55" fillId="2" borderId="341" xfId="2" applyFont="1" applyFill="1" applyBorder="1" applyAlignment="1">
      <alignment horizontal="center" vertical="center"/>
    </xf>
    <xf numFmtId="0" fontId="55" fillId="15" borderId="733" xfId="0" applyFont="1" applyFill="1" applyBorder="1" applyAlignment="1">
      <alignment horizontal="center" vertical="center"/>
    </xf>
    <xf numFmtId="0" fontId="55" fillId="15" borderId="734" xfId="0" applyFont="1" applyFill="1" applyBorder="1" applyAlignment="1">
      <alignment horizontal="center" vertical="center"/>
    </xf>
    <xf numFmtId="0" fontId="55" fillId="15" borderId="735" xfId="0" applyFont="1" applyFill="1" applyBorder="1" applyAlignment="1">
      <alignment horizontal="center" vertical="center"/>
    </xf>
    <xf numFmtId="9" fontId="55" fillId="29" borderId="620" xfId="2" applyFont="1" applyFill="1" applyBorder="1" applyAlignment="1">
      <alignment horizontal="center" vertical="center"/>
    </xf>
    <xf numFmtId="9" fontId="55" fillId="29" borderId="342" xfId="2" applyFont="1" applyFill="1" applyBorder="1" applyAlignment="1">
      <alignment horizontal="center" vertical="center"/>
    </xf>
    <xf numFmtId="165" fontId="55" fillId="8" borderId="341" xfId="1" applyNumberFormat="1" applyFont="1" applyFill="1" applyBorder="1" applyAlignment="1">
      <alignment horizontal="center" vertical="center"/>
    </xf>
    <xf numFmtId="165" fontId="55" fillId="8" borderId="620" xfId="1" applyNumberFormat="1" applyFont="1" applyFill="1" applyBorder="1" applyAlignment="1">
      <alignment horizontal="center" vertical="center"/>
    </xf>
    <xf numFmtId="0" fontId="55" fillId="2" borderId="341" xfId="0" applyFont="1" applyFill="1" applyBorder="1" applyAlignment="1">
      <alignment horizontal="center" vertical="center"/>
    </xf>
    <xf numFmtId="0" fontId="55" fillId="2" borderId="620" xfId="0" applyFont="1" applyFill="1" applyBorder="1" applyAlignment="1">
      <alignment horizontal="center" vertical="center"/>
    </xf>
    <xf numFmtId="0" fontId="55" fillId="2" borderId="342" xfId="0" applyFont="1" applyFill="1" applyBorder="1" applyAlignment="1">
      <alignment horizontal="center" vertical="center"/>
    </xf>
    <xf numFmtId="43" fontId="55" fillId="2" borderId="341" xfId="1" applyFont="1" applyFill="1" applyBorder="1" applyAlignment="1">
      <alignment horizontal="center" vertical="center"/>
    </xf>
    <xf numFmtId="43" fontId="55" fillId="2" borderId="620" xfId="1" applyFont="1" applyFill="1" applyBorder="1" applyAlignment="1">
      <alignment horizontal="center" vertical="center"/>
    </xf>
    <xf numFmtId="43" fontId="55" fillId="2" borderId="342" xfId="1" applyFont="1" applyFill="1" applyBorder="1" applyAlignment="1">
      <alignment horizontal="center" vertical="center"/>
    </xf>
    <xf numFmtId="9" fontId="55" fillId="2" borderId="617" xfId="2" applyFont="1" applyFill="1" applyBorder="1" applyAlignment="1">
      <alignment horizontal="center" vertical="center"/>
    </xf>
    <xf numFmtId="9" fontId="55" fillId="2" borderId="618" xfId="2" applyFont="1" applyFill="1" applyBorder="1" applyAlignment="1">
      <alignment horizontal="center" vertical="center"/>
    </xf>
    <xf numFmtId="9" fontId="55" fillId="2" borderId="619" xfId="2" applyFont="1" applyFill="1" applyBorder="1" applyAlignment="1">
      <alignment horizontal="center" vertical="center"/>
    </xf>
    <xf numFmtId="0" fontId="55" fillId="2" borderId="733" xfId="0" applyFont="1" applyFill="1" applyBorder="1" applyAlignment="1">
      <alignment horizontal="center" vertical="center"/>
    </xf>
    <xf numFmtId="0" fontId="55" fillId="2" borderId="734" xfId="0" applyFont="1" applyFill="1" applyBorder="1" applyAlignment="1">
      <alignment horizontal="center" vertical="center"/>
    </xf>
    <xf numFmtId="0" fontId="55" fillId="2" borderId="735" xfId="0" applyFont="1" applyFill="1" applyBorder="1" applyAlignment="1">
      <alignment horizontal="center" vertical="center"/>
    </xf>
    <xf numFmtId="165" fontId="55" fillId="15" borderId="733" xfId="1" applyNumberFormat="1" applyFont="1" applyFill="1" applyBorder="1" applyAlignment="1">
      <alignment horizontal="center" vertical="center"/>
    </xf>
    <xf numFmtId="165" fontId="55" fillId="15" borderId="734" xfId="1" applyNumberFormat="1" applyFont="1" applyFill="1" applyBorder="1" applyAlignment="1">
      <alignment horizontal="center" vertical="center"/>
    </xf>
    <xf numFmtId="165" fontId="55" fillId="15" borderId="735" xfId="1" applyNumberFormat="1" applyFont="1" applyFill="1" applyBorder="1" applyAlignment="1">
      <alignment horizontal="center" vertical="center"/>
    </xf>
    <xf numFmtId="9" fontId="55" fillId="29" borderId="732" xfId="2" applyFont="1" applyFill="1" applyBorder="1" applyAlignment="1">
      <alignment horizontal="center" vertical="center"/>
    </xf>
    <xf numFmtId="9" fontId="55" fillId="29" borderId="736" xfId="2" applyFont="1" applyFill="1" applyBorder="1" applyAlignment="1">
      <alignment horizontal="center" vertical="center"/>
    </xf>
    <xf numFmtId="165" fontId="55" fillId="15" borderId="750" xfId="1" applyNumberFormat="1" applyFont="1" applyFill="1" applyBorder="1" applyAlignment="1">
      <alignment horizontal="center" vertical="center"/>
    </xf>
    <xf numFmtId="165" fontId="55" fillId="15" borderId="751" xfId="1" applyNumberFormat="1" applyFont="1" applyFill="1" applyBorder="1" applyAlignment="1">
      <alignment horizontal="center" vertical="center"/>
    </xf>
    <xf numFmtId="0" fontId="55" fillId="30" borderId="732" xfId="0" applyFont="1" applyFill="1" applyBorder="1" applyAlignment="1">
      <alignment horizontal="center" vertical="center"/>
    </xf>
    <xf numFmtId="0" fontId="55" fillId="30" borderId="620" xfId="0" applyFont="1" applyFill="1" applyBorder="1" applyAlignment="1">
      <alignment horizontal="center" vertical="center"/>
    </xf>
    <xf numFmtId="0" fontId="55" fillId="30" borderId="736" xfId="0" applyFont="1" applyFill="1" applyBorder="1" applyAlignment="1">
      <alignment horizontal="center" vertical="center"/>
    </xf>
    <xf numFmtId="165" fontId="55" fillId="2" borderId="732" xfId="1" applyNumberFormat="1" applyFont="1" applyFill="1" applyBorder="1" applyAlignment="1">
      <alignment horizontal="center" vertical="center"/>
    </xf>
    <xf numFmtId="165" fontId="55" fillId="2" borderId="736" xfId="1" applyNumberFormat="1" applyFont="1" applyFill="1" applyBorder="1" applyAlignment="1">
      <alignment horizontal="center" vertical="center"/>
    </xf>
    <xf numFmtId="9" fontId="55" fillId="2" borderId="20" xfId="2" applyFont="1" applyFill="1" applyBorder="1" applyAlignment="1">
      <alignment horizontal="center" vertical="center"/>
    </xf>
    <xf numFmtId="0" fontId="55" fillId="30" borderId="20" xfId="0" applyFont="1" applyFill="1" applyBorder="1" applyAlignment="1">
      <alignment horizontal="center" vertical="center"/>
    </xf>
    <xf numFmtId="165" fontId="55" fillId="15" borderId="732" xfId="1" applyNumberFormat="1" applyFont="1" applyFill="1" applyBorder="1" applyAlignment="1">
      <alignment horizontal="center" vertical="center"/>
    </xf>
    <xf numFmtId="165" fontId="55" fillId="15" borderId="620" xfId="1" applyNumberFormat="1" applyFont="1" applyFill="1" applyBorder="1" applyAlignment="1">
      <alignment horizontal="center" vertical="center"/>
    </xf>
    <xf numFmtId="165" fontId="55" fillId="15" borderId="736" xfId="1" applyNumberFormat="1" applyFont="1" applyFill="1" applyBorder="1" applyAlignment="1">
      <alignment horizontal="center" vertical="center"/>
    </xf>
    <xf numFmtId="164" fontId="54" fillId="38" borderId="611" xfId="6" applyNumberFormat="1" applyFont="1" applyFill="1" applyBorder="1" applyAlignment="1">
      <alignment horizontal="center" vertical="center"/>
    </xf>
    <xf numFmtId="164" fontId="54" fillId="38" borderId="612" xfId="6" applyNumberFormat="1" applyFont="1" applyFill="1" applyBorder="1" applyAlignment="1">
      <alignment horizontal="center" vertical="center"/>
    </xf>
    <xf numFmtId="0" fontId="55" fillId="7" borderId="19" xfId="0" applyFont="1" applyFill="1" applyBorder="1" applyAlignment="1">
      <alignment horizontal="right" vertical="center"/>
    </xf>
    <xf numFmtId="0" fontId="55" fillId="7" borderId="20" xfId="0" applyFont="1" applyFill="1" applyBorder="1" applyAlignment="1">
      <alignment horizontal="right" vertical="center"/>
    </xf>
    <xf numFmtId="0" fontId="55" fillId="7" borderId="23" xfId="0" applyFont="1" applyFill="1" applyBorder="1" applyAlignment="1">
      <alignment horizontal="right" vertical="center"/>
    </xf>
    <xf numFmtId="0" fontId="3" fillId="7" borderId="19" xfId="0" applyFont="1" applyFill="1" applyBorder="1" applyAlignment="1">
      <alignment horizontal="right" vertical="center"/>
    </xf>
    <xf numFmtId="0" fontId="3" fillId="7" borderId="20" xfId="0" applyFont="1" applyFill="1" applyBorder="1" applyAlignment="1">
      <alignment horizontal="right" vertical="center"/>
    </xf>
    <xf numFmtId="0" fontId="3" fillId="7" borderId="23" xfId="0" applyFont="1" applyFill="1" applyBorder="1" applyAlignment="1">
      <alignment horizontal="right" vertical="center"/>
    </xf>
    <xf numFmtId="0" fontId="2" fillId="38" borderId="356" xfId="0" applyFont="1" applyFill="1" applyBorder="1" applyAlignment="1">
      <alignment horizontal="center" vertical="center"/>
    </xf>
    <xf numFmtId="0" fontId="2" fillId="38" borderId="357" xfId="0" applyFont="1" applyFill="1" applyBorder="1" applyAlignment="1">
      <alignment horizontal="center" vertical="center"/>
    </xf>
    <xf numFmtId="0" fontId="2" fillId="38" borderId="362" xfId="0" applyFont="1" applyFill="1" applyBorder="1" applyAlignment="1">
      <alignment horizontal="center" vertical="center"/>
    </xf>
    <xf numFmtId="0" fontId="2" fillId="38" borderId="363" xfId="0" applyFont="1" applyFill="1" applyBorder="1" applyAlignment="1">
      <alignment horizontal="center" vertical="center"/>
    </xf>
    <xf numFmtId="0" fontId="2" fillId="38" borderId="364" xfId="0" applyFont="1" applyFill="1" applyBorder="1" applyAlignment="1">
      <alignment horizontal="center" vertical="center"/>
    </xf>
    <xf numFmtId="0" fontId="2" fillId="38" borderId="353" xfId="0" applyFont="1" applyFill="1" applyBorder="1" applyAlignment="1">
      <alignment horizontal="center" vertical="center" wrapText="1"/>
    </xf>
    <xf numFmtId="0" fontId="2" fillId="38" borderId="382" xfId="0" applyFont="1" applyFill="1" applyBorder="1" applyAlignment="1">
      <alignment horizontal="center" vertical="center" wrapText="1"/>
    </xf>
    <xf numFmtId="0" fontId="2" fillId="38" borderId="354" xfId="0" applyFont="1" applyFill="1" applyBorder="1" applyAlignment="1">
      <alignment horizontal="center" vertical="center"/>
    </xf>
    <xf numFmtId="0" fontId="2" fillId="38" borderId="383" xfId="0" applyFont="1" applyFill="1" applyBorder="1" applyAlignment="1">
      <alignment horizontal="center" vertical="center"/>
    </xf>
    <xf numFmtId="0" fontId="6" fillId="38" borderId="2" xfId="0" applyFont="1" applyFill="1" applyBorder="1" applyAlignment="1">
      <alignment horizontal="center" vertical="center"/>
    </xf>
    <xf numFmtId="164" fontId="2" fillId="38" borderId="355" xfId="6" applyNumberFormat="1" applyFont="1" applyFill="1" applyBorder="1" applyAlignment="1">
      <alignment horizontal="center" vertical="center" wrapText="1"/>
    </xf>
    <xf numFmtId="164" fontId="2" fillId="38" borderId="384" xfId="6" applyNumberFormat="1" applyFont="1" applyFill="1" applyBorder="1" applyAlignment="1">
      <alignment horizontal="center" vertical="center" wrapText="1"/>
    </xf>
    <xf numFmtId="164" fontId="2" fillId="38" borderId="356" xfId="6" applyNumberFormat="1" applyFont="1" applyFill="1" applyBorder="1" applyAlignment="1">
      <alignment horizontal="center" vertical="center"/>
    </xf>
    <xf numFmtId="164" fontId="2" fillId="38" borderId="385" xfId="6" applyNumberFormat="1" applyFont="1" applyFill="1" applyBorder="1" applyAlignment="1">
      <alignment horizontal="center" vertical="center"/>
    </xf>
    <xf numFmtId="0" fontId="2" fillId="38" borderId="358" xfId="0" applyFont="1" applyFill="1" applyBorder="1" applyAlignment="1">
      <alignment horizontal="center" vertical="center"/>
    </xf>
    <xf numFmtId="164" fontId="2" fillId="38" borderId="359" xfId="6" applyNumberFormat="1" applyFont="1" applyFill="1" applyBorder="1" applyAlignment="1">
      <alignment horizontal="center" vertical="center"/>
    </xf>
    <xf numFmtId="164" fontId="2" fillId="38" borderId="388" xfId="6" applyNumberFormat="1" applyFont="1" applyFill="1" applyBorder="1" applyAlignment="1">
      <alignment horizontal="center" vertical="center"/>
    </xf>
    <xf numFmtId="0" fontId="2" fillId="38" borderId="359" xfId="0" applyFont="1" applyFill="1" applyBorder="1" applyAlignment="1">
      <alignment horizontal="center" vertical="center"/>
    </xf>
    <xf numFmtId="0" fontId="2" fillId="38" borderId="388" xfId="0" applyFont="1" applyFill="1" applyBorder="1" applyAlignment="1">
      <alignment horizontal="center" vertical="center"/>
    </xf>
    <xf numFmtId="0" fontId="2" fillId="38" borderId="45" xfId="0" applyFont="1" applyFill="1" applyBorder="1" applyAlignment="1">
      <alignment horizontal="center" vertical="center"/>
    </xf>
    <xf numFmtId="0" fontId="2" fillId="38" borderId="46" xfId="0" applyFont="1" applyFill="1" applyBorder="1" applyAlignment="1">
      <alignment horizontal="center" vertical="center"/>
    </xf>
    <xf numFmtId="0" fontId="2" fillId="38" borderId="47" xfId="0" applyFont="1" applyFill="1" applyBorder="1" applyAlignment="1">
      <alignment horizontal="center" vertical="center"/>
    </xf>
    <xf numFmtId="164" fontId="2" fillId="38" borderId="353" xfId="6" applyNumberFormat="1" applyFont="1" applyFill="1" applyBorder="1" applyAlignment="1">
      <alignment horizontal="center" vertical="center"/>
    </xf>
    <xf numFmtId="164" fontId="2" fillId="38" borderId="382" xfId="6" applyNumberFormat="1" applyFont="1" applyFill="1" applyBorder="1" applyAlignment="1">
      <alignment horizontal="center" vertical="center"/>
    </xf>
    <xf numFmtId="0" fontId="2" fillId="38" borderId="48" xfId="0" applyFont="1" applyFill="1" applyBorder="1" applyAlignment="1">
      <alignment horizontal="center" vertical="center"/>
    </xf>
    <xf numFmtId="0" fontId="2" fillId="38" borderId="49" xfId="0" applyFont="1" applyFill="1" applyBorder="1" applyAlignment="1">
      <alignment horizontal="center" vertical="center"/>
    </xf>
    <xf numFmtId="0" fontId="2" fillId="38" borderId="355" xfId="0" applyFont="1" applyFill="1" applyBorder="1" applyAlignment="1">
      <alignment horizontal="center" vertical="center"/>
    </xf>
    <xf numFmtId="0" fontId="2" fillId="38" borderId="360" xfId="0" applyFont="1" applyFill="1" applyBorder="1" applyAlignment="1">
      <alignment horizontal="center" vertical="center"/>
    </xf>
    <xf numFmtId="0" fontId="2" fillId="38" borderId="353" xfId="0" applyFont="1" applyFill="1" applyBorder="1" applyAlignment="1">
      <alignment horizontal="center" vertical="center"/>
    </xf>
    <xf numFmtId="0" fontId="2" fillId="38" borderId="44" xfId="0" applyFont="1" applyFill="1" applyBorder="1" applyAlignment="1">
      <alignment horizontal="center" vertical="center"/>
    </xf>
    <xf numFmtId="0" fontId="2" fillId="38" borderId="382" xfId="0" applyFont="1" applyFill="1" applyBorder="1" applyAlignment="1">
      <alignment horizontal="center" vertical="center"/>
    </xf>
    <xf numFmtId="0" fontId="2" fillId="38" borderId="50" xfId="0" applyFont="1" applyFill="1" applyBorder="1" applyAlignment="1">
      <alignment horizontal="center" vertical="center"/>
    </xf>
    <xf numFmtId="0" fontId="2" fillId="38" borderId="197" xfId="0" applyFont="1" applyFill="1" applyBorder="1" applyAlignment="1">
      <alignment horizontal="center" vertical="center"/>
    </xf>
    <xf numFmtId="0" fontId="2" fillId="38" borderId="365" xfId="0" applyFont="1" applyFill="1" applyBorder="1" applyAlignment="1">
      <alignment horizontal="center" vertical="center"/>
    </xf>
    <xf numFmtId="0" fontId="2" fillId="38" borderId="366" xfId="0" applyFont="1" applyFill="1" applyBorder="1" applyAlignment="1">
      <alignment horizontal="center" vertical="center"/>
    </xf>
    <xf numFmtId="0" fontId="2" fillId="38" borderId="367" xfId="0" applyFont="1" applyFill="1" applyBorder="1" applyAlignment="1">
      <alignment horizontal="center" vertical="center"/>
    </xf>
    <xf numFmtId="0" fontId="2" fillId="38" borderId="368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horizontal="center" vertical="center"/>
    </xf>
    <xf numFmtId="0" fontId="2" fillId="38" borderId="26" xfId="0" applyFont="1" applyFill="1" applyBorder="1" applyAlignment="1">
      <alignment horizontal="center" vertical="center"/>
    </xf>
    <xf numFmtId="164" fontId="2" fillId="38" borderId="354" xfId="6" applyNumberFormat="1" applyFont="1" applyFill="1" applyBorder="1" applyAlignment="1">
      <alignment horizontal="center" vertical="center"/>
    </xf>
    <xf numFmtId="164" fontId="2" fillId="38" borderId="383" xfId="6" applyNumberFormat="1" applyFont="1" applyFill="1" applyBorder="1" applyAlignment="1">
      <alignment horizontal="center" vertical="center"/>
    </xf>
    <xf numFmtId="0" fontId="2" fillId="38" borderId="369" xfId="0" applyFont="1" applyFill="1" applyBorder="1" applyAlignment="1">
      <alignment horizontal="center" vertical="center"/>
    </xf>
    <xf numFmtId="0" fontId="2" fillId="38" borderId="370" xfId="0" applyFont="1" applyFill="1" applyBorder="1" applyAlignment="1">
      <alignment horizontal="center" vertical="center"/>
    </xf>
    <xf numFmtId="0" fontId="2" fillId="38" borderId="371" xfId="0" applyFont="1" applyFill="1" applyBorder="1" applyAlignment="1">
      <alignment horizontal="center" vertical="center"/>
    </xf>
    <xf numFmtId="0" fontId="2" fillId="38" borderId="372" xfId="0" applyFont="1" applyFill="1" applyBorder="1" applyAlignment="1">
      <alignment horizontal="center" vertical="center"/>
    </xf>
    <xf numFmtId="0" fontId="2" fillId="38" borderId="373" xfId="0" applyFont="1" applyFill="1" applyBorder="1" applyAlignment="1">
      <alignment horizontal="center" vertical="center"/>
    </xf>
    <xf numFmtId="0" fontId="2" fillId="38" borderId="374" xfId="0" applyFont="1" applyFill="1" applyBorder="1" applyAlignment="1">
      <alignment horizontal="center" vertical="center"/>
    </xf>
    <xf numFmtId="0" fontId="2" fillId="38" borderId="375" xfId="0" applyFont="1" applyFill="1" applyBorder="1" applyAlignment="1">
      <alignment horizontal="center" vertical="center"/>
    </xf>
    <xf numFmtId="167" fontId="2" fillId="38" borderId="354" xfId="0" applyNumberFormat="1" applyFont="1" applyFill="1" applyBorder="1" applyAlignment="1">
      <alignment horizontal="center" vertical="center"/>
    </xf>
    <xf numFmtId="167" fontId="2" fillId="38" borderId="383" xfId="0" applyNumberFormat="1" applyFont="1" applyFill="1" applyBorder="1" applyAlignment="1">
      <alignment horizontal="center" vertical="center"/>
    </xf>
    <xf numFmtId="164" fontId="2" fillId="38" borderId="369" xfId="6" applyNumberFormat="1" applyFont="1" applyFill="1" applyBorder="1" applyAlignment="1">
      <alignment horizontal="center" vertical="center"/>
    </xf>
    <xf numFmtId="164" fontId="2" fillId="38" borderId="395" xfId="6" applyNumberFormat="1" applyFont="1" applyFill="1" applyBorder="1" applyAlignment="1">
      <alignment horizontal="center" vertical="center"/>
    </xf>
    <xf numFmtId="167" fontId="2" fillId="38" borderId="353" xfId="0" applyNumberFormat="1" applyFont="1" applyFill="1" applyBorder="1" applyAlignment="1">
      <alignment horizontal="center" vertical="center"/>
    </xf>
    <xf numFmtId="167" fontId="2" fillId="38" borderId="382" xfId="0" applyNumberFormat="1" applyFont="1" applyFill="1" applyBorder="1" applyAlignment="1">
      <alignment horizontal="center" vertical="center"/>
    </xf>
    <xf numFmtId="167" fontId="20" fillId="38" borderId="353" xfId="0" applyNumberFormat="1" applyFont="1" applyFill="1" applyBorder="1" applyAlignment="1">
      <alignment horizontal="center" vertical="center"/>
    </xf>
    <xf numFmtId="167" fontId="20" fillId="38" borderId="382" xfId="0" applyNumberFormat="1" applyFont="1" applyFill="1" applyBorder="1" applyAlignment="1">
      <alignment horizontal="center" vertical="center"/>
    </xf>
    <xf numFmtId="3" fontId="2" fillId="38" borderId="353" xfId="0" applyNumberFormat="1" applyFont="1" applyFill="1" applyBorder="1" applyAlignment="1">
      <alignment horizontal="center" vertical="center"/>
    </xf>
    <xf numFmtId="3" fontId="2" fillId="38" borderId="382" xfId="0" applyNumberFormat="1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60" fillId="38" borderId="1" xfId="0" applyFont="1" applyFill="1" applyBorder="1" applyAlignment="1">
      <alignment horizontal="center" vertical="center"/>
    </xf>
    <xf numFmtId="0" fontId="60" fillId="38" borderId="2" xfId="0" applyFont="1" applyFill="1" applyBorder="1" applyAlignment="1">
      <alignment horizontal="center" vertical="center"/>
    </xf>
    <xf numFmtId="0" fontId="60" fillId="38" borderId="26" xfId="0" applyFont="1" applyFill="1" applyBorder="1" applyAlignment="1">
      <alignment horizontal="center" vertical="center"/>
    </xf>
    <xf numFmtId="49" fontId="2" fillId="38" borderId="354" xfId="0" applyNumberFormat="1" applyFont="1" applyFill="1" applyBorder="1" applyAlignment="1">
      <alignment horizontal="center" vertical="center"/>
    </xf>
    <xf numFmtId="49" fontId="2" fillId="38" borderId="383" xfId="0" applyNumberFormat="1" applyFont="1" applyFill="1" applyBorder="1" applyAlignment="1">
      <alignment horizontal="center" vertical="center"/>
    </xf>
    <xf numFmtId="164" fontId="2" fillId="38" borderId="1" xfId="6" applyNumberFormat="1" applyFont="1" applyFill="1" applyBorder="1" applyAlignment="1">
      <alignment horizontal="center" vertical="center"/>
    </xf>
    <xf numFmtId="164" fontId="2" fillId="38" borderId="6" xfId="6" applyNumberFormat="1" applyFont="1" applyFill="1" applyBorder="1" applyAlignment="1">
      <alignment horizontal="center" vertical="center"/>
    </xf>
    <xf numFmtId="0" fontId="2" fillId="38" borderId="376" xfId="0" applyFont="1" applyFill="1" applyBorder="1" applyAlignment="1">
      <alignment horizontal="center" vertical="center"/>
    </xf>
    <xf numFmtId="49" fontId="2" fillId="38" borderId="2" xfId="0" applyNumberFormat="1" applyFont="1" applyFill="1" applyBorder="1" applyAlignment="1">
      <alignment horizontal="center" vertical="center"/>
    </xf>
    <xf numFmtId="49" fontId="2" fillId="38" borderId="0" xfId="0" applyNumberFormat="1" applyFont="1" applyFill="1" applyBorder="1" applyAlignment="1">
      <alignment horizontal="center" vertical="center"/>
    </xf>
    <xf numFmtId="0" fontId="2" fillId="31" borderId="377" xfId="0" applyFont="1" applyFill="1" applyBorder="1" applyAlignment="1">
      <alignment horizontal="center" vertical="center"/>
    </xf>
    <xf numFmtId="0" fontId="2" fillId="31" borderId="378" xfId="0" applyFont="1" applyFill="1" applyBorder="1" applyAlignment="1">
      <alignment horizontal="center" vertical="center"/>
    </xf>
    <xf numFmtId="0" fontId="2" fillId="31" borderId="379" xfId="0" applyFont="1" applyFill="1" applyBorder="1" applyAlignment="1">
      <alignment horizontal="center" vertical="center"/>
    </xf>
    <xf numFmtId="0" fontId="2" fillId="31" borderId="381" xfId="0" applyFont="1" applyFill="1" applyBorder="1" applyAlignment="1">
      <alignment horizontal="center" vertical="center"/>
    </xf>
    <xf numFmtId="0" fontId="2" fillId="31" borderId="380" xfId="0" applyFont="1" applyFill="1" applyBorder="1" applyAlignment="1">
      <alignment horizontal="center" vertical="center"/>
    </xf>
    <xf numFmtId="167" fontId="2" fillId="38" borderId="1" xfId="0" applyNumberFormat="1" applyFont="1" applyFill="1" applyBorder="1" applyAlignment="1">
      <alignment horizontal="center" vertical="center"/>
    </xf>
    <xf numFmtId="167" fontId="2" fillId="38" borderId="6" xfId="0" applyNumberFormat="1" applyFont="1" applyFill="1" applyBorder="1" applyAlignment="1">
      <alignment horizontal="center" vertical="center"/>
    </xf>
    <xf numFmtId="167" fontId="2" fillId="38" borderId="1" xfId="6" applyNumberFormat="1" applyFont="1" applyFill="1" applyBorder="1" applyAlignment="1">
      <alignment horizontal="center" vertical="center"/>
    </xf>
    <xf numFmtId="167" fontId="2" fillId="38" borderId="6" xfId="6" applyNumberFormat="1" applyFont="1" applyFill="1" applyBorder="1" applyAlignment="1">
      <alignment horizontal="center" vertical="center"/>
    </xf>
    <xf numFmtId="49" fontId="20" fillId="38" borderId="2" xfId="0" applyNumberFormat="1" applyFont="1" applyFill="1" applyBorder="1" applyAlignment="1">
      <alignment horizontal="center" vertical="center"/>
    </xf>
    <xf numFmtId="49" fontId="20" fillId="38" borderId="0" xfId="0" applyNumberFormat="1" applyFont="1" applyFill="1" applyBorder="1" applyAlignment="1">
      <alignment horizontal="center" vertical="center"/>
    </xf>
    <xf numFmtId="164" fontId="20" fillId="38" borderId="1" xfId="6" applyNumberFormat="1" applyFont="1" applyFill="1" applyBorder="1" applyAlignment="1">
      <alignment horizontal="center" vertical="center"/>
    </xf>
    <xf numFmtId="164" fontId="20" fillId="38" borderId="6" xfId="6" applyNumberFormat="1" applyFont="1" applyFill="1" applyBorder="1" applyAlignment="1">
      <alignment horizontal="center" vertical="center"/>
    </xf>
    <xf numFmtId="0" fontId="2" fillId="38" borderId="377" xfId="0" applyFont="1" applyFill="1" applyBorder="1" applyAlignment="1">
      <alignment horizontal="center" vertical="center"/>
    </xf>
    <xf numFmtId="0" fontId="2" fillId="38" borderId="378" xfId="0" applyFont="1" applyFill="1" applyBorder="1" applyAlignment="1">
      <alignment horizontal="center" vertical="center"/>
    </xf>
    <xf numFmtId="0" fontId="2" fillId="38" borderId="379" xfId="0" applyFont="1" applyFill="1" applyBorder="1" applyAlignment="1">
      <alignment horizontal="center" vertical="center"/>
    </xf>
    <xf numFmtId="0" fontId="2" fillId="38" borderId="380" xfId="0" applyFont="1" applyFill="1" applyBorder="1" applyAlignment="1">
      <alignment horizontal="center" vertical="center"/>
    </xf>
    <xf numFmtId="0" fontId="2" fillId="38" borderId="381" xfId="0" applyFont="1" applyFill="1" applyBorder="1" applyAlignment="1">
      <alignment horizontal="center" vertical="center"/>
    </xf>
    <xf numFmtId="0" fontId="60" fillId="40" borderId="1" xfId="0" applyFont="1" applyFill="1" applyBorder="1" applyAlignment="1">
      <alignment horizontal="center" vertical="center"/>
    </xf>
    <xf numFmtId="0" fontId="60" fillId="40" borderId="2" xfId="0" applyFont="1" applyFill="1" applyBorder="1" applyAlignment="1">
      <alignment horizontal="center" vertical="center"/>
    </xf>
    <xf numFmtId="0" fontId="60" fillId="40" borderId="26" xfId="0" applyFont="1" applyFill="1" applyBorder="1" applyAlignment="1">
      <alignment horizontal="center" vertical="center"/>
    </xf>
    <xf numFmtId="164" fontId="34" fillId="38" borderId="11" xfId="6" applyNumberFormat="1" applyFont="1" applyFill="1" applyBorder="1" applyAlignment="1">
      <alignment horizontal="center" vertical="center" wrapText="1"/>
    </xf>
    <xf numFmtId="164" fontId="34" fillId="38" borderId="159" xfId="6" applyNumberFormat="1" applyFont="1" applyFill="1" applyBorder="1" applyAlignment="1">
      <alignment horizontal="center" vertical="center" wrapText="1"/>
    </xf>
    <xf numFmtId="164" fontId="34" fillId="38" borderId="160" xfId="6" applyNumberFormat="1" applyFont="1" applyFill="1" applyBorder="1" applyAlignment="1">
      <alignment horizontal="center" vertical="center" wrapText="1"/>
    </xf>
    <xf numFmtId="0" fontId="109" fillId="38" borderId="19" xfId="0" applyFont="1" applyFill="1" applyBorder="1" applyAlignment="1">
      <alignment horizontal="right" vertical="center"/>
    </xf>
    <xf numFmtId="0" fontId="109" fillId="38" borderId="20" xfId="0" applyFont="1" applyFill="1" applyBorder="1" applyAlignment="1">
      <alignment horizontal="right" vertical="center"/>
    </xf>
    <xf numFmtId="0" fontId="109" fillId="38" borderId="23" xfId="0" applyFont="1" applyFill="1" applyBorder="1" applyAlignment="1">
      <alignment horizontal="right" vertical="center"/>
    </xf>
    <xf numFmtId="0" fontId="9" fillId="41" borderId="19" xfId="0" applyFont="1" applyFill="1" applyBorder="1" applyAlignment="1">
      <alignment horizontal="right"/>
    </xf>
    <xf numFmtId="0" fontId="9" fillId="41" borderId="20" xfId="0" applyFont="1" applyFill="1" applyBorder="1" applyAlignment="1">
      <alignment horizontal="right"/>
    </xf>
    <xf numFmtId="0" fontId="9" fillId="41" borderId="23" xfId="0" applyFont="1" applyFill="1" applyBorder="1" applyAlignment="1">
      <alignment horizontal="right"/>
    </xf>
    <xf numFmtId="164" fontId="34" fillId="38" borderId="7" xfId="6" applyNumberFormat="1" applyFont="1" applyFill="1" applyBorder="1" applyAlignment="1">
      <alignment horizontal="center" vertical="center" wrapText="1"/>
    </xf>
    <xf numFmtId="164" fontId="34" fillId="38" borderId="8" xfId="6" applyNumberFormat="1" applyFont="1" applyFill="1" applyBorder="1" applyAlignment="1">
      <alignment horizontal="center" vertical="center" wrapText="1"/>
    </xf>
    <xf numFmtId="0" fontId="34" fillId="38" borderId="7" xfId="0" applyFont="1" applyFill="1" applyBorder="1" applyAlignment="1">
      <alignment horizontal="center" vertical="center" wrapText="1"/>
    </xf>
    <xf numFmtId="0" fontId="34" fillId="38" borderId="11" xfId="0" applyFont="1" applyFill="1" applyBorder="1" applyAlignment="1">
      <alignment horizontal="center" vertical="center" wrapText="1"/>
    </xf>
    <xf numFmtId="164" fontId="34" fillId="38" borderId="0" xfId="6" applyNumberFormat="1" applyFont="1" applyFill="1" applyBorder="1" applyAlignment="1">
      <alignment horizontal="center" vertical="center" wrapText="1"/>
    </xf>
    <xf numFmtId="0" fontId="2" fillId="38" borderId="1" xfId="0" applyFont="1" applyFill="1" applyBorder="1" applyAlignment="1">
      <alignment horizontal="center" vertical="center" wrapText="1"/>
    </xf>
    <xf numFmtId="0" fontId="2" fillId="38" borderId="6" xfId="0" applyFont="1" applyFill="1" applyBorder="1" applyAlignment="1">
      <alignment horizontal="center" vertical="center" wrapText="1"/>
    </xf>
    <xf numFmtId="0" fontId="2" fillId="38" borderId="3" xfId="0" applyFont="1" applyFill="1" applyBorder="1" applyAlignment="1">
      <alignment horizontal="center" vertical="center"/>
    </xf>
    <xf numFmtId="0" fontId="2" fillId="38" borderId="4" xfId="0" applyFont="1" applyFill="1" applyBorder="1" applyAlignment="1">
      <alignment horizontal="center" vertical="center"/>
    </xf>
    <xf numFmtId="0" fontId="2" fillId="38" borderId="5" xfId="0" applyFont="1" applyFill="1" applyBorder="1" applyAlignment="1">
      <alignment horizontal="center" vertical="center"/>
    </xf>
    <xf numFmtId="0" fontId="34" fillId="38" borderId="158" xfId="0" applyFont="1" applyFill="1" applyBorder="1" applyAlignment="1">
      <alignment horizontal="center" vertical="center" wrapText="1"/>
    </xf>
    <xf numFmtId="0" fontId="34" fillId="38" borderId="14" xfId="0" applyFont="1" applyFill="1" applyBorder="1" applyAlignment="1">
      <alignment horizontal="center" vertical="center" wrapText="1"/>
    </xf>
    <xf numFmtId="9" fontId="34" fillId="38" borderId="9" xfId="2" applyFont="1" applyFill="1" applyBorder="1" applyAlignment="1">
      <alignment horizontal="center" vertical="center" wrapText="1"/>
    </xf>
    <xf numFmtId="9" fontId="34" fillId="38" borderId="18" xfId="2" applyFont="1" applyFill="1" applyBorder="1" applyAlignment="1">
      <alignment horizontal="center" vertical="center" wrapText="1"/>
    </xf>
    <xf numFmtId="0" fontId="34" fillId="38" borderId="0" xfId="0" applyFont="1" applyFill="1" applyBorder="1" applyAlignment="1">
      <alignment horizontal="center" vertical="center" wrapText="1"/>
    </xf>
    <xf numFmtId="0" fontId="2" fillId="38" borderId="169" xfId="0" applyFont="1" applyFill="1" applyBorder="1" applyAlignment="1">
      <alignment horizontal="center" vertical="center"/>
    </xf>
    <xf numFmtId="0" fontId="2" fillId="38" borderId="170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horizontal="center" vertical="center" wrapText="1"/>
    </xf>
    <xf numFmtId="0" fontId="2" fillId="38" borderId="0" xfId="0" applyFont="1" applyFill="1" applyBorder="1" applyAlignment="1">
      <alignment horizontal="center" vertical="center" wrapText="1"/>
    </xf>
    <xf numFmtId="0" fontId="2" fillId="38" borderId="15" xfId="0" applyFont="1" applyFill="1" applyBorder="1" applyAlignment="1">
      <alignment horizontal="center" vertical="center" wrapText="1"/>
    </xf>
    <xf numFmtId="9" fontId="6" fillId="38" borderId="9" xfId="2" applyFont="1" applyFill="1" applyBorder="1" applyAlignment="1">
      <alignment horizontal="center" vertical="center" wrapText="1"/>
    </xf>
    <xf numFmtId="9" fontId="6" fillId="38" borderId="18" xfId="2" applyFont="1" applyFill="1" applyBorder="1" applyAlignment="1">
      <alignment horizontal="center" vertical="center" wrapText="1"/>
    </xf>
    <xf numFmtId="164" fontId="34" fillId="38" borderId="171" xfId="6" applyNumberFormat="1" applyFont="1" applyFill="1" applyBorder="1" applyAlignment="1">
      <alignment horizontal="center" vertical="center" wrapText="1"/>
    </xf>
    <xf numFmtId="164" fontId="34" fillId="38" borderId="172" xfId="6" applyNumberFormat="1" applyFont="1" applyFill="1" applyBorder="1" applyAlignment="1">
      <alignment horizontal="center" vertical="center" wrapText="1"/>
    </xf>
    <xf numFmtId="0" fontId="34" fillId="38" borderId="219" xfId="0" applyFont="1" applyFill="1" applyBorder="1" applyAlignment="1">
      <alignment horizontal="center" vertical="center" wrapText="1"/>
    </xf>
    <xf numFmtId="164" fontId="34" fillId="38" borderId="219" xfId="6" applyNumberFormat="1" applyFont="1" applyFill="1" applyBorder="1" applyAlignment="1">
      <alignment horizontal="center" vertical="center" wrapText="1"/>
    </xf>
    <xf numFmtId="164" fontId="34" fillId="38" borderId="220" xfId="6" applyNumberFormat="1" applyFont="1" applyFill="1" applyBorder="1" applyAlignment="1">
      <alignment horizontal="center" vertical="center" wrapText="1"/>
    </xf>
    <xf numFmtId="0" fontId="117" fillId="38" borderId="3" xfId="0" applyFont="1" applyFill="1" applyBorder="1" applyAlignment="1">
      <alignment horizontal="center" vertical="center"/>
    </xf>
    <xf numFmtId="0" fontId="117" fillId="38" borderId="4" xfId="0" applyFont="1" applyFill="1" applyBorder="1" applyAlignment="1">
      <alignment horizontal="center" vertical="center"/>
    </xf>
    <xf numFmtId="0" fontId="117" fillId="38" borderId="5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164" fontId="16" fillId="3" borderId="0" xfId="6" applyNumberFormat="1" applyFont="1" applyFill="1" applyBorder="1" applyAlignment="1">
      <alignment horizontal="center" vertical="center" wrapText="1"/>
    </xf>
    <xf numFmtId="164" fontId="16" fillId="3" borderId="7" xfId="6" applyNumberFormat="1" applyFont="1" applyFill="1" applyBorder="1" applyAlignment="1">
      <alignment horizontal="center" vertical="center" wrapText="1"/>
    </xf>
    <xf numFmtId="164" fontId="16" fillId="3" borderId="8" xfId="6" applyNumberFormat="1" applyFont="1" applyFill="1" applyBorder="1" applyAlignment="1">
      <alignment horizontal="center" vertical="center" wrapText="1"/>
    </xf>
    <xf numFmtId="0" fontId="16" fillId="3" borderId="0" xfId="0" applyFont="1" applyFill="1" applyBorder="1" applyAlignment="1">
      <alignment horizontal="center" vertical="center" wrapText="1"/>
    </xf>
    <xf numFmtId="0" fontId="2" fillId="31" borderId="3" xfId="0" applyFont="1" applyFill="1" applyBorder="1" applyAlignment="1">
      <alignment horizontal="center" vertical="center"/>
    </xf>
    <xf numFmtId="0" fontId="2" fillId="31" borderId="4" xfId="0" applyFont="1" applyFill="1" applyBorder="1" applyAlignment="1">
      <alignment horizontal="center" vertical="center"/>
    </xf>
    <xf numFmtId="0" fontId="2" fillId="31" borderId="5" xfId="0" applyFont="1" applyFill="1" applyBorder="1" applyAlignment="1">
      <alignment horizontal="center" vertical="center"/>
    </xf>
    <xf numFmtId="164" fontId="34" fillId="31" borderId="0" xfId="6" applyNumberFormat="1" applyFont="1" applyFill="1" applyBorder="1" applyAlignment="1">
      <alignment horizontal="center" vertical="center" wrapText="1"/>
    </xf>
    <xf numFmtId="164" fontId="34" fillId="31" borderId="7" xfId="6" applyNumberFormat="1" applyFont="1" applyFill="1" applyBorder="1" applyAlignment="1">
      <alignment horizontal="center" vertical="center" wrapText="1"/>
    </xf>
    <xf numFmtId="164" fontId="34" fillId="31" borderId="8" xfId="6" applyNumberFormat="1" applyFont="1" applyFill="1" applyBorder="1" applyAlignment="1">
      <alignment horizontal="center" vertical="center" wrapText="1"/>
    </xf>
    <xf numFmtId="0" fontId="34" fillId="31" borderId="0" xfId="0" applyFont="1" applyFill="1" applyBorder="1" applyAlignment="1">
      <alignment horizontal="center" vertical="center" wrapText="1"/>
    </xf>
    <xf numFmtId="0" fontId="34" fillId="31" borderId="7" xfId="0" applyFont="1" applyFill="1" applyBorder="1" applyAlignment="1">
      <alignment horizontal="center" vertical="center" wrapText="1"/>
    </xf>
    <xf numFmtId="0" fontId="34" fillId="31" borderId="11" xfId="0" applyFont="1" applyFill="1" applyBorder="1" applyAlignment="1">
      <alignment horizontal="center" vertical="center" wrapText="1"/>
    </xf>
    <xf numFmtId="0" fontId="2" fillId="43" borderId="1" xfId="0" applyFont="1" applyFill="1" applyBorder="1" applyAlignment="1">
      <alignment horizontal="center" vertical="center" wrapText="1"/>
    </xf>
    <xf numFmtId="0" fontId="2" fillId="43" borderId="6" xfId="0" applyFont="1" applyFill="1" applyBorder="1" applyAlignment="1">
      <alignment horizontal="center" vertical="center" wrapText="1"/>
    </xf>
    <xf numFmtId="0" fontId="2" fillId="43" borderId="14" xfId="0" applyFont="1" applyFill="1" applyBorder="1" applyAlignment="1">
      <alignment horizontal="center" vertical="center" wrapText="1"/>
    </xf>
    <xf numFmtId="0" fontId="2" fillId="43" borderId="3" xfId="0" applyFont="1" applyFill="1" applyBorder="1" applyAlignment="1">
      <alignment horizontal="center" vertical="center"/>
    </xf>
    <xf numFmtId="0" fontId="2" fillId="43" borderId="4" xfId="0" applyFont="1" applyFill="1" applyBorder="1" applyAlignment="1">
      <alignment horizontal="center" vertical="center"/>
    </xf>
    <xf numFmtId="0" fontId="2" fillId="43" borderId="5" xfId="0" applyFont="1" applyFill="1" applyBorder="1" applyAlignment="1">
      <alignment horizontal="center" vertical="center"/>
    </xf>
    <xf numFmtId="164" fontId="34" fillId="43" borderId="0" xfId="6" applyNumberFormat="1" applyFont="1" applyFill="1" applyBorder="1" applyAlignment="1">
      <alignment horizontal="center" vertical="center" wrapText="1"/>
    </xf>
    <xf numFmtId="164" fontId="34" fillId="43" borderId="7" xfId="6" applyNumberFormat="1" applyFont="1" applyFill="1" applyBorder="1" applyAlignment="1">
      <alignment horizontal="center" vertical="center" wrapText="1"/>
    </xf>
    <xf numFmtId="164" fontId="34" fillId="43" borderId="8" xfId="6" applyNumberFormat="1" applyFont="1" applyFill="1" applyBorder="1" applyAlignment="1">
      <alignment horizontal="center" vertical="center" wrapText="1"/>
    </xf>
    <xf numFmtId="0" fontId="34" fillId="43" borderId="0" xfId="0" applyFont="1" applyFill="1" applyBorder="1" applyAlignment="1">
      <alignment horizontal="center" vertical="center" wrapText="1"/>
    </xf>
    <xf numFmtId="0" fontId="2" fillId="43" borderId="2" xfId="0" applyFont="1" applyFill="1" applyBorder="1" applyAlignment="1">
      <alignment horizontal="center" vertical="center" wrapText="1"/>
    </xf>
    <xf numFmtId="0" fontId="2" fillId="43" borderId="0" xfId="0" applyFont="1" applyFill="1" applyBorder="1" applyAlignment="1">
      <alignment horizontal="center" vertical="center" wrapText="1"/>
    </xf>
    <xf numFmtId="0" fontId="2" fillId="43" borderId="15" xfId="0" applyFont="1" applyFill="1" applyBorder="1" applyAlignment="1">
      <alignment horizontal="center" vertical="center" wrapText="1"/>
    </xf>
    <xf numFmtId="164" fontId="34" fillId="43" borderId="219" xfId="6" applyNumberFormat="1" applyFont="1" applyFill="1" applyBorder="1" applyAlignment="1">
      <alignment horizontal="center" vertical="center" wrapText="1"/>
    </xf>
    <xf numFmtId="164" fontId="34" fillId="43" borderId="11" xfId="6" applyNumberFormat="1" applyFont="1" applyFill="1" applyBorder="1" applyAlignment="1">
      <alignment horizontal="center" vertical="center" wrapText="1"/>
    </xf>
    <xf numFmtId="0" fontId="34" fillId="43" borderId="7" xfId="0" applyFont="1" applyFill="1" applyBorder="1" applyAlignment="1">
      <alignment horizontal="center" vertical="center" wrapText="1"/>
    </xf>
    <xf numFmtId="0" fontId="34" fillId="43" borderId="11" xfId="0" applyFont="1" applyFill="1" applyBorder="1" applyAlignment="1">
      <alignment horizontal="center" vertical="center" wrapText="1"/>
    </xf>
    <xf numFmtId="164" fontId="34" fillId="43" borderId="220" xfId="6" applyNumberFormat="1" applyFont="1" applyFill="1" applyBorder="1" applyAlignment="1">
      <alignment horizontal="center" vertical="center" wrapText="1"/>
    </xf>
    <xf numFmtId="0" fontId="109" fillId="43" borderId="3" xfId="0" applyFont="1" applyFill="1" applyBorder="1" applyAlignment="1">
      <alignment horizontal="center" vertical="center"/>
    </xf>
    <xf numFmtId="0" fontId="109" fillId="43" borderId="4" xfId="0" applyFont="1" applyFill="1" applyBorder="1" applyAlignment="1">
      <alignment horizontal="center" vertical="center"/>
    </xf>
    <xf numFmtId="0" fontId="109" fillId="43" borderId="5" xfId="0" applyFont="1" applyFill="1" applyBorder="1" applyAlignment="1">
      <alignment horizontal="center" vertical="center"/>
    </xf>
    <xf numFmtId="164" fontId="34" fillId="43" borderId="158" xfId="6" applyNumberFormat="1" applyFont="1" applyFill="1" applyBorder="1" applyAlignment="1">
      <alignment horizontal="center" vertical="center" wrapText="1"/>
    </xf>
    <xf numFmtId="0" fontId="34" fillId="43" borderId="158" xfId="0" applyFont="1" applyFill="1" applyBorder="1" applyAlignment="1">
      <alignment horizontal="center" vertical="center" wrapText="1"/>
    </xf>
    <xf numFmtId="0" fontId="71" fillId="0" borderId="0" xfId="0" applyFont="1" applyAlignment="1">
      <alignment horizontal="left" vertical="center" wrapText="1"/>
    </xf>
    <xf numFmtId="0" fontId="2" fillId="34" borderId="1" xfId="0" applyFont="1" applyFill="1" applyBorder="1" applyAlignment="1">
      <alignment horizontal="center" vertical="center" wrapText="1"/>
    </xf>
    <xf numFmtId="0" fontId="2" fillId="34" borderId="6" xfId="0" applyFont="1" applyFill="1" applyBorder="1" applyAlignment="1">
      <alignment horizontal="center" vertical="center" wrapText="1"/>
    </xf>
    <xf numFmtId="0" fontId="2" fillId="34" borderId="2" xfId="0" applyFont="1" applyFill="1" applyBorder="1" applyAlignment="1">
      <alignment horizontal="center" vertical="center" wrapText="1"/>
    </xf>
    <xf numFmtId="0" fontId="2" fillId="34" borderId="0" xfId="0" applyFont="1" applyFill="1" applyBorder="1" applyAlignment="1">
      <alignment horizontal="center" vertical="center" wrapText="1"/>
    </xf>
    <xf numFmtId="0" fontId="2" fillId="34" borderId="15" xfId="0" applyFont="1" applyFill="1" applyBorder="1" applyAlignment="1">
      <alignment horizontal="center" vertical="center" wrapText="1"/>
    </xf>
    <xf numFmtId="0" fontId="2" fillId="34" borderId="3" xfId="0" applyFont="1" applyFill="1" applyBorder="1" applyAlignment="1">
      <alignment horizontal="center" vertical="center"/>
    </xf>
    <xf numFmtId="0" fontId="2" fillId="34" borderId="4" xfId="0" applyFont="1" applyFill="1" applyBorder="1" applyAlignment="1">
      <alignment horizontal="center" vertical="center"/>
    </xf>
    <xf numFmtId="0" fontId="2" fillId="34" borderId="5" xfId="0" applyFont="1" applyFill="1" applyBorder="1" applyAlignment="1">
      <alignment horizontal="center" vertical="center"/>
    </xf>
    <xf numFmtId="164" fontId="34" fillId="34" borderId="0" xfId="6" applyNumberFormat="1" applyFont="1" applyFill="1" applyBorder="1" applyAlignment="1">
      <alignment horizontal="center" vertical="center" wrapText="1"/>
    </xf>
    <xf numFmtId="164" fontId="34" fillId="34" borderId="7" xfId="6" applyNumberFormat="1" applyFont="1" applyFill="1" applyBorder="1" applyAlignment="1">
      <alignment horizontal="center" vertical="center" wrapText="1"/>
    </xf>
    <xf numFmtId="164" fontId="34" fillId="34" borderId="8" xfId="6" applyNumberFormat="1" applyFont="1" applyFill="1" applyBorder="1" applyAlignment="1">
      <alignment horizontal="center" vertical="center" wrapText="1"/>
    </xf>
    <xf numFmtId="0" fontId="34" fillId="34" borderId="0" xfId="0" applyFont="1" applyFill="1" applyBorder="1" applyAlignment="1">
      <alignment horizontal="center" vertical="center" wrapText="1"/>
    </xf>
    <xf numFmtId="164" fontId="34" fillId="34" borderId="219" xfId="6" applyNumberFormat="1" applyFont="1" applyFill="1" applyBorder="1" applyAlignment="1">
      <alignment horizontal="center" vertical="center" wrapText="1"/>
    </xf>
    <xf numFmtId="164" fontId="34" fillId="34" borderId="220" xfId="6" applyNumberFormat="1" applyFont="1" applyFill="1" applyBorder="1" applyAlignment="1">
      <alignment horizontal="center" vertical="center" wrapText="1"/>
    </xf>
    <xf numFmtId="0" fontId="60" fillId="34" borderId="3" xfId="0" applyFont="1" applyFill="1" applyBorder="1" applyAlignment="1">
      <alignment horizontal="center" vertical="center"/>
    </xf>
    <xf numFmtId="0" fontId="60" fillId="34" borderId="4" xfId="0" applyFont="1" applyFill="1" applyBorder="1" applyAlignment="1">
      <alignment horizontal="center" vertical="center"/>
    </xf>
    <xf numFmtId="0" fontId="60" fillId="34" borderId="5" xfId="0" applyFont="1" applyFill="1" applyBorder="1" applyAlignment="1">
      <alignment horizontal="center" vertical="center"/>
    </xf>
    <xf numFmtId="0" fontId="128" fillId="34" borderId="3" xfId="0" applyFont="1" applyFill="1" applyBorder="1" applyAlignment="1">
      <alignment horizontal="center" vertical="center"/>
    </xf>
    <xf numFmtId="0" fontId="128" fillId="34" borderId="4" xfId="0" applyFont="1" applyFill="1" applyBorder="1" applyAlignment="1">
      <alignment horizontal="center" vertical="center"/>
    </xf>
    <xf numFmtId="0" fontId="128" fillId="34" borderId="5" xfId="0" applyFont="1" applyFill="1" applyBorder="1" applyAlignment="1">
      <alignment horizontal="center" vertical="center"/>
    </xf>
    <xf numFmtId="0" fontId="2" fillId="31" borderId="1" xfId="0" applyFont="1" applyFill="1" applyBorder="1" applyAlignment="1">
      <alignment horizontal="center" vertical="center" wrapText="1"/>
    </xf>
    <xf numFmtId="0" fontId="2" fillId="31" borderId="6" xfId="0" applyFont="1" applyFill="1" applyBorder="1" applyAlignment="1">
      <alignment horizontal="center" vertical="center" wrapText="1"/>
    </xf>
    <xf numFmtId="0" fontId="2" fillId="31" borderId="2" xfId="0" applyFont="1" applyFill="1" applyBorder="1" applyAlignment="1">
      <alignment horizontal="center" vertical="center" wrapText="1"/>
    </xf>
    <xf numFmtId="0" fontId="2" fillId="31" borderId="0" xfId="0" applyFont="1" applyFill="1" applyBorder="1" applyAlignment="1">
      <alignment horizontal="center" vertical="center" wrapText="1"/>
    </xf>
    <xf numFmtId="0" fontId="2" fillId="31" borderId="15" xfId="0" applyFont="1" applyFill="1" applyBorder="1" applyAlignment="1">
      <alignment horizontal="center" vertical="center" wrapText="1"/>
    </xf>
    <xf numFmtId="164" fontId="34" fillId="31" borderId="219" xfId="6" applyNumberFormat="1" applyFont="1" applyFill="1" applyBorder="1" applyAlignment="1">
      <alignment horizontal="center" vertical="center" wrapText="1"/>
    </xf>
    <xf numFmtId="164" fontId="34" fillId="31" borderId="220" xfId="6" applyNumberFormat="1" applyFont="1" applyFill="1" applyBorder="1" applyAlignment="1">
      <alignment horizontal="center" vertical="center" wrapText="1"/>
    </xf>
    <xf numFmtId="0" fontId="60" fillId="31" borderId="3" xfId="0" applyFont="1" applyFill="1" applyBorder="1" applyAlignment="1">
      <alignment horizontal="center" vertical="center"/>
    </xf>
    <xf numFmtId="0" fontId="60" fillId="31" borderId="4" xfId="0" applyFont="1" applyFill="1" applyBorder="1" applyAlignment="1">
      <alignment horizontal="center" vertical="center"/>
    </xf>
    <xf numFmtId="0" fontId="60" fillId="31" borderId="5" xfId="0" applyFont="1" applyFill="1" applyBorder="1" applyAlignment="1">
      <alignment horizontal="center" vertical="center"/>
    </xf>
    <xf numFmtId="0" fontId="55" fillId="36" borderId="3" xfId="0" applyFont="1" applyFill="1" applyBorder="1" applyAlignment="1">
      <alignment horizontal="center" vertical="center"/>
    </xf>
    <xf numFmtId="0" fontId="55" fillId="36" borderId="4" xfId="0" applyFont="1" applyFill="1" applyBorder="1" applyAlignment="1">
      <alignment horizontal="center" vertical="center"/>
    </xf>
    <xf numFmtId="0" fontId="55" fillId="36" borderId="5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right" vertical="center"/>
    </xf>
    <xf numFmtId="0" fontId="12" fillId="2" borderId="20" xfId="0" applyFont="1" applyFill="1" applyBorder="1" applyAlignment="1">
      <alignment horizontal="right" vertical="center"/>
    </xf>
    <xf numFmtId="0" fontId="14" fillId="2" borderId="0" xfId="0" applyFont="1" applyFill="1" applyAlignment="1">
      <alignment horizontal="left" vertical="center"/>
    </xf>
    <xf numFmtId="164" fontId="12" fillId="14" borderId="283" xfId="6" applyNumberFormat="1" applyFont="1" applyFill="1" applyBorder="1" applyAlignment="1">
      <alignment horizontal="center" vertical="center"/>
    </xf>
    <xf numFmtId="164" fontId="12" fillId="14" borderId="284" xfId="6" applyNumberFormat="1" applyFont="1" applyFill="1" applyBorder="1" applyAlignment="1">
      <alignment horizontal="center" vertical="center"/>
    </xf>
    <xf numFmtId="164" fontId="12" fillId="2" borderId="310" xfId="6" applyNumberFormat="1" applyFont="1" applyFill="1" applyBorder="1" applyAlignment="1">
      <alignment horizontal="left" vertical="center"/>
    </xf>
    <xf numFmtId="164" fontId="12" fillId="2" borderId="311" xfId="6" applyNumberFormat="1" applyFont="1" applyFill="1" applyBorder="1" applyAlignment="1">
      <alignment horizontal="left" vertical="center"/>
    </xf>
    <xf numFmtId="0" fontId="12" fillId="3" borderId="320" xfId="0" applyFont="1" applyFill="1" applyBorder="1" applyAlignment="1">
      <alignment horizontal="right" vertical="center"/>
    </xf>
    <xf numFmtId="0" fontId="12" fillId="3" borderId="215" xfId="0" applyFont="1" applyFill="1" applyBorder="1" applyAlignment="1">
      <alignment horizontal="right" vertical="center"/>
    </xf>
    <xf numFmtId="0" fontId="21" fillId="22" borderId="114" xfId="0" applyFont="1" applyFill="1" applyBorder="1" applyAlignment="1">
      <alignment horizontal="right" vertical="center"/>
    </xf>
    <xf numFmtId="0" fontId="21" fillId="22" borderId="82" xfId="0" applyFont="1" applyFill="1" applyBorder="1" applyAlignment="1">
      <alignment horizontal="right" vertical="center"/>
    </xf>
    <xf numFmtId="17" fontId="21" fillId="5" borderId="1" xfId="0" applyNumberFormat="1" applyFont="1" applyFill="1" applyBorder="1" applyAlignment="1">
      <alignment horizontal="center" vertical="center"/>
    </xf>
    <xf numFmtId="17" fontId="21" fillId="5" borderId="2" xfId="0" applyNumberFormat="1" applyFont="1" applyFill="1" applyBorder="1" applyAlignment="1">
      <alignment horizontal="center" vertical="center"/>
    </xf>
    <xf numFmtId="17" fontId="21" fillId="5" borderId="26" xfId="0" applyNumberFormat="1" applyFont="1" applyFill="1" applyBorder="1" applyAlignment="1">
      <alignment horizontal="center" vertical="center"/>
    </xf>
    <xf numFmtId="0" fontId="21" fillId="22" borderId="680" xfId="0" applyFont="1" applyFill="1" applyBorder="1" applyAlignment="1">
      <alignment horizontal="center" vertical="center"/>
    </xf>
    <xf numFmtId="164" fontId="21" fillId="22" borderId="558" xfId="6" applyNumberFormat="1" applyFont="1" applyFill="1" applyBorder="1" applyAlignment="1">
      <alignment horizontal="center" vertical="center"/>
    </xf>
    <xf numFmtId="0" fontId="21" fillId="22" borderId="679" xfId="0" applyFont="1" applyFill="1" applyBorder="1" applyAlignment="1">
      <alignment horizontal="center" vertical="center"/>
    </xf>
    <xf numFmtId="17" fontId="21" fillId="22" borderId="677" xfId="0" applyNumberFormat="1" applyFont="1" applyFill="1" applyBorder="1" applyAlignment="1">
      <alignment horizontal="center" vertical="center"/>
    </xf>
    <xf numFmtId="0" fontId="21" fillId="22" borderId="558" xfId="0" applyFont="1" applyFill="1" applyBorder="1" applyAlignment="1">
      <alignment horizontal="center" vertical="center"/>
    </xf>
    <xf numFmtId="164" fontId="21" fillId="22" borderId="677" xfId="6" applyNumberFormat="1" applyFont="1" applyFill="1" applyBorder="1" applyAlignment="1">
      <alignment horizontal="center" vertical="center"/>
    </xf>
    <xf numFmtId="17" fontId="21" fillId="22" borderId="678" xfId="0" applyNumberFormat="1" applyFont="1" applyFill="1" applyBorder="1" applyAlignment="1">
      <alignment horizontal="center" vertical="center"/>
    </xf>
    <xf numFmtId="17" fontId="21" fillId="5" borderId="677" xfId="0" applyNumberFormat="1" applyFont="1" applyFill="1" applyBorder="1" applyAlignment="1">
      <alignment horizontal="center" vertical="center"/>
    </xf>
    <xf numFmtId="17" fontId="21" fillId="5" borderId="558" xfId="0" applyNumberFormat="1" applyFont="1" applyFill="1" applyBorder="1" applyAlignment="1">
      <alignment horizontal="center" vertical="center"/>
    </xf>
    <xf numFmtId="17" fontId="21" fillId="5" borderId="678" xfId="0" applyNumberFormat="1" applyFont="1" applyFill="1" applyBorder="1" applyAlignment="1">
      <alignment horizontal="center" vertical="center"/>
    </xf>
    <xf numFmtId="17" fontId="21" fillId="5" borderId="679" xfId="0" applyNumberFormat="1" applyFont="1" applyFill="1" applyBorder="1" applyAlignment="1">
      <alignment horizontal="center" vertical="center"/>
    </xf>
    <xf numFmtId="0" fontId="21" fillId="22" borderId="1" xfId="0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/>
    </xf>
    <xf numFmtId="0" fontId="21" fillId="22" borderId="677" xfId="0" applyFont="1" applyFill="1" applyBorder="1" applyAlignment="1">
      <alignment horizontal="center" vertical="center"/>
    </xf>
    <xf numFmtId="9" fontId="21" fillId="22" borderId="678" xfId="2" applyFont="1" applyFill="1" applyBorder="1" applyAlignment="1">
      <alignment horizontal="center" vertical="center"/>
    </xf>
    <xf numFmtId="0" fontId="21" fillId="22" borderId="678" xfId="0" applyFont="1" applyFill="1" applyBorder="1" applyAlignment="1">
      <alignment horizontal="center" vertical="center"/>
    </xf>
    <xf numFmtId="0" fontId="21" fillId="22" borderId="323" xfId="0" applyFont="1" applyFill="1" applyBorder="1" applyAlignment="1">
      <alignment horizontal="center" vertical="center" wrapText="1"/>
    </xf>
    <xf numFmtId="0" fontId="21" fillId="22" borderId="324" xfId="0" applyFont="1" applyFill="1" applyBorder="1" applyAlignment="1">
      <alignment horizontal="center" vertical="center" wrapText="1"/>
    </xf>
    <xf numFmtId="0" fontId="21" fillId="22" borderId="2" xfId="0" applyFont="1" applyFill="1" applyBorder="1" applyAlignment="1">
      <alignment horizontal="center" vertical="center" wrapText="1"/>
    </xf>
    <xf numFmtId="0" fontId="21" fillId="22" borderId="34" xfId="0" applyFont="1" applyFill="1" applyBorder="1" applyAlignment="1">
      <alignment horizontal="center" vertical="center" wrapText="1"/>
    </xf>
  </cellXfs>
  <cellStyles count="10">
    <cellStyle name="Comma" xfId="1" builtinId="3"/>
    <cellStyle name="Comma 10 2" xfId="6"/>
    <cellStyle name="Comma 10 3" xfId="9"/>
    <cellStyle name="Comma 2" xfId="5"/>
    <cellStyle name="Comma 7" xfId="8"/>
    <cellStyle name="Hyperlink" xfId="7" builtinId="8"/>
    <cellStyle name="Normal" xfId="0" builtinId="0"/>
    <cellStyle name="Normal_Sheet1" xfId="4"/>
    <cellStyle name="Normal_Sheet1 2 2" xfId="3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A3222"/>
      <color rgb="FF16869C"/>
      <color rgb="FF0555AD"/>
      <color rgb="FFFFFF99"/>
      <color rgb="FFFFFF00"/>
      <color rgb="FFFFCC99"/>
      <color rgb="FFB74B09"/>
      <color rgb="FF6C5954"/>
      <color rgb="FFCCCC00"/>
      <color rgb="FFAFA6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427</xdr:col>
      <xdr:colOff>484924</xdr:colOff>
      <xdr:row>106</xdr:row>
      <xdr:rowOff>51363</xdr:rowOff>
    </xdr:from>
    <xdr:to>
      <xdr:col>527</xdr:col>
      <xdr:colOff>720584</xdr:colOff>
      <xdr:row>131</xdr:row>
      <xdr:rowOff>36688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9319" y="12880259"/>
          <a:ext cx="5015553" cy="4420847"/>
        </a:xfrm>
        <a:prstGeom prst="rect">
          <a:avLst/>
        </a:prstGeom>
      </xdr:spPr>
    </xdr:pic>
    <xdr:clientData/>
  </xdr:twoCellAnchor>
  <xdr:twoCellAnchor editAs="oneCell">
    <xdr:from>
      <xdr:col>425</xdr:col>
      <xdr:colOff>344864</xdr:colOff>
      <xdr:row>133</xdr:row>
      <xdr:rowOff>51364</xdr:rowOff>
    </xdr:from>
    <xdr:to>
      <xdr:col>528</xdr:col>
      <xdr:colOff>217297</xdr:colOff>
      <xdr:row>162</xdr:row>
      <xdr:rowOff>165111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9319" y="17670624"/>
          <a:ext cx="5489156" cy="5258952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106</xdr:row>
      <xdr:rowOff>51363</xdr:rowOff>
    </xdr:from>
    <xdr:to>
      <xdr:col>531</xdr:col>
      <xdr:colOff>368258</xdr:colOff>
      <xdr:row>131</xdr:row>
      <xdr:rowOff>36689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11145" y="16872229"/>
          <a:ext cx="5007168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133</xdr:row>
      <xdr:rowOff>51364</xdr:rowOff>
    </xdr:from>
    <xdr:to>
      <xdr:col>532</xdr:col>
      <xdr:colOff>109623</xdr:colOff>
      <xdr:row>162</xdr:row>
      <xdr:rowOff>165112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58542" y="21662594"/>
          <a:ext cx="5475099" cy="5258953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95</xdr:row>
      <xdr:rowOff>51363</xdr:rowOff>
    </xdr:from>
    <xdr:ext cx="5001734" cy="4474719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22205"/>
          <a:ext cx="5004966" cy="442084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51364</xdr:rowOff>
    </xdr:from>
    <xdr:ext cx="5471426" cy="5321447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12570"/>
          <a:ext cx="5474658" cy="5258954"/>
        </a:xfrm>
        <a:prstGeom prst="rect">
          <a:avLst/>
        </a:prstGeom>
      </xdr:spPr>
    </xdr:pic>
    <xdr:clientData/>
  </xdr:one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22205"/>
          <a:ext cx="5004966" cy="4420847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165111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12570"/>
          <a:ext cx="5474658" cy="5258954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95</xdr:row>
      <xdr:rowOff>51363</xdr:rowOff>
    </xdr:from>
    <xdr:ext cx="5011430" cy="4474721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51364</xdr:rowOff>
    </xdr:from>
    <xdr:ext cx="5483278" cy="532144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one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362516</xdr:colOff>
      <xdr:row>120</xdr:row>
      <xdr:rowOff>36689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169972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108876</xdr:colOff>
      <xdr:row>151</xdr:row>
      <xdr:rowOff>165109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8960337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3903841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8694206"/>
          <a:ext cx="5473633" cy="5258954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367263</xdr:colOff>
      <xdr:row>120</xdr:row>
      <xdr:rowOff>36690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292802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110656</xdr:colOff>
      <xdr:row>151</xdr:row>
      <xdr:rowOff>165111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083167"/>
          <a:ext cx="5473633" cy="5258954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36690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8.%20P&amp;L%20(MPR)%20-%20Nov'23%20(Alchemy%20Tracking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/Main%20-%20Desktop%20Data/Data%20-%20Management/Corporate%20MIS/2022-23/13.%20MFS%20-%20Mar'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.%20MPR%20-%20May'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/Main%20-%20Desktop%20Data/Data%20-%20Management/Corporate%20MIS/2023-24/1.%20MFS%20-%20April'23%20(raised%20in%20May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/Main%20-%20Desktop%20Data/Payout/2022-23/4.%20Cons%20July'202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/Main%20-%20Desktop%20Data/Data%20-%20Management/Corporate%20MIS/2023-24/2.%20MFS%20-%20May'23%20(raised%20in%20June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ain%20-%20Desktop%20Data%20250516/SALES%20REGISTER/2018-19/7.%20Oct'18%20(Sep'18)/7.%20Corporate%20MIS%20-%20Oct-18%20(Sep-18)dt%201-11-18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ain%20-%20Desktop%20Data/SALES%20REGISTER/2019-20/3.%20June'19%20(%20May'19)/Sales%20Tracker%20June-19%20Salm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Main%20-%20Desktop%20Data%20250516/SALES%20REGISTER/2018-19/12.%20Mar'19%20(Feb'19)/7.%20Corporate%20MIS%20-MAR-19(FEB-19)dt29-MAR-19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/Main%20-%20Desktop%20Data/Data%20-%20Management/Corporate%20MIS/2024-25/10.%20MFS%20-%20Jan'2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/Main%20-%20Desktop%20Data/Data%20-%20Management/Corporate%20MIS/2023-24/6.%20MFS%20-%20Sep'23%20(raised%20in%20oc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M"/>
      <sheetName val="MS"/>
      <sheetName val="MS- summary"/>
      <sheetName val="USA"/>
      <sheetName val="US-OLD"/>
      <sheetName val="Canada"/>
      <sheetName val="FT"/>
      <sheetName val="FF-SI &amp; Cap"/>
      <sheetName val="Singapore"/>
      <sheetName val="Trend -2024"/>
      <sheetName val="Captive "/>
    </sheetNames>
    <sheetDataSet>
      <sheetData sheetId="0" refreshError="1"/>
      <sheetData sheetId="1" refreshError="1">
        <row r="67">
          <cell r="KG67">
            <v>9933830.8800000008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49">
          <cell r="CC49">
            <v>637065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oQ -1"/>
      <sheetName val="Monthly Financial Report"/>
      <sheetName val="BU Summary (2)"/>
      <sheetName val="BU Summary"/>
      <sheetName val="Tower - P&amp;L"/>
      <sheetName val="Clientwise- Tower"/>
      <sheetName val="1. Indai - T&amp;M"/>
      <sheetName val="2. Managed Services"/>
      <sheetName val="3. Permanet Staff - Billing"/>
      <sheetName val="4. USA - Business"/>
      <sheetName val="5. Canada - Business"/>
      <sheetName val="6. Salaries - Internal Staff"/>
      <sheetName val="Implemantation"/>
      <sheetName val="7. UAE - Billing vs Exp"/>
      <sheetName val="FX"/>
    </sheetNames>
    <sheetDataSet>
      <sheetData sheetId="0"/>
      <sheetData sheetId="1">
        <row r="7">
          <cell r="EA7">
            <v>14205667.600000001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47">
          <cell r="BQ47">
            <v>777790</v>
          </cell>
        </row>
        <row r="54">
          <cell r="BQ54">
            <v>-807282.05</v>
          </cell>
        </row>
      </sheetData>
      <sheetData sheetId="9">
        <row r="17">
          <cell r="JY17">
            <v>84</v>
          </cell>
        </row>
      </sheetData>
      <sheetData sheetId="10">
        <row r="17">
          <cell r="AW17">
            <v>431846.40000000014</v>
          </cell>
        </row>
      </sheetData>
      <sheetData sheetId="11">
        <row r="11">
          <cell r="F11">
            <v>93914</v>
          </cell>
        </row>
      </sheetData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-Nov'22 AB Compare"/>
      <sheetName val="Summary"/>
      <sheetName val="TM- Full May'23"/>
      <sheetName val="Sheet1"/>
      <sheetName val="MS-MAY'23"/>
      <sheetName val="MS Report (2)"/>
      <sheetName val="ms summary"/>
      <sheetName val="USA - May'23"/>
      <sheetName val="Canada-May'23"/>
      <sheetName val="FT - Mar'23"/>
      <sheetName val="MS Report"/>
      <sheetName val="Q1 vs Q2 -2022 23"/>
      <sheetName val="Sheet4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8">
          <cell r="NZ18">
            <v>67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MPR-Summary"/>
      <sheetName val="1. Indai - T&amp;M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7. UAE - Billing vs Exp"/>
      <sheetName val="FX"/>
    </sheetNames>
    <sheetDataSet>
      <sheetData sheetId="0"/>
      <sheetData sheetId="1">
        <row r="13">
          <cell r="CG13">
            <v>397867563.36663592</v>
          </cell>
        </row>
      </sheetData>
      <sheetData sheetId="2"/>
      <sheetData sheetId="3"/>
      <sheetData sheetId="4"/>
      <sheetData sheetId="5"/>
      <sheetData sheetId="6">
        <row r="5">
          <cell r="I5">
            <v>263400</v>
          </cell>
        </row>
        <row r="17">
          <cell r="E17">
            <v>877800</v>
          </cell>
          <cell r="M17">
            <v>1663500</v>
          </cell>
          <cell r="Q17">
            <v>506700</v>
          </cell>
          <cell r="U17">
            <v>1154160</v>
          </cell>
          <cell r="Y17">
            <v>350640</v>
          </cell>
          <cell r="AC17">
            <v>1572780</v>
          </cell>
          <cell r="AG17">
            <v>487980</v>
          </cell>
          <cell r="AK17">
            <v>1546368.0000000002</v>
          </cell>
          <cell r="AW17">
            <v>431846.40000000014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OUTS"/>
      <sheetName val="sumif"/>
      <sheetName val="OT"/>
      <sheetName val="ALLOWANCE"/>
      <sheetName val="INVOICE"/>
      <sheetName val="ARREARS"/>
      <sheetName val="HTD salary advance"/>
      <sheetName val="CONFEE"/>
      <sheetName val="REPORT"/>
      <sheetName val="ABSTRA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5">
          <cell r="E15">
            <v>107754</v>
          </cell>
        </row>
        <row r="16">
          <cell r="E16">
            <v>764462</v>
          </cell>
        </row>
      </sheetData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MPR-Summary"/>
      <sheetName val="Fixed Exp"/>
      <sheetName val="New Team Exp"/>
      <sheetName val="1. Indai - T&amp;M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7. UAE - Billing vs Exp"/>
      <sheetName val="FX"/>
    </sheetNames>
    <sheetDataSet>
      <sheetData sheetId="0"/>
      <sheetData sheetId="1"/>
      <sheetData sheetId="2"/>
      <sheetData sheetId="3"/>
      <sheetData sheetId="4">
        <row r="126">
          <cell r="QM126">
            <v>1031842.2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nt data"/>
    </sheetNames>
    <sheetDataSet>
      <sheetData sheetId="0" refreshError="1">
        <row r="9">
          <cell r="CT9">
            <v>133885</v>
          </cell>
          <cell r="CU9">
            <v>184536</v>
          </cell>
        </row>
        <row r="22">
          <cell r="CU22">
            <v>1724905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HEET"/>
      <sheetName val="SA"/>
      <sheetName val="VENDOR"/>
      <sheetName val="Credit Note"/>
      <sheetName val="Reco"/>
      <sheetName val="Portal details"/>
    </sheetNames>
    <sheetDataSet>
      <sheetData sheetId="0" refreshError="1">
        <row r="244">
          <cell r="T244">
            <v>189358.16</v>
          </cell>
        </row>
        <row r="382">
          <cell r="T382">
            <v>363977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nt datA-"/>
      <sheetName val="Sheet1"/>
      <sheetName val="activeproject list"/>
      <sheetName val="expired pos"/>
    </sheetNames>
    <sheetDataSet>
      <sheetData sheetId="0" refreshError="1">
        <row r="28">
          <cell r="DR28">
            <v>89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Graph"/>
      <sheetName val="Graph -Template"/>
      <sheetName val="Pointer"/>
      <sheetName val="EBITDA"/>
      <sheetName val="Status - Rev + Hire"/>
      <sheetName val="Hiring Status"/>
      <sheetName val="Cashflow "/>
      <sheetName val="1. Indai - T&amp;M"/>
      <sheetName val="2. Managed Services"/>
      <sheetName val="3.USA - Business"/>
      <sheetName val="4. JAPAN"/>
      <sheetName val="5. Canada - Business"/>
      <sheetName val="6. Singapore"/>
      <sheetName val="7. Salaries - Internal Staff"/>
      <sheetName val="Implemantation"/>
      <sheetName val="FF-SI &amp; Cap"/>
      <sheetName val="Permanet Staff - Billing"/>
      <sheetName val="Fixed Exp"/>
      <sheetName val="UAE - Billing vs Ex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0">
          <cell r="EF10">
            <v>924612</v>
          </cell>
          <cell r="FC10">
            <v>2080706</v>
          </cell>
          <cell r="FI10">
            <v>1678573</v>
          </cell>
          <cell r="FS10">
            <v>1363783</v>
          </cell>
        </row>
        <row r="11">
          <cell r="FC11">
            <v>58878</v>
          </cell>
        </row>
        <row r="19">
          <cell r="EN19">
            <v>1143199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Pointer"/>
      <sheetName val="EBITDA"/>
      <sheetName val="1. Indai - T&amp;M"/>
      <sheetName val="FF-SI &amp; Cap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New Team Exp"/>
      <sheetName val="Fixed Exp"/>
      <sheetName val="7. UAE - Billing vs Exp"/>
    </sheetNames>
    <sheetDataSet>
      <sheetData sheetId="0">
        <row r="7">
          <cell r="EA7">
            <v>14205667.600000001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9">
          <cell r="F9">
            <v>93914</v>
          </cell>
          <cell r="J9">
            <v>256943</v>
          </cell>
          <cell r="L9">
            <v>99097</v>
          </cell>
          <cell r="N9">
            <v>113934</v>
          </cell>
          <cell r="P9">
            <v>100667</v>
          </cell>
          <cell r="R9">
            <v>163167</v>
          </cell>
          <cell r="V9">
            <v>167704</v>
          </cell>
          <cell r="X9">
            <v>165228</v>
          </cell>
          <cell r="AD9">
            <v>398255</v>
          </cell>
          <cell r="AF9">
            <v>454750</v>
          </cell>
          <cell r="AH9">
            <v>442355</v>
          </cell>
          <cell r="AJ9">
            <v>293817</v>
          </cell>
          <cell r="AL9">
            <v>258761</v>
          </cell>
          <cell r="AN9">
            <v>249840</v>
          </cell>
          <cell r="AR9">
            <v>19858</v>
          </cell>
          <cell r="AX9">
            <v>198028</v>
          </cell>
          <cell r="AZ9">
            <v>176451</v>
          </cell>
          <cell r="DB9">
            <v>701095</v>
          </cell>
          <cell r="DD9">
            <v>710160</v>
          </cell>
          <cell r="DF9">
            <v>931918</v>
          </cell>
          <cell r="DP9">
            <v>923677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hyperlink" Target="mailto:TDS@28%25" TargetMode="External"/><Relationship Id="rId1" Type="http://schemas.openxmlformats.org/officeDocument/2006/relationships/hyperlink" Target="mailto:TDS@28%25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U64"/>
  <sheetViews>
    <sheetView zoomScale="93" zoomScaleNormal="93" workbookViewId="0">
      <pane xSplit="2" ySplit="2" topLeftCell="Z36" activePane="bottomRight" state="frozen"/>
      <selection pane="topRight" activeCell="C1" sqref="C1"/>
      <selection pane="bottomLeft" activeCell="A3" sqref="A3"/>
      <selection pane="bottomRight" activeCell="AF37" sqref="AF37:AI37"/>
    </sheetView>
  </sheetViews>
  <sheetFormatPr defaultRowHeight="12.9" x14ac:dyDescent="0.3"/>
  <cols>
    <col min="1" max="1" width="11.09765625" style="5668" customWidth="1"/>
    <col min="2" max="2" width="11" style="5588" bestFit="1" customWidth="1"/>
    <col min="3" max="5" width="11.8984375" style="5589" bestFit="1" customWidth="1"/>
    <col min="6" max="6" width="13.09765625" style="5590" bestFit="1" customWidth="1"/>
    <col min="7" max="15" width="13" style="5589" hidden="1" customWidth="1"/>
    <col min="16" max="18" width="11.09765625" style="5589" hidden="1" customWidth="1"/>
    <col min="19" max="19" width="13.09765625" style="5590" hidden="1" customWidth="1"/>
    <col min="20" max="20" width="13.59765625" style="5588" bestFit="1" customWidth="1"/>
    <col min="21" max="21" width="5.69921875" style="5588" hidden="1" customWidth="1"/>
    <col min="22" max="24" width="13.09765625" style="5588" hidden="1" customWidth="1"/>
    <col min="25" max="25" width="13.09765625" style="5592" hidden="1" customWidth="1"/>
    <col min="26" max="26" width="13.09765625" style="5589" bestFit="1" customWidth="1"/>
    <col min="27" max="29" width="13.09765625" style="5592" bestFit="1" customWidth="1"/>
    <col min="30" max="31" width="13.09765625" style="5588" bestFit="1" customWidth="1"/>
    <col min="32" max="35" width="13.09765625" style="5592" bestFit="1" customWidth="1"/>
    <col min="36" max="36" width="8.3984375" style="5592" hidden="1" customWidth="1"/>
    <col min="37" max="37" width="8.5" style="5592" hidden="1" customWidth="1"/>
    <col min="38" max="38" width="14.09765625" style="5592" customWidth="1"/>
    <col min="39" max="39" width="4.796875" style="5592" bestFit="1" customWidth="1"/>
    <col min="40" max="40" width="4" style="5592" customWidth="1"/>
    <col min="41" max="41" width="15.796875" style="5592" hidden="1" customWidth="1"/>
    <col min="42" max="42" width="13.09765625" style="5592" hidden="1" customWidth="1"/>
    <col min="43" max="43" width="12.09765625" style="5592" hidden="1" customWidth="1"/>
    <col min="44" max="44" width="9.69921875" style="5592" bestFit="1" customWidth="1"/>
    <col min="45" max="45" width="12" style="5592" bestFit="1" customWidth="1"/>
    <col min="46" max="46" width="7.19921875" style="5592" bestFit="1" customWidth="1"/>
    <col min="47" max="47" width="8.796875" style="5592" bestFit="1" customWidth="1"/>
    <col min="48" max="16384" width="8.796875" style="5592"/>
  </cols>
  <sheetData>
    <row r="1" spans="1:46" ht="9.15" customHeight="1" x14ac:dyDescent="0.3">
      <c r="T1" s="5591"/>
    </row>
    <row r="2" spans="1:46" s="5588" customFormat="1" ht="27.95" customHeight="1" x14ac:dyDescent="0.3">
      <c r="A2" s="6567" t="s">
        <v>174</v>
      </c>
      <c r="B2" s="6568" t="s">
        <v>640</v>
      </c>
      <c r="C2" s="6569" t="s">
        <v>206</v>
      </c>
      <c r="D2" s="6569" t="s">
        <v>3</v>
      </c>
      <c r="E2" s="6570" t="s">
        <v>191</v>
      </c>
      <c r="F2" s="6571" t="s">
        <v>1078</v>
      </c>
      <c r="G2" s="6572" t="s">
        <v>641</v>
      </c>
      <c r="H2" s="6569" t="s">
        <v>247</v>
      </c>
      <c r="I2" s="6569" t="s">
        <v>249</v>
      </c>
      <c r="J2" s="6569" t="s">
        <v>250</v>
      </c>
      <c r="K2" s="6569" t="s">
        <v>251</v>
      </c>
      <c r="L2" s="6569" t="s">
        <v>252</v>
      </c>
      <c r="M2" s="6569" t="s">
        <v>253</v>
      </c>
      <c r="N2" s="6569" t="s">
        <v>315</v>
      </c>
      <c r="O2" s="6569" t="s">
        <v>474</v>
      </c>
      <c r="P2" s="6569" t="s">
        <v>531</v>
      </c>
      <c r="Q2" s="6569" t="s">
        <v>532</v>
      </c>
      <c r="R2" s="6569" t="s">
        <v>533</v>
      </c>
      <c r="S2" s="6573" t="s">
        <v>320</v>
      </c>
      <c r="T2" s="6574" t="s">
        <v>1079</v>
      </c>
      <c r="U2" s="6575" t="s">
        <v>9</v>
      </c>
      <c r="V2" s="6576"/>
      <c r="W2" s="6576"/>
      <c r="X2" s="6576"/>
      <c r="Y2" s="6577"/>
      <c r="Z2" s="6569" t="s">
        <v>656</v>
      </c>
      <c r="AA2" s="6569" t="s">
        <v>657</v>
      </c>
      <c r="AB2" s="6569" t="s">
        <v>658</v>
      </c>
      <c r="AC2" s="6569" t="s">
        <v>659</v>
      </c>
      <c r="AD2" s="6569" t="s">
        <v>660</v>
      </c>
      <c r="AE2" s="6569" t="s">
        <v>661</v>
      </c>
      <c r="AF2" s="6569" t="s">
        <v>662</v>
      </c>
      <c r="AG2" s="6569" t="s">
        <v>663</v>
      </c>
      <c r="AH2" s="6569" t="s">
        <v>664</v>
      </c>
      <c r="AI2" s="6569" t="s">
        <v>665</v>
      </c>
      <c r="AJ2" s="6537" t="s">
        <v>666</v>
      </c>
      <c r="AK2" s="6538" t="s">
        <v>667</v>
      </c>
      <c r="AL2" s="6579" t="s">
        <v>1001</v>
      </c>
      <c r="AM2" s="6578" t="s">
        <v>9</v>
      </c>
      <c r="AO2" s="5668" t="s">
        <v>350</v>
      </c>
      <c r="AP2" s="5668" t="s">
        <v>182</v>
      </c>
      <c r="AQ2" s="5588" t="s">
        <v>183</v>
      </c>
    </row>
    <row r="3" spans="1:46" ht="16.25" customHeight="1" x14ac:dyDescent="0.3">
      <c r="A3" s="5669" t="s">
        <v>642</v>
      </c>
      <c r="B3" s="5594" t="s">
        <v>5</v>
      </c>
      <c r="C3" s="5595">
        <v>95</v>
      </c>
      <c r="D3" s="5595">
        <v>145</v>
      </c>
      <c r="E3" s="5596">
        <v>121</v>
      </c>
      <c r="F3" s="5597">
        <v>120</v>
      </c>
      <c r="G3" s="5598">
        <v>120</v>
      </c>
      <c r="H3" s="5595">
        <v>118</v>
      </c>
      <c r="I3" s="5595">
        <v>122</v>
      </c>
      <c r="J3" s="5595">
        <v>130</v>
      </c>
      <c r="K3" s="5595">
        <v>125</v>
      </c>
      <c r="L3" s="5595">
        <v>121</v>
      </c>
      <c r="M3" s="5595">
        <v>123</v>
      </c>
      <c r="N3" s="5595">
        <v>123</v>
      </c>
      <c r="O3" s="5595">
        <v>114</v>
      </c>
      <c r="P3" s="5595">
        <v>113</v>
      </c>
      <c r="Q3" s="5595">
        <v>120</v>
      </c>
      <c r="R3" s="5595">
        <v>123</v>
      </c>
      <c r="S3" s="5599"/>
      <c r="T3" s="6542">
        <v>120</v>
      </c>
      <c r="U3" s="5600"/>
      <c r="V3" s="5601">
        <f>G3+H3+I3</f>
        <v>360</v>
      </c>
      <c r="W3" s="5601">
        <f>J3+K3+L3</f>
        <v>376</v>
      </c>
      <c r="X3" s="5601">
        <f>M3+N3+O3</f>
        <v>360</v>
      </c>
      <c r="Y3" s="5602">
        <f>P3+Q3+R3</f>
        <v>356</v>
      </c>
      <c r="Z3" s="5595">
        <v>121</v>
      </c>
      <c r="AA3" s="5595">
        <v>129</v>
      </c>
      <c r="AB3" s="5595">
        <v>124</v>
      </c>
      <c r="AC3" s="5595">
        <v>117</v>
      </c>
      <c r="AD3" s="5603">
        <v>114</v>
      </c>
      <c r="AE3" s="5595">
        <v>130</v>
      </c>
      <c r="AF3" s="5595">
        <v>133</v>
      </c>
      <c r="AG3" s="5595">
        <v>136</v>
      </c>
      <c r="AH3" s="5595">
        <v>140</v>
      </c>
      <c r="AI3" s="5595">
        <v>134</v>
      </c>
      <c r="AJ3" s="5595">
        <v>0</v>
      </c>
      <c r="AK3" s="5596">
        <v>0</v>
      </c>
      <c r="AL3" s="6580"/>
      <c r="AM3" s="5604"/>
    </row>
    <row r="4" spans="1:46" ht="16.25" customHeight="1" x14ac:dyDescent="0.3">
      <c r="A4" s="5670"/>
      <c r="B4" s="5605" t="s">
        <v>52</v>
      </c>
      <c r="C4" s="5606">
        <v>9412941</v>
      </c>
      <c r="D4" s="5606">
        <v>31370133</v>
      </c>
      <c r="E4" s="5607">
        <v>29193508</v>
      </c>
      <c r="F4" s="5608">
        <v>362123257</v>
      </c>
      <c r="G4" s="5609">
        <v>25339992.52</v>
      </c>
      <c r="H4" s="5606">
        <v>29156600</v>
      </c>
      <c r="I4" s="5606">
        <v>28365626.600000001</v>
      </c>
      <c r="J4" s="5606">
        <v>31187325</v>
      </c>
      <c r="K4" s="5606">
        <v>30584672.879999999</v>
      </c>
      <c r="L4" s="5606">
        <v>27232157</v>
      </c>
      <c r="M4" s="5606">
        <v>27350986.16</v>
      </c>
      <c r="N4" s="5606">
        <v>26401873.350000001</v>
      </c>
      <c r="O4" s="5606">
        <v>19944482.990000002</v>
      </c>
      <c r="P4" s="5606">
        <v>22996298</v>
      </c>
      <c r="Q4" s="5606">
        <f>'T&amp;M'!NP80</f>
        <v>24802460.790000003</v>
      </c>
      <c r="R4" s="5606">
        <v>26094233.550000001</v>
      </c>
      <c r="S4" s="5610">
        <f>P4+Q4+R4</f>
        <v>73892992.340000004</v>
      </c>
      <c r="T4" s="6543">
        <f>SUM(G4:R4)+12755296</f>
        <v>332212004.84000003</v>
      </c>
      <c r="U4" s="5600"/>
      <c r="V4" s="5601">
        <f t="shared" ref="V4:V55" si="0">G4+H4+I4</f>
        <v>82862219.120000005</v>
      </c>
      <c r="W4" s="5601">
        <f t="shared" ref="W4:W55" si="1">J4+K4+L4</f>
        <v>89004154.879999995</v>
      </c>
      <c r="X4" s="5601">
        <f t="shared" ref="X4:X55" si="2">M4+N4+O4</f>
        <v>73697342.5</v>
      </c>
      <c r="Y4" s="5602">
        <f t="shared" ref="Y4:Y55" si="3">P4+Q4+R4</f>
        <v>73892992.340000004</v>
      </c>
      <c r="Z4" s="5606">
        <v>23960117.190000001</v>
      </c>
      <c r="AA4" s="5609">
        <v>25798598</v>
      </c>
      <c r="AB4" s="5609">
        <v>23790839</v>
      </c>
      <c r="AC4" s="5609">
        <v>24073005</v>
      </c>
      <c r="AD4" s="5609">
        <v>22830025.68</v>
      </c>
      <c r="AE4" s="5609">
        <v>23113975</v>
      </c>
      <c r="AF4" s="5609">
        <v>22940739</v>
      </c>
      <c r="AG4" s="5609">
        <v>21608233</v>
      </c>
      <c r="AH4" s="5609">
        <v>20805513.77</v>
      </c>
      <c r="AI4" s="5609">
        <v>21673234.969999999</v>
      </c>
      <c r="AJ4" s="5609">
        <v>0</v>
      </c>
      <c r="AK4" s="5611">
        <v>0</v>
      </c>
      <c r="AL4" s="6581">
        <f>SUM(Z4:AK4)</f>
        <v>230594280.61000001</v>
      </c>
      <c r="AM4" s="5604"/>
      <c r="AO4" s="5602">
        <f>Z4+AA4+AB4</f>
        <v>73549554.189999998</v>
      </c>
      <c r="AP4" s="5602">
        <f>AC4+AD4+AE4</f>
        <v>70017005.680000007</v>
      </c>
      <c r="AQ4" s="5602"/>
      <c r="AR4" s="5602"/>
      <c r="AS4" s="5602"/>
      <c r="AT4" s="5602"/>
    </row>
    <row r="5" spans="1:46" ht="16.25" customHeight="1" x14ac:dyDescent="0.3">
      <c r="A5" s="5670"/>
      <c r="B5" s="5605" t="s">
        <v>280</v>
      </c>
      <c r="C5" s="5606">
        <v>3392933</v>
      </c>
      <c r="D5" s="5606">
        <v>11451992</v>
      </c>
      <c r="E5" s="5607">
        <v>9262552</v>
      </c>
      <c r="F5" s="5608">
        <v>120680348</v>
      </c>
      <c r="G5" s="5609">
        <v>6724659</v>
      </c>
      <c r="H5" s="5606">
        <v>9056534</v>
      </c>
      <c r="I5" s="5606">
        <v>8733030.5999999996</v>
      </c>
      <c r="J5" s="5606">
        <v>9830240</v>
      </c>
      <c r="K5" s="5606">
        <v>9933830.8800000008</v>
      </c>
      <c r="L5" s="5606">
        <f>7267914+328270</f>
        <v>7596184</v>
      </c>
      <c r="M5" s="5606">
        <v>8656537.1600000001</v>
      </c>
      <c r="N5" s="5606">
        <v>8927947.3500000015</v>
      </c>
      <c r="O5" s="5606">
        <v>5576696.9900000002</v>
      </c>
      <c r="P5" s="5606">
        <v>8111915</v>
      </c>
      <c r="Q5" s="5606">
        <f>'T&amp;M'!NR80</f>
        <v>9172143.7899999991</v>
      </c>
      <c r="R5" s="5606">
        <v>9959794.5500000007</v>
      </c>
      <c r="S5" s="5610">
        <f>P5+Q5+R5</f>
        <v>27243853.34</v>
      </c>
      <c r="T5" s="6543">
        <f>SUM(G5:R5)+5335942</f>
        <v>107615455.32000001</v>
      </c>
      <c r="U5" s="5612">
        <f>S5/S4</f>
        <v>0.368693329059463</v>
      </c>
      <c r="V5" s="5601">
        <f t="shared" si="0"/>
        <v>24514223.600000001</v>
      </c>
      <c r="W5" s="5601">
        <f t="shared" si="1"/>
        <v>27360254.880000003</v>
      </c>
      <c r="X5" s="5601">
        <f t="shared" si="2"/>
        <v>23161181.5</v>
      </c>
      <c r="Y5" s="5602">
        <f t="shared" si="3"/>
        <v>27243853.34</v>
      </c>
      <c r="Z5" s="5606">
        <v>8313424.1900000004</v>
      </c>
      <c r="AA5" s="5609">
        <v>9591258.4250000007</v>
      </c>
      <c r="AB5" s="5609">
        <v>7811574.1799999997</v>
      </c>
      <c r="AC5" s="5609">
        <v>9382807.6150000002</v>
      </c>
      <c r="AD5" s="5609">
        <v>8549640.022499999</v>
      </c>
      <c r="AE5" s="5609">
        <v>7751867.6349999998</v>
      </c>
      <c r="AF5" s="5609">
        <v>8860204</v>
      </c>
      <c r="AG5" s="5609">
        <v>7087429</v>
      </c>
      <c r="AH5" s="5609">
        <v>5935542.7699999996</v>
      </c>
      <c r="AI5" s="5609">
        <v>8173263.9699999997</v>
      </c>
      <c r="AJ5" s="5609">
        <v>0</v>
      </c>
      <c r="AK5" s="5611">
        <v>0</v>
      </c>
      <c r="AL5" s="6581">
        <f>SUM(Z5:AK5)</f>
        <v>81457011.80749999</v>
      </c>
      <c r="AM5" s="5613">
        <f>AL5/AL4</f>
        <v>0.35324818808176245</v>
      </c>
      <c r="AO5" s="5602">
        <f t="shared" ref="AO5:AO55" si="4">Z5+AA5+AB5</f>
        <v>25716256.795000002</v>
      </c>
      <c r="AP5" s="5602">
        <f t="shared" ref="AP5:AP55" si="5">AC5+AD5+AE5</f>
        <v>25684315.272500001</v>
      </c>
      <c r="AQ5" s="5602"/>
      <c r="AR5" s="5602"/>
    </row>
    <row r="6" spans="1:46" ht="16.25" customHeight="1" x14ac:dyDescent="0.3">
      <c r="A6" s="5670"/>
      <c r="B6" s="5605" t="s">
        <v>355</v>
      </c>
      <c r="C6" s="5606">
        <v>0</v>
      </c>
      <c r="D6" s="5606">
        <v>0</v>
      </c>
      <c r="E6" s="5607">
        <v>0</v>
      </c>
      <c r="F6" s="5608">
        <v>15747186</v>
      </c>
      <c r="G6" s="5609">
        <v>1220918</v>
      </c>
      <c r="H6" s="5606">
        <v>1140508</v>
      </c>
      <c r="I6" s="5606">
        <v>1390544</v>
      </c>
      <c r="J6" s="5606">
        <v>1692407</v>
      </c>
      <c r="K6" s="5606">
        <v>1858188</v>
      </c>
      <c r="L6" s="5606">
        <v>2099627</v>
      </c>
      <c r="M6" s="5606">
        <v>2835437</v>
      </c>
      <c r="N6" s="5606">
        <v>2118435</v>
      </c>
      <c r="O6" s="5606">
        <v>2252299</v>
      </c>
      <c r="P6" s="5606">
        <v>1999051</v>
      </c>
      <c r="Q6" s="5606">
        <f>'T&amp;M'!NT80</f>
        <v>1208226</v>
      </c>
      <c r="R6" s="5606">
        <v>1331334</v>
      </c>
      <c r="S6" s="5610">
        <f>P6+Q6+R6</f>
        <v>4538611</v>
      </c>
      <c r="T6" s="6543">
        <f>SUM(G6:R6)</f>
        <v>21146974</v>
      </c>
      <c r="U6" s="5614">
        <f>R6/Q5</f>
        <v>0.14514970877926023</v>
      </c>
      <c r="V6" s="5601">
        <f t="shared" si="0"/>
        <v>3751970</v>
      </c>
      <c r="W6" s="5601">
        <f t="shared" si="1"/>
        <v>5650222</v>
      </c>
      <c r="X6" s="5601">
        <f t="shared" si="2"/>
        <v>7206171</v>
      </c>
      <c r="Y6" s="5602">
        <f t="shared" si="3"/>
        <v>4538611</v>
      </c>
      <c r="Z6" s="5606">
        <v>1257750</v>
      </c>
      <c r="AA6" s="5609">
        <v>1429456</v>
      </c>
      <c r="AB6" s="5609">
        <v>1188168</v>
      </c>
      <c r="AC6" s="5609">
        <v>1192452</v>
      </c>
      <c r="AD6" s="5609">
        <v>1123935</v>
      </c>
      <c r="AE6" s="5609">
        <v>989811</v>
      </c>
      <c r="AF6" s="5609">
        <v>1001582</v>
      </c>
      <c r="AG6" s="5609">
        <v>1032106</v>
      </c>
      <c r="AH6" s="5609">
        <v>1130245</v>
      </c>
      <c r="AI6" s="5609">
        <v>1064663</v>
      </c>
      <c r="AJ6" s="5609">
        <v>0</v>
      </c>
      <c r="AK6" s="5611">
        <v>0</v>
      </c>
      <c r="AL6" s="6581">
        <f>SUM(Z6:AK6)</f>
        <v>11410168</v>
      </c>
      <c r="AM6" s="5615">
        <f>AG6/AG5</f>
        <v>0.14562488033389823</v>
      </c>
      <c r="AO6" s="5602">
        <f t="shared" si="4"/>
        <v>3875374</v>
      </c>
      <c r="AP6" s="5602">
        <f t="shared" si="5"/>
        <v>3306198</v>
      </c>
    </row>
    <row r="7" spans="1:46" ht="16.25" customHeight="1" x14ac:dyDescent="0.3">
      <c r="A7" s="5671"/>
      <c r="B7" s="5616" t="s">
        <v>360</v>
      </c>
      <c r="C7" s="5617">
        <v>1820565</v>
      </c>
      <c r="D7" s="5617">
        <v>6844259</v>
      </c>
      <c r="E7" s="5618">
        <v>2863599</v>
      </c>
      <c r="F7" s="5619">
        <v>54827409.322191924</v>
      </c>
      <c r="G7" s="5620">
        <v>909069.31999999983</v>
      </c>
      <c r="H7" s="5617">
        <v>3449166.2</v>
      </c>
      <c r="I7" s="5617">
        <v>2588661.6999999997</v>
      </c>
      <c r="J7" s="5617">
        <v>3694371.4000000004</v>
      </c>
      <c r="K7" s="5617">
        <v>4063910.88</v>
      </c>
      <c r="L7" s="5617">
        <v>382216.69999999972</v>
      </c>
      <c r="M7" s="5617">
        <v>826424.57449999964</v>
      </c>
      <c r="N7" s="5617">
        <v>2533102.65</v>
      </c>
      <c r="O7" s="5617">
        <v>-1135705.9099999999</v>
      </c>
      <c r="P7" s="5617">
        <v>2567813.9</v>
      </c>
      <c r="Q7" s="5617">
        <f>'T&amp;M'!NW80</f>
        <v>4299439.79</v>
      </c>
      <c r="R7" s="5617">
        <v>2008237.8</v>
      </c>
      <c r="S7" s="5621">
        <f>P7+Q7+R7</f>
        <v>8875491.4900000002</v>
      </c>
      <c r="T7" s="6544">
        <f>SUM(G7:R7)+5335942</f>
        <v>31522651.004499998</v>
      </c>
      <c r="U7" s="5612">
        <f>T7/T4</f>
        <v>9.4887152015117396E-2</v>
      </c>
      <c r="V7" s="5601">
        <f t="shared" si="0"/>
        <v>6946897.2199999988</v>
      </c>
      <c r="W7" s="5601">
        <f t="shared" si="1"/>
        <v>8140498.9800000004</v>
      </c>
      <c r="X7" s="5601">
        <f t="shared" si="2"/>
        <v>2223821.3144999994</v>
      </c>
      <c r="Y7" s="5602">
        <f t="shared" si="3"/>
        <v>8875491.4900000002</v>
      </c>
      <c r="Z7" s="5617">
        <v>4021212.69</v>
      </c>
      <c r="AA7" s="5620">
        <v>5638749.1749999998</v>
      </c>
      <c r="AB7" s="5620">
        <v>3557967.98</v>
      </c>
      <c r="AC7" s="5620">
        <v>5328516.6150000002</v>
      </c>
      <c r="AD7" s="5620">
        <v>4642028.0225</v>
      </c>
      <c r="AE7" s="5620">
        <v>3805633.6349999998</v>
      </c>
      <c r="AF7" s="5620">
        <f>'T&amp;M'!SB80</f>
        <v>3372852.76</v>
      </c>
      <c r="AG7" s="5620">
        <v>3351606.76</v>
      </c>
      <c r="AH7" s="5620">
        <v>2019877.77</v>
      </c>
      <c r="AI7" s="5620">
        <v>4471958.97</v>
      </c>
      <c r="AJ7" s="5620">
        <v>0</v>
      </c>
      <c r="AK7" s="5622">
        <v>0</v>
      </c>
      <c r="AL7" s="6582">
        <f>SUM(Z7:AK7)</f>
        <v>40210404.377499998</v>
      </c>
      <c r="AM7" s="5623">
        <f>AF7/AF5</f>
        <v>0.3806743907928079</v>
      </c>
      <c r="AO7" s="5602">
        <f t="shared" si="4"/>
        <v>13217929.845000001</v>
      </c>
      <c r="AP7" s="5602">
        <f t="shared" si="5"/>
        <v>13776178.272499999</v>
      </c>
    </row>
    <row r="8" spans="1:46" s="6566" customFormat="1" ht="10.75" x14ac:dyDescent="0.3">
      <c r="A8" s="6553"/>
      <c r="B8" s="6554"/>
      <c r="C8" s="6555"/>
      <c r="D8" s="6556"/>
      <c r="E8" s="6557"/>
      <c r="F8" s="6558"/>
      <c r="G8" s="6555"/>
      <c r="H8" s="6556"/>
      <c r="I8" s="6556"/>
      <c r="J8" s="6556"/>
      <c r="K8" s="6556"/>
      <c r="L8" s="6556"/>
      <c r="M8" s="6556"/>
      <c r="N8" s="6556"/>
      <c r="O8" s="6556"/>
      <c r="P8" s="6556"/>
      <c r="Q8" s="6556"/>
      <c r="R8" s="6556"/>
      <c r="S8" s="6559"/>
      <c r="T8" s="6560"/>
      <c r="U8" s="6561"/>
      <c r="V8" s="6562">
        <f t="shared" ref="V8" si="6">G8+H8+I8</f>
        <v>0</v>
      </c>
      <c r="W8" s="6562">
        <f t="shared" ref="W8" si="7">J8+K8+L8</f>
        <v>0</v>
      </c>
      <c r="X8" s="6562">
        <f t="shared" ref="X8" si="8">M8+N8+O8</f>
        <v>0</v>
      </c>
      <c r="Y8" s="6563">
        <f t="shared" ref="Y8" si="9">P8+Q8+R8</f>
        <v>0</v>
      </c>
      <c r="Z8" s="6556">
        <f>Z7/Z4</f>
        <v>0.16782942496117231</v>
      </c>
      <c r="AA8" s="6564">
        <f t="shared" ref="AA8:AI8" si="10">AA7/AA4</f>
        <v>0.21856804679851208</v>
      </c>
      <c r="AB8" s="6564">
        <f t="shared" si="10"/>
        <v>0.14955201790067177</v>
      </c>
      <c r="AC8" s="6564">
        <f t="shared" si="10"/>
        <v>0.22134821203252358</v>
      </c>
      <c r="AD8" s="6564">
        <f t="shared" si="10"/>
        <v>0.20332995186100902</v>
      </c>
      <c r="AE8" s="6564">
        <f t="shared" si="10"/>
        <v>0.16464643727441947</v>
      </c>
      <c r="AF8" s="6564">
        <f t="shared" si="10"/>
        <v>0.14702459062020626</v>
      </c>
      <c r="AG8" s="6564">
        <f t="shared" si="10"/>
        <v>0.15510785912017885</v>
      </c>
      <c r="AH8" s="6564">
        <f t="shared" si="10"/>
        <v>9.7083772711852631E-2</v>
      </c>
      <c r="AI8" s="6564">
        <f t="shared" si="10"/>
        <v>0.20633555517623772</v>
      </c>
      <c r="AJ8" s="6556"/>
      <c r="AK8" s="6557"/>
      <c r="AL8" s="6583">
        <f>AL7/AL4</f>
        <v>0.17437728408150388</v>
      </c>
      <c r="AM8" s="6565"/>
      <c r="AO8" s="6563">
        <f t="shared" ref="AO8" si="11">Z8+AA8+AB8</f>
        <v>0.53594948966035616</v>
      </c>
      <c r="AP8" s="6563">
        <f t="shared" ref="AP8" si="12">AC8+AD8+AE8</f>
        <v>0.58932460116795204</v>
      </c>
    </row>
    <row r="9" spans="1:46" ht="16.25" customHeight="1" x14ac:dyDescent="0.3">
      <c r="A9" s="5669" t="s">
        <v>444</v>
      </c>
      <c r="B9" s="5594" t="s">
        <v>5</v>
      </c>
      <c r="C9" s="5595">
        <v>507</v>
      </c>
      <c r="D9" s="5595">
        <v>520</v>
      </c>
      <c r="E9" s="5596">
        <v>232</v>
      </c>
      <c r="F9" s="5597">
        <v>232</v>
      </c>
      <c r="G9" s="5598">
        <v>231</v>
      </c>
      <c r="H9" s="5595">
        <v>226</v>
      </c>
      <c r="I9" s="5595">
        <v>205</v>
      </c>
      <c r="J9" s="5595">
        <v>203</v>
      </c>
      <c r="K9" s="5595">
        <v>200</v>
      </c>
      <c r="L9" s="5595">
        <v>202</v>
      </c>
      <c r="M9" s="5595">
        <v>193</v>
      </c>
      <c r="N9" s="5595">
        <v>186</v>
      </c>
      <c r="O9" s="5595">
        <v>195</v>
      </c>
      <c r="P9" s="5595">
        <v>187</v>
      </c>
      <c r="Q9" s="5595">
        <v>185</v>
      </c>
      <c r="R9" s="5595">
        <v>180</v>
      </c>
      <c r="S9" s="5599"/>
      <c r="T9" s="6542">
        <v>180</v>
      </c>
      <c r="U9" s="5631"/>
      <c r="V9" s="5601">
        <f t="shared" si="0"/>
        <v>662</v>
      </c>
      <c r="W9" s="5601">
        <f t="shared" si="1"/>
        <v>605</v>
      </c>
      <c r="X9" s="5601">
        <f t="shared" si="2"/>
        <v>574</v>
      </c>
      <c r="Y9" s="5602">
        <f t="shared" si="3"/>
        <v>552</v>
      </c>
      <c r="Z9" s="5595">
        <v>185</v>
      </c>
      <c r="AA9" s="5598">
        <v>187</v>
      </c>
      <c r="AB9" s="5598">
        <v>210</v>
      </c>
      <c r="AC9" s="5598">
        <v>222</v>
      </c>
      <c r="AD9" s="5598">
        <v>226</v>
      </c>
      <c r="AE9" s="5598">
        <v>251</v>
      </c>
      <c r="AF9" s="5598">
        <v>256</v>
      </c>
      <c r="AG9" s="5598">
        <v>257</v>
      </c>
      <c r="AH9" s="5598">
        <v>247</v>
      </c>
      <c r="AI9" s="5598">
        <v>246</v>
      </c>
      <c r="AJ9" s="5598">
        <v>0</v>
      </c>
      <c r="AK9" s="5632">
        <v>0</v>
      </c>
      <c r="AL9" s="6580"/>
      <c r="AM9" s="5633"/>
      <c r="AO9" s="5602"/>
      <c r="AP9" s="5602"/>
    </row>
    <row r="10" spans="1:46" ht="16.25" customHeight="1" x14ac:dyDescent="0.3">
      <c r="A10" s="5670"/>
      <c r="B10" s="5605" t="s">
        <v>52</v>
      </c>
      <c r="C10" s="5606">
        <v>36610403</v>
      </c>
      <c r="D10" s="5606">
        <v>43848104</v>
      </c>
      <c r="E10" s="5607">
        <v>20488752</v>
      </c>
      <c r="F10" s="5608">
        <v>392656486.38000005</v>
      </c>
      <c r="G10" s="5609">
        <v>20586203</v>
      </c>
      <c r="H10" s="5606">
        <v>22361834</v>
      </c>
      <c r="I10" s="5606">
        <v>19169439</v>
      </c>
      <c r="J10" s="5606">
        <v>20878669</v>
      </c>
      <c r="K10" s="5606">
        <v>19765707</v>
      </c>
      <c r="L10" s="5606">
        <v>17711275</v>
      </c>
      <c r="M10" s="5606">
        <v>17418106</v>
      </c>
      <c r="N10" s="5606">
        <v>17672451</v>
      </c>
      <c r="O10" s="5606">
        <v>17532084.710000001</v>
      </c>
      <c r="P10" s="5606">
        <v>19185112</v>
      </c>
      <c r="Q10" s="5606">
        <f>'T&amp;M'!NP58</f>
        <v>18846121.309999999</v>
      </c>
      <c r="R10" s="5606">
        <v>18188690.309999999</v>
      </c>
      <c r="S10" s="5610">
        <f>P10+Q10+R10</f>
        <v>56219923.620000005</v>
      </c>
      <c r="T10" s="6543">
        <f>SUM(G10:R10)+10414251</f>
        <v>239729943.33000001</v>
      </c>
      <c r="U10" s="5624"/>
      <c r="V10" s="5601">
        <f t="shared" si="0"/>
        <v>62117476</v>
      </c>
      <c r="W10" s="5601">
        <f t="shared" si="1"/>
        <v>58355651</v>
      </c>
      <c r="X10" s="5601">
        <f t="shared" si="2"/>
        <v>52622641.710000001</v>
      </c>
      <c r="Y10" s="5602">
        <f t="shared" si="3"/>
        <v>56219923.620000005</v>
      </c>
      <c r="Z10" s="5606">
        <v>18038097.670000002</v>
      </c>
      <c r="AA10" s="5609">
        <v>18287616</v>
      </c>
      <c r="AB10" s="5609">
        <v>20043521</v>
      </c>
      <c r="AC10" s="5609">
        <v>23043388</v>
      </c>
      <c r="AD10" s="5609">
        <v>21406026</v>
      </c>
      <c r="AE10" s="5609">
        <v>25756090</v>
      </c>
      <c r="AF10" s="5609">
        <v>25661511.18</v>
      </c>
      <c r="AG10" s="5609">
        <v>25187260</v>
      </c>
      <c r="AH10" s="5609">
        <v>27176262.530000001</v>
      </c>
      <c r="AI10" s="5609">
        <v>26134211.739999998</v>
      </c>
      <c r="AJ10" s="5609">
        <v>0</v>
      </c>
      <c r="AK10" s="5611">
        <v>0</v>
      </c>
      <c r="AL10" s="6581">
        <f>SUM(Z10:AK10)</f>
        <v>230733984.12</v>
      </c>
      <c r="AM10" s="5633"/>
      <c r="AO10" s="5602">
        <f t="shared" si="4"/>
        <v>56369234.670000002</v>
      </c>
      <c r="AP10" s="5602">
        <f>AC10+AD10+AE10</f>
        <v>70205504</v>
      </c>
      <c r="AQ10" s="5602"/>
      <c r="AR10" s="5602"/>
    </row>
    <row r="11" spans="1:46" ht="16.25" customHeight="1" x14ac:dyDescent="0.3">
      <c r="A11" s="5670"/>
      <c r="B11" s="5605" t="s">
        <v>280</v>
      </c>
      <c r="C11" s="5606">
        <v>11639022</v>
      </c>
      <c r="D11" s="5606">
        <v>11678825</v>
      </c>
      <c r="E11" s="5607">
        <v>3234575</v>
      </c>
      <c r="F11" s="5608">
        <v>93078372.379999995</v>
      </c>
      <c r="G11" s="5609">
        <v>4183843</v>
      </c>
      <c r="H11" s="5606">
        <v>5960974</v>
      </c>
      <c r="I11" s="5606">
        <v>3788597</v>
      </c>
      <c r="J11" s="5606">
        <v>5814186</v>
      </c>
      <c r="K11" s="5606">
        <v>4849479</v>
      </c>
      <c r="L11" s="5606">
        <v>3676751</v>
      </c>
      <c r="M11" s="5606">
        <v>3786897</v>
      </c>
      <c r="N11" s="5606">
        <v>3734069</v>
      </c>
      <c r="O11" s="5606">
        <v>3498369.71</v>
      </c>
      <c r="P11" s="5606">
        <v>4741111</v>
      </c>
      <c r="Q11" s="5606">
        <f>'T&amp;M'!NR58</f>
        <v>4411338.3100000005</v>
      </c>
      <c r="R11" s="5606">
        <v>4667705.3100000005</v>
      </c>
      <c r="S11" s="5610">
        <f>P11+Q11+R11</f>
        <v>13820154.620000001</v>
      </c>
      <c r="T11" s="6543">
        <f>SUM(G11:R11)+3088025</f>
        <v>56201345.330000006</v>
      </c>
      <c r="U11" s="5612">
        <f>T11/T10</f>
        <v>0.23443606814120879</v>
      </c>
      <c r="V11" s="5601">
        <f t="shared" si="0"/>
        <v>13933414</v>
      </c>
      <c r="W11" s="5601">
        <f t="shared" si="1"/>
        <v>14340416</v>
      </c>
      <c r="X11" s="5601">
        <f t="shared" si="2"/>
        <v>11019335.710000001</v>
      </c>
      <c r="Y11" s="5602">
        <f t="shared" si="3"/>
        <v>13820154.620000001</v>
      </c>
      <c r="Z11" s="5606">
        <v>4619186.9924999997</v>
      </c>
      <c r="AA11" s="5609">
        <v>4142768.6724999999</v>
      </c>
      <c r="AB11" s="5609">
        <v>4425583.4124999996</v>
      </c>
      <c r="AC11" s="5609">
        <v>6397699.5624999991</v>
      </c>
      <c r="AD11" s="5609">
        <v>4890228.5724999998</v>
      </c>
      <c r="AE11" s="5609">
        <v>5973846.9224999985</v>
      </c>
      <c r="AF11" s="5609">
        <v>6107109.0824999996</v>
      </c>
      <c r="AG11" s="5609">
        <v>5383589.2374999998</v>
      </c>
      <c r="AH11" s="5609">
        <v>7363175.6425000001</v>
      </c>
      <c r="AI11" s="5609">
        <v>6790597.9325000001</v>
      </c>
      <c r="AJ11" s="5609">
        <v>0</v>
      </c>
      <c r="AK11" s="5611">
        <v>0</v>
      </c>
      <c r="AL11" s="6584">
        <f>SUM(Z11:AK11)</f>
        <v>56093786.029999994</v>
      </c>
      <c r="AM11" s="5612">
        <f>AC11/AC10</f>
        <v>0.27763710624930671</v>
      </c>
      <c r="AO11" s="5602">
        <f t="shared" si="4"/>
        <v>13187539.077499999</v>
      </c>
      <c r="AP11" s="5602">
        <f t="shared" si="5"/>
        <v>17261775.057499997</v>
      </c>
      <c r="AQ11" s="5602"/>
      <c r="AR11" s="5602"/>
    </row>
    <row r="12" spans="1:46" ht="16.25" customHeight="1" x14ac:dyDescent="0.3">
      <c r="A12" s="5670"/>
      <c r="B12" s="5605" t="s">
        <v>355</v>
      </c>
      <c r="C12" s="5606">
        <v>0</v>
      </c>
      <c r="D12" s="5606">
        <v>0</v>
      </c>
      <c r="E12" s="5607">
        <v>0</v>
      </c>
      <c r="F12" s="5608">
        <v>22470814.966666665</v>
      </c>
      <c r="G12" s="5609">
        <v>1924485</v>
      </c>
      <c r="H12" s="5606">
        <v>1326748</v>
      </c>
      <c r="I12" s="5606">
        <v>1467466</v>
      </c>
      <c r="J12" s="5606">
        <v>2003266</v>
      </c>
      <c r="K12" s="5606">
        <v>1860654</v>
      </c>
      <c r="L12" s="5606">
        <v>1240875</v>
      </c>
      <c r="M12" s="5606">
        <v>1088945</v>
      </c>
      <c r="N12" s="5606">
        <v>1397777</v>
      </c>
      <c r="O12" s="5606">
        <v>2232829</v>
      </c>
      <c r="P12" s="5606">
        <v>2104744</v>
      </c>
      <c r="Q12" s="5606">
        <f>'T&amp;M'!NT58</f>
        <v>1617879</v>
      </c>
      <c r="R12" s="5606">
        <v>1579390</v>
      </c>
      <c r="S12" s="5610">
        <f>P12+Q12+R12</f>
        <v>5302013</v>
      </c>
      <c r="T12" s="6543">
        <f>SUM(G12:R12)</f>
        <v>19845058</v>
      </c>
      <c r="U12" s="5614">
        <f>R12/Q11</f>
        <v>0.35802967013881098</v>
      </c>
      <c r="V12" s="5601">
        <f t="shared" si="0"/>
        <v>4718699</v>
      </c>
      <c r="W12" s="5601">
        <f t="shared" si="1"/>
        <v>5104795</v>
      </c>
      <c r="X12" s="5601">
        <f t="shared" si="2"/>
        <v>4719551</v>
      </c>
      <c r="Y12" s="5602">
        <f t="shared" si="3"/>
        <v>5302013</v>
      </c>
      <c r="Z12" s="5606">
        <v>1609429</v>
      </c>
      <c r="AA12" s="5609">
        <v>1652890</v>
      </c>
      <c r="AB12" s="5609">
        <v>1998465</v>
      </c>
      <c r="AC12" s="5609">
        <v>2154025</v>
      </c>
      <c r="AD12" s="5609">
        <v>2169844</v>
      </c>
      <c r="AE12" s="5609">
        <v>1987574</v>
      </c>
      <c r="AF12" s="5609">
        <v>1805113</v>
      </c>
      <c r="AG12" s="5609">
        <v>1979232</v>
      </c>
      <c r="AH12" s="5609">
        <v>1798213</v>
      </c>
      <c r="AI12" s="5609">
        <v>1914012</v>
      </c>
      <c r="AJ12" s="5609">
        <v>0</v>
      </c>
      <c r="AK12" s="5611">
        <v>0</v>
      </c>
      <c r="AL12" s="6584">
        <f>SUM(Z12:AK12)</f>
        <v>19068797</v>
      </c>
      <c r="AM12" s="5614">
        <f>AG12/AG11</f>
        <v>0.36764171869083839</v>
      </c>
      <c r="AO12" s="5602">
        <f t="shared" si="4"/>
        <v>5260784</v>
      </c>
      <c r="AP12" s="5602">
        <f t="shared" si="5"/>
        <v>6311443</v>
      </c>
      <c r="AQ12" s="5602"/>
    </row>
    <row r="13" spans="1:46" ht="16.25" customHeight="1" x14ac:dyDescent="0.3">
      <c r="A13" s="5671"/>
      <c r="B13" s="5616" t="s">
        <v>360</v>
      </c>
      <c r="C13" s="5617">
        <v>0</v>
      </c>
      <c r="D13" s="5617">
        <v>0</v>
      </c>
      <c r="E13" s="5618">
        <v>-433925</v>
      </c>
      <c r="F13" s="5619">
        <v>15361247.684025643</v>
      </c>
      <c r="G13" s="5620">
        <v>178283</v>
      </c>
      <c r="H13" s="5617">
        <v>-530918.32000000007</v>
      </c>
      <c r="I13" s="5617">
        <v>148728.59999999998</v>
      </c>
      <c r="J13" s="5617">
        <v>859560</v>
      </c>
      <c r="K13" s="5617">
        <v>610719.56041666679</v>
      </c>
      <c r="L13" s="5617">
        <v>-1061427.23</v>
      </c>
      <c r="M13" s="5617">
        <v>-130913.27250000034</v>
      </c>
      <c r="N13" s="5617">
        <v>-531608.92000000004</v>
      </c>
      <c r="O13" s="5617">
        <v>-1299010.29</v>
      </c>
      <c r="P13" s="5617">
        <v>277512</v>
      </c>
      <c r="Q13" s="5617">
        <f>'T&amp;M'!NW58</f>
        <v>-295860.69</v>
      </c>
      <c r="R13" s="5617">
        <v>-2647610.2699999996</v>
      </c>
      <c r="S13" s="5621">
        <f>P13+Q13+R13</f>
        <v>-2665958.9599999995</v>
      </c>
      <c r="T13" s="6544">
        <f>SUM(G13:R13)+3088025</f>
        <v>-1334520.8320833333</v>
      </c>
      <c r="U13" s="5612">
        <f>T13/T10</f>
        <v>-5.5667673947859741E-3</v>
      </c>
      <c r="V13" s="5601">
        <f t="shared" si="0"/>
        <v>-203906.72000000009</v>
      </c>
      <c r="W13" s="5601">
        <f t="shared" si="1"/>
        <v>408852.33041666681</v>
      </c>
      <c r="X13" s="5601">
        <f t="shared" si="2"/>
        <v>-1961532.4825000004</v>
      </c>
      <c r="Y13" s="5602">
        <f t="shared" si="3"/>
        <v>-2665958.9599999995</v>
      </c>
      <c r="Z13" s="5634">
        <v>-80002.507499999774</v>
      </c>
      <c r="AA13" s="5635">
        <v>-55520.327500000189</v>
      </c>
      <c r="AB13" s="5635">
        <v>-102322.58749999991</v>
      </c>
      <c r="AC13" s="5620">
        <v>1034752.5749999997</v>
      </c>
      <c r="AD13" s="5636">
        <v>-1000322.4275</v>
      </c>
      <c r="AE13" s="5620">
        <v>829249.9224999994</v>
      </c>
      <c r="AF13" s="5620">
        <v>1328804.0825000003</v>
      </c>
      <c r="AG13" s="5620">
        <v>567135.23750000005</v>
      </c>
      <c r="AH13" s="5620">
        <v>2583142.6425000001</v>
      </c>
      <c r="AI13" s="5620">
        <v>2083038.9324999999</v>
      </c>
      <c r="AJ13" s="5620">
        <v>0</v>
      </c>
      <c r="AK13" s="5622">
        <v>0</v>
      </c>
      <c r="AL13" s="6585">
        <f>SUM(Z13:AK13)</f>
        <v>7187955.5424999995</v>
      </c>
      <c r="AM13" s="5612">
        <f>AC13/AC10</f>
        <v>4.4904532918510064E-2</v>
      </c>
      <c r="AO13" s="5602">
        <f t="shared" si="4"/>
        <v>-237845.42249999987</v>
      </c>
      <c r="AP13" s="5602">
        <f t="shared" si="5"/>
        <v>863680.06999999913</v>
      </c>
    </row>
    <row r="14" spans="1:46" s="6566" customFormat="1" ht="10.75" x14ac:dyDescent="0.3">
      <c r="A14" s="6553"/>
      <c r="B14" s="6554"/>
      <c r="C14" s="6555"/>
      <c r="D14" s="6556"/>
      <c r="E14" s="6557"/>
      <c r="F14" s="6558"/>
      <c r="G14" s="6555"/>
      <c r="H14" s="6556"/>
      <c r="I14" s="6556"/>
      <c r="J14" s="6556"/>
      <c r="K14" s="6556"/>
      <c r="L14" s="6556"/>
      <c r="M14" s="6556"/>
      <c r="N14" s="6556"/>
      <c r="O14" s="6556"/>
      <c r="P14" s="6556"/>
      <c r="Q14" s="6556"/>
      <c r="R14" s="6556"/>
      <c r="S14" s="6559"/>
      <c r="T14" s="6560"/>
      <c r="U14" s="6561"/>
      <c r="V14" s="6562">
        <f t="shared" si="0"/>
        <v>0</v>
      </c>
      <c r="W14" s="6562">
        <f t="shared" si="1"/>
        <v>0</v>
      </c>
      <c r="X14" s="6562">
        <f t="shared" si="2"/>
        <v>0</v>
      </c>
      <c r="Y14" s="6563">
        <f t="shared" si="3"/>
        <v>0</v>
      </c>
      <c r="Z14" s="6556">
        <f>Z13/Z10</f>
        <v>-4.4351964915377781E-3</v>
      </c>
      <c r="AA14" s="6564">
        <f t="shared" ref="AA14:AI14" si="13">AA13/AA10</f>
        <v>-3.0359521711304628E-3</v>
      </c>
      <c r="AB14" s="6564">
        <f t="shared" si="13"/>
        <v>-5.1050205949343883E-3</v>
      </c>
      <c r="AC14" s="6564">
        <f t="shared" si="13"/>
        <v>4.4904532918510064E-2</v>
      </c>
      <c r="AD14" s="6564">
        <f t="shared" si="13"/>
        <v>-4.6730879776563851E-2</v>
      </c>
      <c r="AE14" s="6564">
        <f t="shared" si="13"/>
        <v>3.2196265912256071E-2</v>
      </c>
      <c r="AF14" s="6564">
        <f t="shared" si="13"/>
        <v>5.1781988721523155E-2</v>
      </c>
      <c r="AG14" s="6564">
        <f t="shared" si="13"/>
        <v>2.2516750035533838E-2</v>
      </c>
      <c r="AH14" s="6564">
        <f t="shared" si="13"/>
        <v>9.5051430992339619E-2</v>
      </c>
      <c r="AI14" s="6564">
        <f t="shared" si="13"/>
        <v>7.9705443317878322E-2</v>
      </c>
      <c r="AJ14" s="6556"/>
      <c r="AK14" s="6557"/>
      <c r="AL14" s="6583">
        <f>AL13/AL10</f>
        <v>3.1152565452871005E-2</v>
      </c>
      <c r="AM14" s="6565"/>
      <c r="AO14" s="6563">
        <f t="shared" si="4"/>
        <v>-1.2576169257602628E-2</v>
      </c>
      <c r="AP14" s="6563">
        <f t="shared" si="5"/>
        <v>3.0369919054202284E-2</v>
      </c>
    </row>
    <row r="15" spans="1:46" ht="16.25" customHeight="1" x14ac:dyDescent="0.3">
      <c r="A15" s="5669" t="s">
        <v>1026</v>
      </c>
      <c r="B15" s="5594" t="s">
        <v>5</v>
      </c>
      <c r="C15" s="5595">
        <v>885</v>
      </c>
      <c r="D15" s="5595">
        <v>1403</v>
      </c>
      <c r="E15" s="5596">
        <v>1162</v>
      </c>
      <c r="F15" s="5597">
        <v>1162</v>
      </c>
      <c r="G15" s="5598">
        <v>1119</v>
      </c>
      <c r="H15" s="5595">
        <v>1105</v>
      </c>
      <c r="I15" s="5595">
        <v>1109</v>
      </c>
      <c r="J15" s="5595">
        <v>1093</v>
      </c>
      <c r="K15" s="5595">
        <v>1098</v>
      </c>
      <c r="L15" s="5595">
        <v>1064</v>
      </c>
      <c r="M15" s="5595">
        <v>1052</v>
      </c>
      <c r="N15" s="5595">
        <v>1047</v>
      </c>
      <c r="O15" s="5595">
        <v>1000</v>
      </c>
      <c r="P15" s="5595">
        <v>1004</v>
      </c>
      <c r="Q15" s="5595">
        <v>982</v>
      </c>
      <c r="R15" s="5595">
        <v>1002</v>
      </c>
      <c r="S15" s="5599"/>
      <c r="T15" s="6542">
        <v>1002</v>
      </c>
      <c r="U15" s="5631"/>
      <c r="V15" s="5601">
        <f t="shared" si="0"/>
        <v>3333</v>
      </c>
      <c r="W15" s="5601">
        <f t="shared" si="1"/>
        <v>3255</v>
      </c>
      <c r="X15" s="5601">
        <f t="shared" si="2"/>
        <v>3099</v>
      </c>
      <c r="Y15" s="5602">
        <f t="shared" si="3"/>
        <v>2988</v>
      </c>
      <c r="Z15" s="5595">
        <v>998</v>
      </c>
      <c r="AA15" s="5595">
        <v>990</v>
      </c>
      <c r="AB15" s="5595">
        <v>1031</v>
      </c>
      <c r="AC15" s="5595">
        <v>1040</v>
      </c>
      <c r="AD15" s="5595">
        <v>1053</v>
      </c>
      <c r="AE15" s="5595">
        <v>1079</v>
      </c>
      <c r="AF15" s="5595">
        <v>1053</v>
      </c>
      <c r="AG15" s="5595">
        <v>1071</v>
      </c>
      <c r="AH15" s="5595">
        <v>1108</v>
      </c>
      <c r="AI15" s="5595">
        <v>1025</v>
      </c>
      <c r="AJ15" s="5595">
        <v>0</v>
      </c>
      <c r="AK15" s="5596">
        <v>0</v>
      </c>
      <c r="AL15" s="6586"/>
      <c r="AM15" s="5624"/>
      <c r="AO15" s="5602"/>
      <c r="AP15" s="5602"/>
    </row>
    <row r="16" spans="1:46" ht="16.25" customHeight="1" x14ac:dyDescent="0.3">
      <c r="A16" s="5670"/>
      <c r="B16" s="5605" t="s">
        <v>52</v>
      </c>
      <c r="C16" s="5606">
        <v>21910094</v>
      </c>
      <c r="D16" s="5606">
        <v>35987425</v>
      </c>
      <c r="E16" s="5607">
        <v>31485246</v>
      </c>
      <c r="F16" s="5608">
        <v>423498014.35000002</v>
      </c>
      <c r="G16" s="5609">
        <v>30299808</v>
      </c>
      <c r="H16" s="5606">
        <v>29054192</v>
      </c>
      <c r="I16" s="5606">
        <v>28604873</v>
      </c>
      <c r="J16" s="5606">
        <v>28874771</v>
      </c>
      <c r="K16" s="5606">
        <v>30441585</v>
      </c>
      <c r="L16" s="5606">
        <v>29610128</v>
      </c>
      <c r="M16" s="5606">
        <v>29546228</v>
      </c>
      <c r="N16" s="5606">
        <v>29074334</v>
      </c>
      <c r="O16" s="5606">
        <v>27866197</v>
      </c>
      <c r="P16" s="5606">
        <v>27724389.899999999</v>
      </c>
      <c r="Q16" s="5606">
        <v>27562424</v>
      </c>
      <c r="R16" s="5606">
        <v>27504037</v>
      </c>
      <c r="S16" s="5610">
        <f>P16+Q16+R16</f>
        <v>82790850.900000006</v>
      </c>
      <c r="T16" s="6543">
        <f>SUM(G16:R16)+6492964</f>
        <v>352655930.89999998</v>
      </c>
      <c r="U16" s="5624"/>
      <c r="V16" s="5601">
        <f t="shared" si="0"/>
        <v>87958873</v>
      </c>
      <c r="W16" s="5601">
        <f t="shared" si="1"/>
        <v>88926484</v>
      </c>
      <c r="X16" s="5601">
        <f t="shared" si="2"/>
        <v>86486759</v>
      </c>
      <c r="Y16" s="5602">
        <f t="shared" si="3"/>
        <v>82790850.900000006</v>
      </c>
      <c r="Z16" s="5606">
        <v>28204234</v>
      </c>
      <c r="AA16" s="5609">
        <v>28705367</v>
      </c>
      <c r="AB16" s="5609">
        <v>30481347</v>
      </c>
      <c r="AC16" s="5609">
        <v>30709659</v>
      </c>
      <c r="AD16" s="5609">
        <v>30937493</v>
      </c>
      <c r="AE16" s="5609">
        <v>32222807</v>
      </c>
      <c r="AF16" s="5609">
        <v>33135419</v>
      </c>
      <c r="AG16" s="5609">
        <v>33883094</v>
      </c>
      <c r="AH16" s="5609">
        <v>34175697.678064518</v>
      </c>
      <c r="AI16" s="5609">
        <v>30581840.420000002</v>
      </c>
      <c r="AJ16" s="5609">
        <v>0</v>
      </c>
      <c r="AK16" s="5611">
        <v>0</v>
      </c>
      <c r="AL16" s="6584">
        <f>SUM(Z16:AK16)</f>
        <v>313036958.09806454</v>
      </c>
      <c r="AM16" s="5624"/>
      <c r="AO16" s="5602">
        <f t="shared" si="4"/>
        <v>87390948</v>
      </c>
      <c r="AP16" s="5602">
        <f t="shared" si="5"/>
        <v>93869959</v>
      </c>
      <c r="AQ16" s="5602">
        <f>AG16*4</f>
        <v>135532376</v>
      </c>
      <c r="AR16" s="5602"/>
    </row>
    <row r="17" spans="1:45" ht="16.25" customHeight="1" x14ac:dyDescent="0.3">
      <c r="A17" s="5670"/>
      <c r="B17" s="5605" t="s">
        <v>280</v>
      </c>
      <c r="C17" s="5606">
        <v>3756343</v>
      </c>
      <c r="D17" s="5606">
        <v>4713602</v>
      </c>
      <c r="E17" s="5607">
        <v>3763795</v>
      </c>
      <c r="F17" s="5608">
        <v>44692248.350000001</v>
      </c>
      <c r="G17" s="5609">
        <v>3335702</v>
      </c>
      <c r="H17" s="5606">
        <v>2765893</v>
      </c>
      <c r="I17" s="5606">
        <v>2532702</v>
      </c>
      <c r="J17" s="5606">
        <v>2956123</v>
      </c>
      <c r="K17" s="5606">
        <v>3574941</v>
      </c>
      <c r="L17" s="5606">
        <v>3349936</v>
      </c>
      <c r="M17" s="5606">
        <v>3451265</v>
      </c>
      <c r="N17" s="5606">
        <v>3413371</v>
      </c>
      <c r="O17" s="5606">
        <v>3146720</v>
      </c>
      <c r="P17" s="5606">
        <v>3196228.9</v>
      </c>
      <c r="Q17" s="5606">
        <v>2879478</v>
      </c>
      <c r="R17" s="5606">
        <v>2674275</v>
      </c>
      <c r="S17" s="5610">
        <f>P17+Q17+R17</f>
        <v>8749981.9000000004</v>
      </c>
      <c r="T17" s="6543">
        <f>SUM(G17:R17)+1329008</f>
        <v>38605642.899999999</v>
      </c>
      <c r="U17" s="5612">
        <f>T17/T16</f>
        <v>0.10947112898817832</v>
      </c>
      <c r="V17" s="5601">
        <f t="shared" si="0"/>
        <v>8634297</v>
      </c>
      <c r="W17" s="5601">
        <f t="shared" si="1"/>
        <v>9881000</v>
      </c>
      <c r="X17" s="5601">
        <f t="shared" si="2"/>
        <v>10011356</v>
      </c>
      <c r="Y17" s="6458">
        <f t="shared" si="3"/>
        <v>8749981.9000000004</v>
      </c>
      <c r="Z17" s="5606">
        <v>2912656.335</v>
      </c>
      <c r="AA17" s="5609">
        <v>3086494.4660000005</v>
      </c>
      <c r="AB17" s="5609">
        <v>4005112.3860000004</v>
      </c>
      <c r="AC17" s="5609">
        <v>4162808.1544999992</v>
      </c>
      <c r="AD17" s="5609">
        <v>4162574.7070000004</v>
      </c>
      <c r="AE17" s="5609">
        <v>4361956.5974999992</v>
      </c>
      <c r="AF17" s="5609">
        <v>4271212.0865000002</v>
      </c>
      <c r="AG17" s="5609">
        <v>5087911.0019999994</v>
      </c>
      <c r="AH17" s="5609">
        <v>5567267.6780645177</v>
      </c>
      <c r="AI17" s="5609">
        <v>5347126.4820000008</v>
      </c>
      <c r="AJ17" s="5609">
        <v>0</v>
      </c>
      <c r="AK17" s="5611">
        <v>0</v>
      </c>
      <c r="AL17" s="6584">
        <f>SUM(Z17:AK17)</f>
        <v>42965119.894564517</v>
      </c>
      <c r="AM17" s="5612">
        <f>AC17/AC16</f>
        <v>0.13555370818347412</v>
      </c>
      <c r="AO17" s="5602">
        <f t="shared" si="4"/>
        <v>10004263.187000001</v>
      </c>
      <c r="AP17" s="5602">
        <f t="shared" si="5"/>
        <v>12687339.458999999</v>
      </c>
      <c r="AR17" s="5602"/>
    </row>
    <row r="18" spans="1:45" ht="16.25" customHeight="1" x14ac:dyDescent="0.3">
      <c r="A18" s="5670"/>
      <c r="B18" s="5605" t="s">
        <v>355</v>
      </c>
      <c r="C18" s="5606">
        <v>0</v>
      </c>
      <c r="D18" s="5606">
        <v>0</v>
      </c>
      <c r="E18" s="5607">
        <v>0</v>
      </c>
      <c r="F18" s="5608">
        <v>11916376.533333335</v>
      </c>
      <c r="G18" s="5609">
        <v>265766</v>
      </c>
      <c r="H18" s="5606">
        <v>730760</v>
      </c>
      <c r="I18" s="5606">
        <v>635263</v>
      </c>
      <c r="J18" s="5606">
        <v>650339</v>
      </c>
      <c r="K18" s="5606">
        <v>691036</v>
      </c>
      <c r="L18" s="5606">
        <v>1244029</v>
      </c>
      <c r="M18" s="5606">
        <v>1354888</v>
      </c>
      <c r="N18" s="5606">
        <v>1184258</v>
      </c>
      <c r="O18" s="5606">
        <v>480768</v>
      </c>
      <c r="P18" s="5606">
        <v>470952</v>
      </c>
      <c r="Q18" s="5606">
        <v>418439</v>
      </c>
      <c r="R18" s="5606">
        <v>452542</v>
      </c>
      <c r="S18" s="5610">
        <f>P18+Q18+R18</f>
        <v>1341933</v>
      </c>
      <c r="T18" s="6543">
        <f>SUM(G18:R18)</f>
        <v>8579040</v>
      </c>
      <c r="U18" s="5614">
        <f>R18/Q17</f>
        <v>0.15716112434267601</v>
      </c>
      <c r="V18" s="5601">
        <f t="shared" si="0"/>
        <v>1631789</v>
      </c>
      <c r="W18" s="5601">
        <f t="shared" si="1"/>
        <v>2585404</v>
      </c>
      <c r="X18" s="5601">
        <f t="shared" si="2"/>
        <v>3019914</v>
      </c>
      <c r="Y18" s="6458">
        <f t="shared" si="3"/>
        <v>1341933</v>
      </c>
      <c r="Z18" s="5606">
        <v>438760</v>
      </c>
      <c r="AA18" s="5609">
        <v>487053</v>
      </c>
      <c r="AB18" s="5609">
        <v>486008</v>
      </c>
      <c r="AC18" s="5609">
        <v>548969</v>
      </c>
      <c r="AD18" s="5609">
        <v>521278</v>
      </c>
      <c r="AE18" s="5609">
        <v>521438</v>
      </c>
      <c r="AF18" s="5609">
        <v>511139</v>
      </c>
      <c r="AG18" s="5609">
        <v>723834</v>
      </c>
      <c r="AH18" s="5609">
        <v>591471</v>
      </c>
      <c r="AI18" s="5609">
        <v>609594</v>
      </c>
      <c r="AJ18" s="5609">
        <v>0</v>
      </c>
      <c r="AK18" s="5611">
        <v>0</v>
      </c>
      <c r="AL18" s="6584">
        <f>SUM(Z18:AK18)</f>
        <v>5439544</v>
      </c>
      <c r="AM18" s="5614">
        <f>AG18/AG17</f>
        <v>0.14226546016930508</v>
      </c>
      <c r="AO18" s="5602">
        <f t="shared" si="4"/>
        <v>1411821</v>
      </c>
      <c r="AP18" s="5602">
        <f t="shared" si="5"/>
        <v>1591685</v>
      </c>
    </row>
    <row r="19" spans="1:45" ht="16.25" customHeight="1" x14ac:dyDescent="0.3">
      <c r="A19" s="5671"/>
      <c r="B19" s="5616" t="s">
        <v>360</v>
      </c>
      <c r="C19" s="5617">
        <v>104500</v>
      </c>
      <c r="D19" s="5617">
        <v>317141</v>
      </c>
      <c r="E19" s="5618">
        <v>-966930</v>
      </c>
      <c r="F19" s="5619">
        <v>3254750.5195320509</v>
      </c>
      <c r="G19" s="5620">
        <v>178283</v>
      </c>
      <c r="H19" s="5617">
        <v>329226.79999999981</v>
      </c>
      <c r="I19" s="5617">
        <v>-184309.59999999998</v>
      </c>
      <c r="J19" s="5617">
        <v>353159</v>
      </c>
      <c r="K19" s="5617">
        <v>537294.43958333321</v>
      </c>
      <c r="L19" s="5617">
        <v>-542675.77</v>
      </c>
      <c r="M19" s="5617">
        <v>-196995</v>
      </c>
      <c r="N19" s="5617">
        <v>-179259</v>
      </c>
      <c r="O19" s="5617">
        <v>-220735.625</v>
      </c>
      <c r="P19" s="5617">
        <v>819770.9</v>
      </c>
      <c r="Q19" s="5617">
        <v>184705.44999999995</v>
      </c>
      <c r="R19" s="5617">
        <v>-1844377.3460000001</v>
      </c>
      <c r="S19" s="5621">
        <f>P19+Q19+R19</f>
        <v>-839900.99600000016</v>
      </c>
      <c r="T19" s="6544">
        <f>SUM(G19:R19)+1329008</f>
        <v>563095.24858333287</v>
      </c>
      <c r="U19" s="5612">
        <f>T19/T16</f>
        <v>1.5967270056859064E-3</v>
      </c>
      <c r="V19" s="5601">
        <f t="shared" si="0"/>
        <v>323200.19999999984</v>
      </c>
      <c r="W19" s="5601">
        <f t="shared" si="1"/>
        <v>347777.66958333319</v>
      </c>
      <c r="X19" s="5601">
        <f t="shared" si="2"/>
        <v>-596989.625</v>
      </c>
      <c r="Y19" s="6458">
        <f t="shared" si="3"/>
        <v>-839900.99600000016</v>
      </c>
      <c r="Z19" s="5638">
        <v>-409454.66499999969</v>
      </c>
      <c r="AA19" s="5620">
        <v>76388.016000000061</v>
      </c>
      <c r="AB19" s="5620">
        <v>991528.38600000017</v>
      </c>
      <c r="AC19" s="5620">
        <v>591767.15449999983</v>
      </c>
      <c r="AD19" s="5620">
        <v>643672.70700000017</v>
      </c>
      <c r="AE19" s="5620">
        <v>1023424.1274999995</v>
      </c>
      <c r="AF19" s="5620">
        <v>964520.08650000044</v>
      </c>
      <c r="AG19" s="5620">
        <v>542127.00199999963</v>
      </c>
      <c r="AH19" s="5620">
        <v>1953195.800564518</v>
      </c>
      <c r="AI19" s="5620">
        <v>2450890.4819999998</v>
      </c>
      <c r="AJ19" s="5620">
        <v>0</v>
      </c>
      <c r="AK19" s="5622">
        <v>0</v>
      </c>
      <c r="AL19" s="6585">
        <f>SUM(Z19:AK19)</f>
        <v>8828059.0970645174</v>
      </c>
      <c r="AM19" s="5612">
        <f>AC19/AC17</f>
        <v>0.14215575941454306</v>
      </c>
      <c r="AO19" s="5602">
        <f t="shared" si="4"/>
        <v>658461.73700000055</v>
      </c>
      <c r="AP19" s="5602">
        <f t="shared" si="5"/>
        <v>2258863.9889999996</v>
      </c>
    </row>
    <row r="20" spans="1:45" s="6566" customFormat="1" ht="10.75" x14ac:dyDescent="0.3">
      <c r="A20" s="6553"/>
      <c r="B20" s="6554"/>
      <c r="C20" s="6555"/>
      <c r="D20" s="6556"/>
      <c r="E20" s="6557"/>
      <c r="F20" s="6558"/>
      <c r="G20" s="6555"/>
      <c r="H20" s="6556"/>
      <c r="I20" s="6556"/>
      <c r="J20" s="6556"/>
      <c r="K20" s="6556"/>
      <c r="L20" s="6556"/>
      <c r="M20" s="6556"/>
      <c r="N20" s="6556"/>
      <c r="O20" s="6556"/>
      <c r="P20" s="6556"/>
      <c r="Q20" s="6556"/>
      <c r="R20" s="6556"/>
      <c r="S20" s="6559"/>
      <c r="T20" s="6560"/>
      <c r="U20" s="6561"/>
      <c r="V20" s="6562">
        <f t="shared" si="0"/>
        <v>0</v>
      </c>
      <c r="W20" s="6562">
        <f t="shared" si="1"/>
        <v>0</v>
      </c>
      <c r="X20" s="6562">
        <f t="shared" si="2"/>
        <v>0</v>
      </c>
      <c r="Y20" s="6563">
        <f t="shared" si="3"/>
        <v>0</v>
      </c>
      <c r="Z20" s="6556">
        <f>Z19/Z16</f>
        <v>-1.4517489289019503E-2</v>
      </c>
      <c r="AA20" s="6564">
        <f t="shared" ref="AA20:AI20" si="14">AA19/AA16</f>
        <v>2.661105708908026E-3</v>
      </c>
      <c r="AB20" s="6564">
        <f t="shared" si="14"/>
        <v>3.2529021306046617E-2</v>
      </c>
      <c r="AC20" s="6564">
        <f t="shared" si="14"/>
        <v>1.926974032827912E-2</v>
      </c>
      <c r="AD20" s="6564">
        <f t="shared" si="14"/>
        <v>2.0805587156011645E-2</v>
      </c>
      <c r="AE20" s="6564">
        <f t="shared" si="14"/>
        <v>3.1760862034769334E-2</v>
      </c>
      <c r="AF20" s="6564">
        <f t="shared" si="14"/>
        <v>2.9108431871647692E-2</v>
      </c>
      <c r="AG20" s="6564">
        <f t="shared" si="14"/>
        <v>1.5999926157865028E-2</v>
      </c>
      <c r="AH20" s="6564">
        <f t="shared" si="14"/>
        <v>5.7151599916515118E-2</v>
      </c>
      <c r="AI20" s="6564">
        <f t="shared" si="14"/>
        <v>8.0142020504336928E-2</v>
      </c>
      <c r="AJ20" s="6556"/>
      <c r="AK20" s="6557"/>
      <c r="AL20" s="6583">
        <f>AL19/AL16</f>
        <v>2.8201331723581875E-2</v>
      </c>
      <c r="AM20" s="6565"/>
      <c r="AO20" s="6563">
        <f t="shared" si="4"/>
        <v>2.0672637725935139E-2</v>
      </c>
      <c r="AP20" s="6563">
        <f t="shared" si="5"/>
        <v>7.1836189519060095E-2</v>
      </c>
    </row>
    <row r="21" spans="1:45" s="5588" customFormat="1" x14ac:dyDescent="0.3">
      <c r="A21" s="5669" t="s">
        <v>1053</v>
      </c>
      <c r="B21" s="5594" t="s">
        <v>5</v>
      </c>
      <c r="C21" s="5603"/>
      <c r="D21" s="5603"/>
      <c r="E21" s="6459"/>
      <c r="F21" s="5597"/>
      <c r="G21" s="6460"/>
      <c r="H21" s="5603"/>
      <c r="I21" s="5603"/>
      <c r="J21" s="6461"/>
      <c r="K21" s="6461"/>
      <c r="L21" s="6461"/>
      <c r="M21" s="6461"/>
      <c r="N21" s="6461"/>
      <c r="O21" s="6461"/>
      <c r="P21" s="6461"/>
      <c r="Q21" s="6461"/>
      <c r="R21" s="6461"/>
      <c r="S21" s="5599"/>
      <c r="T21" s="6542"/>
      <c r="U21" s="5594"/>
      <c r="V21" s="6462"/>
      <c r="W21" s="6462"/>
      <c r="X21" s="6462"/>
      <c r="Y21" s="6463"/>
      <c r="Z21" s="6461"/>
      <c r="AA21" s="6464"/>
      <c r="AB21" s="6464"/>
      <c r="AC21" s="6465"/>
      <c r="AD21" s="6465"/>
      <c r="AE21" s="5598"/>
      <c r="AF21" s="6460"/>
      <c r="AG21" s="6460"/>
      <c r="AH21" s="5645">
        <v>0</v>
      </c>
      <c r="AI21" s="6460">
        <v>0</v>
      </c>
      <c r="AJ21" s="6460"/>
      <c r="AK21" s="6466"/>
      <c r="AL21" s="6586"/>
      <c r="AM21" s="5624"/>
      <c r="AO21" s="5602"/>
      <c r="AP21" s="5602"/>
    </row>
    <row r="22" spans="1:45" s="5588" customFormat="1" x14ac:dyDescent="0.3">
      <c r="A22" s="5670"/>
      <c r="B22" s="5605" t="s">
        <v>52</v>
      </c>
      <c r="C22" s="6467"/>
      <c r="D22" s="6467"/>
      <c r="E22" s="6468"/>
      <c r="F22" s="5608"/>
      <c r="G22" s="6469"/>
      <c r="H22" s="6467"/>
      <c r="I22" s="6467"/>
      <c r="J22" s="6470"/>
      <c r="K22" s="6470"/>
      <c r="L22" s="6470"/>
      <c r="M22" s="6470"/>
      <c r="N22" s="6470"/>
      <c r="O22" s="6470"/>
      <c r="P22" s="6470"/>
      <c r="Q22" s="6470"/>
      <c r="R22" s="6470"/>
      <c r="S22" s="5610"/>
      <c r="T22" s="6543"/>
      <c r="U22" s="5605"/>
      <c r="V22" s="6471"/>
      <c r="W22" s="6471"/>
      <c r="X22" s="6471"/>
      <c r="Y22" s="6472"/>
      <c r="Z22" s="6470"/>
      <c r="AA22" s="6473"/>
      <c r="AB22" s="6473"/>
      <c r="AC22" s="501"/>
      <c r="AD22" s="501"/>
      <c r="AE22" s="5609"/>
      <c r="AF22" s="6469"/>
      <c r="AG22" s="6469"/>
      <c r="AH22" s="5609">
        <v>0</v>
      </c>
      <c r="AI22" s="6469">
        <v>0</v>
      </c>
      <c r="AJ22" s="6469"/>
      <c r="AK22" s="6474"/>
      <c r="AL22" s="6584">
        <f>SUM(Z22:AK22)</f>
        <v>0</v>
      </c>
      <c r="AM22" s="5624"/>
      <c r="AO22" s="5602"/>
      <c r="AP22" s="5602"/>
    </row>
    <row r="23" spans="1:45" s="5588" customFormat="1" x14ac:dyDescent="0.3">
      <c r="A23" s="5670"/>
      <c r="B23" s="5605" t="s">
        <v>280</v>
      </c>
      <c r="C23" s="6467"/>
      <c r="D23" s="6467"/>
      <c r="E23" s="6468"/>
      <c r="F23" s="5608"/>
      <c r="G23" s="6469"/>
      <c r="H23" s="6467"/>
      <c r="I23" s="6467"/>
      <c r="J23" s="6470"/>
      <c r="K23" s="6470"/>
      <c r="L23" s="6470"/>
      <c r="M23" s="6470"/>
      <c r="N23" s="6470"/>
      <c r="O23" s="6470"/>
      <c r="P23" s="6470"/>
      <c r="Q23" s="6470"/>
      <c r="R23" s="6470"/>
      <c r="S23" s="5610"/>
      <c r="T23" s="6543"/>
      <c r="U23" s="5605"/>
      <c r="V23" s="6471"/>
      <c r="W23" s="6471"/>
      <c r="X23" s="6471"/>
      <c r="Y23" s="6472"/>
      <c r="Z23" s="6470"/>
      <c r="AA23" s="6473"/>
      <c r="AB23" s="6473"/>
      <c r="AC23" s="501"/>
      <c r="AD23" s="501"/>
      <c r="AE23" s="5609"/>
      <c r="AF23" s="6469"/>
      <c r="AG23" s="6469"/>
      <c r="AH23" s="5609">
        <v>0</v>
      </c>
      <c r="AI23" s="6469">
        <v>0</v>
      </c>
      <c r="AJ23" s="6469"/>
      <c r="AK23" s="6474"/>
      <c r="AL23" s="6584">
        <f>SUM(Z23:AK23)</f>
        <v>0</v>
      </c>
      <c r="AM23" s="5612">
        <v>0</v>
      </c>
      <c r="AO23" s="5602"/>
      <c r="AP23" s="5602"/>
    </row>
    <row r="24" spans="1:45" s="5588" customFormat="1" x14ac:dyDescent="0.3">
      <c r="A24" s="5670"/>
      <c r="B24" s="5605" t="s">
        <v>355</v>
      </c>
      <c r="C24" s="6467"/>
      <c r="D24" s="6467"/>
      <c r="E24" s="6468"/>
      <c r="F24" s="5608"/>
      <c r="G24" s="6469"/>
      <c r="H24" s="6467"/>
      <c r="I24" s="6467"/>
      <c r="J24" s="6470"/>
      <c r="K24" s="6470"/>
      <c r="L24" s="6470"/>
      <c r="M24" s="6470"/>
      <c r="N24" s="6470"/>
      <c r="O24" s="6470"/>
      <c r="P24" s="6470"/>
      <c r="Q24" s="6470"/>
      <c r="R24" s="6470"/>
      <c r="S24" s="5610"/>
      <c r="T24" s="6543"/>
      <c r="U24" s="5605"/>
      <c r="V24" s="6471"/>
      <c r="W24" s="6471"/>
      <c r="X24" s="6471"/>
      <c r="Y24" s="6472"/>
      <c r="Z24" s="6470"/>
      <c r="AA24" s="6473"/>
      <c r="AB24" s="6473"/>
      <c r="AC24" s="501"/>
      <c r="AD24" s="501"/>
      <c r="AE24" s="5609"/>
      <c r="AF24" s="6469"/>
      <c r="AG24" s="6469"/>
      <c r="AH24" s="5609">
        <v>454474</v>
      </c>
      <c r="AI24" s="6469">
        <v>715297</v>
      </c>
      <c r="AJ24" s="6469"/>
      <c r="AK24" s="6474"/>
      <c r="AL24" s="6584">
        <f>SUM(Z24:AK24)</f>
        <v>1169771</v>
      </c>
      <c r="AM24" s="5614">
        <v>0</v>
      </c>
      <c r="AO24" s="5602"/>
      <c r="AP24" s="5602"/>
    </row>
    <row r="25" spans="1:45" s="5588" customFormat="1" x14ac:dyDescent="0.3">
      <c r="A25" s="5671"/>
      <c r="B25" s="5616" t="s">
        <v>360</v>
      </c>
      <c r="C25" s="6475"/>
      <c r="D25" s="6475"/>
      <c r="E25" s="6476"/>
      <c r="F25" s="5619"/>
      <c r="G25" s="6477"/>
      <c r="H25" s="6475"/>
      <c r="I25" s="6475"/>
      <c r="J25" s="6478"/>
      <c r="K25" s="6478"/>
      <c r="L25" s="6478"/>
      <c r="M25" s="6478"/>
      <c r="N25" s="6478"/>
      <c r="O25" s="6478"/>
      <c r="P25" s="6478"/>
      <c r="Q25" s="6478"/>
      <c r="R25" s="6478"/>
      <c r="S25" s="5653"/>
      <c r="T25" s="6544"/>
      <c r="U25" s="5616"/>
      <c r="V25" s="6479"/>
      <c r="W25" s="6479"/>
      <c r="X25" s="6479"/>
      <c r="Y25" s="6480"/>
      <c r="Z25" s="6478"/>
      <c r="AA25" s="6481"/>
      <c r="AB25" s="6481"/>
      <c r="AC25" s="3743"/>
      <c r="AD25" s="3743"/>
      <c r="AE25" s="5620"/>
      <c r="AF25" s="6477"/>
      <c r="AG25" s="6477"/>
      <c r="AH25" s="5620">
        <v>-454474</v>
      </c>
      <c r="AI25" s="6477">
        <v>-1062454.3999999999</v>
      </c>
      <c r="AJ25" s="6477"/>
      <c r="AK25" s="6482"/>
      <c r="AL25" s="6585">
        <f>SUM(Z25:AK25)</f>
        <v>-1516928.4</v>
      </c>
      <c r="AM25" s="5612">
        <v>0</v>
      </c>
      <c r="AO25" s="5602"/>
      <c r="AP25" s="5602"/>
    </row>
    <row r="26" spans="1:45" s="5588" customFormat="1" x14ac:dyDescent="0.3">
      <c r="A26" s="5672"/>
      <c r="B26" s="3688"/>
      <c r="C26" s="5628"/>
      <c r="D26" s="5625"/>
      <c r="E26" s="5626"/>
      <c r="F26" s="5655"/>
      <c r="G26" s="5628"/>
      <c r="H26" s="5625"/>
      <c r="I26" s="5625"/>
      <c r="J26" s="5625"/>
      <c r="K26" s="5625"/>
      <c r="L26" s="5625"/>
      <c r="M26" s="5625"/>
      <c r="N26" s="5625"/>
      <c r="O26" s="5625"/>
      <c r="P26" s="5625"/>
      <c r="Q26" s="5625"/>
      <c r="R26" s="5625"/>
      <c r="S26" s="5629"/>
      <c r="T26" s="6545"/>
      <c r="U26" s="5630"/>
      <c r="V26" s="5601"/>
      <c r="W26" s="5601"/>
      <c r="X26" s="5601"/>
      <c r="Y26" s="5591"/>
      <c r="Z26" s="5625"/>
      <c r="AA26" s="5656"/>
      <c r="AB26" s="5656"/>
      <c r="AC26" s="5656"/>
      <c r="AD26" s="5656"/>
      <c r="AE26" s="5656"/>
      <c r="AF26" s="5656"/>
      <c r="AG26" s="5656"/>
      <c r="AH26" s="5656"/>
      <c r="AI26" s="5656"/>
      <c r="AJ26" s="5625"/>
      <c r="AK26" s="5626"/>
      <c r="AL26" s="6587"/>
      <c r="AM26" s="5637"/>
      <c r="AO26" s="5591"/>
      <c r="AP26" s="5591"/>
    </row>
    <row r="27" spans="1:45" s="5593" customFormat="1" ht="16.25" customHeight="1" x14ac:dyDescent="0.3">
      <c r="A27" s="5669" t="s">
        <v>372</v>
      </c>
      <c r="B27" s="5641" t="s">
        <v>5</v>
      </c>
      <c r="C27" s="5642">
        <v>230</v>
      </c>
      <c r="D27" s="5642">
        <v>262</v>
      </c>
      <c r="E27" s="5643">
        <v>327</v>
      </c>
      <c r="F27" s="5644">
        <v>327</v>
      </c>
      <c r="G27" s="5645">
        <v>340</v>
      </c>
      <c r="H27" s="5642">
        <v>420</v>
      </c>
      <c r="I27" s="5642">
        <v>451</v>
      </c>
      <c r="J27" s="5642">
        <v>440</v>
      </c>
      <c r="K27" s="5642">
        <v>468</v>
      </c>
      <c r="L27" s="5642">
        <v>476</v>
      </c>
      <c r="M27" s="5642">
        <v>481</v>
      </c>
      <c r="N27" s="5642">
        <v>473</v>
      </c>
      <c r="O27" s="5642">
        <v>479</v>
      </c>
      <c r="P27" s="5642">
        <v>479</v>
      </c>
      <c r="Q27" s="5642">
        <v>478</v>
      </c>
      <c r="R27" s="5642">
        <v>478</v>
      </c>
      <c r="S27" s="5646"/>
      <c r="T27" s="6546">
        <v>478</v>
      </c>
      <c r="U27" s="5647"/>
      <c r="V27" s="5601">
        <f t="shared" si="0"/>
        <v>1211</v>
      </c>
      <c r="W27" s="5601">
        <f t="shared" si="1"/>
        <v>1384</v>
      </c>
      <c r="X27" s="5601">
        <f t="shared" si="2"/>
        <v>1433</v>
      </c>
      <c r="Y27" s="5602">
        <f t="shared" si="3"/>
        <v>1435</v>
      </c>
      <c r="Z27" s="5642">
        <v>556</v>
      </c>
      <c r="AA27" s="5645">
        <v>600</v>
      </c>
      <c r="AB27" s="5645">
        <v>651</v>
      </c>
      <c r="AC27" s="5645">
        <v>574</v>
      </c>
      <c r="AD27" s="5645">
        <v>587</v>
      </c>
      <c r="AE27" s="5645">
        <v>621</v>
      </c>
      <c r="AF27" s="5645">
        <v>616</v>
      </c>
      <c r="AG27" s="5645">
        <v>643</v>
      </c>
      <c r="AH27" s="5645">
        <v>638</v>
      </c>
      <c r="AI27" s="5645">
        <v>633</v>
      </c>
      <c r="AJ27" s="5645">
        <v>0</v>
      </c>
      <c r="AK27" s="5648">
        <v>0</v>
      </c>
      <c r="AL27" s="6586"/>
      <c r="AM27" s="5600"/>
      <c r="AO27" s="5602"/>
      <c r="AP27" s="5602"/>
    </row>
    <row r="28" spans="1:45" ht="16.25" customHeight="1" x14ac:dyDescent="0.3">
      <c r="A28" s="5670"/>
      <c r="B28" s="5605" t="s">
        <v>52</v>
      </c>
      <c r="C28" s="5606">
        <v>9828022.8080000021</v>
      </c>
      <c r="D28" s="5606">
        <v>10505666.940000001</v>
      </c>
      <c r="E28" s="5607">
        <v>16452343.960000001</v>
      </c>
      <c r="F28" s="5608">
        <v>174856126</v>
      </c>
      <c r="G28" s="5609">
        <v>17001824.740000002</v>
      </c>
      <c r="H28" s="5606">
        <v>18254611.404959999</v>
      </c>
      <c r="I28" s="5606">
        <v>22205878.030000001</v>
      </c>
      <c r="J28" s="5606">
        <v>24775826.903225806</v>
      </c>
      <c r="K28" s="5606">
        <v>25618422.190000001</v>
      </c>
      <c r="L28" s="5606">
        <v>26242347.396666665</v>
      </c>
      <c r="M28" s="5606">
        <v>27383775.699999999</v>
      </c>
      <c r="N28" s="5606">
        <v>26764813.658</v>
      </c>
      <c r="O28" s="5606">
        <v>26435003.656666666</v>
      </c>
      <c r="P28" s="5606">
        <v>26674055.359999999</v>
      </c>
      <c r="Q28" s="5606">
        <v>26604373.350000001</v>
      </c>
      <c r="R28" s="5606">
        <v>30316982.350000001</v>
      </c>
      <c r="S28" s="5610">
        <f>P28+Q28+R28</f>
        <v>83595411.060000002</v>
      </c>
      <c r="T28" s="6543">
        <v>298615370.73951912</v>
      </c>
      <c r="U28" s="5600"/>
      <c r="V28" s="5601">
        <f t="shared" si="0"/>
        <v>57462314.174960002</v>
      </c>
      <c r="W28" s="5601">
        <f t="shared" si="1"/>
        <v>76636596.489892468</v>
      </c>
      <c r="X28" s="5601">
        <f t="shared" si="2"/>
        <v>80583593.014666662</v>
      </c>
      <c r="Y28" s="5602">
        <f t="shared" si="3"/>
        <v>83595411.060000002</v>
      </c>
      <c r="Z28" s="5606">
        <v>36271722.159999996</v>
      </c>
      <c r="AA28" s="5609">
        <v>36025890.241290323</v>
      </c>
      <c r="AB28" s="5609">
        <v>49814294.993333332</v>
      </c>
      <c r="AC28" s="5609">
        <v>31301211.340201613</v>
      </c>
      <c r="AD28" s="5609">
        <v>31844936.153333332</v>
      </c>
      <c r="AE28" s="5609">
        <v>32869460.460000001</v>
      </c>
      <c r="AF28" s="5609">
        <v>33776424.948680639</v>
      </c>
      <c r="AG28" s="5609">
        <v>34884421.785999998</v>
      </c>
      <c r="AH28" s="5609">
        <v>34932712.625230968</v>
      </c>
      <c r="AI28" s="5609">
        <v>35772908.071000002</v>
      </c>
      <c r="AJ28" s="5609">
        <v>0</v>
      </c>
      <c r="AK28" s="5611">
        <v>0</v>
      </c>
      <c r="AL28" s="6584">
        <f>SUM(Z28:AK28)</f>
        <v>357493982.7790702</v>
      </c>
      <c r="AM28" s="5600"/>
      <c r="AO28" s="5602">
        <f t="shared" si="4"/>
        <v>122111907.39462367</v>
      </c>
      <c r="AP28" s="5602">
        <f t="shared" si="5"/>
        <v>96015607.953534946</v>
      </c>
      <c r="AQ28" s="5602"/>
      <c r="AR28" s="5602"/>
      <c r="AS28" s="6155"/>
    </row>
    <row r="29" spans="1:45" ht="16.25" customHeight="1" x14ac:dyDescent="0.3">
      <c r="A29" s="5670"/>
      <c r="B29" s="5605" t="s">
        <v>280</v>
      </c>
      <c r="C29" s="5606">
        <v>2004777.7576774193</v>
      </c>
      <c r="D29" s="5606">
        <v>2530884.3593548387</v>
      </c>
      <c r="E29" s="5607">
        <v>4164810.6696774177</v>
      </c>
      <c r="F29" s="5608">
        <v>39359727</v>
      </c>
      <c r="G29" s="5609">
        <v>3987939.94</v>
      </c>
      <c r="H29" s="5606">
        <v>2152031.40496</v>
      </c>
      <c r="I29" s="5606">
        <v>3566854.3633333333</v>
      </c>
      <c r="J29" s="5606">
        <v>4849465.1290322579</v>
      </c>
      <c r="K29" s="5606">
        <v>5560699.5770967696</v>
      </c>
      <c r="L29" s="5606">
        <v>5390280.3966666702</v>
      </c>
      <c r="M29" s="5606">
        <v>5703770.7000000002</v>
      </c>
      <c r="N29" s="5606">
        <v>5129649.6579999998</v>
      </c>
      <c r="O29" s="5606">
        <v>5220606.6566666663</v>
      </c>
      <c r="P29" s="5606">
        <v>4666607.7793548387</v>
      </c>
      <c r="Q29" s="5606">
        <v>4873581.3499999996</v>
      </c>
      <c r="R29" s="5606">
        <v>5775066.7048387099</v>
      </c>
      <c r="S29" s="5610">
        <f>P29+Q29+R29</f>
        <v>15315255.834193548</v>
      </c>
      <c r="T29" s="6543">
        <v>56976658.659949243</v>
      </c>
      <c r="U29" s="5612">
        <f>T29/T28</f>
        <v>0.19080283281750332</v>
      </c>
      <c r="V29" s="5601">
        <f t="shared" si="0"/>
        <v>9706825.7082933336</v>
      </c>
      <c r="W29" s="5601">
        <f t="shared" si="1"/>
        <v>15800445.102795698</v>
      </c>
      <c r="X29" s="5601">
        <f t="shared" si="2"/>
        <v>16054027.014666665</v>
      </c>
      <c r="Y29" s="5602">
        <f t="shared" si="3"/>
        <v>15315255.834193548</v>
      </c>
      <c r="Z29" s="5606">
        <v>8425371.1600000001</v>
      </c>
      <c r="AA29" s="5609">
        <v>7657736.5961290319</v>
      </c>
      <c r="AB29" s="5609">
        <v>6117632.9933333341</v>
      </c>
      <c r="AC29" s="5609">
        <v>3371209.8563306453</v>
      </c>
      <c r="AD29" s="5609">
        <v>3001592.5081720427</v>
      </c>
      <c r="AE29" s="5609">
        <v>2216993.5266666696</v>
      </c>
      <c r="AF29" s="5609">
        <v>2786604.0454548383</v>
      </c>
      <c r="AG29" s="5609">
        <v>2796380.7859999998</v>
      </c>
      <c r="AH29" s="5609">
        <v>2634148.3671664512</v>
      </c>
      <c r="AI29" s="5609">
        <v>3010611.0710000005</v>
      </c>
      <c r="AJ29" s="5609">
        <v>0</v>
      </c>
      <c r="AK29" s="5611">
        <v>0</v>
      </c>
      <c r="AL29" s="6584">
        <f>SUM(Z29:AK29)</f>
        <v>42018280.910253018</v>
      </c>
      <c r="AM29" s="5612">
        <f>AF29/AF28</f>
        <v>8.250145033669963E-2</v>
      </c>
      <c r="AO29" s="5602">
        <f t="shared" si="4"/>
        <v>22200740.749462366</v>
      </c>
      <c r="AP29" s="5602">
        <f t="shared" si="5"/>
        <v>8589795.891169358</v>
      </c>
      <c r="AR29" s="5602"/>
      <c r="AS29" s="6155"/>
    </row>
    <row r="30" spans="1:45" ht="16.25" customHeight="1" x14ac:dyDescent="0.3">
      <c r="A30" s="5670"/>
      <c r="B30" s="5605" t="s">
        <v>355</v>
      </c>
      <c r="C30" s="5606">
        <v>0</v>
      </c>
      <c r="D30" s="5606">
        <v>0</v>
      </c>
      <c r="E30" s="5607">
        <v>0</v>
      </c>
      <c r="F30" s="5608">
        <v>12266682.5</v>
      </c>
      <c r="G30" s="5609">
        <v>914982</v>
      </c>
      <c r="H30" s="5606">
        <v>956250</v>
      </c>
      <c r="I30" s="5606">
        <v>924612</v>
      </c>
      <c r="J30" s="5606">
        <v>972606</v>
      </c>
      <c r="K30" s="5606">
        <v>957750</v>
      </c>
      <c r="L30" s="5606">
        <v>943574</v>
      </c>
      <c r="M30" s="5606">
        <v>1217882</v>
      </c>
      <c r="N30" s="5606">
        <v>1329102</v>
      </c>
      <c r="O30" s="5606">
        <v>1274169</v>
      </c>
      <c r="P30" s="5606">
        <v>1329773</v>
      </c>
      <c r="Q30" s="5606">
        <v>1326481</v>
      </c>
      <c r="R30" s="5606">
        <v>1446775</v>
      </c>
      <c r="S30" s="5610">
        <f>P30+Q30+R30</f>
        <v>4103029</v>
      </c>
      <c r="T30" s="6543">
        <f>SUM(G30:R30)</f>
        <v>13593956</v>
      </c>
      <c r="U30" s="5614">
        <f>R30/Q29</f>
        <v>0.29686074697409126</v>
      </c>
      <c r="V30" s="5601">
        <f t="shared" si="0"/>
        <v>2795844</v>
      </c>
      <c r="W30" s="5601">
        <f t="shared" si="1"/>
        <v>2873930</v>
      </c>
      <c r="X30" s="5601">
        <f t="shared" si="2"/>
        <v>3821153</v>
      </c>
      <c r="Y30" s="5602">
        <f t="shared" si="3"/>
        <v>4103029</v>
      </c>
      <c r="Z30" s="5606">
        <v>1732795</v>
      </c>
      <c r="AA30" s="5609">
        <v>2139584</v>
      </c>
      <c r="AB30" s="5609">
        <v>1868680.2433333341</v>
      </c>
      <c r="AC30" s="5609">
        <v>1703710</v>
      </c>
      <c r="AD30" s="5609">
        <v>1678573</v>
      </c>
      <c r="AE30" s="5609">
        <v>1546579</v>
      </c>
      <c r="AF30" s="5609">
        <v>1539291</v>
      </c>
      <c r="AG30" s="5609">
        <v>1482499</v>
      </c>
      <c r="AH30" s="5609">
        <v>1400882</v>
      </c>
      <c r="AI30" s="5609">
        <v>1363783</v>
      </c>
      <c r="AJ30" s="5609">
        <v>0</v>
      </c>
      <c r="AK30" s="5611">
        <v>0</v>
      </c>
      <c r="AL30" s="6584">
        <f>SUM(Z30:AK30)</f>
        <v>16456376.243333334</v>
      </c>
      <c r="AM30" s="5614">
        <f>AG30/AG29</f>
        <v>0.53014918691405999</v>
      </c>
      <c r="AO30" s="5602">
        <f t="shared" si="4"/>
        <v>5741059.2433333341</v>
      </c>
      <c r="AP30" s="5602">
        <f t="shared" si="5"/>
        <v>4928862</v>
      </c>
    </row>
    <row r="31" spans="1:45" ht="16.25" customHeight="1" x14ac:dyDescent="0.3">
      <c r="A31" s="5671"/>
      <c r="B31" s="5616" t="s">
        <v>360</v>
      </c>
      <c r="C31" s="5617">
        <v>597522.80767741951</v>
      </c>
      <c r="D31" s="5617">
        <v>1451906.4300000002</v>
      </c>
      <c r="E31" s="5618">
        <v>1652890</v>
      </c>
      <c r="F31" s="5619">
        <v>13332692.519999998</v>
      </c>
      <c r="G31" s="5620">
        <v>1915347.44</v>
      </c>
      <c r="H31" s="5617">
        <v>106827.25496000005</v>
      </c>
      <c r="I31" s="5617">
        <v>1531494.3133333335</v>
      </c>
      <c r="J31" s="5617">
        <v>1779811.1290322579</v>
      </c>
      <c r="K31" s="5617">
        <v>3341888.3270967701</v>
      </c>
      <c r="L31" s="5617">
        <v>3147442</v>
      </c>
      <c r="M31" s="5617">
        <v>2884022.2</v>
      </c>
      <c r="N31" s="5617">
        <v>2409391.2079999996</v>
      </c>
      <c r="O31" s="5617">
        <v>2250809.4066666663</v>
      </c>
      <c r="P31" s="5617">
        <v>1184159.7793548387</v>
      </c>
      <c r="Q31" s="5617">
        <v>1806092.1499999994</v>
      </c>
      <c r="R31" s="5617">
        <v>-671889.59516129084</v>
      </c>
      <c r="S31" s="5621">
        <f>P31+Q31+R31</f>
        <v>2318362.3341935473</v>
      </c>
      <c r="T31" s="6544">
        <v>21785500.70994924</v>
      </c>
      <c r="U31" s="5623">
        <f>T31/T28</f>
        <v>7.2955054711341824E-2</v>
      </c>
      <c r="V31" s="5601">
        <f t="shared" si="0"/>
        <v>3553669.0082933335</v>
      </c>
      <c r="W31" s="5601">
        <f t="shared" si="1"/>
        <v>8269141.4561290275</v>
      </c>
      <c r="X31" s="5601">
        <f t="shared" si="2"/>
        <v>7544222.8146666661</v>
      </c>
      <c r="Y31" s="5602">
        <f t="shared" si="3"/>
        <v>2318362.3341935473</v>
      </c>
      <c r="Z31" s="5617">
        <v>3412302.16</v>
      </c>
      <c r="AA31" s="5620">
        <v>2327886.3461290319</v>
      </c>
      <c r="AB31" s="5620">
        <v>1604770.4933333341</v>
      </c>
      <c r="AC31" s="5635">
        <v>-1355600.3936693547</v>
      </c>
      <c r="AD31" s="5635">
        <v>-1696191.9918279573</v>
      </c>
      <c r="AE31" s="5635">
        <v>-2037294.7233333304</v>
      </c>
      <c r="AF31" s="5635">
        <v>-1902049.4545451617</v>
      </c>
      <c r="AG31" s="5635">
        <v>-1642843.2140000002</v>
      </c>
      <c r="AH31" s="5635">
        <v>-1893857.9328335486</v>
      </c>
      <c r="AI31" s="5635">
        <v>-1178038.7289999994</v>
      </c>
      <c r="AJ31" s="5635">
        <v>0</v>
      </c>
      <c r="AK31" s="6539">
        <v>0</v>
      </c>
      <c r="AL31" s="6588">
        <f>SUM(Z31:AK31)</f>
        <v>-4360917.4397469861</v>
      </c>
      <c r="AM31" s="5649">
        <f>AF31/AF28</f>
        <v>-5.6312930022496613E-2</v>
      </c>
      <c r="AO31" s="5602">
        <f t="shared" si="4"/>
        <v>7344958.9994623661</v>
      </c>
      <c r="AP31" s="5602">
        <f t="shared" si="5"/>
        <v>-5089087.108830642</v>
      </c>
    </row>
    <row r="32" spans="1:45" s="6566" customFormat="1" ht="10.75" x14ac:dyDescent="0.3">
      <c r="A32" s="6553"/>
      <c r="B32" s="6554"/>
      <c r="C32" s="6555"/>
      <c r="D32" s="6556"/>
      <c r="E32" s="6557"/>
      <c r="F32" s="6558"/>
      <c r="G32" s="6555"/>
      <c r="H32" s="6556"/>
      <c r="I32" s="6556"/>
      <c r="J32" s="6556"/>
      <c r="K32" s="6556"/>
      <c r="L32" s="6556"/>
      <c r="M32" s="6556"/>
      <c r="N32" s="6556"/>
      <c r="O32" s="6556"/>
      <c r="P32" s="6556"/>
      <c r="Q32" s="6556"/>
      <c r="R32" s="6556"/>
      <c r="S32" s="6559"/>
      <c r="T32" s="6560"/>
      <c r="U32" s="6561"/>
      <c r="V32" s="6562">
        <f t="shared" ref="V32" si="15">G32+H32+I32</f>
        <v>0</v>
      </c>
      <c r="W32" s="6562">
        <f t="shared" ref="W32" si="16">J32+K32+L32</f>
        <v>0</v>
      </c>
      <c r="X32" s="6562">
        <f t="shared" ref="X32" si="17">M32+N32+O32</f>
        <v>0</v>
      </c>
      <c r="Y32" s="6563">
        <f t="shared" ref="Y32" si="18">P32+Q32+R32</f>
        <v>0</v>
      </c>
      <c r="Z32" s="6556">
        <f>Z31/Z28</f>
        <v>9.4076099969773272E-2</v>
      </c>
      <c r="AA32" s="6564">
        <f t="shared" ref="AA32:AI32" si="19">AA31/AA28</f>
        <v>6.4617038761223267E-2</v>
      </c>
      <c r="AB32" s="6564">
        <f t="shared" si="19"/>
        <v>3.2215059824656785E-2</v>
      </c>
      <c r="AC32" s="6564">
        <f t="shared" si="19"/>
        <v>-4.3308240659948316E-2</v>
      </c>
      <c r="AD32" s="6564">
        <f t="shared" si="19"/>
        <v>-5.3264104021461832E-2</v>
      </c>
      <c r="AE32" s="6564">
        <f t="shared" si="19"/>
        <v>-6.1981386211452598E-2</v>
      </c>
      <c r="AF32" s="6564">
        <f t="shared" si="19"/>
        <v>-5.6312930022496613E-2</v>
      </c>
      <c r="AG32" s="6564">
        <f t="shared" si="19"/>
        <v>-4.7093892628580554E-2</v>
      </c>
      <c r="AH32" s="6564">
        <f t="shared" si="19"/>
        <v>-5.4214453745732458E-2</v>
      </c>
      <c r="AI32" s="6564">
        <f t="shared" si="19"/>
        <v>-3.2931030562622865E-2</v>
      </c>
      <c r="AJ32" s="6556"/>
      <c r="AK32" s="6557"/>
      <c r="AL32" s="6583">
        <f>AL31/AL28</f>
        <v>-1.2198575779783167E-2</v>
      </c>
      <c r="AM32" s="6565"/>
      <c r="AO32" s="6563">
        <f t="shared" ref="AO32" si="20">Z32+AA32+AB32</f>
        <v>0.19090819855565333</v>
      </c>
      <c r="AP32" s="6563">
        <f t="shared" ref="AP32" si="21">AC32+AD32+AE32</f>
        <v>-0.15855373089286276</v>
      </c>
    </row>
    <row r="33" spans="1:46" ht="16.25" customHeight="1" x14ac:dyDescent="0.3">
      <c r="A33" s="5669" t="s">
        <v>668</v>
      </c>
      <c r="B33" s="5594" t="s">
        <v>5</v>
      </c>
      <c r="C33" s="5596"/>
      <c r="D33" s="5595"/>
      <c r="E33" s="5632"/>
      <c r="F33" s="5597">
        <v>0</v>
      </c>
      <c r="G33" s="5598"/>
      <c r="H33" s="5595"/>
      <c r="I33" s="5595"/>
      <c r="J33" s="5595"/>
      <c r="K33" s="5595"/>
      <c r="L33" s="5595"/>
      <c r="M33" s="5595"/>
      <c r="N33" s="5595"/>
      <c r="O33" s="5595"/>
      <c r="P33" s="5595"/>
      <c r="Q33" s="5595"/>
      <c r="R33" s="5595"/>
      <c r="S33" s="5599"/>
      <c r="T33" s="6542"/>
      <c r="U33" s="5631"/>
      <c r="V33" s="5601">
        <f t="shared" si="0"/>
        <v>0</v>
      </c>
      <c r="W33" s="5601">
        <f t="shared" si="1"/>
        <v>0</v>
      </c>
      <c r="X33" s="5601">
        <f t="shared" si="2"/>
        <v>0</v>
      </c>
      <c r="Y33" s="5602">
        <f t="shared" si="3"/>
        <v>0</v>
      </c>
      <c r="Z33" s="5595">
        <v>2</v>
      </c>
      <c r="AA33" s="5598">
        <v>6</v>
      </c>
      <c r="AB33" s="5598">
        <v>8</v>
      </c>
      <c r="AC33" s="5598">
        <v>9</v>
      </c>
      <c r="AD33" s="5598">
        <v>12</v>
      </c>
      <c r="AE33" s="5598">
        <v>16</v>
      </c>
      <c r="AF33" s="5598">
        <v>19</v>
      </c>
      <c r="AG33" s="5598">
        <v>21</v>
      </c>
      <c r="AH33" s="5598">
        <v>20</v>
      </c>
      <c r="AI33" s="5598">
        <v>0</v>
      </c>
      <c r="AJ33" s="5598">
        <v>0</v>
      </c>
      <c r="AK33" s="5632">
        <v>0</v>
      </c>
      <c r="AL33" s="6586"/>
      <c r="AM33" s="5624"/>
      <c r="AO33" s="5602"/>
      <c r="AP33" s="5602"/>
    </row>
    <row r="34" spans="1:46" ht="16.25" customHeight="1" x14ac:dyDescent="0.3">
      <c r="A34" s="5670"/>
      <c r="B34" s="5605" t="s">
        <v>52</v>
      </c>
      <c r="C34" s="5607"/>
      <c r="D34" s="5606"/>
      <c r="E34" s="5611"/>
      <c r="F34" s="5608">
        <v>0</v>
      </c>
      <c r="G34" s="5609"/>
      <c r="H34" s="5606"/>
      <c r="I34" s="5606"/>
      <c r="J34" s="5606"/>
      <c r="K34" s="5606"/>
      <c r="L34" s="5606"/>
      <c r="M34" s="5606"/>
      <c r="N34" s="5606"/>
      <c r="O34" s="5606"/>
      <c r="P34" s="5606"/>
      <c r="Q34" s="5606"/>
      <c r="R34" s="5606"/>
      <c r="S34" s="5610"/>
      <c r="T34" s="6543"/>
      <c r="U34" s="5624"/>
      <c r="V34" s="5601">
        <f t="shared" si="0"/>
        <v>0</v>
      </c>
      <c r="W34" s="5601">
        <f t="shared" si="1"/>
        <v>0</v>
      </c>
      <c r="X34" s="5601">
        <f t="shared" si="2"/>
        <v>0</v>
      </c>
      <c r="Y34" s="5602">
        <f t="shared" si="3"/>
        <v>0</v>
      </c>
      <c r="Z34" s="5606">
        <v>516164.88</v>
      </c>
      <c r="AA34" s="5609">
        <v>1881512.7200000002</v>
      </c>
      <c r="AB34" s="5609">
        <v>2813935.3600000003</v>
      </c>
      <c r="AC34" s="5609">
        <v>3159012</v>
      </c>
      <c r="AD34" s="5609">
        <v>2655751.56</v>
      </c>
      <c r="AE34" s="6540">
        <v>6416637.9199999999</v>
      </c>
      <c r="AF34" s="5609">
        <v>5133561.9800000004</v>
      </c>
      <c r="AG34" s="5609">
        <v>5407529.0499999998</v>
      </c>
      <c r="AH34" s="6552">
        <v>3576607.6500000004</v>
      </c>
      <c r="AI34" s="6552">
        <v>6057433.25</v>
      </c>
      <c r="AJ34" s="5609">
        <v>0</v>
      </c>
      <c r="AK34" s="5611">
        <v>0</v>
      </c>
      <c r="AL34" s="6584">
        <f>SUM(Z34:AK34)</f>
        <v>37618146.370000005</v>
      </c>
      <c r="AM34" s="5624"/>
      <c r="AO34" s="5602">
        <f t="shared" si="4"/>
        <v>5211612.9600000009</v>
      </c>
      <c r="AP34" s="5602">
        <f t="shared" si="5"/>
        <v>12231401.48</v>
      </c>
    </row>
    <row r="35" spans="1:46" ht="16.25" customHeight="1" x14ac:dyDescent="0.3">
      <c r="A35" s="5670"/>
      <c r="B35" s="5605" t="s">
        <v>280</v>
      </c>
      <c r="C35" s="5607"/>
      <c r="D35" s="5606"/>
      <c r="E35" s="5611"/>
      <c r="F35" s="5608">
        <v>0</v>
      </c>
      <c r="G35" s="5609"/>
      <c r="H35" s="5606"/>
      <c r="I35" s="5606"/>
      <c r="J35" s="5606"/>
      <c r="K35" s="5606"/>
      <c r="L35" s="5606"/>
      <c r="M35" s="5606"/>
      <c r="N35" s="5606"/>
      <c r="O35" s="5606"/>
      <c r="P35" s="5606"/>
      <c r="Q35" s="5606"/>
      <c r="R35" s="5606"/>
      <c r="S35" s="5610"/>
      <c r="T35" s="6543"/>
      <c r="U35" s="5612"/>
      <c r="V35" s="5601">
        <f t="shared" si="0"/>
        <v>0</v>
      </c>
      <c r="W35" s="5601">
        <f t="shared" si="1"/>
        <v>0</v>
      </c>
      <c r="X35" s="5601">
        <f t="shared" si="2"/>
        <v>0</v>
      </c>
      <c r="Y35" s="5602">
        <f t="shared" si="3"/>
        <v>0</v>
      </c>
      <c r="Z35" s="5652">
        <v>-1443797.12</v>
      </c>
      <c r="AA35" s="5609">
        <v>229519.7200000002</v>
      </c>
      <c r="AB35" s="5606">
        <v>657012.36000000034</v>
      </c>
      <c r="AC35" s="5609">
        <v>1221180</v>
      </c>
      <c r="AD35" s="5609">
        <v>684798.56</v>
      </c>
      <c r="AE35" s="5609">
        <v>3891865.9200000004</v>
      </c>
      <c r="AF35" s="5609">
        <v>2198670.9800000004</v>
      </c>
      <c r="AG35" s="5609">
        <v>2454416.0499999998</v>
      </c>
      <c r="AH35" s="5609">
        <v>771444.65000000037</v>
      </c>
      <c r="AI35" s="5609">
        <v>3115688.2500000005</v>
      </c>
      <c r="AJ35" s="5609">
        <v>0</v>
      </c>
      <c r="AK35" s="5611">
        <v>0</v>
      </c>
      <c r="AL35" s="6584">
        <f>SUM(Z35:AK35)</f>
        <v>13780799.370000003</v>
      </c>
      <c r="AM35" s="5612">
        <f>AC35/AC34</f>
        <v>0.38657023145211222</v>
      </c>
      <c r="AO35" s="5602">
        <f t="shared" si="4"/>
        <v>-557265.03999999957</v>
      </c>
      <c r="AP35" s="5602">
        <f t="shared" si="5"/>
        <v>5797844.4800000004</v>
      </c>
    </row>
    <row r="36" spans="1:46" ht="16.25" customHeight="1" x14ac:dyDescent="0.3">
      <c r="A36" s="5670"/>
      <c r="B36" s="5605" t="s">
        <v>355</v>
      </c>
      <c r="C36" s="5607"/>
      <c r="D36" s="5606"/>
      <c r="E36" s="5611"/>
      <c r="F36" s="5608">
        <v>0</v>
      </c>
      <c r="G36" s="5609"/>
      <c r="H36" s="5606"/>
      <c r="I36" s="5606"/>
      <c r="J36" s="5606"/>
      <c r="K36" s="5606"/>
      <c r="L36" s="5606"/>
      <c r="M36" s="5606"/>
      <c r="N36" s="5606"/>
      <c r="O36" s="5606"/>
      <c r="P36" s="5606"/>
      <c r="Q36" s="5606"/>
      <c r="R36" s="5606"/>
      <c r="S36" s="5610"/>
      <c r="T36" s="6543"/>
      <c r="U36" s="5624"/>
      <c r="V36" s="5601">
        <f t="shared" si="0"/>
        <v>0</v>
      </c>
      <c r="W36" s="5601">
        <f t="shared" si="1"/>
        <v>0</v>
      </c>
      <c r="X36" s="5601">
        <f t="shared" si="2"/>
        <v>0</v>
      </c>
      <c r="Y36" s="5602">
        <f t="shared" si="3"/>
        <v>0</v>
      </c>
      <c r="Z36" s="5606">
        <v>644460</v>
      </c>
      <c r="AA36" s="5609">
        <v>644460</v>
      </c>
      <c r="AB36" s="5606">
        <v>644460</v>
      </c>
      <c r="AC36" s="5609">
        <v>644460</v>
      </c>
      <c r="AD36" s="5609">
        <v>700316</v>
      </c>
      <c r="AE36" s="5609">
        <v>700316</v>
      </c>
      <c r="AF36" s="5609">
        <v>700316</v>
      </c>
      <c r="AG36" s="5609">
        <v>700316</v>
      </c>
      <c r="AH36" s="5609">
        <v>700316</v>
      </c>
      <c r="AI36" s="5609">
        <v>700316</v>
      </c>
      <c r="AJ36" s="5609">
        <v>0</v>
      </c>
      <c r="AK36" s="5611">
        <v>0</v>
      </c>
      <c r="AL36" s="6584">
        <f>SUM(Z36:AK36)</f>
        <v>6779736</v>
      </c>
      <c r="AM36" s="5612">
        <f>AC36/AC35</f>
        <v>0.52773546897263302</v>
      </c>
      <c r="AO36" s="5602">
        <f t="shared" si="4"/>
        <v>1933380</v>
      </c>
      <c r="AP36" s="5602">
        <f t="shared" si="5"/>
        <v>2045092</v>
      </c>
    </row>
    <row r="37" spans="1:46" ht="16.25" customHeight="1" x14ac:dyDescent="0.3">
      <c r="A37" s="5671"/>
      <c r="B37" s="5616" t="s">
        <v>360</v>
      </c>
      <c r="C37" s="5618"/>
      <c r="D37" s="5617"/>
      <c r="E37" s="5622"/>
      <c r="F37" s="5619">
        <v>0</v>
      </c>
      <c r="G37" s="5620"/>
      <c r="H37" s="5617"/>
      <c r="I37" s="5617"/>
      <c r="J37" s="5617"/>
      <c r="K37" s="5617"/>
      <c r="L37" s="5617"/>
      <c r="M37" s="5617"/>
      <c r="N37" s="5617"/>
      <c r="O37" s="5617"/>
      <c r="P37" s="5617"/>
      <c r="Q37" s="5617"/>
      <c r="R37" s="5617"/>
      <c r="S37" s="5653"/>
      <c r="T37" s="6544"/>
      <c r="U37" s="5612"/>
      <c r="V37" s="5601">
        <f t="shared" si="0"/>
        <v>0</v>
      </c>
      <c r="W37" s="5601">
        <f t="shared" si="1"/>
        <v>0</v>
      </c>
      <c r="X37" s="5601">
        <f t="shared" si="2"/>
        <v>0</v>
      </c>
      <c r="Y37" s="5602">
        <f t="shared" si="3"/>
        <v>0</v>
      </c>
      <c r="Z37" s="5638">
        <v>-2732460.12</v>
      </c>
      <c r="AA37" s="5654">
        <v>-464940.2799999998</v>
      </c>
      <c r="AB37" s="5617">
        <v>12552.360000000335</v>
      </c>
      <c r="AC37" s="5620">
        <v>402128</v>
      </c>
      <c r="AD37" s="5654">
        <v>-323897.43999999994</v>
      </c>
      <c r="AE37" s="5620">
        <v>2946845.4800000004</v>
      </c>
      <c r="AF37" s="5620">
        <v>1266642.0500000005</v>
      </c>
      <c r="AG37" s="5620">
        <v>1615630.4</v>
      </c>
      <c r="AH37" s="5620">
        <v>-67419.099999999627</v>
      </c>
      <c r="AI37" s="5620">
        <v>2197239.1500000004</v>
      </c>
      <c r="AJ37" s="5620">
        <v>0</v>
      </c>
      <c r="AK37" s="5622">
        <v>0</v>
      </c>
      <c r="AL37" s="6585">
        <f>SUM(Z37:AK37)</f>
        <v>4852320.5000000019</v>
      </c>
      <c r="AM37" s="5623">
        <f>AC37/AC34</f>
        <v>0.12729549618678246</v>
      </c>
      <c r="AO37" s="5602">
        <f t="shared" si="4"/>
        <v>-3184848.0399999996</v>
      </c>
      <c r="AP37" s="5602">
        <f t="shared" si="5"/>
        <v>3025076.0400000005</v>
      </c>
    </row>
    <row r="38" spans="1:46" s="6566" customFormat="1" ht="10.75" x14ac:dyDescent="0.3">
      <c r="A38" s="6553"/>
      <c r="B38" s="6554"/>
      <c r="C38" s="6555"/>
      <c r="D38" s="6556"/>
      <c r="E38" s="6557"/>
      <c r="F38" s="6558"/>
      <c r="G38" s="6555"/>
      <c r="H38" s="6556"/>
      <c r="I38" s="6556"/>
      <c r="J38" s="6556"/>
      <c r="K38" s="6556"/>
      <c r="L38" s="6556"/>
      <c r="M38" s="6556"/>
      <c r="N38" s="6556"/>
      <c r="O38" s="6556"/>
      <c r="P38" s="6556"/>
      <c r="Q38" s="6556"/>
      <c r="R38" s="6556"/>
      <c r="S38" s="6559"/>
      <c r="T38" s="6560"/>
      <c r="U38" s="6561"/>
      <c r="V38" s="6562">
        <f t="shared" si="0"/>
        <v>0</v>
      </c>
      <c r="W38" s="6562">
        <f t="shared" si="1"/>
        <v>0</v>
      </c>
      <c r="X38" s="6562">
        <f t="shared" si="2"/>
        <v>0</v>
      </c>
      <c r="Y38" s="6563">
        <f t="shared" si="3"/>
        <v>0</v>
      </c>
      <c r="Z38" s="6556">
        <f>Z37/Z34</f>
        <v>-5.293773803440482</v>
      </c>
      <c r="AA38" s="6564">
        <f t="shared" ref="AA38:AI38" si="22">AA37/AA34</f>
        <v>-0.24710982554505384</v>
      </c>
      <c r="AB38" s="6564">
        <f t="shared" si="22"/>
        <v>4.4607847708343709E-3</v>
      </c>
      <c r="AC38" s="6564">
        <f t="shared" si="22"/>
        <v>0.12729549618678246</v>
      </c>
      <c r="AD38" s="6564">
        <f t="shared" si="22"/>
        <v>-0.12196074545466894</v>
      </c>
      <c r="AE38" s="6564">
        <f t="shared" si="22"/>
        <v>0.45925070367691878</v>
      </c>
      <c r="AF38" s="6564">
        <f t="shared" si="22"/>
        <v>0.24673746122765239</v>
      </c>
      <c r="AG38" s="6564">
        <f t="shared" si="22"/>
        <v>0.29877424329324687</v>
      </c>
      <c r="AH38" s="6564">
        <f t="shared" si="22"/>
        <v>-1.8850012804731215E-2</v>
      </c>
      <c r="AI38" s="6564">
        <f t="shared" si="22"/>
        <v>0.36273435617305405</v>
      </c>
      <c r="AJ38" s="6556"/>
      <c r="AK38" s="6557"/>
      <c r="AL38" s="6583">
        <f>AL37/AL34</f>
        <v>0.12898882502806322</v>
      </c>
      <c r="AM38" s="6565"/>
      <c r="AO38" s="6563">
        <f t="shared" si="4"/>
        <v>-5.5364228442147017</v>
      </c>
      <c r="AP38" s="6563">
        <f t="shared" si="5"/>
        <v>0.46458545440903232</v>
      </c>
    </row>
    <row r="39" spans="1:46" ht="16.25" customHeight="1" x14ac:dyDescent="0.3">
      <c r="A39" s="5669" t="s">
        <v>643</v>
      </c>
      <c r="B39" s="5594" t="s">
        <v>5</v>
      </c>
      <c r="C39" s="5595">
        <v>40</v>
      </c>
      <c r="D39" s="5595">
        <v>62</v>
      </c>
      <c r="E39" s="5596">
        <v>73</v>
      </c>
      <c r="F39" s="5597">
        <v>73</v>
      </c>
      <c r="G39" s="5598">
        <v>68</v>
      </c>
      <c r="H39" s="5595">
        <v>67</v>
      </c>
      <c r="I39" s="5595">
        <v>65</v>
      </c>
      <c r="J39" s="5595">
        <v>52</v>
      </c>
      <c r="K39" s="5595">
        <v>53</v>
      </c>
      <c r="L39" s="5595">
        <v>51</v>
      </c>
      <c r="M39" s="5595">
        <v>54</v>
      </c>
      <c r="N39" s="5595">
        <v>50</v>
      </c>
      <c r="O39" s="5595">
        <v>47</v>
      </c>
      <c r="P39" s="5595">
        <v>43</v>
      </c>
      <c r="Q39" s="5595">
        <v>41</v>
      </c>
      <c r="R39" s="5595">
        <v>41</v>
      </c>
      <c r="S39" s="5599"/>
      <c r="T39" s="6547">
        <v>41</v>
      </c>
      <c r="U39" s="5631"/>
      <c r="V39" s="5601">
        <f t="shared" si="0"/>
        <v>200</v>
      </c>
      <c r="W39" s="5601">
        <f t="shared" si="1"/>
        <v>156</v>
      </c>
      <c r="X39" s="5601">
        <f t="shared" si="2"/>
        <v>151</v>
      </c>
      <c r="Y39" s="5602">
        <f t="shared" si="3"/>
        <v>125</v>
      </c>
      <c r="Z39" s="5595">
        <v>41</v>
      </c>
      <c r="AA39" s="5598">
        <v>42</v>
      </c>
      <c r="AB39" s="5598">
        <v>46</v>
      </c>
      <c r="AC39" s="5598">
        <v>43</v>
      </c>
      <c r="AD39" s="5598">
        <v>41</v>
      </c>
      <c r="AE39" s="5598">
        <v>41</v>
      </c>
      <c r="AF39" s="5598">
        <v>40</v>
      </c>
      <c r="AG39" s="5598">
        <v>40</v>
      </c>
      <c r="AH39" s="5598">
        <v>44</v>
      </c>
      <c r="AI39" s="5598">
        <v>50</v>
      </c>
      <c r="AJ39" s="5598">
        <v>0</v>
      </c>
      <c r="AK39" s="5632">
        <v>0</v>
      </c>
      <c r="AL39" s="6586"/>
      <c r="AM39" s="5624"/>
      <c r="AO39" s="5602"/>
      <c r="AP39" s="5602"/>
    </row>
    <row r="40" spans="1:46" ht="16.25" customHeight="1" x14ac:dyDescent="0.3">
      <c r="A40" s="5670"/>
      <c r="B40" s="5605" t="s">
        <v>52</v>
      </c>
      <c r="C40" s="5606">
        <v>35815220</v>
      </c>
      <c r="D40" s="5606">
        <v>56025760</v>
      </c>
      <c r="E40" s="5607">
        <v>67032720</v>
      </c>
      <c r="F40" s="5608">
        <v>751044600</v>
      </c>
      <c r="G40" s="5609">
        <v>61592240</v>
      </c>
      <c r="H40" s="5606">
        <v>66196249.600000001</v>
      </c>
      <c r="I40" s="5606">
        <v>60747289.600000001</v>
      </c>
      <c r="J40" s="5606">
        <v>44086497.600000001</v>
      </c>
      <c r="K40" s="5606">
        <v>53748800</v>
      </c>
      <c r="L40" s="5606">
        <v>45890176</v>
      </c>
      <c r="M40" s="5606">
        <v>50216480</v>
      </c>
      <c r="N40" s="5606">
        <v>44481449.600000001</v>
      </c>
      <c r="O40" s="5606">
        <v>40438320</v>
      </c>
      <c r="P40" s="5606">
        <v>38574092.799999997</v>
      </c>
      <c r="Q40" s="5606">
        <v>37562000</v>
      </c>
      <c r="R40" s="5606">
        <v>32948182.399999999</v>
      </c>
      <c r="S40" s="5610">
        <f>P40+Q40+R40</f>
        <v>109084275.19999999</v>
      </c>
      <c r="T40" s="6548">
        <f>SUM(G40:R40)</f>
        <v>576481777.60000002</v>
      </c>
      <c r="U40" s="5624"/>
      <c r="V40" s="5601">
        <f t="shared" si="0"/>
        <v>188535779.19999999</v>
      </c>
      <c r="W40" s="5601">
        <f t="shared" si="1"/>
        <v>143725473.59999999</v>
      </c>
      <c r="X40" s="5601">
        <f t="shared" si="2"/>
        <v>135136249.59999999</v>
      </c>
      <c r="Y40" s="5602">
        <f t="shared" si="3"/>
        <v>109084275.19999999</v>
      </c>
      <c r="Z40" s="5606">
        <v>37701760</v>
      </c>
      <c r="AA40" s="5609">
        <v>33521609.600000001</v>
      </c>
      <c r="AB40" s="5609">
        <v>32639216</v>
      </c>
      <c r="AC40" s="5609">
        <v>38601129.600000001</v>
      </c>
      <c r="AD40" s="5609">
        <v>33429369.600000001</v>
      </c>
      <c r="AE40" s="5609">
        <v>30410896</v>
      </c>
      <c r="AF40" s="5609">
        <v>34908246.399999999</v>
      </c>
      <c r="AG40" s="5609">
        <v>29395936</v>
      </c>
      <c r="AH40" s="5609">
        <v>35366732.799999997</v>
      </c>
      <c r="AI40" s="5609">
        <v>38691360</v>
      </c>
      <c r="AJ40" s="5609">
        <v>0</v>
      </c>
      <c r="AK40" s="5611">
        <v>0</v>
      </c>
      <c r="AL40" s="6584">
        <f>SUM(Z40:AK40)</f>
        <v>344666256</v>
      </c>
      <c r="AM40" s="5624"/>
      <c r="AO40" s="5602">
        <f t="shared" si="4"/>
        <v>103862585.59999999</v>
      </c>
      <c r="AP40" s="5602">
        <f t="shared" si="5"/>
        <v>102441395.2</v>
      </c>
      <c r="AR40" s="5602"/>
    </row>
    <row r="41" spans="1:46" ht="16.25" customHeight="1" x14ac:dyDescent="0.3">
      <c r="A41" s="5670"/>
      <c r="B41" s="5605" t="s">
        <v>280</v>
      </c>
      <c r="C41" s="5606">
        <v>3552360</v>
      </c>
      <c r="D41" s="5606">
        <v>4786180</v>
      </c>
      <c r="E41" s="5607">
        <v>2880806.4</v>
      </c>
      <c r="F41" s="5608">
        <v>67869295</v>
      </c>
      <c r="G41" s="5609">
        <v>2892354.4</v>
      </c>
      <c r="H41" s="5606">
        <v>3322699.2</v>
      </c>
      <c r="I41" s="5606">
        <v>2763396.8000000003</v>
      </c>
      <c r="J41" s="5606">
        <v>2382758.4000000004</v>
      </c>
      <c r="K41" s="5606">
        <v>3251686.4</v>
      </c>
      <c r="L41" s="5606">
        <v>2385654.4</v>
      </c>
      <c r="M41" s="5606">
        <v>2515068.7999999998</v>
      </c>
      <c r="N41" s="5606">
        <v>2249733.2000000002</v>
      </c>
      <c r="O41" s="5606">
        <v>2035867.6</v>
      </c>
      <c r="P41" s="5606">
        <v>1694407.6</v>
      </c>
      <c r="Q41" s="5606">
        <v>1828868.8000000003</v>
      </c>
      <c r="R41" s="5606">
        <v>1766343.2000000002</v>
      </c>
      <c r="S41" s="5610">
        <f>P41+Q41+R41</f>
        <v>5289619.6000000006</v>
      </c>
      <c r="T41" s="6548">
        <f>SUM(G41:R41)</f>
        <v>29088838.800000004</v>
      </c>
      <c r="U41" s="5612">
        <f>T41/T40</f>
        <v>5.0459251151185047E-2</v>
      </c>
      <c r="V41" s="5601">
        <f t="shared" si="0"/>
        <v>8978450.4000000004</v>
      </c>
      <c r="W41" s="5601">
        <f t="shared" si="1"/>
        <v>8020099.2000000011</v>
      </c>
      <c r="X41" s="5601">
        <f t="shared" si="2"/>
        <v>6800669.5999999996</v>
      </c>
      <c r="Y41" s="5602">
        <f t="shared" si="3"/>
        <v>5289619.6000000006</v>
      </c>
      <c r="Z41" s="5606">
        <v>2158960.8000000003</v>
      </c>
      <c r="AA41" s="5609">
        <v>1878087.2000000002</v>
      </c>
      <c r="AB41" s="5609">
        <v>2135644</v>
      </c>
      <c r="AC41" s="5609">
        <v>2397485.6</v>
      </c>
      <c r="AD41" s="5609">
        <v>2020662.4</v>
      </c>
      <c r="AE41" s="5609">
        <v>1953244</v>
      </c>
      <c r="AF41" s="5609">
        <v>2687868</v>
      </c>
      <c r="AG41" s="5609">
        <v>3055632</v>
      </c>
      <c r="AH41" s="5609">
        <v>2811776.3999999994</v>
      </c>
      <c r="AI41" s="5609">
        <v>3345240.8000000003</v>
      </c>
      <c r="AJ41" s="5609">
        <v>0</v>
      </c>
      <c r="AK41" s="5611">
        <v>0</v>
      </c>
      <c r="AL41" s="6584">
        <f>SUM(Z41:AK41)</f>
        <v>24444601.199999999</v>
      </c>
      <c r="AM41" s="5612">
        <f>AC41/AC40</f>
        <v>6.2109208327416406E-2</v>
      </c>
      <c r="AO41" s="5602">
        <f t="shared" si="4"/>
        <v>6172692</v>
      </c>
      <c r="AP41" s="5602">
        <f t="shared" si="5"/>
        <v>6371392</v>
      </c>
      <c r="AR41" s="5602"/>
    </row>
    <row r="42" spans="1:46" ht="16.25" customHeight="1" x14ac:dyDescent="0.3">
      <c r="A42" s="5670"/>
      <c r="B42" s="5605" t="s">
        <v>355</v>
      </c>
      <c r="C42" s="5606">
        <v>0</v>
      </c>
      <c r="D42" s="5606">
        <v>0</v>
      </c>
      <c r="E42" s="5607">
        <v>0</v>
      </c>
      <c r="F42" s="5608">
        <v>12656089</v>
      </c>
      <c r="G42" s="5609">
        <v>947937</v>
      </c>
      <c r="H42" s="5606">
        <v>889682</v>
      </c>
      <c r="I42" s="5606">
        <v>1126626</v>
      </c>
      <c r="J42" s="5606">
        <v>931644</v>
      </c>
      <c r="K42" s="5606">
        <v>1168131</v>
      </c>
      <c r="L42" s="5606">
        <v>1122590</v>
      </c>
      <c r="M42" s="5606">
        <v>1143199</v>
      </c>
      <c r="N42" s="5606">
        <v>1136581</v>
      </c>
      <c r="O42" s="5606">
        <v>1095223</v>
      </c>
      <c r="P42" s="5606">
        <v>1085836</v>
      </c>
      <c r="Q42" s="5606">
        <v>1088221</v>
      </c>
      <c r="R42" s="5606">
        <v>1079001</v>
      </c>
      <c r="S42" s="5610">
        <f>P42+Q42+R42</f>
        <v>3253058</v>
      </c>
      <c r="T42" s="6548">
        <f>SUM(G42:R42)</f>
        <v>12814671</v>
      </c>
      <c r="U42" s="5614">
        <f>R42/Q41</f>
        <v>0.58998272593419487</v>
      </c>
      <c r="V42" s="5601">
        <f t="shared" si="0"/>
        <v>2964245</v>
      </c>
      <c r="W42" s="5601">
        <f t="shared" si="1"/>
        <v>3222365</v>
      </c>
      <c r="X42" s="5601">
        <f t="shared" si="2"/>
        <v>3375003</v>
      </c>
      <c r="Y42" s="5602">
        <f t="shared" si="3"/>
        <v>3253058</v>
      </c>
      <c r="Z42" s="5606">
        <v>899474</v>
      </c>
      <c r="AA42" s="5609">
        <v>1001814</v>
      </c>
      <c r="AB42" s="5609">
        <v>796254</v>
      </c>
      <c r="AC42" s="5609">
        <v>802765</v>
      </c>
      <c r="AD42" s="5609">
        <v>797158</v>
      </c>
      <c r="AE42" s="5609">
        <v>818368</v>
      </c>
      <c r="AF42" s="5609">
        <v>929597</v>
      </c>
      <c r="AG42" s="5609">
        <v>1027075</v>
      </c>
      <c r="AH42" s="5609">
        <v>1035421</v>
      </c>
      <c r="AI42" s="5609">
        <v>1118469</v>
      </c>
      <c r="AJ42" s="5609">
        <v>0</v>
      </c>
      <c r="AK42" s="5611">
        <v>0</v>
      </c>
      <c r="AL42" s="6584">
        <f>SUM(Z42:AK42)</f>
        <v>9226395</v>
      </c>
      <c r="AM42" s="5612">
        <f>AC42/AC41</f>
        <v>0.33483621340624525</v>
      </c>
      <c r="AO42" s="5602">
        <f t="shared" si="4"/>
        <v>2697542</v>
      </c>
      <c r="AP42" s="5602">
        <f t="shared" si="5"/>
        <v>2418291</v>
      </c>
    </row>
    <row r="43" spans="1:46" ht="16.25" customHeight="1" x14ac:dyDescent="0.3">
      <c r="A43" s="5671"/>
      <c r="B43" s="5616" t="s">
        <v>360</v>
      </c>
      <c r="C43" s="5617">
        <v>695685.5</v>
      </c>
      <c r="D43" s="5617">
        <v>2250425.4999999995</v>
      </c>
      <c r="E43" s="5618">
        <v>1797747.4</v>
      </c>
      <c r="F43" s="5619">
        <v>21709111.5</v>
      </c>
      <c r="G43" s="5620">
        <v>1707472.2</v>
      </c>
      <c r="H43" s="5617">
        <v>1299059.2000000002</v>
      </c>
      <c r="I43" s="5617">
        <v>632954.00000000047</v>
      </c>
      <c r="J43" s="5617">
        <v>764484.40000000037</v>
      </c>
      <c r="K43" s="5617">
        <v>1901946.4</v>
      </c>
      <c r="L43" s="5617">
        <v>-1503466.0000000005</v>
      </c>
      <c r="M43" s="5617">
        <v>1086652.3999999999</v>
      </c>
      <c r="N43" s="5617">
        <v>770716.20000000019</v>
      </c>
      <c r="O43" s="5617">
        <v>697771.80000000028</v>
      </c>
      <c r="P43" s="5617">
        <v>191122.60000000009</v>
      </c>
      <c r="Q43" s="5617">
        <v>429811.20000000042</v>
      </c>
      <c r="R43" s="5617">
        <v>478122.20000000019</v>
      </c>
      <c r="S43" s="5621">
        <f>P43+Q43+R43</f>
        <v>1099056.0000000007</v>
      </c>
      <c r="T43" s="6549">
        <f>SUM(G43:R43)</f>
        <v>8456646.6000000015</v>
      </c>
      <c r="U43" s="5612">
        <f>T43/T40</f>
        <v>1.4669408346620392E-2</v>
      </c>
      <c r="V43" s="5601">
        <f t="shared" si="0"/>
        <v>3639485.4000000008</v>
      </c>
      <c r="W43" s="5601">
        <f t="shared" si="1"/>
        <v>1162964.7999999998</v>
      </c>
      <c r="X43" s="5601">
        <f t="shared" si="2"/>
        <v>2555140.4000000004</v>
      </c>
      <c r="Y43" s="5602">
        <f t="shared" si="3"/>
        <v>1099056.0000000007</v>
      </c>
      <c r="Z43" s="5617">
        <v>796138.80000000028</v>
      </c>
      <c r="AA43" s="5620">
        <v>762994.40000000014</v>
      </c>
      <c r="AB43" s="5620">
        <v>354379.60000000009</v>
      </c>
      <c r="AC43" s="5620">
        <v>1423359</v>
      </c>
      <c r="AD43" s="5620">
        <v>86104.399999999907</v>
      </c>
      <c r="AE43" s="5620">
        <v>490079</v>
      </c>
      <c r="AF43" s="5620">
        <v>779688</v>
      </c>
      <c r="AG43" s="5620">
        <v>-280054.39999999991</v>
      </c>
      <c r="AH43" s="5620">
        <v>-1891961.4000000004</v>
      </c>
      <c r="AI43" s="5620">
        <v>1129203.0000000005</v>
      </c>
      <c r="AJ43" s="5620">
        <v>0</v>
      </c>
      <c r="AK43" s="5622">
        <v>0</v>
      </c>
      <c r="AL43" s="6585">
        <f>SUM(Z43:AK43)</f>
        <v>3649930.4000000008</v>
      </c>
      <c r="AM43" s="5623">
        <f>AC43/AC40</f>
        <v>3.6873506416765588E-2</v>
      </c>
      <c r="AO43" s="5602">
        <f t="shared" si="4"/>
        <v>1913512.8000000005</v>
      </c>
      <c r="AP43" s="5602">
        <f t="shared" si="5"/>
        <v>1999542.4</v>
      </c>
    </row>
    <row r="44" spans="1:46" s="5588" customFormat="1" x14ac:dyDescent="0.3">
      <c r="A44" s="5672"/>
      <c r="B44" s="3688"/>
      <c r="C44" s="5628"/>
      <c r="D44" s="5625"/>
      <c r="E44" s="5626"/>
      <c r="F44" s="5655"/>
      <c r="G44" s="5628"/>
      <c r="H44" s="5625"/>
      <c r="I44" s="5625"/>
      <c r="J44" s="5625"/>
      <c r="K44" s="5625"/>
      <c r="L44" s="5625"/>
      <c r="M44" s="5625"/>
      <c r="N44" s="5625"/>
      <c r="O44" s="5625"/>
      <c r="P44" s="5625"/>
      <c r="Q44" s="5625"/>
      <c r="R44" s="5625"/>
      <c r="S44" s="5629"/>
      <c r="T44" s="6545"/>
      <c r="U44" s="5630"/>
      <c r="V44" s="5601">
        <f t="shared" si="0"/>
        <v>0</v>
      </c>
      <c r="W44" s="5601">
        <f t="shared" si="1"/>
        <v>0</v>
      </c>
      <c r="X44" s="5601">
        <f t="shared" si="2"/>
        <v>0</v>
      </c>
      <c r="Y44" s="5591">
        <f t="shared" si="3"/>
        <v>0</v>
      </c>
      <c r="Z44" s="5625">
        <f>Z43/Z40</f>
        <v>2.1116754231102215E-2</v>
      </c>
      <c r="AA44" s="5656">
        <f t="shared" ref="AA44:AI44" si="23">AA43/AA40</f>
        <v>2.2761269792963643E-2</v>
      </c>
      <c r="AB44" s="5656">
        <f t="shared" si="23"/>
        <v>1.085747892964096E-2</v>
      </c>
      <c r="AC44" s="5656">
        <f t="shared" si="23"/>
        <v>3.6873506416765588E-2</v>
      </c>
      <c r="AD44" s="5656">
        <f t="shared" si="23"/>
        <v>2.5757111495156612E-3</v>
      </c>
      <c r="AE44" s="5656">
        <f t="shared" si="23"/>
        <v>1.6115243694233804E-2</v>
      </c>
      <c r="AF44" s="5656">
        <f t="shared" si="23"/>
        <v>2.2335352829410533E-2</v>
      </c>
      <c r="AG44" s="5656">
        <f t="shared" si="23"/>
        <v>-9.5269767902610731E-3</v>
      </c>
      <c r="AH44" s="5656">
        <f t="shared" si="23"/>
        <v>-5.3495509768999652E-2</v>
      </c>
      <c r="AI44" s="5656">
        <f t="shared" si="23"/>
        <v>2.9184887788901721E-2</v>
      </c>
      <c r="AJ44" s="5625"/>
      <c r="AK44" s="5626"/>
      <c r="AL44" s="6587">
        <f>AL43/AL40</f>
        <v>1.0589752656262354E-2</v>
      </c>
      <c r="AM44" s="5637"/>
      <c r="AO44" s="5591">
        <f t="shared" si="4"/>
        <v>5.473550295370682E-2</v>
      </c>
      <c r="AP44" s="5591">
        <f t="shared" si="5"/>
        <v>5.556446126051505E-2</v>
      </c>
    </row>
    <row r="45" spans="1:46" ht="16.25" customHeight="1" x14ac:dyDescent="0.3">
      <c r="A45" s="5669" t="s">
        <v>180</v>
      </c>
      <c r="B45" s="5594" t="s">
        <v>5</v>
      </c>
      <c r="C45" s="5595"/>
      <c r="D45" s="5595"/>
      <c r="E45" s="5596"/>
      <c r="F45" s="5597">
        <v>2</v>
      </c>
      <c r="G45" s="5598">
        <v>2</v>
      </c>
      <c r="H45" s="5595">
        <v>2</v>
      </c>
      <c r="I45" s="5595">
        <v>2</v>
      </c>
      <c r="J45" s="5595">
        <v>2</v>
      </c>
      <c r="K45" s="5595">
        <v>2</v>
      </c>
      <c r="L45" s="5595">
        <v>2</v>
      </c>
      <c r="M45" s="5595">
        <v>2</v>
      </c>
      <c r="N45" s="5595">
        <v>1</v>
      </c>
      <c r="O45" s="5595">
        <v>2</v>
      </c>
      <c r="P45" s="5595">
        <v>2</v>
      </c>
      <c r="Q45" s="5595">
        <v>2</v>
      </c>
      <c r="R45" s="5595">
        <v>2</v>
      </c>
      <c r="S45" s="5599"/>
      <c r="T45" s="6547">
        <v>2</v>
      </c>
      <c r="U45" s="5631"/>
      <c r="V45" s="5601">
        <f t="shared" si="0"/>
        <v>6</v>
      </c>
      <c r="W45" s="5601">
        <f t="shared" si="1"/>
        <v>6</v>
      </c>
      <c r="X45" s="5601">
        <f t="shared" si="2"/>
        <v>5</v>
      </c>
      <c r="Y45" s="5602">
        <f t="shared" si="3"/>
        <v>6</v>
      </c>
      <c r="Z45" s="5595">
        <v>2</v>
      </c>
      <c r="AA45" s="5598">
        <v>2</v>
      </c>
      <c r="AB45" s="5598">
        <v>2</v>
      </c>
      <c r="AC45" s="5598">
        <v>2</v>
      </c>
      <c r="AD45" s="5598">
        <v>2</v>
      </c>
      <c r="AE45" s="5598">
        <v>2</v>
      </c>
      <c r="AF45" s="5598">
        <v>1</v>
      </c>
      <c r="AG45" s="5598">
        <v>1</v>
      </c>
      <c r="AH45" s="5598">
        <v>2</v>
      </c>
      <c r="AI45" s="5598">
        <v>2</v>
      </c>
      <c r="AJ45" s="5598">
        <v>0</v>
      </c>
      <c r="AK45" s="5632">
        <v>0</v>
      </c>
      <c r="AL45" s="6586"/>
      <c r="AM45" s="5624"/>
      <c r="AO45" s="5602"/>
      <c r="AP45" s="5602"/>
    </row>
    <row r="46" spans="1:46" ht="16.25" customHeight="1" x14ac:dyDescent="0.3">
      <c r="A46" s="5670"/>
      <c r="B46" s="5605" t="s">
        <v>52</v>
      </c>
      <c r="C46" s="5606"/>
      <c r="D46" s="5606"/>
      <c r="E46" s="5607"/>
      <c r="F46" s="5608">
        <v>8411894.4000000004</v>
      </c>
      <c r="G46" s="5609">
        <v>1546368.0000000002</v>
      </c>
      <c r="H46" s="5606">
        <v>1623686.4000000001</v>
      </c>
      <c r="I46" s="5606">
        <v>1542604.8</v>
      </c>
      <c r="J46" s="5606">
        <v>0</v>
      </c>
      <c r="K46" s="5606">
        <v>0</v>
      </c>
      <c r="L46" s="5606">
        <v>0</v>
      </c>
      <c r="M46" s="5606">
        <v>0</v>
      </c>
      <c r="N46" s="5606">
        <v>230400</v>
      </c>
      <c r="O46" s="5606">
        <v>979200</v>
      </c>
      <c r="P46" s="5606">
        <v>1315200</v>
      </c>
      <c r="Q46" s="5606">
        <v>1248000</v>
      </c>
      <c r="R46" s="5606">
        <v>1327200</v>
      </c>
      <c r="S46" s="5610"/>
      <c r="T46" s="6548">
        <f>SUM(G46:R46)</f>
        <v>9812659.1999999993</v>
      </c>
      <c r="U46" s="5624"/>
      <c r="V46" s="5601">
        <f t="shared" si="0"/>
        <v>4712659.2</v>
      </c>
      <c r="W46" s="5601">
        <f t="shared" si="1"/>
        <v>0</v>
      </c>
      <c r="X46" s="5601">
        <f t="shared" si="2"/>
        <v>1209600</v>
      </c>
      <c r="Y46" s="5602">
        <f t="shared" si="3"/>
        <v>3890400</v>
      </c>
      <c r="Z46" s="5606">
        <v>1372800</v>
      </c>
      <c r="AA46" s="5609">
        <v>1315200</v>
      </c>
      <c r="AB46" s="5609">
        <v>1248000</v>
      </c>
      <c r="AC46" s="5609">
        <v>1372800</v>
      </c>
      <c r="AD46" s="5609">
        <v>1286400</v>
      </c>
      <c r="AE46" s="5609">
        <v>1248000</v>
      </c>
      <c r="AF46" s="5609">
        <v>633600</v>
      </c>
      <c r="AG46" s="5609">
        <v>604800</v>
      </c>
      <c r="AH46" s="5609">
        <v>724320</v>
      </c>
      <c r="AI46" s="5609">
        <v>1277760</v>
      </c>
      <c r="AJ46" s="5609">
        <v>0</v>
      </c>
      <c r="AK46" s="5611">
        <v>0</v>
      </c>
      <c r="AL46" s="6584">
        <f>SUM(Z46:AK46)</f>
        <v>11083680</v>
      </c>
      <c r="AM46" s="5624"/>
      <c r="AO46" s="5602">
        <f t="shared" si="4"/>
        <v>3936000</v>
      </c>
      <c r="AP46" s="5602">
        <f t="shared" si="5"/>
        <v>3907200</v>
      </c>
      <c r="AR46" s="5602"/>
      <c r="AS46" s="5602"/>
      <c r="AT46" s="5602"/>
    </row>
    <row r="47" spans="1:46" ht="16.25" customHeight="1" x14ac:dyDescent="0.3">
      <c r="A47" s="5670"/>
      <c r="B47" s="5605" t="s">
        <v>280</v>
      </c>
      <c r="C47" s="5606"/>
      <c r="D47" s="5606"/>
      <c r="E47" s="5607"/>
      <c r="F47" s="5608">
        <v>2454134.3999999994</v>
      </c>
      <c r="G47" s="5609">
        <v>492708.00000000017</v>
      </c>
      <c r="H47" s="5606">
        <v>434246.40000000014</v>
      </c>
      <c r="I47" s="5606">
        <v>320524.8000000001</v>
      </c>
      <c r="J47" s="5606">
        <v>0</v>
      </c>
      <c r="K47" s="5606">
        <v>0</v>
      </c>
      <c r="L47" s="5606">
        <v>0</v>
      </c>
      <c r="M47" s="5606">
        <v>0</v>
      </c>
      <c r="N47" s="5606">
        <v>38400</v>
      </c>
      <c r="O47" s="5606">
        <v>211200</v>
      </c>
      <c r="P47" s="5606">
        <v>307200</v>
      </c>
      <c r="Q47" s="5606">
        <v>288000</v>
      </c>
      <c r="R47" s="5606">
        <v>362400</v>
      </c>
      <c r="S47" s="5610"/>
      <c r="T47" s="6548">
        <f>SUM(G47:R47)</f>
        <v>2454679.2000000002</v>
      </c>
      <c r="U47" s="5612">
        <f>T47/T46</f>
        <v>0.25015433125406011</v>
      </c>
      <c r="V47" s="5601">
        <f t="shared" si="0"/>
        <v>1247479.2000000004</v>
      </c>
      <c r="W47" s="5601">
        <f t="shared" si="1"/>
        <v>0</v>
      </c>
      <c r="X47" s="5601">
        <f t="shared" si="2"/>
        <v>249600</v>
      </c>
      <c r="Y47" s="5602">
        <f t="shared" si="3"/>
        <v>957600</v>
      </c>
      <c r="Z47" s="5606">
        <v>316800</v>
      </c>
      <c r="AA47" s="5609">
        <v>307200</v>
      </c>
      <c r="AB47" s="5609">
        <v>292800</v>
      </c>
      <c r="AC47" s="5609">
        <v>295680</v>
      </c>
      <c r="AD47" s="5609">
        <v>284160</v>
      </c>
      <c r="AE47" s="5609">
        <v>268800</v>
      </c>
      <c r="AF47" s="5609">
        <v>84480</v>
      </c>
      <c r="AG47" s="5609">
        <v>80640</v>
      </c>
      <c r="AH47" s="5609">
        <v>108960</v>
      </c>
      <c r="AI47" s="5609">
        <v>200640</v>
      </c>
      <c r="AJ47" s="5609">
        <v>0</v>
      </c>
      <c r="AK47" s="5611">
        <v>0</v>
      </c>
      <c r="AL47" s="6584">
        <f>SUM(Z47:AK47)</f>
        <v>2240160</v>
      </c>
      <c r="AM47" s="5612">
        <f>AC47/AC46</f>
        <v>0.2153846153846154</v>
      </c>
      <c r="AO47" s="5602">
        <f t="shared" si="4"/>
        <v>916800</v>
      </c>
      <c r="AP47" s="5602">
        <f t="shared" si="5"/>
        <v>848640</v>
      </c>
      <c r="AR47" s="5602"/>
      <c r="AS47" s="5602"/>
      <c r="AT47" s="5602"/>
    </row>
    <row r="48" spans="1:46" ht="16.25" customHeight="1" x14ac:dyDescent="0.3">
      <c r="A48" s="5670"/>
      <c r="B48" s="5605" t="s">
        <v>355</v>
      </c>
      <c r="C48" s="5606"/>
      <c r="D48" s="5606"/>
      <c r="E48" s="5607"/>
      <c r="F48" s="5608">
        <v>0</v>
      </c>
      <c r="G48" s="5609">
        <v>0</v>
      </c>
      <c r="H48" s="5606">
        <v>0</v>
      </c>
      <c r="I48" s="5606">
        <v>0</v>
      </c>
      <c r="J48" s="5606">
        <v>0</v>
      </c>
      <c r="K48" s="5606">
        <v>0</v>
      </c>
      <c r="L48" s="5606">
        <v>0</v>
      </c>
      <c r="M48" s="5606">
        <v>0</v>
      </c>
      <c r="N48" s="5606">
        <v>0</v>
      </c>
      <c r="O48" s="5606">
        <v>0</v>
      </c>
      <c r="P48" s="5606">
        <v>0</v>
      </c>
      <c r="Q48" s="5606">
        <v>0</v>
      </c>
      <c r="R48" s="5606">
        <v>0</v>
      </c>
      <c r="S48" s="5610"/>
      <c r="T48" s="6548">
        <f>SUM(G48:R48)</f>
        <v>0</v>
      </c>
      <c r="U48" s="5624"/>
      <c r="V48" s="5601">
        <f t="shared" si="0"/>
        <v>0</v>
      </c>
      <c r="W48" s="5601">
        <f t="shared" si="1"/>
        <v>0</v>
      </c>
      <c r="X48" s="5601">
        <f t="shared" si="2"/>
        <v>0</v>
      </c>
      <c r="Y48" s="5602">
        <f t="shared" si="3"/>
        <v>0</v>
      </c>
      <c r="Z48" s="5606">
        <v>0</v>
      </c>
      <c r="AA48" s="5609">
        <v>0</v>
      </c>
      <c r="AB48" s="5609">
        <v>0</v>
      </c>
      <c r="AC48" s="5609">
        <v>0</v>
      </c>
      <c r="AD48" s="5609">
        <v>0</v>
      </c>
      <c r="AE48" s="5609">
        <v>0</v>
      </c>
      <c r="AF48" s="5609">
        <v>0</v>
      </c>
      <c r="AG48" s="5609">
        <v>0</v>
      </c>
      <c r="AH48" s="5609">
        <v>0</v>
      </c>
      <c r="AI48" s="5609">
        <v>0</v>
      </c>
      <c r="AJ48" s="5609">
        <v>0</v>
      </c>
      <c r="AK48" s="5611">
        <v>0</v>
      </c>
      <c r="AL48" s="6584">
        <f>SUM(Z48:AK48)</f>
        <v>0</v>
      </c>
      <c r="AM48" s="5624"/>
      <c r="AO48" s="5602">
        <f t="shared" si="4"/>
        <v>0</v>
      </c>
      <c r="AP48" s="5602">
        <f t="shared" si="5"/>
        <v>0</v>
      </c>
    </row>
    <row r="49" spans="1:47" ht="16.25" customHeight="1" x14ac:dyDescent="0.3">
      <c r="A49" s="5671"/>
      <c r="B49" s="5616" t="s">
        <v>360</v>
      </c>
      <c r="C49" s="5617"/>
      <c r="D49" s="5617"/>
      <c r="E49" s="5618"/>
      <c r="F49" s="5619">
        <v>2418233.9999999995</v>
      </c>
      <c r="G49" s="5620">
        <v>437727.00000000017</v>
      </c>
      <c r="H49" s="5617">
        <v>377741.40000000014</v>
      </c>
      <c r="I49" s="5617">
        <v>318019.8000000001</v>
      </c>
      <c r="J49" s="5617">
        <v>0</v>
      </c>
      <c r="K49" s="5617">
        <v>0</v>
      </c>
      <c r="L49" s="5617">
        <v>0</v>
      </c>
      <c r="M49" s="5617">
        <v>0</v>
      </c>
      <c r="N49" s="5617">
        <v>8670</v>
      </c>
      <c r="O49" s="5617">
        <v>194728.2</v>
      </c>
      <c r="P49" s="5617">
        <v>181200</v>
      </c>
      <c r="Q49" s="5617">
        <v>207000</v>
      </c>
      <c r="R49" s="5617">
        <v>198240</v>
      </c>
      <c r="S49" s="5653"/>
      <c r="T49" s="6549">
        <f>SUM(G49:R49)</f>
        <v>1923326.4000000004</v>
      </c>
      <c r="U49" s="5612">
        <f>T49/T46</f>
        <v>0.19600460596858399</v>
      </c>
      <c r="V49" s="5601">
        <f t="shared" si="0"/>
        <v>1133488.2000000004</v>
      </c>
      <c r="W49" s="5601">
        <f t="shared" si="1"/>
        <v>0</v>
      </c>
      <c r="X49" s="5601">
        <f t="shared" si="2"/>
        <v>203398.2</v>
      </c>
      <c r="Y49" s="5602">
        <f t="shared" si="3"/>
        <v>586440</v>
      </c>
      <c r="Z49" s="5617">
        <v>300901.8</v>
      </c>
      <c r="AA49" s="5620">
        <v>298500</v>
      </c>
      <c r="AB49" s="5620">
        <v>282600</v>
      </c>
      <c r="AC49" s="5620">
        <v>292800</v>
      </c>
      <c r="AD49" s="5620">
        <v>282592.8</v>
      </c>
      <c r="AE49" s="5620">
        <v>87570</v>
      </c>
      <c r="AF49" s="5620">
        <v>75701.399999999994</v>
      </c>
      <c r="AG49" s="5620">
        <v>71861.399999999994</v>
      </c>
      <c r="AH49" s="5620">
        <v>107576.4</v>
      </c>
      <c r="AI49" s="5620">
        <v>199256.4</v>
      </c>
      <c r="AJ49" s="5620">
        <v>0</v>
      </c>
      <c r="AK49" s="5622">
        <v>0</v>
      </c>
      <c r="AL49" s="6585">
        <f>SUM(Z49:AK49)</f>
        <v>1999360.1999999997</v>
      </c>
      <c r="AM49" s="5623">
        <f>AC49/AC46</f>
        <v>0.21328671328671328</v>
      </c>
      <c r="AO49" s="5602">
        <f t="shared" si="4"/>
        <v>882001.8</v>
      </c>
      <c r="AP49" s="5602">
        <f t="shared" si="5"/>
        <v>662962.80000000005</v>
      </c>
    </row>
    <row r="50" spans="1:47" ht="16.25" customHeight="1" x14ac:dyDescent="0.3">
      <c r="A50" s="5672"/>
      <c r="B50" s="3688"/>
      <c r="C50" s="5651"/>
      <c r="D50" s="5639"/>
      <c r="E50" s="5650"/>
      <c r="F50" s="5627"/>
      <c r="G50" s="5651"/>
      <c r="H50" s="5639"/>
      <c r="I50" s="5639"/>
      <c r="J50" s="5639"/>
      <c r="K50" s="5639"/>
      <c r="L50" s="5639"/>
      <c r="M50" s="5639"/>
      <c r="N50" s="5639"/>
      <c r="O50" s="5639"/>
      <c r="P50" s="5639"/>
      <c r="Q50" s="5639"/>
      <c r="R50" s="5639"/>
      <c r="S50" s="5629"/>
      <c r="T50" s="6550"/>
      <c r="U50" s="5631"/>
      <c r="V50" s="5601">
        <f t="shared" si="0"/>
        <v>0</v>
      </c>
      <c r="W50" s="5601">
        <f t="shared" si="1"/>
        <v>0</v>
      </c>
      <c r="X50" s="5601">
        <f t="shared" si="2"/>
        <v>0</v>
      </c>
      <c r="Y50" s="5602">
        <f t="shared" si="3"/>
        <v>0</v>
      </c>
      <c r="Z50" s="5639"/>
      <c r="AA50" s="5639"/>
      <c r="AB50" s="5639"/>
      <c r="AC50" s="5639"/>
      <c r="AD50" s="5639"/>
      <c r="AE50" s="5639"/>
      <c r="AF50" s="5639"/>
      <c r="AG50" s="5639"/>
      <c r="AH50" s="5639"/>
      <c r="AI50" s="5639"/>
      <c r="AJ50" s="5639"/>
      <c r="AK50" s="5650"/>
      <c r="AL50" s="6589"/>
      <c r="AM50" s="5640"/>
      <c r="AO50" s="5602">
        <f t="shared" si="4"/>
        <v>0</v>
      </c>
      <c r="AP50" s="5602">
        <f t="shared" si="5"/>
        <v>0</v>
      </c>
    </row>
    <row r="51" spans="1:47" ht="16.25" customHeight="1" x14ac:dyDescent="0.3">
      <c r="A51" s="5669" t="s">
        <v>282</v>
      </c>
      <c r="B51" s="5594" t="s">
        <v>5</v>
      </c>
      <c r="C51" s="5596"/>
      <c r="D51" s="5595"/>
      <c r="E51" s="5632"/>
      <c r="F51" s="5597">
        <v>0</v>
      </c>
      <c r="G51" s="5598">
        <v>1</v>
      </c>
      <c r="H51" s="5595">
        <v>1</v>
      </c>
      <c r="I51" s="5595">
        <v>1</v>
      </c>
      <c r="J51" s="5595">
        <v>1</v>
      </c>
      <c r="K51" s="5595">
        <v>1</v>
      </c>
      <c r="L51" s="5595">
        <v>1</v>
      </c>
      <c r="M51" s="5595">
        <v>1</v>
      </c>
      <c r="N51" s="5595">
        <v>1</v>
      </c>
      <c r="O51" s="5595">
        <v>1</v>
      </c>
      <c r="P51" s="5595">
        <v>1</v>
      </c>
      <c r="Q51" s="5595">
        <v>1</v>
      </c>
      <c r="R51" s="5595">
        <v>1</v>
      </c>
      <c r="S51" s="5599"/>
      <c r="T51" s="6547">
        <v>2</v>
      </c>
      <c r="U51" s="5631"/>
      <c r="V51" s="5601">
        <f t="shared" si="0"/>
        <v>3</v>
      </c>
      <c r="W51" s="5601">
        <f t="shared" si="1"/>
        <v>3</v>
      </c>
      <c r="X51" s="5601">
        <f t="shared" si="2"/>
        <v>3</v>
      </c>
      <c r="Y51" s="5602">
        <f t="shared" si="3"/>
        <v>3</v>
      </c>
      <c r="Z51" s="5595">
        <v>1</v>
      </c>
      <c r="AA51" s="5598">
        <v>1</v>
      </c>
      <c r="AB51" s="5598">
        <v>1</v>
      </c>
      <c r="AC51" s="5598">
        <v>1</v>
      </c>
      <c r="AD51" s="5598">
        <v>1</v>
      </c>
      <c r="AE51" s="5598">
        <v>1</v>
      </c>
      <c r="AF51" s="5598">
        <v>1</v>
      </c>
      <c r="AG51" s="5598">
        <v>1</v>
      </c>
      <c r="AH51" s="5598">
        <v>1</v>
      </c>
      <c r="AI51" s="5598">
        <v>1</v>
      </c>
      <c r="AJ51" s="5598">
        <v>0</v>
      </c>
      <c r="AK51" s="5632">
        <v>0</v>
      </c>
      <c r="AL51" s="6586">
        <v>1</v>
      </c>
      <c r="AM51" s="5624"/>
      <c r="AO51" s="5602"/>
      <c r="AP51" s="5602"/>
    </row>
    <row r="52" spans="1:47" ht="16.25" customHeight="1" x14ac:dyDescent="0.3">
      <c r="A52" s="5670"/>
      <c r="B52" s="5605" t="s">
        <v>52</v>
      </c>
      <c r="C52" s="5607"/>
      <c r="D52" s="5606"/>
      <c r="E52" s="5611"/>
      <c r="F52" s="5608">
        <v>0</v>
      </c>
      <c r="G52" s="5609">
        <v>472200</v>
      </c>
      <c r="H52" s="5606">
        <v>505920</v>
      </c>
      <c r="I52" s="5606">
        <v>505920</v>
      </c>
      <c r="J52" s="5606">
        <v>505920</v>
      </c>
      <c r="K52" s="5606">
        <v>505920</v>
      </c>
      <c r="L52" s="5606">
        <v>505920</v>
      </c>
      <c r="M52" s="5606">
        <v>473040</v>
      </c>
      <c r="N52" s="5606">
        <v>505920</v>
      </c>
      <c r="O52" s="5606">
        <v>375420</v>
      </c>
      <c r="P52" s="5606">
        <v>505920</v>
      </c>
      <c r="Q52" s="5606">
        <v>505920</v>
      </c>
      <c r="R52" s="5606">
        <v>505920</v>
      </c>
      <c r="S52" s="5610"/>
      <c r="T52" s="6548">
        <f>SUM(G52:R52)</f>
        <v>5873940</v>
      </c>
      <c r="U52" s="5624"/>
      <c r="V52" s="5601">
        <f t="shared" si="0"/>
        <v>1484040</v>
      </c>
      <c r="W52" s="5601">
        <f t="shared" si="1"/>
        <v>1517760</v>
      </c>
      <c r="X52" s="5601">
        <f t="shared" si="2"/>
        <v>1354380</v>
      </c>
      <c r="Y52" s="5602">
        <f t="shared" si="3"/>
        <v>1517760</v>
      </c>
      <c r="Z52" s="5606">
        <v>505920</v>
      </c>
      <c r="AA52" s="5609">
        <v>497820</v>
      </c>
      <c r="AB52" s="5609">
        <v>489060</v>
      </c>
      <c r="AC52" s="5609">
        <v>505920</v>
      </c>
      <c r="AD52" s="5609">
        <v>505920</v>
      </c>
      <c r="AE52" s="5609">
        <v>505920</v>
      </c>
      <c r="AF52" s="5609">
        <v>489720</v>
      </c>
      <c r="AG52" s="5609">
        <v>526800</v>
      </c>
      <c r="AH52" s="5609">
        <v>374040</v>
      </c>
      <c r="AI52" s="5609">
        <v>1053600</v>
      </c>
      <c r="AJ52" s="5609">
        <v>0</v>
      </c>
      <c r="AK52" s="5611">
        <v>0</v>
      </c>
      <c r="AL52" s="6584">
        <f>SUM(Z52:AK52)</f>
        <v>5454720</v>
      </c>
      <c r="AM52" s="5624"/>
      <c r="AO52" s="5602">
        <f t="shared" si="4"/>
        <v>1492800</v>
      </c>
      <c r="AP52" s="5602">
        <f t="shared" si="5"/>
        <v>1517760</v>
      </c>
    </row>
    <row r="53" spans="1:47" ht="16.25" customHeight="1" x14ac:dyDescent="0.3">
      <c r="A53" s="5670"/>
      <c r="B53" s="5605" t="s">
        <v>280</v>
      </c>
      <c r="C53" s="5607"/>
      <c r="D53" s="5606"/>
      <c r="E53" s="5611"/>
      <c r="F53" s="5608">
        <v>0</v>
      </c>
      <c r="G53" s="5609">
        <f>Singapre!I9</f>
        <v>0</v>
      </c>
      <c r="H53" s="5606">
        <v>133860</v>
      </c>
      <c r="I53" s="5606">
        <v>133860</v>
      </c>
      <c r="J53" s="5606">
        <v>133860</v>
      </c>
      <c r="K53" s="5606">
        <v>133860</v>
      </c>
      <c r="L53" s="5606">
        <v>133860</v>
      </c>
      <c r="M53" s="5606">
        <v>100980</v>
      </c>
      <c r="N53" s="5606">
        <v>133860</v>
      </c>
      <c r="O53" s="5606">
        <v>3360</v>
      </c>
      <c r="P53" s="5606">
        <v>133860</v>
      </c>
      <c r="Q53" s="5606">
        <v>133860</v>
      </c>
      <c r="R53" s="5606">
        <v>133860</v>
      </c>
      <c r="S53" s="5610"/>
      <c r="T53" s="6548">
        <f>SUM(G53:R53)</f>
        <v>1309080</v>
      </c>
      <c r="U53" s="5612">
        <f>T53/T52</f>
        <v>0.22286233771540057</v>
      </c>
      <c r="V53" s="5601">
        <f t="shared" si="0"/>
        <v>267720</v>
      </c>
      <c r="W53" s="5601">
        <f t="shared" si="1"/>
        <v>401580</v>
      </c>
      <c r="X53" s="5601">
        <f t="shared" si="2"/>
        <v>238200</v>
      </c>
      <c r="Y53" s="5602">
        <f t="shared" si="3"/>
        <v>401580</v>
      </c>
      <c r="Z53" s="5606">
        <v>17760</v>
      </c>
      <c r="AA53" s="5609">
        <v>125760</v>
      </c>
      <c r="AB53" s="5609">
        <v>117000</v>
      </c>
      <c r="AC53" s="5609">
        <v>133860</v>
      </c>
      <c r="AD53" s="5609">
        <v>133860</v>
      </c>
      <c r="AE53" s="5609">
        <v>133860</v>
      </c>
      <c r="AF53" s="5609">
        <v>117660</v>
      </c>
      <c r="AG53" s="5609">
        <v>133680</v>
      </c>
      <c r="AH53" s="5609">
        <v>-76200</v>
      </c>
      <c r="AI53" s="5609">
        <v>267360</v>
      </c>
      <c r="AJ53" s="5609">
        <v>0</v>
      </c>
      <c r="AK53" s="5611">
        <v>0</v>
      </c>
      <c r="AL53" s="6584">
        <f>SUM(Z53:AK53)</f>
        <v>1104600</v>
      </c>
      <c r="AM53" s="5612">
        <f>AC53/AC52</f>
        <v>0.26458728652751423</v>
      </c>
      <c r="AO53" s="5602">
        <f t="shared" si="4"/>
        <v>260520</v>
      </c>
      <c r="AP53" s="5602">
        <f t="shared" si="5"/>
        <v>401580</v>
      </c>
    </row>
    <row r="54" spans="1:47" ht="16.25" customHeight="1" x14ac:dyDescent="0.3">
      <c r="A54" s="5670"/>
      <c r="B54" s="5605" t="s">
        <v>355</v>
      </c>
      <c r="C54" s="5607"/>
      <c r="D54" s="5606"/>
      <c r="E54" s="5611"/>
      <c r="F54" s="5608">
        <v>0</v>
      </c>
      <c r="G54" s="5609">
        <v>0</v>
      </c>
      <c r="H54" s="5606">
        <v>0</v>
      </c>
      <c r="I54" s="5606">
        <v>0</v>
      </c>
      <c r="J54" s="5606">
        <v>0</v>
      </c>
      <c r="K54" s="5606">
        <v>0</v>
      </c>
      <c r="L54" s="5606">
        <v>0</v>
      </c>
      <c r="M54" s="5606">
        <v>0</v>
      </c>
      <c r="N54" s="5606">
        <v>0</v>
      </c>
      <c r="O54" s="5606">
        <v>0</v>
      </c>
      <c r="P54" s="5606">
        <v>0</v>
      </c>
      <c r="Q54" s="5606">
        <v>0</v>
      </c>
      <c r="R54" s="5606">
        <v>0</v>
      </c>
      <c r="S54" s="5610"/>
      <c r="T54" s="6548">
        <f>SUM(G54:R54)</f>
        <v>0</v>
      </c>
      <c r="U54" s="5624"/>
      <c r="V54" s="5601">
        <f t="shared" si="0"/>
        <v>0</v>
      </c>
      <c r="W54" s="5601">
        <f t="shared" si="1"/>
        <v>0</v>
      </c>
      <c r="X54" s="5601">
        <f t="shared" si="2"/>
        <v>0</v>
      </c>
      <c r="Y54" s="5602">
        <f t="shared" si="3"/>
        <v>0</v>
      </c>
      <c r="Z54" s="5606">
        <v>0</v>
      </c>
      <c r="AA54" s="5609">
        <v>0</v>
      </c>
      <c r="AB54" s="5609">
        <v>0</v>
      </c>
      <c r="AC54" s="5609">
        <v>0</v>
      </c>
      <c r="AD54" s="5609">
        <v>0</v>
      </c>
      <c r="AE54" s="5609">
        <v>0</v>
      </c>
      <c r="AF54" s="5609">
        <v>0</v>
      </c>
      <c r="AG54" s="5609">
        <v>0</v>
      </c>
      <c r="AH54" s="5609">
        <v>0</v>
      </c>
      <c r="AI54" s="5609">
        <v>0</v>
      </c>
      <c r="AJ54" s="5609">
        <v>0</v>
      </c>
      <c r="AK54" s="5611">
        <v>0</v>
      </c>
      <c r="AL54" s="6584">
        <f>SUM(Z54:AK54)</f>
        <v>0</v>
      </c>
      <c r="AM54" s="5624"/>
      <c r="AO54" s="5602">
        <f t="shared" si="4"/>
        <v>0</v>
      </c>
      <c r="AP54" s="5602">
        <f t="shared" si="5"/>
        <v>0</v>
      </c>
    </row>
    <row r="55" spans="1:47" ht="16.25" customHeight="1" thickBot="1" x14ac:dyDescent="0.35">
      <c r="A55" s="5673"/>
      <c r="B55" s="5657" t="s">
        <v>360</v>
      </c>
      <c r="C55" s="5658"/>
      <c r="D55" s="5659"/>
      <c r="E55" s="5660"/>
      <c r="F55" s="5661">
        <v>0</v>
      </c>
      <c r="G55" s="5662">
        <f>Singapre!I23</f>
        <v>-103920</v>
      </c>
      <c r="H55" s="5659">
        <v>-177180</v>
      </c>
      <c r="I55" s="5659">
        <v>130860</v>
      </c>
      <c r="J55" s="5659">
        <v>131760</v>
      </c>
      <c r="K55" s="5659">
        <v>131760</v>
      </c>
      <c r="L55" s="5659">
        <v>131760</v>
      </c>
      <c r="M55" s="5659">
        <v>98880</v>
      </c>
      <c r="N55" s="5659">
        <v>131760</v>
      </c>
      <c r="O55" s="5659">
        <v>1260</v>
      </c>
      <c r="P55" s="5659">
        <v>117043.2</v>
      </c>
      <c r="Q55" s="5659">
        <v>130860</v>
      </c>
      <c r="R55" s="5659">
        <v>130860</v>
      </c>
      <c r="S55" s="5663"/>
      <c r="T55" s="6551">
        <f>SUM(G55:R55)</f>
        <v>855703.2</v>
      </c>
      <c r="U55" s="5664">
        <f>T55/T52</f>
        <v>0.14567789252188479</v>
      </c>
      <c r="V55" s="5601">
        <f t="shared" si="0"/>
        <v>-150240</v>
      </c>
      <c r="W55" s="5601">
        <f t="shared" si="1"/>
        <v>395280</v>
      </c>
      <c r="X55" s="5601">
        <f t="shared" si="2"/>
        <v>231900</v>
      </c>
      <c r="Y55" s="5602">
        <f t="shared" si="3"/>
        <v>378763.2</v>
      </c>
      <c r="Z55" s="5659">
        <v>13560</v>
      </c>
      <c r="AA55" s="5662">
        <v>125760</v>
      </c>
      <c r="AB55" s="5662">
        <v>117000</v>
      </c>
      <c r="AC55" s="5662">
        <v>133860</v>
      </c>
      <c r="AD55" s="5665">
        <v>-101580</v>
      </c>
      <c r="AE55" s="5662">
        <v>131760</v>
      </c>
      <c r="AF55" s="5662">
        <v>115560</v>
      </c>
      <c r="AG55" s="5662">
        <v>101580</v>
      </c>
      <c r="AH55" s="5662">
        <v>-78300</v>
      </c>
      <c r="AI55" s="5662">
        <v>265260</v>
      </c>
      <c r="AJ55" s="5662">
        <v>0</v>
      </c>
      <c r="AK55" s="5660">
        <v>0</v>
      </c>
      <c r="AL55" s="6590">
        <f>SUM(Z55:AK55)</f>
        <v>824460</v>
      </c>
      <c r="AM55" s="5664">
        <f>AC55/AC52</f>
        <v>0.26458728652751423</v>
      </c>
      <c r="AO55" s="5602">
        <f t="shared" si="4"/>
        <v>256320</v>
      </c>
      <c r="AP55" s="5602">
        <f t="shared" si="5"/>
        <v>164040</v>
      </c>
    </row>
    <row r="56" spans="1:47" s="5588" customFormat="1" x14ac:dyDescent="0.3">
      <c r="A56" s="5668"/>
      <c r="C56" s="5590"/>
      <c r="D56" s="5590"/>
      <c r="E56" s="5590"/>
      <c r="F56" s="5590"/>
      <c r="G56" s="5590"/>
      <c r="H56" s="5590"/>
      <c r="I56" s="5590"/>
      <c r="J56" s="5590"/>
      <c r="K56" s="5590"/>
      <c r="L56" s="5590"/>
      <c r="M56" s="5590"/>
      <c r="N56" s="5590"/>
      <c r="O56" s="5590"/>
      <c r="P56" s="5590"/>
      <c r="Q56" s="5590"/>
      <c r="R56" s="5590"/>
      <c r="S56" s="5590"/>
      <c r="Z56" s="5666"/>
      <c r="AA56" s="5666"/>
      <c r="AB56" s="5666"/>
      <c r="AC56" s="5666"/>
      <c r="AD56" s="5666"/>
      <c r="AE56" s="5666"/>
      <c r="AF56" s="5666"/>
      <c r="AG56" s="5666"/>
      <c r="AH56" s="5666"/>
      <c r="AI56" s="5666"/>
      <c r="AJ56" s="5666"/>
      <c r="AK56" s="5666"/>
      <c r="AL56" s="5666"/>
    </row>
    <row r="58" spans="1:47" x14ac:dyDescent="0.3">
      <c r="A58" s="5668" t="s">
        <v>1023</v>
      </c>
      <c r="B58" s="5588" t="s">
        <v>1020</v>
      </c>
      <c r="Z58" s="5589">
        <f>Z46+Z40+Z34+Z28+Z16+Z10+Z4</f>
        <v>146064895.90000001</v>
      </c>
      <c r="AA58" s="5589">
        <f>AA46+AA40+AA34+AA28+AA16+AA10+AA4</f>
        <v>145535793.56129032</v>
      </c>
      <c r="AB58" s="5589">
        <f>AB46+AB40+AB34+AB28+AB16+AB10+AB4</f>
        <v>160831153.35333332</v>
      </c>
      <c r="AC58" s="5589">
        <f>AC46+AC40+AC34+AC28+AC16+AC10+AC4</f>
        <v>152260204.94020161</v>
      </c>
      <c r="AD58" s="5589">
        <f>AD46+AD40+AD34+AD28+AD16+AD10+AD4+AD52</f>
        <v>144895921.99333334</v>
      </c>
      <c r="AE58" s="5589">
        <f>AE46+AE40+AE34+AE28+AE16+AE10+AE4+AE52</f>
        <v>152543786.38</v>
      </c>
      <c r="AF58" s="5589">
        <f>AF46+AF40+AF34+AF28+AF16+AF10+AF4+AF52</f>
        <v>156679222.50868064</v>
      </c>
      <c r="AG58" s="5589">
        <f>AG46+AG40+AG34+AG28+AG16+AG10+AG4+AG52</f>
        <v>151498073.836</v>
      </c>
      <c r="AH58" s="5589">
        <f>AH46+AH40+AH34+AH28+AH16+AH10+AH4+AH52+AH22</f>
        <v>157131887.05329549</v>
      </c>
      <c r="AI58" s="5589">
        <f>AI46+AI40+AI34+AI28+AI16+AI10+AI4+AI52+AI22</f>
        <v>161242348.45100001</v>
      </c>
      <c r="AL58" s="5589">
        <f>AL46+AL40+AL34+AL28+AL16+AL10+AL4+AL52</f>
        <v>1530682007.9771347</v>
      </c>
    </row>
    <row r="59" spans="1:47" x14ac:dyDescent="0.3">
      <c r="A59" s="5668" t="s">
        <v>1023</v>
      </c>
      <c r="B59" s="5588" t="s">
        <v>1021</v>
      </c>
      <c r="Z59" s="5589">
        <f>Z47+Z41+Z35+Z29+Z17+Z11+Z5</f>
        <v>25302602.357500002</v>
      </c>
      <c r="AA59" s="5589">
        <f t="shared" ref="AA59:AK59" si="24">AA47+AA41+AA35+AA29+AA17+AA11+AA5</f>
        <v>26893065.079629034</v>
      </c>
      <c r="AB59" s="5589">
        <f t="shared" si="24"/>
        <v>25445359.331833333</v>
      </c>
      <c r="AC59" s="5589">
        <f t="shared" si="24"/>
        <v>27228870.788330644</v>
      </c>
      <c r="AD59" s="5589">
        <f>AD47+AD41+AD35+AD29+AD17+AD11+AD5+AD53</f>
        <v>23727516.770172041</v>
      </c>
      <c r="AE59" s="5589">
        <f>AE47+AE41+AE35+AE29+AE17+AE11+AE5+AE53</f>
        <v>26552434.601666667</v>
      </c>
      <c r="AF59" s="5589">
        <f>AF47+AF41+AF35+AF29+AF17+AF11+AF5+AF53</f>
        <v>27113808.194454838</v>
      </c>
      <c r="AG59" s="5589">
        <f>AG47+AG41+AG35+AG29+AG17+AG11+AG5</f>
        <v>25945998.0755</v>
      </c>
      <c r="AH59" s="5589">
        <f>AH47+AH41+AH35+AH29+AH17+AH11+AH5+AH53+AH23</f>
        <v>25116115.507730968</v>
      </c>
      <c r="AI59" s="5589">
        <f t="shared" si="24"/>
        <v>29983168.5055</v>
      </c>
      <c r="AJ59" s="5589">
        <f t="shared" si="24"/>
        <v>0</v>
      </c>
      <c r="AK59" s="5589">
        <f t="shared" si="24"/>
        <v>0</v>
      </c>
      <c r="AL59" s="5589">
        <f>AL47+AL41+AL35+AL29+AL17+AL11+AL5</f>
        <v>262999759.21231753</v>
      </c>
    </row>
    <row r="60" spans="1:47" x14ac:dyDescent="0.3">
      <c r="A60" s="5668" t="s">
        <v>1023</v>
      </c>
      <c r="B60" s="5588" t="s">
        <v>1022</v>
      </c>
      <c r="Z60" s="5589">
        <f t="shared" ref="Z60:AK60" si="25">Z49+Z43+Z37+Z31+Z19+Z13+Z7</f>
        <v>5308638.1575000007</v>
      </c>
      <c r="AA60" s="5589">
        <f t="shared" si="25"/>
        <v>8584057.3296290319</v>
      </c>
      <c r="AB60" s="5589">
        <f t="shared" si="25"/>
        <v>6701476.231833335</v>
      </c>
      <c r="AC60" s="5589">
        <f t="shared" si="25"/>
        <v>7717722.9508306449</v>
      </c>
      <c r="AD60" s="5589">
        <f>AD49+AD43+AD37+AD31+AD19+AD13+AD7+AD55</f>
        <v>2532406.0701720426</v>
      </c>
      <c r="AE60" s="5589">
        <f>AE49+AE43+AE37+AE31+AE19+AE13+AE7+AE55</f>
        <v>7277267.4416666683</v>
      </c>
      <c r="AF60" s="5589">
        <f>AF49+AF43+AF37+AF31+AF19+AF13+AF7+AF55</f>
        <v>6001718.9244548399</v>
      </c>
      <c r="AG60" s="5589">
        <f t="shared" si="25"/>
        <v>4225463.1854999997</v>
      </c>
      <c r="AH60" s="5589">
        <f>AH48+AH42+AH36+AH30+AH18+AH12+AH6+AH54+AH24</f>
        <v>7111022</v>
      </c>
      <c r="AI60" s="5589">
        <f t="shared" si="25"/>
        <v>11353548.205500001</v>
      </c>
      <c r="AJ60" s="5589">
        <f t="shared" si="25"/>
        <v>0</v>
      </c>
      <c r="AK60" s="5589">
        <f t="shared" si="25"/>
        <v>0</v>
      </c>
      <c r="AL60" s="5589">
        <f>AL49+AL43+AL37+AL31+AL19+AL13+AL7</f>
        <v>62367112.67731753</v>
      </c>
    </row>
    <row r="61" spans="1:47" x14ac:dyDescent="0.3">
      <c r="AL61" s="5602"/>
      <c r="AR61" s="6533"/>
      <c r="AS61" s="6533"/>
      <c r="AT61" s="6534" t="s">
        <v>1040</v>
      </c>
      <c r="AU61" s="6534" t="s">
        <v>1041</v>
      </c>
    </row>
    <row r="62" spans="1:47" x14ac:dyDescent="0.3">
      <c r="AL62" s="5667"/>
      <c r="AR62" s="6533" t="s">
        <v>1038</v>
      </c>
      <c r="AS62" s="6535">
        <f>2800000+1700000</f>
        <v>4500000</v>
      </c>
      <c r="AT62" s="6536">
        <f>AS62/AG58</f>
        <v>2.9703347944023031E-2</v>
      </c>
      <c r="AU62" s="6536">
        <f>AS62/AG59</f>
        <v>0.17343715153703068</v>
      </c>
    </row>
    <row r="63" spans="1:47" x14ac:dyDescent="0.3">
      <c r="AG63" s="6541"/>
      <c r="AL63" s="5602"/>
      <c r="AR63" s="6533" t="s">
        <v>1039</v>
      </c>
      <c r="AS63" s="6535">
        <f>(53+15)*100000</f>
        <v>6800000</v>
      </c>
      <c r="AT63" s="6536">
        <f>AS63/AG58</f>
        <v>4.488505911541258E-2</v>
      </c>
      <c r="AU63" s="6536">
        <f>AS63/AG59</f>
        <v>0.26208280676706858</v>
      </c>
    </row>
    <row r="64" spans="1:47" x14ac:dyDescent="0.3">
      <c r="AL64" s="5667"/>
    </row>
  </sheetData>
  <pageMargins left="0.7" right="0.7" top="0.75" bottom="0.75" header="0.3" footer="0.3"/>
  <pageSetup paperSize="9" scale="91" fitToHeight="2" orientation="landscape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L24"/>
  <sheetViews>
    <sheetView workbookViewId="0">
      <pane xSplit="2" ySplit="4" topLeftCell="KP6" activePane="bottomRight" state="frozen"/>
      <selection pane="topRight" activeCell="C1" sqref="C1"/>
      <selection pane="bottomLeft" activeCell="A5" sqref="A5"/>
      <selection pane="bottomRight" activeCell="LO17" sqref="LO17"/>
    </sheetView>
  </sheetViews>
  <sheetFormatPr defaultRowHeight="18.3" customHeight="1" x14ac:dyDescent="0.3"/>
  <cols>
    <col min="1" max="1" width="8.8984375" style="1" customWidth="1"/>
    <col min="2" max="2" width="9.59765625" style="1" bestFit="1" customWidth="1"/>
    <col min="3" max="3" width="7.09765625" style="1" hidden="1" customWidth="1"/>
    <col min="4" max="4" width="15" style="172" hidden="1" customWidth="1"/>
    <col min="5" max="6" width="13.296875" style="172" hidden="1" customWidth="1"/>
    <col min="7" max="7" width="12.09765625" style="172" hidden="1" customWidth="1"/>
    <col min="8" max="8" width="6" style="1" hidden="1" customWidth="1"/>
    <col min="9" max="9" width="7.5" style="3" hidden="1" customWidth="1"/>
    <col min="10" max="10" width="6.5" style="3" hidden="1" customWidth="1"/>
    <col min="11" max="11" width="8.8984375" style="172" hidden="1" customWidth="1"/>
    <col min="12" max="12" width="13.296875" style="172" hidden="1" customWidth="1"/>
    <col min="13" max="13" width="12.09765625" style="172" hidden="1" customWidth="1"/>
    <col min="14" max="14" width="11" style="1" hidden="1" customWidth="1"/>
    <col min="15" max="15" width="6" style="1" hidden="1" customWidth="1"/>
    <col min="16" max="16" width="5.796875" style="1" hidden="1" customWidth="1"/>
    <col min="17" max="17" width="7.5" style="1" hidden="1" customWidth="1"/>
    <col min="18" max="18" width="13.296875" style="1" hidden="1" customWidth="1"/>
    <col min="19" max="19" width="12.09765625" style="1" hidden="1" customWidth="1"/>
    <col min="20" max="20" width="11" style="1" hidden="1" customWidth="1"/>
    <col min="21" max="21" width="6.3984375" style="1" hidden="1" customWidth="1"/>
    <col min="22" max="22" width="5.796875" style="1" hidden="1" customWidth="1"/>
    <col min="23" max="23" width="8.19921875" style="1" hidden="1" customWidth="1"/>
    <col min="24" max="24" width="13.296875" style="1" hidden="1" customWidth="1"/>
    <col min="25" max="25" width="12.09765625" style="1" hidden="1" customWidth="1"/>
    <col min="26" max="26" width="11" style="1" hidden="1" customWidth="1"/>
    <col min="27" max="27" width="6.3984375" style="1" hidden="1" customWidth="1"/>
    <col min="28" max="28" width="5.796875" style="1" hidden="1" customWidth="1"/>
    <col min="29" max="29" width="7.5" style="1" hidden="1" customWidth="1"/>
    <col min="30" max="30" width="13.296875" style="172" hidden="1" customWidth="1"/>
    <col min="31" max="31" width="12.09765625" style="172" hidden="1" customWidth="1"/>
    <col min="32" max="32" width="11" style="172" hidden="1" customWidth="1"/>
    <col min="33" max="33" width="6.3984375" style="1" hidden="1" customWidth="1"/>
    <col min="34" max="34" width="5.796875" style="1" hidden="1" customWidth="1"/>
    <col min="35" max="35" width="7.09765625" style="1" hidden="1" customWidth="1"/>
    <col min="36" max="36" width="13.296875" style="1" hidden="1" customWidth="1"/>
    <col min="37" max="37" width="12.09765625" style="1" hidden="1" customWidth="1"/>
    <col min="38" max="38" width="11" style="1" hidden="1" customWidth="1"/>
    <col min="39" max="39" width="6.3984375" style="1" hidden="1" customWidth="1"/>
    <col min="40" max="40" width="5.796875" style="1" hidden="1" customWidth="1"/>
    <col min="41" max="41" width="7.09765625" style="1" hidden="1" customWidth="1"/>
    <col min="42" max="42" width="13.296875" style="1" hidden="1" customWidth="1"/>
    <col min="43" max="43" width="12.09765625" style="1" hidden="1" customWidth="1"/>
    <col min="44" max="44" width="11" style="1" hidden="1" customWidth="1"/>
    <col min="45" max="45" width="7.3984375" style="1" hidden="1" customWidth="1"/>
    <col min="46" max="46" width="5.796875" style="1" hidden="1" customWidth="1"/>
    <col min="47" max="47" width="7.09765625" style="1" hidden="1" customWidth="1"/>
    <col min="48" max="48" width="13.296875" style="1" hidden="1" customWidth="1"/>
    <col min="49" max="49" width="12.09765625" style="1" hidden="1" customWidth="1"/>
    <col min="50" max="50" width="11" style="1" hidden="1" customWidth="1"/>
    <col min="51" max="51" width="7.3984375" style="1" hidden="1" customWidth="1"/>
    <col min="52" max="52" width="6.5" style="1" hidden="1" customWidth="1"/>
    <col min="53" max="53" width="7.09765625" style="1" hidden="1" customWidth="1"/>
    <col min="54" max="54" width="13.296875" style="1" hidden="1" customWidth="1"/>
    <col min="55" max="55" width="12.09765625" style="1" hidden="1" customWidth="1"/>
    <col min="56" max="56" width="11" style="1" hidden="1" customWidth="1"/>
    <col min="57" max="57" width="7.3984375" style="1" hidden="1" customWidth="1"/>
    <col min="58" max="58" width="5.796875" style="1" hidden="1" customWidth="1"/>
    <col min="59" max="59" width="7.09765625" style="1" hidden="1" customWidth="1"/>
    <col min="60" max="60" width="13.296875" style="1" hidden="1" customWidth="1"/>
    <col min="61" max="61" width="12.09765625" style="1" hidden="1" customWidth="1"/>
    <col min="62" max="62" width="11" style="1" hidden="1" customWidth="1"/>
    <col min="63" max="63" width="7.3984375" style="1" hidden="1" customWidth="1"/>
    <col min="64" max="64" width="6.5" style="1" hidden="1" customWidth="1"/>
    <col min="65" max="65" width="7.09765625" style="1" hidden="1" customWidth="1"/>
    <col min="66" max="66" width="13.296875" style="1" hidden="1" customWidth="1"/>
    <col min="67" max="67" width="12.09765625" style="1" hidden="1" customWidth="1"/>
    <col min="68" max="68" width="11" style="1" hidden="1" customWidth="1"/>
    <col min="69" max="69" width="7.3984375" style="1" hidden="1" customWidth="1"/>
    <col min="70" max="70" width="5.796875" style="1" hidden="1" customWidth="1"/>
    <col min="71" max="71" width="7.09765625" style="1" hidden="1" customWidth="1"/>
    <col min="72" max="72" width="13.296875" style="1" hidden="1" customWidth="1"/>
    <col min="73" max="73" width="12.09765625" style="1" hidden="1" customWidth="1"/>
    <col min="74" max="74" width="11.19921875" style="1" hidden="1" customWidth="1"/>
    <col min="75" max="75" width="7.3984375" style="1" hidden="1" customWidth="1"/>
    <col min="76" max="76" width="6.19921875" style="1" hidden="1" customWidth="1"/>
    <col min="77" max="77" width="7.09765625" style="1" hidden="1" customWidth="1"/>
    <col min="78" max="78" width="13.296875" style="1" hidden="1" customWidth="1"/>
    <col min="79" max="79" width="12.09765625" style="1" hidden="1" customWidth="1"/>
    <col min="80" max="80" width="11.19921875" style="1" hidden="1" customWidth="1"/>
    <col min="81" max="81" width="7.3984375" style="1" hidden="1" customWidth="1"/>
    <col min="82" max="82" width="6.19921875" style="1" hidden="1" customWidth="1"/>
    <col min="83" max="83" width="6.796875" style="1" hidden="1" customWidth="1"/>
    <col min="84" max="84" width="13.296875" style="1" hidden="1" customWidth="1"/>
    <col min="85" max="85" width="12.09765625" style="1" hidden="1" customWidth="1"/>
    <col min="86" max="86" width="11.69921875" style="1" hidden="1" customWidth="1"/>
    <col min="87" max="87" width="6.3984375" style="3" hidden="1" customWidth="1"/>
    <col min="88" max="88" width="6.19921875" style="3" hidden="1" customWidth="1"/>
    <col min="89" max="89" width="7.09765625" style="1" hidden="1" customWidth="1"/>
    <col min="90" max="90" width="15" style="1" hidden="1" customWidth="1"/>
    <col min="91" max="92" width="13.296875" style="1" hidden="1" customWidth="1"/>
    <col min="93" max="93" width="12.09765625" style="1" hidden="1" customWidth="1"/>
    <col min="94" max="94" width="8.69921875" style="1" hidden="1" customWidth="1"/>
    <col min="95" max="95" width="7.5" style="1" hidden="1" customWidth="1"/>
    <col min="96" max="96" width="7.09765625" style="1" hidden="1" customWidth="1"/>
    <col min="97" max="97" width="6.09765625" style="1" hidden="1" customWidth="1"/>
    <col min="98" max="98" width="13.5" style="172" hidden="1" customWidth="1"/>
    <col min="99" max="99" width="12.296875" style="172" hidden="1" customWidth="1"/>
    <col min="100" max="100" width="12.796875" style="172" hidden="1" customWidth="1"/>
    <col min="101" max="102" width="5.8984375" style="3" hidden="1" customWidth="1"/>
    <col min="103" max="104" width="6" style="3" hidden="1" customWidth="1"/>
    <col min="105" max="105" width="1.19921875" style="1" hidden="1" customWidth="1"/>
    <col min="106" max="106" width="7.09765625" style="1" hidden="1" customWidth="1"/>
    <col min="107" max="107" width="13.296875" style="1" hidden="1" customWidth="1"/>
    <col min="108" max="108" width="12.09765625" style="1" hidden="1" customWidth="1"/>
    <col min="109" max="109" width="11" style="1" hidden="1" customWidth="1"/>
    <col min="110" max="110" width="7.3984375" style="1" hidden="1" customWidth="1"/>
    <col min="111" max="111" width="6.19921875" style="1" hidden="1" customWidth="1"/>
    <col min="112" max="112" width="7.09765625" style="1" hidden="1" customWidth="1"/>
    <col min="113" max="113" width="13.296875" style="1" hidden="1" customWidth="1"/>
    <col min="114" max="114" width="12.09765625" style="1" hidden="1" customWidth="1"/>
    <col min="115" max="115" width="11" style="1" hidden="1" customWidth="1"/>
    <col min="116" max="116" width="7.3984375" style="1" hidden="1" customWidth="1"/>
    <col min="117" max="117" width="6.19921875" style="1" hidden="1" customWidth="1"/>
    <col min="118" max="118" width="7.09765625" style="1" hidden="1" customWidth="1"/>
    <col min="119" max="119" width="13.296875" style="1" hidden="1" customWidth="1"/>
    <col min="120" max="120" width="12.09765625" style="1" hidden="1" customWidth="1"/>
    <col min="121" max="121" width="11" style="1" hidden="1" customWidth="1"/>
    <col min="122" max="122" width="8.69921875" style="1" hidden="1" customWidth="1"/>
    <col min="123" max="123" width="6.19921875" style="1" hidden="1" customWidth="1"/>
    <col min="124" max="124" width="7.09765625" style="1" hidden="1" customWidth="1"/>
    <col min="125" max="125" width="13.296875" style="1" hidden="1" customWidth="1"/>
    <col min="126" max="126" width="12.09765625" style="1" hidden="1" customWidth="1"/>
    <col min="127" max="127" width="11" style="1" hidden="1" customWidth="1"/>
    <col min="128" max="128" width="8.69921875" style="1" hidden="1" customWidth="1"/>
    <col min="129" max="129" width="6.19921875" style="1" hidden="1" customWidth="1"/>
    <col min="130" max="130" width="5.19921875" style="1" hidden="1" customWidth="1"/>
    <col min="131" max="131" width="11.69921875" style="1" hidden="1" customWidth="1"/>
    <col min="132" max="132" width="12.796875" style="1" hidden="1" customWidth="1"/>
    <col min="133" max="133" width="11.19921875" style="1" hidden="1" customWidth="1"/>
    <col min="134" max="134" width="5.3984375" style="1" hidden="1" customWidth="1"/>
    <col min="135" max="135" width="6" style="1" hidden="1" customWidth="1"/>
    <col min="136" max="136" width="7.09765625" style="1" hidden="1" customWidth="1"/>
    <col min="137" max="137" width="7.59765625" style="1" hidden="1" customWidth="1"/>
    <col min="138" max="138" width="7.09765625" style="14" hidden="1" customWidth="1"/>
    <col min="139" max="139" width="13.296875" style="14" hidden="1" customWidth="1"/>
    <col min="140" max="140" width="12.09765625" style="14" hidden="1" customWidth="1"/>
    <col min="141" max="141" width="11" style="14" hidden="1" customWidth="1"/>
    <col min="142" max="142" width="8.69921875" style="1" hidden="1" customWidth="1"/>
    <col min="143" max="143" width="6.19921875" style="1" hidden="1" customWidth="1"/>
    <col min="144" max="144" width="7.09765625" style="1" hidden="1" customWidth="1"/>
    <col min="145" max="145" width="13.296875" style="1" hidden="1" customWidth="1"/>
    <col min="146" max="146" width="12.09765625" style="1" hidden="1" customWidth="1"/>
    <col min="147" max="147" width="11" style="1" hidden="1" customWidth="1"/>
    <col min="148" max="148" width="7.3984375" style="1" hidden="1" customWidth="1"/>
    <col min="149" max="149" width="6.19921875" style="1" hidden="1" customWidth="1"/>
    <col min="150" max="150" width="7.09765625" style="1" hidden="1" customWidth="1"/>
    <col min="151" max="151" width="13.296875" style="33" hidden="1" customWidth="1"/>
    <col min="152" max="152" width="12.09765625" style="33" hidden="1" customWidth="1"/>
    <col min="153" max="153" width="11.3984375" style="33" hidden="1" customWidth="1"/>
    <col min="154" max="154" width="7.3984375" style="1" hidden="1" customWidth="1"/>
    <col min="155" max="155" width="6.19921875" style="1" hidden="1" customWidth="1"/>
    <col min="156" max="156" width="7.09765625" style="1" hidden="1" customWidth="1"/>
    <col min="157" max="157" width="13.296875" style="1" hidden="1" customWidth="1"/>
    <col min="158" max="159" width="12.09765625" style="1" hidden="1" customWidth="1"/>
    <col min="160" max="160" width="7.3984375" style="1" hidden="1" customWidth="1"/>
    <col min="161" max="161" width="6.19921875" style="1" hidden="1" customWidth="1"/>
    <col min="162" max="162" width="5" style="1" hidden="1" customWidth="1"/>
    <col min="163" max="163" width="12.796875" style="1" hidden="1" customWidth="1"/>
    <col min="164" max="164" width="13.59765625" style="1" hidden="1" customWidth="1"/>
    <col min="165" max="166" width="6.5" style="1" hidden="1" customWidth="1"/>
    <col min="167" max="168" width="7.09765625" style="1" hidden="1" customWidth="1"/>
    <col min="169" max="169" width="13.296875" style="1" hidden="1" customWidth="1"/>
    <col min="170" max="170" width="12.09765625" style="1" hidden="1" customWidth="1"/>
    <col min="171" max="171" width="11" style="1" hidden="1" customWidth="1"/>
    <col min="172" max="172" width="7.3984375" style="1" hidden="1" customWidth="1"/>
    <col min="173" max="173" width="6.19921875" style="1" hidden="1" customWidth="1"/>
    <col min="174" max="174" width="7.09765625" style="1" hidden="1" customWidth="1"/>
    <col min="175" max="175" width="13.296875" style="1" hidden="1" customWidth="1"/>
    <col min="176" max="176" width="12.09765625" style="1" hidden="1" customWidth="1"/>
    <col min="177" max="177" width="11" style="1" hidden="1" customWidth="1"/>
    <col min="178" max="178" width="7.3984375" style="1" hidden="1" customWidth="1"/>
    <col min="179" max="179" width="6.19921875" style="1" hidden="1" customWidth="1"/>
    <col min="180" max="180" width="7.09765625" style="1" hidden="1" customWidth="1"/>
    <col min="181" max="181" width="13.296875" style="1" hidden="1" customWidth="1"/>
    <col min="182" max="182" width="12.09765625" style="1" hidden="1" customWidth="1"/>
    <col min="183" max="183" width="11.3984375" style="1" hidden="1" customWidth="1"/>
    <col min="184" max="184" width="7.3984375" style="1" hidden="1" customWidth="1"/>
    <col min="185" max="185" width="6.19921875" style="1" hidden="1" customWidth="1"/>
    <col min="186" max="186" width="7.09765625" style="1" hidden="1" customWidth="1"/>
    <col min="187" max="187" width="13.296875" style="1" hidden="1" customWidth="1"/>
    <col min="188" max="188" width="12.09765625" style="1" hidden="1" customWidth="1"/>
    <col min="189" max="189" width="11.3984375" style="1" hidden="1" customWidth="1"/>
    <col min="190" max="190" width="7.3984375" style="1" hidden="1" customWidth="1"/>
    <col min="191" max="191" width="6.19921875" style="1" hidden="1" customWidth="1"/>
    <col min="192" max="192" width="4.69921875" style="1" hidden="1" customWidth="1"/>
    <col min="193" max="193" width="12.296875" style="1" hidden="1" customWidth="1"/>
    <col min="194" max="195" width="11.19921875" style="1" hidden="1" customWidth="1"/>
    <col min="196" max="196" width="7" style="3" hidden="1" customWidth="1"/>
    <col min="197" max="197" width="6.5" style="3" hidden="1" customWidth="1"/>
    <col min="198" max="198" width="7.59765625" style="3" hidden="1" customWidth="1"/>
    <col min="199" max="199" width="6.5" style="1" hidden="1" customWidth="1"/>
    <col min="200" max="200" width="7.09765625" style="1" hidden="1" customWidth="1"/>
    <col min="201" max="201" width="13.296875" style="1" hidden="1" customWidth="1"/>
    <col min="202" max="202" width="12.09765625" style="1" hidden="1" customWidth="1"/>
    <col min="203" max="203" width="11" style="1" hidden="1" customWidth="1"/>
    <col min="204" max="204" width="7.3984375" style="1" hidden="1" customWidth="1"/>
    <col min="205" max="205" width="6.19921875" style="1" hidden="1" customWidth="1"/>
    <col min="206" max="206" width="7.09765625" style="1" hidden="1" customWidth="1"/>
    <col min="207" max="207" width="13.296875" style="1" hidden="1" customWidth="1"/>
    <col min="208" max="208" width="12.09765625" style="1" hidden="1" customWidth="1"/>
    <col min="209" max="209" width="11" style="1" hidden="1" customWidth="1"/>
    <col min="210" max="210" width="7.3984375" style="1" hidden="1" customWidth="1"/>
    <col min="211" max="211" width="6.19921875" style="1" hidden="1" customWidth="1"/>
    <col min="212" max="212" width="7.09765625" style="1" hidden="1" customWidth="1"/>
    <col min="213" max="213" width="13.296875" style="1" hidden="1" customWidth="1"/>
    <col min="214" max="214" width="12.09765625" style="1" hidden="1" customWidth="1"/>
    <col min="215" max="215" width="11.69921875" style="1" hidden="1" customWidth="1"/>
    <col min="216" max="216" width="8.69921875" style="1" hidden="1" customWidth="1"/>
    <col min="217" max="217" width="7.5" style="1" hidden="1" customWidth="1"/>
    <col min="218" max="218" width="7.09765625" style="1" hidden="1" customWidth="1"/>
    <col min="219" max="219" width="13.296875" style="1" hidden="1" customWidth="1"/>
    <col min="220" max="220" width="12.09765625" style="1" hidden="1" customWidth="1"/>
    <col min="221" max="221" width="11.3984375" style="1" hidden="1" customWidth="1"/>
    <col min="222" max="222" width="8.69921875" style="1" hidden="1" customWidth="1"/>
    <col min="223" max="223" width="7.5" style="1" hidden="1" customWidth="1"/>
    <col min="224" max="224" width="7.09765625" style="1" hidden="1" customWidth="1"/>
    <col min="225" max="225" width="15" style="1" hidden="1" customWidth="1"/>
    <col min="226" max="226" width="13.296875" style="1" hidden="1" customWidth="1"/>
    <col min="227" max="227" width="12.09765625" style="1" hidden="1" customWidth="1"/>
    <col min="228" max="228" width="8.69921875" style="1" hidden="1" customWidth="1"/>
    <col min="229" max="229" width="7.5" style="1" hidden="1" customWidth="1"/>
    <col min="230" max="230" width="0.8984375" style="1" hidden="1" customWidth="1"/>
    <col min="231" max="231" width="7.09765625" style="1" hidden="1" customWidth="1"/>
    <col min="232" max="232" width="13.296875" style="1" hidden="1" customWidth="1"/>
    <col min="233" max="233" width="12.09765625" style="1" hidden="1" customWidth="1"/>
    <col min="234" max="234" width="11.19921875" style="1" hidden="1" customWidth="1"/>
    <col min="235" max="235" width="7.3984375" style="1" hidden="1" customWidth="1"/>
    <col min="236" max="236" width="6.19921875" style="1" hidden="1" customWidth="1"/>
    <col min="237" max="237" width="7.09765625" style="1" hidden="1" customWidth="1"/>
    <col min="238" max="238" width="13.296875" style="1" hidden="1" customWidth="1"/>
    <col min="239" max="239" width="12.09765625" style="1" hidden="1" customWidth="1"/>
    <col min="240" max="240" width="11" style="1" hidden="1" customWidth="1"/>
    <col min="241" max="241" width="7.3984375" style="1" hidden="1" customWidth="1"/>
    <col min="242" max="242" width="6.19921875" style="1" hidden="1" customWidth="1"/>
    <col min="243" max="243" width="7.09765625" style="1" hidden="1" customWidth="1"/>
    <col min="244" max="244" width="13.296875" style="1" hidden="1" customWidth="1"/>
    <col min="245" max="245" width="12.09765625" style="1" hidden="1" customWidth="1"/>
    <col min="246" max="246" width="11" style="1" hidden="1" customWidth="1"/>
    <col min="247" max="247" width="8.69921875" style="1" hidden="1" customWidth="1"/>
    <col min="248" max="248" width="6.19921875" style="1" hidden="1" customWidth="1"/>
    <col min="249" max="249" width="7.09765625" style="1" hidden="1" customWidth="1"/>
    <col min="250" max="250" width="13.296875" style="1" hidden="1" customWidth="1"/>
    <col min="251" max="252" width="12.09765625" style="1" hidden="1" customWidth="1"/>
    <col min="253" max="253" width="8.69921875" style="1" hidden="1" customWidth="1"/>
    <col min="254" max="254" width="7.5" style="1" hidden="1" customWidth="1"/>
    <col min="255" max="255" width="9.59765625" style="1" hidden="1" customWidth="1"/>
    <col min="256" max="256" width="12.09765625" style="1" hidden="1" customWidth="1"/>
    <col min="257" max="258" width="11.19921875" style="1" hidden="1" customWidth="1"/>
    <col min="259" max="262" width="7.5" style="1" hidden="1" customWidth="1"/>
    <col min="263" max="263" width="7.09765625" style="1" hidden="1" customWidth="1"/>
    <col min="264" max="264" width="13.296875" style="1" hidden="1" customWidth="1"/>
    <col min="265" max="265" width="12.09765625" style="1" hidden="1" customWidth="1"/>
    <col min="266" max="266" width="11.3984375" style="1" hidden="1" customWidth="1"/>
    <col min="267" max="267" width="8.69921875" style="1" hidden="1" customWidth="1"/>
    <col min="268" max="268" width="7.5" style="1" hidden="1" customWidth="1"/>
    <col min="269" max="269" width="7.09765625" style="1" hidden="1" customWidth="1"/>
    <col min="270" max="270" width="13.296875" style="1" hidden="1" customWidth="1"/>
    <col min="271" max="271" width="12.09765625" style="1" hidden="1" customWidth="1"/>
    <col min="272" max="272" width="11.3984375" style="1" hidden="1" customWidth="1"/>
    <col min="273" max="274" width="7.5" style="1" hidden="1" customWidth="1"/>
    <col min="275" max="275" width="7.09765625" style="1" hidden="1" customWidth="1"/>
    <col min="276" max="276" width="13.296875" style="1" hidden="1" customWidth="1"/>
    <col min="277" max="277" width="12.09765625" style="1" hidden="1" customWidth="1"/>
    <col min="278" max="278" width="11.3984375" style="1" hidden="1" customWidth="1"/>
    <col min="279" max="279" width="7.3984375" style="1" hidden="1" customWidth="1"/>
    <col min="280" max="280" width="6.19921875" style="1" hidden="1" customWidth="1"/>
    <col min="281" max="281" width="7.09765625" style="1" hidden="1" customWidth="1"/>
    <col min="282" max="282" width="13.296875" style="1" hidden="1" customWidth="1"/>
    <col min="283" max="284" width="12.09765625" style="1" hidden="1" customWidth="1"/>
    <col min="285" max="285" width="7.3984375" style="1" hidden="1" customWidth="1"/>
    <col min="286" max="286" width="6.19921875" style="1" hidden="1" customWidth="1"/>
    <col min="287" max="287" width="4.69921875" style="1" hidden="1" customWidth="1"/>
    <col min="288" max="289" width="12.296875" style="1" hidden="1" customWidth="1"/>
    <col min="290" max="290" width="5.8984375" style="1" hidden="1" customWidth="1"/>
    <col min="291" max="291" width="7.5" style="1" hidden="1" customWidth="1"/>
    <col min="292" max="292" width="7.59765625" style="1" hidden="1" customWidth="1"/>
    <col min="293" max="293" width="7.09765625" style="1" hidden="1" customWidth="1"/>
    <col min="294" max="294" width="13.296875" style="1" hidden="1" customWidth="1"/>
    <col min="295" max="295" width="12.09765625" style="1" hidden="1" customWidth="1"/>
    <col min="296" max="296" width="11.3984375" style="1" hidden="1" customWidth="1"/>
    <col min="297" max="297" width="7.59765625" style="1" hidden="1" customWidth="1"/>
    <col min="298" max="298" width="5.796875" style="1" hidden="1" customWidth="1"/>
    <col min="299" max="299" width="7.09765625" style="1" bestFit="1" customWidth="1"/>
    <col min="300" max="300" width="13.296875" style="1" bestFit="1" customWidth="1"/>
    <col min="301" max="301" width="12.09765625" style="1" bestFit="1" customWidth="1"/>
    <col min="302" max="302" width="11.69921875" style="1" bestFit="1" customWidth="1"/>
    <col min="303" max="304" width="7.59765625" style="1" bestFit="1" customWidth="1"/>
    <col min="305" max="305" width="7.09765625" style="1" bestFit="1" customWidth="1"/>
    <col min="306" max="306" width="13.296875" style="1" bestFit="1" customWidth="1"/>
    <col min="307" max="307" width="12.09765625" style="1" bestFit="1" customWidth="1"/>
    <col min="308" max="308" width="11.69921875" style="1" bestFit="1" customWidth="1"/>
    <col min="309" max="310" width="7.59765625" style="1" bestFit="1" customWidth="1"/>
    <col min="311" max="311" width="7.09765625" style="1" hidden="1" customWidth="1"/>
    <col min="312" max="312" width="13.296875" style="1" hidden="1" customWidth="1"/>
    <col min="313" max="313" width="12.09765625" style="1" hidden="1" customWidth="1"/>
    <col min="314" max="314" width="11.3984375" style="1" hidden="1" customWidth="1"/>
    <col min="315" max="316" width="7.5" style="1" hidden="1" customWidth="1"/>
    <col min="317" max="317" width="5.19921875" style="1" hidden="1" customWidth="1"/>
    <col min="318" max="319" width="12.296875" style="1" hidden="1" customWidth="1"/>
    <col min="320" max="320" width="11.19921875" style="1" hidden="1" customWidth="1"/>
    <col min="321" max="322" width="7.5" style="1" hidden="1" customWidth="1"/>
    <col min="323" max="323" width="8.09765625" style="1" hidden="1" customWidth="1"/>
    <col min="324" max="324" width="7.5" style="1" hidden="1" customWidth="1"/>
    <col min="325" max="325" width="7.09765625" style="1" bestFit="1" customWidth="1"/>
    <col min="326" max="326" width="13.296875" style="1" bestFit="1" customWidth="1"/>
    <col min="327" max="328" width="12.09765625" style="1" bestFit="1" customWidth="1"/>
    <col min="329" max="330" width="7.59765625" style="1" bestFit="1" customWidth="1"/>
    <col min="331" max="331" width="5" style="1" hidden="1" customWidth="1"/>
    <col min="332" max="332" width="10.19921875" style="1" hidden="1" customWidth="1"/>
    <col min="333" max="333" width="8.296875" style="1" hidden="1" customWidth="1"/>
    <col min="334" max="334" width="5.09765625" style="1" hidden="1" customWidth="1"/>
    <col min="335" max="336" width="7.59765625" style="1" hidden="1" customWidth="1"/>
    <col min="337" max="337" width="5" style="1" hidden="1" customWidth="1"/>
    <col min="338" max="338" width="10.19921875" style="1" hidden="1" customWidth="1"/>
    <col min="339" max="339" width="8.3984375" style="1" hidden="1" customWidth="1"/>
    <col min="340" max="340" width="6.3984375" style="1" hidden="1" customWidth="1"/>
    <col min="341" max="341" width="8.69921875" style="1" hidden="1" customWidth="1"/>
    <col min="342" max="342" width="7.59765625" style="1" hidden="1" customWidth="1"/>
    <col min="343" max="343" width="5" style="1" hidden="1" customWidth="1"/>
    <col min="344" max="344" width="15" style="1" hidden="1" customWidth="1"/>
    <col min="345" max="345" width="13.296875" style="1" hidden="1" customWidth="1"/>
    <col min="346" max="346" width="12.09765625" style="1" hidden="1" customWidth="1"/>
    <col min="347" max="347" width="8.69921875" style="1" hidden="1" customWidth="1"/>
    <col min="348" max="348" width="7.5" style="1" hidden="1" customWidth="1"/>
    <col min="349" max="349" width="8.796875" style="1"/>
    <col min="350" max="350" width="9.796875" style="1" bestFit="1" customWidth="1"/>
    <col min="351" max="16384" width="8.796875" style="1"/>
  </cols>
  <sheetData>
    <row r="1" spans="1:350" ht="18.3" customHeight="1" x14ac:dyDescent="0.3">
      <c r="A1" s="463" t="s">
        <v>316</v>
      </c>
      <c r="B1" s="242"/>
      <c r="C1" s="242"/>
      <c r="D1" s="464"/>
      <c r="E1" s="464"/>
      <c r="F1" s="464"/>
      <c r="G1" s="464"/>
      <c r="H1" s="242"/>
      <c r="I1" s="465"/>
      <c r="J1" s="465"/>
      <c r="K1" s="464"/>
      <c r="L1" s="464"/>
      <c r="M1" s="464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464"/>
      <c r="AE1" s="464"/>
      <c r="AF1" s="464"/>
      <c r="AG1" s="242"/>
      <c r="AH1" s="242"/>
      <c r="AI1" s="242"/>
      <c r="AJ1" s="242"/>
      <c r="AK1" s="242"/>
      <c r="AL1" s="464"/>
      <c r="AM1" s="465"/>
      <c r="AN1" s="242"/>
      <c r="AO1" s="466"/>
      <c r="AP1" s="464"/>
      <c r="AQ1" s="464"/>
      <c r="AR1" s="464"/>
      <c r="AS1" s="464"/>
      <c r="AT1" s="242"/>
      <c r="AU1" s="242"/>
      <c r="AV1" s="242"/>
      <c r="AW1" s="242"/>
      <c r="AX1" s="242"/>
      <c r="AY1" s="242"/>
      <c r="AZ1" s="242"/>
      <c r="BA1" s="242"/>
      <c r="BB1" s="242"/>
      <c r="BC1" s="242"/>
      <c r="BD1" s="242"/>
      <c r="BE1" s="242"/>
      <c r="BF1" s="242"/>
      <c r="BG1" s="242"/>
      <c r="BH1" s="242"/>
      <c r="BI1" s="242"/>
      <c r="BJ1" s="242"/>
      <c r="BK1" s="242"/>
      <c r="BL1" s="242"/>
      <c r="BM1" s="242"/>
      <c r="BN1" s="242"/>
      <c r="BO1" s="242"/>
      <c r="BP1" s="242"/>
      <c r="BQ1" s="242"/>
      <c r="BR1" s="242"/>
      <c r="BS1" s="242"/>
      <c r="BT1" s="242"/>
      <c r="BU1" s="242"/>
      <c r="BV1" s="242"/>
      <c r="BW1" s="242"/>
      <c r="BX1" s="242"/>
      <c r="BY1" s="242"/>
      <c r="BZ1" s="242"/>
      <c r="CA1" s="242"/>
      <c r="CB1" s="242"/>
      <c r="CC1" s="242"/>
      <c r="CD1" s="242"/>
      <c r="CE1" s="242"/>
      <c r="CF1" s="242"/>
      <c r="CG1" s="242"/>
      <c r="CH1" s="242"/>
      <c r="CI1" s="465"/>
      <c r="CJ1" s="465"/>
    </row>
    <row r="2" spans="1:350" ht="18.3" customHeight="1" x14ac:dyDescent="0.3">
      <c r="A2" s="463" t="s">
        <v>317</v>
      </c>
      <c r="B2" s="242"/>
      <c r="C2" s="242"/>
      <c r="D2" s="464"/>
      <c r="E2" s="464"/>
      <c r="F2" s="464"/>
      <c r="G2" s="464"/>
      <c r="H2" s="242"/>
      <c r="I2" s="465"/>
      <c r="J2" s="465"/>
      <c r="K2" s="464"/>
      <c r="L2" s="464"/>
      <c r="M2" s="464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464"/>
      <c r="AE2" s="464"/>
      <c r="AF2" s="464"/>
      <c r="AG2" s="242"/>
      <c r="AH2" s="242"/>
      <c r="AI2" s="242"/>
      <c r="AJ2" s="242"/>
      <c r="AK2" s="242"/>
      <c r="AL2" s="464"/>
      <c r="AM2" s="465"/>
      <c r="AN2" s="242"/>
      <c r="AO2" s="466"/>
      <c r="AP2" s="464"/>
      <c r="AQ2" s="464"/>
      <c r="AR2" s="464"/>
      <c r="AS2" s="464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242"/>
      <c r="CF2" s="242"/>
      <c r="CG2" s="242"/>
      <c r="CH2" s="242"/>
      <c r="CI2" s="465"/>
      <c r="CJ2" s="465"/>
      <c r="DZ2" s="467"/>
      <c r="EA2" s="468"/>
      <c r="EB2" s="469" t="s">
        <v>318</v>
      </c>
      <c r="EC2" s="467"/>
      <c r="ED2" s="470"/>
      <c r="EE2" s="470"/>
      <c r="EF2" s="470"/>
      <c r="EG2" s="471"/>
      <c r="FF2" s="467"/>
      <c r="FG2" s="468"/>
      <c r="FH2" s="469" t="s">
        <v>318</v>
      </c>
      <c r="FI2" s="470"/>
      <c r="FJ2" s="470"/>
      <c r="FK2" s="470"/>
    </row>
    <row r="3" spans="1:350" s="3684" customFormat="1" ht="15.6" x14ac:dyDescent="0.3">
      <c r="A3" s="3688"/>
      <c r="B3" s="3688"/>
      <c r="C3" s="3689"/>
      <c r="D3" s="3690"/>
      <c r="E3" s="3690" t="s">
        <v>319</v>
      </c>
      <c r="F3" s="3690"/>
      <c r="G3" s="3690"/>
      <c r="H3" s="3689"/>
      <c r="I3" s="3691"/>
      <c r="J3" s="3691"/>
      <c r="K3" s="474" t="s">
        <v>169</v>
      </c>
      <c r="L3" s="474"/>
      <c r="M3" s="474"/>
      <c r="N3" s="3688"/>
      <c r="O3" s="3688"/>
      <c r="P3" s="3688"/>
      <c r="Q3" s="3688" t="s">
        <v>170</v>
      </c>
      <c r="R3" s="3688"/>
      <c r="S3" s="3688"/>
      <c r="T3" s="3688"/>
      <c r="U3" s="3688"/>
      <c r="V3" s="3688"/>
      <c r="W3" s="3688" t="s">
        <v>171</v>
      </c>
      <c r="X3" s="3688"/>
      <c r="Y3" s="3688"/>
      <c r="Z3" s="3688"/>
      <c r="AA3" s="3688"/>
      <c r="AB3" s="3688"/>
      <c r="AC3" s="3688" t="s">
        <v>133</v>
      </c>
      <c r="AD3" s="474"/>
      <c r="AE3" s="474"/>
      <c r="AF3" s="474"/>
      <c r="AG3" s="3688"/>
      <c r="AH3" s="3688"/>
      <c r="AI3" s="3688"/>
      <c r="AJ3" s="3688"/>
      <c r="AK3" s="3688" t="s">
        <v>42</v>
      </c>
      <c r="AL3" s="474"/>
      <c r="AM3" s="3692"/>
      <c r="AN3" s="3688"/>
      <c r="AO3" s="473"/>
      <c r="AP3" s="474"/>
      <c r="AQ3" s="474" t="s">
        <v>43</v>
      </c>
      <c r="AR3" s="474"/>
      <c r="AS3" s="474"/>
      <c r="AT3" s="3688"/>
      <c r="AU3" s="473"/>
      <c r="AV3" s="474"/>
      <c r="AW3" s="474" t="s">
        <v>164</v>
      </c>
      <c r="AX3" s="474"/>
      <c r="AY3" s="474"/>
      <c r="AZ3" s="3688"/>
      <c r="BA3" s="473"/>
      <c r="BB3" s="474"/>
      <c r="BC3" s="474" t="s">
        <v>166</v>
      </c>
      <c r="BD3" s="474"/>
      <c r="BE3" s="474"/>
      <c r="BF3" s="3688"/>
      <c r="BG3" s="473"/>
      <c r="BH3" s="474"/>
      <c r="BI3" s="474" t="s">
        <v>181</v>
      </c>
      <c r="BJ3" s="474"/>
      <c r="BK3" s="474"/>
      <c r="BL3" s="3688"/>
      <c r="BM3" s="473"/>
      <c r="BN3" s="474"/>
      <c r="BO3" s="474" t="s">
        <v>185</v>
      </c>
      <c r="BP3" s="474"/>
      <c r="BQ3" s="474"/>
      <c r="BR3" s="3688"/>
      <c r="BS3" s="473"/>
      <c r="BT3" s="474"/>
      <c r="BU3" s="474" t="s">
        <v>188</v>
      </c>
      <c r="BV3" s="474"/>
      <c r="BW3" s="474"/>
      <c r="BX3" s="3688"/>
      <c r="BY3" s="473"/>
      <c r="BZ3" s="474"/>
      <c r="CA3" s="474" t="s">
        <v>191</v>
      </c>
      <c r="CB3" s="474"/>
      <c r="CC3" s="474"/>
      <c r="CD3" s="3688"/>
      <c r="CE3" s="3688"/>
      <c r="CF3" s="3688"/>
      <c r="CG3" s="3688" t="s">
        <v>320</v>
      </c>
      <c r="CH3" s="3688"/>
      <c r="CI3" s="3692"/>
      <c r="CJ3" s="3692"/>
      <c r="CK3" s="3693"/>
      <c r="CL3" s="3694"/>
      <c r="CM3" s="3695" t="s">
        <v>173</v>
      </c>
      <c r="CN3" s="3694"/>
      <c r="CO3" s="3694"/>
      <c r="CP3" s="3696"/>
      <c r="CQ3" s="3696"/>
      <c r="CR3" s="3697"/>
      <c r="CS3" s="6620" t="s">
        <v>321</v>
      </c>
      <c r="CT3" s="6620"/>
      <c r="CU3" s="6620"/>
      <c r="CV3" s="6620"/>
      <c r="CW3" s="6620"/>
      <c r="CX3" s="6620"/>
      <c r="CY3" s="6620"/>
      <c r="CZ3" s="6620"/>
      <c r="DB3" s="473"/>
      <c r="DC3" s="474"/>
      <c r="DD3" s="474" t="s">
        <v>246</v>
      </c>
      <c r="DE3" s="474"/>
      <c r="DF3" s="474"/>
      <c r="DG3" s="3688"/>
      <c r="DH3" s="473"/>
      <c r="DI3" s="474"/>
      <c r="DJ3" s="474" t="s">
        <v>247</v>
      </c>
      <c r="DK3" s="474"/>
      <c r="DL3" s="474"/>
      <c r="DM3" s="3688"/>
      <c r="DN3" s="473"/>
      <c r="DO3" s="474"/>
      <c r="DP3" s="474" t="s">
        <v>249</v>
      </c>
      <c r="DQ3" s="474"/>
      <c r="DR3" s="474"/>
      <c r="DS3" s="3688"/>
      <c r="DT3" s="6618" t="s">
        <v>322</v>
      </c>
      <c r="DU3" s="6618"/>
      <c r="DV3" s="6618"/>
      <c r="DW3" s="6618"/>
      <c r="DX3" s="6618"/>
      <c r="DY3" s="6618"/>
      <c r="DZ3" s="3698"/>
      <c r="EA3" s="3699"/>
      <c r="EB3" s="3700" t="s">
        <v>323</v>
      </c>
      <c r="EC3" s="3701"/>
      <c r="ED3" s="3702"/>
      <c r="EE3" s="3702"/>
      <c r="EF3" s="3702"/>
      <c r="EG3" s="3703"/>
      <c r="EH3" s="473"/>
      <c r="EI3" s="474"/>
      <c r="EJ3" s="474" t="s">
        <v>250</v>
      </c>
      <c r="EK3" s="474"/>
      <c r="EL3" s="474"/>
      <c r="EM3" s="3688"/>
      <c r="EN3" s="473"/>
      <c r="EO3" s="474"/>
      <c r="EP3" s="474" t="s">
        <v>251</v>
      </c>
      <c r="EQ3" s="474"/>
      <c r="ER3" s="474"/>
      <c r="ES3" s="3688"/>
      <c r="ET3" s="473"/>
      <c r="EU3" s="475"/>
      <c r="EV3" s="475" t="s">
        <v>252</v>
      </c>
      <c r="EW3" s="475"/>
      <c r="EX3" s="474"/>
      <c r="EY3" s="3688"/>
      <c r="EZ3" s="473"/>
      <c r="FA3" s="475"/>
      <c r="FB3" s="475" t="s">
        <v>182</v>
      </c>
      <c r="FC3" s="475"/>
      <c r="FD3" s="474"/>
      <c r="FE3" s="3688"/>
      <c r="FF3" s="3698"/>
      <c r="FG3" s="3699"/>
      <c r="FH3" s="3700" t="s">
        <v>324</v>
      </c>
      <c r="FI3" s="3702"/>
      <c r="FJ3" s="3702"/>
      <c r="FK3" s="3702"/>
      <c r="FL3" s="473"/>
      <c r="FM3" s="475"/>
      <c r="FN3" s="475" t="s">
        <v>253</v>
      </c>
      <c r="FO3" s="475"/>
      <c r="FP3" s="474"/>
      <c r="FQ3" s="3688"/>
      <c r="FR3" s="473"/>
      <c r="FS3" s="475"/>
      <c r="FT3" s="475" t="s">
        <v>315</v>
      </c>
      <c r="FU3" s="475"/>
      <c r="FV3" s="474"/>
      <c r="FW3" s="3688"/>
      <c r="FX3" s="473"/>
      <c r="FY3" s="475"/>
      <c r="FZ3" s="475" t="s">
        <v>474</v>
      </c>
      <c r="GA3" s="475"/>
      <c r="GB3" s="474"/>
      <c r="GC3" s="3688"/>
      <c r="GD3" s="1454"/>
      <c r="GE3" s="1455"/>
      <c r="GF3" s="1455" t="s">
        <v>183</v>
      </c>
      <c r="GG3" s="1455"/>
      <c r="GH3" s="3704"/>
      <c r="GI3" s="3705"/>
      <c r="GJ3" s="6619" t="s">
        <v>602</v>
      </c>
      <c r="GK3" s="6619"/>
      <c r="GL3" s="6619"/>
      <c r="GM3" s="6619"/>
      <c r="GN3" s="6619"/>
      <c r="GO3" s="6619"/>
      <c r="GP3" s="6619"/>
      <c r="GQ3" s="6619"/>
      <c r="GR3" s="473"/>
      <c r="GS3" s="475"/>
      <c r="GT3" s="475" t="s">
        <v>531</v>
      </c>
      <c r="GU3" s="475"/>
      <c r="GV3" s="474"/>
      <c r="GW3" s="3688"/>
      <c r="GX3" s="473"/>
      <c r="GY3" s="475"/>
      <c r="GZ3" s="475" t="s">
        <v>532</v>
      </c>
      <c r="HA3" s="475"/>
      <c r="HB3" s="474"/>
      <c r="HC3" s="3688"/>
      <c r="HD3" s="473"/>
      <c r="HE3" s="475"/>
      <c r="HF3" s="475" t="s">
        <v>533</v>
      </c>
      <c r="HG3" s="475"/>
      <c r="HH3" s="474"/>
      <c r="HI3" s="3688"/>
      <c r="HJ3" s="473"/>
      <c r="HK3" s="475"/>
      <c r="HL3" s="475" t="s">
        <v>320</v>
      </c>
      <c r="HM3" s="475"/>
      <c r="HN3" s="474"/>
      <c r="HO3" s="3688"/>
      <c r="HP3" s="1651"/>
      <c r="HQ3" s="1652"/>
      <c r="HR3" s="1657" t="s">
        <v>653</v>
      </c>
      <c r="HS3" s="1652"/>
      <c r="HT3" s="3706"/>
      <c r="HU3" s="3707"/>
      <c r="HW3" s="473"/>
      <c r="HX3" s="474"/>
      <c r="HY3" s="474" t="s">
        <v>918</v>
      </c>
      <c r="HZ3" s="474"/>
      <c r="IA3" s="474"/>
      <c r="IB3" s="3688"/>
      <c r="IC3" s="473"/>
      <c r="ID3" s="474"/>
      <c r="IE3" s="474" t="s">
        <v>657</v>
      </c>
      <c r="IF3" s="474"/>
      <c r="IG3" s="474"/>
      <c r="IH3" s="3688"/>
      <c r="II3" s="473"/>
      <c r="IJ3" s="474"/>
      <c r="IK3" s="474" t="s">
        <v>658</v>
      </c>
      <c r="IL3" s="474"/>
      <c r="IM3" s="474"/>
      <c r="IN3" s="3688"/>
      <c r="IO3" s="6618" t="s">
        <v>962</v>
      </c>
      <c r="IP3" s="6618"/>
      <c r="IQ3" s="6618"/>
      <c r="IR3" s="6618"/>
      <c r="IS3" s="6618"/>
      <c r="IT3" s="6618"/>
      <c r="IU3" s="6621" t="s">
        <v>323</v>
      </c>
      <c r="IV3" s="6621"/>
      <c r="IW3" s="6621"/>
      <c r="IX3" s="6621"/>
      <c r="IY3" s="6621"/>
      <c r="IZ3" s="6621"/>
      <c r="JA3" s="6621"/>
      <c r="JB3" s="6621"/>
      <c r="JC3" s="473"/>
      <c r="JD3" s="474"/>
      <c r="JE3" s="474" t="s">
        <v>659</v>
      </c>
      <c r="JF3" s="474"/>
      <c r="JG3" s="474"/>
      <c r="JH3" s="3688"/>
      <c r="JI3" s="473"/>
      <c r="JJ3" s="474"/>
      <c r="JK3" s="474" t="s">
        <v>660</v>
      </c>
      <c r="JL3" s="474"/>
      <c r="JM3" s="474"/>
      <c r="JN3" s="3688"/>
      <c r="JO3" s="473"/>
      <c r="JP3" s="475"/>
      <c r="JQ3" s="475" t="s">
        <v>661</v>
      </c>
      <c r="JR3" s="475"/>
      <c r="JS3" s="474"/>
      <c r="JT3" s="3688"/>
      <c r="JU3" s="6622" t="s">
        <v>182</v>
      </c>
      <c r="JV3" s="6622"/>
      <c r="JW3" s="6622"/>
      <c r="JX3" s="6622"/>
      <c r="JY3" s="6622"/>
      <c r="JZ3" s="6622"/>
      <c r="KA3" s="3698"/>
      <c r="KB3" s="3699"/>
      <c r="KC3" s="3700" t="s">
        <v>929</v>
      </c>
      <c r="KD3" s="3702"/>
      <c r="KE3" s="3702"/>
      <c r="KF3" s="3702"/>
      <c r="KG3" s="473"/>
      <c r="KH3" s="475"/>
      <c r="KI3" s="475" t="s">
        <v>662</v>
      </c>
      <c r="KJ3" s="475"/>
      <c r="KK3" s="474"/>
      <c r="KL3" s="3688"/>
      <c r="KM3" s="473"/>
      <c r="KN3" s="475"/>
      <c r="KO3" s="475" t="s">
        <v>663</v>
      </c>
      <c r="KP3" s="475"/>
      <c r="KQ3" s="474"/>
      <c r="KR3" s="3688"/>
      <c r="KS3" s="473"/>
      <c r="KT3" s="475"/>
      <c r="KU3" s="475" t="s">
        <v>664</v>
      </c>
      <c r="KV3" s="475"/>
      <c r="KW3" s="474"/>
      <c r="KX3" s="3688"/>
      <c r="KY3" s="1454"/>
      <c r="KZ3" s="1455"/>
      <c r="LA3" s="6457" t="s">
        <v>183</v>
      </c>
      <c r="LB3" s="1455"/>
      <c r="LC3" s="3704"/>
      <c r="LD3" s="3705"/>
      <c r="LE3" s="6619" t="s">
        <v>602</v>
      </c>
      <c r="LF3" s="6619"/>
      <c r="LG3" s="6619"/>
      <c r="LH3" s="6619"/>
      <c r="LI3" s="6619"/>
      <c r="LJ3" s="6619"/>
      <c r="LK3" s="6619"/>
      <c r="LL3" s="6619"/>
      <c r="LM3" s="473"/>
      <c r="LN3" s="475"/>
      <c r="LO3" s="475" t="s">
        <v>665</v>
      </c>
      <c r="LP3" s="475"/>
      <c r="LQ3" s="474"/>
      <c r="LR3" s="3688"/>
      <c r="LS3" s="473"/>
      <c r="LT3" s="475"/>
      <c r="LU3" s="475" t="s">
        <v>666</v>
      </c>
      <c r="LV3" s="475"/>
      <c r="LW3" s="474"/>
      <c r="LX3" s="3688"/>
      <c r="LY3" s="473"/>
      <c r="LZ3" s="475"/>
      <c r="MA3" s="475" t="s">
        <v>667</v>
      </c>
      <c r="MB3" s="475"/>
      <c r="MC3" s="474"/>
      <c r="MD3" s="3688"/>
      <c r="ME3" s="6617" t="s">
        <v>930</v>
      </c>
      <c r="MF3" s="6617"/>
      <c r="MG3" s="6617"/>
      <c r="MH3" s="6617"/>
      <c r="MI3" s="6617"/>
      <c r="MJ3" s="6617"/>
    </row>
    <row r="4" spans="1:350" ht="18.3" customHeight="1" x14ac:dyDescent="0.3">
      <c r="A4" s="4198" t="s">
        <v>176</v>
      </c>
      <c r="B4" s="4199" t="s">
        <v>174</v>
      </c>
      <c r="C4" s="4194" t="s">
        <v>5</v>
      </c>
      <c r="D4" s="4195" t="s">
        <v>6</v>
      </c>
      <c r="E4" s="4195" t="s">
        <v>137</v>
      </c>
      <c r="F4" s="4195" t="s">
        <v>175</v>
      </c>
      <c r="G4" s="4195" t="s">
        <v>325</v>
      </c>
      <c r="H4" s="4200" t="s">
        <v>139</v>
      </c>
      <c r="I4" s="4200" t="s">
        <v>326</v>
      </c>
      <c r="J4" s="4201" t="s">
        <v>327</v>
      </c>
      <c r="K4" s="4194" t="s">
        <v>5</v>
      </c>
      <c r="L4" s="4195" t="s">
        <v>6</v>
      </c>
      <c r="M4" s="4195" t="s">
        <v>137</v>
      </c>
      <c r="N4" s="4195" t="s">
        <v>175</v>
      </c>
      <c r="O4" s="4200" t="s">
        <v>139</v>
      </c>
      <c r="P4" s="4196" t="s">
        <v>328</v>
      </c>
      <c r="Q4" s="4194" t="s">
        <v>5</v>
      </c>
      <c r="R4" s="4195" t="s">
        <v>6</v>
      </c>
      <c r="S4" s="4195" t="s">
        <v>187</v>
      </c>
      <c r="T4" s="4195" t="s">
        <v>33</v>
      </c>
      <c r="U4" s="4200" t="s">
        <v>329</v>
      </c>
      <c r="V4" s="4196" t="s">
        <v>328</v>
      </c>
      <c r="W4" s="4194" t="s">
        <v>5</v>
      </c>
      <c r="X4" s="4195" t="s">
        <v>6</v>
      </c>
      <c r="Y4" s="4195" t="s">
        <v>137</v>
      </c>
      <c r="Z4" s="4195" t="s">
        <v>33</v>
      </c>
      <c r="AA4" s="4200" t="s">
        <v>329</v>
      </c>
      <c r="AB4" s="4196" t="s">
        <v>328</v>
      </c>
      <c r="AC4" s="4194" t="s">
        <v>5</v>
      </c>
      <c r="AD4" s="4195" t="s">
        <v>6</v>
      </c>
      <c r="AE4" s="4195" t="s">
        <v>137</v>
      </c>
      <c r="AF4" s="4195" t="s">
        <v>33</v>
      </c>
      <c r="AG4" s="4200" t="s">
        <v>329</v>
      </c>
      <c r="AH4" s="4196" t="s">
        <v>328</v>
      </c>
      <c r="AI4" s="4194" t="s">
        <v>5</v>
      </c>
      <c r="AJ4" s="4195" t="s">
        <v>6</v>
      </c>
      <c r="AK4" s="4195" t="s">
        <v>137</v>
      </c>
      <c r="AL4" s="4195" t="s">
        <v>175</v>
      </c>
      <c r="AM4" s="4200" t="s">
        <v>329</v>
      </c>
      <c r="AN4" s="4196" t="s">
        <v>328</v>
      </c>
      <c r="AO4" s="4194" t="s">
        <v>5</v>
      </c>
      <c r="AP4" s="4195" t="s">
        <v>6</v>
      </c>
      <c r="AQ4" s="4195" t="s">
        <v>137</v>
      </c>
      <c r="AR4" s="4195" t="s">
        <v>175</v>
      </c>
      <c r="AS4" s="4195" t="s">
        <v>329</v>
      </c>
      <c r="AT4" s="4196" t="s">
        <v>328</v>
      </c>
      <c r="AU4" s="4194" t="s">
        <v>5</v>
      </c>
      <c r="AV4" s="4195" t="s">
        <v>6</v>
      </c>
      <c r="AW4" s="4195" t="s">
        <v>137</v>
      </c>
      <c r="AX4" s="4195" t="s">
        <v>175</v>
      </c>
      <c r="AY4" s="4195" t="s">
        <v>329</v>
      </c>
      <c r="AZ4" s="4196" t="s">
        <v>328</v>
      </c>
      <c r="BA4" s="4194" t="s">
        <v>5</v>
      </c>
      <c r="BB4" s="4195" t="s">
        <v>6</v>
      </c>
      <c r="BC4" s="4195" t="s">
        <v>137</v>
      </c>
      <c r="BD4" s="4195" t="s">
        <v>175</v>
      </c>
      <c r="BE4" s="4195" t="s">
        <v>329</v>
      </c>
      <c r="BF4" s="4196" t="s">
        <v>328</v>
      </c>
      <c r="BG4" s="4194" t="s">
        <v>5</v>
      </c>
      <c r="BH4" s="4195" t="s">
        <v>6</v>
      </c>
      <c r="BI4" s="4195" t="s">
        <v>137</v>
      </c>
      <c r="BJ4" s="4195" t="s">
        <v>175</v>
      </c>
      <c r="BK4" s="4195" t="s">
        <v>329</v>
      </c>
      <c r="BL4" s="4196" t="s">
        <v>328</v>
      </c>
      <c r="BM4" s="4195" t="s">
        <v>5</v>
      </c>
      <c r="BN4" s="4195" t="s">
        <v>6</v>
      </c>
      <c r="BO4" s="4195" t="s">
        <v>137</v>
      </c>
      <c r="BP4" s="4195" t="s">
        <v>175</v>
      </c>
      <c r="BQ4" s="4195" t="s">
        <v>329</v>
      </c>
      <c r="BR4" s="4196" t="s">
        <v>328</v>
      </c>
      <c r="BS4" s="4195" t="s">
        <v>5</v>
      </c>
      <c r="BT4" s="4195" t="s">
        <v>6</v>
      </c>
      <c r="BU4" s="4195" t="s">
        <v>137</v>
      </c>
      <c r="BV4" s="4195" t="s">
        <v>175</v>
      </c>
      <c r="BW4" s="4195" t="s">
        <v>329</v>
      </c>
      <c r="BX4" s="4196" t="s">
        <v>330</v>
      </c>
      <c r="BY4" s="4194" t="s">
        <v>5</v>
      </c>
      <c r="BZ4" s="4195" t="s">
        <v>52</v>
      </c>
      <c r="CA4" s="4195" t="s">
        <v>280</v>
      </c>
      <c r="CB4" s="4195" t="s">
        <v>175</v>
      </c>
      <c r="CC4" s="4195" t="s">
        <v>329</v>
      </c>
      <c r="CD4" s="4196" t="s">
        <v>330</v>
      </c>
      <c r="CE4" s="4194" t="s">
        <v>5</v>
      </c>
      <c r="CF4" s="4195" t="s">
        <v>52</v>
      </c>
      <c r="CG4" s="4195" t="s">
        <v>280</v>
      </c>
      <c r="CH4" s="4195" t="s">
        <v>175</v>
      </c>
      <c r="CI4" s="4200" t="s">
        <v>329</v>
      </c>
      <c r="CJ4" s="4201" t="s">
        <v>330</v>
      </c>
      <c r="CK4" s="4202" t="s">
        <v>5</v>
      </c>
      <c r="CL4" s="4202" t="s">
        <v>52</v>
      </c>
      <c r="CM4" s="4202" t="s">
        <v>280</v>
      </c>
      <c r="CN4" s="4202" t="s">
        <v>654</v>
      </c>
      <c r="CO4" s="4202" t="s">
        <v>331</v>
      </c>
      <c r="CP4" s="4202" t="s">
        <v>281</v>
      </c>
      <c r="CQ4" s="4203" t="s">
        <v>326</v>
      </c>
      <c r="CR4" s="4196" t="s">
        <v>332</v>
      </c>
      <c r="CS4" s="4204" t="s">
        <v>5</v>
      </c>
      <c r="CT4" s="4205" t="s">
        <v>52</v>
      </c>
      <c r="CU4" s="4205" t="s">
        <v>137</v>
      </c>
      <c r="CV4" s="4205" t="s">
        <v>175</v>
      </c>
      <c r="CW4" s="4206" t="s">
        <v>333</v>
      </c>
      <c r="CX4" s="4206" t="s">
        <v>334</v>
      </c>
      <c r="CY4" s="4206" t="s">
        <v>329</v>
      </c>
      <c r="CZ4" s="4207" t="s">
        <v>330</v>
      </c>
      <c r="DA4" s="4208"/>
      <c r="DB4" s="4194" t="s">
        <v>5</v>
      </c>
      <c r="DC4" s="4195" t="s">
        <v>52</v>
      </c>
      <c r="DD4" s="4195" t="s">
        <v>137</v>
      </c>
      <c r="DE4" s="4195" t="s">
        <v>175</v>
      </c>
      <c r="DF4" s="4195" t="s">
        <v>329</v>
      </c>
      <c r="DG4" s="4196" t="s">
        <v>330</v>
      </c>
      <c r="DH4" s="4194" t="s">
        <v>5</v>
      </c>
      <c r="DI4" s="4195" t="s">
        <v>52</v>
      </c>
      <c r="DJ4" s="4195" t="s">
        <v>137</v>
      </c>
      <c r="DK4" s="4195" t="s">
        <v>175</v>
      </c>
      <c r="DL4" s="4195" t="s">
        <v>329</v>
      </c>
      <c r="DM4" s="4196" t="s">
        <v>330</v>
      </c>
      <c r="DN4" s="4194" t="s">
        <v>5</v>
      </c>
      <c r="DO4" s="4195" t="s">
        <v>52</v>
      </c>
      <c r="DP4" s="4195" t="s">
        <v>137</v>
      </c>
      <c r="DQ4" s="4195" t="s">
        <v>175</v>
      </c>
      <c r="DR4" s="4195" t="s">
        <v>281</v>
      </c>
      <c r="DS4" s="4196" t="s">
        <v>330</v>
      </c>
      <c r="DT4" s="4194" t="s">
        <v>5</v>
      </c>
      <c r="DU4" s="4195" t="s">
        <v>52</v>
      </c>
      <c r="DV4" s="4195" t="s">
        <v>187</v>
      </c>
      <c r="DW4" s="4195" t="s">
        <v>175</v>
      </c>
      <c r="DX4" s="4195" t="s">
        <v>281</v>
      </c>
      <c r="DY4" s="4196" t="s">
        <v>330</v>
      </c>
      <c r="DZ4" s="4209" t="s">
        <v>5</v>
      </c>
      <c r="EA4" s="4210" t="s">
        <v>335</v>
      </c>
      <c r="EB4" s="4210" t="s">
        <v>187</v>
      </c>
      <c r="EC4" s="4211" t="s">
        <v>175</v>
      </c>
      <c r="ED4" s="4212" t="s">
        <v>333</v>
      </c>
      <c r="EE4" s="4212" t="s">
        <v>248</v>
      </c>
      <c r="EF4" s="4212" t="s">
        <v>281</v>
      </c>
      <c r="EG4" s="4213" t="s">
        <v>328</v>
      </c>
      <c r="EH4" s="4194" t="s">
        <v>5</v>
      </c>
      <c r="EI4" s="4195" t="s">
        <v>52</v>
      </c>
      <c r="EJ4" s="4195" t="s">
        <v>187</v>
      </c>
      <c r="EK4" s="4195" t="s">
        <v>175</v>
      </c>
      <c r="EL4" s="4195" t="s">
        <v>281</v>
      </c>
      <c r="EM4" s="4196" t="s">
        <v>330</v>
      </c>
      <c r="EN4" s="4194" t="s">
        <v>5</v>
      </c>
      <c r="EO4" s="4195" t="s">
        <v>52</v>
      </c>
      <c r="EP4" s="4195" t="s">
        <v>187</v>
      </c>
      <c r="EQ4" s="4195" t="s">
        <v>175</v>
      </c>
      <c r="ER4" s="4195" t="s">
        <v>329</v>
      </c>
      <c r="ES4" s="4196" t="s">
        <v>330</v>
      </c>
      <c r="ET4" s="4194" t="s">
        <v>5</v>
      </c>
      <c r="EU4" s="4197" t="s">
        <v>52</v>
      </c>
      <c r="EV4" s="4197" t="s">
        <v>187</v>
      </c>
      <c r="EW4" s="4197" t="s">
        <v>175</v>
      </c>
      <c r="EX4" s="4195" t="s">
        <v>329</v>
      </c>
      <c r="EY4" s="4196" t="s">
        <v>330</v>
      </c>
      <c r="EZ4" s="4194" t="s">
        <v>5</v>
      </c>
      <c r="FA4" s="4197" t="s">
        <v>52</v>
      </c>
      <c r="FB4" s="4197" t="s">
        <v>187</v>
      </c>
      <c r="FC4" s="4197" t="s">
        <v>175</v>
      </c>
      <c r="FD4" s="4195" t="s">
        <v>329</v>
      </c>
      <c r="FE4" s="4196" t="s">
        <v>330</v>
      </c>
      <c r="FF4" s="4209" t="s">
        <v>5</v>
      </c>
      <c r="FG4" s="4210" t="s">
        <v>335</v>
      </c>
      <c r="FH4" s="4210" t="s">
        <v>187</v>
      </c>
      <c r="FI4" s="4212" t="s">
        <v>333</v>
      </c>
      <c r="FJ4" s="4212" t="s">
        <v>248</v>
      </c>
      <c r="FK4" s="4214" t="s">
        <v>281</v>
      </c>
      <c r="FL4" s="4194" t="s">
        <v>5</v>
      </c>
      <c r="FM4" s="4197" t="s">
        <v>52</v>
      </c>
      <c r="FN4" s="4197" t="s">
        <v>280</v>
      </c>
      <c r="FO4" s="4197" t="s">
        <v>175</v>
      </c>
      <c r="FP4" s="4195" t="s">
        <v>329</v>
      </c>
      <c r="FQ4" s="4196" t="s">
        <v>330</v>
      </c>
      <c r="FR4" s="4194" t="s">
        <v>5</v>
      </c>
      <c r="FS4" s="4197" t="s">
        <v>52</v>
      </c>
      <c r="FT4" s="4197" t="s">
        <v>280</v>
      </c>
      <c r="FU4" s="4197" t="s">
        <v>175</v>
      </c>
      <c r="FV4" s="4195" t="s">
        <v>329</v>
      </c>
      <c r="FW4" s="4196" t="s">
        <v>330</v>
      </c>
      <c r="FX4" s="4194" t="s">
        <v>5</v>
      </c>
      <c r="FY4" s="4197" t="s">
        <v>52</v>
      </c>
      <c r="FZ4" s="4197" t="s">
        <v>280</v>
      </c>
      <c r="GA4" s="4197" t="s">
        <v>175</v>
      </c>
      <c r="GB4" s="4195" t="s">
        <v>329</v>
      </c>
      <c r="GC4" s="4196" t="s">
        <v>330</v>
      </c>
      <c r="GD4" s="4194" t="s">
        <v>5</v>
      </c>
      <c r="GE4" s="4197" t="s">
        <v>52</v>
      </c>
      <c r="GF4" s="4197" t="s">
        <v>280</v>
      </c>
      <c r="GG4" s="4197" t="s">
        <v>175</v>
      </c>
      <c r="GH4" s="4195" t="s">
        <v>329</v>
      </c>
      <c r="GI4" s="4196" t="s">
        <v>330</v>
      </c>
      <c r="GJ4" s="4215" t="s">
        <v>5</v>
      </c>
      <c r="GK4" s="4216" t="s">
        <v>52</v>
      </c>
      <c r="GL4" s="4216" t="s">
        <v>280</v>
      </c>
      <c r="GM4" s="4216" t="s">
        <v>175</v>
      </c>
      <c r="GN4" s="4217" t="s">
        <v>336</v>
      </c>
      <c r="GO4" s="4217" t="s">
        <v>337</v>
      </c>
      <c r="GP4" s="4217" t="s">
        <v>285</v>
      </c>
      <c r="GQ4" s="4218" t="s">
        <v>338</v>
      </c>
      <c r="GR4" s="4194" t="s">
        <v>5</v>
      </c>
      <c r="GS4" s="4197" t="s">
        <v>52</v>
      </c>
      <c r="GT4" s="4197" t="s">
        <v>280</v>
      </c>
      <c r="GU4" s="4197" t="s">
        <v>175</v>
      </c>
      <c r="GV4" s="4195" t="s">
        <v>329</v>
      </c>
      <c r="GW4" s="4196" t="s">
        <v>330</v>
      </c>
      <c r="GX4" s="4194" t="s">
        <v>5</v>
      </c>
      <c r="GY4" s="4197" t="s">
        <v>52</v>
      </c>
      <c r="GZ4" s="4197" t="s">
        <v>280</v>
      </c>
      <c r="HA4" s="4197" t="s">
        <v>175</v>
      </c>
      <c r="HB4" s="4195" t="s">
        <v>329</v>
      </c>
      <c r="HC4" s="4196" t="s">
        <v>330</v>
      </c>
      <c r="HD4" s="4194" t="s">
        <v>5</v>
      </c>
      <c r="HE4" s="4197" t="s">
        <v>52</v>
      </c>
      <c r="HF4" s="4197" t="s">
        <v>280</v>
      </c>
      <c r="HG4" s="4197" t="s">
        <v>654</v>
      </c>
      <c r="HH4" s="4195" t="s">
        <v>281</v>
      </c>
      <c r="HI4" s="4196" t="s">
        <v>326</v>
      </c>
      <c r="HJ4" s="4194" t="s">
        <v>5</v>
      </c>
      <c r="HK4" s="4197" t="s">
        <v>52</v>
      </c>
      <c r="HL4" s="4197" t="s">
        <v>280</v>
      </c>
      <c r="HM4" s="4197" t="s">
        <v>654</v>
      </c>
      <c r="HN4" s="4195" t="s">
        <v>281</v>
      </c>
      <c r="HO4" s="4196" t="s">
        <v>326</v>
      </c>
      <c r="HP4" s="4194" t="s">
        <v>5</v>
      </c>
      <c r="HQ4" s="4197" t="s">
        <v>52</v>
      </c>
      <c r="HR4" s="4197" t="s">
        <v>280</v>
      </c>
      <c r="HS4" s="4197" t="s">
        <v>175</v>
      </c>
      <c r="HT4" s="4195" t="s">
        <v>281</v>
      </c>
      <c r="HU4" s="4196" t="s">
        <v>326</v>
      </c>
      <c r="HV4" s="4208"/>
      <c r="HW4" s="4194" t="s">
        <v>5</v>
      </c>
      <c r="HX4" s="4195" t="s">
        <v>52</v>
      </c>
      <c r="HY4" s="4195" t="s">
        <v>137</v>
      </c>
      <c r="HZ4" s="4195" t="s">
        <v>175</v>
      </c>
      <c r="IA4" s="4195" t="s">
        <v>329</v>
      </c>
      <c r="IB4" s="4196" t="s">
        <v>330</v>
      </c>
      <c r="IC4" s="4194" t="s">
        <v>5</v>
      </c>
      <c r="ID4" s="4195" t="s">
        <v>52</v>
      </c>
      <c r="IE4" s="4195" t="s">
        <v>280</v>
      </c>
      <c r="IF4" s="4195" t="s">
        <v>175</v>
      </c>
      <c r="IG4" s="4195" t="s">
        <v>329</v>
      </c>
      <c r="IH4" s="4196" t="s">
        <v>330</v>
      </c>
      <c r="II4" s="4194" t="s">
        <v>5</v>
      </c>
      <c r="IJ4" s="4195" t="s">
        <v>52</v>
      </c>
      <c r="IK4" s="4195" t="s">
        <v>280</v>
      </c>
      <c r="IL4" s="4195" t="s">
        <v>175</v>
      </c>
      <c r="IM4" s="4195" t="s">
        <v>281</v>
      </c>
      <c r="IN4" s="4196" t="s">
        <v>330</v>
      </c>
      <c r="IO4" s="4194" t="s">
        <v>5</v>
      </c>
      <c r="IP4" s="4195" t="s">
        <v>52</v>
      </c>
      <c r="IQ4" s="4195" t="s">
        <v>187</v>
      </c>
      <c r="IR4" s="4195" t="s">
        <v>175</v>
      </c>
      <c r="IS4" s="4195" t="s">
        <v>281</v>
      </c>
      <c r="IT4" s="4196" t="s">
        <v>330</v>
      </c>
      <c r="IU4" s="4209" t="s">
        <v>5</v>
      </c>
      <c r="IV4" s="4210" t="s">
        <v>335</v>
      </c>
      <c r="IW4" s="4210" t="s">
        <v>280</v>
      </c>
      <c r="IX4" s="4211" t="s">
        <v>175</v>
      </c>
      <c r="IY4" s="4212" t="s">
        <v>333</v>
      </c>
      <c r="IZ4" s="4212" t="s">
        <v>248</v>
      </c>
      <c r="JA4" s="4212" t="s">
        <v>281</v>
      </c>
      <c r="JB4" s="4213" t="s">
        <v>328</v>
      </c>
      <c r="JC4" s="4194" t="s">
        <v>5</v>
      </c>
      <c r="JD4" s="4195" t="s">
        <v>52</v>
      </c>
      <c r="JE4" s="4195" t="s">
        <v>187</v>
      </c>
      <c r="JF4" s="4195" t="s">
        <v>175</v>
      </c>
      <c r="JG4" s="4195" t="s">
        <v>281</v>
      </c>
      <c r="JH4" s="4196" t="s">
        <v>330</v>
      </c>
      <c r="JI4" s="4194" t="s">
        <v>5</v>
      </c>
      <c r="JJ4" s="4195" t="s">
        <v>52</v>
      </c>
      <c r="JK4" s="4195" t="s">
        <v>187</v>
      </c>
      <c r="JL4" s="4195" t="s">
        <v>175</v>
      </c>
      <c r="JM4" s="4195" t="s">
        <v>329</v>
      </c>
      <c r="JN4" s="4196" t="s">
        <v>330</v>
      </c>
      <c r="JO4" s="4194" t="s">
        <v>5</v>
      </c>
      <c r="JP4" s="4197" t="s">
        <v>52</v>
      </c>
      <c r="JQ4" s="4197" t="s">
        <v>280</v>
      </c>
      <c r="JR4" s="4197" t="s">
        <v>654</v>
      </c>
      <c r="JS4" s="4195" t="s">
        <v>139</v>
      </c>
      <c r="JT4" s="4196" t="s">
        <v>328</v>
      </c>
      <c r="JU4" s="4194" t="s">
        <v>5</v>
      </c>
      <c r="JV4" s="4197" t="s">
        <v>52</v>
      </c>
      <c r="JW4" s="4197" t="s">
        <v>187</v>
      </c>
      <c r="JX4" s="4197" t="s">
        <v>175</v>
      </c>
      <c r="JY4" s="4195" t="s">
        <v>329</v>
      </c>
      <c r="JZ4" s="4196" t="s">
        <v>330</v>
      </c>
      <c r="KA4" s="479" t="s">
        <v>5</v>
      </c>
      <c r="KB4" s="480" t="s">
        <v>335</v>
      </c>
      <c r="KC4" s="480" t="s">
        <v>187</v>
      </c>
      <c r="KD4" s="481" t="s">
        <v>333</v>
      </c>
      <c r="KE4" s="481" t="s">
        <v>248</v>
      </c>
      <c r="KF4" s="483" t="s">
        <v>281</v>
      </c>
      <c r="KG4" s="4194" t="s">
        <v>5</v>
      </c>
      <c r="KH4" s="4197" t="s">
        <v>52</v>
      </c>
      <c r="KI4" s="4197" t="s">
        <v>280</v>
      </c>
      <c r="KJ4" s="4197" t="s">
        <v>654</v>
      </c>
      <c r="KK4" s="4195" t="s">
        <v>139</v>
      </c>
      <c r="KL4" s="4196" t="s">
        <v>328</v>
      </c>
      <c r="KM4" s="4194" t="s">
        <v>5</v>
      </c>
      <c r="KN4" s="4197" t="s">
        <v>52</v>
      </c>
      <c r="KO4" s="4197" t="s">
        <v>280</v>
      </c>
      <c r="KP4" s="4197" t="s">
        <v>654</v>
      </c>
      <c r="KQ4" s="4195" t="s">
        <v>139</v>
      </c>
      <c r="KR4" s="4196" t="s">
        <v>328</v>
      </c>
      <c r="KS4" s="4194" t="s">
        <v>5</v>
      </c>
      <c r="KT4" s="4197" t="s">
        <v>52</v>
      </c>
      <c r="KU4" s="4197" t="s">
        <v>280</v>
      </c>
      <c r="KV4" s="4197" t="s">
        <v>654</v>
      </c>
      <c r="KW4" s="4195" t="s">
        <v>139</v>
      </c>
      <c r="KX4" s="4196" t="s">
        <v>328</v>
      </c>
      <c r="KY4" s="1456" t="s">
        <v>5</v>
      </c>
      <c r="KZ4" s="413" t="s">
        <v>52</v>
      </c>
      <c r="LA4" s="413" t="s">
        <v>280</v>
      </c>
      <c r="LB4" s="413" t="s">
        <v>175</v>
      </c>
      <c r="LC4" s="1457" t="s">
        <v>329</v>
      </c>
      <c r="LD4" s="1458" t="s">
        <v>330</v>
      </c>
      <c r="LE4" s="1450" t="s">
        <v>5</v>
      </c>
      <c r="LF4" s="1463" t="s">
        <v>52</v>
      </c>
      <c r="LG4" s="1463" t="s">
        <v>280</v>
      </c>
      <c r="LH4" s="1463" t="s">
        <v>175</v>
      </c>
      <c r="LI4" s="1464" t="s">
        <v>336</v>
      </c>
      <c r="LJ4" s="1464" t="s">
        <v>337</v>
      </c>
      <c r="LK4" s="1464" t="s">
        <v>285</v>
      </c>
      <c r="LL4" s="1465" t="s">
        <v>338</v>
      </c>
      <c r="LM4" s="4194" t="s">
        <v>5</v>
      </c>
      <c r="LN4" s="4197" t="s">
        <v>52</v>
      </c>
      <c r="LO4" s="4197" t="s">
        <v>280</v>
      </c>
      <c r="LP4" s="4197" t="s">
        <v>654</v>
      </c>
      <c r="LQ4" s="4195" t="s">
        <v>139</v>
      </c>
      <c r="LR4" s="4196" t="s">
        <v>328</v>
      </c>
      <c r="LS4" s="476" t="s">
        <v>5</v>
      </c>
      <c r="LT4" s="482" t="s">
        <v>52</v>
      </c>
      <c r="LU4" s="482" t="s">
        <v>280</v>
      </c>
      <c r="LV4" s="482" t="s">
        <v>175</v>
      </c>
      <c r="LW4" s="477" t="s">
        <v>329</v>
      </c>
      <c r="LX4" s="478" t="s">
        <v>330</v>
      </c>
      <c r="LY4" s="476" t="s">
        <v>5</v>
      </c>
      <c r="LZ4" s="482" t="s">
        <v>52</v>
      </c>
      <c r="MA4" s="482" t="s">
        <v>280</v>
      </c>
      <c r="MB4" s="482" t="s">
        <v>654</v>
      </c>
      <c r="MC4" s="477" t="s">
        <v>281</v>
      </c>
      <c r="MD4" s="478" t="s">
        <v>326</v>
      </c>
      <c r="ME4" s="1653" t="s">
        <v>5</v>
      </c>
      <c r="MF4" s="1654" t="s">
        <v>52</v>
      </c>
      <c r="MG4" s="1654" t="s">
        <v>280</v>
      </c>
      <c r="MH4" s="1654" t="s">
        <v>175</v>
      </c>
      <c r="MI4" s="1655" t="s">
        <v>281</v>
      </c>
      <c r="MJ4" s="1656" t="s">
        <v>326</v>
      </c>
    </row>
    <row r="5" spans="1:350" s="242" customFormat="1" ht="21.5" customHeight="1" x14ac:dyDescent="0.25">
      <c r="A5" s="1663" t="s">
        <v>145</v>
      </c>
      <c r="B5" s="1673" t="s">
        <v>642</v>
      </c>
      <c r="C5" s="377">
        <v>145</v>
      </c>
      <c r="D5" s="520">
        <v>186378831</v>
      </c>
      <c r="E5" s="520">
        <v>61336362</v>
      </c>
      <c r="F5" s="520">
        <v>37537692.888191998</v>
      </c>
      <c r="G5" s="520">
        <v>28090206.342091836</v>
      </c>
      <c r="H5" s="500">
        <f>E5/D5</f>
        <v>0.32909511059225388</v>
      </c>
      <c r="I5" s="500">
        <f>F5/D5</f>
        <v>0.2014053456971838</v>
      </c>
      <c r="J5" s="501">
        <f>G5/D5</f>
        <v>0.15071564829211659</v>
      </c>
      <c r="K5" s="521">
        <v>146</v>
      </c>
      <c r="L5" s="520">
        <v>30471344</v>
      </c>
      <c r="M5" s="520">
        <v>9910560</v>
      </c>
      <c r="N5" s="520">
        <v>2939773.8</v>
      </c>
      <c r="O5" s="500">
        <f>M5/L5</f>
        <v>0.32524197160453439</v>
      </c>
      <c r="P5" s="501">
        <f>N5/L5</f>
        <v>9.6476670014949126E-2</v>
      </c>
      <c r="Q5" s="377">
        <v>151</v>
      </c>
      <c r="R5" s="520">
        <v>33057228.550000001</v>
      </c>
      <c r="S5" s="520">
        <v>12448483.550000001</v>
      </c>
      <c r="T5" s="520">
        <v>5344129.1999999993</v>
      </c>
      <c r="U5" s="500">
        <f>S5/R5</f>
        <v>0.37657372066661049</v>
      </c>
      <c r="V5" s="501">
        <f>T5/R5</f>
        <v>0.16166295344199383</v>
      </c>
      <c r="W5" s="377">
        <v>141</v>
      </c>
      <c r="X5" s="520">
        <v>33008253</v>
      </c>
      <c r="Y5" s="520">
        <v>12404004</v>
      </c>
      <c r="Z5" s="520">
        <v>5151623.1999999993</v>
      </c>
      <c r="AA5" s="500">
        <f>Y5/X5</f>
        <v>0.37578492869646873</v>
      </c>
      <c r="AB5" s="501">
        <f>Z5/X5</f>
        <v>0.15607076206062767</v>
      </c>
      <c r="AC5" s="377">
        <v>136</v>
      </c>
      <c r="AD5" s="520">
        <v>31708284</v>
      </c>
      <c r="AE5" s="520">
        <v>11059672</v>
      </c>
      <c r="AF5" s="520">
        <v>4971967.444444445</v>
      </c>
      <c r="AG5" s="500">
        <f>AE5/AD5</f>
        <v>0.3487944033805172</v>
      </c>
      <c r="AH5" s="501">
        <f>AF5/AD5</f>
        <v>0.15680342223642393</v>
      </c>
      <c r="AI5" s="521">
        <v>134</v>
      </c>
      <c r="AJ5" s="520">
        <v>29499386</v>
      </c>
      <c r="AK5" s="520">
        <v>8877845</v>
      </c>
      <c r="AL5" s="520">
        <v>3515155.2454999993</v>
      </c>
      <c r="AM5" s="500">
        <f>AK5/AJ5</f>
        <v>0.30095016214913761</v>
      </c>
      <c r="AN5" s="501">
        <f>AL5/AJ5</f>
        <v>0.11916028508186574</v>
      </c>
      <c r="AO5" s="522">
        <v>129</v>
      </c>
      <c r="AP5" s="520">
        <v>32213086</v>
      </c>
      <c r="AQ5" s="520">
        <v>11613763</v>
      </c>
      <c r="AR5" s="520">
        <v>7456343.5750000011</v>
      </c>
      <c r="AS5" s="500">
        <f>AQ5/AP5</f>
        <v>0.36052935133256092</v>
      </c>
      <c r="AT5" s="501">
        <f>AR5/AP5</f>
        <v>0.23146939647446385</v>
      </c>
      <c r="AU5" s="522">
        <v>134</v>
      </c>
      <c r="AV5" s="520">
        <v>26712064.879999999</v>
      </c>
      <c r="AW5" s="520">
        <v>6717894.8799999999</v>
      </c>
      <c r="AX5" s="520">
        <v>2608785.8630808075</v>
      </c>
      <c r="AY5" s="500">
        <f>AW5/AV5</f>
        <v>0.25149290817385883</v>
      </c>
      <c r="AZ5" s="501">
        <f>AX5/AV5</f>
        <v>9.7663204802788256E-2</v>
      </c>
      <c r="BA5" s="522">
        <v>134</v>
      </c>
      <c r="BB5" s="520">
        <v>30210792</v>
      </c>
      <c r="BC5" s="520">
        <v>10323675</v>
      </c>
      <c r="BD5" s="520">
        <v>6416459.7225000029</v>
      </c>
      <c r="BE5" s="500">
        <f>BC5/BB5</f>
        <v>0.34172142855440535</v>
      </c>
      <c r="BF5" s="501">
        <f>BD5/BB5</f>
        <v>0.21238965607058574</v>
      </c>
      <c r="BG5" s="522">
        <v>132</v>
      </c>
      <c r="BH5" s="520">
        <v>30964668.57</v>
      </c>
      <c r="BI5" s="520">
        <v>10863307.569999998</v>
      </c>
      <c r="BJ5" s="520">
        <v>6217505.8200000003</v>
      </c>
      <c r="BK5" s="500">
        <f>BI5/BH5</f>
        <v>0.35082912466645522</v>
      </c>
      <c r="BL5" s="501">
        <f>BJ5/BH5</f>
        <v>0.20079355301169949</v>
      </c>
      <c r="BM5" s="523">
        <v>124</v>
      </c>
      <c r="BN5" s="520">
        <v>27992527.719999999</v>
      </c>
      <c r="BO5" s="520">
        <v>8703711.7199999988</v>
      </c>
      <c r="BP5" s="520">
        <v>3914160.7199999997</v>
      </c>
      <c r="BQ5" s="500">
        <f>BO5/BN5</f>
        <v>0.31092982409664288</v>
      </c>
      <c r="BR5" s="501">
        <f>BP5/BN5</f>
        <v>0.13982876999005076</v>
      </c>
      <c r="BS5" s="523">
        <v>122</v>
      </c>
      <c r="BT5" s="520">
        <v>27247319.800000001</v>
      </c>
      <c r="BU5" s="520">
        <v>7933158.7999999998</v>
      </c>
      <c r="BV5" s="520">
        <v>3427905.3416666668</v>
      </c>
      <c r="BW5" s="500">
        <f>BU5/BT5</f>
        <v>0.29115373028359287</v>
      </c>
      <c r="BX5" s="501">
        <f>BV5/BT5</f>
        <v>0.12580706531240796</v>
      </c>
      <c r="BY5" s="522">
        <v>121</v>
      </c>
      <c r="BZ5" s="520">
        <v>29193508.039999999</v>
      </c>
      <c r="CA5" s="520">
        <v>9262552.040000001</v>
      </c>
      <c r="CB5" s="520">
        <v>2863599.39</v>
      </c>
      <c r="CC5" s="500">
        <f>CA5/BZ5</f>
        <v>0.31728122661068181</v>
      </c>
      <c r="CD5" s="501">
        <f>CB5/BZ5</f>
        <v>9.8090280417015632E-2</v>
      </c>
      <c r="CE5" s="521">
        <v>121</v>
      </c>
      <c r="CF5" s="485">
        <f>BZ5+BT5+BN5</f>
        <v>84433355.560000002</v>
      </c>
      <c r="CG5" s="485">
        <f>CA5+BU5+BO5</f>
        <v>25899422.559999999</v>
      </c>
      <c r="CH5" s="485">
        <f>CB5+BV5+BP5</f>
        <v>10205665.451666668</v>
      </c>
      <c r="CI5" s="487">
        <f>CG5/CF5</f>
        <v>0.30674396852077446</v>
      </c>
      <c r="CJ5" s="488">
        <f>CH5/CF5</f>
        <v>0.12087243701234071</v>
      </c>
      <c r="CK5" s="523">
        <v>121</v>
      </c>
      <c r="CL5" s="494">
        <f t="shared" ref="CL5:CN7" si="0">(L5+R5+X5+AD5+AJ5+AP5+AV5+BB5+BH5+BN5+BT5+BZ5)</f>
        <v>362278462.56000006</v>
      </c>
      <c r="CM5" s="494">
        <f t="shared" si="0"/>
        <v>120118627.55999999</v>
      </c>
      <c r="CN5" s="494">
        <f t="shared" si="0"/>
        <v>54827409.322191924</v>
      </c>
      <c r="CO5" s="494">
        <v>39296649.198378183</v>
      </c>
      <c r="CP5" s="500">
        <f>CM5/CL5</f>
        <v>0.33156436270374784</v>
      </c>
      <c r="CQ5" s="500">
        <f>CN5/CL5</f>
        <v>0.15134051562094031</v>
      </c>
      <c r="CR5" s="501">
        <f>CO5/CL5</f>
        <v>0.10847084013963409</v>
      </c>
      <c r="CS5" s="516">
        <f>CK5-C5</f>
        <v>-24</v>
      </c>
      <c r="CT5" s="517">
        <f>CL5-D5</f>
        <v>175899631.56000006</v>
      </c>
      <c r="CU5" s="517">
        <f>CM5-E5</f>
        <v>58782265.559999987</v>
      </c>
      <c r="CV5" s="517">
        <f>CN5-F5</f>
        <v>17289716.433999926</v>
      </c>
      <c r="CW5" s="518">
        <f>CS5/C5</f>
        <v>-0.16551724137931034</v>
      </c>
      <c r="CX5" s="500">
        <f>CT5/D5</f>
        <v>0.94377473351573959</v>
      </c>
      <c r="CY5" s="500">
        <f>CU5/E5</f>
        <v>0.95835917950269023</v>
      </c>
      <c r="CZ5" s="501">
        <f>CV5/F5</f>
        <v>0.46059613960554957</v>
      </c>
      <c r="DA5" s="524"/>
      <c r="DB5" s="522">
        <v>120</v>
      </c>
      <c r="DC5" s="520">
        <v>25339992.52</v>
      </c>
      <c r="DD5" s="520">
        <v>6724659</v>
      </c>
      <c r="DE5" s="520">
        <v>909069.31999999983</v>
      </c>
      <c r="DF5" s="500">
        <f>DD5/DC5</f>
        <v>0.26537730801192833</v>
      </c>
      <c r="DG5" s="501">
        <f>DE5/DC5</f>
        <v>3.587488509645384E-2</v>
      </c>
      <c r="DH5" s="522">
        <v>118</v>
      </c>
      <c r="DI5" s="520">
        <v>29156600</v>
      </c>
      <c r="DJ5" s="520">
        <v>9056534</v>
      </c>
      <c r="DK5" s="520">
        <v>3449166.2</v>
      </c>
      <c r="DL5" s="500">
        <f>DJ5/DI5</f>
        <v>0.31061694436251142</v>
      </c>
      <c r="DM5" s="501">
        <f>DK5/DI5</f>
        <v>0.11829795655186133</v>
      </c>
      <c r="DN5" s="521">
        <v>122</v>
      </c>
      <c r="DO5" s="520">
        <v>28365626.600000001</v>
      </c>
      <c r="DP5" s="520">
        <v>8733030.5999999996</v>
      </c>
      <c r="DQ5" s="520">
        <v>2588661.6999999997</v>
      </c>
      <c r="DR5" s="500">
        <f>DP5/DO5</f>
        <v>0.30787370655157675</v>
      </c>
      <c r="DS5" s="501">
        <f>DQ5/DO5</f>
        <v>9.1260515288599325E-2</v>
      </c>
      <c r="DT5" s="521">
        <v>122</v>
      </c>
      <c r="DU5" s="485">
        <f>DO5+DI5+DC5</f>
        <v>82862219.120000005</v>
      </c>
      <c r="DV5" s="485">
        <f>DP5+DJ5+DD5</f>
        <v>24514223.600000001</v>
      </c>
      <c r="DW5" s="485">
        <f>DQ5+DK5+DE5</f>
        <v>6946897.2200000007</v>
      </c>
      <c r="DX5" s="500">
        <f>DV5/DU5</f>
        <v>0.29584319440562912</v>
      </c>
      <c r="DY5" s="501">
        <f>DW5/DU5</f>
        <v>8.3836726722700886E-2</v>
      </c>
      <c r="DZ5" s="502">
        <f>DT5-CE5</f>
        <v>1</v>
      </c>
      <c r="EA5" s="503">
        <f>DU5-CF5</f>
        <v>-1571136.4399999976</v>
      </c>
      <c r="EB5" s="503">
        <f>DV5-CG5</f>
        <v>-1385198.9599999972</v>
      </c>
      <c r="EC5" s="503">
        <f>DW5-CH5</f>
        <v>-3258768.2316666674</v>
      </c>
      <c r="ED5" s="487">
        <f>DZ5/CE5</f>
        <v>8.2644628099173556E-3</v>
      </c>
      <c r="EE5" s="487">
        <f>EA5/CF5</f>
        <v>-1.8608006629364827E-2</v>
      </c>
      <c r="EF5" s="487">
        <f>EB5/CG5</f>
        <v>-5.3483777747977607E-2</v>
      </c>
      <c r="EG5" s="488">
        <f>EC5/CH5</f>
        <v>-0.31930972527954893</v>
      </c>
      <c r="EH5" s="412">
        <v>130</v>
      </c>
      <c r="EI5" s="399">
        <v>31187325</v>
      </c>
      <c r="EJ5" s="399">
        <v>9830240</v>
      </c>
      <c r="EK5" s="399">
        <v>3694371.4000000004</v>
      </c>
      <c r="EL5" s="500">
        <f>EJ5/EI5</f>
        <v>0.31519984480874841</v>
      </c>
      <c r="EM5" s="501">
        <f>EK5/EI5</f>
        <v>0.11845746308796924</v>
      </c>
      <c r="EN5" s="412">
        <v>125</v>
      </c>
      <c r="EO5" s="399">
        <v>30584672.879999999</v>
      </c>
      <c r="EP5" s="399">
        <f>[1]TM!KG67</f>
        <v>9933830.8800000008</v>
      </c>
      <c r="EQ5" s="399">
        <v>4063910.88</v>
      </c>
      <c r="ER5" s="500">
        <f>EP5/EO5</f>
        <v>0.32479768277972837</v>
      </c>
      <c r="ES5" s="501">
        <f>EQ5/EO5</f>
        <v>0.13287409991092244</v>
      </c>
      <c r="ET5" s="519">
        <v>121</v>
      </c>
      <c r="EU5" s="506">
        <v>27232157</v>
      </c>
      <c r="EV5" s="506">
        <v>7267914</v>
      </c>
      <c r="EW5" s="506">
        <v>382216.69999999972</v>
      </c>
      <c r="EX5" s="507">
        <f>EV5/EU5</f>
        <v>0.26688719516415832</v>
      </c>
      <c r="EY5" s="508">
        <f>EW5/EU5</f>
        <v>1.4035491202551443E-2</v>
      </c>
      <c r="EZ5" s="509">
        <v>121</v>
      </c>
      <c r="FA5" s="510">
        <f>EU5+EO5+EI5</f>
        <v>89004154.879999995</v>
      </c>
      <c r="FB5" s="510">
        <f>EV5+EP5+EJ5</f>
        <v>27031984.880000003</v>
      </c>
      <c r="FC5" s="510">
        <f>EW5+EQ5+EK5</f>
        <v>8140498.9800000004</v>
      </c>
      <c r="FD5" s="507">
        <f>FB5/FA5</f>
        <v>0.30371598850015397</v>
      </c>
      <c r="FE5" s="508">
        <f>FC5/FA5</f>
        <v>9.1462010857531792E-2</v>
      </c>
      <c r="FF5" s="502">
        <f>EZ5-DT5</f>
        <v>-1</v>
      </c>
      <c r="FG5" s="503">
        <f>FA5-DU5</f>
        <v>6141935.7599999905</v>
      </c>
      <c r="FH5" s="503">
        <f>FB5-DV5</f>
        <v>2517761.2800000012</v>
      </c>
      <c r="FI5" s="487">
        <f>FF5/DT5</f>
        <v>-8.1967213114754103E-3</v>
      </c>
      <c r="FJ5" s="487">
        <f>FG5/DU5</f>
        <v>7.4122269777802091E-2</v>
      </c>
      <c r="FK5" s="488">
        <f>FH5/DV5</f>
        <v>0.1027061399570493</v>
      </c>
      <c r="FL5" s="519">
        <v>123</v>
      </c>
      <c r="FM5" s="506">
        <v>27350986.16</v>
      </c>
      <c r="FN5" s="506">
        <v>8656537.1600000001</v>
      </c>
      <c r="FO5" s="506">
        <v>826424.57449999964</v>
      </c>
      <c r="FP5" s="507">
        <f>FN5/FM5</f>
        <v>0.31649817338798286</v>
      </c>
      <c r="FQ5" s="508">
        <f>FO5/FM5</f>
        <v>3.0215531157286785E-2</v>
      </c>
      <c r="FR5" s="519">
        <v>123</v>
      </c>
      <c r="FS5" s="506">
        <v>26401873.350000001</v>
      </c>
      <c r="FT5" s="506">
        <v>8927947.3500000015</v>
      </c>
      <c r="FU5" s="506">
        <v>2533102.65</v>
      </c>
      <c r="FV5" s="507">
        <f t="shared" ref="FV5:FV12" si="1">FT5/FS5</f>
        <v>0.33815582824921026</v>
      </c>
      <c r="FW5" s="508">
        <f t="shared" ref="FW5:FW12" si="2">FU5/FS5</f>
        <v>9.5944049742970217E-2</v>
      </c>
      <c r="FX5" s="519">
        <v>114</v>
      </c>
      <c r="FY5" s="506">
        <v>19944482.990000002</v>
      </c>
      <c r="FZ5" s="506">
        <v>5576696.9900000002</v>
      </c>
      <c r="GA5" s="506">
        <v>-1135705.9099999999</v>
      </c>
      <c r="GB5" s="507">
        <f t="shared" ref="GB5:GB12" si="3">FZ5/FY5</f>
        <v>0.27961100785596243</v>
      </c>
      <c r="GC5" s="508">
        <f t="shared" ref="GC5:GC12" si="4">GA5/FY5</f>
        <v>-5.6943361759210977E-2</v>
      </c>
      <c r="GD5" s="1453">
        <v>114</v>
      </c>
      <c r="GE5" s="1452">
        <f>FY5+FS5+FM5</f>
        <v>73697342.5</v>
      </c>
      <c r="GF5" s="1452">
        <f>FZ5+FT5+FN5</f>
        <v>23161181.5</v>
      </c>
      <c r="GG5" s="1452">
        <f>GA5+FU5+FO5</f>
        <v>2223821.3144999994</v>
      </c>
      <c r="GH5" s="507">
        <f>GF5/GE5</f>
        <v>0.31427431050176607</v>
      </c>
      <c r="GI5" s="507">
        <f>GG5/GE5</f>
        <v>3.0175054337949831E-2</v>
      </c>
      <c r="GJ5" s="525">
        <f>GD5-EZ5</f>
        <v>-7</v>
      </c>
      <c r="GK5" s="512">
        <f>GE5-FA5</f>
        <v>-15306812.379999995</v>
      </c>
      <c r="GL5" s="512">
        <f>GF5-FB5</f>
        <v>-3870803.3800000027</v>
      </c>
      <c r="GM5" s="512">
        <f>GG5-FC5</f>
        <v>-5916677.6655000011</v>
      </c>
      <c r="GN5" s="513">
        <f>GJ5/FF5</f>
        <v>7</v>
      </c>
      <c r="GO5" s="513">
        <f>GK5/FG5</f>
        <v>-2.4921804750364269</v>
      </c>
      <c r="GP5" s="513">
        <f>GL5/FH5</f>
        <v>-1.5373988831856216</v>
      </c>
      <c r="GQ5" s="514">
        <f>GG5/FC5</f>
        <v>0.27317997581764936</v>
      </c>
      <c r="GR5" s="519">
        <v>111</v>
      </c>
      <c r="GS5" s="506">
        <v>22996298</v>
      </c>
      <c r="GT5" s="506">
        <v>8111915</v>
      </c>
      <c r="GU5" s="506">
        <v>2567813.9</v>
      </c>
      <c r="GV5" s="507">
        <f t="shared" ref="GV5:GV12" si="5">GT5/GS5</f>
        <v>0.35274873373096832</v>
      </c>
      <c r="GW5" s="508">
        <f t="shared" ref="GW5:GW12" si="6">GU5/GS5</f>
        <v>0.11166205534473418</v>
      </c>
      <c r="GX5" s="519">
        <v>120</v>
      </c>
      <c r="GY5" s="506">
        <v>24802460.790000003</v>
      </c>
      <c r="GZ5" s="506">
        <v>9172143.7899999991</v>
      </c>
      <c r="HA5" s="506">
        <v>4299439.79</v>
      </c>
      <c r="HB5" s="507">
        <f t="shared" ref="HB5:HB12" si="7">GZ5/GY5</f>
        <v>0.36980781333189633</v>
      </c>
      <c r="HC5" s="508">
        <f t="shared" ref="HC5:HC12" si="8">HA5/GY5</f>
        <v>0.17334730720483479</v>
      </c>
      <c r="HD5" s="519">
        <v>123</v>
      </c>
      <c r="HE5" s="506">
        <v>26094233.550000001</v>
      </c>
      <c r="HF5" s="506">
        <v>9959794.5500000007</v>
      </c>
      <c r="HG5" s="506">
        <v>2008237.8</v>
      </c>
      <c r="HH5" s="507">
        <f t="shared" ref="HH5:HH12" si="9">HF5/HE5</f>
        <v>0.38168565215436268</v>
      </c>
      <c r="HI5" s="508">
        <f t="shared" ref="HI5:HI12" si="10">HG5/HE5</f>
        <v>7.6960980522840464E-2</v>
      </c>
      <c r="HJ5" s="1453">
        <v>123</v>
      </c>
      <c r="HK5" s="1452">
        <f>HE5+GY5+GS5</f>
        <v>73892992.340000004</v>
      </c>
      <c r="HL5" s="1452">
        <f>HF5+GZ5+GT5</f>
        <v>27243853.34</v>
      </c>
      <c r="HM5" s="1452">
        <f>HG5+HA5+GU5</f>
        <v>8875491.4900000002</v>
      </c>
      <c r="HN5" s="507">
        <f>HL5/HK5</f>
        <v>0.368693329059463</v>
      </c>
      <c r="HO5" s="507">
        <f>HM5/HL5</f>
        <v>0.32577959436335741</v>
      </c>
      <c r="HP5" s="519">
        <v>123</v>
      </c>
      <c r="HQ5" s="505">
        <f>HE5+GY5+GS5+FY5+FS5+FM5+EU5+EO5+EI5+DO5+DI5+DC5+12755296</f>
        <v>332212004.83999997</v>
      </c>
      <c r="HR5" s="505">
        <f>HF5+GZ5+GT5+FZ5+FT5+FN5+EV5+EP5+EJ5+DP5+DJ5+DD5+5664212</f>
        <v>107615455.31999999</v>
      </c>
      <c r="HS5" s="505">
        <v>31522651.004499998</v>
      </c>
      <c r="HT5" s="507">
        <f t="shared" ref="HT5:HT12" si="11">HR5/HQ5</f>
        <v>0.32393608223709369</v>
      </c>
      <c r="HU5" s="508">
        <f t="shared" ref="HU5:HU12" si="12">HS5/HQ5</f>
        <v>9.488715201511741E-2</v>
      </c>
      <c r="HV5" s="1647"/>
      <c r="HW5" s="522">
        <v>121</v>
      </c>
      <c r="HX5" s="520">
        <v>23960117.190000001</v>
      </c>
      <c r="HY5" s="520">
        <v>8313424.1900000004</v>
      </c>
      <c r="HZ5" s="520">
        <v>4021212.69</v>
      </c>
      <c r="IA5" s="500">
        <f t="shared" ref="IA5:IA13" si="13">HY5/HX5</f>
        <v>0.3469692624654479</v>
      </c>
      <c r="IB5" s="501">
        <f>HZ5/HX5</f>
        <v>0.16782942496117231</v>
      </c>
      <c r="IC5" s="522">
        <v>129</v>
      </c>
      <c r="ID5" s="520">
        <v>25798598</v>
      </c>
      <c r="IE5" s="520">
        <v>9591258.4250000007</v>
      </c>
      <c r="IF5" s="520">
        <v>5638749.1749999998</v>
      </c>
      <c r="IG5" s="500">
        <f t="shared" ref="IG5:IG13" si="14">IE5/ID5</f>
        <v>0.37177440514403148</v>
      </c>
      <c r="IH5" s="501">
        <f t="shared" ref="IH5:IH13" si="15">IF5/ID5</f>
        <v>0.21856804679851208</v>
      </c>
      <c r="II5" s="522">
        <v>124</v>
      </c>
      <c r="IJ5" s="520">
        <v>23790839</v>
      </c>
      <c r="IK5" s="520">
        <v>7811574.1799999997</v>
      </c>
      <c r="IL5" s="520">
        <v>3557967.98</v>
      </c>
      <c r="IM5" s="500">
        <f t="shared" ref="IM5:IM13" si="16">IK5/IJ5</f>
        <v>0.32834378728719904</v>
      </c>
      <c r="IN5" s="501">
        <f t="shared" ref="IN5:IN13" si="17">IL5/IJ5</f>
        <v>0.14955201790067177</v>
      </c>
      <c r="IO5" s="521">
        <v>124</v>
      </c>
      <c r="IP5" s="485">
        <f t="shared" ref="IP5:IP14" si="18">IJ5+ID5+HX5</f>
        <v>73549554.189999998</v>
      </c>
      <c r="IQ5" s="485">
        <f t="shared" ref="IQ5:IQ14" si="19">IK5+IE5+HY5</f>
        <v>25716256.795000002</v>
      </c>
      <c r="IR5" s="485">
        <f t="shared" ref="IR5:IR14" si="20">IL5+IF5+HZ5</f>
        <v>13217929.844999999</v>
      </c>
      <c r="IS5" s="500">
        <f t="shared" ref="IS5:IS15" si="21">IQ5/IP5</f>
        <v>0.3496453116298624</v>
      </c>
      <c r="IT5" s="501">
        <f t="shared" ref="IT5:IT15" si="22">IR5/IP5</f>
        <v>0.17971461541227324</v>
      </c>
      <c r="IU5" s="502">
        <f t="shared" ref="IU5:IX13" si="23">IO5-HJ5</f>
        <v>1</v>
      </c>
      <c r="IV5" s="517">
        <f t="shared" si="23"/>
        <v>-343438.15000000596</v>
      </c>
      <c r="IW5" s="517">
        <f t="shared" si="23"/>
        <v>-1527596.5449999981</v>
      </c>
      <c r="IX5" s="517">
        <f t="shared" si="23"/>
        <v>4342438.3549999986</v>
      </c>
      <c r="IY5" s="487">
        <f>IU5/HJ5</f>
        <v>8.130081300813009E-3</v>
      </c>
      <c r="IZ5" s="487">
        <f>IV5/HK5</f>
        <v>-4.6477769964946309E-3</v>
      </c>
      <c r="JA5" s="487">
        <f>IW5/HL5</f>
        <v>-5.6071236544103273E-2</v>
      </c>
      <c r="JB5" s="488">
        <f>IX5/HM5</f>
        <v>0.48926173383103527</v>
      </c>
      <c r="JC5" s="412">
        <v>117</v>
      </c>
      <c r="JD5" s="399">
        <v>24073005</v>
      </c>
      <c r="JE5" s="399">
        <v>9382807.6150000002</v>
      </c>
      <c r="JF5" s="399">
        <v>5328516.6150000002</v>
      </c>
      <c r="JG5" s="500">
        <f t="shared" ref="JG5:JG15" si="24">JE5/JD5</f>
        <v>0.38976470178941103</v>
      </c>
      <c r="JH5" s="501">
        <f t="shared" ref="JH5:JH15" si="25">JF5/JD5</f>
        <v>0.22134821203252358</v>
      </c>
      <c r="JI5" s="412">
        <v>114</v>
      </c>
      <c r="JJ5" s="399">
        <v>22830025.68</v>
      </c>
      <c r="JK5" s="399">
        <v>8549640.022499999</v>
      </c>
      <c r="JL5" s="399">
        <v>4642028.0225</v>
      </c>
      <c r="JM5" s="500">
        <f t="shared" ref="JM5:JM15" si="26">JK5/JJ5</f>
        <v>0.37449103835173608</v>
      </c>
      <c r="JN5" s="501">
        <f t="shared" ref="JN5:JN15" si="27">JL5/JJ5</f>
        <v>0.20332995186100902</v>
      </c>
      <c r="JO5" s="519">
        <v>130</v>
      </c>
      <c r="JP5" s="506">
        <v>23113975</v>
      </c>
      <c r="JQ5" s="506">
        <v>7751867.6349999998</v>
      </c>
      <c r="JR5" s="506">
        <v>3805633.6349999998</v>
      </c>
      <c r="JS5" s="507">
        <f t="shared" ref="JS5:JS13" si="28">JQ5/JP5</f>
        <v>0.3353757904038574</v>
      </c>
      <c r="JT5" s="508">
        <f t="shared" ref="JT5:JT13" si="29">JR5/JP5</f>
        <v>0.16464643727441947</v>
      </c>
      <c r="JU5" s="509">
        <v>130</v>
      </c>
      <c r="JV5" s="510">
        <f t="shared" ref="JV5:JX12" si="30">JP5+JJ5+JD5</f>
        <v>70017005.680000007</v>
      </c>
      <c r="JW5" s="510">
        <f t="shared" si="30"/>
        <v>25684315.272500001</v>
      </c>
      <c r="JX5" s="510">
        <f t="shared" si="30"/>
        <v>13776178.272499999</v>
      </c>
      <c r="JY5" s="507">
        <f t="shared" ref="JY5:JY13" si="31">JW5/JV5</f>
        <v>0.36682967263532368</v>
      </c>
      <c r="JZ5" s="508">
        <f t="shared" ref="JZ5:JZ13" si="32">JX5/JV5</f>
        <v>0.19675474748893887</v>
      </c>
      <c r="KA5" s="502">
        <f t="shared" ref="KA5:KC12" si="33">JU5-IO5</f>
        <v>6</v>
      </c>
      <c r="KB5" s="503">
        <f t="shared" si="33"/>
        <v>-3532548.5099999905</v>
      </c>
      <c r="KC5" s="503">
        <f t="shared" si="33"/>
        <v>-31941.522500000894</v>
      </c>
      <c r="KD5" s="487">
        <f>KA5/IO5</f>
        <v>4.8387096774193547E-2</v>
      </c>
      <c r="KE5" s="487">
        <f>KB5/IP5</f>
        <v>-4.8029502678892999E-2</v>
      </c>
      <c r="KF5" s="488">
        <f>KC5/IQ5</f>
        <v>-1.2420751104885244E-3</v>
      </c>
      <c r="KG5" s="519">
        <v>133</v>
      </c>
      <c r="KH5" s="506">
        <f>'MoM -Report'!AF4</f>
        <v>22940739</v>
      </c>
      <c r="KI5" s="506">
        <f>'MoM -Report'!AF5</f>
        <v>8860204</v>
      </c>
      <c r="KJ5" s="506">
        <f>'MoM -Report'!AF7</f>
        <v>3372852.76</v>
      </c>
      <c r="KK5" s="507">
        <f t="shared" ref="KK5:KK13" si="34">KI5/KH5</f>
        <v>0.38622138545754781</v>
      </c>
      <c r="KL5" s="508">
        <f t="shared" ref="KL5:KL13" si="35">KJ5/KH5</f>
        <v>0.14702459062020626</v>
      </c>
      <c r="KM5" s="519">
        <v>136</v>
      </c>
      <c r="KN5" s="506">
        <v>21608233</v>
      </c>
      <c r="KO5" s="506">
        <v>6990057</v>
      </c>
      <c r="KP5" s="506">
        <v>3254234.76</v>
      </c>
      <c r="KQ5" s="507">
        <f t="shared" ref="KQ5:KQ12" si="36">KO5/KN5</f>
        <v>0.32349044921905462</v>
      </c>
      <c r="KR5" s="508">
        <f t="shared" ref="KR5:KR12" si="37">KP5/KN5</f>
        <v>0.15060161374601985</v>
      </c>
      <c r="KS5" s="519">
        <v>140</v>
      </c>
      <c r="KT5" s="506">
        <v>20805513.77</v>
      </c>
      <c r="KU5" s="506">
        <v>5935542.7699999996</v>
      </c>
      <c r="KV5" s="506">
        <v>2019877.77</v>
      </c>
      <c r="KW5" s="507">
        <f t="shared" ref="KW5:KW9" si="38">KU5/KT5</f>
        <v>0.28528700783917244</v>
      </c>
      <c r="KX5" s="508">
        <f t="shared" ref="KX5:KX9" si="39">KV5/KT5</f>
        <v>9.7083772711852631E-2</v>
      </c>
      <c r="KY5" s="1453">
        <v>114</v>
      </c>
      <c r="KZ5" s="1452">
        <f t="shared" ref="KZ5:LB12" si="40">KT5+KN5+KH5</f>
        <v>65354485.769999996</v>
      </c>
      <c r="LA5" s="1452">
        <f t="shared" si="40"/>
        <v>21785803.77</v>
      </c>
      <c r="LB5" s="1452">
        <f t="shared" si="40"/>
        <v>8646965.2899999991</v>
      </c>
      <c r="LC5" s="507">
        <f t="shared" ref="LC5:LC15" si="41">LA5/KZ5</f>
        <v>0.33334825472684615</v>
      </c>
      <c r="LD5" s="507">
        <f t="shared" ref="LD5:LD15" si="42">LB5/KZ5</f>
        <v>0.13230867304856464</v>
      </c>
      <c r="LE5" s="525"/>
      <c r="LF5" s="512">
        <f>KZ5-JV5</f>
        <v>-4662519.9100000113</v>
      </c>
      <c r="LG5" s="512">
        <f>LA5-JW5</f>
        <v>-3898511.5025000013</v>
      </c>
      <c r="LH5" s="512">
        <f>LB5-JX5</f>
        <v>-5129212.9824999999</v>
      </c>
      <c r="LI5" s="513">
        <f t="shared" ref="LI5:LK9" si="43">LE5/KA5</f>
        <v>0</v>
      </c>
      <c r="LJ5" s="513">
        <f t="shared" si="43"/>
        <v>1.3198742768291167</v>
      </c>
      <c r="LK5" s="513">
        <f t="shared" si="43"/>
        <v>122.05152407809904</v>
      </c>
      <c r="LL5" s="514">
        <f>LB5/JX5</f>
        <v>0.62767518820956802</v>
      </c>
      <c r="LM5" s="519">
        <v>134</v>
      </c>
      <c r="LN5" s="506">
        <v>21673234.969999999</v>
      </c>
      <c r="LO5" s="506">
        <v>8173263.9699999997</v>
      </c>
      <c r="LP5" s="506">
        <v>4471958.97</v>
      </c>
      <c r="LQ5" s="507">
        <f t="shared" ref="LQ5:LQ12" si="44">LO5/LN5</f>
        <v>0.37711324503764193</v>
      </c>
      <c r="LR5" s="508">
        <f t="shared" ref="LR5:LR12" si="45">LP5/LN5</f>
        <v>0.20633555517623772</v>
      </c>
      <c r="LS5" s="519"/>
      <c r="LT5" s="506"/>
      <c r="LU5" s="506"/>
      <c r="LV5" s="506"/>
      <c r="LW5" s="507" t="e">
        <f t="shared" ref="LW5:LW12" si="46">LU5/LT5</f>
        <v>#DIV/0!</v>
      </c>
      <c r="LX5" s="508" t="e">
        <f t="shared" ref="LX5:LX12" si="47">LV5/LT5</f>
        <v>#DIV/0!</v>
      </c>
      <c r="LY5" s="519"/>
      <c r="LZ5" s="506"/>
      <c r="MA5" s="506"/>
      <c r="MB5" s="506"/>
      <c r="MC5" s="507" t="e">
        <f t="shared" ref="MC5:MC12" si="48">MA5/LZ5</f>
        <v>#DIV/0!</v>
      </c>
      <c r="MD5" s="508" t="e">
        <f t="shared" ref="MD5:MD12" si="49">MB5/LZ5</f>
        <v>#DIV/0!</v>
      </c>
      <c r="ME5" s="519"/>
      <c r="MF5" s="505">
        <f t="shared" ref="MF5:MH12" si="50">LZ5+LT5+LN5+KT5+KN5+KH5+JP5+JJ5+JD5+IJ5+ID5+HX5</f>
        <v>230594280.60999998</v>
      </c>
      <c r="MG5" s="505">
        <f t="shared" si="50"/>
        <v>81359639.807500005</v>
      </c>
      <c r="MH5" s="505">
        <f t="shared" si="50"/>
        <v>40113032.377499998</v>
      </c>
      <c r="MI5" s="507">
        <f t="shared" ref="MI5:MI12" si="51">MG5/MF5</f>
        <v>0.3528259226216548</v>
      </c>
      <c r="MJ5" s="508">
        <f t="shared" ref="MJ5:MJ12" si="52">MH5/MF5</f>
        <v>0.17395501862139615</v>
      </c>
      <c r="ML5" s="1647"/>
    </row>
    <row r="6" spans="1:350" s="242" customFormat="1" ht="21.5" customHeight="1" x14ac:dyDescent="0.25">
      <c r="A6" s="1663" t="s">
        <v>254</v>
      </c>
      <c r="B6" s="1673" t="s">
        <v>444</v>
      </c>
      <c r="C6" s="377">
        <f>1721-C7</f>
        <v>481</v>
      </c>
      <c r="D6" s="520">
        <f>938770891-D7</f>
        <v>580113216</v>
      </c>
      <c r="E6" s="520">
        <f>202254713-E7</f>
        <v>157649250</v>
      </c>
      <c r="F6" s="1667">
        <f>69712858-F7</f>
        <v>51779975</v>
      </c>
      <c r="G6" s="1667">
        <f>52167526-G7</f>
        <v>38747991</v>
      </c>
      <c r="H6" s="500">
        <f>E6/D6</f>
        <v>0.27175600495197133</v>
      </c>
      <c r="I6" s="500">
        <f>F6/D6</f>
        <v>8.9258395726671394E-2</v>
      </c>
      <c r="J6" s="501">
        <f>G6/D6</f>
        <v>6.6793842876353288E-2</v>
      </c>
      <c r="K6" s="521">
        <f>1932-K7</f>
        <v>555</v>
      </c>
      <c r="L6" s="520">
        <v>42564650</v>
      </c>
      <c r="M6" s="520">
        <v>10931155</v>
      </c>
      <c r="N6" s="520">
        <f>1203029-N7</f>
        <v>885888</v>
      </c>
      <c r="O6" s="500">
        <f>M6/L6</f>
        <v>0.25681298918233791</v>
      </c>
      <c r="P6" s="501">
        <f>N6/L6</f>
        <v>2.0812763643070012E-2</v>
      </c>
      <c r="Q6" s="377">
        <v>531</v>
      </c>
      <c r="R6" s="520">
        <v>41724218.549999997</v>
      </c>
      <c r="S6" s="520">
        <v>11053701.550000001</v>
      </c>
      <c r="T6" s="520">
        <f>4841864-T7</f>
        <v>4373073</v>
      </c>
      <c r="U6" s="500">
        <f>S6/R6</f>
        <v>0.26492291369708593</v>
      </c>
      <c r="V6" s="501">
        <f>T6/R6</f>
        <v>0.10480898509242423</v>
      </c>
      <c r="W6" s="377">
        <v>521</v>
      </c>
      <c r="X6" s="520">
        <v>39912321.670000002</v>
      </c>
      <c r="Y6" s="520">
        <v>9593927.6699999999</v>
      </c>
      <c r="Z6" s="520">
        <f>3605261-Z7</f>
        <v>3112626</v>
      </c>
      <c r="AA6" s="500">
        <f>Y6/X6</f>
        <v>0.24037508389824519</v>
      </c>
      <c r="AB6" s="501">
        <f>Z6/X6</f>
        <v>7.7986593356697609E-2</v>
      </c>
      <c r="AC6" s="377">
        <v>456</v>
      </c>
      <c r="AD6" s="520">
        <v>40612053.549999997</v>
      </c>
      <c r="AE6" s="520">
        <v>10601644.550000001</v>
      </c>
      <c r="AF6" s="520">
        <f>3152991-AF7</f>
        <v>2921943</v>
      </c>
      <c r="AG6" s="500">
        <f>AE6/AD6</f>
        <v>0.26104674901375435</v>
      </c>
      <c r="AH6" s="501">
        <f>AF6/AD6</f>
        <v>7.1947679188461039E-2</v>
      </c>
      <c r="AI6" s="521">
        <v>437</v>
      </c>
      <c r="AJ6" s="520">
        <v>39479339</v>
      </c>
      <c r="AK6" s="520">
        <v>10111713</v>
      </c>
      <c r="AL6" s="520">
        <v>2387518.9235256426</v>
      </c>
      <c r="AM6" s="500">
        <f>AK6/AJ6</f>
        <v>0.25612670465430032</v>
      </c>
      <c r="AN6" s="501">
        <f>AL6/AJ6</f>
        <v>6.047514938194995E-2</v>
      </c>
      <c r="AO6" s="522">
        <v>372</v>
      </c>
      <c r="AP6" s="520">
        <v>33522029.670000002</v>
      </c>
      <c r="AQ6" s="520">
        <v>7663485.6699999999</v>
      </c>
      <c r="AR6" s="520">
        <f>1188652-AR7</f>
        <v>1136661.8489583328</v>
      </c>
      <c r="AS6" s="500">
        <f>AQ6/AP6</f>
        <v>0.22861043157116206</v>
      </c>
      <c r="AT6" s="501">
        <f>AR6/AP6</f>
        <v>3.3907906536326762E-2</v>
      </c>
      <c r="AU6" s="522">
        <f>1788-AU7</f>
        <v>355</v>
      </c>
      <c r="AV6" s="520">
        <v>31938587.100000001</v>
      </c>
      <c r="AW6" s="520">
        <v>7878977.0999999996</v>
      </c>
      <c r="AX6" s="520">
        <f>3491889-AX7</f>
        <v>2130019.9029166671</v>
      </c>
      <c r="AY6" s="500">
        <f t="shared" ref="AY6:AY12" si="53">AW6/AV6</f>
        <v>0.24669147308648476</v>
      </c>
      <c r="AZ6" s="501">
        <f t="shared" ref="AZ6:AZ12" si="54">AX6/AV6</f>
        <v>6.6691112422962093E-2</v>
      </c>
      <c r="BA6" s="522">
        <f>1726-BA7</f>
        <v>347</v>
      </c>
      <c r="BB6" s="520">
        <v>30289254.670000002</v>
      </c>
      <c r="BC6" s="520">
        <v>6685496.6699999999</v>
      </c>
      <c r="BD6" s="520">
        <v>1339739.3656249999</v>
      </c>
      <c r="BE6" s="500">
        <f t="shared" ref="BE6:BE12" si="55">BC6/BB6</f>
        <v>0.22072172930097389</v>
      </c>
      <c r="BF6" s="501">
        <f t="shared" ref="BF6:BF12" si="56">BD6/BB6</f>
        <v>4.4231506526700541E-2</v>
      </c>
      <c r="BG6" s="522">
        <f>1600-BG7</f>
        <v>284</v>
      </c>
      <c r="BH6" s="520">
        <v>24365608.830000002</v>
      </c>
      <c r="BI6" s="520">
        <v>3341032.83</v>
      </c>
      <c r="BJ6" s="529">
        <f>-718100-BJ7</f>
        <v>-845206.93199999991</v>
      </c>
      <c r="BK6" s="500">
        <f t="shared" ref="BK6:BK12" si="57">BI6/BH6</f>
        <v>0.13712084328819948</v>
      </c>
      <c r="BL6" s="501">
        <f t="shared" ref="BL6:BL12" si="58">BJ6/BH6</f>
        <v>-3.4688520935267753E-2</v>
      </c>
      <c r="BM6" s="523">
        <v>268</v>
      </c>
      <c r="BN6" s="520">
        <v>24381776.670000002</v>
      </c>
      <c r="BO6" s="520">
        <v>6496014.6699999999</v>
      </c>
      <c r="BP6" s="520">
        <v>1346842.67</v>
      </c>
      <c r="BQ6" s="500">
        <f t="shared" ref="BQ6:BQ12" si="59">BO6/BN6</f>
        <v>0.26642909406978826</v>
      </c>
      <c r="BR6" s="501">
        <f t="shared" ref="BR6:BR12" si="60">BP6/BN6</f>
        <v>5.5239726301701042E-2</v>
      </c>
      <c r="BS6" s="523">
        <v>265</v>
      </c>
      <c r="BT6" s="520">
        <v>23377894.670000002</v>
      </c>
      <c r="BU6" s="520">
        <v>5486648.6699999999</v>
      </c>
      <c r="BV6" s="520">
        <v>-433925.125</v>
      </c>
      <c r="BW6" s="500">
        <f t="shared" ref="BW6:BW12" si="61">BU6/BT6</f>
        <v>0.23469387416826784</v>
      </c>
      <c r="BX6" s="501">
        <f t="shared" ref="BX6:BX12" si="62">BV6/BT6</f>
        <v>-1.8561343145960883E-2</v>
      </c>
      <c r="BY6" s="522">
        <v>232</v>
      </c>
      <c r="BZ6" s="520">
        <v>20488752</v>
      </c>
      <c r="CA6" s="520">
        <v>3234575</v>
      </c>
      <c r="CB6" s="520">
        <v>-2993932.9700000007</v>
      </c>
      <c r="CC6" s="500">
        <f t="shared" ref="CC6:CC12" si="63">CA6/BZ6</f>
        <v>0.15787076733614619</v>
      </c>
      <c r="CD6" s="501">
        <f t="shared" ref="CD6:CD12" si="64">CB6/BZ6</f>
        <v>-0.14612568740155576</v>
      </c>
      <c r="CE6" s="521">
        <v>307</v>
      </c>
      <c r="CF6" s="520">
        <f t="shared" ref="CF6:CH12" si="65">BZ6+BT6+BN6</f>
        <v>68248423.340000004</v>
      </c>
      <c r="CG6" s="520">
        <f t="shared" si="65"/>
        <v>15217238.34</v>
      </c>
      <c r="CH6" s="520">
        <f t="shared" si="65"/>
        <v>-2081015.4250000007</v>
      </c>
      <c r="CI6" s="500">
        <f t="shared" ref="CI6:CI12" si="66">CG6/CF6</f>
        <v>0.22296834996745288</v>
      </c>
      <c r="CJ6" s="501">
        <f t="shared" ref="CJ6:CJ12" si="67">CH6/CF6</f>
        <v>-3.0491772896097509E-2</v>
      </c>
      <c r="CK6" s="523">
        <v>232</v>
      </c>
      <c r="CL6" s="494">
        <f t="shared" si="0"/>
        <v>392656486.38000005</v>
      </c>
      <c r="CM6" s="494">
        <f t="shared" si="0"/>
        <v>93078372.379999995</v>
      </c>
      <c r="CN6" s="494">
        <f t="shared" si="0"/>
        <v>15361247.684025643</v>
      </c>
      <c r="CO6" s="494">
        <f>CN6-(CN6*25.68%)</f>
        <v>11416479.278767858</v>
      </c>
      <c r="CP6" s="500">
        <f t="shared" ref="CP6:CP12" si="68">CM6/CL6</f>
        <v>0.23704784107379243</v>
      </c>
      <c r="CQ6" s="500">
        <f t="shared" ref="CQ6:CQ12" si="69">CN6/CL6</f>
        <v>3.9121339432451226E-2</v>
      </c>
      <c r="CR6" s="533">
        <v>0</v>
      </c>
      <c r="CS6" s="516">
        <f t="shared" ref="CS6:CV12" si="70">CK6-C6</f>
        <v>-249</v>
      </c>
      <c r="CT6" s="517">
        <f t="shared" si="70"/>
        <v>-187456729.61999995</v>
      </c>
      <c r="CU6" s="517">
        <f t="shared" si="70"/>
        <v>-64570877.620000005</v>
      </c>
      <c r="CV6" s="517">
        <f t="shared" si="70"/>
        <v>-36418727.315974355</v>
      </c>
      <c r="CW6" s="518">
        <f t="shared" ref="CW6:CZ11" si="71">CS6/C6</f>
        <v>-0.51767151767151764</v>
      </c>
      <c r="CX6" s="500">
        <f t="shared" si="71"/>
        <v>-0.32313818139250933</v>
      </c>
      <c r="CY6" s="500">
        <f t="shared" si="71"/>
        <v>-0.40958569495256086</v>
      </c>
      <c r="CZ6" s="501">
        <f t="shared" si="71"/>
        <v>-0.70333613169906617</v>
      </c>
      <c r="DA6" s="524"/>
      <c r="DB6" s="522">
        <f>1350-DB7</f>
        <v>231</v>
      </c>
      <c r="DC6" s="520">
        <f>50886011-DC7</f>
        <v>20586203</v>
      </c>
      <c r="DD6" s="520">
        <f>7519545-DD7</f>
        <v>4183843</v>
      </c>
      <c r="DE6" s="520">
        <f>365266-DE7</f>
        <v>186983</v>
      </c>
      <c r="DF6" s="500">
        <f t="shared" ref="DF6:DF15" si="72">DD6/DC6</f>
        <v>0.20323529307468696</v>
      </c>
      <c r="DG6" s="501">
        <f t="shared" ref="DG6:DG15" si="73">DE6/DC6</f>
        <v>9.0829280173716342E-3</v>
      </c>
      <c r="DH6" s="522">
        <v>226</v>
      </c>
      <c r="DI6" s="520">
        <f>51416026-DI7</f>
        <v>22361834</v>
      </c>
      <c r="DJ6" s="520">
        <f>8726867-DJ7</f>
        <v>5960974</v>
      </c>
      <c r="DK6" s="520">
        <v>-530918.32000000007</v>
      </c>
      <c r="DL6" s="500">
        <f t="shared" ref="DL6:DL15" si="74">DJ6/DI6</f>
        <v>0.26656910162198683</v>
      </c>
      <c r="DM6" s="501">
        <f t="shared" ref="DM6:DM15" si="75">DK6/DI6</f>
        <v>-2.3742163545261988E-2</v>
      </c>
      <c r="DN6" s="521">
        <f>1314-DN7</f>
        <v>205</v>
      </c>
      <c r="DO6" s="520">
        <f>47774312-DO7</f>
        <v>19169439</v>
      </c>
      <c r="DP6" s="520">
        <f>6321299-DP7</f>
        <v>3788597</v>
      </c>
      <c r="DQ6" s="520">
        <f>-35581-DQ7</f>
        <v>148728.59999999998</v>
      </c>
      <c r="DR6" s="500">
        <f>DP6/DO6</f>
        <v>0.19763734348198714</v>
      </c>
      <c r="DS6" s="501">
        <f>DQ6/DO6</f>
        <v>7.7586308081316292E-3</v>
      </c>
      <c r="DT6" s="521">
        <f>1314-DT7</f>
        <v>276</v>
      </c>
      <c r="DU6" s="520">
        <f t="shared" ref="DU6:DW12" si="76">DO6+DI6+DC6</f>
        <v>62117476</v>
      </c>
      <c r="DV6" s="520">
        <f t="shared" si="76"/>
        <v>13933414</v>
      </c>
      <c r="DW6" s="520">
        <f t="shared" si="76"/>
        <v>-195206.72000000009</v>
      </c>
      <c r="DX6" s="500">
        <f>DV6/DU6</f>
        <v>0.22430747186186381</v>
      </c>
      <c r="DY6" s="501">
        <f>DW6/DU6</f>
        <v>-3.142541078133955E-3</v>
      </c>
      <c r="DZ6" s="525">
        <f t="shared" ref="DZ6:EC12" si="77">DT6-CE6</f>
        <v>-31</v>
      </c>
      <c r="EA6" s="517">
        <f t="shared" si="77"/>
        <v>-6130947.3400000036</v>
      </c>
      <c r="EB6" s="517">
        <f t="shared" si="77"/>
        <v>-1283824.3399999999</v>
      </c>
      <c r="EC6" s="517">
        <f t="shared" si="77"/>
        <v>1885808.7050000005</v>
      </c>
      <c r="ED6" s="500">
        <f t="shared" ref="ED6:EG12" si="78">DZ6/CE6</f>
        <v>-0.10097719869706841</v>
      </c>
      <c r="EE6" s="500">
        <f t="shared" si="78"/>
        <v>-8.983280550609718E-2</v>
      </c>
      <c r="EF6" s="500">
        <f t="shared" si="78"/>
        <v>-8.4366447532423935E-2</v>
      </c>
      <c r="EG6" s="501">
        <f t="shared" si="78"/>
        <v>-0.90619640889975617</v>
      </c>
      <c r="EH6" s="412">
        <f>1296-EH7</f>
        <v>203</v>
      </c>
      <c r="EI6" s="399">
        <f>49753440-EI7</f>
        <v>20878669</v>
      </c>
      <c r="EJ6" s="399">
        <f>8770309-EJ7</f>
        <v>5814186</v>
      </c>
      <c r="EK6" s="399">
        <f>1212719-EK7</f>
        <v>859560</v>
      </c>
      <c r="EL6" s="500">
        <f>EJ6/EI6</f>
        <v>0.27847493535148243</v>
      </c>
      <c r="EM6" s="501">
        <f>EK6/EI6</f>
        <v>4.1169291011797733E-2</v>
      </c>
      <c r="EN6" s="412">
        <f>1298-EN7</f>
        <v>200</v>
      </c>
      <c r="EO6" s="399">
        <f>50207292-EO7</f>
        <v>19765707</v>
      </c>
      <c r="EP6" s="399">
        <f>8424420-EP7</f>
        <v>4849479</v>
      </c>
      <c r="EQ6" s="399">
        <f>1148014-EQ7</f>
        <v>610719.56041666679</v>
      </c>
      <c r="ER6" s="500">
        <f>EP6/EO6</f>
        <v>0.24534811732259312</v>
      </c>
      <c r="ES6" s="501">
        <f>EQ6/EO6</f>
        <v>3.0897936533040116E-2</v>
      </c>
      <c r="ET6" s="519">
        <f>1266-ET7</f>
        <v>202</v>
      </c>
      <c r="EU6" s="506">
        <f>47321403-EU7</f>
        <v>17711275</v>
      </c>
      <c r="EV6" s="506">
        <f>7026687-EV7</f>
        <v>3676751</v>
      </c>
      <c r="EW6" s="506">
        <f>-1604103-EW7</f>
        <v>-1061427.23</v>
      </c>
      <c r="EX6" s="507">
        <f>EV6/EU6</f>
        <v>0.20759380676998127</v>
      </c>
      <c r="EY6" s="508">
        <f>EW6/EU6</f>
        <v>-5.9929464705392468E-2</v>
      </c>
      <c r="EZ6" s="1668">
        <v>274</v>
      </c>
      <c r="FA6" s="1669">
        <f t="shared" ref="FA6:FC12" si="79">EU6+EO6+EI6</f>
        <v>58355651</v>
      </c>
      <c r="FB6" s="1669">
        <f t="shared" si="79"/>
        <v>14340416</v>
      </c>
      <c r="FC6" s="1669">
        <f t="shared" si="79"/>
        <v>408852.33041666681</v>
      </c>
      <c r="FD6" s="507">
        <f>FB6/FA6</f>
        <v>0.24574168489697767</v>
      </c>
      <c r="FE6" s="508">
        <f>FC6/FA6</f>
        <v>7.006216594459152E-3</v>
      </c>
      <c r="FF6" s="525">
        <f t="shared" ref="FF6:FH12" si="80">EZ6-DT6</f>
        <v>-2</v>
      </c>
      <c r="FG6" s="517">
        <f t="shared" si="80"/>
        <v>-3761825</v>
      </c>
      <c r="FH6" s="517">
        <f t="shared" si="80"/>
        <v>407002</v>
      </c>
      <c r="FI6" s="500">
        <f t="shared" ref="FI6:FI12" si="81">FF6/DT6</f>
        <v>-7.246376811594203E-3</v>
      </c>
      <c r="FJ6" s="500">
        <f t="shared" ref="FJ6:FK15" si="82">FG6/DU6</f>
        <v>-6.0559849534131106E-2</v>
      </c>
      <c r="FK6" s="501">
        <f t="shared" si="82"/>
        <v>2.9210500743033975E-2</v>
      </c>
      <c r="FL6" s="519">
        <v>193</v>
      </c>
      <c r="FM6" s="506">
        <f>46964334-FM7</f>
        <v>17418106</v>
      </c>
      <c r="FN6" s="506">
        <f>7238162-FN7</f>
        <v>3786897</v>
      </c>
      <c r="FO6" s="506">
        <v>-130913.27250000034</v>
      </c>
      <c r="FP6" s="507">
        <f>FN6/FM6</f>
        <v>0.21741152568482475</v>
      </c>
      <c r="FQ6" s="508">
        <f>FO6/FM6</f>
        <v>-7.5159304059810141E-3</v>
      </c>
      <c r="FR6" s="519">
        <f>1233-FR7</f>
        <v>186</v>
      </c>
      <c r="FS6" s="506">
        <f>46746785-FS7</f>
        <v>17672451</v>
      </c>
      <c r="FT6" s="506">
        <f>7147440-FT7</f>
        <v>3734069</v>
      </c>
      <c r="FU6" s="506">
        <v>-531608.92000000004</v>
      </c>
      <c r="FV6" s="507">
        <f t="shared" si="1"/>
        <v>0.21129321563828357</v>
      </c>
      <c r="FW6" s="508">
        <f t="shared" si="2"/>
        <v>-3.0081221897290875E-2</v>
      </c>
      <c r="FX6" s="519">
        <v>195</v>
      </c>
      <c r="FY6" s="506">
        <v>17532084.710000001</v>
      </c>
      <c r="FZ6" s="506">
        <v>3498369.71</v>
      </c>
      <c r="GA6" s="506">
        <v>-1299010.29</v>
      </c>
      <c r="GB6" s="507">
        <f t="shared" si="3"/>
        <v>0.19954099970807179</v>
      </c>
      <c r="GC6" s="508">
        <f t="shared" si="4"/>
        <v>-7.4093315854164607E-2</v>
      </c>
      <c r="GD6" s="1453">
        <v>195</v>
      </c>
      <c r="GE6" s="1452">
        <f t="shared" ref="GE6:GE12" si="83">FY6+FS6+FM6</f>
        <v>52622641.710000001</v>
      </c>
      <c r="GF6" s="1452">
        <f t="shared" ref="GF6:GF12" si="84">FZ6+FT6+FN6</f>
        <v>11019335.710000001</v>
      </c>
      <c r="GG6" s="1452">
        <f t="shared" ref="GG6:GG12" si="85">GA6+FU6+FO6</f>
        <v>-1961532.4825000004</v>
      </c>
      <c r="GH6" s="507">
        <f>GF6/GE6</f>
        <v>0.20940293668126456</v>
      </c>
      <c r="GI6" s="507">
        <f>GG6/GE6</f>
        <v>-3.7275446818308362E-2</v>
      </c>
      <c r="GJ6" s="525">
        <f t="shared" ref="GJ6:GJ12" si="86">GD6-EZ6</f>
        <v>-79</v>
      </c>
      <c r="GK6" s="512">
        <f t="shared" ref="GK6:GK12" si="87">GE6-FA6</f>
        <v>-5733009.2899999991</v>
      </c>
      <c r="GL6" s="512">
        <f t="shared" ref="GL6:GL12" si="88">GF6-FB6</f>
        <v>-3321080.2899999991</v>
      </c>
      <c r="GM6" s="512">
        <f>GG6+FC6</f>
        <v>-1552680.1520833336</v>
      </c>
      <c r="GN6" s="513">
        <f t="shared" ref="GN6:GN15" si="89">GJ6/FF6</f>
        <v>39.5</v>
      </c>
      <c r="GO6" s="513">
        <f t="shared" ref="GO6:GO15" si="90">GK6/FG6</f>
        <v>1.5239968074006629</v>
      </c>
      <c r="GP6" s="513">
        <f t="shared" ref="GP6:GP15" si="91">GL6/FH6</f>
        <v>-8.1598623348288193</v>
      </c>
      <c r="GQ6" s="514">
        <f t="shared" ref="GQ6:GQ15" si="92">GG6/FC6</f>
        <v>-4.7976551350483359</v>
      </c>
      <c r="GR6" s="519">
        <v>187</v>
      </c>
      <c r="GS6" s="506">
        <v>19185112</v>
      </c>
      <c r="GT6" s="506">
        <v>4741111</v>
      </c>
      <c r="GU6" s="506">
        <v>277512</v>
      </c>
      <c r="GV6" s="507">
        <f t="shared" si="5"/>
        <v>0.24712448903086937</v>
      </c>
      <c r="GW6" s="508">
        <f t="shared" si="6"/>
        <v>1.4464966376010732E-2</v>
      </c>
      <c r="GX6" s="519">
        <v>185</v>
      </c>
      <c r="GY6" s="506">
        <v>18846121.310000002</v>
      </c>
      <c r="GZ6" s="506">
        <v>4411338.3100000005</v>
      </c>
      <c r="HA6" s="506">
        <v>-295860.69</v>
      </c>
      <c r="HB6" s="507">
        <f t="shared" si="7"/>
        <v>0.23407141647015112</v>
      </c>
      <c r="HC6" s="508">
        <f t="shared" si="8"/>
        <v>-1.5698757592259176E-2</v>
      </c>
      <c r="HD6" s="519">
        <v>180</v>
      </c>
      <c r="HE6" s="506">
        <v>18188690.309999999</v>
      </c>
      <c r="HF6" s="506">
        <v>4577209.3099999996</v>
      </c>
      <c r="HG6" s="506">
        <v>-2647610.2699999996</v>
      </c>
      <c r="HH6" s="507">
        <f t="shared" si="9"/>
        <v>0.25165139611418236</v>
      </c>
      <c r="HI6" s="508">
        <f t="shared" si="10"/>
        <v>-0.14556354662569435</v>
      </c>
      <c r="HJ6" s="1453">
        <v>180</v>
      </c>
      <c r="HK6" s="1452">
        <f t="shared" ref="HK6:HK12" si="93">HE6+GY6+GS6</f>
        <v>56219923.620000005</v>
      </c>
      <c r="HL6" s="1452">
        <f t="shared" ref="HL6:HL12" si="94">HF6+GZ6+GT6</f>
        <v>13729658.620000001</v>
      </c>
      <c r="HM6" s="1452">
        <f t="shared" ref="HM6:HM12" si="95">HG6+HA6+GU6</f>
        <v>-2665958.9599999995</v>
      </c>
      <c r="HN6" s="507">
        <f t="shared" ref="HN6:HN12" si="96">HL6/HK6</f>
        <v>0.24421339866630007</v>
      </c>
      <c r="HO6" s="507">
        <f t="shared" ref="HO6:HO12" si="97">HM6/HL6</f>
        <v>-0.1941751819026655</v>
      </c>
      <c r="HP6" s="519">
        <v>180</v>
      </c>
      <c r="HQ6" s="506">
        <f>HE6+GY6+GS6+FY6+FS6+FM6+EU6+EO6+EI6+DO6+DI6+DC6+10414251</f>
        <v>239729943.33000001</v>
      </c>
      <c r="HR6" s="506">
        <f>HF6+GZ6+GT6+FZ6+FT6+FN6+EV6+EP6+EJ6+DP6+DJ6+DD6+3178521</f>
        <v>56201345.329999998</v>
      </c>
      <c r="HS6" s="506">
        <v>-1334520.8320833333</v>
      </c>
      <c r="HT6" s="507">
        <f t="shared" si="11"/>
        <v>0.23443606814120876</v>
      </c>
      <c r="HU6" s="508">
        <f t="shared" si="12"/>
        <v>-5.5667673947859741E-3</v>
      </c>
      <c r="HV6" s="1647"/>
      <c r="HW6" s="522">
        <v>185</v>
      </c>
      <c r="HX6" s="520">
        <v>18038097.670000002</v>
      </c>
      <c r="HY6" s="520">
        <v>4619186.9924999997</v>
      </c>
      <c r="HZ6" s="4263">
        <v>-80002.507499999774</v>
      </c>
      <c r="IA6" s="500">
        <f t="shared" si="13"/>
        <v>0.25607949779440348</v>
      </c>
      <c r="IB6" s="501">
        <f>HZ6/HX6</f>
        <v>-4.4351964915377781E-3</v>
      </c>
      <c r="IC6" s="522">
        <v>187</v>
      </c>
      <c r="ID6" s="520">
        <v>18287616</v>
      </c>
      <c r="IE6" s="520">
        <v>4142768.6724999999</v>
      </c>
      <c r="IF6" s="4263">
        <v>-55520.327500000189</v>
      </c>
      <c r="IG6" s="500">
        <f t="shared" si="14"/>
        <v>0.22653410223071174</v>
      </c>
      <c r="IH6" s="501">
        <f t="shared" si="15"/>
        <v>-3.0359521711304628E-3</v>
      </c>
      <c r="II6" s="522">
        <v>210</v>
      </c>
      <c r="IJ6" s="520">
        <v>20043521</v>
      </c>
      <c r="IK6" s="520">
        <v>4406095.4124999996</v>
      </c>
      <c r="IL6" s="4263">
        <v>-83795.587499999907</v>
      </c>
      <c r="IM6" s="500">
        <f t="shared" si="16"/>
        <v>0.21982641734952654</v>
      </c>
      <c r="IN6" s="501">
        <f t="shared" si="17"/>
        <v>-4.1806820019296967E-3</v>
      </c>
      <c r="IO6" s="521">
        <v>210</v>
      </c>
      <c r="IP6" s="520">
        <f t="shared" si="18"/>
        <v>56369234.670000002</v>
      </c>
      <c r="IQ6" s="520">
        <f t="shared" si="19"/>
        <v>13168051.077499999</v>
      </c>
      <c r="IR6" s="520">
        <f t="shared" si="20"/>
        <v>-219318.42249999987</v>
      </c>
      <c r="IS6" s="500">
        <f t="shared" si="21"/>
        <v>0.23360351004566865</v>
      </c>
      <c r="IT6" s="501">
        <f t="shared" si="22"/>
        <v>-3.8907468548038007E-3</v>
      </c>
      <c r="IU6" s="502">
        <f t="shared" si="23"/>
        <v>30</v>
      </c>
      <c r="IV6" s="517">
        <f t="shared" si="23"/>
        <v>149311.04999999702</v>
      </c>
      <c r="IW6" s="517">
        <f t="shared" si="23"/>
        <v>-561607.54250000231</v>
      </c>
      <c r="IX6" s="517">
        <f t="shared" si="23"/>
        <v>2446640.5374999996</v>
      </c>
      <c r="IY6" s="487">
        <f t="shared" ref="IY6:IY15" si="98">IU6/HJ6</f>
        <v>0.16666666666666666</v>
      </c>
      <c r="IZ6" s="487">
        <f t="shared" ref="IZ6:IZ15" si="99">IV6/HK6</f>
        <v>2.6558387202589551E-3</v>
      </c>
      <c r="JA6" s="487">
        <f t="shared" ref="JA6:JA15" si="100">IW6/HL6</f>
        <v>-4.0904698218927914E-2</v>
      </c>
      <c r="JB6" s="488">
        <f t="shared" ref="JB6:JB15" si="101">IX6/HM6</f>
        <v>-0.91773375892478104</v>
      </c>
      <c r="JC6" s="412">
        <v>222</v>
      </c>
      <c r="JD6" s="399">
        <v>23043388</v>
      </c>
      <c r="JE6" s="399">
        <v>6397699.5624999991</v>
      </c>
      <c r="JF6" s="399"/>
      <c r="JG6" s="500">
        <f t="shared" si="24"/>
        <v>0.27763710624930671</v>
      </c>
      <c r="JH6" s="501">
        <f t="shared" si="25"/>
        <v>0</v>
      </c>
      <c r="JI6" s="412">
        <v>226</v>
      </c>
      <c r="JJ6" s="399">
        <v>21406026</v>
      </c>
      <c r="JK6" s="399">
        <v>4890228.5724999998</v>
      </c>
      <c r="JL6" s="6454"/>
      <c r="JM6" s="500">
        <f t="shared" si="26"/>
        <v>0.22845102460867794</v>
      </c>
      <c r="JN6" s="501">
        <f t="shared" si="27"/>
        <v>0</v>
      </c>
      <c r="JO6" s="519">
        <v>252</v>
      </c>
      <c r="JP6" s="506">
        <v>25756090</v>
      </c>
      <c r="JQ6" s="506">
        <v>5973846.9224999985</v>
      </c>
      <c r="JR6" s="506"/>
      <c r="JS6" s="507">
        <f t="shared" si="28"/>
        <v>0.23193920049588265</v>
      </c>
      <c r="JT6" s="508">
        <f t="shared" si="29"/>
        <v>0</v>
      </c>
      <c r="JU6" s="1668">
        <v>251</v>
      </c>
      <c r="JV6" s="1669">
        <f t="shared" si="30"/>
        <v>70205504</v>
      </c>
      <c r="JW6" s="1669">
        <f t="shared" si="30"/>
        <v>17261775.057499997</v>
      </c>
      <c r="JX6" s="1669">
        <f t="shared" si="30"/>
        <v>0</v>
      </c>
      <c r="JY6" s="507">
        <f t="shared" si="31"/>
        <v>0.24587495387113803</v>
      </c>
      <c r="JZ6" s="508">
        <f t="shared" si="32"/>
        <v>0</v>
      </c>
      <c r="KA6" s="525">
        <f t="shared" si="33"/>
        <v>41</v>
      </c>
      <c r="KB6" s="517">
        <f t="shared" si="33"/>
        <v>13836269.329999998</v>
      </c>
      <c r="KC6" s="517">
        <f t="shared" si="33"/>
        <v>4093723.9799999986</v>
      </c>
      <c r="KD6" s="500">
        <f t="shared" ref="KD6:KD12" si="102">KA6/IO6</f>
        <v>0.19523809523809524</v>
      </c>
      <c r="KE6" s="500">
        <f t="shared" ref="KE6:KE15" si="103">KB6/IP6</f>
        <v>0.24545781774404207</v>
      </c>
      <c r="KF6" s="501">
        <f t="shared" ref="KF6:KF15" si="104">KC6/IQ6</f>
        <v>0.3108830574780248</v>
      </c>
      <c r="KG6" s="519">
        <v>256</v>
      </c>
      <c r="KH6" s="506">
        <v>25661511.18</v>
      </c>
      <c r="KI6" s="506">
        <f>'MoM -Report'!AF11</f>
        <v>6107109.0824999996</v>
      </c>
      <c r="KJ6" s="506">
        <f>'MoM -Report'!AF13</f>
        <v>1328804.0825000003</v>
      </c>
      <c r="KK6" s="507">
        <f t="shared" si="34"/>
        <v>0.23798711773684403</v>
      </c>
      <c r="KL6" s="508">
        <f t="shared" si="35"/>
        <v>5.1781988721523155E-2</v>
      </c>
      <c r="KM6" s="519">
        <v>257</v>
      </c>
      <c r="KN6" s="506">
        <v>25187260</v>
      </c>
      <c r="KO6" s="506">
        <v>5383589.2374999998</v>
      </c>
      <c r="KP6" s="506">
        <v>567135.23750000005</v>
      </c>
      <c r="KQ6" s="507">
        <f t="shared" si="36"/>
        <v>0.21374255228635428</v>
      </c>
      <c r="KR6" s="508">
        <f t="shared" si="37"/>
        <v>2.2516750035533838E-2</v>
      </c>
      <c r="KS6" s="519">
        <v>247</v>
      </c>
      <c r="KT6" s="506">
        <v>27096262.530000001</v>
      </c>
      <c r="KU6" s="506">
        <v>7363175.6425000001</v>
      </c>
      <c r="KV6" s="506">
        <v>2779542.6425000001</v>
      </c>
      <c r="KW6" s="507">
        <f t="shared" si="38"/>
        <v>0.2717413751932673</v>
      </c>
      <c r="KX6" s="508">
        <f t="shared" si="39"/>
        <v>0.10258029643101484</v>
      </c>
      <c r="KY6" s="1453">
        <v>195</v>
      </c>
      <c r="KZ6" s="1452">
        <f t="shared" si="40"/>
        <v>77945033.710000008</v>
      </c>
      <c r="LA6" s="1452">
        <f t="shared" si="40"/>
        <v>18853873.962499999</v>
      </c>
      <c r="LB6" s="1452">
        <f t="shared" si="40"/>
        <v>4675481.9625000004</v>
      </c>
      <c r="LC6" s="507">
        <f t="shared" si="41"/>
        <v>0.24188678951178808</v>
      </c>
      <c r="LD6" s="507">
        <f t="shared" si="42"/>
        <v>5.998434717336143E-2</v>
      </c>
      <c r="LE6" s="525"/>
      <c r="LF6" s="512">
        <f t="shared" ref="LF6:LG9" si="105">KZ6-JV6</f>
        <v>7739529.7100000083</v>
      </c>
      <c r="LG6" s="512">
        <f t="shared" si="105"/>
        <v>1592098.9050000012</v>
      </c>
      <c r="LH6" s="512">
        <f>LB6+JX6</f>
        <v>4675481.9625000004</v>
      </c>
      <c r="LI6" s="513">
        <f t="shared" si="43"/>
        <v>0</v>
      </c>
      <c r="LJ6" s="513">
        <f t="shared" si="43"/>
        <v>0.55936535531431497</v>
      </c>
      <c r="LK6" s="513">
        <f t="shared" si="43"/>
        <v>0.38891212812056802</v>
      </c>
      <c r="LL6" s="514" t="e">
        <f>LB6/JX6</f>
        <v>#DIV/0!</v>
      </c>
      <c r="LM6" s="519">
        <v>246</v>
      </c>
      <c r="LN6" s="506">
        <v>26134211.739999998</v>
      </c>
      <c r="LO6" s="506">
        <v>6790597.9325000001</v>
      </c>
      <c r="LP6" s="506">
        <v>2083038.9324999999</v>
      </c>
      <c r="LQ6" s="507">
        <f t="shared" si="44"/>
        <v>0.25983557491831971</v>
      </c>
      <c r="LR6" s="508">
        <f t="shared" si="45"/>
        <v>7.9705443317878322E-2</v>
      </c>
      <c r="LS6" s="519"/>
      <c r="LT6" s="506"/>
      <c r="LU6" s="506"/>
      <c r="LV6" s="506"/>
      <c r="LW6" s="507" t="e">
        <f t="shared" si="46"/>
        <v>#DIV/0!</v>
      </c>
      <c r="LX6" s="508" t="e">
        <f t="shared" si="47"/>
        <v>#DIV/0!</v>
      </c>
      <c r="LY6" s="519"/>
      <c r="LZ6" s="506"/>
      <c r="MA6" s="506"/>
      <c r="MB6" s="506"/>
      <c r="MC6" s="507" t="e">
        <f t="shared" si="48"/>
        <v>#DIV/0!</v>
      </c>
      <c r="MD6" s="508" t="e">
        <f t="shared" si="49"/>
        <v>#DIV/0!</v>
      </c>
      <c r="ME6" s="519"/>
      <c r="MF6" s="505">
        <f t="shared" si="50"/>
        <v>230653984.12</v>
      </c>
      <c r="MG6" s="505">
        <f t="shared" si="50"/>
        <v>56074298.030000001</v>
      </c>
      <c r="MH6" s="505">
        <f t="shared" si="50"/>
        <v>6539202.4725000011</v>
      </c>
      <c r="MI6" s="507">
        <f t="shared" si="51"/>
        <v>0.24311003446975707</v>
      </c>
      <c r="MJ6" s="508">
        <f t="shared" si="52"/>
        <v>2.8350702449162622E-2</v>
      </c>
      <c r="ML6" s="1647"/>
    </row>
    <row r="7" spans="1:350" s="242" customFormat="1" ht="21.5" customHeight="1" x14ac:dyDescent="0.25">
      <c r="A7" s="1664" t="s">
        <v>339</v>
      </c>
      <c r="B7" s="1674" t="s">
        <v>1027</v>
      </c>
      <c r="C7" s="484">
        <v>1240</v>
      </c>
      <c r="D7" s="485">
        <v>358657675</v>
      </c>
      <c r="E7" s="485">
        <v>44605463</v>
      </c>
      <c r="F7" s="486">
        <v>17932883</v>
      </c>
      <c r="G7" s="486">
        <v>13419535</v>
      </c>
      <c r="H7" s="487">
        <f>E7/D7</f>
        <v>0.12436779165537165</v>
      </c>
      <c r="I7" s="487">
        <f>F7/D7</f>
        <v>4.9999997908869512E-2</v>
      </c>
      <c r="J7" s="488">
        <f>G7/D7</f>
        <v>3.7415998416874811E-2</v>
      </c>
      <c r="K7" s="489">
        <v>1377</v>
      </c>
      <c r="L7" s="485">
        <v>36018809.049999997</v>
      </c>
      <c r="M7" s="485">
        <v>5144591.05</v>
      </c>
      <c r="N7" s="490">
        <v>317141</v>
      </c>
      <c r="O7" s="487">
        <f>M7/L7</f>
        <v>0.14283068168240839</v>
      </c>
      <c r="P7" s="488">
        <f>N7/L7</f>
        <v>8.804871909000556E-3</v>
      </c>
      <c r="Q7" s="484">
        <v>1349</v>
      </c>
      <c r="R7" s="485">
        <v>35459617</v>
      </c>
      <c r="S7" s="485">
        <v>3628636</v>
      </c>
      <c r="T7" s="490">
        <v>468791</v>
      </c>
      <c r="U7" s="487">
        <f>S7/R7</f>
        <v>0.10233150572382099</v>
      </c>
      <c r="V7" s="488">
        <f>T7/R7</f>
        <v>1.3220419160195666E-2</v>
      </c>
      <c r="W7" s="484">
        <v>1356</v>
      </c>
      <c r="X7" s="485">
        <v>36989469</v>
      </c>
      <c r="Y7" s="485">
        <v>4535029</v>
      </c>
      <c r="Z7" s="490">
        <v>492635</v>
      </c>
      <c r="AA7" s="487">
        <f>Y7/X7</f>
        <v>0.1226032468862962</v>
      </c>
      <c r="AB7" s="488">
        <f>Z7/X7</f>
        <v>1.3318250121406177E-2</v>
      </c>
      <c r="AC7" s="484">
        <v>1415</v>
      </c>
      <c r="AD7" s="485">
        <v>37041867</v>
      </c>
      <c r="AE7" s="485">
        <v>3712829</v>
      </c>
      <c r="AF7" s="485">
        <v>231048</v>
      </c>
      <c r="AG7" s="487">
        <f>AE7/AD7</f>
        <v>0.1002333116740579</v>
      </c>
      <c r="AH7" s="488">
        <f>AF7/AD7</f>
        <v>6.2374825761347293E-3</v>
      </c>
      <c r="AI7" s="489">
        <v>1411</v>
      </c>
      <c r="AJ7" s="485">
        <v>37127355</v>
      </c>
      <c r="AK7" s="485">
        <v>3873038</v>
      </c>
      <c r="AL7" s="485">
        <v>314315.72378205141</v>
      </c>
      <c r="AM7" s="487">
        <f>AK7/AJ7</f>
        <v>0.1043176385713445</v>
      </c>
      <c r="AN7" s="488">
        <f>AL7/AJ7</f>
        <v>8.4658797746850374E-3</v>
      </c>
      <c r="AO7" s="491">
        <v>1429</v>
      </c>
      <c r="AP7" s="485">
        <v>37439183.799999997</v>
      </c>
      <c r="AQ7" s="485">
        <v>3818331.8</v>
      </c>
      <c r="AR7" s="485">
        <v>51990.151041667152</v>
      </c>
      <c r="AS7" s="487">
        <f>AQ7/AP7</f>
        <v>0.10198758125704653</v>
      </c>
      <c r="AT7" s="488">
        <f>AR7/AP7</f>
        <v>1.388656102104105E-3</v>
      </c>
      <c r="AU7" s="491">
        <v>1433</v>
      </c>
      <c r="AV7" s="485">
        <v>37398255.5</v>
      </c>
      <c r="AW7" s="485">
        <v>3415342.5</v>
      </c>
      <c r="AX7" s="485">
        <v>1361869.0970833329</v>
      </c>
      <c r="AY7" s="487">
        <f>AW7/AV7</f>
        <v>9.132357791394842E-2</v>
      </c>
      <c r="AZ7" s="488">
        <f>AX7/AV7</f>
        <v>3.6415310791256907E-2</v>
      </c>
      <c r="BA7" s="491">
        <v>1379</v>
      </c>
      <c r="BB7" s="485">
        <v>36174216</v>
      </c>
      <c r="BC7" s="485">
        <v>3584635</v>
      </c>
      <c r="BD7" s="485">
        <v>347428.46562500007</v>
      </c>
      <c r="BE7" s="487">
        <f>BC7/BB7</f>
        <v>9.9093647254165779E-2</v>
      </c>
      <c r="BF7" s="488">
        <f>BD7/BB7</f>
        <v>9.6043122434222236E-3</v>
      </c>
      <c r="BG7" s="491">
        <v>1316</v>
      </c>
      <c r="BH7" s="485">
        <v>34499248</v>
      </c>
      <c r="BI7" s="485">
        <v>3151453</v>
      </c>
      <c r="BJ7" s="492">
        <v>127106.93199999991</v>
      </c>
      <c r="BK7" s="487">
        <f>BI7/BH7</f>
        <v>9.1348454899654624E-2</v>
      </c>
      <c r="BL7" s="488">
        <f>BJ7/BH7</f>
        <v>3.6843392064661788E-3</v>
      </c>
      <c r="BM7" s="493">
        <v>1236</v>
      </c>
      <c r="BN7" s="485">
        <v>32396539</v>
      </c>
      <c r="BO7" s="485">
        <v>3097333</v>
      </c>
      <c r="BP7" s="485">
        <v>476767.4</v>
      </c>
      <c r="BQ7" s="487">
        <f>BO7/BN7</f>
        <v>9.5606910355454947E-2</v>
      </c>
      <c r="BR7" s="488">
        <f>BP7/BN7</f>
        <v>1.4716615253252826E-2</v>
      </c>
      <c r="BS7" s="493">
        <v>1209</v>
      </c>
      <c r="BT7" s="485">
        <v>31468209</v>
      </c>
      <c r="BU7" s="485">
        <v>2967235</v>
      </c>
      <c r="BV7" s="485">
        <v>32587.75</v>
      </c>
      <c r="BW7" s="487">
        <f>BU7/BT7</f>
        <v>9.4293100697278323E-2</v>
      </c>
      <c r="BX7" s="488">
        <f>BV7/BT7</f>
        <v>1.0355768896793587E-3</v>
      </c>
      <c r="BY7" s="491">
        <v>1162</v>
      </c>
      <c r="BZ7" s="485">
        <v>31485246</v>
      </c>
      <c r="CA7" s="485">
        <v>3763795</v>
      </c>
      <c r="CB7" s="485">
        <v>-966930</v>
      </c>
      <c r="CC7" s="487">
        <f>CA7/BZ7</f>
        <v>0.11954154653897257</v>
      </c>
      <c r="CD7" s="488">
        <f>CB7/BZ7</f>
        <v>-3.0710574724428071E-2</v>
      </c>
      <c r="CE7" s="489">
        <v>1089</v>
      </c>
      <c r="CF7" s="485">
        <f>BZ7+BT7+BN7</f>
        <v>95349994</v>
      </c>
      <c r="CG7" s="485">
        <f>CA7+BU7+BO7</f>
        <v>9828363</v>
      </c>
      <c r="CH7" s="485">
        <f>CB7+BV7+BP7</f>
        <v>-457574.85</v>
      </c>
      <c r="CI7" s="487">
        <f>CG7/CF7</f>
        <v>0.10307670286796243</v>
      </c>
      <c r="CJ7" s="488">
        <f>CH7/CF7</f>
        <v>-4.7988975227413223E-3</v>
      </c>
      <c r="CK7" s="493">
        <v>1162</v>
      </c>
      <c r="CL7" s="494">
        <f t="shared" si="0"/>
        <v>423498014.35000002</v>
      </c>
      <c r="CM7" s="494">
        <f t="shared" si="0"/>
        <v>44692248.350000001</v>
      </c>
      <c r="CN7" s="494">
        <f t="shared" si="0"/>
        <v>3254750.5195320509</v>
      </c>
      <c r="CO7" s="495">
        <f>CN7-(CN7*25.68%)</f>
        <v>2418930.5861162203</v>
      </c>
      <c r="CP7" s="487">
        <f>CM7/CL7</f>
        <v>0.10553118748052519</v>
      </c>
      <c r="CQ7" s="487">
        <f>CN7/CL7</f>
        <v>7.6853973554694439E-3</v>
      </c>
      <c r="CR7" s="488">
        <f>CO7/CL7</f>
        <v>5.7117873145848914E-3</v>
      </c>
      <c r="CS7" s="496">
        <f>CK7-C7</f>
        <v>-78</v>
      </c>
      <c r="CT7" s="3552">
        <f>CL7-D7</f>
        <v>64840339.350000024</v>
      </c>
      <c r="CU7" s="3552">
        <f>CM7-E7</f>
        <v>86785.35000000149</v>
      </c>
      <c r="CV7" s="3552">
        <f>CN7-F7</f>
        <v>-14678132.480467949</v>
      </c>
      <c r="CW7" s="497">
        <f>CS7/C7</f>
        <v>-6.2903225806451607E-2</v>
      </c>
      <c r="CX7" s="497">
        <f>CT7/D7</f>
        <v>0.18078614754305766</v>
      </c>
      <c r="CY7" s="497">
        <f>CU7/E7</f>
        <v>1.9456215486430774E-3</v>
      </c>
      <c r="CZ7" s="498">
        <f>CV7/F7</f>
        <v>-0.81850377769530691</v>
      </c>
      <c r="DA7" s="499"/>
      <c r="DB7" s="491">
        <v>1119</v>
      </c>
      <c r="DC7" s="485">
        <v>30299808</v>
      </c>
      <c r="DD7" s="485">
        <v>3335702</v>
      </c>
      <c r="DE7" s="485">
        <v>178283</v>
      </c>
      <c r="DF7" s="487">
        <f>DD7/DC7</f>
        <v>0.11008987251668394</v>
      </c>
      <c r="DG7" s="488">
        <f>DE7/DC7</f>
        <v>5.8839646772679216E-3</v>
      </c>
      <c r="DH7" s="491">
        <v>1105</v>
      </c>
      <c r="DI7" s="485">
        <v>29054192</v>
      </c>
      <c r="DJ7" s="520">
        <v>2765893</v>
      </c>
      <c r="DK7" s="520">
        <v>329226.79999999981</v>
      </c>
      <c r="DL7" s="500">
        <f>DJ7/DI7</f>
        <v>9.5197725684472656E-2</v>
      </c>
      <c r="DM7" s="501">
        <f>DK7/DI7</f>
        <v>1.1331473268986444E-2</v>
      </c>
      <c r="DN7" s="522">
        <v>1109</v>
      </c>
      <c r="DO7" s="520">
        <v>28604873</v>
      </c>
      <c r="DP7" s="520">
        <v>2532702</v>
      </c>
      <c r="DQ7" s="520">
        <v>-184309.59999999998</v>
      </c>
      <c r="DR7" s="500">
        <f>DP7/DO7</f>
        <v>8.8540927974055328E-2</v>
      </c>
      <c r="DS7" s="501">
        <f>DQ7/DO7</f>
        <v>-6.443293770260752E-3</v>
      </c>
      <c r="DT7" s="522">
        <v>1038</v>
      </c>
      <c r="DU7" s="520">
        <f>DO7+DI7+DC7</f>
        <v>87958873</v>
      </c>
      <c r="DV7" s="520">
        <f>DP7+DJ7+DD7</f>
        <v>8634297</v>
      </c>
      <c r="DW7" s="520">
        <f>DQ7+DK7+DE7</f>
        <v>323200.19999999984</v>
      </c>
      <c r="DX7" s="500">
        <f>DV7/DU7</f>
        <v>9.816288801244645E-2</v>
      </c>
      <c r="DY7" s="501">
        <f>DW7/DU7</f>
        <v>3.6744468065205865E-3</v>
      </c>
      <c r="DZ7" s="525">
        <f>DT7-CE7</f>
        <v>-51</v>
      </c>
      <c r="EA7" s="517">
        <f>DU7-CF7</f>
        <v>-7391121</v>
      </c>
      <c r="EB7" s="517">
        <f>DV7-CG7</f>
        <v>-1194066</v>
      </c>
      <c r="EC7" s="517">
        <f>DW7-CH7</f>
        <v>780775.04999999981</v>
      </c>
      <c r="ED7" s="500">
        <f>DZ7/CE7</f>
        <v>-4.6831955922865015E-2</v>
      </c>
      <c r="EE7" s="500">
        <f>EA7/CF7</f>
        <v>-7.7515694442518795E-2</v>
      </c>
      <c r="EF7" s="500">
        <f>EB7/CG7</f>
        <v>-0.1214918496600095</v>
      </c>
      <c r="EG7" s="501">
        <f>EC7/CH7</f>
        <v>-1.7063329638855804</v>
      </c>
      <c r="EH7" s="412">
        <v>1093</v>
      </c>
      <c r="EI7" s="399">
        <v>28874771</v>
      </c>
      <c r="EJ7" s="399">
        <v>2956123</v>
      </c>
      <c r="EK7" s="399">
        <v>353159</v>
      </c>
      <c r="EL7" s="500">
        <f>EJ7/EI7</f>
        <v>0.10237736604040946</v>
      </c>
      <c r="EM7" s="501">
        <f>EK7/EI7</f>
        <v>1.2230711717159592E-2</v>
      </c>
      <c r="EN7" s="412">
        <v>1098</v>
      </c>
      <c r="EO7" s="399">
        <v>30441585</v>
      </c>
      <c r="EP7" s="399">
        <v>3574941</v>
      </c>
      <c r="EQ7" s="399">
        <v>537294.43958333321</v>
      </c>
      <c r="ER7" s="500">
        <f>EP7/EO7</f>
        <v>0.1174360993358263</v>
      </c>
      <c r="ES7" s="501">
        <f>EQ7/EO7</f>
        <v>1.7650015253257451E-2</v>
      </c>
      <c r="ET7" s="519">
        <v>1064</v>
      </c>
      <c r="EU7" s="506">
        <v>29610128</v>
      </c>
      <c r="EV7" s="506">
        <v>3349936</v>
      </c>
      <c r="EW7" s="506">
        <v>-542675.77</v>
      </c>
      <c r="EX7" s="507">
        <f>EV7/EU7</f>
        <v>0.11313480306468111</v>
      </c>
      <c r="EY7" s="508">
        <f>EW7/EU7</f>
        <v>-1.832736994585096E-2</v>
      </c>
      <c r="EZ7" s="1668">
        <v>992</v>
      </c>
      <c r="FA7" s="1669">
        <f>EU7+EO7+EI7</f>
        <v>88926484</v>
      </c>
      <c r="FB7" s="1669">
        <f>EV7+EP7+EJ7</f>
        <v>9881000</v>
      </c>
      <c r="FC7" s="1669">
        <f>EW7+EQ7+EK7</f>
        <v>347777.66958333319</v>
      </c>
      <c r="FD7" s="507">
        <f>FB7/FA7</f>
        <v>0.11111425478151143</v>
      </c>
      <c r="FE7" s="508">
        <f>FC7/FA7</f>
        <v>3.9108447105963753E-3</v>
      </c>
      <c r="FF7" s="525">
        <f>EZ7-DT7</f>
        <v>-46</v>
      </c>
      <c r="FG7" s="517">
        <f>FA7-DU7</f>
        <v>967611</v>
      </c>
      <c r="FH7" s="517">
        <f>FB7-DV7</f>
        <v>1246703</v>
      </c>
      <c r="FI7" s="500">
        <f t="shared" si="81"/>
        <v>-4.4315992292870907E-2</v>
      </c>
      <c r="FJ7" s="500">
        <f>FG7/DU7</f>
        <v>1.1000720757302108E-2</v>
      </c>
      <c r="FK7" s="501">
        <f>FH7/DV7</f>
        <v>0.14438963589044945</v>
      </c>
      <c r="FL7" s="519">
        <v>1052</v>
      </c>
      <c r="FM7" s="506">
        <v>29546228</v>
      </c>
      <c r="FN7" s="506">
        <v>3451265</v>
      </c>
      <c r="FO7" s="506">
        <v>-196995</v>
      </c>
      <c r="FP7" s="507">
        <f>FN7/FM7</f>
        <v>0.11680898827423927</v>
      </c>
      <c r="FQ7" s="508">
        <f>FO7/FM7</f>
        <v>-6.667348535995864E-3</v>
      </c>
      <c r="FR7" s="519">
        <v>1047</v>
      </c>
      <c r="FS7" s="506">
        <v>29074334</v>
      </c>
      <c r="FT7" s="506">
        <v>3413371</v>
      </c>
      <c r="FU7" s="506">
        <v>-179259</v>
      </c>
      <c r="FV7" s="507">
        <f t="shared" si="1"/>
        <v>0.11740151984220859</v>
      </c>
      <c r="FW7" s="508">
        <f t="shared" si="2"/>
        <v>-6.1655410576214745E-3</v>
      </c>
      <c r="FX7" s="519">
        <v>1000</v>
      </c>
      <c r="FY7" s="506">
        <v>27866197</v>
      </c>
      <c r="FZ7" s="506">
        <v>3146720</v>
      </c>
      <c r="GA7" s="506">
        <v>-220735.625</v>
      </c>
      <c r="GB7" s="507">
        <f t="shared" si="3"/>
        <v>0.11292247736567713</v>
      </c>
      <c r="GC7" s="508">
        <f t="shared" si="4"/>
        <v>-7.9212683740088399E-3</v>
      </c>
      <c r="GD7" s="1453">
        <v>1000</v>
      </c>
      <c r="GE7" s="1452">
        <f>FY7+FS7+FM7</f>
        <v>86486759</v>
      </c>
      <c r="GF7" s="1452">
        <f>FZ7+FT7+FN7</f>
        <v>10011356</v>
      </c>
      <c r="GG7" s="1452">
        <f>GA7+FU7+FO7</f>
        <v>-596989.625</v>
      </c>
      <c r="GH7" s="507">
        <f>GF7/GE7</f>
        <v>0.11575593901027093</v>
      </c>
      <c r="GI7" s="507">
        <f>GG7/GE7</f>
        <v>-6.9026707891782606E-3</v>
      </c>
      <c r="GJ7" s="525">
        <f>GD7-EZ7</f>
        <v>8</v>
      </c>
      <c r="GK7" s="512">
        <f>GE7-FA7</f>
        <v>-2439725</v>
      </c>
      <c r="GL7" s="512">
        <f>GF7-FB7</f>
        <v>130356</v>
      </c>
      <c r="GM7" s="512">
        <f>GG7+FC7</f>
        <v>-249211.95541666681</v>
      </c>
      <c r="GN7" s="513">
        <f>GJ7/FF7</f>
        <v>-0.17391304347826086</v>
      </c>
      <c r="GO7" s="513">
        <f>GK7/FG7</f>
        <v>-2.5213903107757147</v>
      </c>
      <c r="GP7" s="513">
        <f>GL7/FH7</f>
        <v>0.10456058900957164</v>
      </c>
      <c r="GQ7" s="514">
        <f>GG7/FC7</f>
        <v>-1.7165841202951404</v>
      </c>
      <c r="GR7" s="3757">
        <v>1004</v>
      </c>
      <c r="GS7" s="506">
        <v>27724389.899999999</v>
      </c>
      <c r="GT7" s="506">
        <v>3196228.9</v>
      </c>
      <c r="GU7" s="506">
        <v>819770.9</v>
      </c>
      <c r="GV7" s="507">
        <f t="shared" si="5"/>
        <v>0.11528581554106625</v>
      </c>
      <c r="GW7" s="508">
        <f t="shared" si="6"/>
        <v>2.956858213857395E-2</v>
      </c>
      <c r="GX7" s="3757">
        <v>982</v>
      </c>
      <c r="GY7" s="506">
        <v>27562424</v>
      </c>
      <c r="GZ7" s="506">
        <v>2879478</v>
      </c>
      <c r="HA7" s="506">
        <v>184705.44999999995</v>
      </c>
      <c r="HB7" s="507">
        <f t="shared" si="7"/>
        <v>0.10447114520841853</v>
      </c>
      <c r="HC7" s="508">
        <f t="shared" si="8"/>
        <v>6.701349997373234E-3</v>
      </c>
      <c r="HD7" s="1503">
        <v>1002</v>
      </c>
      <c r="HE7" s="505">
        <v>27504037</v>
      </c>
      <c r="HF7" s="505">
        <v>2674275</v>
      </c>
      <c r="HG7" s="506">
        <v>-1844377.3460000001</v>
      </c>
      <c r="HH7" s="507">
        <f t="shared" si="9"/>
        <v>9.7232089965556698E-2</v>
      </c>
      <c r="HI7" s="508">
        <f t="shared" si="10"/>
        <v>-6.7058422950783556E-2</v>
      </c>
      <c r="HJ7" s="3686">
        <v>1002</v>
      </c>
      <c r="HK7" s="1452">
        <f t="shared" si="93"/>
        <v>82790850.900000006</v>
      </c>
      <c r="HL7" s="1452">
        <f t="shared" si="94"/>
        <v>8749981.9000000004</v>
      </c>
      <c r="HM7" s="1452">
        <f t="shared" si="95"/>
        <v>-839900.99600000016</v>
      </c>
      <c r="HN7" s="507">
        <f t="shared" si="96"/>
        <v>0.1056877880210312</v>
      </c>
      <c r="HO7" s="507">
        <f t="shared" si="97"/>
        <v>-9.5988883817005391E-2</v>
      </c>
      <c r="HP7" s="1503">
        <v>1002</v>
      </c>
      <c r="HQ7" s="505">
        <f>HE7+GY7+GS7+FY7+FS7+FM7+EU7+EO7+EI7+DO7+DI7+DC7+6492964</f>
        <v>352655930.89999998</v>
      </c>
      <c r="HR7" s="505">
        <f>HF7+GZ7+GT7+FZ7+FT7+FN7+EV7+EP7+EJ7+DP7+DJ7+DD7+1329008</f>
        <v>38605642.899999999</v>
      </c>
      <c r="HS7" s="505">
        <v>563095.24858333287</v>
      </c>
      <c r="HT7" s="507">
        <f t="shared" si="11"/>
        <v>0.10947112898817832</v>
      </c>
      <c r="HU7" s="508">
        <f t="shared" si="12"/>
        <v>1.5967270056859064E-3</v>
      </c>
      <c r="HV7" s="1647"/>
      <c r="HW7" s="491">
        <v>998</v>
      </c>
      <c r="HX7" s="485">
        <v>28204234</v>
      </c>
      <c r="HY7" s="485">
        <v>2912656.335</v>
      </c>
      <c r="HZ7" s="4264">
        <v>-409454.66499999969</v>
      </c>
      <c r="IA7" s="487">
        <f t="shared" si="13"/>
        <v>0.10327018046297588</v>
      </c>
      <c r="IB7" s="488">
        <f>HZ7/HX7</f>
        <v>-1.4517489289019503E-2</v>
      </c>
      <c r="IC7" s="491">
        <v>990</v>
      </c>
      <c r="ID7" s="485">
        <v>28705367</v>
      </c>
      <c r="IE7" s="485">
        <v>3086494.4660000005</v>
      </c>
      <c r="IF7" s="485">
        <v>76388.016000000061</v>
      </c>
      <c r="IG7" s="487">
        <f t="shared" si="14"/>
        <v>0.10752325396153271</v>
      </c>
      <c r="IH7" s="488">
        <f t="shared" si="15"/>
        <v>2.661105708908026E-3</v>
      </c>
      <c r="II7" s="491">
        <v>1031</v>
      </c>
      <c r="IJ7" s="485">
        <v>30481347</v>
      </c>
      <c r="IK7" s="485">
        <v>4005112.3860000004</v>
      </c>
      <c r="IL7" s="485">
        <v>991528.38600000017</v>
      </c>
      <c r="IM7" s="500">
        <f t="shared" si="16"/>
        <v>0.13139551824924273</v>
      </c>
      <c r="IN7" s="501">
        <f t="shared" si="17"/>
        <v>3.2529021306046617E-2</v>
      </c>
      <c r="IO7" s="491">
        <v>1031</v>
      </c>
      <c r="IP7" s="485">
        <f t="shared" si="18"/>
        <v>87390948</v>
      </c>
      <c r="IQ7" s="485">
        <f t="shared" si="19"/>
        <v>10004263.187000001</v>
      </c>
      <c r="IR7" s="485">
        <f t="shared" si="20"/>
        <v>658461.73700000055</v>
      </c>
      <c r="IS7" s="500">
        <f t="shared" si="21"/>
        <v>0.1144771102265649</v>
      </c>
      <c r="IT7" s="501">
        <f t="shared" si="22"/>
        <v>7.5346675149925201E-3</v>
      </c>
      <c r="IU7" s="502">
        <f t="shared" si="23"/>
        <v>29</v>
      </c>
      <c r="IV7" s="517">
        <f t="shared" si="23"/>
        <v>4600097.099999994</v>
      </c>
      <c r="IW7" s="517">
        <f t="shared" si="23"/>
        <v>1254281.2870000005</v>
      </c>
      <c r="IX7" s="517">
        <f t="shared" si="23"/>
        <v>1498362.7330000007</v>
      </c>
      <c r="IY7" s="487">
        <f t="shared" si="98"/>
        <v>2.8942115768463075E-2</v>
      </c>
      <c r="IZ7" s="487">
        <f t="shared" si="99"/>
        <v>5.5562867756441835E-2</v>
      </c>
      <c r="JA7" s="487">
        <f t="shared" si="100"/>
        <v>0.1433467293229487</v>
      </c>
      <c r="JB7" s="488">
        <f t="shared" si="101"/>
        <v>-1.78397542107451</v>
      </c>
      <c r="JC7" s="412">
        <v>1040</v>
      </c>
      <c r="JD7" s="399">
        <v>30709659</v>
      </c>
      <c r="JE7" s="399">
        <v>4162808.1544999992</v>
      </c>
      <c r="JF7" s="399">
        <v>591767.15449999983</v>
      </c>
      <c r="JG7" s="500">
        <f t="shared" si="24"/>
        <v>0.13555370818347412</v>
      </c>
      <c r="JH7" s="501">
        <f t="shared" si="25"/>
        <v>1.926974032827912E-2</v>
      </c>
      <c r="JI7" s="412">
        <v>1058</v>
      </c>
      <c r="JJ7" s="399">
        <v>30937493</v>
      </c>
      <c r="JK7" s="399">
        <v>4162574.7070000004</v>
      </c>
      <c r="JL7" s="399"/>
      <c r="JM7" s="500">
        <f t="shared" si="26"/>
        <v>0.13454789976033288</v>
      </c>
      <c r="JN7" s="501">
        <f t="shared" si="27"/>
        <v>0</v>
      </c>
      <c r="JO7" s="519">
        <v>1086</v>
      </c>
      <c r="JP7" s="506">
        <v>32330561</v>
      </c>
      <c r="JQ7" s="506">
        <v>4474111.5974999992</v>
      </c>
      <c r="JR7" s="506"/>
      <c r="JS7" s="507">
        <f t="shared" si="28"/>
        <v>0.13838645105787056</v>
      </c>
      <c r="JT7" s="508">
        <f t="shared" si="29"/>
        <v>0</v>
      </c>
      <c r="JU7" s="1668">
        <v>1078</v>
      </c>
      <c r="JV7" s="1669">
        <f t="shared" si="30"/>
        <v>93977713</v>
      </c>
      <c r="JW7" s="1669">
        <f t="shared" si="30"/>
        <v>12799494.458999999</v>
      </c>
      <c r="JX7" s="1669">
        <f t="shared" si="30"/>
        <v>591767.15449999983</v>
      </c>
      <c r="JY7" s="507">
        <f t="shared" si="31"/>
        <v>0.13619712642932691</v>
      </c>
      <c r="JZ7" s="508">
        <f t="shared" si="32"/>
        <v>6.2968882260414213E-3</v>
      </c>
      <c r="KA7" s="525">
        <f t="shared" si="33"/>
        <v>47</v>
      </c>
      <c r="KB7" s="517">
        <f t="shared" si="33"/>
        <v>6586765</v>
      </c>
      <c r="KC7" s="503">
        <f t="shared" si="33"/>
        <v>2795231.271999998</v>
      </c>
      <c r="KD7" s="487">
        <f t="shared" si="102"/>
        <v>4.5586808923375362E-2</v>
      </c>
      <c r="KE7" s="487">
        <f t="shared" si="103"/>
        <v>7.5371250120779096E-2</v>
      </c>
      <c r="KF7" s="488">
        <f t="shared" si="104"/>
        <v>0.27940401204481002</v>
      </c>
      <c r="KG7" s="504">
        <v>1053</v>
      </c>
      <c r="KH7" s="505">
        <v>33135419</v>
      </c>
      <c r="KI7" s="505">
        <v>4271212.0865000002</v>
      </c>
      <c r="KJ7" s="506"/>
      <c r="KK7" s="507">
        <f t="shared" si="34"/>
        <v>0.12890170745992377</v>
      </c>
      <c r="KL7" s="508">
        <f t="shared" si="35"/>
        <v>0</v>
      </c>
      <c r="KM7" s="504">
        <v>1070</v>
      </c>
      <c r="KN7" s="505">
        <v>33883094</v>
      </c>
      <c r="KO7" s="505">
        <v>5077319.0019999994</v>
      </c>
      <c r="KP7" s="506">
        <v>577190.00199999963</v>
      </c>
      <c r="KQ7" s="507">
        <f t="shared" si="36"/>
        <v>0.14984815147046487</v>
      </c>
      <c r="KR7" s="508">
        <f t="shared" si="37"/>
        <v>1.7034749010819368E-2</v>
      </c>
      <c r="KS7" s="504">
        <v>1108</v>
      </c>
      <c r="KT7" s="505">
        <v>34175697.678064518</v>
      </c>
      <c r="KU7" s="505">
        <v>5480086.8005645182</v>
      </c>
      <c r="KV7" s="506">
        <v>1953195.800564518</v>
      </c>
      <c r="KW7" s="507">
        <f t="shared" si="38"/>
        <v>0.16035040022260852</v>
      </c>
      <c r="KX7" s="508">
        <f t="shared" si="39"/>
        <v>5.7151599916515118E-2</v>
      </c>
      <c r="KY7" s="1453">
        <v>1000</v>
      </c>
      <c r="KZ7" s="1452">
        <f t="shared" si="40"/>
        <v>101194210.67806453</v>
      </c>
      <c r="LA7" s="1452">
        <f t="shared" si="40"/>
        <v>14828617.889064517</v>
      </c>
      <c r="LB7" s="1452">
        <f t="shared" si="40"/>
        <v>2530385.8025645176</v>
      </c>
      <c r="LC7" s="507">
        <f t="shared" si="41"/>
        <v>0.14653622761325474</v>
      </c>
      <c r="LD7" s="507">
        <f t="shared" si="42"/>
        <v>2.5005242746688271E-2</v>
      </c>
      <c r="LE7" s="525"/>
      <c r="LF7" s="512">
        <f t="shared" si="105"/>
        <v>7216497.6780645251</v>
      </c>
      <c r="LG7" s="512">
        <f t="shared" si="105"/>
        <v>2029123.430064518</v>
      </c>
      <c r="LH7" s="512">
        <f>LB7+JX7</f>
        <v>3122152.9570645173</v>
      </c>
      <c r="LI7" s="513">
        <f t="shared" si="43"/>
        <v>0</v>
      </c>
      <c r="LJ7" s="513">
        <f t="shared" si="43"/>
        <v>1.0956057606525396</v>
      </c>
      <c r="LK7" s="513">
        <f t="shared" si="43"/>
        <v>0.72592327167714921</v>
      </c>
      <c r="LL7" s="514">
        <f>LB7/JX7</f>
        <v>4.2759821719110267</v>
      </c>
      <c r="LM7" s="1503">
        <v>1025</v>
      </c>
      <c r="LN7" s="505">
        <v>30581840.420000002</v>
      </c>
      <c r="LO7" s="505">
        <v>5347126.4820000008</v>
      </c>
      <c r="LP7" s="506">
        <v>2450890.4819999998</v>
      </c>
      <c r="LQ7" s="507">
        <f t="shared" si="44"/>
        <v>0.17484645817794117</v>
      </c>
      <c r="LR7" s="508">
        <f t="shared" si="45"/>
        <v>8.0142020504336928E-2</v>
      </c>
      <c r="LS7" s="1503"/>
      <c r="LT7" s="505"/>
      <c r="LU7" s="505"/>
      <c r="LV7" s="506"/>
      <c r="LW7" s="507" t="e">
        <f t="shared" si="46"/>
        <v>#DIV/0!</v>
      </c>
      <c r="LX7" s="508" t="e">
        <f t="shared" si="47"/>
        <v>#DIV/0!</v>
      </c>
      <c r="LY7" s="1503"/>
      <c r="LZ7" s="505"/>
      <c r="MA7" s="505"/>
      <c r="MB7" s="506"/>
      <c r="MC7" s="507" t="e">
        <f t="shared" si="48"/>
        <v>#DIV/0!</v>
      </c>
      <c r="MD7" s="508" t="e">
        <f t="shared" si="49"/>
        <v>#DIV/0!</v>
      </c>
      <c r="ME7" s="1503"/>
      <c r="MF7" s="505">
        <f t="shared" si="50"/>
        <v>313144712.09806454</v>
      </c>
      <c r="MG7" s="505">
        <f t="shared" si="50"/>
        <v>42979502.017064519</v>
      </c>
      <c r="MH7" s="505">
        <f t="shared" si="50"/>
        <v>6231505.1760645173</v>
      </c>
      <c r="MI7" s="507">
        <f t="shared" si="51"/>
        <v>0.13725124632985991</v>
      </c>
      <c r="MJ7" s="508">
        <f t="shared" si="52"/>
        <v>1.9899761788450883E-2</v>
      </c>
      <c r="ML7" s="1647"/>
    </row>
    <row r="8" spans="1:350" s="242" customFormat="1" ht="21.5" customHeight="1" x14ac:dyDescent="0.25">
      <c r="A8" s="1664" t="s">
        <v>1049</v>
      </c>
      <c r="B8" s="1674" t="s">
        <v>1050</v>
      </c>
      <c r="C8" s="484"/>
      <c r="D8" s="485"/>
      <c r="E8" s="485"/>
      <c r="F8" s="486"/>
      <c r="G8" s="486"/>
      <c r="H8" s="487"/>
      <c r="I8" s="487"/>
      <c r="J8" s="488"/>
      <c r="K8" s="489"/>
      <c r="L8" s="485"/>
      <c r="M8" s="485"/>
      <c r="N8" s="490"/>
      <c r="O8" s="487"/>
      <c r="P8" s="488"/>
      <c r="Q8" s="484"/>
      <c r="R8" s="485"/>
      <c r="S8" s="485"/>
      <c r="T8" s="490"/>
      <c r="U8" s="487"/>
      <c r="V8" s="488"/>
      <c r="W8" s="484"/>
      <c r="X8" s="485"/>
      <c r="Y8" s="485"/>
      <c r="Z8" s="490"/>
      <c r="AA8" s="487"/>
      <c r="AB8" s="488"/>
      <c r="AC8" s="484"/>
      <c r="AD8" s="485"/>
      <c r="AE8" s="485"/>
      <c r="AF8" s="485"/>
      <c r="AG8" s="487"/>
      <c r="AH8" s="488"/>
      <c r="AI8" s="489"/>
      <c r="AJ8" s="485"/>
      <c r="AK8" s="485"/>
      <c r="AL8" s="485"/>
      <c r="AM8" s="487"/>
      <c r="AN8" s="488"/>
      <c r="AO8" s="491"/>
      <c r="AP8" s="485"/>
      <c r="AQ8" s="485"/>
      <c r="AR8" s="485"/>
      <c r="AS8" s="487"/>
      <c r="AT8" s="488"/>
      <c r="AU8" s="491"/>
      <c r="AV8" s="485"/>
      <c r="AW8" s="485"/>
      <c r="AX8" s="485"/>
      <c r="AY8" s="487"/>
      <c r="AZ8" s="488"/>
      <c r="BA8" s="491"/>
      <c r="BB8" s="485"/>
      <c r="BC8" s="485"/>
      <c r="BD8" s="485"/>
      <c r="BE8" s="487"/>
      <c r="BF8" s="488"/>
      <c r="BG8" s="491"/>
      <c r="BH8" s="485"/>
      <c r="BI8" s="485"/>
      <c r="BJ8" s="492"/>
      <c r="BK8" s="487"/>
      <c r="BL8" s="488"/>
      <c r="BM8" s="493"/>
      <c r="BN8" s="485"/>
      <c r="BO8" s="485"/>
      <c r="BP8" s="485"/>
      <c r="BQ8" s="487"/>
      <c r="BR8" s="488"/>
      <c r="BS8" s="493"/>
      <c r="BT8" s="485"/>
      <c r="BU8" s="485"/>
      <c r="BV8" s="485"/>
      <c r="BW8" s="487"/>
      <c r="BX8" s="488"/>
      <c r="BY8" s="491"/>
      <c r="BZ8" s="485"/>
      <c r="CA8" s="485"/>
      <c r="CB8" s="485"/>
      <c r="CC8" s="487"/>
      <c r="CD8" s="488"/>
      <c r="CE8" s="489"/>
      <c r="CF8" s="485"/>
      <c r="CG8" s="485"/>
      <c r="CH8" s="485"/>
      <c r="CI8" s="487"/>
      <c r="CJ8" s="488"/>
      <c r="CK8" s="493"/>
      <c r="CL8" s="494"/>
      <c r="CM8" s="494"/>
      <c r="CN8" s="494"/>
      <c r="CO8" s="495"/>
      <c r="CP8" s="487"/>
      <c r="CQ8" s="487"/>
      <c r="CR8" s="488"/>
      <c r="CS8" s="496"/>
      <c r="CT8" s="3552"/>
      <c r="CU8" s="3552"/>
      <c r="CV8" s="3552"/>
      <c r="CW8" s="497"/>
      <c r="CX8" s="497"/>
      <c r="CY8" s="497"/>
      <c r="CZ8" s="498"/>
      <c r="DA8" s="499"/>
      <c r="DB8" s="491"/>
      <c r="DC8" s="485"/>
      <c r="DD8" s="485"/>
      <c r="DE8" s="485"/>
      <c r="DF8" s="487"/>
      <c r="DG8" s="488"/>
      <c r="DH8" s="491"/>
      <c r="DI8" s="485"/>
      <c r="DJ8" s="520"/>
      <c r="DK8" s="520"/>
      <c r="DL8" s="500"/>
      <c r="DM8" s="501"/>
      <c r="DN8" s="522"/>
      <c r="DO8" s="520"/>
      <c r="DP8" s="520"/>
      <c r="DQ8" s="520"/>
      <c r="DR8" s="500"/>
      <c r="DS8" s="501"/>
      <c r="DT8" s="522"/>
      <c r="DU8" s="485"/>
      <c r="DV8" s="485"/>
      <c r="DW8" s="485"/>
      <c r="DX8" s="500"/>
      <c r="DY8" s="501"/>
      <c r="DZ8" s="502"/>
      <c r="EA8" s="503"/>
      <c r="EB8" s="503"/>
      <c r="EC8" s="503"/>
      <c r="ED8" s="487"/>
      <c r="EE8" s="487"/>
      <c r="EF8" s="487"/>
      <c r="EG8" s="488"/>
      <c r="EH8" s="412"/>
      <c r="EI8" s="399"/>
      <c r="EJ8" s="399"/>
      <c r="EK8" s="399"/>
      <c r="EL8" s="500"/>
      <c r="EM8" s="501"/>
      <c r="EN8" s="412"/>
      <c r="EO8" s="399"/>
      <c r="EP8" s="399"/>
      <c r="EQ8" s="399"/>
      <c r="ER8" s="500"/>
      <c r="ES8" s="501"/>
      <c r="ET8" s="519"/>
      <c r="EU8" s="506"/>
      <c r="EV8" s="506"/>
      <c r="EW8" s="506"/>
      <c r="EX8" s="507"/>
      <c r="EY8" s="508"/>
      <c r="EZ8" s="509"/>
      <c r="FA8" s="510"/>
      <c r="FB8" s="510"/>
      <c r="FC8" s="510"/>
      <c r="FD8" s="507"/>
      <c r="FE8" s="508"/>
      <c r="FF8" s="502"/>
      <c r="FG8" s="503"/>
      <c r="FH8" s="503"/>
      <c r="FI8" s="487"/>
      <c r="FJ8" s="487"/>
      <c r="FK8" s="488"/>
      <c r="FL8" s="519"/>
      <c r="FM8" s="506"/>
      <c r="FN8" s="506"/>
      <c r="FO8" s="506"/>
      <c r="FP8" s="507"/>
      <c r="FQ8" s="508"/>
      <c r="FR8" s="519"/>
      <c r="FS8" s="506"/>
      <c r="FT8" s="506"/>
      <c r="FU8" s="506"/>
      <c r="FV8" s="507"/>
      <c r="FW8" s="508"/>
      <c r="FX8" s="519"/>
      <c r="FY8" s="506"/>
      <c r="FZ8" s="506"/>
      <c r="GA8" s="506"/>
      <c r="GB8" s="507"/>
      <c r="GC8" s="508"/>
      <c r="GD8" s="1453"/>
      <c r="GE8" s="1452"/>
      <c r="GF8" s="1452"/>
      <c r="GG8" s="1452"/>
      <c r="GH8" s="507"/>
      <c r="GI8" s="507"/>
      <c r="GJ8" s="525"/>
      <c r="GK8" s="512"/>
      <c r="GL8" s="512"/>
      <c r="GM8" s="512"/>
      <c r="GN8" s="513"/>
      <c r="GO8" s="513"/>
      <c r="GP8" s="513"/>
      <c r="GQ8" s="514"/>
      <c r="GR8" s="3757"/>
      <c r="GS8" s="506"/>
      <c r="GT8" s="506"/>
      <c r="GU8" s="506"/>
      <c r="GV8" s="507"/>
      <c r="GW8" s="508"/>
      <c r="GX8" s="3757"/>
      <c r="GY8" s="506"/>
      <c r="GZ8" s="506"/>
      <c r="HA8" s="506"/>
      <c r="HB8" s="507"/>
      <c r="HC8" s="508"/>
      <c r="HD8" s="1503"/>
      <c r="HE8" s="505"/>
      <c r="HF8" s="505"/>
      <c r="HG8" s="506"/>
      <c r="HH8" s="507"/>
      <c r="HI8" s="508"/>
      <c r="HJ8" s="3686"/>
      <c r="HK8" s="1452"/>
      <c r="HL8" s="1452"/>
      <c r="HM8" s="1452"/>
      <c r="HN8" s="507"/>
      <c r="HO8" s="507"/>
      <c r="HP8" s="1503"/>
      <c r="HQ8" s="505"/>
      <c r="HR8" s="505"/>
      <c r="HS8" s="505"/>
      <c r="HT8" s="507"/>
      <c r="HU8" s="508"/>
      <c r="HV8" s="1647"/>
      <c r="HW8" s="491"/>
      <c r="HX8" s="485"/>
      <c r="HY8" s="485"/>
      <c r="HZ8" s="4264"/>
      <c r="IA8" s="487"/>
      <c r="IB8" s="488"/>
      <c r="IC8" s="491"/>
      <c r="ID8" s="485"/>
      <c r="IE8" s="485"/>
      <c r="IF8" s="485"/>
      <c r="IG8" s="487"/>
      <c r="IH8" s="488"/>
      <c r="II8" s="491"/>
      <c r="IJ8" s="485"/>
      <c r="IK8" s="485"/>
      <c r="IL8" s="485"/>
      <c r="IM8" s="500"/>
      <c r="IN8" s="501"/>
      <c r="IO8" s="491"/>
      <c r="IP8" s="485"/>
      <c r="IQ8" s="485"/>
      <c r="IR8" s="485"/>
      <c r="IS8" s="500"/>
      <c r="IT8" s="501"/>
      <c r="IU8" s="502"/>
      <c r="IV8" s="517"/>
      <c r="IW8" s="517"/>
      <c r="IX8" s="517"/>
      <c r="IY8" s="487"/>
      <c r="IZ8" s="487"/>
      <c r="JA8" s="487"/>
      <c r="JB8" s="488"/>
      <c r="JC8" s="412"/>
      <c r="JD8" s="399"/>
      <c r="JE8" s="399"/>
      <c r="JF8" s="399"/>
      <c r="JG8" s="500"/>
      <c r="JH8" s="501"/>
      <c r="JI8" s="412"/>
      <c r="JJ8" s="399"/>
      <c r="JK8" s="399"/>
      <c r="JL8" s="399"/>
      <c r="JM8" s="500"/>
      <c r="JN8" s="501"/>
      <c r="JO8" s="519"/>
      <c r="JP8" s="506"/>
      <c r="JQ8" s="506"/>
      <c r="JR8" s="506"/>
      <c r="JS8" s="507"/>
      <c r="JT8" s="508"/>
      <c r="JU8" s="509"/>
      <c r="JV8" s="510"/>
      <c r="JW8" s="510"/>
      <c r="JX8" s="510"/>
      <c r="JY8" s="507"/>
      <c r="JZ8" s="508"/>
      <c r="KA8" s="502"/>
      <c r="KB8" s="503"/>
      <c r="KC8" s="503"/>
      <c r="KD8" s="487"/>
      <c r="KE8" s="487"/>
      <c r="KF8" s="488"/>
      <c r="KG8" s="504"/>
      <c r="KH8" s="505"/>
      <c r="KI8" s="505"/>
      <c r="KJ8" s="506"/>
      <c r="KK8" s="507"/>
      <c r="KL8" s="508"/>
      <c r="KM8" s="3673">
        <v>0</v>
      </c>
      <c r="KN8" s="505">
        <v>0</v>
      </c>
      <c r="KO8" s="505">
        <v>0</v>
      </c>
      <c r="KP8" s="506">
        <v>0</v>
      </c>
      <c r="KQ8" s="507"/>
      <c r="KR8" s="508"/>
      <c r="KS8" s="3673">
        <v>0</v>
      </c>
      <c r="KT8" s="505">
        <v>0</v>
      </c>
      <c r="KU8" s="505">
        <v>0</v>
      </c>
      <c r="KV8" s="506">
        <v>-454474</v>
      </c>
      <c r="KW8" s="536">
        <v>0</v>
      </c>
      <c r="KX8" s="537">
        <v>0</v>
      </c>
      <c r="KY8" s="1453"/>
      <c r="KZ8" s="1452">
        <f t="shared" ref="KZ8" si="106">KT8+KN8+KH8</f>
        <v>0</v>
      </c>
      <c r="LA8" s="1452">
        <f t="shared" ref="LA8" si="107">KU8+KO8+KI8</f>
        <v>0</v>
      </c>
      <c r="LB8" s="1452">
        <f t="shared" ref="LB8" si="108">KV8+KP8+KJ8</f>
        <v>-454474</v>
      </c>
      <c r="LC8" s="507"/>
      <c r="LD8" s="507"/>
      <c r="LE8" s="525"/>
      <c r="LF8" s="512"/>
      <c r="LG8" s="512"/>
      <c r="LH8" s="512"/>
      <c r="LI8" s="513"/>
      <c r="LJ8" s="513"/>
      <c r="LK8" s="513"/>
      <c r="LL8" s="514"/>
      <c r="LM8" s="1503"/>
      <c r="LN8" s="505">
        <v>0</v>
      </c>
      <c r="LO8" s="505">
        <v>0</v>
      </c>
      <c r="LP8" s="506">
        <v>-1062454.3999999999</v>
      </c>
      <c r="LQ8" s="536">
        <v>0</v>
      </c>
      <c r="LR8" s="537">
        <v>0</v>
      </c>
      <c r="LS8" s="1503"/>
      <c r="LT8" s="505"/>
      <c r="LU8" s="505"/>
      <c r="LV8" s="506"/>
      <c r="LW8" s="507"/>
      <c r="LX8" s="508"/>
      <c r="LY8" s="1503"/>
      <c r="LZ8" s="505"/>
      <c r="MA8" s="505"/>
      <c r="MB8" s="506"/>
      <c r="MC8" s="507"/>
      <c r="MD8" s="508"/>
      <c r="ME8" s="1503"/>
      <c r="MF8" s="505">
        <f t="shared" ref="MF8" si="109">LZ8+LT8+LN8+KT8+KN8+KH8+JP8+JJ8+JD8+IJ8+ID8+HX8</f>
        <v>0</v>
      </c>
      <c r="MG8" s="505">
        <f t="shared" ref="MG8" si="110">MA8+LU8+LO8+KU8+KO8+KI8+JQ8+JK8+JE8+IK8+IE8+HY8</f>
        <v>0</v>
      </c>
      <c r="MH8" s="505">
        <f t="shared" ref="MH8" si="111">MB8+LV8+LP8+KV8+KP8+KJ8+JR8+JL8+JF8+IL8+IF8+HZ8</f>
        <v>-1516928.4</v>
      </c>
      <c r="MI8" s="507"/>
      <c r="MJ8" s="508"/>
      <c r="ML8" s="1647"/>
    </row>
    <row r="9" spans="1:350" s="242" customFormat="1" ht="21.5" customHeight="1" x14ac:dyDescent="0.25">
      <c r="A9" s="1663" t="s">
        <v>177</v>
      </c>
      <c r="B9" s="1673" t="s">
        <v>372</v>
      </c>
      <c r="C9" s="377">
        <v>272</v>
      </c>
      <c r="D9" s="520">
        <v>148787933.83633333</v>
      </c>
      <c r="E9" s="520">
        <v>36679957.968376338</v>
      </c>
      <c r="F9" s="520">
        <v>17276827.018376336</v>
      </c>
      <c r="G9" s="520">
        <v>11127982.441230964</v>
      </c>
      <c r="H9" s="500">
        <f>E9/D9</f>
        <v>0.24652508454566133</v>
      </c>
      <c r="I9" s="500">
        <f>F9/D9</f>
        <v>0.11611712437233544</v>
      </c>
      <c r="J9" s="501">
        <f>G9/D9</f>
        <v>7.4790893013352414E-2</v>
      </c>
      <c r="K9" s="521">
        <v>296</v>
      </c>
      <c r="L9" s="520">
        <v>12731252.25</v>
      </c>
      <c r="M9" s="520">
        <v>2787604.25</v>
      </c>
      <c r="N9" s="520">
        <v>953178.35000000009</v>
      </c>
      <c r="O9" s="500">
        <f>M9/L9</f>
        <v>0.21895758526031875</v>
      </c>
      <c r="P9" s="501">
        <f>N9/L9</f>
        <v>7.4869174789934753E-2</v>
      </c>
      <c r="Q9" s="521">
        <v>307</v>
      </c>
      <c r="R9" s="520">
        <v>14478753.629999999</v>
      </c>
      <c r="S9" s="520">
        <v>2851587.5332258022</v>
      </c>
      <c r="T9" s="520">
        <v>943169.93322580215</v>
      </c>
      <c r="U9" s="500">
        <f>S9/R9</f>
        <v>0.19694979320024542</v>
      </c>
      <c r="V9" s="501">
        <f>T9/R9</f>
        <v>6.5141652197987038E-2</v>
      </c>
      <c r="W9" s="377">
        <v>310</v>
      </c>
      <c r="X9" s="520">
        <v>12968288.59</v>
      </c>
      <c r="Y9" s="520">
        <v>2560876.9233333333</v>
      </c>
      <c r="Z9" s="520">
        <v>568618.77333333343</v>
      </c>
      <c r="AA9" s="500">
        <f>Y9/X9</f>
        <v>0.19747223433229699</v>
      </c>
      <c r="AB9" s="501">
        <f>Z9/X9</f>
        <v>4.3846863014122162E-2</v>
      </c>
      <c r="AC9" s="521">
        <v>298</v>
      </c>
      <c r="AD9" s="520">
        <v>13552861.24548387</v>
      </c>
      <c r="AE9" s="520">
        <v>2732576.6970967744</v>
      </c>
      <c r="AF9" s="520">
        <v>579259.54709677445</v>
      </c>
      <c r="AG9" s="500">
        <f>AE9/AD9</f>
        <v>0.20162360165882556</v>
      </c>
      <c r="AH9" s="501">
        <f>AF9/AD9</f>
        <v>4.2740756848654173E-2</v>
      </c>
      <c r="AI9" s="521">
        <v>302</v>
      </c>
      <c r="AJ9" s="520">
        <v>14016445.273333333</v>
      </c>
      <c r="AK9" s="520">
        <v>2690428.2733333334</v>
      </c>
      <c r="AL9" s="520">
        <v>748032.97333333339</v>
      </c>
      <c r="AM9" s="500">
        <f>AK9/AJ9</f>
        <v>0.1919479740310438</v>
      </c>
      <c r="AN9" s="501">
        <f>AL9/AJ9</f>
        <v>5.3368237006317598E-2</v>
      </c>
      <c r="AO9" s="522">
        <v>314</v>
      </c>
      <c r="AP9" s="520">
        <v>15530521.723333333</v>
      </c>
      <c r="AQ9" s="520">
        <v>3299104.7233333336</v>
      </c>
      <c r="AR9" s="520">
        <v>1085097.1233333338</v>
      </c>
      <c r="AS9" s="500">
        <f>AQ9/AP9</f>
        <v>0.21242716646001014</v>
      </c>
      <c r="AT9" s="501">
        <f>AR9/AP9</f>
        <v>6.9868684559583366E-2</v>
      </c>
      <c r="AU9" s="522">
        <v>309</v>
      </c>
      <c r="AV9" s="520">
        <v>14657606.67</v>
      </c>
      <c r="AW9" s="520">
        <v>3794647.67</v>
      </c>
      <c r="AX9" s="520">
        <v>1815147.5699999998</v>
      </c>
      <c r="AY9" s="500">
        <f t="shared" si="53"/>
        <v>0.25888589832107972</v>
      </c>
      <c r="AZ9" s="501">
        <f t="shared" si="54"/>
        <v>0.12383655878248505</v>
      </c>
      <c r="BA9" s="522">
        <v>305</v>
      </c>
      <c r="BB9" s="520">
        <v>15326644.67</v>
      </c>
      <c r="BC9" s="520">
        <v>3991442.67</v>
      </c>
      <c r="BD9" s="520">
        <v>1998219.17</v>
      </c>
      <c r="BE9" s="500">
        <f t="shared" si="55"/>
        <v>0.26042508037083634</v>
      </c>
      <c r="BF9" s="501">
        <f t="shared" si="56"/>
        <v>0.13037551355981164</v>
      </c>
      <c r="BG9" s="522">
        <v>314</v>
      </c>
      <c r="BH9" s="520">
        <v>14415571.24</v>
      </c>
      <c r="BI9" s="520">
        <v>3190927.4980645161</v>
      </c>
      <c r="BJ9" s="520">
        <v>1267070.4980645161</v>
      </c>
      <c r="BK9" s="500">
        <f t="shared" si="57"/>
        <v>0.22135283055661387</v>
      </c>
      <c r="BL9" s="501">
        <f t="shared" si="58"/>
        <v>8.789596173259355E-2</v>
      </c>
      <c r="BM9" s="523">
        <v>317</v>
      </c>
      <c r="BN9" s="520">
        <v>15111316.66</v>
      </c>
      <c r="BO9" s="520">
        <v>3525274.66</v>
      </c>
      <c r="BP9" s="520">
        <v>1561161.86</v>
      </c>
      <c r="BQ9" s="500">
        <f t="shared" si="59"/>
        <v>0.23328706156568624</v>
      </c>
      <c r="BR9" s="501">
        <f t="shared" si="60"/>
        <v>0.10331077662692564</v>
      </c>
      <c r="BS9" s="523">
        <v>324</v>
      </c>
      <c r="BT9" s="520">
        <v>15445971.23</v>
      </c>
      <c r="BU9" s="520">
        <v>3725748.6585714286</v>
      </c>
      <c r="BV9" s="520">
        <v>1745632.8585714288</v>
      </c>
      <c r="BW9" s="500">
        <f t="shared" si="61"/>
        <v>0.24121167928469775</v>
      </c>
      <c r="BX9" s="501">
        <f t="shared" si="62"/>
        <v>0.11301541564320451</v>
      </c>
      <c r="BY9" s="522">
        <v>327</v>
      </c>
      <c r="BZ9" s="520">
        <v>16452343.960000001</v>
      </c>
      <c r="CA9" s="520">
        <v>4164810.6696774177</v>
      </c>
      <c r="CB9" s="520">
        <v>2226561.4696774175</v>
      </c>
      <c r="CC9" s="500">
        <f t="shared" si="63"/>
        <v>0.25314390945163645</v>
      </c>
      <c r="CD9" s="501">
        <f t="shared" si="64"/>
        <v>0.13533399709432148</v>
      </c>
      <c r="CE9" s="521">
        <v>327</v>
      </c>
      <c r="CF9" s="485">
        <f t="shared" si="65"/>
        <v>47009631.850000001</v>
      </c>
      <c r="CG9" s="485">
        <f t="shared" si="65"/>
        <v>11415833.988248847</v>
      </c>
      <c r="CH9" s="485">
        <f t="shared" si="65"/>
        <v>5533356.1882488467</v>
      </c>
      <c r="CI9" s="487">
        <f t="shared" si="66"/>
        <v>0.24284031886645902</v>
      </c>
      <c r="CJ9" s="488">
        <f t="shared" si="67"/>
        <v>0.11770686071111715</v>
      </c>
      <c r="CK9" s="523">
        <v>327</v>
      </c>
      <c r="CL9" s="494">
        <v>174856126.14215055</v>
      </c>
      <c r="CM9" s="494">
        <v>39359727.226635933</v>
      </c>
      <c r="CN9" s="494">
        <v>15535847.126635935</v>
      </c>
      <c r="CO9" s="494">
        <v>9645164.8991778716</v>
      </c>
      <c r="CP9" s="500">
        <f t="shared" si="68"/>
        <v>0.22509778807885839</v>
      </c>
      <c r="CQ9" s="500">
        <f t="shared" si="69"/>
        <v>8.8849315545318414E-2</v>
      </c>
      <c r="CR9" s="501">
        <f>CO9/CL9</f>
        <v>5.5160577510088293E-2</v>
      </c>
      <c r="CS9" s="525">
        <f t="shared" si="70"/>
        <v>55</v>
      </c>
      <c r="CT9" s="517">
        <f t="shared" si="70"/>
        <v>26068192.305817217</v>
      </c>
      <c r="CU9" s="517">
        <f t="shared" si="70"/>
        <v>2679769.2582595944</v>
      </c>
      <c r="CV9" s="526">
        <f t="shared" si="70"/>
        <v>-1740979.8917404003</v>
      </c>
      <c r="CW9" s="500">
        <f t="shared" si="71"/>
        <v>0.20220588235294118</v>
      </c>
      <c r="CX9" s="500">
        <f t="shared" si="71"/>
        <v>0.17520367165318806</v>
      </c>
      <c r="CY9" s="500">
        <f t="shared" si="71"/>
        <v>7.3058133288210425E-2</v>
      </c>
      <c r="CZ9" s="527">
        <f t="shared" si="71"/>
        <v>-0.10076965462978957</v>
      </c>
      <c r="DA9" s="524"/>
      <c r="DB9" s="522">
        <v>340</v>
      </c>
      <c r="DC9" s="520">
        <v>17001824.740000002</v>
      </c>
      <c r="DD9" s="520">
        <v>3987939.94</v>
      </c>
      <c r="DE9" s="520">
        <v>1915128.94</v>
      </c>
      <c r="DF9" s="500">
        <f t="shared" si="72"/>
        <v>0.23455952528540178</v>
      </c>
      <c r="DG9" s="501">
        <f t="shared" si="73"/>
        <v>0.11264255274284163</v>
      </c>
      <c r="DH9" s="522">
        <v>420</v>
      </c>
      <c r="DI9" s="520">
        <v>18254611.404959999</v>
      </c>
      <c r="DJ9" s="520">
        <v>2152031.40496</v>
      </c>
      <c r="DK9" s="520">
        <v>106609.40495999996</v>
      </c>
      <c r="DL9" s="500">
        <f t="shared" si="74"/>
        <v>0.11788974069178307</v>
      </c>
      <c r="DM9" s="501">
        <f t="shared" si="75"/>
        <v>5.840135546847789E-3</v>
      </c>
      <c r="DN9" s="521">
        <v>451</v>
      </c>
      <c r="DO9" s="520">
        <v>22225903.030000001</v>
      </c>
      <c r="DP9" s="520">
        <v>3566854.3633333333</v>
      </c>
      <c r="DQ9" s="520">
        <v>1531494.3133333335</v>
      </c>
      <c r="DR9" s="500">
        <f t="shared" ref="DR9:DR15" si="112">DP9/DO9</f>
        <v>0.16048186471968662</v>
      </c>
      <c r="DS9" s="501">
        <f t="shared" ref="DS9:DS15" si="113">DQ9/DO9</f>
        <v>6.8905830789694283E-2</v>
      </c>
      <c r="DT9" s="521">
        <v>451</v>
      </c>
      <c r="DU9" s="485">
        <f t="shared" si="76"/>
        <v>57482339.174960002</v>
      </c>
      <c r="DV9" s="485">
        <f t="shared" si="76"/>
        <v>9706825.7082933336</v>
      </c>
      <c r="DW9" s="485">
        <f t="shared" si="76"/>
        <v>3553232.6582933334</v>
      </c>
      <c r="DX9" s="500">
        <f t="shared" ref="DX9:DX15" si="114">DV9/DU9</f>
        <v>0.16886622652478525</v>
      </c>
      <c r="DY9" s="501">
        <f t="shared" ref="DY9:DY15" si="115">DW9/DU9</f>
        <v>6.18143365300131E-2</v>
      </c>
      <c r="DZ9" s="502">
        <f t="shared" si="77"/>
        <v>124</v>
      </c>
      <c r="EA9" s="503">
        <f t="shared" si="77"/>
        <v>10472707.324960001</v>
      </c>
      <c r="EB9" s="503">
        <f t="shared" si="77"/>
        <v>-1709008.2799555138</v>
      </c>
      <c r="EC9" s="503">
        <f t="shared" si="77"/>
        <v>-1980123.5299555133</v>
      </c>
      <c r="ED9" s="487">
        <f t="shared" si="78"/>
        <v>0.37920489296636084</v>
      </c>
      <c r="EE9" s="487">
        <f t="shared" si="78"/>
        <v>0.22277790556575058</v>
      </c>
      <c r="EF9" s="487">
        <f t="shared" si="78"/>
        <v>-0.14970507469841635</v>
      </c>
      <c r="EG9" s="488">
        <f t="shared" si="78"/>
        <v>-0.35785217191705265</v>
      </c>
      <c r="EH9" s="412">
        <v>440</v>
      </c>
      <c r="EI9" s="399">
        <v>24775826.903225806</v>
      </c>
      <c r="EJ9" s="399">
        <v>4849465.1290322579</v>
      </c>
      <c r="EK9" s="399">
        <v>1779811.1290322579</v>
      </c>
      <c r="EL9" s="500">
        <f>EJ9/EI9</f>
        <v>0.19573373465895741</v>
      </c>
      <c r="EM9" s="501">
        <f>EK9/EI9</f>
        <v>7.1836598470928409E-2</v>
      </c>
      <c r="EN9" s="412">
        <v>462</v>
      </c>
      <c r="EO9" s="399">
        <v>25618422.190000001</v>
      </c>
      <c r="EP9" s="399">
        <f>5556953</f>
        <v>5556953</v>
      </c>
      <c r="EQ9" s="399">
        <v>3334046.3270967742</v>
      </c>
      <c r="ER9" s="500">
        <f>EP9/EO9</f>
        <v>0.21691238276840966</v>
      </c>
      <c r="ES9" s="501">
        <f>EQ9/EO9</f>
        <v>0.13014253190027447</v>
      </c>
      <c r="ET9" s="519">
        <v>476</v>
      </c>
      <c r="EU9" s="506">
        <v>26242347.396666665</v>
      </c>
      <c r="EV9" s="506">
        <v>5385094.3966666665</v>
      </c>
      <c r="EW9" s="506">
        <v>3147442.0966666667</v>
      </c>
      <c r="EX9" s="507">
        <f>EV9/EU9</f>
        <v>0.20520627652961745</v>
      </c>
      <c r="EY9" s="508">
        <f>EW9/EU9</f>
        <v>0.11993752117870593</v>
      </c>
      <c r="EZ9" s="509">
        <v>476</v>
      </c>
      <c r="FA9" s="510">
        <f t="shared" si="79"/>
        <v>76636596.489892468</v>
      </c>
      <c r="FB9" s="510">
        <f t="shared" si="79"/>
        <v>15791512.525698924</v>
      </c>
      <c r="FC9" s="510">
        <f t="shared" si="79"/>
        <v>8261299.5527956989</v>
      </c>
      <c r="FD9" s="507">
        <f>FB9/FA9</f>
        <v>0.20605706997676565</v>
      </c>
      <c r="FE9" s="508">
        <f>FC9/FA9</f>
        <v>0.10779836176421632</v>
      </c>
      <c r="FF9" s="502">
        <f t="shared" si="80"/>
        <v>25</v>
      </c>
      <c r="FG9" s="503">
        <f t="shared" si="80"/>
        <v>19154257.314932466</v>
      </c>
      <c r="FH9" s="503">
        <f t="shared" si="80"/>
        <v>6084686.8174055908</v>
      </c>
      <c r="FI9" s="487">
        <f t="shared" si="81"/>
        <v>5.543237250554324E-2</v>
      </c>
      <c r="FJ9" s="487">
        <f t="shared" si="82"/>
        <v>0.33321986526387376</v>
      </c>
      <c r="FK9" s="488">
        <f t="shared" si="82"/>
        <v>0.62684620083442377</v>
      </c>
      <c r="FL9" s="519">
        <v>481</v>
      </c>
      <c r="FM9" s="506">
        <v>27383775.699999999</v>
      </c>
      <c r="FN9" s="506">
        <v>5703770.7000000002</v>
      </c>
      <c r="FO9" s="506">
        <v>2884022.2</v>
      </c>
      <c r="FP9" s="507">
        <f>FN9/FM9</f>
        <v>0.20829014824277867</v>
      </c>
      <c r="FQ9" s="508">
        <f>FO9/FM9</f>
        <v>0.10531864676352867</v>
      </c>
      <c r="FR9" s="519">
        <v>469</v>
      </c>
      <c r="FS9" s="506">
        <v>26668788.658</v>
      </c>
      <c r="FT9" s="506">
        <v>5129649.6579999998</v>
      </c>
      <c r="FU9" s="506">
        <v>2409391.2079999996</v>
      </c>
      <c r="FV9" s="507">
        <f t="shared" si="1"/>
        <v>0.1923465562602982</v>
      </c>
      <c r="FW9" s="508">
        <f t="shared" si="2"/>
        <v>9.0344981127488885E-2</v>
      </c>
      <c r="FX9" s="519">
        <v>479</v>
      </c>
      <c r="FY9" s="506">
        <v>26435003.656666666</v>
      </c>
      <c r="FZ9" s="506">
        <v>5220606.6566666663</v>
      </c>
      <c r="GA9" s="506">
        <v>2250809.4066666663</v>
      </c>
      <c r="GB9" s="507">
        <f t="shared" si="3"/>
        <v>0.19748840304586365</v>
      </c>
      <c r="GC9" s="508">
        <f t="shared" si="4"/>
        <v>8.5145038597300618E-2</v>
      </c>
      <c r="GD9" s="1453">
        <v>479</v>
      </c>
      <c r="GE9" s="1452">
        <f t="shared" si="83"/>
        <v>80487568.014666662</v>
      </c>
      <c r="GF9" s="1452">
        <f t="shared" si="84"/>
        <v>16054027.014666665</v>
      </c>
      <c r="GG9" s="1452">
        <f t="shared" si="85"/>
        <v>7544222.8146666661</v>
      </c>
      <c r="GH9" s="507">
        <f>GF9/GE9</f>
        <v>0.19945971049518177</v>
      </c>
      <c r="GI9" s="507">
        <f>GG9/GE9</f>
        <v>9.3731528989569393E-2</v>
      </c>
      <c r="GJ9" s="511">
        <f t="shared" si="86"/>
        <v>3</v>
      </c>
      <c r="GK9" s="512">
        <f t="shared" si="87"/>
        <v>3850971.5247741938</v>
      </c>
      <c r="GL9" s="512">
        <f t="shared" si="88"/>
        <v>262514.48896774091</v>
      </c>
      <c r="GM9" s="512">
        <f t="shared" ref="GM9:GM15" si="116">GG9-FC9</f>
        <v>-717076.73812903278</v>
      </c>
      <c r="GN9" s="513">
        <f t="shared" si="89"/>
        <v>0.12</v>
      </c>
      <c r="GO9" s="513">
        <f t="shared" si="90"/>
        <v>0.20105042244431034</v>
      </c>
      <c r="GP9" s="513">
        <f t="shared" si="91"/>
        <v>4.3143467666536817E-2</v>
      </c>
      <c r="GQ9" s="514">
        <f t="shared" si="92"/>
        <v>0.91320049181773499</v>
      </c>
      <c r="GR9" s="519">
        <v>478</v>
      </c>
      <c r="GS9" s="506">
        <v>26674055.359999999</v>
      </c>
      <c r="GT9" s="506">
        <v>4666607.7793548387</v>
      </c>
      <c r="GU9" s="506">
        <v>1184159.7793548387</v>
      </c>
      <c r="GV9" s="507">
        <f t="shared" si="5"/>
        <v>0.1749493174687195</v>
      </c>
      <c r="GW9" s="508">
        <f t="shared" si="6"/>
        <v>4.4393691299395979E-2</v>
      </c>
      <c r="GX9" s="519">
        <v>478</v>
      </c>
      <c r="GY9" s="506">
        <v>26604373.350000001</v>
      </c>
      <c r="GZ9" s="506">
        <v>4873581.3499999996</v>
      </c>
      <c r="HA9" s="506">
        <v>1806092.1499999994</v>
      </c>
      <c r="HB9" s="507">
        <f t="shared" si="7"/>
        <v>0.18318722587014061</v>
      </c>
      <c r="HC9" s="508">
        <f t="shared" si="8"/>
        <v>6.7887039707326888E-2</v>
      </c>
      <c r="HD9" s="519">
        <v>486</v>
      </c>
      <c r="HE9" s="506">
        <v>30316982.350000001</v>
      </c>
      <c r="HF9" s="506">
        <v>5775066.7048387099</v>
      </c>
      <c r="HG9" s="506">
        <v>-671889.59516129084</v>
      </c>
      <c r="HH9" s="507">
        <f t="shared" si="9"/>
        <v>0.19048949655237404</v>
      </c>
      <c r="HI9" s="508">
        <f t="shared" si="10"/>
        <v>-2.2162152796229431E-2</v>
      </c>
      <c r="HJ9" s="1453">
        <v>486</v>
      </c>
      <c r="HK9" s="1452">
        <f t="shared" si="93"/>
        <v>83595411.060000002</v>
      </c>
      <c r="HL9" s="1452">
        <f t="shared" si="94"/>
        <v>15315255.834193548</v>
      </c>
      <c r="HM9" s="1452">
        <f>HG9+HA9+GU9</f>
        <v>2318362.3341935473</v>
      </c>
      <c r="HN9" s="507">
        <f t="shared" si="96"/>
        <v>0.18320689664652925</v>
      </c>
      <c r="HO9" s="507">
        <f t="shared" si="97"/>
        <v>0.151376010906554</v>
      </c>
      <c r="HP9" s="519">
        <v>486</v>
      </c>
      <c r="HQ9" s="505">
        <v>298277914.73951912</v>
      </c>
      <c r="HR9" s="505">
        <v>56876553.659949243</v>
      </c>
      <c r="HS9" s="505">
        <v>21685395.70994924</v>
      </c>
      <c r="HT9" s="507">
        <f t="shared" si="11"/>
        <v>0.19068308731344907</v>
      </c>
      <c r="HU9" s="508">
        <f t="shared" si="12"/>
        <v>7.2701982407536669E-2</v>
      </c>
      <c r="HV9" s="1647"/>
      <c r="HW9" s="522">
        <v>551</v>
      </c>
      <c r="HX9" s="520">
        <v>36271722.159999996</v>
      </c>
      <c r="HY9" s="520">
        <v>8425381.1600000001</v>
      </c>
      <c r="HZ9" s="520">
        <v>3412312.16</v>
      </c>
      <c r="IA9" s="500">
        <f t="shared" si="13"/>
        <v>0.23228511518792469</v>
      </c>
      <c r="IB9" s="501">
        <f>HZ9/HX9</f>
        <v>9.4076375666635847E-2</v>
      </c>
      <c r="IC9" s="522">
        <v>600</v>
      </c>
      <c r="ID9" s="520">
        <v>36025890.241290323</v>
      </c>
      <c r="IE9" s="520">
        <v>7657736.5961290319</v>
      </c>
      <c r="IF9" s="520">
        <v>2327886.3461290319</v>
      </c>
      <c r="IG9" s="500">
        <f t="shared" si="14"/>
        <v>0.2125620364920858</v>
      </c>
      <c r="IH9" s="501">
        <f t="shared" si="15"/>
        <v>6.4617038761223267E-2</v>
      </c>
      <c r="II9" s="521">
        <v>651</v>
      </c>
      <c r="IJ9" s="520">
        <v>49814294.993333332</v>
      </c>
      <c r="IK9" s="520">
        <v>6117632.9933333341</v>
      </c>
      <c r="IL9" s="520">
        <v>1604770.4933333341</v>
      </c>
      <c r="IM9" s="500">
        <f t="shared" si="16"/>
        <v>0.12280878398764972</v>
      </c>
      <c r="IN9" s="501">
        <f t="shared" si="17"/>
        <v>3.2215059824656785E-2</v>
      </c>
      <c r="IO9" s="521">
        <v>651</v>
      </c>
      <c r="IP9" s="485">
        <f t="shared" si="18"/>
        <v>122111907.39462365</v>
      </c>
      <c r="IQ9" s="485">
        <f t="shared" si="19"/>
        <v>22200750.749462366</v>
      </c>
      <c r="IR9" s="485">
        <f t="shared" si="20"/>
        <v>7344968.9994623661</v>
      </c>
      <c r="IS9" s="500">
        <f t="shared" si="21"/>
        <v>0.18180660038105195</v>
      </c>
      <c r="IT9" s="501">
        <f t="shared" si="22"/>
        <v>6.0149490382833466E-2</v>
      </c>
      <c r="IU9" s="502">
        <f t="shared" si="23"/>
        <v>165</v>
      </c>
      <c r="IV9" s="517">
        <f t="shared" si="23"/>
        <v>38516496.33462365</v>
      </c>
      <c r="IW9" s="517">
        <f t="shared" si="23"/>
        <v>6885494.9152688179</v>
      </c>
      <c r="IX9" s="517">
        <f t="shared" si="23"/>
        <v>5026606.6652688188</v>
      </c>
      <c r="IY9" s="487">
        <f t="shared" si="98"/>
        <v>0.33950617283950618</v>
      </c>
      <c r="IZ9" s="487">
        <f t="shared" si="99"/>
        <v>0.4607489316247122</v>
      </c>
      <c r="JA9" s="487">
        <f t="shared" si="100"/>
        <v>0.44958406113569083</v>
      </c>
      <c r="JB9" s="488">
        <f t="shared" si="101"/>
        <v>2.1681712953714571</v>
      </c>
      <c r="JC9" s="412">
        <v>574</v>
      </c>
      <c r="JD9" s="399">
        <v>31301211.340201613</v>
      </c>
      <c r="JE9" s="399">
        <v>3371209.8563306453</v>
      </c>
      <c r="JF9" s="4262">
        <v>-1355600.3936693547</v>
      </c>
      <c r="JG9" s="500">
        <f t="shared" si="24"/>
        <v>0.10770221700656174</v>
      </c>
      <c r="JH9" s="501">
        <f t="shared" si="25"/>
        <v>-4.3308240659948316E-2</v>
      </c>
      <c r="JI9" s="412">
        <v>587</v>
      </c>
      <c r="JJ9" s="399">
        <v>31844936.153333332</v>
      </c>
      <c r="JK9" s="399">
        <v>3001592.5081720427</v>
      </c>
      <c r="JL9" s="6454">
        <v>-1696191.9918279573</v>
      </c>
      <c r="JM9" s="500">
        <f t="shared" si="26"/>
        <v>9.4256508906765527E-2</v>
      </c>
      <c r="JN9" s="501">
        <f t="shared" si="27"/>
        <v>-5.3264104021461832E-2</v>
      </c>
      <c r="JO9" s="519">
        <v>620</v>
      </c>
      <c r="JP9" s="506">
        <v>32869460.460000001</v>
      </c>
      <c r="JQ9" s="506">
        <v>2216993.5266666696</v>
      </c>
      <c r="JR9" s="4828">
        <v>-2037294.7233333304</v>
      </c>
      <c r="JS9" s="507">
        <f t="shared" si="28"/>
        <v>6.7448430720808666E-2</v>
      </c>
      <c r="JT9" s="508">
        <f t="shared" si="29"/>
        <v>-6.1981386211452598E-2</v>
      </c>
      <c r="JU9" s="509">
        <v>620</v>
      </c>
      <c r="JV9" s="510">
        <f t="shared" si="30"/>
        <v>96015607.953534946</v>
      </c>
      <c r="JW9" s="510">
        <f t="shared" si="30"/>
        <v>8589795.891169358</v>
      </c>
      <c r="JX9" s="4260">
        <f t="shared" si="30"/>
        <v>-5089087.108830642</v>
      </c>
      <c r="JY9" s="507">
        <f t="shared" si="31"/>
        <v>8.9462495465593858E-2</v>
      </c>
      <c r="JZ9" s="508">
        <f t="shared" si="32"/>
        <v>-5.3002706719238978E-2</v>
      </c>
      <c r="KA9" s="502">
        <f t="shared" si="33"/>
        <v>-31</v>
      </c>
      <c r="KB9" s="503">
        <f t="shared" si="33"/>
        <v>-26096299.441088706</v>
      </c>
      <c r="KC9" s="503">
        <f t="shared" si="33"/>
        <v>-13610954.858293008</v>
      </c>
      <c r="KD9" s="487">
        <f t="shared" si="102"/>
        <v>-4.7619047619047616E-2</v>
      </c>
      <c r="KE9" s="487">
        <f t="shared" si="103"/>
        <v>-0.21370806498627892</v>
      </c>
      <c r="KF9" s="488">
        <f t="shared" si="104"/>
        <v>-0.61308534165776463</v>
      </c>
      <c r="KG9" s="519">
        <v>617</v>
      </c>
      <c r="KH9" s="506">
        <v>33776424.948680639</v>
      </c>
      <c r="KI9" s="506">
        <v>2786604.0454548383</v>
      </c>
      <c r="KJ9" s="4828">
        <v>-1902049.4545451617</v>
      </c>
      <c r="KK9" s="507">
        <f t="shared" si="34"/>
        <v>8.250145033669963E-2</v>
      </c>
      <c r="KL9" s="508">
        <f t="shared" si="35"/>
        <v>-5.6312930022496613E-2</v>
      </c>
      <c r="KM9" s="519">
        <v>645</v>
      </c>
      <c r="KN9" s="506">
        <v>34884421.785999998</v>
      </c>
      <c r="KO9" s="506">
        <v>2796380.7859999998</v>
      </c>
      <c r="KP9" s="4828">
        <v>-1642843.2140000002</v>
      </c>
      <c r="KQ9" s="507">
        <f t="shared" si="36"/>
        <v>8.016130532862259E-2</v>
      </c>
      <c r="KR9" s="508">
        <f t="shared" si="37"/>
        <v>-4.7093892628580554E-2</v>
      </c>
      <c r="KS9" s="519">
        <v>638</v>
      </c>
      <c r="KT9" s="506">
        <v>34932712.625230968</v>
      </c>
      <c r="KU9" s="506">
        <v>2634148.3671664512</v>
      </c>
      <c r="KV9" s="4828">
        <v>-1893857.9328335486</v>
      </c>
      <c r="KW9" s="507">
        <f t="shared" si="38"/>
        <v>7.5406350357798316E-2</v>
      </c>
      <c r="KX9" s="508">
        <f t="shared" si="39"/>
        <v>-5.4214453745732458E-2</v>
      </c>
      <c r="KY9" s="1453">
        <v>479</v>
      </c>
      <c r="KZ9" s="1452">
        <f t="shared" si="40"/>
        <v>103593559.35991161</v>
      </c>
      <c r="LA9" s="1452">
        <f t="shared" si="40"/>
        <v>8217133.1986212889</v>
      </c>
      <c r="LB9" s="1452">
        <f t="shared" si="40"/>
        <v>-5438750.6013787109</v>
      </c>
      <c r="LC9" s="507">
        <f t="shared" si="41"/>
        <v>7.9320888763680569E-2</v>
      </c>
      <c r="LD9" s="507">
        <f t="shared" si="42"/>
        <v>-5.2500856568534759E-2</v>
      </c>
      <c r="LE9" s="511"/>
      <c r="LF9" s="512">
        <f t="shared" si="105"/>
        <v>7577951.4063766599</v>
      </c>
      <c r="LG9" s="512">
        <f t="shared" si="105"/>
        <v>-372662.69254806917</v>
      </c>
      <c r="LH9" s="512">
        <f>LB9-JX9</f>
        <v>-349663.49254806899</v>
      </c>
      <c r="LI9" s="513">
        <f t="shared" si="43"/>
        <v>0</v>
      </c>
      <c r="LJ9" s="513">
        <f t="shared" si="43"/>
        <v>-0.29038413754730108</v>
      </c>
      <c r="LK9" s="513">
        <f t="shared" si="43"/>
        <v>2.7379614173138618E-2</v>
      </c>
      <c r="LL9" s="514">
        <f>LB9/JX9</f>
        <v>1.0687084903579915</v>
      </c>
      <c r="LM9" s="519">
        <v>633</v>
      </c>
      <c r="LN9" s="506">
        <v>35772908.071000002</v>
      </c>
      <c r="LO9" s="506">
        <v>3010611.0710000005</v>
      </c>
      <c r="LP9" s="6609">
        <v>-1178038.7289999994</v>
      </c>
      <c r="LQ9" s="507">
        <f t="shared" si="44"/>
        <v>8.4158969268719033E-2</v>
      </c>
      <c r="LR9" s="508">
        <f t="shared" si="45"/>
        <v>-3.2931030562622865E-2</v>
      </c>
      <c r="LS9" s="519"/>
      <c r="LT9" s="506"/>
      <c r="LU9" s="506"/>
      <c r="LV9" s="506"/>
      <c r="LW9" s="507" t="e">
        <f t="shared" si="46"/>
        <v>#DIV/0!</v>
      </c>
      <c r="LX9" s="508" t="e">
        <f t="shared" si="47"/>
        <v>#DIV/0!</v>
      </c>
      <c r="LY9" s="519"/>
      <c r="LZ9" s="506"/>
      <c r="MA9" s="506"/>
      <c r="MB9" s="506"/>
      <c r="MC9" s="507" t="e">
        <f t="shared" si="48"/>
        <v>#DIV/0!</v>
      </c>
      <c r="MD9" s="508" t="e">
        <f t="shared" si="49"/>
        <v>#DIV/0!</v>
      </c>
      <c r="ME9" s="519"/>
      <c r="MF9" s="505">
        <f t="shared" si="50"/>
        <v>357493982.77907026</v>
      </c>
      <c r="MG9" s="505">
        <f t="shared" si="50"/>
        <v>42018290.910253018</v>
      </c>
      <c r="MH9" s="505">
        <f t="shared" si="50"/>
        <v>-4360907.4397469871</v>
      </c>
      <c r="MI9" s="507">
        <f t="shared" si="51"/>
        <v>0.11753565915603156</v>
      </c>
      <c r="MJ9" s="508">
        <f t="shared" si="52"/>
        <v>-1.2198547807284379E-2</v>
      </c>
      <c r="ML9" s="1647"/>
    </row>
    <row r="10" spans="1:350" s="242" customFormat="1" ht="21.5" customHeight="1" x14ac:dyDescent="0.25">
      <c r="A10" s="1663" t="s">
        <v>177</v>
      </c>
      <c r="B10" s="1673" t="s">
        <v>668</v>
      </c>
      <c r="C10" s="3670"/>
      <c r="D10" s="485"/>
      <c r="E10" s="485"/>
      <c r="F10" s="485"/>
      <c r="G10" s="485"/>
      <c r="H10" s="531"/>
      <c r="I10" s="531"/>
      <c r="J10" s="515"/>
      <c r="K10" s="489"/>
      <c r="L10" s="485"/>
      <c r="M10" s="485"/>
      <c r="N10" s="485"/>
      <c r="O10" s="487"/>
      <c r="P10" s="488"/>
      <c r="Q10" s="484"/>
      <c r="R10" s="485"/>
      <c r="S10" s="485"/>
      <c r="T10" s="485"/>
      <c r="U10" s="487"/>
      <c r="V10" s="488"/>
      <c r="W10" s="484"/>
      <c r="X10" s="531"/>
      <c r="Y10" s="531"/>
      <c r="Z10" s="531"/>
      <c r="AA10" s="487"/>
      <c r="AB10" s="488"/>
      <c r="AC10" s="484"/>
      <c r="AD10" s="485"/>
      <c r="AE10" s="485"/>
      <c r="AF10" s="485"/>
      <c r="AG10" s="487"/>
      <c r="AH10" s="488"/>
      <c r="AI10" s="489"/>
      <c r="AJ10" s="485"/>
      <c r="AK10" s="485"/>
      <c r="AL10" s="485"/>
      <c r="AM10" s="531"/>
      <c r="AN10" s="515"/>
      <c r="AO10" s="491"/>
      <c r="AP10" s="485"/>
      <c r="AQ10" s="485"/>
      <c r="AR10" s="485"/>
      <c r="AS10" s="531"/>
      <c r="AT10" s="515"/>
      <c r="AU10" s="491"/>
      <c r="AV10" s="485"/>
      <c r="AW10" s="485"/>
      <c r="AX10" s="485"/>
      <c r="AY10" s="487"/>
      <c r="AZ10" s="488"/>
      <c r="BA10" s="491"/>
      <c r="BB10" s="485"/>
      <c r="BC10" s="485"/>
      <c r="BD10" s="485"/>
      <c r="BE10" s="531"/>
      <c r="BF10" s="515"/>
      <c r="BG10" s="1670"/>
      <c r="BH10" s="531"/>
      <c r="BI10" s="531"/>
      <c r="BJ10" s="531"/>
      <c r="BK10" s="531"/>
      <c r="BL10" s="515"/>
      <c r="BM10" s="493"/>
      <c r="BN10" s="485"/>
      <c r="BO10" s="485"/>
      <c r="BP10" s="485"/>
      <c r="BQ10" s="531"/>
      <c r="BR10" s="515"/>
      <c r="BS10" s="1671"/>
      <c r="BT10" s="531"/>
      <c r="BU10" s="531"/>
      <c r="BV10" s="531"/>
      <c r="BW10" s="531"/>
      <c r="BX10" s="515"/>
      <c r="BY10" s="1670"/>
      <c r="BZ10" s="531"/>
      <c r="CA10" s="531"/>
      <c r="CB10" s="531"/>
      <c r="CC10" s="531"/>
      <c r="CD10" s="515"/>
      <c r="CE10" s="539"/>
      <c r="CF10" s="540"/>
      <c r="CG10" s="540"/>
      <c r="CH10" s="540"/>
      <c r="CI10" s="541"/>
      <c r="CJ10" s="548"/>
      <c r="CK10" s="543"/>
      <c r="CL10" s="544"/>
      <c r="CM10" s="544"/>
      <c r="CN10" s="544"/>
      <c r="CO10" s="544"/>
      <c r="CP10" s="541"/>
      <c r="CQ10" s="541"/>
      <c r="CR10" s="538"/>
      <c r="CS10" s="545"/>
      <c r="CT10" s="546"/>
      <c r="CU10" s="546"/>
      <c r="CV10" s="546"/>
      <c r="CW10" s="547"/>
      <c r="CX10" s="547"/>
      <c r="CY10" s="547"/>
      <c r="CZ10" s="548"/>
      <c r="DB10" s="491"/>
      <c r="DC10" s="485"/>
      <c r="DD10" s="485"/>
      <c r="DE10" s="485"/>
      <c r="DF10" s="487"/>
      <c r="DG10" s="488"/>
      <c r="DH10" s="491"/>
      <c r="DI10" s="485"/>
      <c r="DJ10" s="485"/>
      <c r="DK10" s="485"/>
      <c r="DL10" s="487"/>
      <c r="DM10" s="488"/>
      <c r="DN10" s="491"/>
      <c r="DO10" s="485"/>
      <c r="DP10" s="485"/>
      <c r="DQ10" s="485"/>
      <c r="DR10" s="487"/>
      <c r="DS10" s="488"/>
      <c r="DT10" s="491"/>
      <c r="DU10" s="485"/>
      <c r="DV10" s="485"/>
      <c r="DW10" s="485"/>
      <c r="DX10" s="487"/>
      <c r="DY10" s="488"/>
      <c r="DZ10" s="502"/>
      <c r="EA10" s="503"/>
      <c r="EB10" s="503"/>
      <c r="EC10" s="503"/>
      <c r="ED10" s="531"/>
      <c r="EE10" s="531"/>
      <c r="EF10" s="531"/>
      <c r="EG10" s="515"/>
      <c r="EH10" s="3746"/>
      <c r="EI10" s="3747"/>
      <c r="EJ10" s="3747"/>
      <c r="EK10" s="3747"/>
      <c r="EL10" s="487"/>
      <c r="EM10" s="488"/>
      <c r="EN10" s="3746"/>
      <c r="EO10" s="3747"/>
      <c r="EP10" s="3747"/>
      <c r="EQ10" s="3747"/>
      <c r="ER10" s="487"/>
      <c r="ES10" s="488"/>
      <c r="ET10" s="504"/>
      <c r="EU10" s="505"/>
      <c r="EV10" s="505"/>
      <c r="EW10" s="505"/>
      <c r="EX10" s="3748"/>
      <c r="EY10" s="3749"/>
      <c r="EZ10" s="509"/>
      <c r="FA10" s="510"/>
      <c r="FB10" s="510"/>
      <c r="FC10" s="510"/>
      <c r="FD10" s="3748"/>
      <c r="FE10" s="3749"/>
      <c r="FF10" s="502"/>
      <c r="FG10" s="503"/>
      <c r="FH10" s="503"/>
      <c r="FI10" s="487"/>
      <c r="FJ10" s="487"/>
      <c r="FK10" s="488"/>
      <c r="FL10" s="3750"/>
      <c r="FM10" s="505"/>
      <c r="FN10" s="505"/>
      <c r="FO10" s="505"/>
      <c r="FP10" s="3748"/>
      <c r="FQ10" s="3749"/>
      <c r="FR10" s="504"/>
      <c r="FS10" s="505"/>
      <c r="FT10" s="505"/>
      <c r="FU10" s="505"/>
      <c r="FV10" s="3748"/>
      <c r="FW10" s="3749"/>
      <c r="FX10" s="504"/>
      <c r="FY10" s="505"/>
      <c r="FZ10" s="505"/>
      <c r="GA10" s="505"/>
      <c r="GB10" s="3748"/>
      <c r="GC10" s="3749"/>
      <c r="GD10" s="3686"/>
      <c r="GE10" s="3751"/>
      <c r="GF10" s="3751"/>
      <c r="GG10" s="3751"/>
      <c r="GH10" s="3748"/>
      <c r="GI10" s="3748"/>
      <c r="GJ10" s="3752"/>
      <c r="GK10" s="3753"/>
      <c r="GL10" s="3753"/>
      <c r="GM10" s="3753"/>
      <c r="GN10" s="3754"/>
      <c r="GO10" s="3755"/>
      <c r="GP10" s="3755"/>
      <c r="GQ10" s="3756"/>
      <c r="GR10" s="504"/>
      <c r="GS10" s="505"/>
      <c r="GT10" s="505"/>
      <c r="GU10" s="505"/>
      <c r="GV10" s="3748"/>
      <c r="GW10" s="3749"/>
      <c r="GX10" s="504"/>
      <c r="GY10" s="505"/>
      <c r="GZ10" s="505"/>
      <c r="HA10" s="505"/>
      <c r="HB10" s="3748"/>
      <c r="HC10" s="3749"/>
      <c r="HD10" s="504"/>
      <c r="HE10" s="505">
        <v>0</v>
      </c>
      <c r="HF10" s="505">
        <v>0</v>
      </c>
      <c r="HG10" s="505">
        <v>0</v>
      </c>
      <c r="HH10" s="3674">
        <v>0</v>
      </c>
      <c r="HI10" s="3675">
        <v>0</v>
      </c>
      <c r="HJ10" s="3687"/>
      <c r="HK10" s="1452">
        <f>HE10+GY10+GS10</f>
        <v>0</v>
      </c>
      <c r="HL10" s="1452">
        <f>HF10+GZ10+GT10</f>
        <v>0</v>
      </c>
      <c r="HM10" s="1452">
        <f>HG10+HA10+GU10</f>
        <v>0</v>
      </c>
      <c r="HN10" s="536">
        <v>0</v>
      </c>
      <c r="HO10" s="536">
        <v>0</v>
      </c>
      <c r="HP10" s="504"/>
      <c r="HQ10" s="505">
        <v>0</v>
      </c>
      <c r="HR10" s="505">
        <v>0</v>
      </c>
      <c r="HS10" s="505">
        <v>-5273856</v>
      </c>
      <c r="HT10" s="3674">
        <v>0</v>
      </c>
      <c r="HU10" s="3675">
        <v>0</v>
      </c>
      <c r="HV10" s="1647"/>
      <c r="HW10" s="491">
        <v>2</v>
      </c>
      <c r="HX10" s="485">
        <v>516164.88</v>
      </c>
      <c r="HY10" s="4264">
        <v>-1443797.12</v>
      </c>
      <c r="HZ10" s="4264">
        <v>-2732460.12</v>
      </c>
      <c r="IA10" s="500">
        <f t="shared" si="13"/>
        <v>-2.7971626430686261</v>
      </c>
      <c r="IB10" s="501">
        <v>0</v>
      </c>
      <c r="IC10" s="491">
        <v>6</v>
      </c>
      <c r="ID10" s="485">
        <v>1881512.7200000002</v>
      </c>
      <c r="IE10" s="485">
        <v>229519.7200000002</v>
      </c>
      <c r="IF10" s="4264">
        <v>-464940.2799999998</v>
      </c>
      <c r="IG10" s="500">
        <f t="shared" si="14"/>
        <v>0.12198680219392839</v>
      </c>
      <c r="IH10" s="501">
        <f t="shared" si="15"/>
        <v>-0.24710982554505384</v>
      </c>
      <c r="II10" s="491">
        <v>8</v>
      </c>
      <c r="IJ10" s="485">
        <v>2813935.3600000003</v>
      </c>
      <c r="IK10" s="485">
        <v>657012.36000000034</v>
      </c>
      <c r="IL10" s="485">
        <v>12552.360000000335</v>
      </c>
      <c r="IM10" s="500">
        <f t="shared" si="16"/>
        <v>0.23348523542488206</v>
      </c>
      <c r="IN10" s="501">
        <f t="shared" si="17"/>
        <v>4.4607847708343709E-3</v>
      </c>
      <c r="IO10" s="491">
        <v>8</v>
      </c>
      <c r="IP10" s="485">
        <f t="shared" si="18"/>
        <v>5211612.96</v>
      </c>
      <c r="IQ10" s="485">
        <f t="shared" si="19"/>
        <v>-557265.03999999957</v>
      </c>
      <c r="IR10" s="485">
        <f t="shared" si="20"/>
        <v>-3184848.0399999996</v>
      </c>
      <c r="IS10" s="500">
        <f t="shared" si="21"/>
        <v>-0.10692755664649348</v>
      </c>
      <c r="IT10" s="501">
        <f t="shared" si="22"/>
        <v>-0.61110601735858749</v>
      </c>
      <c r="IU10" s="502">
        <f t="shared" si="23"/>
        <v>8</v>
      </c>
      <c r="IV10" s="517">
        <f t="shared" si="23"/>
        <v>5211612.96</v>
      </c>
      <c r="IW10" s="517">
        <f t="shared" si="23"/>
        <v>-557265.03999999957</v>
      </c>
      <c r="IX10" s="517">
        <f t="shared" si="23"/>
        <v>-3184848.0399999996</v>
      </c>
      <c r="IY10" s="487">
        <v>0</v>
      </c>
      <c r="IZ10" s="487">
        <v>0</v>
      </c>
      <c r="JA10" s="487">
        <v>0</v>
      </c>
      <c r="JB10" s="488">
        <v>0</v>
      </c>
      <c r="JC10" s="1665">
        <v>9</v>
      </c>
      <c r="JD10" s="1666">
        <v>3159012</v>
      </c>
      <c r="JE10" s="1666">
        <v>1221180</v>
      </c>
      <c r="JF10" s="1666">
        <v>402128</v>
      </c>
      <c r="JG10" s="500">
        <f t="shared" si="24"/>
        <v>0.38657023145211222</v>
      </c>
      <c r="JH10" s="501">
        <f t="shared" si="25"/>
        <v>0.12729549618678246</v>
      </c>
      <c r="JI10" s="1665">
        <v>12</v>
      </c>
      <c r="JJ10" s="1666">
        <v>2655751.56</v>
      </c>
      <c r="JK10" s="1666">
        <v>684798.56</v>
      </c>
      <c r="JL10" s="6456">
        <v>-300088.43999999994</v>
      </c>
      <c r="JM10" s="500">
        <f t="shared" si="26"/>
        <v>0.2578549026626572</v>
      </c>
      <c r="JN10" s="501">
        <f t="shared" si="27"/>
        <v>-0.11299567494182322</v>
      </c>
      <c r="JO10" s="519">
        <v>16</v>
      </c>
      <c r="JP10" s="506">
        <v>6416637.9199999999</v>
      </c>
      <c r="JQ10" s="506">
        <v>3891865.9200000004</v>
      </c>
      <c r="JR10" s="506">
        <v>3021149.9200000004</v>
      </c>
      <c r="JS10" s="507">
        <f t="shared" si="28"/>
        <v>0.60652727620323643</v>
      </c>
      <c r="JT10" s="508">
        <f t="shared" si="29"/>
        <v>0.47083066828243292</v>
      </c>
      <c r="JU10" s="549">
        <v>16</v>
      </c>
      <c r="JV10" s="510">
        <f t="shared" si="30"/>
        <v>12231401.48</v>
      </c>
      <c r="JW10" s="510">
        <f t="shared" si="30"/>
        <v>5797844.4800000004</v>
      </c>
      <c r="JX10" s="510">
        <f t="shared" si="30"/>
        <v>3123189.4800000004</v>
      </c>
      <c r="JY10" s="507">
        <f t="shared" si="31"/>
        <v>0.47401309567675154</v>
      </c>
      <c r="JZ10" s="508">
        <f t="shared" si="32"/>
        <v>0.25534191524224259</v>
      </c>
      <c r="KA10" s="502">
        <f t="shared" si="33"/>
        <v>8</v>
      </c>
      <c r="KB10" s="503">
        <f t="shared" si="33"/>
        <v>7019788.5200000005</v>
      </c>
      <c r="KC10" s="503">
        <f t="shared" si="33"/>
        <v>6355109.5199999996</v>
      </c>
      <c r="KD10" s="487">
        <f>KA10/IO10</f>
        <v>1</v>
      </c>
      <c r="KE10" s="487">
        <f t="shared" si="103"/>
        <v>1.3469512363788427</v>
      </c>
      <c r="KF10" s="488">
        <f t="shared" si="104"/>
        <v>-11.404105881108215</v>
      </c>
      <c r="KG10" s="1672">
        <v>19</v>
      </c>
      <c r="KH10" s="506">
        <v>5133561.9800000004</v>
      </c>
      <c r="KI10" s="506">
        <v>2198670.9800000004</v>
      </c>
      <c r="KJ10" s="506">
        <v>1349148.8700000006</v>
      </c>
      <c r="KK10" s="507">
        <f t="shared" si="34"/>
        <v>0.42829345171361899</v>
      </c>
      <c r="KL10" s="508">
        <f t="shared" si="35"/>
        <v>0.26280950249674406</v>
      </c>
      <c r="KM10" s="519">
        <v>21</v>
      </c>
      <c r="KN10" s="506">
        <v>5407529.0499999998</v>
      </c>
      <c r="KO10" s="506">
        <v>2454416.0499999998</v>
      </c>
      <c r="KP10" s="506">
        <v>1615630.4</v>
      </c>
      <c r="KQ10" s="507">
        <f>KO10/KN10</f>
        <v>0.453888648087799</v>
      </c>
      <c r="KR10" s="508">
        <f>KP10/KN10</f>
        <v>0.29877424329324687</v>
      </c>
      <c r="KS10" s="519">
        <v>20</v>
      </c>
      <c r="KT10" s="506">
        <v>3576607.6500000004</v>
      </c>
      <c r="KU10" s="506">
        <v>771444.65000000037</v>
      </c>
      <c r="KV10" s="506">
        <v>-67419.099999999627</v>
      </c>
      <c r="KW10" s="507">
        <f>KU10/KT10</f>
        <v>0.21569171838012488</v>
      </c>
      <c r="KX10" s="508">
        <f>KV10/KT10</f>
        <v>-1.8850012804731215E-2</v>
      </c>
      <c r="KY10" s="1453">
        <v>480</v>
      </c>
      <c r="KZ10" s="1452">
        <f t="shared" si="40"/>
        <v>14117698.68</v>
      </c>
      <c r="LA10" s="1452">
        <f t="shared" si="40"/>
        <v>5424531.6800000006</v>
      </c>
      <c r="LB10" s="1452">
        <f t="shared" si="40"/>
        <v>2897360.1700000009</v>
      </c>
      <c r="LC10" s="507">
        <f t="shared" si="41"/>
        <v>0.3842362557067977</v>
      </c>
      <c r="LD10" s="507">
        <f t="shared" si="42"/>
        <v>0.20522892828875711</v>
      </c>
      <c r="LE10" s="511"/>
      <c r="LF10" s="512"/>
      <c r="LG10" s="512"/>
      <c r="LH10" s="512"/>
      <c r="LI10" s="1462"/>
      <c r="LJ10" s="513"/>
      <c r="LK10" s="513"/>
      <c r="LL10" s="514"/>
      <c r="LM10" s="519">
        <v>22</v>
      </c>
      <c r="LN10" s="506">
        <v>6057433.25</v>
      </c>
      <c r="LO10" s="506">
        <v>3115688.2500000005</v>
      </c>
      <c r="LP10" s="506">
        <v>2197239.1500000004</v>
      </c>
      <c r="LQ10" s="507">
        <f t="shared" ref="LQ10" si="117">LO10/LN10</f>
        <v>0.51435783464885898</v>
      </c>
      <c r="LR10" s="508">
        <f t="shared" ref="LR10" si="118">LP10/LN10</f>
        <v>0.36273435617305405</v>
      </c>
      <c r="LS10" s="519"/>
      <c r="LT10" s="506"/>
      <c r="LU10" s="506"/>
      <c r="LV10" s="506"/>
      <c r="LW10" s="507"/>
      <c r="LX10" s="508"/>
      <c r="LY10" s="519"/>
      <c r="LZ10" s="506"/>
      <c r="MA10" s="506"/>
      <c r="MB10" s="506"/>
      <c r="MC10" s="507"/>
      <c r="MD10" s="508"/>
      <c r="ME10" s="504"/>
      <c r="MF10" s="505">
        <f t="shared" si="50"/>
        <v>37618146.370000005</v>
      </c>
      <c r="MG10" s="505">
        <f t="shared" si="50"/>
        <v>13780799.370000005</v>
      </c>
      <c r="MH10" s="4261">
        <f t="shared" si="50"/>
        <v>5032940.7600000026</v>
      </c>
      <c r="MI10" s="507">
        <f>MG10/MF10</f>
        <v>0.36633382289644173</v>
      </c>
      <c r="MJ10" s="508">
        <f>MH10/MF10</f>
        <v>0.13379023810736482</v>
      </c>
      <c r="MK10" s="1647"/>
      <c r="ML10" s="1647"/>
    </row>
    <row r="11" spans="1:350" s="242" customFormat="1" ht="21.5" customHeight="1" x14ac:dyDescent="0.25">
      <c r="A11" s="1663" t="s">
        <v>178</v>
      </c>
      <c r="B11" s="1673" t="s">
        <v>179</v>
      </c>
      <c r="C11" s="377">
        <v>54</v>
      </c>
      <c r="D11" s="520">
        <v>536872840</v>
      </c>
      <c r="E11" s="520">
        <v>54237330</v>
      </c>
      <c r="F11" s="520">
        <v>14205667.800000004</v>
      </c>
      <c r="G11" s="520">
        <v>6133029.3758000052</v>
      </c>
      <c r="H11" s="500">
        <f>E11/D11</f>
        <v>0.10102453683445786</v>
      </c>
      <c r="I11" s="500">
        <f>F11/D11</f>
        <v>2.6460023196554334E-2</v>
      </c>
      <c r="J11" s="501">
        <f>G11/D11</f>
        <v>1.1423616392663866E-2</v>
      </c>
      <c r="K11" s="521">
        <v>70</v>
      </c>
      <c r="L11" s="520">
        <v>57189600</v>
      </c>
      <c r="M11" s="520">
        <v>4779300</v>
      </c>
      <c r="N11" s="520">
        <v>1441389.25</v>
      </c>
      <c r="O11" s="500">
        <f>M11/L11</f>
        <v>8.356939023878468E-2</v>
      </c>
      <c r="P11" s="501">
        <f>N11/L11</f>
        <v>2.5203695252283633E-2</v>
      </c>
      <c r="Q11" s="377">
        <v>71</v>
      </c>
      <c r="R11" s="520">
        <v>61049700</v>
      </c>
      <c r="S11" s="520">
        <v>5433375</v>
      </c>
      <c r="T11" s="520">
        <v>2423774</v>
      </c>
      <c r="U11" s="500">
        <f>S11/R11</f>
        <v>8.8999208841321092E-2</v>
      </c>
      <c r="V11" s="501">
        <f>T11/R11</f>
        <v>3.9701652915575342E-2</v>
      </c>
      <c r="W11" s="377">
        <v>76</v>
      </c>
      <c r="X11" s="520">
        <v>64865850</v>
      </c>
      <c r="Y11" s="520">
        <v>5241670</v>
      </c>
      <c r="Z11" s="520">
        <v>1617611.25</v>
      </c>
      <c r="AA11" s="500">
        <f>Y11/X11</f>
        <v>8.0807851897415975E-2</v>
      </c>
      <c r="AB11" s="501">
        <f>Z11/X11</f>
        <v>2.4937794694743075E-2</v>
      </c>
      <c r="AC11" s="377">
        <v>75</v>
      </c>
      <c r="AD11" s="520">
        <v>59865750</v>
      </c>
      <c r="AE11" s="520">
        <v>5888925</v>
      </c>
      <c r="AF11" s="520">
        <v>2234120</v>
      </c>
      <c r="AG11" s="500">
        <f>AE11/AD11</f>
        <v>9.8368850302551963E-2</v>
      </c>
      <c r="AH11" s="501">
        <f>AF11/AD11</f>
        <v>3.7318834224911571E-2</v>
      </c>
      <c r="AI11" s="521">
        <v>76</v>
      </c>
      <c r="AJ11" s="520">
        <v>67461150</v>
      </c>
      <c r="AK11" s="520">
        <v>6933300</v>
      </c>
      <c r="AL11" s="520">
        <v>2757873.7124999999</v>
      </c>
      <c r="AM11" s="500">
        <f>AK11/AJ11</f>
        <v>0.10277470810977873</v>
      </c>
      <c r="AN11" s="501">
        <f>AL11/AJ11</f>
        <v>4.0880917572558427E-2</v>
      </c>
      <c r="AO11" s="522">
        <f>'[2]4. USA - Business'!JY17</f>
        <v>84</v>
      </c>
      <c r="AP11" s="520">
        <v>65828175</v>
      </c>
      <c r="AQ11" s="520">
        <v>6254025</v>
      </c>
      <c r="AR11" s="520">
        <v>2740501.5</v>
      </c>
      <c r="AS11" s="500">
        <f>AQ11/AP11</f>
        <v>9.5005292186818177E-2</v>
      </c>
      <c r="AT11" s="501">
        <f>AR11/AP11</f>
        <v>4.1631132869778022E-2</v>
      </c>
      <c r="AU11" s="522">
        <v>74</v>
      </c>
      <c r="AV11" s="520">
        <v>67691700</v>
      </c>
      <c r="AW11" s="520">
        <v>6553725</v>
      </c>
      <c r="AX11" s="520">
        <v>3007951</v>
      </c>
      <c r="AY11" s="500">
        <f t="shared" si="53"/>
        <v>9.6817261200413049E-2</v>
      </c>
      <c r="AZ11" s="501">
        <f t="shared" si="54"/>
        <v>4.4436038687165488E-2</v>
      </c>
      <c r="BA11" s="522">
        <v>76</v>
      </c>
      <c r="BB11" s="520">
        <v>63051600</v>
      </c>
      <c r="BC11" s="520">
        <v>6133725</v>
      </c>
      <c r="BD11" s="520">
        <v>2833894.5</v>
      </c>
      <c r="BE11" s="500">
        <f t="shared" si="55"/>
        <v>9.7281036484403255E-2</v>
      </c>
      <c r="BF11" s="501">
        <f t="shared" si="56"/>
        <v>4.4945639761718975E-2</v>
      </c>
      <c r="BG11" s="522">
        <v>70</v>
      </c>
      <c r="BH11" s="520">
        <v>60269700</v>
      </c>
      <c r="BI11" s="520">
        <v>5781450</v>
      </c>
      <c r="BJ11" s="520">
        <v>2174533.0625</v>
      </c>
      <c r="BK11" s="500">
        <f t="shared" si="57"/>
        <v>9.5926311231016581E-2</v>
      </c>
      <c r="BL11" s="501">
        <f t="shared" si="58"/>
        <v>3.6080037937802907E-2</v>
      </c>
      <c r="BM11" s="523">
        <v>76</v>
      </c>
      <c r="BN11" s="520">
        <v>61536750</v>
      </c>
      <c r="BO11" s="520">
        <v>5805300</v>
      </c>
      <c r="BP11" s="520">
        <v>1149546</v>
      </c>
      <c r="BQ11" s="500">
        <f t="shared" si="59"/>
        <v>9.4338748796450905E-2</v>
      </c>
      <c r="BR11" s="501">
        <f t="shared" si="60"/>
        <v>1.8680642055357164E-2</v>
      </c>
      <c r="BS11" s="523">
        <v>75</v>
      </c>
      <c r="BT11" s="520">
        <v>57996450</v>
      </c>
      <c r="BU11" s="520">
        <v>4566675</v>
      </c>
      <c r="BV11" s="520">
        <v>-2053674</v>
      </c>
      <c r="BW11" s="500">
        <f t="shared" si="61"/>
        <v>7.8740595329541724E-2</v>
      </c>
      <c r="BX11" s="501">
        <f t="shared" si="62"/>
        <v>-3.5410339770796315E-2</v>
      </c>
      <c r="BY11" s="522">
        <v>73</v>
      </c>
      <c r="BZ11" s="520">
        <v>62843175</v>
      </c>
      <c r="CA11" s="520">
        <v>4717425</v>
      </c>
      <c r="CB11" s="520">
        <v>598285</v>
      </c>
      <c r="CC11" s="500">
        <f t="shared" si="63"/>
        <v>7.5066624179952718E-2</v>
      </c>
      <c r="CD11" s="501">
        <f t="shared" si="64"/>
        <v>9.5202860135567627E-3</v>
      </c>
      <c r="CE11" s="521">
        <v>73</v>
      </c>
      <c r="CF11" s="485">
        <f t="shared" si="65"/>
        <v>182376375</v>
      </c>
      <c r="CG11" s="485">
        <f t="shared" si="65"/>
        <v>15089400</v>
      </c>
      <c r="CH11" s="485">
        <f t="shared" si="65"/>
        <v>-305843</v>
      </c>
      <c r="CI11" s="487">
        <f t="shared" si="66"/>
        <v>8.2737690120225277E-2</v>
      </c>
      <c r="CJ11" s="488">
        <f t="shared" si="67"/>
        <v>-1.6769880418996156E-3</v>
      </c>
      <c r="CK11" s="523">
        <v>73</v>
      </c>
      <c r="CL11" s="494">
        <v>751044600</v>
      </c>
      <c r="CM11" s="494">
        <v>67869295</v>
      </c>
      <c r="CN11" s="494">
        <v>21709111.5</v>
      </c>
      <c r="CO11" s="494">
        <v>11135454.354999999</v>
      </c>
      <c r="CP11" s="500">
        <f t="shared" si="68"/>
        <v>9.0366530829194436E-2</v>
      </c>
      <c r="CQ11" s="500">
        <f t="shared" si="69"/>
        <v>2.8905222805676253E-2</v>
      </c>
      <c r="CR11" s="501">
        <f>CO11/CL11</f>
        <v>1.4826621954275417E-2</v>
      </c>
      <c r="CS11" s="525">
        <f t="shared" si="70"/>
        <v>19</v>
      </c>
      <c r="CT11" s="517">
        <f t="shared" si="70"/>
        <v>214171760</v>
      </c>
      <c r="CU11" s="517">
        <f t="shared" si="70"/>
        <v>13631965</v>
      </c>
      <c r="CV11" s="517">
        <f t="shared" si="70"/>
        <v>7503443.6999999955</v>
      </c>
      <c r="CW11" s="500">
        <f>CS11/C11</f>
        <v>0.35185185185185186</v>
      </c>
      <c r="CX11" s="500">
        <f t="shared" si="71"/>
        <v>0.39892455725642595</v>
      </c>
      <c r="CY11" s="500">
        <f t="shared" si="71"/>
        <v>0.25133916068508533</v>
      </c>
      <c r="CZ11" s="501">
        <f t="shared" si="71"/>
        <v>0.52820070169457245</v>
      </c>
      <c r="DA11" s="524"/>
      <c r="DB11" s="522">
        <v>68</v>
      </c>
      <c r="DC11" s="520">
        <v>61592240</v>
      </c>
      <c r="DD11" s="520">
        <v>2892354.4</v>
      </c>
      <c r="DE11" s="520">
        <v>1707472.2</v>
      </c>
      <c r="DF11" s="500">
        <f t="shared" si="72"/>
        <v>4.695972089990557E-2</v>
      </c>
      <c r="DG11" s="501">
        <f t="shared" si="73"/>
        <v>2.7722196822197082E-2</v>
      </c>
      <c r="DH11" s="522">
        <f>'[3]USA - May''23'!NZ18</f>
        <v>67</v>
      </c>
      <c r="DI11" s="520">
        <v>66196249.600000001</v>
      </c>
      <c r="DJ11" s="520">
        <v>3322699.2</v>
      </c>
      <c r="DK11" s="520">
        <v>1299059.2000000002</v>
      </c>
      <c r="DL11" s="500">
        <f t="shared" si="74"/>
        <v>5.0194674472917575E-2</v>
      </c>
      <c r="DM11" s="501">
        <f t="shared" si="75"/>
        <v>1.9624362525818988E-2</v>
      </c>
      <c r="DN11" s="521">
        <v>65</v>
      </c>
      <c r="DO11" s="520">
        <v>60747289.600000001</v>
      </c>
      <c r="DP11" s="520">
        <v>2763396.8000000003</v>
      </c>
      <c r="DQ11" s="520">
        <v>632954.00000000047</v>
      </c>
      <c r="DR11" s="500">
        <f t="shared" si="112"/>
        <v>4.549004273599723E-2</v>
      </c>
      <c r="DS11" s="501">
        <f t="shared" si="113"/>
        <v>1.0419460755661442E-2</v>
      </c>
      <c r="DT11" s="521">
        <v>66</v>
      </c>
      <c r="DU11" s="485">
        <f t="shared" si="76"/>
        <v>188535779.19999999</v>
      </c>
      <c r="DV11" s="485">
        <f t="shared" si="76"/>
        <v>8978450.4000000004</v>
      </c>
      <c r="DW11" s="485">
        <f t="shared" si="76"/>
        <v>3639485.4000000004</v>
      </c>
      <c r="DX11" s="500">
        <f t="shared" si="114"/>
        <v>4.762199746964528E-2</v>
      </c>
      <c r="DY11" s="501">
        <f t="shared" si="115"/>
        <v>1.9303950769679692E-2</v>
      </c>
      <c r="DZ11" s="502">
        <f t="shared" si="77"/>
        <v>-7</v>
      </c>
      <c r="EA11" s="503">
        <f t="shared" si="77"/>
        <v>6159404.1999999881</v>
      </c>
      <c r="EB11" s="503">
        <f t="shared" si="77"/>
        <v>-6110949.5999999996</v>
      </c>
      <c r="EC11" s="503">
        <f t="shared" si="77"/>
        <v>3945328.4000000004</v>
      </c>
      <c r="ED11" s="487">
        <f t="shared" si="78"/>
        <v>-9.5890410958904104E-2</v>
      </c>
      <c r="EE11" s="487">
        <f t="shared" si="78"/>
        <v>3.3773037763251891E-2</v>
      </c>
      <c r="EF11" s="487">
        <f t="shared" si="78"/>
        <v>-0.40498294166766069</v>
      </c>
      <c r="EG11" s="488">
        <f t="shared" si="78"/>
        <v>-12.899848615139142</v>
      </c>
      <c r="EH11" s="412">
        <v>52</v>
      </c>
      <c r="EI11" s="399">
        <v>44086497.600000001</v>
      </c>
      <c r="EJ11" s="399">
        <v>2382758.4000000004</v>
      </c>
      <c r="EK11" s="399">
        <v>764484.40000000037</v>
      </c>
      <c r="EL11" s="500">
        <f>EJ11/EI11</f>
        <v>5.4047350769819383E-2</v>
      </c>
      <c r="EM11" s="501">
        <f>EK11/EI11</f>
        <v>1.734055644284159E-2</v>
      </c>
      <c r="EN11" s="412">
        <v>53</v>
      </c>
      <c r="EO11" s="399">
        <v>53748800</v>
      </c>
      <c r="EP11" s="399">
        <v>3251686.4</v>
      </c>
      <c r="EQ11" s="399">
        <v>1901946.4</v>
      </c>
      <c r="ER11" s="500">
        <f>EP11/EO11</f>
        <v>6.0497841812282321E-2</v>
      </c>
      <c r="ES11" s="501">
        <f>EQ11/EO11</f>
        <v>3.5385839311761376E-2</v>
      </c>
      <c r="ET11" s="519">
        <v>48</v>
      </c>
      <c r="EU11" s="506">
        <v>45890176</v>
      </c>
      <c r="EV11" s="506">
        <v>2385654.4</v>
      </c>
      <c r="EW11" s="506">
        <v>-1503466.0000000005</v>
      </c>
      <c r="EX11" s="507">
        <f>EV11/EU11</f>
        <v>5.1986168019926532E-2</v>
      </c>
      <c r="EY11" s="508">
        <f>EW11/EU11</f>
        <v>-3.2762262668158008E-2</v>
      </c>
      <c r="EZ11" s="509">
        <v>47</v>
      </c>
      <c r="FA11" s="510">
        <f t="shared" si="79"/>
        <v>143725473.59999999</v>
      </c>
      <c r="FB11" s="510">
        <f t="shared" si="79"/>
        <v>8020099.2000000002</v>
      </c>
      <c r="FC11" s="510">
        <f t="shared" si="79"/>
        <v>1162964.7999999998</v>
      </c>
      <c r="FD11" s="507">
        <f>FB11/FA11</f>
        <v>5.5801515201964871E-2</v>
      </c>
      <c r="FE11" s="508">
        <f>FC11/FA11</f>
        <v>8.0915704841344142E-3</v>
      </c>
      <c r="FF11" s="502">
        <f t="shared" si="80"/>
        <v>-19</v>
      </c>
      <c r="FG11" s="503">
        <f t="shared" si="80"/>
        <v>-44810305.599999994</v>
      </c>
      <c r="FH11" s="503">
        <f t="shared" si="80"/>
        <v>-958351.20000000019</v>
      </c>
      <c r="FI11" s="487">
        <f t="shared" si="81"/>
        <v>-0.2878787878787879</v>
      </c>
      <c r="FJ11" s="487">
        <f t="shared" si="82"/>
        <v>-0.2376753409360296</v>
      </c>
      <c r="FK11" s="488">
        <f t="shared" si="82"/>
        <v>-0.10673904263034077</v>
      </c>
      <c r="FL11" s="519">
        <v>54</v>
      </c>
      <c r="FM11" s="506">
        <v>50216480</v>
      </c>
      <c r="FN11" s="506">
        <v>2515068.7999999998</v>
      </c>
      <c r="FO11" s="506">
        <v>1086652.3999999999</v>
      </c>
      <c r="FP11" s="507">
        <f>FN11/FM11</f>
        <v>5.0084530018830467E-2</v>
      </c>
      <c r="FQ11" s="508">
        <f>FO11/FM11</f>
        <v>2.1639358234587527E-2</v>
      </c>
      <c r="FR11" s="519">
        <v>49</v>
      </c>
      <c r="FS11" s="506">
        <v>44481449.600000001</v>
      </c>
      <c r="FT11" s="506">
        <v>2249733.2000000002</v>
      </c>
      <c r="FU11" s="506">
        <v>770716.20000000019</v>
      </c>
      <c r="FV11" s="507">
        <f t="shared" si="1"/>
        <v>5.0576885875589811E-2</v>
      </c>
      <c r="FW11" s="508">
        <f t="shared" si="2"/>
        <v>1.7326688022325606E-2</v>
      </c>
      <c r="FX11" s="519">
        <v>47</v>
      </c>
      <c r="FY11" s="506">
        <f>40438320</f>
        <v>40438320</v>
      </c>
      <c r="FZ11" s="506">
        <v>2035867.6</v>
      </c>
      <c r="GA11" s="506">
        <v>697771.80000000028</v>
      </c>
      <c r="GB11" s="507">
        <f t="shared" si="3"/>
        <v>5.0345009387135771E-2</v>
      </c>
      <c r="GC11" s="508">
        <f t="shared" si="4"/>
        <v>1.7255212382710269E-2</v>
      </c>
      <c r="GD11" s="1453">
        <v>47</v>
      </c>
      <c r="GE11" s="1452">
        <f t="shared" si="83"/>
        <v>135136249.59999999</v>
      </c>
      <c r="GF11" s="1452">
        <f t="shared" si="84"/>
        <v>6800669.6000000006</v>
      </c>
      <c r="GG11" s="1452">
        <f t="shared" si="85"/>
        <v>2555140.4000000004</v>
      </c>
      <c r="GH11" s="507">
        <f>GF11/GE11</f>
        <v>5.0324540011505547E-2</v>
      </c>
      <c r="GI11" s="507">
        <f>GG11/GE11</f>
        <v>1.8907883025932375E-2</v>
      </c>
      <c r="GJ11" s="511">
        <f t="shared" si="86"/>
        <v>0</v>
      </c>
      <c r="GK11" s="512">
        <f t="shared" si="87"/>
        <v>-8589224</v>
      </c>
      <c r="GL11" s="512">
        <f t="shared" si="88"/>
        <v>-1219429.5999999996</v>
      </c>
      <c r="GM11" s="512">
        <f t="shared" si="116"/>
        <v>1392175.6000000006</v>
      </c>
      <c r="GN11" s="1462">
        <f t="shared" si="89"/>
        <v>0</v>
      </c>
      <c r="GO11" s="513">
        <f t="shared" si="90"/>
        <v>0.19167965683322635</v>
      </c>
      <c r="GP11" s="513">
        <f t="shared" si="91"/>
        <v>1.2724245558413234</v>
      </c>
      <c r="GQ11" s="514">
        <f t="shared" si="92"/>
        <v>2.1970917778422878</v>
      </c>
      <c r="GR11" s="519">
        <v>43</v>
      </c>
      <c r="GS11" s="506">
        <v>38574092.799999997</v>
      </c>
      <c r="GT11" s="506">
        <v>1694407.6</v>
      </c>
      <c r="GU11" s="506">
        <v>191126.60000000009</v>
      </c>
      <c r="GV11" s="507">
        <f t="shared" si="5"/>
        <v>4.3926051839643009E-2</v>
      </c>
      <c r="GW11" s="508">
        <f t="shared" si="6"/>
        <v>4.9547918337563626E-3</v>
      </c>
      <c r="GX11" s="519">
        <v>41</v>
      </c>
      <c r="GY11" s="506">
        <v>37562000</v>
      </c>
      <c r="GZ11" s="506">
        <v>1828868.8000000003</v>
      </c>
      <c r="HA11" s="506">
        <v>429811.20000000042</v>
      </c>
      <c r="HB11" s="507">
        <f t="shared" si="7"/>
        <v>4.8689334966189241E-2</v>
      </c>
      <c r="HC11" s="508">
        <f t="shared" si="8"/>
        <v>1.1442713380544178E-2</v>
      </c>
      <c r="HD11" s="519">
        <v>40</v>
      </c>
      <c r="HE11" s="506">
        <v>32948182.399999999</v>
      </c>
      <c r="HF11" s="506">
        <v>1766343.2000000002</v>
      </c>
      <c r="HG11" s="506">
        <v>478122.20000000019</v>
      </c>
      <c r="HH11" s="507">
        <f t="shared" si="9"/>
        <v>5.3609731139524108E-2</v>
      </c>
      <c r="HI11" s="508">
        <f t="shared" si="10"/>
        <v>1.4511337657278484E-2</v>
      </c>
      <c r="HJ11" s="1453">
        <v>40</v>
      </c>
      <c r="HK11" s="1452">
        <f t="shared" si="93"/>
        <v>109084275.2</v>
      </c>
      <c r="HL11" s="1452">
        <f t="shared" si="94"/>
        <v>5289619.6000000006</v>
      </c>
      <c r="HM11" s="1452">
        <f t="shared" si="95"/>
        <v>1099060.0000000007</v>
      </c>
      <c r="HN11" s="507">
        <f t="shared" si="96"/>
        <v>4.8491128444514801E-2</v>
      </c>
      <c r="HO11" s="507">
        <f t="shared" si="97"/>
        <v>0.20777675581813115</v>
      </c>
      <c r="HP11" s="519">
        <v>40</v>
      </c>
      <c r="HQ11" s="505">
        <f t="shared" ref="HQ11:HS12" si="119">HE11+GY11+GS11+FY11+FS11+FM11+EU11+EO11+EI11+DO11+DI11+DC11</f>
        <v>576481777.60000002</v>
      </c>
      <c r="HR11" s="505">
        <f t="shared" si="119"/>
        <v>29088838.800000004</v>
      </c>
      <c r="HS11" s="505">
        <f t="shared" si="119"/>
        <v>8456650.6000000015</v>
      </c>
      <c r="HT11" s="507">
        <f t="shared" si="11"/>
        <v>5.0459251151185047E-2</v>
      </c>
      <c r="HU11" s="508">
        <f t="shared" si="12"/>
        <v>1.4669415285261224E-2</v>
      </c>
      <c r="HV11" s="1647"/>
      <c r="HW11" s="522">
        <v>41</v>
      </c>
      <c r="HX11" s="520">
        <v>37701760</v>
      </c>
      <c r="HY11" s="520">
        <v>2158960.8000000003</v>
      </c>
      <c r="HZ11" s="520">
        <v>796138.80000000028</v>
      </c>
      <c r="IA11" s="500">
        <f t="shared" si="13"/>
        <v>5.7264191379924979E-2</v>
      </c>
      <c r="IB11" s="501">
        <f>HZ11/HX11</f>
        <v>2.1116754231102215E-2</v>
      </c>
      <c r="IC11" s="522">
        <v>42</v>
      </c>
      <c r="ID11" s="520">
        <v>33521609.600000001</v>
      </c>
      <c r="IE11" s="520">
        <v>1878087.2000000002</v>
      </c>
      <c r="IF11" s="520">
        <v>762994.40000000014</v>
      </c>
      <c r="IG11" s="500">
        <f t="shared" si="14"/>
        <v>5.6026164089686199E-2</v>
      </c>
      <c r="IH11" s="501">
        <f t="shared" si="15"/>
        <v>2.2761269792963643E-2</v>
      </c>
      <c r="II11" s="522">
        <v>46</v>
      </c>
      <c r="IJ11" s="520">
        <v>32639216</v>
      </c>
      <c r="IK11" s="520">
        <v>2135644</v>
      </c>
      <c r="IL11" s="520">
        <v>354379.60000000009</v>
      </c>
      <c r="IM11" s="500">
        <f t="shared" si="16"/>
        <v>6.5431841255010531E-2</v>
      </c>
      <c r="IN11" s="501">
        <f t="shared" si="17"/>
        <v>1.085747892964096E-2</v>
      </c>
      <c r="IO11" s="521">
        <v>46</v>
      </c>
      <c r="IP11" s="520">
        <f t="shared" si="18"/>
        <v>103862585.59999999</v>
      </c>
      <c r="IQ11" s="520">
        <f t="shared" si="19"/>
        <v>6172692</v>
      </c>
      <c r="IR11" s="520">
        <f t="shared" si="20"/>
        <v>1913512.8000000005</v>
      </c>
      <c r="IS11" s="500">
        <f t="shared" si="21"/>
        <v>5.9431333856568271E-2</v>
      </c>
      <c r="IT11" s="501">
        <f t="shared" si="22"/>
        <v>1.8423504373070419E-2</v>
      </c>
      <c r="IU11" s="525">
        <f t="shared" si="23"/>
        <v>6</v>
      </c>
      <c r="IV11" s="517">
        <f t="shared" si="23"/>
        <v>-5221689.6000000089</v>
      </c>
      <c r="IW11" s="517">
        <f t="shared" si="23"/>
        <v>883072.39999999944</v>
      </c>
      <c r="IX11" s="517">
        <f t="shared" si="23"/>
        <v>814452.79999999981</v>
      </c>
      <c r="IY11" s="500">
        <f t="shared" si="98"/>
        <v>0.15</v>
      </c>
      <c r="IZ11" s="500">
        <f t="shared" si="99"/>
        <v>-4.7868398909250015E-2</v>
      </c>
      <c r="JA11" s="500">
        <f t="shared" si="100"/>
        <v>0.16694440560527252</v>
      </c>
      <c r="JB11" s="501">
        <f t="shared" si="101"/>
        <v>0.74104489290848474</v>
      </c>
      <c r="JC11" s="412">
        <v>42</v>
      </c>
      <c r="JD11" s="399">
        <v>38601129.600000001</v>
      </c>
      <c r="JE11" s="399">
        <v>2397485.6</v>
      </c>
      <c r="JF11" s="399">
        <v>1423359</v>
      </c>
      <c r="JG11" s="500">
        <f t="shared" si="24"/>
        <v>6.2109208327416406E-2</v>
      </c>
      <c r="JH11" s="501">
        <f t="shared" si="25"/>
        <v>3.6873506416765588E-2</v>
      </c>
      <c r="JI11" s="412">
        <v>41</v>
      </c>
      <c r="JJ11" s="399">
        <v>33429369.600000001</v>
      </c>
      <c r="JK11" s="399">
        <v>2020662.4</v>
      </c>
      <c r="JL11" s="399">
        <v>86104.399999999907</v>
      </c>
      <c r="JM11" s="500">
        <f t="shared" si="26"/>
        <v>6.0445722554098053E-2</v>
      </c>
      <c r="JN11" s="501">
        <f t="shared" si="27"/>
        <v>2.5757111495156612E-3</v>
      </c>
      <c r="JO11" s="519">
        <v>40</v>
      </c>
      <c r="JP11" s="506">
        <v>30410896</v>
      </c>
      <c r="JQ11" s="506">
        <v>1953244</v>
      </c>
      <c r="JR11" s="506">
        <v>490079</v>
      </c>
      <c r="JS11" s="507">
        <f t="shared" si="28"/>
        <v>6.4228426548168793E-2</v>
      </c>
      <c r="JT11" s="508">
        <f t="shared" si="29"/>
        <v>1.6115243694233804E-2</v>
      </c>
      <c r="JU11" s="509">
        <v>40</v>
      </c>
      <c r="JV11" s="510">
        <f t="shared" si="30"/>
        <v>102441395.2</v>
      </c>
      <c r="JW11" s="510">
        <f t="shared" si="30"/>
        <v>6371392</v>
      </c>
      <c r="JX11" s="510">
        <f t="shared" si="30"/>
        <v>1999542.4</v>
      </c>
      <c r="JY11" s="507">
        <f t="shared" si="31"/>
        <v>6.2195482476208992E-2</v>
      </c>
      <c r="JZ11" s="508">
        <f t="shared" si="32"/>
        <v>1.9518890738418993E-2</v>
      </c>
      <c r="KA11" s="502">
        <f t="shared" si="33"/>
        <v>-6</v>
      </c>
      <c r="KB11" s="503">
        <f t="shared" si="33"/>
        <v>-1421190.3999999911</v>
      </c>
      <c r="KC11" s="503">
        <f t="shared" si="33"/>
        <v>198700</v>
      </c>
      <c r="KD11" s="487">
        <f>KA11/IO11</f>
        <v>-0.13043478260869565</v>
      </c>
      <c r="KE11" s="487">
        <f t="shared" si="103"/>
        <v>-1.3683372041914495E-2</v>
      </c>
      <c r="KF11" s="488">
        <f t="shared" si="104"/>
        <v>3.2190169216283593E-2</v>
      </c>
      <c r="KG11" s="504">
        <v>41</v>
      </c>
      <c r="KH11" s="505">
        <v>34908246.399999999</v>
      </c>
      <c r="KI11" s="505">
        <v>2687868</v>
      </c>
      <c r="KJ11" s="505">
        <v>779688</v>
      </c>
      <c r="KK11" s="3748">
        <f t="shared" si="34"/>
        <v>7.6998081461920706E-2</v>
      </c>
      <c r="KL11" s="3749">
        <f t="shared" si="35"/>
        <v>2.2335352829410533E-2</v>
      </c>
      <c r="KM11" s="504">
        <v>41</v>
      </c>
      <c r="KN11" s="505">
        <v>29395936</v>
      </c>
      <c r="KO11" s="505">
        <v>3055632</v>
      </c>
      <c r="KP11" s="505">
        <v>171625.60000000009</v>
      </c>
      <c r="KQ11" s="3748">
        <f t="shared" si="36"/>
        <v>0.10394743001209419</v>
      </c>
      <c r="KR11" s="3749">
        <f t="shared" si="37"/>
        <v>5.8384124934820958E-3</v>
      </c>
      <c r="KS11" s="504">
        <v>44</v>
      </c>
      <c r="KT11" s="505">
        <v>35366732.799999997</v>
      </c>
      <c r="KU11" s="505">
        <v>2811776.3999999994</v>
      </c>
      <c r="KV11" s="505">
        <v>-1891961.4000000004</v>
      </c>
      <c r="KW11" s="507">
        <f>KU11/KT11</f>
        <v>7.9503425320644819E-2</v>
      </c>
      <c r="KX11" s="508">
        <f>KV11/KT11</f>
        <v>-5.3495509768999652E-2</v>
      </c>
      <c r="KY11" s="1453">
        <v>481</v>
      </c>
      <c r="KZ11" s="1452">
        <f t="shared" si="40"/>
        <v>99670915.199999988</v>
      </c>
      <c r="LA11" s="1452">
        <f t="shared" si="40"/>
        <v>8555276.3999999985</v>
      </c>
      <c r="LB11" s="1452">
        <f t="shared" si="40"/>
        <v>-940647.80000000028</v>
      </c>
      <c r="LC11" s="507">
        <f t="shared" si="41"/>
        <v>8.5835234710476493E-2</v>
      </c>
      <c r="LD11" s="507">
        <f t="shared" si="42"/>
        <v>-9.4375354948080213E-3</v>
      </c>
      <c r="LE11" s="3752"/>
      <c r="LF11" s="3753">
        <f t="shared" ref="LF11:LH12" si="120">KZ11-JV11</f>
        <v>-2770480.0000000149</v>
      </c>
      <c r="LG11" s="3753">
        <f t="shared" si="120"/>
        <v>2183884.3999999985</v>
      </c>
      <c r="LH11" s="3753">
        <f t="shared" si="120"/>
        <v>-2940190.2</v>
      </c>
      <c r="LI11" s="3754">
        <f t="shared" ref="LI11:LK12" si="121">LE11/KA11</f>
        <v>0</v>
      </c>
      <c r="LJ11" s="3755">
        <f t="shared" si="121"/>
        <v>1.9494080455370599</v>
      </c>
      <c r="LK11" s="3755">
        <f t="shared" si="121"/>
        <v>10.990862606945136</v>
      </c>
      <c r="LL11" s="3756">
        <f>LB11/JX11</f>
        <v>-0.47043153473514754</v>
      </c>
      <c r="LM11" s="519">
        <v>50</v>
      </c>
      <c r="LN11" s="506">
        <v>38691360</v>
      </c>
      <c r="LO11" s="506">
        <v>3345240.8000000003</v>
      </c>
      <c r="LP11" s="506">
        <v>1129203.0000000005</v>
      </c>
      <c r="LQ11" s="3748">
        <f t="shared" si="44"/>
        <v>8.6459633365175079E-2</v>
      </c>
      <c r="LR11" s="3749">
        <f t="shared" si="45"/>
        <v>2.9184887788901721E-2</v>
      </c>
      <c r="LS11" s="504"/>
      <c r="LT11" s="505"/>
      <c r="LU11" s="505"/>
      <c r="LV11" s="505"/>
      <c r="LW11" s="3748" t="e">
        <f t="shared" si="46"/>
        <v>#DIV/0!</v>
      </c>
      <c r="LX11" s="3749" t="e">
        <f t="shared" si="47"/>
        <v>#DIV/0!</v>
      </c>
      <c r="LY11" s="504"/>
      <c r="LZ11" s="505"/>
      <c r="MA11" s="505"/>
      <c r="MB11" s="505"/>
      <c r="MC11" s="3748" t="e">
        <f t="shared" si="48"/>
        <v>#DIV/0!</v>
      </c>
      <c r="MD11" s="3749" t="e">
        <f t="shared" si="49"/>
        <v>#DIV/0!</v>
      </c>
      <c r="ME11" s="519"/>
      <c r="MF11" s="505">
        <f t="shared" si="50"/>
        <v>344666256</v>
      </c>
      <c r="MG11" s="505">
        <f t="shared" si="50"/>
        <v>24444601.199999999</v>
      </c>
      <c r="MH11" s="505">
        <f t="shared" si="50"/>
        <v>4101610.4000000008</v>
      </c>
      <c r="MI11" s="507">
        <f t="shared" si="51"/>
        <v>7.0922525122389696E-2</v>
      </c>
      <c r="MJ11" s="508">
        <f t="shared" si="52"/>
        <v>1.1900237776685632E-2</v>
      </c>
      <c r="MK11" s="1647"/>
    </row>
    <row r="12" spans="1:350" s="242" customFormat="1" ht="21.5" customHeight="1" x14ac:dyDescent="0.25">
      <c r="A12" s="1663" t="s">
        <v>178</v>
      </c>
      <c r="B12" s="1673" t="s">
        <v>180</v>
      </c>
      <c r="C12" s="528">
        <v>0</v>
      </c>
      <c r="D12" s="520">
        <v>0</v>
      </c>
      <c r="E12" s="520">
        <v>0</v>
      </c>
      <c r="F12" s="520">
        <v>0</v>
      </c>
      <c r="G12" s="520"/>
      <c r="H12" s="530">
        <v>0</v>
      </c>
      <c r="I12" s="530">
        <v>0</v>
      </c>
      <c r="J12" s="533"/>
      <c r="K12" s="521"/>
      <c r="L12" s="520">
        <v>0</v>
      </c>
      <c r="M12" s="520">
        <v>0</v>
      </c>
      <c r="N12" s="520">
        <v>0</v>
      </c>
      <c r="O12" s="500"/>
      <c r="P12" s="501"/>
      <c r="Q12" s="377"/>
      <c r="R12" s="520">
        <v>0</v>
      </c>
      <c r="S12" s="520">
        <v>0</v>
      </c>
      <c r="T12" s="520">
        <v>0</v>
      </c>
      <c r="U12" s="500"/>
      <c r="V12" s="501"/>
      <c r="W12" s="377"/>
      <c r="X12" s="530">
        <v>0</v>
      </c>
      <c r="Y12" s="530">
        <v>0</v>
      </c>
      <c r="Z12" s="530">
        <v>0</v>
      </c>
      <c r="AA12" s="500"/>
      <c r="AB12" s="501"/>
      <c r="AC12" s="377"/>
      <c r="AD12" s="520">
        <v>0</v>
      </c>
      <c r="AE12" s="520">
        <v>0</v>
      </c>
      <c r="AF12" s="520">
        <v>0</v>
      </c>
      <c r="AG12" s="500"/>
      <c r="AH12" s="501"/>
      <c r="AI12" s="521"/>
      <c r="AJ12" s="520">
        <v>0</v>
      </c>
      <c r="AK12" s="520">
        <v>0</v>
      </c>
      <c r="AL12" s="520">
        <v>0</v>
      </c>
      <c r="AM12" s="530">
        <v>0</v>
      </c>
      <c r="AN12" s="533">
        <v>0</v>
      </c>
      <c r="AO12" s="522"/>
      <c r="AP12" s="520">
        <v>0</v>
      </c>
      <c r="AQ12" s="520">
        <v>0</v>
      </c>
      <c r="AR12" s="520">
        <v>0</v>
      </c>
      <c r="AS12" s="530">
        <v>0</v>
      </c>
      <c r="AT12" s="533">
        <v>0</v>
      </c>
      <c r="AU12" s="522">
        <v>2</v>
      </c>
      <c r="AV12" s="520">
        <f>'[4]5. Canada - Business'!E17</f>
        <v>877800</v>
      </c>
      <c r="AW12" s="520">
        <f>'[4]5. Canada - Business'!I5</f>
        <v>263400</v>
      </c>
      <c r="AX12" s="520">
        <f>AW12</f>
        <v>263400</v>
      </c>
      <c r="AY12" s="500">
        <f t="shared" si="53"/>
        <v>0.30006835269993165</v>
      </c>
      <c r="AZ12" s="501">
        <f t="shared" si="54"/>
        <v>0.30006835269993165</v>
      </c>
      <c r="BA12" s="522">
        <v>1</v>
      </c>
      <c r="BB12" s="520">
        <f>'[4]5. Canada - Business'!M17</f>
        <v>1663500</v>
      </c>
      <c r="BC12" s="520">
        <f>'[4]5. Canada - Business'!Q17</f>
        <v>506700</v>
      </c>
      <c r="BD12" s="520">
        <f>BC12</f>
        <v>506700</v>
      </c>
      <c r="BE12" s="500">
        <f t="shared" si="55"/>
        <v>0.30459873760144274</v>
      </c>
      <c r="BF12" s="501">
        <f t="shared" si="56"/>
        <v>0.30459873760144274</v>
      </c>
      <c r="BG12" s="522">
        <v>2</v>
      </c>
      <c r="BH12" s="520">
        <f>'[4]5. Canada - Business'!U17</f>
        <v>1154160</v>
      </c>
      <c r="BI12" s="520">
        <f>'[4]5. Canada - Business'!Y17</f>
        <v>350640</v>
      </c>
      <c r="BJ12" s="520">
        <f>BI12</f>
        <v>350640</v>
      </c>
      <c r="BK12" s="500">
        <f t="shared" si="57"/>
        <v>0.30380536494073612</v>
      </c>
      <c r="BL12" s="501">
        <f t="shared" si="58"/>
        <v>0.30380536494073612</v>
      </c>
      <c r="BM12" s="523">
        <v>2</v>
      </c>
      <c r="BN12" s="520">
        <f>'[4]5. Canada - Business'!AC17</f>
        <v>1572780</v>
      </c>
      <c r="BO12" s="520">
        <f>'[4]5. Canada - Business'!AG17</f>
        <v>487980</v>
      </c>
      <c r="BP12" s="520">
        <f>BO12</f>
        <v>487980</v>
      </c>
      <c r="BQ12" s="500">
        <f t="shared" si="59"/>
        <v>0.31026589859993131</v>
      </c>
      <c r="BR12" s="501">
        <f t="shared" si="60"/>
        <v>0.31026589859993131</v>
      </c>
      <c r="BS12" s="523">
        <v>2</v>
      </c>
      <c r="BT12" s="520">
        <f>'[4]5. Canada - Business'!AK17</f>
        <v>1546368.0000000002</v>
      </c>
      <c r="BU12" s="520">
        <f>'[4]5. Canada - Business'!AW17</f>
        <v>431846.40000000014</v>
      </c>
      <c r="BV12" s="520">
        <f>BU12</f>
        <v>431846.40000000014</v>
      </c>
      <c r="BW12" s="500">
        <f t="shared" si="61"/>
        <v>0.27926496150980884</v>
      </c>
      <c r="BX12" s="501">
        <f t="shared" si="62"/>
        <v>0.27926496150980884</v>
      </c>
      <c r="BY12" s="522">
        <v>2</v>
      </c>
      <c r="BZ12" s="520">
        <v>1165440</v>
      </c>
      <c r="CA12" s="520">
        <f>'[4]5. Canada - Business'!AW17</f>
        <v>431846.40000000014</v>
      </c>
      <c r="CB12" s="520">
        <v>395946.00000000012</v>
      </c>
      <c r="CC12" s="500">
        <f t="shared" si="63"/>
        <v>0.37054365733113687</v>
      </c>
      <c r="CD12" s="501">
        <f t="shared" si="64"/>
        <v>0.33973949752883043</v>
      </c>
      <c r="CE12" s="521">
        <v>2</v>
      </c>
      <c r="CF12" s="520">
        <f t="shared" si="65"/>
        <v>4284588</v>
      </c>
      <c r="CG12" s="520">
        <f t="shared" si="65"/>
        <v>1351672.8000000003</v>
      </c>
      <c r="CH12" s="520">
        <f t="shared" si="65"/>
        <v>1315772.4000000004</v>
      </c>
      <c r="CI12" s="500">
        <f t="shared" si="66"/>
        <v>0.31547322636388847</v>
      </c>
      <c r="CJ12" s="501">
        <f t="shared" si="67"/>
        <v>0.30709426437267723</v>
      </c>
      <c r="CK12" s="523">
        <v>2</v>
      </c>
      <c r="CL12" s="494">
        <f>(L12+R12+X12+AD12+AJ12+AP12+AV12+BB12+BH12+BN12+BT12+BZ12)</f>
        <v>7980048</v>
      </c>
      <c r="CM12" s="494">
        <f>(M12+S12+Y12+AE12+AK12+AQ12+AW12+BC12+BI12+BO12+BU12+CA12)</f>
        <v>2472412.8000000003</v>
      </c>
      <c r="CN12" s="494">
        <f>(N12+T12+Z12+AF12+AL12+AR12+AX12+BD12+BJ12+BP12+BV12+CB12)</f>
        <v>2436512.4000000004</v>
      </c>
      <c r="CO12" s="494">
        <v>1847066.2079999994</v>
      </c>
      <c r="CP12" s="500">
        <f t="shared" si="68"/>
        <v>0.30982430180871096</v>
      </c>
      <c r="CQ12" s="500">
        <f t="shared" si="69"/>
        <v>0.30532553187650002</v>
      </c>
      <c r="CR12" s="501">
        <f>CO12/CL12</f>
        <v>0.23146053858322649</v>
      </c>
      <c r="CS12" s="525">
        <f t="shared" si="70"/>
        <v>2</v>
      </c>
      <c r="CT12" s="517">
        <f t="shared" si="70"/>
        <v>7980048</v>
      </c>
      <c r="CU12" s="517">
        <f t="shared" si="70"/>
        <v>2472412.8000000003</v>
      </c>
      <c r="CV12" s="517">
        <f t="shared" si="70"/>
        <v>2436512.4000000004</v>
      </c>
      <c r="CW12" s="500">
        <v>1</v>
      </c>
      <c r="CX12" s="500">
        <v>1</v>
      </c>
      <c r="CY12" s="500">
        <v>1</v>
      </c>
      <c r="CZ12" s="501">
        <v>1</v>
      </c>
      <c r="DA12" s="524"/>
      <c r="DB12" s="522">
        <v>2</v>
      </c>
      <c r="DC12" s="520">
        <v>1546368.0000000002</v>
      </c>
      <c r="DD12" s="520">
        <v>492708.00000000017</v>
      </c>
      <c r="DE12" s="520">
        <v>437727.00000000017</v>
      </c>
      <c r="DF12" s="500">
        <f t="shared" si="72"/>
        <v>0.31862273404519498</v>
      </c>
      <c r="DG12" s="501">
        <f t="shared" si="73"/>
        <v>0.28306780792152975</v>
      </c>
      <c r="DH12" s="522">
        <v>2</v>
      </c>
      <c r="DI12" s="520">
        <v>1623686.4000000001</v>
      </c>
      <c r="DJ12" s="520">
        <v>434246.40000000014</v>
      </c>
      <c r="DK12" s="520">
        <v>377741.40000000014</v>
      </c>
      <c r="DL12" s="500">
        <f t="shared" si="74"/>
        <v>0.26744474795132861</v>
      </c>
      <c r="DM12" s="501">
        <f t="shared" si="75"/>
        <v>0.23264430865467625</v>
      </c>
      <c r="DN12" s="521">
        <v>2</v>
      </c>
      <c r="DO12" s="520">
        <v>1542604.8</v>
      </c>
      <c r="DP12" s="520">
        <v>320524.8000000001</v>
      </c>
      <c r="DQ12" s="520">
        <v>318019.8000000001</v>
      </c>
      <c r="DR12" s="500">
        <f t="shared" si="112"/>
        <v>0.20778153938066321</v>
      </c>
      <c r="DS12" s="501">
        <f t="shared" si="113"/>
        <v>0.20615766267549543</v>
      </c>
      <c r="DT12" s="521">
        <v>2</v>
      </c>
      <c r="DU12" s="485">
        <v>4791799.2</v>
      </c>
      <c r="DV12" s="485">
        <f t="shared" si="76"/>
        <v>1247479.2000000004</v>
      </c>
      <c r="DW12" s="485">
        <f t="shared" si="76"/>
        <v>1133488.2000000004</v>
      </c>
      <c r="DX12" s="500">
        <f t="shared" si="114"/>
        <v>0.26033628454214031</v>
      </c>
      <c r="DY12" s="501">
        <f t="shared" si="115"/>
        <v>0.23654751643182384</v>
      </c>
      <c r="DZ12" s="502">
        <f t="shared" si="77"/>
        <v>0</v>
      </c>
      <c r="EA12" s="503">
        <f t="shared" si="77"/>
        <v>507211.20000000019</v>
      </c>
      <c r="EB12" s="503">
        <f t="shared" si="77"/>
        <v>-104193.59999999986</v>
      </c>
      <c r="EC12" s="503">
        <f t="shared" si="77"/>
        <v>-182284.19999999995</v>
      </c>
      <c r="ED12" s="531">
        <f t="shared" si="78"/>
        <v>0</v>
      </c>
      <c r="EE12" s="487">
        <f t="shared" si="78"/>
        <v>0.11838039036658839</v>
      </c>
      <c r="EF12" s="487">
        <f t="shared" si="78"/>
        <v>-7.7084927654088947E-2</v>
      </c>
      <c r="EG12" s="488">
        <f t="shared" si="78"/>
        <v>-0.13853778966635863</v>
      </c>
      <c r="EH12" s="412"/>
      <c r="EI12" s="399">
        <v>0</v>
      </c>
      <c r="EJ12" s="399">
        <v>0</v>
      </c>
      <c r="EK12" s="399">
        <v>0</v>
      </c>
      <c r="EL12" s="534">
        <v>0</v>
      </c>
      <c r="EM12" s="535">
        <v>0</v>
      </c>
      <c r="EN12" s="412">
        <v>0</v>
      </c>
      <c r="EO12" s="399">
        <v>0</v>
      </c>
      <c r="EP12" s="399">
        <v>0</v>
      </c>
      <c r="EQ12" s="399">
        <v>0</v>
      </c>
      <c r="ER12" s="534">
        <v>0</v>
      </c>
      <c r="ES12" s="535">
        <v>0</v>
      </c>
      <c r="ET12" s="519"/>
      <c r="EU12" s="506"/>
      <c r="EV12" s="506"/>
      <c r="EW12" s="506"/>
      <c r="EX12" s="536">
        <v>0</v>
      </c>
      <c r="EY12" s="537">
        <v>0</v>
      </c>
      <c r="EZ12" s="509"/>
      <c r="FA12" s="510">
        <f t="shared" si="79"/>
        <v>0</v>
      </c>
      <c r="FB12" s="510">
        <f t="shared" si="79"/>
        <v>0</v>
      </c>
      <c r="FC12" s="510">
        <f t="shared" si="79"/>
        <v>0</v>
      </c>
      <c r="FD12" s="536">
        <v>0</v>
      </c>
      <c r="FE12" s="537">
        <v>0</v>
      </c>
      <c r="FF12" s="502">
        <f t="shared" si="80"/>
        <v>-2</v>
      </c>
      <c r="FG12" s="503">
        <f t="shared" si="80"/>
        <v>-4791799.2</v>
      </c>
      <c r="FH12" s="503">
        <f t="shared" si="80"/>
        <v>-1247479.2000000004</v>
      </c>
      <c r="FI12" s="487">
        <f t="shared" si="81"/>
        <v>-1</v>
      </c>
      <c r="FJ12" s="487">
        <f t="shared" si="82"/>
        <v>-1</v>
      </c>
      <c r="FK12" s="488">
        <f t="shared" si="82"/>
        <v>-1</v>
      </c>
      <c r="FL12" s="519"/>
      <c r="FM12" s="506">
        <v>0</v>
      </c>
      <c r="FN12" s="506">
        <v>0</v>
      </c>
      <c r="FO12" s="506">
        <v>0</v>
      </c>
      <c r="FP12" s="536">
        <v>0</v>
      </c>
      <c r="FQ12" s="537">
        <v>0</v>
      </c>
      <c r="FR12" s="519">
        <v>1</v>
      </c>
      <c r="FS12" s="506">
        <v>230400</v>
      </c>
      <c r="FT12" s="506">
        <v>38400</v>
      </c>
      <c r="FU12" s="506">
        <v>8670</v>
      </c>
      <c r="FV12" s="507">
        <f t="shared" si="1"/>
        <v>0.16666666666666666</v>
      </c>
      <c r="FW12" s="508">
        <f t="shared" si="2"/>
        <v>3.7630208333333331E-2</v>
      </c>
      <c r="FX12" s="519">
        <v>2</v>
      </c>
      <c r="FY12" s="506">
        <v>979200</v>
      </c>
      <c r="FZ12" s="506">
        <v>211200</v>
      </c>
      <c r="GA12" s="506">
        <v>194728.2</v>
      </c>
      <c r="GB12" s="507">
        <f t="shared" si="3"/>
        <v>0.21568627450980393</v>
      </c>
      <c r="GC12" s="508">
        <f t="shared" si="4"/>
        <v>0.19886458333333334</v>
      </c>
      <c r="GD12" s="1453">
        <v>2</v>
      </c>
      <c r="GE12" s="1452">
        <f t="shared" si="83"/>
        <v>1209600</v>
      </c>
      <c r="GF12" s="1452">
        <f t="shared" si="84"/>
        <v>249600</v>
      </c>
      <c r="GG12" s="1452">
        <f t="shared" si="85"/>
        <v>203398.2</v>
      </c>
      <c r="GH12" s="507">
        <f>GF12/GE12</f>
        <v>0.20634920634920634</v>
      </c>
      <c r="GI12" s="507">
        <f>GG12/GE12</f>
        <v>0.16815327380952383</v>
      </c>
      <c r="GJ12" s="511">
        <f t="shared" si="86"/>
        <v>2</v>
      </c>
      <c r="GK12" s="512">
        <f t="shared" si="87"/>
        <v>1209600</v>
      </c>
      <c r="GL12" s="512">
        <f t="shared" si="88"/>
        <v>249600</v>
      </c>
      <c r="GM12" s="512">
        <f t="shared" si="116"/>
        <v>203398.2</v>
      </c>
      <c r="GN12" s="513">
        <f t="shared" si="89"/>
        <v>-1</v>
      </c>
      <c r="GO12" s="513">
        <f t="shared" si="90"/>
        <v>-0.25243127883989797</v>
      </c>
      <c r="GP12" s="513">
        <f t="shared" si="91"/>
        <v>-0.20008349638214401</v>
      </c>
      <c r="GQ12" s="514">
        <v>1</v>
      </c>
      <c r="GR12" s="519">
        <v>2</v>
      </c>
      <c r="GS12" s="506">
        <v>1315200</v>
      </c>
      <c r="GT12" s="506">
        <v>307200</v>
      </c>
      <c r="GU12" s="506">
        <v>181200</v>
      </c>
      <c r="GV12" s="507">
        <f t="shared" si="5"/>
        <v>0.23357664233576642</v>
      </c>
      <c r="GW12" s="508">
        <f t="shared" si="6"/>
        <v>0.13777372262773724</v>
      </c>
      <c r="GX12" s="519">
        <v>2</v>
      </c>
      <c r="GY12" s="506">
        <v>1248000</v>
      </c>
      <c r="GZ12" s="506">
        <v>288000</v>
      </c>
      <c r="HA12" s="506">
        <v>207000</v>
      </c>
      <c r="HB12" s="507">
        <f t="shared" si="7"/>
        <v>0.23076923076923078</v>
      </c>
      <c r="HC12" s="508">
        <f t="shared" si="8"/>
        <v>0.16586538461538461</v>
      </c>
      <c r="HD12" s="519">
        <v>2</v>
      </c>
      <c r="HE12" s="506">
        <v>1327200</v>
      </c>
      <c r="HF12" s="506">
        <v>362400</v>
      </c>
      <c r="HG12" s="506">
        <v>198240</v>
      </c>
      <c r="HH12" s="507">
        <f t="shared" si="9"/>
        <v>0.27305605786618448</v>
      </c>
      <c r="HI12" s="508">
        <f t="shared" si="10"/>
        <v>0.14936708860759493</v>
      </c>
      <c r="HJ12" s="1453">
        <v>2</v>
      </c>
      <c r="HK12" s="1452">
        <f t="shared" si="93"/>
        <v>3890400</v>
      </c>
      <c r="HL12" s="1452">
        <f t="shared" si="94"/>
        <v>957600</v>
      </c>
      <c r="HM12" s="1452">
        <f t="shared" si="95"/>
        <v>586440</v>
      </c>
      <c r="HN12" s="507">
        <f t="shared" si="96"/>
        <v>0.24614435533621221</v>
      </c>
      <c r="HO12" s="507">
        <f t="shared" si="97"/>
        <v>0.61240601503759395</v>
      </c>
      <c r="HP12" s="519">
        <v>2</v>
      </c>
      <c r="HQ12" s="505">
        <f t="shared" si="119"/>
        <v>9812659.2000000011</v>
      </c>
      <c r="HR12" s="505">
        <f t="shared" si="119"/>
        <v>2454679.2000000002</v>
      </c>
      <c r="HS12" s="505">
        <f t="shared" si="119"/>
        <v>1923326.4000000004</v>
      </c>
      <c r="HT12" s="507">
        <f t="shared" si="11"/>
        <v>0.25015433125406006</v>
      </c>
      <c r="HU12" s="508">
        <f t="shared" si="12"/>
        <v>0.19600460596858393</v>
      </c>
      <c r="HV12" s="1647"/>
      <c r="HW12" s="522">
        <v>2</v>
      </c>
      <c r="HX12" s="520">
        <v>1372800</v>
      </c>
      <c r="HY12" s="520">
        <v>316800</v>
      </c>
      <c r="HZ12" s="520">
        <v>300901.8</v>
      </c>
      <c r="IA12" s="500">
        <f t="shared" si="13"/>
        <v>0.23076923076923078</v>
      </c>
      <c r="IB12" s="501">
        <f>HZ12/HX12</f>
        <v>0.21918837412587411</v>
      </c>
      <c r="IC12" s="522">
        <v>2</v>
      </c>
      <c r="ID12" s="520">
        <v>1315200</v>
      </c>
      <c r="IE12" s="520">
        <v>307200</v>
      </c>
      <c r="IF12" s="520">
        <v>298500</v>
      </c>
      <c r="IG12" s="500">
        <f t="shared" si="14"/>
        <v>0.23357664233576642</v>
      </c>
      <c r="IH12" s="501">
        <f t="shared" si="15"/>
        <v>0.22696167883211679</v>
      </c>
      <c r="II12" s="522">
        <v>2</v>
      </c>
      <c r="IJ12" s="520">
        <v>1248000</v>
      </c>
      <c r="IK12" s="520">
        <v>292800</v>
      </c>
      <c r="IL12" s="520">
        <v>282600</v>
      </c>
      <c r="IM12" s="500">
        <f t="shared" si="16"/>
        <v>0.23461538461538461</v>
      </c>
      <c r="IN12" s="501">
        <f t="shared" si="17"/>
        <v>0.22644230769230769</v>
      </c>
      <c r="IO12" s="521">
        <v>2</v>
      </c>
      <c r="IP12" s="520">
        <f t="shared" si="18"/>
        <v>3936000</v>
      </c>
      <c r="IQ12" s="520">
        <f t="shared" si="19"/>
        <v>916800</v>
      </c>
      <c r="IR12" s="520">
        <f t="shared" si="20"/>
        <v>882001.8</v>
      </c>
      <c r="IS12" s="500">
        <f t="shared" si="21"/>
        <v>0.2329268292682927</v>
      </c>
      <c r="IT12" s="501">
        <f t="shared" si="22"/>
        <v>0.22408582317073172</v>
      </c>
      <c r="IU12" s="502">
        <f t="shared" si="23"/>
        <v>0</v>
      </c>
      <c r="IV12" s="517">
        <f t="shared" si="23"/>
        <v>45600</v>
      </c>
      <c r="IW12" s="517">
        <f t="shared" si="23"/>
        <v>-40800</v>
      </c>
      <c r="IX12" s="517">
        <f t="shared" si="23"/>
        <v>295561.80000000005</v>
      </c>
      <c r="IY12" s="487">
        <f t="shared" si="98"/>
        <v>0</v>
      </c>
      <c r="IZ12" s="487">
        <f t="shared" si="99"/>
        <v>1.1721159777914868E-2</v>
      </c>
      <c r="JA12" s="487">
        <f t="shared" si="100"/>
        <v>-4.2606516290726815E-2</v>
      </c>
      <c r="JB12" s="488">
        <f t="shared" si="101"/>
        <v>0.50399324739103757</v>
      </c>
      <c r="JC12" s="412">
        <v>2</v>
      </c>
      <c r="JD12" s="399">
        <v>1372800</v>
      </c>
      <c r="JE12" s="399">
        <v>295680</v>
      </c>
      <c r="JF12" s="399">
        <v>292800</v>
      </c>
      <c r="JG12" s="500">
        <f t="shared" si="24"/>
        <v>0.2153846153846154</v>
      </c>
      <c r="JH12" s="501">
        <f t="shared" si="25"/>
        <v>0.21328671328671328</v>
      </c>
      <c r="JI12" s="412">
        <v>2</v>
      </c>
      <c r="JJ12" s="399">
        <v>1286400</v>
      </c>
      <c r="JK12" s="399">
        <v>284160</v>
      </c>
      <c r="JL12" s="399">
        <v>282592.8</v>
      </c>
      <c r="JM12" s="500">
        <f t="shared" si="26"/>
        <v>0.22089552238805971</v>
      </c>
      <c r="JN12" s="501">
        <f t="shared" si="27"/>
        <v>0.21967723880597015</v>
      </c>
      <c r="JO12" s="519">
        <v>2</v>
      </c>
      <c r="JP12" s="506">
        <v>1248000</v>
      </c>
      <c r="JQ12" s="506">
        <v>268800</v>
      </c>
      <c r="JR12" s="506">
        <v>87570</v>
      </c>
      <c r="JS12" s="507">
        <f t="shared" si="28"/>
        <v>0.2153846153846154</v>
      </c>
      <c r="JT12" s="508">
        <f t="shared" si="29"/>
        <v>7.0168269230769229E-2</v>
      </c>
      <c r="JU12" s="509">
        <v>2</v>
      </c>
      <c r="JV12" s="510">
        <f t="shared" si="30"/>
        <v>3907200</v>
      </c>
      <c r="JW12" s="510">
        <f t="shared" si="30"/>
        <v>848640</v>
      </c>
      <c r="JX12" s="510">
        <f t="shared" si="30"/>
        <v>662962.80000000005</v>
      </c>
      <c r="JY12" s="507">
        <f t="shared" si="31"/>
        <v>0.21719901719901719</v>
      </c>
      <c r="JZ12" s="508">
        <f t="shared" si="32"/>
        <v>0.16967721130221131</v>
      </c>
      <c r="KA12" s="502">
        <f t="shared" si="33"/>
        <v>0</v>
      </c>
      <c r="KB12" s="503">
        <f t="shared" si="33"/>
        <v>-28800</v>
      </c>
      <c r="KC12" s="503">
        <f t="shared" si="33"/>
        <v>-68160</v>
      </c>
      <c r="KD12" s="487">
        <f t="shared" si="102"/>
        <v>0</v>
      </c>
      <c r="KE12" s="487">
        <f t="shared" si="103"/>
        <v>-7.3170731707317077E-3</v>
      </c>
      <c r="KF12" s="488">
        <f t="shared" si="104"/>
        <v>-7.4345549738219899E-2</v>
      </c>
      <c r="KG12" s="519">
        <v>1</v>
      </c>
      <c r="KH12" s="506">
        <v>633600</v>
      </c>
      <c r="KI12" s="506">
        <v>84480</v>
      </c>
      <c r="KJ12" s="506">
        <v>75701.399999999994</v>
      </c>
      <c r="KK12" s="507">
        <f t="shared" si="34"/>
        <v>0.13333333333333333</v>
      </c>
      <c r="KL12" s="508">
        <f t="shared" si="35"/>
        <v>0.11947821969696969</v>
      </c>
      <c r="KM12" s="519">
        <v>2</v>
      </c>
      <c r="KN12" s="506">
        <v>604800</v>
      </c>
      <c r="KO12" s="506">
        <v>80640</v>
      </c>
      <c r="KP12" s="506">
        <v>71861.399999999994</v>
      </c>
      <c r="KQ12" s="507">
        <f t="shared" si="36"/>
        <v>0.13333333333333333</v>
      </c>
      <c r="KR12" s="508">
        <f t="shared" si="37"/>
        <v>0.11881845238095237</v>
      </c>
      <c r="KS12" s="519">
        <v>2</v>
      </c>
      <c r="KT12" s="506">
        <v>724320</v>
      </c>
      <c r="KU12" s="506">
        <v>108960</v>
      </c>
      <c r="KV12" s="506">
        <v>107576.4</v>
      </c>
      <c r="KW12" s="507">
        <f>KU12/KT12</f>
        <v>0.15043074884029159</v>
      </c>
      <c r="KX12" s="508">
        <f>KV12/KT12</f>
        <v>0.14852054340622928</v>
      </c>
      <c r="KY12" s="1453">
        <v>2</v>
      </c>
      <c r="KZ12" s="1452">
        <f t="shared" si="40"/>
        <v>1962720</v>
      </c>
      <c r="LA12" s="1452">
        <f t="shared" si="40"/>
        <v>274080</v>
      </c>
      <c r="LB12" s="1452">
        <f t="shared" si="40"/>
        <v>255139.19999999998</v>
      </c>
      <c r="LC12" s="507">
        <f t="shared" si="41"/>
        <v>0.1396429444852042</v>
      </c>
      <c r="LD12" s="507">
        <f t="shared" si="42"/>
        <v>0.12999266324284664</v>
      </c>
      <c r="LE12" s="511"/>
      <c r="LF12" s="512">
        <f t="shared" si="120"/>
        <v>-1944480</v>
      </c>
      <c r="LG12" s="512">
        <f t="shared" si="120"/>
        <v>-574560</v>
      </c>
      <c r="LH12" s="512">
        <f t="shared" si="120"/>
        <v>-407823.60000000009</v>
      </c>
      <c r="LI12" s="513" t="e">
        <f t="shared" si="121"/>
        <v>#DIV/0!</v>
      </c>
      <c r="LJ12" s="513">
        <f t="shared" si="121"/>
        <v>67.516666666666666</v>
      </c>
      <c r="LK12" s="513">
        <f t="shared" si="121"/>
        <v>8.429577464788732</v>
      </c>
      <c r="LL12" s="514">
        <v>1</v>
      </c>
      <c r="LM12" s="519">
        <v>2</v>
      </c>
      <c r="LN12" s="506">
        <v>1277760</v>
      </c>
      <c r="LO12" s="506">
        <v>200640</v>
      </c>
      <c r="LP12" s="506">
        <v>199256.4</v>
      </c>
      <c r="LQ12" s="507">
        <f t="shared" si="44"/>
        <v>0.15702479338842976</v>
      </c>
      <c r="LR12" s="508">
        <f t="shared" si="45"/>
        <v>0.15594196093163035</v>
      </c>
      <c r="LS12" s="519"/>
      <c r="LT12" s="506"/>
      <c r="LU12" s="506"/>
      <c r="LV12" s="506"/>
      <c r="LW12" s="507" t="e">
        <f t="shared" si="46"/>
        <v>#DIV/0!</v>
      </c>
      <c r="LX12" s="508" t="e">
        <f t="shared" si="47"/>
        <v>#DIV/0!</v>
      </c>
      <c r="LY12" s="519"/>
      <c r="LZ12" s="506"/>
      <c r="MA12" s="506"/>
      <c r="MB12" s="506"/>
      <c r="MC12" s="507" t="e">
        <f t="shared" si="48"/>
        <v>#DIV/0!</v>
      </c>
      <c r="MD12" s="508" t="e">
        <f t="shared" si="49"/>
        <v>#DIV/0!</v>
      </c>
      <c r="ME12" s="519"/>
      <c r="MF12" s="505">
        <f t="shared" si="50"/>
        <v>11083680</v>
      </c>
      <c r="MG12" s="505">
        <f t="shared" si="50"/>
        <v>2240160</v>
      </c>
      <c r="MH12" s="505">
        <f t="shared" si="50"/>
        <v>1999360.2</v>
      </c>
      <c r="MI12" s="507">
        <f t="shared" si="51"/>
        <v>0.20211337750638778</v>
      </c>
      <c r="MJ12" s="508">
        <f t="shared" si="52"/>
        <v>0.18038775930016024</v>
      </c>
      <c r="MK12" s="1647"/>
    </row>
    <row r="13" spans="1:350" s="242" customFormat="1" ht="21.5" customHeight="1" x14ac:dyDescent="0.25">
      <c r="A13" s="1664" t="s">
        <v>340</v>
      </c>
      <c r="B13" s="1674" t="s">
        <v>282</v>
      </c>
      <c r="C13" s="528">
        <v>0</v>
      </c>
      <c r="D13" s="520">
        <v>0</v>
      </c>
      <c r="E13" s="520">
        <v>0</v>
      </c>
      <c r="F13" s="520">
        <v>0</v>
      </c>
      <c r="G13" s="520"/>
      <c r="H13" s="530">
        <v>0</v>
      </c>
      <c r="I13" s="530">
        <v>0</v>
      </c>
      <c r="J13" s="533"/>
      <c r="K13" s="521"/>
      <c r="L13" s="520">
        <v>0</v>
      </c>
      <c r="M13" s="520">
        <v>0</v>
      </c>
      <c r="N13" s="520">
        <v>0</v>
      </c>
      <c r="O13" s="500"/>
      <c r="P13" s="501"/>
      <c r="Q13" s="377"/>
      <c r="R13" s="520">
        <v>0</v>
      </c>
      <c r="S13" s="520">
        <v>0</v>
      </c>
      <c r="T13" s="520">
        <v>0</v>
      </c>
      <c r="U13" s="500"/>
      <c r="V13" s="501"/>
      <c r="W13" s="377"/>
      <c r="X13" s="530">
        <v>0</v>
      </c>
      <c r="Y13" s="530">
        <v>0</v>
      </c>
      <c r="Z13" s="530">
        <v>0</v>
      </c>
      <c r="AA13" s="500"/>
      <c r="AB13" s="501"/>
      <c r="AC13" s="377"/>
      <c r="AD13" s="520">
        <v>0</v>
      </c>
      <c r="AE13" s="520">
        <v>0</v>
      </c>
      <c r="AF13" s="520">
        <v>0</v>
      </c>
      <c r="AG13" s="500"/>
      <c r="AH13" s="501"/>
      <c r="AI13" s="521"/>
      <c r="AJ13" s="520">
        <v>0</v>
      </c>
      <c r="AK13" s="520">
        <v>0</v>
      </c>
      <c r="AL13" s="520">
        <v>0</v>
      </c>
      <c r="AM13" s="530">
        <v>0</v>
      </c>
      <c r="AN13" s="533">
        <v>0</v>
      </c>
      <c r="AO13" s="522"/>
      <c r="AP13" s="520">
        <v>0</v>
      </c>
      <c r="AQ13" s="520">
        <v>0</v>
      </c>
      <c r="AR13" s="520">
        <v>0</v>
      </c>
      <c r="AS13" s="530">
        <v>0</v>
      </c>
      <c r="AT13" s="533">
        <v>0</v>
      </c>
      <c r="AU13" s="522"/>
      <c r="AV13" s="520">
        <v>0</v>
      </c>
      <c r="AW13" s="520">
        <v>0</v>
      </c>
      <c r="AX13" s="520">
        <v>0</v>
      </c>
      <c r="AY13" s="500"/>
      <c r="AZ13" s="501">
        <v>0</v>
      </c>
      <c r="BA13" s="522"/>
      <c r="BB13" s="520">
        <v>0</v>
      </c>
      <c r="BC13" s="520">
        <v>0</v>
      </c>
      <c r="BD13" s="520">
        <v>0</v>
      </c>
      <c r="BE13" s="530">
        <v>0</v>
      </c>
      <c r="BF13" s="533">
        <v>0</v>
      </c>
      <c r="BG13" s="3671"/>
      <c r="BH13" s="530">
        <v>0</v>
      </c>
      <c r="BI13" s="530">
        <v>0</v>
      </c>
      <c r="BJ13" s="530">
        <v>0</v>
      </c>
      <c r="BK13" s="530">
        <v>0</v>
      </c>
      <c r="BL13" s="533">
        <v>0</v>
      </c>
      <c r="BM13" s="523"/>
      <c r="BN13" s="520">
        <v>0</v>
      </c>
      <c r="BO13" s="520">
        <v>0</v>
      </c>
      <c r="BP13" s="520">
        <v>0</v>
      </c>
      <c r="BQ13" s="530">
        <v>0</v>
      </c>
      <c r="BR13" s="533">
        <v>0</v>
      </c>
      <c r="BS13" s="3672"/>
      <c r="BT13" s="530">
        <v>0</v>
      </c>
      <c r="BU13" s="530">
        <v>0</v>
      </c>
      <c r="BV13" s="530">
        <v>0</v>
      </c>
      <c r="BW13" s="530">
        <v>0</v>
      </c>
      <c r="BX13" s="533">
        <v>0</v>
      </c>
      <c r="BY13" s="3671">
        <v>0</v>
      </c>
      <c r="BZ13" s="530">
        <v>0</v>
      </c>
      <c r="CA13" s="530">
        <v>0</v>
      </c>
      <c r="CB13" s="530">
        <v>0</v>
      </c>
      <c r="CC13" s="530">
        <v>0</v>
      </c>
      <c r="CD13" s="533">
        <v>0</v>
      </c>
      <c r="CE13" s="489">
        <v>0</v>
      </c>
      <c r="CF13" s="485">
        <f t="shared" ref="CF13:CH14" si="122">BZ13+BT13+BN13</f>
        <v>0</v>
      </c>
      <c r="CG13" s="485">
        <f t="shared" si="122"/>
        <v>0</v>
      </c>
      <c r="CH13" s="485">
        <f t="shared" si="122"/>
        <v>0</v>
      </c>
      <c r="CI13" s="531">
        <v>0</v>
      </c>
      <c r="CJ13" s="488">
        <v>0</v>
      </c>
      <c r="CK13" s="493">
        <v>0</v>
      </c>
      <c r="CL13" s="495">
        <v>0</v>
      </c>
      <c r="CM13" s="495">
        <v>0</v>
      </c>
      <c r="CN13" s="495">
        <v>0</v>
      </c>
      <c r="CO13" s="495">
        <v>0</v>
      </c>
      <c r="CP13" s="531">
        <v>0</v>
      </c>
      <c r="CQ13" s="531">
        <v>0</v>
      </c>
      <c r="CR13" s="515">
        <v>0</v>
      </c>
      <c r="CS13" s="502">
        <f>CK13-C13</f>
        <v>0</v>
      </c>
      <c r="CT13" s="503">
        <v>0</v>
      </c>
      <c r="CU13" s="503">
        <v>0</v>
      </c>
      <c r="CV13" s="503">
        <v>0</v>
      </c>
      <c r="CW13" s="487">
        <v>0</v>
      </c>
      <c r="CX13" s="487">
        <v>0</v>
      </c>
      <c r="CY13" s="487">
        <v>0</v>
      </c>
      <c r="CZ13" s="488">
        <v>0</v>
      </c>
      <c r="DA13" s="499"/>
      <c r="DB13" s="491">
        <v>1</v>
      </c>
      <c r="DC13" s="485">
        <v>472200</v>
      </c>
      <c r="DD13" s="485">
        <v>124920</v>
      </c>
      <c r="DE13" s="485">
        <v>-103920</v>
      </c>
      <c r="DF13" s="487">
        <f>DD13/DC13</f>
        <v>0.26454891994917407</v>
      </c>
      <c r="DG13" s="488">
        <f>DE13/DC13</f>
        <v>-0.22007623888182973</v>
      </c>
      <c r="DH13" s="491">
        <v>1</v>
      </c>
      <c r="DI13" s="485">
        <v>505920</v>
      </c>
      <c r="DJ13" s="485">
        <v>133860</v>
      </c>
      <c r="DK13" s="485">
        <v>-177180</v>
      </c>
      <c r="DL13" s="487">
        <f>DJ13/DI13</f>
        <v>0.26458728652751423</v>
      </c>
      <c r="DM13" s="488">
        <f>DK13/DI13</f>
        <v>-0.35021347248576851</v>
      </c>
      <c r="DN13" s="491">
        <v>1</v>
      </c>
      <c r="DO13" s="485">
        <v>505920</v>
      </c>
      <c r="DP13" s="485">
        <v>133860</v>
      </c>
      <c r="DQ13" s="485">
        <v>130860</v>
      </c>
      <c r="DR13" s="487">
        <f>DP13/DO13</f>
        <v>0.26458728652751423</v>
      </c>
      <c r="DS13" s="488">
        <f>DQ13/DO13</f>
        <v>0.25865749525616699</v>
      </c>
      <c r="DT13" s="491">
        <v>1</v>
      </c>
      <c r="DU13" s="485">
        <f t="shared" ref="DU13:DW14" si="123">DO13+DI13+DC13</f>
        <v>1484040</v>
      </c>
      <c r="DV13" s="485">
        <f t="shared" si="123"/>
        <v>392640</v>
      </c>
      <c r="DW13" s="485">
        <f t="shared" si="123"/>
        <v>-150240</v>
      </c>
      <c r="DX13" s="487">
        <f>DV13/DU13</f>
        <v>0.26457507883884529</v>
      </c>
      <c r="DY13" s="488">
        <f>DW13/DU13</f>
        <v>-0.10123716341877577</v>
      </c>
      <c r="DZ13" s="502">
        <f t="shared" ref="DZ13:EC14" si="124">DT13-CE13</f>
        <v>1</v>
      </c>
      <c r="EA13" s="503">
        <f t="shared" si="124"/>
        <v>1484040</v>
      </c>
      <c r="EB13" s="503">
        <f t="shared" si="124"/>
        <v>392640</v>
      </c>
      <c r="EC13" s="503">
        <f t="shared" si="124"/>
        <v>-150240</v>
      </c>
      <c r="ED13" s="531">
        <v>0</v>
      </c>
      <c r="EE13" s="531">
        <v>0</v>
      </c>
      <c r="EF13" s="531">
        <v>0</v>
      </c>
      <c r="EG13" s="515">
        <v>0</v>
      </c>
      <c r="EH13" s="3746">
        <v>1</v>
      </c>
      <c r="EI13" s="3747">
        <v>505920</v>
      </c>
      <c r="EJ13" s="3747">
        <v>133860</v>
      </c>
      <c r="EK13" s="3747">
        <v>131760</v>
      </c>
      <c r="EL13" s="487">
        <f>EJ13/EI13</f>
        <v>0.26458728652751423</v>
      </c>
      <c r="EM13" s="488">
        <f>EK13/EI13</f>
        <v>0.26043643263757116</v>
      </c>
      <c r="EN13" s="3746">
        <v>1</v>
      </c>
      <c r="EO13" s="3747">
        <v>505920</v>
      </c>
      <c r="EP13" s="3747">
        <v>133860</v>
      </c>
      <c r="EQ13" s="3747">
        <v>131760</v>
      </c>
      <c r="ER13" s="487">
        <f>EP13/EO13</f>
        <v>0.26458728652751423</v>
      </c>
      <c r="ES13" s="488">
        <f>EQ13/EO13</f>
        <v>0.26043643263757116</v>
      </c>
      <c r="ET13" s="504">
        <v>1</v>
      </c>
      <c r="EU13" s="505">
        <v>505920</v>
      </c>
      <c r="EV13" s="505">
        <v>133860</v>
      </c>
      <c r="EW13" s="505">
        <v>131760</v>
      </c>
      <c r="EX13" s="3748">
        <f>EV13/EU13</f>
        <v>0.26458728652751423</v>
      </c>
      <c r="EY13" s="3749">
        <f>EW13/EU13</f>
        <v>0.26043643263757116</v>
      </c>
      <c r="EZ13" s="509">
        <v>1</v>
      </c>
      <c r="FA13" s="510">
        <f t="shared" ref="FA13:FC14" si="125">EU13+EO13+EI13</f>
        <v>1517760</v>
      </c>
      <c r="FB13" s="510">
        <f t="shared" si="125"/>
        <v>401580</v>
      </c>
      <c r="FC13" s="510">
        <f t="shared" si="125"/>
        <v>395280</v>
      </c>
      <c r="FD13" s="3748">
        <f>FB13/FA13</f>
        <v>0.26458728652751423</v>
      </c>
      <c r="FE13" s="3749">
        <f>FC13/FA13</f>
        <v>0.26043643263757116</v>
      </c>
      <c r="FF13" s="502">
        <f t="shared" ref="FF13:FH14" si="126">EZ13-DT13</f>
        <v>0</v>
      </c>
      <c r="FG13" s="503">
        <f t="shared" si="126"/>
        <v>33720</v>
      </c>
      <c r="FH13" s="503">
        <f t="shared" si="126"/>
        <v>8940</v>
      </c>
      <c r="FI13" s="487">
        <f>FF13/DT13</f>
        <v>0</v>
      </c>
      <c r="FJ13" s="487">
        <f>FG13/DU13</f>
        <v>2.2721759521306704E-2</v>
      </c>
      <c r="FK13" s="488">
        <f>FH13/DV13</f>
        <v>2.2768948655256725E-2</v>
      </c>
      <c r="FL13" s="3750">
        <v>1</v>
      </c>
      <c r="FM13" s="505">
        <v>473040</v>
      </c>
      <c r="FN13" s="505">
        <v>100980</v>
      </c>
      <c r="FO13" s="505">
        <v>98880</v>
      </c>
      <c r="FP13" s="3748">
        <f>FN13/FM13</f>
        <v>0.2134703196347032</v>
      </c>
      <c r="FQ13" s="3749">
        <f>FO13/FM13</f>
        <v>0.20903094875697614</v>
      </c>
      <c r="FR13" s="504">
        <v>1</v>
      </c>
      <c r="FS13" s="505">
        <v>505920</v>
      </c>
      <c r="FT13" s="505">
        <v>133860</v>
      </c>
      <c r="FU13" s="505">
        <v>131760</v>
      </c>
      <c r="FV13" s="3748">
        <f>FT13/FS13</f>
        <v>0.26458728652751423</v>
      </c>
      <c r="FW13" s="3749">
        <f>FU13/FS13</f>
        <v>0.26043643263757116</v>
      </c>
      <c r="FX13" s="504">
        <v>1</v>
      </c>
      <c r="FY13" s="505">
        <v>375420</v>
      </c>
      <c r="FZ13" s="505">
        <v>3360</v>
      </c>
      <c r="GA13" s="505">
        <v>1260</v>
      </c>
      <c r="GB13" s="3748">
        <f>FZ13/FY13</f>
        <v>8.9499760268499286E-3</v>
      </c>
      <c r="GC13" s="3749">
        <f>GA13/FY13</f>
        <v>3.356241010068723E-3</v>
      </c>
      <c r="GD13" s="3686">
        <v>1</v>
      </c>
      <c r="GE13" s="3751">
        <f t="shared" ref="GE13:GG14" si="127">FY13+FS13+FM13</f>
        <v>1354380</v>
      </c>
      <c r="GF13" s="3751">
        <f t="shared" si="127"/>
        <v>238200</v>
      </c>
      <c r="GG13" s="3751">
        <f t="shared" si="127"/>
        <v>231900</v>
      </c>
      <c r="GH13" s="3748">
        <f>GF13/GE13</f>
        <v>0.17587383156868824</v>
      </c>
      <c r="GI13" s="3749">
        <f>GG13/GE13</f>
        <v>0.17122225667833252</v>
      </c>
      <c r="GJ13" s="3752">
        <f t="shared" ref="GJ13:GM14" si="128">GD13-EZ13</f>
        <v>0</v>
      </c>
      <c r="GK13" s="3753">
        <f t="shared" si="128"/>
        <v>-163380</v>
      </c>
      <c r="GL13" s="3753">
        <f t="shared" si="128"/>
        <v>-163380</v>
      </c>
      <c r="GM13" s="3753">
        <f t="shared" si="128"/>
        <v>-163380</v>
      </c>
      <c r="GN13" s="3754">
        <v>0</v>
      </c>
      <c r="GO13" s="3755">
        <f>GK13/FG13</f>
        <v>-4.8451957295373669</v>
      </c>
      <c r="GP13" s="3755">
        <f>GL13/FH13</f>
        <v>-18.275167785234899</v>
      </c>
      <c r="GQ13" s="3756">
        <f>GG13/FC13</f>
        <v>0.58667273831208255</v>
      </c>
      <c r="GR13" s="504">
        <v>1</v>
      </c>
      <c r="GS13" s="505">
        <v>505920</v>
      </c>
      <c r="GT13" s="505">
        <v>133860</v>
      </c>
      <c r="GU13" s="505">
        <v>117043.2</v>
      </c>
      <c r="GV13" s="3748">
        <f>GT13/GS13</f>
        <v>0.26458728652751423</v>
      </c>
      <c r="GW13" s="3749">
        <f>GU13/GS13</f>
        <v>0.2313472485768501</v>
      </c>
      <c r="GX13" s="504">
        <v>1</v>
      </c>
      <c r="GY13" s="505">
        <v>505920</v>
      </c>
      <c r="GZ13" s="505">
        <v>133860</v>
      </c>
      <c r="HA13" s="505">
        <v>130860</v>
      </c>
      <c r="HB13" s="3748">
        <f>GZ13/GY13</f>
        <v>0.26458728652751423</v>
      </c>
      <c r="HC13" s="3749">
        <f>HA13/GY13</f>
        <v>0.25865749525616699</v>
      </c>
      <c r="HD13" s="519">
        <v>1</v>
      </c>
      <c r="HE13" s="506">
        <v>807720</v>
      </c>
      <c r="HF13" s="506">
        <v>249780</v>
      </c>
      <c r="HG13" s="506">
        <v>297840</v>
      </c>
      <c r="HH13" s="507">
        <f>HF13/HE13</f>
        <v>0.30924082602882186</v>
      </c>
      <c r="HI13" s="508">
        <f>HG13/HE13</f>
        <v>0.36874164314366364</v>
      </c>
      <c r="HJ13" s="1453">
        <v>1</v>
      </c>
      <c r="HK13" s="1452">
        <f>HE13+GY13+GS13</f>
        <v>1819560</v>
      </c>
      <c r="HL13" s="1452">
        <f>HF13+GZ13+GT13</f>
        <v>517500</v>
      </c>
      <c r="HM13" s="1452">
        <f>HG13+HA13+GU13</f>
        <v>545743.19999999995</v>
      </c>
      <c r="HN13" s="507">
        <f>HL13/HK13</f>
        <v>0.28440941766141264</v>
      </c>
      <c r="HO13" s="507">
        <f>HM13/HL13</f>
        <v>1.0545762318840579</v>
      </c>
      <c r="HP13" s="519">
        <v>1</v>
      </c>
      <c r="HQ13" s="506">
        <f t="shared" ref="HQ13:HS14" si="129">HE13+GY13+GS13+FY13+FS13+FM13+EU13+EO13+EI13+DO13+DI13+DC13</f>
        <v>6175740</v>
      </c>
      <c r="HR13" s="506">
        <f t="shared" si="129"/>
        <v>1549920</v>
      </c>
      <c r="HS13" s="506">
        <f t="shared" si="129"/>
        <v>1022683.2</v>
      </c>
      <c r="HT13" s="507">
        <f>HR13/HQ13</f>
        <v>0.2509691146324165</v>
      </c>
      <c r="HU13" s="508">
        <f>HS13/HQ13</f>
        <v>0.16559686774378454</v>
      </c>
      <c r="HV13" s="1647"/>
      <c r="HW13" s="491">
        <v>1</v>
      </c>
      <c r="HX13" s="540">
        <v>505920</v>
      </c>
      <c r="HY13" s="540">
        <v>17760</v>
      </c>
      <c r="HZ13" s="540">
        <v>13560</v>
      </c>
      <c r="IA13" s="3742">
        <f t="shared" si="13"/>
        <v>3.510436432637571E-2</v>
      </c>
      <c r="IB13" s="3743">
        <f>HZ13/HX13</f>
        <v>2.6802656546489563E-2</v>
      </c>
      <c r="IC13" s="542">
        <v>1</v>
      </c>
      <c r="ID13" s="540">
        <v>497820</v>
      </c>
      <c r="IE13" s="540">
        <v>125760</v>
      </c>
      <c r="IF13" s="540">
        <v>125760</v>
      </c>
      <c r="IG13" s="3742">
        <f t="shared" si="14"/>
        <v>0.25262142943232496</v>
      </c>
      <c r="IH13" s="3743">
        <f t="shared" si="15"/>
        <v>0.25262142943232496</v>
      </c>
      <c r="II13" s="542">
        <v>1</v>
      </c>
      <c r="IJ13" s="540">
        <v>489060</v>
      </c>
      <c r="IK13" s="540">
        <v>117000</v>
      </c>
      <c r="IL13" s="540">
        <v>117000</v>
      </c>
      <c r="IM13" s="3742">
        <f t="shared" si="16"/>
        <v>0.23923444976076555</v>
      </c>
      <c r="IN13" s="3743">
        <f t="shared" si="17"/>
        <v>0.23923444976076555</v>
      </c>
      <c r="IO13" s="3744">
        <v>1</v>
      </c>
      <c r="IP13" s="540">
        <f t="shared" si="18"/>
        <v>1492800</v>
      </c>
      <c r="IQ13" s="540">
        <f t="shared" si="19"/>
        <v>260520</v>
      </c>
      <c r="IR13" s="540">
        <f t="shared" si="20"/>
        <v>256320</v>
      </c>
      <c r="IS13" s="3742">
        <f t="shared" si="21"/>
        <v>0.17451768488745981</v>
      </c>
      <c r="IT13" s="3743">
        <f t="shared" si="22"/>
        <v>0.17170418006430868</v>
      </c>
      <c r="IU13" s="545">
        <f t="shared" si="23"/>
        <v>0</v>
      </c>
      <c r="IV13" s="3745">
        <f t="shared" si="23"/>
        <v>-326760</v>
      </c>
      <c r="IW13" s="3745">
        <f t="shared" si="23"/>
        <v>-256980</v>
      </c>
      <c r="IX13" s="3745">
        <f t="shared" si="23"/>
        <v>-289423.19999999995</v>
      </c>
      <c r="IY13" s="547">
        <f>IU13/HJ13</f>
        <v>0</v>
      </c>
      <c r="IZ13" s="547">
        <f>IV13/HK13</f>
        <v>-0.17958187693728153</v>
      </c>
      <c r="JA13" s="547">
        <f>IW13/HL13</f>
        <v>-0.49657971014492752</v>
      </c>
      <c r="JB13" s="548">
        <f>IX13/HM13</f>
        <v>-0.53032855013127045</v>
      </c>
      <c r="JC13" s="4252">
        <v>1</v>
      </c>
      <c r="JD13" s="4253">
        <v>505920</v>
      </c>
      <c r="JE13" s="4253">
        <v>133860</v>
      </c>
      <c r="JF13" s="4253">
        <v>133860</v>
      </c>
      <c r="JG13" s="3742">
        <f t="shared" si="24"/>
        <v>0.26458728652751423</v>
      </c>
      <c r="JH13" s="3743">
        <f t="shared" si="25"/>
        <v>0.26458728652751423</v>
      </c>
      <c r="JI13" s="4252">
        <v>1</v>
      </c>
      <c r="JJ13" s="4253">
        <v>505920</v>
      </c>
      <c r="JK13" s="4253">
        <v>133860</v>
      </c>
      <c r="JL13" s="6455">
        <v>-101580</v>
      </c>
      <c r="JM13" s="3742">
        <f t="shared" si="26"/>
        <v>0.26458728652751423</v>
      </c>
      <c r="JN13" s="3743">
        <f t="shared" si="27"/>
        <v>-0.20078273244781783</v>
      </c>
      <c r="JO13" s="4254">
        <v>1</v>
      </c>
      <c r="JP13" s="4255">
        <v>505920</v>
      </c>
      <c r="JQ13" s="4255">
        <v>133860</v>
      </c>
      <c r="JR13" s="4255">
        <v>131760</v>
      </c>
      <c r="JS13" s="4256">
        <f t="shared" si="28"/>
        <v>0.26458728652751423</v>
      </c>
      <c r="JT13" s="4257">
        <f t="shared" si="29"/>
        <v>0.26043643263757116</v>
      </c>
      <c r="JU13" s="4258">
        <v>1</v>
      </c>
      <c r="JV13" s="4259">
        <f t="shared" ref="JV13:JX14" si="130">JP13+JJ13+JD13</f>
        <v>1517760</v>
      </c>
      <c r="JW13" s="4259">
        <f t="shared" si="130"/>
        <v>401580</v>
      </c>
      <c r="JX13" s="4259">
        <f t="shared" si="130"/>
        <v>164040</v>
      </c>
      <c r="JY13" s="4256">
        <f t="shared" si="31"/>
        <v>0.26458728652751423</v>
      </c>
      <c r="JZ13" s="4257">
        <f t="shared" si="32"/>
        <v>0.10808032890575585</v>
      </c>
      <c r="KA13" s="545">
        <f t="shared" ref="KA13:KC14" si="131">JU13-IO13</f>
        <v>0</v>
      </c>
      <c r="KB13" s="546">
        <f t="shared" si="131"/>
        <v>24960</v>
      </c>
      <c r="KC13" s="503">
        <f t="shared" si="131"/>
        <v>141060</v>
      </c>
      <c r="KD13" s="487">
        <f>KA13/IO13</f>
        <v>0</v>
      </c>
      <c r="KE13" s="487">
        <f t="shared" si="103"/>
        <v>1.6720257234726688E-2</v>
      </c>
      <c r="KF13" s="488">
        <f t="shared" si="104"/>
        <v>0.54145555043758642</v>
      </c>
      <c r="KG13" s="4254">
        <v>1</v>
      </c>
      <c r="KH13" s="4255">
        <v>489720</v>
      </c>
      <c r="KI13" s="4255">
        <v>117660</v>
      </c>
      <c r="KJ13" s="4255">
        <v>115560</v>
      </c>
      <c r="KK13" s="4256">
        <f t="shared" si="34"/>
        <v>0.24025974025974026</v>
      </c>
      <c r="KL13" s="4257">
        <f t="shared" si="35"/>
        <v>0.23597157559421711</v>
      </c>
      <c r="KM13" s="519">
        <v>1</v>
      </c>
      <c r="KN13" s="506">
        <v>526800</v>
      </c>
      <c r="KO13" s="506">
        <v>133680</v>
      </c>
      <c r="KP13" s="506">
        <v>101580</v>
      </c>
      <c r="KQ13" s="507">
        <f>KO13/KN13</f>
        <v>0.25375854214123006</v>
      </c>
      <c r="KR13" s="508">
        <f>KP13/KN13</f>
        <v>0.19282460136674259</v>
      </c>
      <c r="KS13" s="519">
        <v>1</v>
      </c>
      <c r="KT13" s="506">
        <v>374040</v>
      </c>
      <c r="KU13" s="506">
        <v>-76200</v>
      </c>
      <c r="KV13" s="4828">
        <v>-78300</v>
      </c>
      <c r="KW13" s="507">
        <f>KU13/KT13</f>
        <v>-0.20372152710940006</v>
      </c>
      <c r="KX13" s="508">
        <f>KV13/KT13</f>
        <v>-0.20933589990375362</v>
      </c>
      <c r="KY13" s="1453">
        <v>1</v>
      </c>
      <c r="KZ13" s="1452">
        <f t="shared" ref="KZ13:LB14" si="132">KT13+KN13+KH13</f>
        <v>1390560</v>
      </c>
      <c r="LA13" s="1452">
        <f t="shared" si="132"/>
        <v>175140</v>
      </c>
      <c r="LB13" s="1452">
        <f t="shared" si="132"/>
        <v>138840</v>
      </c>
      <c r="LC13" s="507">
        <f t="shared" si="41"/>
        <v>0.12594925785295133</v>
      </c>
      <c r="LD13" s="508">
        <f t="shared" si="42"/>
        <v>9.984466689678978E-2</v>
      </c>
      <c r="LE13" s="511"/>
      <c r="LF13" s="512">
        <f t="shared" ref="LF13:LH14" si="133">KZ13-JV13</f>
        <v>-127200</v>
      </c>
      <c r="LG13" s="512">
        <f t="shared" si="133"/>
        <v>-226440</v>
      </c>
      <c r="LH13" s="512">
        <f t="shared" si="133"/>
        <v>-25200</v>
      </c>
      <c r="LI13" s="1462">
        <v>0</v>
      </c>
      <c r="LJ13" s="513">
        <f t="shared" ref="LJ13:LK15" si="134">LF13/KB13</f>
        <v>-5.0961538461538458</v>
      </c>
      <c r="LK13" s="513">
        <f t="shared" si="134"/>
        <v>-1.6052743513398553</v>
      </c>
      <c r="LL13" s="514">
        <f>LB13/JX13</f>
        <v>0.84637893196781278</v>
      </c>
      <c r="LM13" s="519">
        <v>1</v>
      </c>
      <c r="LN13" s="506">
        <v>1053600</v>
      </c>
      <c r="LO13" s="506">
        <v>267360</v>
      </c>
      <c r="LP13" s="506">
        <v>265260</v>
      </c>
      <c r="LQ13" s="507">
        <f>LO13/LN13</f>
        <v>0.25375854214123006</v>
      </c>
      <c r="LR13" s="508">
        <f>LP13/LN13</f>
        <v>0.2517653758542141</v>
      </c>
      <c r="LS13" s="519"/>
      <c r="LT13" s="506"/>
      <c r="LU13" s="506"/>
      <c r="LV13" s="506"/>
      <c r="LW13" s="507" t="e">
        <f>LU13/LT13</f>
        <v>#DIV/0!</v>
      </c>
      <c r="LX13" s="508" t="e">
        <f>LV13/LT13</f>
        <v>#DIV/0!</v>
      </c>
      <c r="LY13" s="519"/>
      <c r="LZ13" s="506"/>
      <c r="MA13" s="506"/>
      <c r="MB13" s="506"/>
      <c r="MC13" s="507" t="e">
        <f>MA13/LZ13</f>
        <v>#DIV/0!</v>
      </c>
      <c r="MD13" s="508" t="e">
        <f>MB13/LZ13</f>
        <v>#DIV/0!</v>
      </c>
      <c r="ME13" s="504"/>
      <c r="MF13" s="505">
        <f t="shared" ref="MF13:MH14" si="135">LZ13+LT13+LN13+KT13+KN13+KH13+JP13+JJ13+JD13+IJ13+ID13+HX13</f>
        <v>5454720</v>
      </c>
      <c r="MG13" s="505">
        <f t="shared" si="135"/>
        <v>1104600</v>
      </c>
      <c r="MH13" s="505">
        <f t="shared" si="135"/>
        <v>824460</v>
      </c>
      <c r="MI13" s="3748">
        <f>MG13/MF13</f>
        <v>0.20250351988736359</v>
      </c>
      <c r="MJ13" s="3749">
        <f>MH13/MF13</f>
        <v>0.15114616332277367</v>
      </c>
      <c r="MK13" s="1647"/>
    </row>
    <row r="14" spans="1:350" s="242" customFormat="1" ht="21.5" hidden="1" customHeight="1" x14ac:dyDescent="0.25">
      <c r="A14" s="1664" t="s">
        <v>339</v>
      </c>
      <c r="B14" s="1674" t="s">
        <v>615</v>
      </c>
      <c r="C14" s="3670">
        <v>0</v>
      </c>
      <c r="D14" s="485">
        <v>12963470.98</v>
      </c>
      <c r="E14" s="485">
        <v>12963470.98</v>
      </c>
      <c r="F14" s="485">
        <v>7712723.8300000001</v>
      </c>
      <c r="G14" s="485">
        <v>5553161.1576000005</v>
      </c>
      <c r="H14" s="487">
        <v>0</v>
      </c>
      <c r="I14" s="487">
        <f>F14/D14</f>
        <v>0.59495823625471644</v>
      </c>
      <c r="J14" s="488">
        <f>G14/D14</f>
        <v>0.42836993010339586</v>
      </c>
      <c r="K14" s="489">
        <v>0</v>
      </c>
      <c r="L14" s="485">
        <v>2829884</v>
      </c>
      <c r="M14" s="485">
        <v>2829884</v>
      </c>
      <c r="N14" s="485">
        <v>2043734.25</v>
      </c>
      <c r="O14" s="487">
        <f>M14/L14</f>
        <v>1</v>
      </c>
      <c r="P14" s="488">
        <f>N14/L14</f>
        <v>0.7221971819339591</v>
      </c>
      <c r="Q14" s="3670">
        <v>0</v>
      </c>
      <c r="R14" s="485">
        <v>1207464</v>
      </c>
      <c r="S14" s="485">
        <v>1207464</v>
      </c>
      <c r="T14" s="485">
        <v>411796</v>
      </c>
      <c r="U14" s="487">
        <f>S14/R14</f>
        <v>1</v>
      </c>
      <c r="V14" s="488">
        <f>T14/R14</f>
        <v>0.34104205177131575</v>
      </c>
      <c r="W14" s="3670">
        <v>0</v>
      </c>
      <c r="X14" s="485">
        <v>879022</v>
      </c>
      <c r="Y14" s="485">
        <v>879022</v>
      </c>
      <c r="Z14" s="485">
        <v>-149491.9</v>
      </c>
      <c r="AA14" s="487">
        <f>Y14/X14</f>
        <v>1</v>
      </c>
      <c r="AB14" s="488">
        <f>Z14/X14</f>
        <v>-0.17006616444184558</v>
      </c>
      <c r="AC14" s="3670">
        <v>0</v>
      </c>
      <c r="AD14" s="485">
        <v>1411006</v>
      </c>
      <c r="AE14" s="485">
        <v>1411006</v>
      </c>
      <c r="AF14" s="485">
        <v>-129290.5</v>
      </c>
      <c r="AG14" s="487">
        <f>AE14/AD14</f>
        <v>1</v>
      </c>
      <c r="AH14" s="488">
        <f>AF14/AD14</f>
        <v>-9.1630014330201293E-2</v>
      </c>
      <c r="AI14" s="489">
        <v>0</v>
      </c>
      <c r="AJ14" s="485">
        <v>3308456</v>
      </c>
      <c r="AK14" s="485">
        <f>AJ14</f>
        <v>3308456</v>
      </c>
      <c r="AL14" s="485">
        <v>1986602.55</v>
      </c>
      <c r="AM14" s="487">
        <f>AK14/AJ14</f>
        <v>1</v>
      </c>
      <c r="AN14" s="488">
        <f>AL14/AJ14</f>
        <v>0.60046213399845727</v>
      </c>
      <c r="AO14" s="491">
        <v>0</v>
      </c>
      <c r="AP14" s="485">
        <v>1454732</v>
      </c>
      <c r="AQ14" s="485">
        <f>AP14</f>
        <v>1454732</v>
      </c>
      <c r="AR14" s="485">
        <v>147441</v>
      </c>
      <c r="AS14" s="487">
        <f>AQ14/AP14</f>
        <v>1</v>
      </c>
      <c r="AT14" s="488">
        <f>AR14/AP14</f>
        <v>0.10135268901763349</v>
      </c>
      <c r="AU14" s="491">
        <v>0</v>
      </c>
      <c r="AV14" s="485">
        <f>'[2]3. Permanet Staff - Billing'!BQ47</f>
        <v>777790</v>
      </c>
      <c r="AW14" s="485">
        <f>AV14</f>
        <v>777790</v>
      </c>
      <c r="AX14" s="492">
        <f>'[2]3. Permanet Staff - Billing'!BQ54</f>
        <v>-807282.05</v>
      </c>
      <c r="AY14" s="487">
        <f>AW14/AV14</f>
        <v>1</v>
      </c>
      <c r="AZ14" s="488">
        <f>AX14/AV14</f>
        <v>-1.0379177541495777</v>
      </c>
      <c r="BA14" s="491">
        <v>0</v>
      </c>
      <c r="BB14" s="485">
        <v>1293805.8900000001</v>
      </c>
      <c r="BC14" s="485">
        <f>BB14</f>
        <v>1293805.8900000001</v>
      </c>
      <c r="BD14" s="485">
        <v>273945.04000000015</v>
      </c>
      <c r="BE14" s="487">
        <f>BC14/BB14</f>
        <v>1</v>
      </c>
      <c r="BF14" s="488">
        <f>BD14/BB14</f>
        <v>0.211735811467051</v>
      </c>
      <c r="BG14" s="491">
        <v>0</v>
      </c>
      <c r="BH14" s="485">
        <v>172848</v>
      </c>
      <c r="BI14" s="485">
        <v>172848</v>
      </c>
      <c r="BJ14" s="492">
        <v>-724815.9</v>
      </c>
      <c r="BK14" s="487">
        <f>BI14/BH14</f>
        <v>1</v>
      </c>
      <c r="BL14" s="488">
        <f>BJ14/BH14</f>
        <v>-4.1933716328797557</v>
      </c>
      <c r="BM14" s="493">
        <v>0</v>
      </c>
      <c r="BN14" s="485">
        <v>1655365</v>
      </c>
      <c r="BO14" s="485">
        <v>1655365</v>
      </c>
      <c r="BP14" s="485">
        <v>536154.19999999995</v>
      </c>
      <c r="BQ14" s="487">
        <f>BO14/BN14</f>
        <v>1</v>
      </c>
      <c r="BR14" s="488">
        <f>BP14/BN14</f>
        <v>0.32388881002075071</v>
      </c>
      <c r="BS14" s="493">
        <v>0</v>
      </c>
      <c r="BT14" s="485">
        <v>1213009</v>
      </c>
      <c r="BU14" s="485">
        <v>1213009</v>
      </c>
      <c r="BV14" s="485">
        <v>590794.69999999995</v>
      </c>
      <c r="BW14" s="487">
        <f>BU14/BT14</f>
        <v>1</v>
      </c>
      <c r="BX14" s="488">
        <f>BV14/BT14</f>
        <v>0.48704890070889822</v>
      </c>
      <c r="BY14" s="491">
        <v>0</v>
      </c>
      <c r="BZ14" s="485">
        <v>539770.66999999993</v>
      </c>
      <c r="CA14" s="485">
        <v>539770.66999999993</v>
      </c>
      <c r="CB14" s="485">
        <v>-402767.68000000005</v>
      </c>
      <c r="CC14" s="487">
        <f>CA14/BZ14</f>
        <v>1</v>
      </c>
      <c r="CD14" s="488">
        <f>CB14/BZ14</f>
        <v>-0.74618296692556507</v>
      </c>
      <c r="CE14" s="521">
        <v>0</v>
      </c>
      <c r="CF14" s="485">
        <f t="shared" si="122"/>
        <v>3408144.67</v>
      </c>
      <c r="CG14" s="485">
        <f t="shared" si="122"/>
        <v>3408144.67</v>
      </c>
      <c r="CH14" s="485">
        <f t="shared" si="122"/>
        <v>724181.21999999986</v>
      </c>
      <c r="CI14" s="487">
        <f>CG14/CF14</f>
        <v>1</v>
      </c>
      <c r="CJ14" s="488">
        <f>CH14/CF14</f>
        <v>0.21248546940350388</v>
      </c>
      <c r="CK14" s="523">
        <v>0</v>
      </c>
      <c r="CL14" s="494">
        <f>(L14+R14+X14+AD14+AJ14+AP14+AV14+BB14+BH14+BN14+BT14+BZ14)</f>
        <v>16743152.560000001</v>
      </c>
      <c r="CM14" s="494">
        <f>(M14+S14+Y14+AE14+AK14+AQ14+AW14+BC14+BI14+BO14+BU14+CA14)</f>
        <v>16743152.560000001</v>
      </c>
      <c r="CN14" s="494">
        <v>3726819.7100000009</v>
      </c>
      <c r="CO14" s="494">
        <v>2683310.1912000007</v>
      </c>
      <c r="CP14" s="500">
        <f>CM14/CL14</f>
        <v>1</v>
      </c>
      <c r="CQ14" s="500">
        <f>CN14/CL14</f>
        <v>0.22258769348512708</v>
      </c>
      <c r="CR14" s="501">
        <f>CO14/CL14</f>
        <v>0.16026313930929151</v>
      </c>
      <c r="CS14" s="525">
        <f>CK14-C14</f>
        <v>0</v>
      </c>
      <c r="CT14" s="517">
        <f t="shared" ref="CT14:CV15" si="136">CL14-D14</f>
        <v>3779681.58</v>
      </c>
      <c r="CU14" s="517">
        <f t="shared" si="136"/>
        <v>3779681.58</v>
      </c>
      <c r="CV14" s="526">
        <f t="shared" si="136"/>
        <v>-3985904.1199999992</v>
      </c>
      <c r="CW14" s="530">
        <v>0</v>
      </c>
      <c r="CX14" s="500">
        <f t="shared" ref="CX14:CZ15" si="137">CT14/D14</f>
        <v>0.29156400981120567</v>
      </c>
      <c r="CY14" s="500">
        <f t="shared" si="137"/>
        <v>0.29156400981120567</v>
      </c>
      <c r="CZ14" s="527">
        <f t="shared" si="137"/>
        <v>-0.51679590866408598</v>
      </c>
      <c r="DA14" s="524"/>
      <c r="DB14" s="522">
        <v>0</v>
      </c>
      <c r="DC14" s="520">
        <v>944860</v>
      </c>
      <c r="DD14" s="520">
        <f>DC14</f>
        <v>944860</v>
      </c>
      <c r="DE14" s="520">
        <v>161901</v>
      </c>
      <c r="DF14" s="500">
        <f>DD14/DC14</f>
        <v>1</v>
      </c>
      <c r="DG14" s="501">
        <f>DE14/DC14</f>
        <v>0.17134919458967465</v>
      </c>
      <c r="DH14" s="522">
        <v>0</v>
      </c>
      <c r="DI14" s="520">
        <v>425500</v>
      </c>
      <c r="DJ14" s="520">
        <f>DI14</f>
        <v>425500</v>
      </c>
      <c r="DK14" s="520">
        <v>-184163</v>
      </c>
      <c r="DL14" s="500">
        <f>DJ14/DI14</f>
        <v>1</v>
      </c>
      <c r="DM14" s="501">
        <f>DK14/DI14</f>
        <v>-0.43281551116333727</v>
      </c>
      <c r="DN14" s="521">
        <v>0</v>
      </c>
      <c r="DO14" s="520">
        <v>238630</v>
      </c>
      <c r="DP14" s="520">
        <f>DO14</f>
        <v>238630</v>
      </c>
      <c r="DQ14" s="520">
        <v>-10564</v>
      </c>
      <c r="DR14" s="500">
        <v>0</v>
      </c>
      <c r="DS14" s="501">
        <v>0</v>
      </c>
      <c r="DT14" s="521">
        <v>0</v>
      </c>
      <c r="DU14" s="485">
        <f t="shared" si="123"/>
        <v>1608990</v>
      </c>
      <c r="DV14" s="485">
        <f t="shared" si="123"/>
        <v>1608990</v>
      </c>
      <c r="DW14" s="485">
        <f t="shared" si="123"/>
        <v>-32826</v>
      </c>
      <c r="DX14" s="500">
        <f>DV14/DU14</f>
        <v>1</v>
      </c>
      <c r="DY14" s="501">
        <f>DW14/DU14</f>
        <v>-2.0401618406578038E-2</v>
      </c>
      <c r="DZ14" s="502">
        <f t="shared" si="124"/>
        <v>0</v>
      </c>
      <c r="EA14" s="503">
        <f t="shared" si="124"/>
        <v>-1799154.67</v>
      </c>
      <c r="EB14" s="503">
        <f t="shared" si="124"/>
        <v>-1799154.67</v>
      </c>
      <c r="EC14" s="503">
        <f t="shared" si="124"/>
        <v>-757007.21999999986</v>
      </c>
      <c r="ED14" s="531">
        <v>0</v>
      </c>
      <c r="EE14" s="487">
        <f t="shared" ref="EE14:EG15" si="138">EA14/CF14</f>
        <v>-0.52789856188821938</v>
      </c>
      <c r="EF14" s="487">
        <f t="shared" si="138"/>
        <v>-0.52789856188821938</v>
      </c>
      <c r="EG14" s="488">
        <f t="shared" si="138"/>
        <v>-1.0453284331234107</v>
      </c>
      <c r="EH14" s="412"/>
      <c r="EI14" s="399">
        <v>228670</v>
      </c>
      <c r="EJ14" s="399">
        <v>228670</v>
      </c>
      <c r="EK14" s="399">
        <v>-127563</v>
      </c>
      <c r="EL14" s="500">
        <f>EJ14/EI14</f>
        <v>1</v>
      </c>
      <c r="EM14" s="501">
        <f>EK14/EI14</f>
        <v>-0.55784755324266411</v>
      </c>
      <c r="EN14" s="412">
        <v>0</v>
      </c>
      <c r="EO14" s="399">
        <f>[1]FT!CC49</f>
        <v>637065</v>
      </c>
      <c r="EP14" s="399">
        <f>EO14</f>
        <v>637065</v>
      </c>
      <c r="EQ14" s="399">
        <v>343121</v>
      </c>
      <c r="ER14" s="500">
        <f>EP14/EO14</f>
        <v>1</v>
      </c>
      <c r="ES14" s="501">
        <f>EQ14/EO14</f>
        <v>0.53859653253592643</v>
      </c>
      <c r="ET14" s="519"/>
      <c r="EU14" s="506">
        <v>488572</v>
      </c>
      <c r="EV14" s="506">
        <v>488572</v>
      </c>
      <c r="EW14" s="506">
        <v>486572</v>
      </c>
      <c r="EX14" s="507">
        <v>1</v>
      </c>
      <c r="EY14" s="508">
        <v>0</v>
      </c>
      <c r="EZ14" s="509"/>
      <c r="FA14" s="510">
        <f t="shared" si="125"/>
        <v>1354307</v>
      </c>
      <c r="FB14" s="510">
        <f t="shared" si="125"/>
        <v>1354307</v>
      </c>
      <c r="FC14" s="510">
        <f t="shared" si="125"/>
        <v>702130</v>
      </c>
      <c r="FD14" s="507"/>
      <c r="FE14" s="508">
        <v>0</v>
      </c>
      <c r="FF14" s="502">
        <f t="shared" si="126"/>
        <v>0</v>
      </c>
      <c r="FG14" s="503">
        <f t="shared" si="126"/>
        <v>-254683</v>
      </c>
      <c r="FH14" s="503">
        <f t="shared" si="126"/>
        <v>-254683</v>
      </c>
      <c r="FI14" s="532">
        <v>0</v>
      </c>
      <c r="FJ14" s="487">
        <f>FG14/DU14</f>
        <v>-0.15828749712552595</v>
      </c>
      <c r="FK14" s="488">
        <f>FH14/DV14</f>
        <v>-0.15828749712552595</v>
      </c>
      <c r="FL14" s="519"/>
      <c r="FM14" s="506">
        <v>115000</v>
      </c>
      <c r="FN14" s="506">
        <v>91000</v>
      </c>
      <c r="FO14" s="506">
        <v>24000</v>
      </c>
      <c r="FP14" s="507">
        <v>1</v>
      </c>
      <c r="FQ14" s="508">
        <v>0</v>
      </c>
      <c r="FR14" s="519"/>
      <c r="FS14" s="506">
        <v>192750</v>
      </c>
      <c r="FT14" s="506">
        <v>192750</v>
      </c>
      <c r="FU14" s="506">
        <v>109250</v>
      </c>
      <c r="FV14" s="507">
        <v>1</v>
      </c>
      <c r="FW14" s="508">
        <v>0</v>
      </c>
      <c r="FX14" s="1451">
        <v>0</v>
      </c>
      <c r="FY14" s="536">
        <v>0</v>
      </c>
      <c r="FZ14" s="536">
        <v>0</v>
      </c>
      <c r="GA14" s="536">
        <v>0</v>
      </c>
      <c r="GB14" s="536">
        <v>0</v>
      </c>
      <c r="GC14" s="537">
        <v>0</v>
      </c>
      <c r="GD14" s="1453">
        <v>0</v>
      </c>
      <c r="GE14" s="1452">
        <f t="shared" si="127"/>
        <v>307750</v>
      </c>
      <c r="GF14" s="1452">
        <f t="shared" si="127"/>
        <v>283750</v>
      </c>
      <c r="GG14" s="1452">
        <f t="shared" si="127"/>
        <v>133250</v>
      </c>
      <c r="GH14" s="507">
        <f>GF14/GE14</f>
        <v>0.92201462225832653</v>
      </c>
      <c r="GI14" s="507">
        <f>GG14/GE14</f>
        <v>0.43298131600324941</v>
      </c>
      <c r="GJ14" s="511">
        <f t="shared" si="128"/>
        <v>0</v>
      </c>
      <c r="GK14" s="512">
        <f t="shared" si="128"/>
        <v>-1046557</v>
      </c>
      <c r="GL14" s="512">
        <f t="shared" si="128"/>
        <v>-1070557</v>
      </c>
      <c r="GM14" s="512">
        <f t="shared" si="128"/>
        <v>-568880</v>
      </c>
      <c r="GN14" s="1462">
        <v>0</v>
      </c>
      <c r="GO14" s="513">
        <f>GK14/FG14</f>
        <v>4.109253464110286</v>
      </c>
      <c r="GP14" s="513">
        <f>GL14/FH14</f>
        <v>4.2034882579520421</v>
      </c>
      <c r="GQ14" s="514">
        <f>GG14/FC14</f>
        <v>0.18977967043140159</v>
      </c>
      <c r="GR14" s="1451">
        <v>0</v>
      </c>
      <c r="GS14" s="506">
        <v>423932</v>
      </c>
      <c r="GT14" s="506">
        <v>423932</v>
      </c>
      <c r="GU14" s="506">
        <v>423932</v>
      </c>
      <c r="GV14" s="507">
        <v>1</v>
      </c>
      <c r="GW14" s="537">
        <v>0</v>
      </c>
      <c r="GX14" s="1451"/>
      <c r="GY14" s="506">
        <v>0</v>
      </c>
      <c r="GZ14" s="506">
        <v>0</v>
      </c>
      <c r="HA14" s="506">
        <v>0</v>
      </c>
      <c r="HB14" s="536">
        <v>0</v>
      </c>
      <c r="HC14" s="537">
        <v>0</v>
      </c>
      <c r="HD14" s="3673">
        <v>0</v>
      </c>
      <c r="HE14" s="505">
        <v>0</v>
      </c>
      <c r="HF14" s="505">
        <v>0</v>
      </c>
      <c r="HG14" s="505">
        <v>0</v>
      </c>
      <c r="HH14" s="3674">
        <v>0</v>
      </c>
      <c r="HI14" s="3675">
        <v>0</v>
      </c>
      <c r="HJ14" s="3674"/>
      <c r="HK14" s="3674"/>
      <c r="HL14" s="3674"/>
      <c r="HM14" s="3674"/>
      <c r="HN14" s="3674"/>
      <c r="HO14" s="3674"/>
      <c r="HP14" s="3673">
        <v>0</v>
      </c>
      <c r="HQ14" s="505">
        <f t="shared" si="129"/>
        <v>3694979</v>
      </c>
      <c r="HR14" s="505">
        <f t="shared" si="129"/>
        <v>3670979</v>
      </c>
      <c r="HS14" s="505">
        <f t="shared" si="129"/>
        <v>1226486</v>
      </c>
      <c r="HT14" s="3674">
        <v>0</v>
      </c>
      <c r="HU14" s="3675">
        <v>0</v>
      </c>
      <c r="HV14" s="1647"/>
      <c r="HW14" s="491"/>
      <c r="HX14" s="485">
        <v>0</v>
      </c>
      <c r="HY14" s="485">
        <v>0</v>
      </c>
      <c r="HZ14" s="485"/>
      <c r="IA14" s="532">
        <v>0</v>
      </c>
      <c r="IB14" s="3669">
        <v>0</v>
      </c>
      <c r="IC14" s="491"/>
      <c r="ID14" s="485"/>
      <c r="IE14" s="485"/>
      <c r="IF14" s="485"/>
      <c r="IG14" s="532">
        <v>0</v>
      </c>
      <c r="IH14" s="3669">
        <v>0</v>
      </c>
      <c r="II14" s="489"/>
      <c r="IJ14" s="485"/>
      <c r="IK14" s="485"/>
      <c r="IL14" s="485"/>
      <c r="IM14" s="487">
        <v>0</v>
      </c>
      <c r="IN14" s="488">
        <v>0</v>
      </c>
      <c r="IO14" s="489"/>
      <c r="IP14" s="485">
        <f t="shared" si="18"/>
        <v>0</v>
      </c>
      <c r="IQ14" s="485">
        <f t="shared" si="19"/>
        <v>0</v>
      </c>
      <c r="IR14" s="485">
        <f t="shared" si="20"/>
        <v>0</v>
      </c>
      <c r="IS14" s="487" t="e">
        <f t="shared" si="21"/>
        <v>#DIV/0!</v>
      </c>
      <c r="IT14" s="488" t="e">
        <f t="shared" si="22"/>
        <v>#DIV/0!</v>
      </c>
      <c r="IU14" s="502">
        <f>IO14-GT14</f>
        <v>-423932</v>
      </c>
      <c r="IV14" s="503">
        <f>IP14-GU14</f>
        <v>-423932</v>
      </c>
      <c r="IW14" s="503">
        <f>IQ14-GV14</f>
        <v>-1</v>
      </c>
      <c r="IX14" s="503">
        <f>IR14-GW14</f>
        <v>0</v>
      </c>
      <c r="IY14" s="550" t="e">
        <f t="shared" si="98"/>
        <v>#DIV/0!</v>
      </c>
      <c r="IZ14" s="550" t="e">
        <f t="shared" si="99"/>
        <v>#DIV/0!</v>
      </c>
      <c r="JA14" s="550" t="e">
        <f t="shared" si="100"/>
        <v>#DIV/0!</v>
      </c>
      <c r="JB14" s="551" t="e">
        <f t="shared" si="101"/>
        <v>#DIV/0!</v>
      </c>
      <c r="JC14" s="3746"/>
      <c r="JD14" s="3747"/>
      <c r="JE14" s="3747"/>
      <c r="JF14" s="3747"/>
      <c r="JG14" s="487" t="e">
        <f t="shared" si="24"/>
        <v>#DIV/0!</v>
      </c>
      <c r="JH14" s="488" t="e">
        <f t="shared" si="25"/>
        <v>#DIV/0!</v>
      </c>
      <c r="JI14" s="3746"/>
      <c r="JJ14" s="3747"/>
      <c r="JK14" s="3747"/>
      <c r="JL14" s="3747"/>
      <c r="JM14" s="487" t="e">
        <f t="shared" si="26"/>
        <v>#DIV/0!</v>
      </c>
      <c r="JN14" s="488" t="e">
        <f t="shared" si="27"/>
        <v>#DIV/0!</v>
      </c>
      <c r="JO14" s="504"/>
      <c r="JP14" s="505"/>
      <c r="JQ14" s="505"/>
      <c r="JR14" s="505"/>
      <c r="JS14" s="3748">
        <v>1</v>
      </c>
      <c r="JT14" s="3749">
        <v>0</v>
      </c>
      <c r="JU14" s="509"/>
      <c r="JV14" s="510">
        <f t="shared" si="130"/>
        <v>0</v>
      </c>
      <c r="JW14" s="510">
        <f t="shared" si="130"/>
        <v>0</v>
      </c>
      <c r="JX14" s="510">
        <f t="shared" si="130"/>
        <v>0</v>
      </c>
      <c r="JY14" s="3748"/>
      <c r="JZ14" s="3749">
        <v>0</v>
      </c>
      <c r="KA14" s="502">
        <f t="shared" si="131"/>
        <v>0</v>
      </c>
      <c r="KB14" s="503">
        <f t="shared" si="131"/>
        <v>0</v>
      </c>
      <c r="KC14" s="503">
        <f t="shared" si="131"/>
        <v>0</v>
      </c>
      <c r="KD14" s="532">
        <v>0</v>
      </c>
      <c r="KE14" s="487" t="e">
        <f t="shared" si="103"/>
        <v>#DIV/0!</v>
      </c>
      <c r="KF14" s="488" t="e">
        <f t="shared" si="104"/>
        <v>#DIV/0!</v>
      </c>
      <c r="KG14" s="504"/>
      <c r="KH14" s="505"/>
      <c r="KI14" s="505"/>
      <c r="KJ14" s="505"/>
      <c r="KK14" s="3748">
        <v>1</v>
      </c>
      <c r="KL14" s="3749">
        <v>0</v>
      </c>
      <c r="KM14" s="519"/>
      <c r="KN14" s="506"/>
      <c r="KO14" s="506"/>
      <c r="KP14" s="506"/>
      <c r="KQ14" s="507">
        <v>1</v>
      </c>
      <c r="KR14" s="508">
        <v>0</v>
      </c>
      <c r="KS14" s="1451"/>
      <c r="KT14" s="536"/>
      <c r="KU14" s="536"/>
      <c r="KV14" s="536"/>
      <c r="KW14" s="536">
        <v>0</v>
      </c>
      <c r="KX14" s="537">
        <v>0</v>
      </c>
      <c r="KY14" s="1453">
        <v>0</v>
      </c>
      <c r="KZ14" s="1452">
        <f t="shared" si="132"/>
        <v>0</v>
      </c>
      <c r="LA14" s="1452">
        <f t="shared" si="132"/>
        <v>0</v>
      </c>
      <c r="LB14" s="1452">
        <f t="shared" si="132"/>
        <v>0</v>
      </c>
      <c r="LC14" s="507" t="e">
        <f t="shared" si="41"/>
        <v>#DIV/0!</v>
      </c>
      <c r="LD14" s="507" t="e">
        <f t="shared" si="42"/>
        <v>#DIV/0!</v>
      </c>
      <c r="LE14" s="511"/>
      <c r="LF14" s="512">
        <f t="shared" si="133"/>
        <v>0</v>
      </c>
      <c r="LG14" s="512">
        <f t="shared" si="133"/>
        <v>0</v>
      </c>
      <c r="LH14" s="512">
        <f t="shared" si="133"/>
        <v>0</v>
      </c>
      <c r="LI14" s="1462">
        <v>0</v>
      </c>
      <c r="LJ14" s="513" t="e">
        <f t="shared" si="134"/>
        <v>#DIV/0!</v>
      </c>
      <c r="LK14" s="513" t="e">
        <f t="shared" si="134"/>
        <v>#DIV/0!</v>
      </c>
      <c r="LL14" s="514" t="e">
        <f>LB14/JX14</f>
        <v>#DIV/0!</v>
      </c>
      <c r="LM14" s="1451"/>
      <c r="LN14" s="506"/>
      <c r="LO14" s="506"/>
      <c r="LP14" s="506"/>
      <c r="LQ14" s="507">
        <v>1</v>
      </c>
      <c r="LR14" s="537">
        <v>0</v>
      </c>
      <c r="LS14" s="1451"/>
      <c r="LT14" s="506"/>
      <c r="LU14" s="506"/>
      <c r="LV14" s="506"/>
      <c r="LW14" s="536">
        <v>0</v>
      </c>
      <c r="LX14" s="537">
        <v>0</v>
      </c>
      <c r="LY14" s="1451"/>
      <c r="LZ14" s="506"/>
      <c r="MA14" s="506"/>
      <c r="MB14" s="506"/>
      <c r="MC14" s="536">
        <v>0</v>
      </c>
      <c r="MD14" s="537">
        <v>0</v>
      </c>
      <c r="ME14" s="1451"/>
      <c r="MF14" s="505">
        <f t="shared" si="135"/>
        <v>0</v>
      </c>
      <c r="MG14" s="505">
        <f t="shared" si="135"/>
        <v>0</v>
      </c>
      <c r="MH14" s="505">
        <f t="shared" si="135"/>
        <v>0</v>
      </c>
      <c r="MI14" s="536">
        <v>0</v>
      </c>
      <c r="MJ14" s="537">
        <v>0</v>
      </c>
    </row>
    <row r="15" spans="1:350" s="556" customFormat="1" ht="22.6" customHeight="1" x14ac:dyDescent="0.3">
      <c r="A15" s="4219"/>
      <c r="B15" s="4220"/>
      <c r="C15" s="4221">
        <f>SUM(C5:C12)</f>
        <v>2192</v>
      </c>
      <c r="D15" s="4222">
        <f>SUM(D5:D12)</f>
        <v>1810810495.8363333</v>
      </c>
      <c r="E15" s="4222">
        <f>SUM(E5:E12)</f>
        <v>354508362.96837634</v>
      </c>
      <c r="F15" s="4222">
        <f>SUM(F5:F12)</f>
        <v>138733045.70656833</v>
      </c>
      <c r="G15" s="4222">
        <f>SUM(G6:G12)</f>
        <v>69428537.817030966</v>
      </c>
      <c r="H15" s="4223">
        <f>E15/D15</f>
        <v>0.19577330912511892</v>
      </c>
      <c r="I15" s="4223">
        <f>F15/D15</f>
        <v>7.6613784835885698E-2</v>
      </c>
      <c r="J15" s="4224">
        <f>G15/D15</f>
        <v>3.8341139493431639E-2</v>
      </c>
      <c r="K15" s="4225">
        <f>SUM(K6:K12)</f>
        <v>2298</v>
      </c>
      <c r="L15" s="4222">
        <f>SUM(L6:L13)</f>
        <v>148504311.30000001</v>
      </c>
      <c r="M15" s="4222">
        <f>SUM(M6:M13)</f>
        <v>23642650.300000001</v>
      </c>
      <c r="N15" s="4222">
        <f>SUM(N6:N13)</f>
        <v>3597596.6</v>
      </c>
      <c r="O15" s="4223">
        <f>M15/L15</f>
        <v>0.15920514423475865</v>
      </c>
      <c r="P15" s="4224">
        <f>N15/L15</f>
        <v>2.4225536407036286E-2</v>
      </c>
      <c r="Q15" s="4225">
        <f>SUM(Q6:Q12)</f>
        <v>2258</v>
      </c>
      <c r="R15" s="4222">
        <f>SUM(R6:R13)</f>
        <v>152712289.18000001</v>
      </c>
      <c r="S15" s="4222">
        <f>SUM(S6:S13)</f>
        <v>22967300.083225802</v>
      </c>
      <c r="T15" s="4222">
        <f>SUM(T6:T13)</f>
        <v>8208807.9332258021</v>
      </c>
      <c r="U15" s="4223">
        <f>S15/R15</f>
        <v>0.15039588632028519</v>
      </c>
      <c r="V15" s="4224">
        <f>T15/R15</f>
        <v>5.3753420745007538E-2</v>
      </c>
      <c r="W15" s="4225">
        <f>SUM(W6:W12)</f>
        <v>2263</v>
      </c>
      <c r="X15" s="4222">
        <f>SUM(X6:X13)</f>
        <v>154735929.25999999</v>
      </c>
      <c r="Y15" s="4222">
        <f>SUM(Y6:Y13)</f>
        <v>21931503.593333334</v>
      </c>
      <c r="Z15" s="4222">
        <f>SUM(Z6:Z13)</f>
        <v>5791491.0233333334</v>
      </c>
      <c r="AA15" s="4223">
        <f>Y15/X15</f>
        <v>0.14173504303891971</v>
      </c>
      <c r="AB15" s="4224">
        <f>Z15/X15</f>
        <v>3.7428224013842291E-2</v>
      </c>
      <c r="AC15" s="4225">
        <f>SUM(AC6:AC12)</f>
        <v>2244</v>
      </c>
      <c r="AD15" s="4222">
        <f>SUM(AD6:AD13)</f>
        <v>151072531.79548389</v>
      </c>
      <c r="AE15" s="4222">
        <f>SUM(AE6:AE13)</f>
        <v>22935975.247096777</v>
      </c>
      <c r="AF15" s="4222">
        <f>SUM(AF6:AF13)</f>
        <v>5966370.547096774</v>
      </c>
      <c r="AG15" s="4223">
        <f>AE15/AD15</f>
        <v>0.15182094967566048</v>
      </c>
      <c r="AH15" s="4224">
        <f>AF15/AD15</f>
        <v>3.9493417341901794E-2</v>
      </c>
      <c r="AI15" s="4221">
        <f>SUM(AI6:AI11)</f>
        <v>2226</v>
      </c>
      <c r="AJ15" s="4222">
        <f>SUM(AJ6:AJ13)</f>
        <v>158084289.27333334</v>
      </c>
      <c r="AK15" s="4222">
        <f>SUM(AK6:AK13)</f>
        <v>23608479.273333333</v>
      </c>
      <c r="AL15" s="4222">
        <f>SUM(AL6:AL13)</f>
        <v>6207741.333141027</v>
      </c>
      <c r="AM15" s="4223">
        <f>AK15/AJ15</f>
        <v>0.14934108494812812</v>
      </c>
      <c r="AN15" s="4224">
        <f>AL15/AJ15</f>
        <v>3.9268553261530136E-2</v>
      </c>
      <c r="AO15" s="4221">
        <f>SUM(AO6:AO11)</f>
        <v>2199</v>
      </c>
      <c r="AP15" s="4222">
        <f>SUM(AP6:AP13)</f>
        <v>152319910.19333333</v>
      </c>
      <c r="AQ15" s="4222">
        <f>SUM(AQ6:AQ13)</f>
        <v>21034947.193333331</v>
      </c>
      <c r="AR15" s="4222">
        <f>SUM(AR6:AR13)</f>
        <v>5014250.623333334</v>
      </c>
      <c r="AS15" s="4223">
        <f>AQ15/AP15</f>
        <v>0.13809716120915871</v>
      </c>
      <c r="AT15" s="4224">
        <f>AR15/AP15</f>
        <v>3.2919206799485075E-2</v>
      </c>
      <c r="AU15" s="4221">
        <f>SUM(AU6:AU12)</f>
        <v>2173</v>
      </c>
      <c r="AV15" s="4222">
        <f>SUM(AV6:AV13)</f>
        <v>152563949.26999998</v>
      </c>
      <c r="AW15" s="4222">
        <f>SUM(AW6:AW13)</f>
        <v>21906092.27</v>
      </c>
      <c r="AX15" s="4222">
        <f>SUM(AX6:AX13)</f>
        <v>8578387.5700000003</v>
      </c>
      <c r="AY15" s="4223">
        <f>AW15/AV15</f>
        <v>0.14358629528678302</v>
      </c>
      <c r="AZ15" s="4224">
        <f>AX15/AV15</f>
        <v>5.6228143090464991E-2</v>
      </c>
      <c r="BA15" s="4221">
        <f>SUM(BA6:BA12)</f>
        <v>2108</v>
      </c>
      <c r="BB15" s="4222">
        <f>SUM(BB6:BB13)</f>
        <v>146505215.34</v>
      </c>
      <c r="BC15" s="4222">
        <f>SUM(BC6:BC13)</f>
        <v>20901999.34</v>
      </c>
      <c r="BD15" s="4222">
        <f>SUM(BD6:BD13)</f>
        <v>7025981.5012499997</v>
      </c>
      <c r="BE15" s="4223">
        <f>BC15/BB15</f>
        <v>0.1426706843950365</v>
      </c>
      <c r="BF15" s="4224">
        <f>BD15/BB15</f>
        <v>4.7957210840204892E-2</v>
      </c>
      <c r="BG15" s="4221">
        <f>SUM(BG6:BG12)</f>
        <v>1986</v>
      </c>
      <c r="BH15" s="4222">
        <f>SUM(BH6:BH13)</f>
        <v>134704288.06999999</v>
      </c>
      <c r="BI15" s="4222">
        <f>SUM(BI6:BI13)</f>
        <v>15815503.328064516</v>
      </c>
      <c r="BJ15" s="4222">
        <f>SUM(BJ6:BJ13)</f>
        <v>3074143.5605645161</v>
      </c>
      <c r="BK15" s="4223">
        <f>BI15/BH15</f>
        <v>0.11740905619757169</v>
      </c>
      <c r="BL15" s="4224">
        <f>BJ15/BH15</f>
        <v>2.2821423167813461E-2</v>
      </c>
      <c r="BM15" s="4226">
        <f>SUM(BM6:BM12)</f>
        <v>1899</v>
      </c>
      <c r="BN15" s="4222">
        <f>SUM(BN6:BN13)</f>
        <v>134999162.32999998</v>
      </c>
      <c r="BO15" s="4222">
        <f>SUM(BO6:BO13)</f>
        <v>19411902.329999998</v>
      </c>
      <c r="BP15" s="4222">
        <f>SUM(BP6:BP13)</f>
        <v>5022297.93</v>
      </c>
      <c r="BQ15" s="4223">
        <f>BO15/BN15</f>
        <v>0.14379276133986957</v>
      </c>
      <c r="BR15" s="4224">
        <f>BP15/BN15</f>
        <v>3.7202437728637128E-2</v>
      </c>
      <c r="BS15" s="4226">
        <f>SUM(BS6:BS12)</f>
        <v>1875</v>
      </c>
      <c r="BT15" s="4222">
        <f>SUM(BT6:BT13)</f>
        <v>129834892.90000001</v>
      </c>
      <c r="BU15" s="4222">
        <f>SUM(BU6:BU13)</f>
        <v>17178153.728571426</v>
      </c>
      <c r="BV15" s="4222">
        <f>SUM(BV6:BV13)</f>
        <v>-277532.11642857105</v>
      </c>
      <c r="BW15" s="4223">
        <f>BU15/BT15</f>
        <v>0.13230768204817017</v>
      </c>
      <c r="BX15" s="4224">
        <f>BV15/BT15</f>
        <v>-2.1375772739484506E-3</v>
      </c>
      <c r="BY15" s="4221">
        <f>SUM(BY5:BY12)</f>
        <v>1917</v>
      </c>
      <c r="BZ15" s="4222">
        <f>SUM(BZ5:BZ12)</f>
        <v>161628465</v>
      </c>
      <c r="CA15" s="4222">
        <f>SUM(CA5:CA12)</f>
        <v>25575004.109677419</v>
      </c>
      <c r="CB15" s="4222">
        <f>SUM(CB5:CB12)</f>
        <v>2123528.889677417</v>
      </c>
      <c r="CC15" s="4223">
        <f>CA15/BZ15</f>
        <v>0.15823329207313463</v>
      </c>
      <c r="CD15" s="4224">
        <f>CB15/BZ15</f>
        <v>1.3138334820400707E-2</v>
      </c>
      <c r="CE15" s="4227">
        <f>SUM(CE6:CE13)</f>
        <v>1798</v>
      </c>
      <c r="CF15" s="4222">
        <f>SUM(CF6:CF13)</f>
        <v>397269012.19</v>
      </c>
      <c r="CG15" s="4222">
        <f>SUM(CG6:CG13)</f>
        <v>52902508.128248841</v>
      </c>
      <c r="CH15" s="4222">
        <f>SUM(CH6:CH13)</f>
        <v>4004695.3132488462</v>
      </c>
      <c r="CI15" s="4223">
        <f>CG15/CF15</f>
        <v>0.13316545339546243</v>
      </c>
      <c r="CJ15" s="4224">
        <f>CH15/CF15</f>
        <v>1.0080563019935568E-2</v>
      </c>
      <c r="CK15" s="4228">
        <f>SUM(CK5:CK12)</f>
        <v>1917</v>
      </c>
      <c r="CL15" s="4229">
        <f>SUM(CL5:CL12)</f>
        <v>2112313737.4321506</v>
      </c>
      <c r="CM15" s="4229">
        <f>SUM(CM5:CM12)</f>
        <v>367590683.31663591</v>
      </c>
      <c r="CN15" s="4229">
        <f>SUM(CN5:CN12)</f>
        <v>113124878.55238557</v>
      </c>
      <c r="CO15" s="4229">
        <f>SUM(CO6:CO13)</f>
        <v>36463095.327061944</v>
      </c>
      <c r="CP15" s="4230">
        <f>CM15/CL15</f>
        <v>0.17402276792627414</v>
      </c>
      <c r="CQ15" s="4230">
        <f>CN15/CL15</f>
        <v>5.3554960396132556E-2</v>
      </c>
      <c r="CR15" s="4224">
        <f>CO15/CL15</f>
        <v>1.726215887389369E-2</v>
      </c>
      <c r="CS15" s="4231">
        <f>SUM(CS6:CS13)</f>
        <v>-251</v>
      </c>
      <c r="CT15" s="4232">
        <f t="shared" si="136"/>
        <v>301503241.59581733</v>
      </c>
      <c r="CU15" s="4232">
        <f t="shared" si="136"/>
        <v>13082320.348259568</v>
      </c>
      <c r="CV15" s="4232">
        <f t="shared" si="136"/>
        <v>-25608167.154182762</v>
      </c>
      <c r="CW15" s="4223">
        <f>CS15/C15</f>
        <v>-0.114507299270073</v>
      </c>
      <c r="CX15" s="4223">
        <f t="shared" si="137"/>
        <v>0.16650181909651807</v>
      </c>
      <c r="CY15" s="4223">
        <f t="shared" si="137"/>
        <v>3.6902712925355068E-2</v>
      </c>
      <c r="CZ15" s="4224">
        <f t="shared" si="137"/>
        <v>-0.18458592200409207</v>
      </c>
      <c r="DA15" s="4233"/>
      <c r="DB15" s="4221">
        <f>SUM(DB6:DB13)</f>
        <v>1761</v>
      </c>
      <c r="DC15" s="4222">
        <f>SUM(DC6:DC13)</f>
        <v>131498643.74000001</v>
      </c>
      <c r="DD15" s="4222">
        <f>SUM(DD6:DD13)</f>
        <v>15017467.34</v>
      </c>
      <c r="DE15" s="4222">
        <f>SUM(DE6:DE13)</f>
        <v>4321674.1399999997</v>
      </c>
      <c r="DF15" s="4223">
        <f t="shared" si="72"/>
        <v>0.11420245040467973</v>
      </c>
      <c r="DG15" s="4224">
        <f t="shared" si="73"/>
        <v>3.286478108888212E-2</v>
      </c>
      <c r="DH15" s="4221">
        <f>SUM(DH6:DH13)</f>
        <v>1821</v>
      </c>
      <c r="DI15" s="4222">
        <f>SUM(DI6:DI13)</f>
        <v>137996493.40496001</v>
      </c>
      <c r="DJ15" s="4222">
        <f>SUM(DJ6:DJ13)</f>
        <v>14769704.004959999</v>
      </c>
      <c r="DK15" s="4222">
        <f>SUM(DK6:DK13)</f>
        <v>1404538.48496</v>
      </c>
      <c r="DL15" s="4223">
        <f t="shared" si="74"/>
        <v>0.10702956024844275</v>
      </c>
      <c r="DM15" s="4224">
        <f t="shared" si="75"/>
        <v>1.017807373436865E-2</v>
      </c>
      <c r="DN15" s="4221">
        <f>SUM(DN6:DN13)</f>
        <v>1833</v>
      </c>
      <c r="DO15" s="4222">
        <f>SUM(DO6:DO13)</f>
        <v>132796029.42999999</v>
      </c>
      <c r="DP15" s="4222">
        <f>SUM(DP6:DP13)</f>
        <v>13105934.963333335</v>
      </c>
      <c r="DQ15" s="4222">
        <f>SUM(DQ6:DQ13)</f>
        <v>2577747.1133333342</v>
      </c>
      <c r="DR15" s="4223">
        <f t="shared" si="112"/>
        <v>9.8692220088114846E-2</v>
      </c>
      <c r="DS15" s="4224">
        <f t="shared" si="113"/>
        <v>1.941132671208462E-2</v>
      </c>
      <c r="DT15" s="4234">
        <f>SUM(DT6:DT13)</f>
        <v>1834</v>
      </c>
      <c r="DU15" s="4235">
        <f>SUM(DU6:DU13)</f>
        <v>402370306.57495999</v>
      </c>
      <c r="DV15" s="4235">
        <f>SUM(DV6:DV13)</f>
        <v>42893106.308293335</v>
      </c>
      <c r="DW15" s="4235">
        <f>SUM(DW6:DW13)</f>
        <v>8303959.7382933348</v>
      </c>
      <c r="DX15" s="4236">
        <f t="shared" si="114"/>
        <v>0.10660107271186653</v>
      </c>
      <c r="DY15" s="4237">
        <f t="shared" si="115"/>
        <v>2.0637605714442401E-2</v>
      </c>
      <c r="DZ15" s="4234">
        <f>SUM(DZ6:DZ13)</f>
        <v>36</v>
      </c>
      <c r="EA15" s="4235">
        <f>SUM(EA6:EA13)</f>
        <v>5101294.3849599855</v>
      </c>
      <c r="EB15" s="4235">
        <f>SUM(EB6:EB13)</f>
        <v>-10009401.819955513</v>
      </c>
      <c r="EC15" s="4235">
        <f>SUM(EC6:EC13)</f>
        <v>4299264.4250444872</v>
      </c>
      <c r="ED15" s="4238">
        <f>DZ15/CE15</f>
        <v>2.0022246941045607E-2</v>
      </c>
      <c r="EE15" s="4238">
        <f t="shared" si="138"/>
        <v>1.2840906862678263E-2</v>
      </c>
      <c r="EF15" s="4238">
        <f t="shared" si="138"/>
        <v>-0.18920467429805468</v>
      </c>
      <c r="EG15" s="4239">
        <f t="shared" si="138"/>
        <v>1.0735559359088094</v>
      </c>
      <c r="EH15" s="4221">
        <f>SUM(EH6:EH13)</f>
        <v>1789</v>
      </c>
      <c r="EI15" s="4222">
        <f>SUM(EI6:EI13)</f>
        <v>119121684.5032258</v>
      </c>
      <c r="EJ15" s="4222">
        <f>SUM(EJ6:EJ13)</f>
        <v>16136392.529032258</v>
      </c>
      <c r="EK15" s="4222">
        <f>SUM(EK6:EK13)</f>
        <v>3888774.5290322583</v>
      </c>
      <c r="EL15" s="4223">
        <f>EJ15/EI15</f>
        <v>0.13546141994487398</v>
      </c>
      <c r="EM15" s="4224">
        <f>EK15/EI15</f>
        <v>3.2645395716570401E-2</v>
      </c>
      <c r="EN15" s="4221">
        <f>SUM(EN6:EN13)</f>
        <v>1814</v>
      </c>
      <c r="EO15" s="4222">
        <f>SUM(EO6:EO13)</f>
        <v>130080434.19</v>
      </c>
      <c r="EP15" s="4222">
        <f>SUM(EP6:EP13)</f>
        <v>17366919.399999999</v>
      </c>
      <c r="EQ15" s="4222">
        <f>SUM(EQ6:EQ13)</f>
        <v>6515766.7270967737</v>
      </c>
      <c r="ER15" s="4223">
        <f>EP15/EO15</f>
        <v>0.13350908234695213</v>
      </c>
      <c r="ES15" s="4224">
        <f>EQ15/EO15</f>
        <v>5.0090290424304844E-2</v>
      </c>
      <c r="ET15" s="4221">
        <f>SUM(ET6:ET13)</f>
        <v>1791</v>
      </c>
      <c r="EU15" s="4222">
        <f>SUM(EU6:EU13)</f>
        <v>119959846.39666666</v>
      </c>
      <c r="EV15" s="4222">
        <f>SUM(EV6:EV13)</f>
        <v>14931295.796666667</v>
      </c>
      <c r="EW15" s="4222">
        <f>SUM(EW6:EW13)</f>
        <v>171633.09666666621</v>
      </c>
      <c r="EX15" s="4223">
        <f>EV15/EU15</f>
        <v>0.12446911400081256</v>
      </c>
      <c r="EY15" s="4224">
        <f>EW15/EU15</f>
        <v>1.4307545551461743E-3</v>
      </c>
      <c r="EZ15" s="4234">
        <f>SUM(EZ6:EZ13)</f>
        <v>1790</v>
      </c>
      <c r="FA15" s="4235">
        <f>SUM(FA6:FA13)</f>
        <v>369161965.08989251</v>
      </c>
      <c r="FB15" s="4235">
        <f>SUM(FB6:FB13)</f>
        <v>48434607.725698926</v>
      </c>
      <c r="FC15" s="4235">
        <f>SUM(FC6:FC13)</f>
        <v>10576174.352795698</v>
      </c>
      <c r="FD15" s="4236">
        <f>FB15/FA15</f>
        <v>0.13120151127677765</v>
      </c>
      <c r="FE15" s="4237">
        <f>FC15/FA15</f>
        <v>2.8649144150644974E-2</v>
      </c>
      <c r="FF15" s="4234">
        <f>SUM(FF6:FF13)</f>
        <v>-44</v>
      </c>
      <c r="FG15" s="4235">
        <f>SUM(FG6:FG13)</f>
        <v>-33208341.485067528</v>
      </c>
      <c r="FH15" s="4235">
        <f>SUM(FH6:FH13)</f>
        <v>5541501.4174055904</v>
      </c>
      <c r="FI15" s="4240">
        <f>FF15/DT15</f>
        <v>-2.3991275899672846E-2</v>
      </c>
      <c r="FJ15" s="4240">
        <f t="shared" si="82"/>
        <v>-8.2531789603815964E-2</v>
      </c>
      <c r="FK15" s="4241">
        <f t="shared" si="82"/>
        <v>0.1291932875547917</v>
      </c>
      <c r="FL15" s="4221">
        <f>SUM(FL6:FL13)</f>
        <v>1781</v>
      </c>
      <c r="FM15" s="4222">
        <f>SUM(FM6:FM13)</f>
        <v>125037629.7</v>
      </c>
      <c r="FN15" s="4222">
        <f>SUM(FN6:FN13)</f>
        <v>15557981.5</v>
      </c>
      <c r="FO15" s="4222">
        <f>SUM(FO6:FO13)</f>
        <v>3741646.3274999997</v>
      </c>
      <c r="FP15" s="4223">
        <f>FN15/FM15</f>
        <v>0.12442639497667957</v>
      </c>
      <c r="FQ15" s="4224">
        <f>FO15/FM15</f>
        <v>2.9924162321992572E-2</v>
      </c>
      <c r="FR15" s="4221">
        <f>SUM(FR6:FR13)</f>
        <v>1753</v>
      </c>
      <c r="FS15" s="4222">
        <f>SUM(FS6:FS13)</f>
        <v>118633343.25799999</v>
      </c>
      <c r="FT15" s="4222">
        <f>SUM(FT6:FT13)</f>
        <v>14699082.857999999</v>
      </c>
      <c r="FU15" s="4222">
        <f>SUM(FU6:FU13)</f>
        <v>2609669.4879999999</v>
      </c>
      <c r="FV15" s="4223">
        <f>FT15/FS15</f>
        <v>0.1239034697524532</v>
      </c>
      <c r="FW15" s="4224">
        <f>FU15/FS15</f>
        <v>2.1997774119242131E-2</v>
      </c>
      <c r="FX15" s="4221">
        <f>SUM(FX6:FX13)</f>
        <v>1724</v>
      </c>
      <c r="FY15" s="4222">
        <f>SUM(FY6:FY13)</f>
        <v>113626225.36666667</v>
      </c>
      <c r="FZ15" s="4222">
        <f>SUM(FZ6:FZ13)</f>
        <v>14116123.966666667</v>
      </c>
      <c r="GA15" s="4222">
        <f>SUM(GA6:GA13)</f>
        <v>1624823.4916666665</v>
      </c>
      <c r="GB15" s="4223">
        <f>FZ15/FY15</f>
        <v>0.12423297457179956</v>
      </c>
      <c r="GC15" s="4224">
        <f>GA15/FY15</f>
        <v>1.4299722501767833E-2</v>
      </c>
      <c r="GD15" s="4221">
        <f>SUM(GD6:GD13)</f>
        <v>1724</v>
      </c>
      <c r="GE15" s="4222">
        <f>SUM(GE6:GE13)</f>
        <v>357297198.32466662</v>
      </c>
      <c r="GF15" s="4222">
        <f>SUM(GF6:GF13)</f>
        <v>44373188.324666671</v>
      </c>
      <c r="GG15" s="4222">
        <f>SUM(GG6:GG13)</f>
        <v>7976139.3071666667</v>
      </c>
      <c r="GH15" s="4223">
        <f>GF15/GE15</f>
        <v>0.12419125739784255</v>
      </c>
      <c r="GI15" s="4223">
        <f>GG15/GE15</f>
        <v>2.2323542822518742E-2</v>
      </c>
      <c r="GJ15" s="4242">
        <f>GD15-EZ15</f>
        <v>-66</v>
      </c>
      <c r="GK15" s="4243">
        <f>GE15-FA15</f>
        <v>-11864766.765225887</v>
      </c>
      <c r="GL15" s="4243">
        <f>GF15-FB15</f>
        <v>-4061419.4010322541</v>
      </c>
      <c r="GM15" s="4243">
        <f t="shared" si="116"/>
        <v>-2600035.045629031</v>
      </c>
      <c r="GN15" s="4244">
        <f t="shared" si="89"/>
        <v>1.5</v>
      </c>
      <c r="GO15" s="4244">
        <f t="shared" si="90"/>
        <v>0.35728272580432846</v>
      </c>
      <c r="GP15" s="4244">
        <f t="shared" si="91"/>
        <v>-0.7329095663993751</v>
      </c>
      <c r="GQ15" s="4245">
        <f t="shared" si="92"/>
        <v>0.75416110221918387</v>
      </c>
      <c r="GR15" s="4221">
        <f>SUM(GR6:GR13)</f>
        <v>1715</v>
      </c>
      <c r="GS15" s="4222">
        <f>SUM(GS6:GS13)</f>
        <v>113978770.05999999</v>
      </c>
      <c r="GT15" s="4222">
        <f>SUM(GT6:GT13)</f>
        <v>14739415.279354839</v>
      </c>
      <c r="GU15" s="4222">
        <f>SUM(GU6:GU13)</f>
        <v>2770812.4793548388</v>
      </c>
      <c r="GV15" s="4223">
        <f>GT15/GS15</f>
        <v>0.12931719890990057</v>
      </c>
      <c r="GW15" s="4224">
        <f>GU15/GS15</f>
        <v>2.4309899798850655E-2</v>
      </c>
      <c r="GX15" s="4221">
        <f>SUM(GX6:GX13)</f>
        <v>1689</v>
      </c>
      <c r="GY15" s="4222">
        <f>SUM(GY6:GY13)</f>
        <v>112328838.66</v>
      </c>
      <c r="GZ15" s="4222">
        <f>SUM(GZ6:GZ13)</f>
        <v>14415126.460000001</v>
      </c>
      <c r="HA15" s="4222">
        <f>SUM(HA6:HA13)</f>
        <v>2462608.11</v>
      </c>
      <c r="HB15" s="4223">
        <f>GZ15/GY15</f>
        <v>0.12832970261209681</v>
      </c>
      <c r="HC15" s="4224">
        <f>HA15/GY15</f>
        <v>2.1923204578424331E-2</v>
      </c>
      <c r="HD15" s="4221">
        <f>SUM(HD5:HD12)</f>
        <v>1833</v>
      </c>
      <c r="HE15" s="4222">
        <f>SUM(HE5:HE12)</f>
        <v>136379325.61000001</v>
      </c>
      <c r="HF15" s="4222">
        <f>SUM(HF5:HF12)</f>
        <v>25115088.764838707</v>
      </c>
      <c r="HG15" s="4222">
        <f>SUM(HG5:HG12)</f>
        <v>-2479277.2111612903</v>
      </c>
      <c r="HH15" s="4223">
        <f>HF15/HE15</f>
        <v>0.18415612962231237</v>
      </c>
      <c r="HI15" s="4224">
        <f>HG15/HE15</f>
        <v>-1.8179274608317152E-2</v>
      </c>
      <c r="HJ15" s="4221">
        <f>SUM(HJ5:HJ12)</f>
        <v>1833</v>
      </c>
      <c r="HK15" s="4222">
        <f>SUM(HK5:HK12)</f>
        <v>409473853.12</v>
      </c>
      <c r="HL15" s="4222">
        <f>SUM(HL5:HL12)</f>
        <v>71285969.294193551</v>
      </c>
      <c r="HM15" s="4222">
        <f>SUM(HM5:HM12)</f>
        <v>9373493.8681935482</v>
      </c>
      <c r="HN15" s="4223">
        <f>HL15/HK15</f>
        <v>0.17409162697697955</v>
      </c>
      <c r="HO15" s="4224">
        <f>HM15/HK15</f>
        <v>2.289155655915974E-2</v>
      </c>
      <c r="HP15" s="4221">
        <f>SUM(HP5:HP12)</f>
        <v>1833</v>
      </c>
      <c r="HQ15" s="4222">
        <f>SUM(HQ5:HQ12)</f>
        <v>1809170230.6095192</v>
      </c>
      <c r="HR15" s="4222">
        <f>SUM(HR5:HR12)</f>
        <v>290842515.2099492</v>
      </c>
      <c r="HS15" s="4222">
        <f>SUM(HS5:HS12)</f>
        <v>57542742.130949236</v>
      </c>
      <c r="HT15" s="4246">
        <f>HR15/HQ15</f>
        <v>0.16076017076179877</v>
      </c>
      <c r="HU15" s="4247">
        <f>HS15/HQ15</f>
        <v>3.1806151326933325E-2</v>
      </c>
      <c r="HV15" s="4233"/>
      <c r="HW15" s="4221">
        <f>SUM(HW5:HW14)</f>
        <v>1901</v>
      </c>
      <c r="HX15" s="4222">
        <f>SUM(HX5:HX14)</f>
        <v>146570815.89999998</v>
      </c>
      <c r="HY15" s="4222">
        <f>SUM(HY5:HY14)</f>
        <v>25320372.357500002</v>
      </c>
      <c r="HZ15" s="4222">
        <f>SUM(HZ5:HZ14)</f>
        <v>5322208.1574999997</v>
      </c>
      <c r="IA15" s="4223">
        <f>HY15/HX15</f>
        <v>0.17275180056836953</v>
      </c>
      <c r="IB15" s="4224">
        <f>HZ15/HX15</f>
        <v>3.6311513481177261E-2</v>
      </c>
      <c r="IC15" s="4221">
        <f>SUM(IC5:IC14)</f>
        <v>1957</v>
      </c>
      <c r="ID15" s="4222">
        <f>SUM(ID5:ID14)</f>
        <v>146033613.56129032</v>
      </c>
      <c r="IE15" s="4222">
        <f>SUM(IE5:IE14)</f>
        <v>27018825.07962903</v>
      </c>
      <c r="IF15" s="4222">
        <f>SUM(IF5:IF14)</f>
        <v>8709817.3296290319</v>
      </c>
      <c r="IG15" s="4223">
        <f>IE15/ID15</f>
        <v>0.18501784911519173</v>
      </c>
      <c r="IH15" s="4224">
        <f>IF15/ID15</f>
        <v>5.964255158264313E-2</v>
      </c>
      <c r="II15" s="4221">
        <f>SUM(II5:II14)</f>
        <v>2073</v>
      </c>
      <c r="IJ15" s="4222">
        <f>SUM(IJ5:IJ14)</f>
        <v>161320213.35333335</v>
      </c>
      <c r="IK15" s="4222">
        <f>SUM(IK5:IK14)</f>
        <v>25542871.331833333</v>
      </c>
      <c r="IL15" s="4222">
        <f>SUM(IL5:IL14)</f>
        <v>6837003.231833335</v>
      </c>
      <c r="IM15" s="4223">
        <f>IK15/IJ15</f>
        <v>0.15833645890293846</v>
      </c>
      <c r="IN15" s="4224">
        <f>IL15/IJ15</f>
        <v>4.2381565767325845E-2</v>
      </c>
      <c r="IO15" s="4221">
        <f>SUM(IO5:IO14)</f>
        <v>2073</v>
      </c>
      <c r="IP15" s="4222">
        <f>SUM(IP5:IP14)</f>
        <v>453924642.81462359</v>
      </c>
      <c r="IQ15" s="4222">
        <f>SUM(IQ5:IQ14)</f>
        <v>77882068.768962368</v>
      </c>
      <c r="IR15" s="4222">
        <f>SUM(IR5:IR14)</f>
        <v>20869028.718962368</v>
      </c>
      <c r="IS15" s="4236">
        <f t="shared" si="21"/>
        <v>0.17157488583577143</v>
      </c>
      <c r="IT15" s="4237">
        <f t="shared" si="22"/>
        <v>4.5974654712643531E-2</v>
      </c>
      <c r="IU15" s="4234">
        <f>SUM(IU6:IU13)</f>
        <v>238</v>
      </c>
      <c r="IV15" s="4235">
        <f>SUM(IV6:IV13)</f>
        <v>42974667.844623633</v>
      </c>
      <c r="IW15" s="4235">
        <f>SUM(IW6:IW13)</f>
        <v>7606196.0197688164</v>
      </c>
      <c r="IX15" s="4235">
        <f>SUM(IX6:IX13)</f>
        <v>6607353.2957688207</v>
      </c>
      <c r="IY15" s="4248">
        <f t="shared" si="98"/>
        <v>0.12984178941625751</v>
      </c>
      <c r="IZ15" s="4248">
        <f t="shared" si="99"/>
        <v>0.10495094501682264</v>
      </c>
      <c r="JA15" s="4248">
        <f t="shared" si="100"/>
        <v>0.10669976287168706</v>
      </c>
      <c r="JB15" s="4249">
        <f t="shared" si="101"/>
        <v>0.70489759620893466</v>
      </c>
      <c r="JC15" s="4221">
        <f>SUM(JC5:JC14)</f>
        <v>2007</v>
      </c>
      <c r="JD15" s="4222">
        <f>SUM(JD5:JD14)</f>
        <v>152766124.94020161</v>
      </c>
      <c r="JE15" s="4222">
        <f>SUM(JE5:JE14)</f>
        <v>27362730.788330644</v>
      </c>
      <c r="JF15" s="4222">
        <f>SUM(JF5:JF14)</f>
        <v>6816830.3758306457</v>
      </c>
      <c r="JG15" s="4223">
        <f t="shared" si="24"/>
        <v>0.17911517228732118</v>
      </c>
      <c r="JH15" s="4224">
        <f t="shared" si="25"/>
        <v>4.4622656878277225E-2</v>
      </c>
      <c r="JI15" s="4221">
        <f>SUM(JI5:JI14)</f>
        <v>2041</v>
      </c>
      <c r="JJ15" s="4222">
        <f>SUM(JJ5:JJ14)</f>
        <v>144895921.99333334</v>
      </c>
      <c r="JK15" s="4222">
        <f>SUM(JK5:JK14)</f>
        <v>23727516.770172041</v>
      </c>
      <c r="JL15" s="4222">
        <f>SUM(JL5:JL14)</f>
        <v>2912864.7906720424</v>
      </c>
      <c r="JM15" s="4223">
        <f t="shared" si="26"/>
        <v>0.16375558707072338</v>
      </c>
      <c r="JN15" s="4224">
        <f t="shared" si="27"/>
        <v>2.0103152322023688E-2</v>
      </c>
      <c r="JO15" s="4221">
        <f>SUM(JO5:JO14)</f>
        <v>2147</v>
      </c>
      <c r="JP15" s="4222">
        <f>SUM(JP5:JP14)</f>
        <v>152651540.38</v>
      </c>
      <c r="JQ15" s="4222">
        <f>SUM(JQ5:JQ14)</f>
        <v>26664589.60166667</v>
      </c>
      <c r="JR15" s="4222">
        <f>SUM(JR5:JR14)</f>
        <v>5498897.8316666698</v>
      </c>
      <c r="JS15" s="4223">
        <f>JQ15/JP15</f>
        <v>0.17467619085460728</v>
      </c>
      <c r="JT15" s="4224">
        <f>JR15/JP15</f>
        <v>3.6022550561744089E-2</v>
      </c>
      <c r="JU15" s="4221">
        <f>SUM(JU5:JU14)</f>
        <v>2138</v>
      </c>
      <c r="JV15" s="4222">
        <f>SUM(JV5:JV14)</f>
        <v>450313587.31353498</v>
      </c>
      <c r="JW15" s="4222">
        <f>SUM(JW5:JW14)</f>
        <v>77754837.160169363</v>
      </c>
      <c r="JX15" s="4222">
        <f>SUM(JX5:JX14)</f>
        <v>15228592.998169359</v>
      </c>
      <c r="JY15" s="4223">
        <f>JW15/JV15</f>
        <v>0.17266820133950753</v>
      </c>
      <c r="JZ15" s="4224">
        <f>JX15/JV15</f>
        <v>3.3817751511828822E-2</v>
      </c>
      <c r="KA15" s="557">
        <f>SUM(KA5:KA13)</f>
        <v>65</v>
      </c>
      <c r="KB15" s="558">
        <f>SUM(KB5:KB13)</f>
        <v>-3611055.5010886891</v>
      </c>
      <c r="KC15" s="558">
        <f>SUM(KC5:KC13)</f>
        <v>-127231.6087930128</v>
      </c>
      <c r="KD15" s="559">
        <f>KA15/IO15</f>
        <v>3.1355523396044381E-2</v>
      </c>
      <c r="KE15" s="559">
        <f t="shared" si="103"/>
        <v>-7.9551871841498437E-3</v>
      </c>
      <c r="KF15" s="560">
        <f t="shared" si="104"/>
        <v>-1.6336444422200204E-3</v>
      </c>
      <c r="KG15" s="4221">
        <f>SUM(KG5:KG14)</f>
        <v>2121</v>
      </c>
      <c r="KH15" s="4222">
        <f>SUM(KH5:KH14)</f>
        <v>156679222.50868064</v>
      </c>
      <c r="KI15" s="4222">
        <f>SUM(KI5:KI14)</f>
        <v>27113808.194454838</v>
      </c>
      <c r="KJ15" s="4222">
        <f>SUM(KJ5:KJ14)</f>
        <v>5119705.65795484</v>
      </c>
      <c r="KK15" s="4223">
        <f>KI15/KH15</f>
        <v>0.17305299171338834</v>
      </c>
      <c r="KL15" s="4224">
        <f>KJ15/KH15</f>
        <v>3.2676353481848483E-2</v>
      </c>
      <c r="KM15" s="4221">
        <f>SUM(KM5:KM14)</f>
        <v>2173</v>
      </c>
      <c r="KN15" s="4222">
        <f>SUM(KN5:KN14)</f>
        <v>151498073.836</v>
      </c>
      <c r="KO15" s="4222">
        <f>SUM(KO5:KO14)</f>
        <v>25971714.0755</v>
      </c>
      <c r="KP15" s="4222">
        <f>SUM(KP5:KP14)</f>
        <v>4716414.1854999997</v>
      </c>
      <c r="KQ15" s="4223">
        <f>KO15/KN15</f>
        <v>0.17143263553050156</v>
      </c>
      <c r="KR15" s="4224">
        <f>KP15/KN15</f>
        <v>3.1131842577784997E-2</v>
      </c>
      <c r="KS15" s="4221">
        <f>SUM(KS5:KS14)</f>
        <v>2200</v>
      </c>
      <c r="KT15" s="4222">
        <f>SUM(KT5:KT14)</f>
        <v>157051887.05329549</v>
      </c>
      <c r="KU15" s="4222">
        <f>SUM(KU5:KU14)</f>
        <v>25028934.630230971</v>
      </c>
      <c r="KV15" s="4222">
        <f>SUM(KV5:KV14)</f>
        <v>2474180.1802309691</v>
      </c>
      <c r="KW15" s="4223">
        <f>KU15/KT15</f>
        <v>0.15936729637471603</v>
      </c>
      <c r="KX15" s="4224">
        <f>KV15/KT15</f>
        <v>1.5753902908478629E-2</v>
      </c>
      <c r="KY15" s="1459">
        <f>SUM(KY6:KY13)</f>
        <v>2638</v>
      </c>
      <c r="KZ15" s="1460">
        <f>SUM(KZ6:KZ13)</f>
        <v>399874697.62797612</v>
      </c>
      <c r="LA15" s="1460">
        <f>SUM(LA6:LA13)</f>
        <v>56328653.130185798</v>
      </c>
      <c r="LB15" s="1460">
        <f>SUM(LB6:LB13)</f>
        <v>3663334.7336858078</v>
      </c>
      <c r="LC15" s="1461">
        <f t="shared" si="41"/>
        <v>0.14086575986008304</v>
      </c>
      <c r="LD15" s="1461">
        <f t="shared" si="42"/>
        <v>9.1612066365199113E-3</v>
      </c>
      <c r="LE15" s="1466">
        <f>KY15-JU15</f>
        <v>500</v>
      </c>
      <c r="LF15" s="1467">
        <f>KZ15-JV15</f>
        <v>-50438889.685558856</v>
      </c>
      <c r="LG15" s="1467">
        <f>LA15-JW15</f>
        <v>-21426184.029983565</v>
      </c>
      <c r="LH15" s="1467">
        <f>LB15-JX15</f>
        <v>-11565258.264483551</v>
      </c>
      <c r="LI15" s="1468">
        <f>LE15/KA15</f>
        <v>7.6923076923076925</v>
      </c>
      <c r="LJ15" s="1468">
        <f t="shared" si="134"/>
        <v>13.967907629875018</v>
      </c>
      <c r="LK15" s="1468">
        <f t="shared" si="134"/>
        <v>168.40299539747886</v>
      </c>
      <c r="LL15" s="1469">
        <f>LB15/JX15</f>
        <v>0.24055634910764115</v>
      </c>
      <c r="LM15" s="4221">
        <f>SUM(LM5:LM14)</f>
        <v>2113</v>
      </c>
      <c r="LN15" s="4222">
        <f>SUM(LN5:LN14)</f>
        <v>161242348.45100001</v>
      </c>
      <c r="LO15" s="4222">
        <f>SUM(LO5:LO14)</f>
        <v>30250528.5055</v>
      </c>
      <c r="LP15" s="4222">
        <f>SUM(LP5:LP14)</f>
        <v>10556353.805500003</v>
      </c>
      <c r="LQ15" s="4223">
        <f>LO15/LN15</f>
        <v>0.18760907910425806</v>
      </c>
      <c r="LR15" s="4224">
        <f>LP15/LN15</f>
        <v>6.5468866627851036E-2</v>
      </c>
      <c r="LS15" s="555">
        <f>SUM(LS6:LS13)</f>
        <v>0</v>
      </c>
      <c r="LT15" s="552">
        <f>SUM(LT6:LT13)</f>
        <v>0</v>
      </c>
      <c r="LU15" s="552">
        <f>SUM(LU6:LU13)</f>
        <v>0</v>
      </c>
      <c r="LV15" s="552">
        <f>SUM(LV6:LV13)</f>
        <v>0</v>
      </c>
      <c r="LW15" s="553" t="e">
        <f>LU15/LT15</f>
        <v>#DIV/0!</v>
      </c>
      <c r="LX15" s="554" t="e">
        <f>LV15/LT15</f>
        <v>#DIV/0!</v>
      </c>
      <c r="LY15" s="555">
        <f>SUM(LY5:LY12)</f>
        <v>0</v>
      </c>
      <c r="LZ15" s="552">
        <f>SUM(LZ5:LZ12)</f>
        <v>0</v>
      </c>
      <c r="MA15" s="552">
        <f>SUM(MA5:MA12)</f>
        <v>0</v>
      </c>
      <c r="MB15" s="552">
        <f>SUM(MB5:MB12)</f>
        <v>0</v>
      </c>
      <c r="MC15" s="553" t="e">
        <f>MA15/LZ15</f>
        <v>#DIV/0!</v>
      </c>
      <c r="MD15" s="554" t="e">
        <f>MB15/LZ15</f>
        <v>#DIV/0!</v>
      </c>
      <c r="ME15" s="1649">
        <f>SUM(ME5:ME12)</f>
        <v>0</v>
      </c>
      <c r="MF15" s="1650">
        <f>SUM(MF5:MF13)</f>
        <v>1530709761.9771347</v>
      </c>
      <c r="MG15" s="1650">
        <f>SUM(MG5:MG13)</f>
        <v>264001891.33481753</v>
      </c>
      <c r="MH15" s="1650">
        <f>SUM(MH5:MH13)</f>
        <v>58964275.54631754</v>
      </c>
      <c r="MI15" s="1661">
        <f>MG15/MF15</f>
        <v>0.17247024739283076</v>
      </c>
      <c r="MJ15" s="1662">
        <f>MH15/MF15</f>
        <v>3.8520872480852661E-2</v>
      </c>
      <c r="MK15" s="4268"/>
    </row>
    <row r="16" spans="1:350" ht="18.3" customHeight="1" x14ac:dyDescent="0.3">
      <c r="GK16" s="561"/>
      <c r="GL16" s="561"/>
      <c r="KH16" s="16"/>
      <c r="MK16" s="243"/>
    </row>
    <row r="17" spans="1:245" ht="18.3" customHeight="1" x14ac:dyDescent="0.3">
      <c r="A17" s="27"/>
      <c r="B17" s="27"/>
      <c r="C17" s="562"/>
      <c r="D17" s="563"/>
      <c r="E17" s="563"/>
      <c r="F17" s="564"/>
      <c r="G17" s="565"/>
      <c r="H17" s="27"/>
      <c r="I17" s="472"/>
      <c r="J17" s="472"/>
      <c r="K17" s="27"/>
      <c r="L17" s="27"/>
      <c r="M17" s="27"/>
      <c r="N17" s="564"/>
      <c r="O17" s="27"/>
      <c r="P17" s="27"/>
      <c r="Q17" s="27"/>
      <c r="R17" s="27"/>
      <c r="S17" s="27"/>
      <c r="T17" s="564"/>
      <c r="U17" s="27"/>
      <c r="V17" s="27"/>
      <c r="W17" s="27"/>
      <c r="X17" s="27"/>
      <c r="Y17" s="392"/>
      <c r="Z17" s="564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392"/>
      <c r="CB17" s="27"/>
      <c r="CC17" s="27"/>
      <c r="CD17" s="27"/>
      <c r="CE17" s="27"/>
      <c r="CF17" s="566">
        <v>84433355.560000002</v>
      </c>
      <c r="CG17" s="566">
        <v>25794843.560000002</v>
      </c>
      <c r="CH17" s="27"/>
      <c r="CI17" s="472"/>
      <c r="CJ17" s="472"/>
      <c r="CK17" s="27"/>
      <c r="CL17" s="565"/>
      <c r="CN17" s="567"/>
      <c r="CO17" s="567"/>
      <c r="DU17" s="16"/>
      <c r="DV17" s="16"/>
      <c r="DW17" s="16"/>
      <c r="ET17" s="33"/>
      <c r="FA17" s="568"/>
      <c r="FB17" s="568"/>
      <c r="FM17" s="16"/>
      <c r="FN17" s="243"/>
      <c r="HQ17" s="243"/>
      <c r="HR17" s="243"/>
      <c r="HS17" s="243"/>
      <c r="IJ17" s="16"/>
      <c r="IK17" s="16"/>
    </row>
    <row r="18" spans="1:245" ht="18.3" customHeight="1" x14ac:dyDescent="0.3">
      <c r="A18" s="276" t="s">
        <v>255</v>
      </c>
      <c r="H18" s="243"/>
      <c r="I18" s="569"/>
      <c r="J18" s="569"/>
      <c r="N18" s="172"/>
      <c r="T18" s="172"/>
      <c r="Z18" s="172"/>
      <c r="BB18" s="16"/>
      <c r="CL18" s="16"/>
      <c r="CN18" s="570"/>
      <c r="CO18" s="570"/>
      <c r="DU18" s="243"/>
      <c r="DV18" s="243"/>
      <c r="FA18" s="243"/>
      <c r="FB18" s="243"/>
    </row>
    <row r="19" spans="1:245" ht="18.3" customHeight="1" x14ac:dyDescent="0.3">
      <c r="A19" s="276" t="s">
        <v>935</v>
      </c>
      <c r="D19" s="3"/>
      <c r="H19" s="243"/>
      <c r="I19" s="569"/>
      <c r="J19" s="569"/>
      <c r="L19" s="244"/>
      <c r="N19" s="244"/>
      <c r="O19" s="16"/>
      <c r="T19" s="244"/>
      <c r="U19" s="16"/>
      <c r="Z19" s="244"/>
      <c r="AA19" s="16"/>
      <c r="CN19" s="571"/>
      <c r="CO19" s="571"/>
      <c r="DU19" s="392"/>
      <c r="DV19" s="392"/>
      <c r="FA19" s="572"/>
      <c r="FB19" s="572"/>
    </row>
    <row r="20" spans="1:245" ht="18.3" customHeight="1" x14ac:dyDescent="0.3">
      <c r="A20" s="276" t="s">
        <v>936</v>
      </c>
      <c r="D20" s="3"/>
      <c r="H20" s="172"/>
      <c r="L20" s="244"/>
      <c r="N20" s="244"/>
      <c r="O20" s="16"/>
      <c r="T20" s="244"/>
      <c r="U20" s="16"/>
      <c r="Z20" s="244"/>
      <c r="AA20" s="16"/>
    </row>
    <row r="21" spans="1:245" ht="18.3" customHeight="1" x14ac:dyDescent="0.3">
      <c r="A21" s="276" t="s">
        <v>937</v>
      </c>
      <c r="D21" s="3"/>
      <c r="H21" s="172"/>
      <c r="L21" s="244"/>
      <c r="N21" s="244"/>
      <c r="O21" s="16"/>
      <c r="T21" s="244"/>
      <c r="U21" s="16"/>
      <c r="Z21" s="244"/>
      <c r="AA21" s="16"/>
    </row>
    <row r="22" spans="1:245" ht="18.3" customHeight="1" x14ac:dyDescent="0.3">
      <c r="A22" s="276" t="s">
        <v>938</v>
      </c>
      <c r="D22" s="3"/>
      <c r="L22" s="244"/>
      <c r="N22" s="244"/>
      <c r="O22" s="16"/>
      <c r="T22" s="244"/>
      <c r="U22" s="16"/>
      <c r="Z22" s="244"/>
      <c r="AA22" s="16"/>
      <c r="CN22" s="243"/>
    </row>
    <row r="23" spans="1:245" ht="18.3" customHeight="1" x14ac:dyDescent="0.3">
      <c r="A23" s="308"/>
      <c r="H23" s="172"/>
      <c r="CN23" s="243"/>
    </row>
    <row r="24" spans="1:245" ht="18.3" customHeight="1" x14ac:dyDescent="0.3">
      <c r="A24" s="308"/>
    </row>
  </sheetData>
  <mergeCells count="8">
    <mergeCell ref="ME3:MJ3"/>
    <mergeCell ref="DT3:DY3"/>
    <mergeCell ref="GJ3:GQ3"/>
    <mergeCell ref="CS3:CZ3"/>
    <mergeCell ref="IO3:IT3"/>
    <mergeCell ref="LE3:LL3"/>
    <mergeCell ref="IU3:JB3"/>
    <mergeCell ref="JU3:JZ3"/>
  </mergeCells>
  <pageMargins left="0.7" right="0.7" top="0.75" bottom="0.75" header="0.3" footer="0.3"/>
  <pageSetup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I135"/>
  <sheetViews>
    <sheetView tabSelected="1" zoomScale="95" zoomScaleNormal="95" workbookViewId="0">
      <pane xSplit="5" ySplit="4" topLeftCell="TD65" activePane="bottomRight" state="frozen"/>
      <selection pane="topRight" activeCell="F1" sqref="F1"/>
      <selection pane="bottomLeft" activeCell="A5" sqref="A5"/>
      <selection pane="bottomRight" activeCell="E82" sqref="E82"/>
    </sheetView>
  </sheetViews>
  <sheetFormatPr defaultColWidth="9.09765625" defaultRowHeight="13.45" x14ac:dyDescent="0.3"/>
  <cols>
    <col min="1" max="1" width="3" style="63" customWidth="1"/>
    <col min="2" max="2" width="22.796875" style="65" bestFit="1" customWidth="1"/>
    <col min="3" max="3" width="9" style="381" bestFit="1" customWidth="1"/>
    <col min="4" max="4" width="11.796875" style="381" bestFit="1" customWidth="1"/>
    <col min="5" max="5" width="8.69921875" style="66" bestFit="1" customWidth="1"/>
    <col min="6" max="6" width="7.19921875" style="66" hidden="1" customWidth="1"/>
    <col min="7" max="7" width="13.796875" style="831" hidden="1" customWidth="1"/>
    <col min="8" max="8" width="13.296875" style="831" hidden="1" customWidth="1"/>
    <col min="9" max="9" width="12.09765625" style="831" hidden="1" customWidth="1"/>
    <col min="10" max="10" width="4.8984375" style="66" hidden="1" customWidth="1"/>
    <col min="11" max="11" width="7.19921875" style="66" hidden="1" customWidth="1"/>
    <col min="12" max="12" width="13" style="831" hidden="1" customWidth="1"/>
    <col min="13" max="13" width="13.296875" style="831" hidden="1" customWidth="1"/>
    <col min="14" max="14" width="12.09765625" style="831" hidden="1" customWidth="1"/>
    <col min="15" max="15" width="5.09765625" style="66" hidden="1" customWidth="1"/>
    <col min="16" max="16" width="7.19921875" style="66" hidden="1" customWidth="1"/>
    <col min="17" max="18" width="13.296875" style="831" hidden="1" customWidth="1"/>
    <col min="19" max="19" width="12.09765625" style="831" hidden="1" customWidth="1"/>
    <col min="20" max="20" width="5.09765625" style="425" hidden="1" customWidth="1"/>
    <col min="21" max="21" width="5.59765625" style="66" hidden="1" customWidth="1"/>
    <col min="22" max="23" width="12.09765625" style="66" hidden="1" customWidth="1"/>
    <col min="24" max="24" width="4.69921875" style="66" hidden="1" customWidth="1"/>
    <col min="25" max="25" width="11" style="66" hidden="1" customWidth="1"/>
    <col min="26" max="26" width="4.59765625" style="66" hidden="1" customWidth="1"/>
    <col min="27" max="27" width="7.19921875" style="66" hidden="1" customWidth="1"/>
    <col min="28" max="29" width="12.09765625" style="66" hidden="1" customWidth="1"/>
    <col min="30" max="30" width="12" style="66" hidden="1" customWidth="1"/>
    <col min="31" max="31" width="11" style="66" hidden="1" customWidth="1"/>
    <col min="32" max="32" width="2.296875" style="66" hidden="1" customWidth="1"/>
    <col min="33" max="33" width="7.5" style="63" hidden="1" customWidth="1"/>
    <col min="34" max="35" width="12.09765625" style="63" hidden="1" customWidth="1"/>
    <col min="36" max="36" width="12" style="63" hidden="1" customWidth="1"/>
    <col min="37" max="37" width="12.09765625" style="63" hidden="1" customWidth="1"/>
    <col min="38" max="38" width="4.59765625" style="63" hidden="1" customWidth="1"/>
    <col min="39" max="40" width="11" style="125" hidden="1" customWidth="1"/>
    <col min="41" max="41" width="7.59765625" style="125" hidden="1" customWidth="1"/>
    <col min="42" max="42" width="11.69921875" style="125" hidden="1" customWidth="1"/>
    <col min="43" max="43" width="11" style="125" hidden="1" customWidth="1"/>
    <col min="44" max="44" width="6.8984375" style="63" hidden="1" customWidth="1"/>
    <col min="45" max="45" width="7.19921875" style="63" hidden="1" customWidth="1"/>
    <col min="46" max="46" width="12.09765625" style="63" hidden="1" customWidth="1"/>
    <col min="47" max="47" width="13.296875" style="63" hidden="1" customWidth="1"/>
    <col min="48" max="48" width="12.09765625" style="63" hidden="1" customWidth="1"/>
    <col min="49" max="49" width="4.59765625" style="63" hidden="1" customWidth="1"/>
    <col min="50" max="50" width="7.19921875" style="62" hidden="1" customWidth="1"/>
    <col min="51" max="53" width="13.296875" style="63" hidden="1" customWidth="1"/>
    <col min="54" max="54" width="4.59765625" style="63" hidden="1" customWidth="1"/>
    <col min="55" max="55" width="7.19921875" style="125" hidden="1" customWidth="1"/>
    <col min="56" max="57" width="12.09765625" style="125" hidden="1" customWidth="1"/>
    <col min="58" max="58" width="9.3984375" style="125" hidden="1" customWidth="1"/>
    <col min="59" max="59" width="12.09765625" style="125" hidden="1" customWidth="1"/>
    <col min="60" max="60" width="5.09765625" style="832" hidden="1" customWidth="1"/>
    <col min="61" max="61" width="7.19921875" style="125" hidden="1" customWidth="1"/>
    <col min="62" max="63" width="12.09765625" style="125" hidden="1" customWidth="1"/>
    <col min="64" max="64" width="9.3984375" style="125" hidden="1" customWidth="1"/>
    <col min="65" max="65" width="12.09765625" style="125" hidden="1" customWidth="1"/>
    <col min="66" max="66" width="5.09765625" style="832" hidden="1" customWidth="1"/>
    <col min="67" max="67" width="5.59765625" style="420" hidden="1" customWidth="1"/>
    <col min="68" max="69" width="12.09765625" style="125" hidden="1" customWidth="1"/>
    <col min="70" max="70" width="9.3984375" style="125" hidden="1" customWidth="1"/>
    <col min="71" max="71" width="12.09765625" style="125" hidden="1" customWidth="1"/>
    <col min="72" max="72" width="4.8984375" style="63" hidden="1" customWidth="1"/>
    <col min="73" max="73" width="7.19921875" style="63" hidden="1" customWidth="1"/>
    <col min="74" max="74" width="13.296875" style="63" hidden="1" customWidth="1"/>
    <col min="75" max="75" width="12.09765625" style="63" hidden="1" customWidth="1"/>
    <col min="76" max="76" width="4.59765625" style="65" hidden="1" customWidth="1"/>
    <col min="77" max="77" width="7.296875" style="62" hidden="1" customWidth="1"/>
    <col min="78" max="78" width="12.09765625" style="63" hidden="1" customWidth="1"/>
    <col min="79" max="79" width="12.09765625" style="833" hidden="1" customWidth="1"/>
    <col min="80" max="80" width="12" style="833" hidden="1" customWidth="1"/>
    <col min="81" max="81" width="12.09765625" style="63" hidden="1" customWidth="1"/>
    <col min="82" max="82" width="4.8984375" style="68" hidden="1" customWidth="1"/>
    <col min="83" max="84" width="11" style="125" hidden="1" customWidth="1"/>
    <col min="85" max="85" width="8.59765625" style="125" hidden="1" customWidth="1"/>
    <col min="86" max="86" width="11.69921875" style="125" hidden="1" customWidth="1"/>
    <col min="87" max="87" width="11" style="125" hidden="1" customWidth="1"/>
    <col min="88" max="88" width="5.8984375" style="68" hidden="1" customWidth="1"/>
    <col min="89" max="89" width="5.59765625" style="62" hidden="1" customWidth="1"/>
    <col min="90" max="91" width="12.09765625" style="833" hidden="1" customWidth="1"/>
    <col min="92" max="92" width="12" style="833" hidden="1" customWidth="1"/>
    <col min="93" max="93" width="12.09765625" style="63" hidden="1" customWidth="1"/>
    <col min="94" max="94" width="5.59765625" style="68" hidden="1" customWidth="1"/>
    <col min="95" max="96" width="11" style="125" hidden="1" customWidth="1"/>
    <col min="97" max="97" width="12" style="125" hidden="1" customWidth="1"/>
    <col min="98" max="98" width="11.69921875" style="125" hidden="1" customWidth="1"/>
    <col min="99" max="99" width="11" style="125" hidden="1" customWidth="1"/>
    <col min="100" max="100" width="5.8984375" style="68" hidden="1" customWidth="1"/>
    <col min="101" max="101" width="7.19921875" style="68" hidden="1" customWidth="1"/>
    <col min="102" max="103" width="12.09765625" style="68" hidden="1" customWidth="1"/>
    <col min="104" max="104" width="11" style="68" hidden="1" customWidth="1"/>
    <col min="105" max="105" width="14.19921875" style="68" hidden="1" customWidth="1"/>
    <col min="106" max="106" width="5.59765625" style="68" hidden="1" customWidth="1"/>
    <col min="107" max="108" width="11" style="125" hidden="1" customWidth="1"/>
    <col min="109" max="109" width="12.59765625" style="125" hidden="1" customWidth="1"/>
    <col min="110" max="110" width="11.69921875" style="125" hidden="1" customWidth="1"/>
    <col min="111" max="111" width="11.09765625" style="125" hidden="1" customWidth="1"/>
    <col min="112" max="112" width="5.8984375" style="68" hidden="1" customWidth="1"/>
    <col min="113" max="113" width="5.59765625" style="68" hidden="1" customWidth="1"/>
    <col min="114" max="114" width="13.296875" style="68" hidden="1" customWidth="1"/>
    <col min="115" max="115" width="12.09765625" style="68" hidden="1" customWidth="1"/>
    <col min="116" max="116" width="4.8984375" style="68" hidden="1" customWidth="1"/>
    <col min="117" max="117" width="12.09765625" style="68" hidden="1" customWidth="1"/>
    <col min="118" max="118" width="5.8984375" style="68" hidden="1" customWidth="1"/>
    <col min="119" max="119" width="5.796875" style="68" hidden="1" customWidth="1"/>
    <col min="120" max="120" width="11.19921875" style="63" hidden="1" customWidth="1"/>
    <col min="121" max="121" width="12.296875" style="125" hidden="1" customWidth="1"/>
    <col min="122" max="122" width="11.19921875" style="125" hidden="1" customWidth="1"/>
    <col min="123" max="123" width="5.8984375" style="68" hidden="1" customWidth="1"/>
    <col min="124" max="124" width="5.296875" style="68" hidden="1" customWidth="1"/>
    <col min="125" max="125" width="6.8984375" style="68" hidden="1" customWidth="1"/>
    <col min="126" max="126" width="5.8984375" style="63" hidden="1" customWidth="1"/>
    <col min="127" max="127" width="4.69921875" style="63" hidden="1" customWidth="1"/>
    <col min="128" max="129" width="11.19921875" style="63" hidden="1" customWidth="1"/>
    <col min="130" max="130" width="11.19921875" style="125" hidden="1" customWidth="1"/>
    <col min="131" max="131" width="6.3984375" style="125" hidden="1" customWidth="1"/>
    <col min="132" max="134" width="5.8984375" style="63" hidden="1" customWidth="1"/>
    <col min="135" max="135" width="6.8984375" style="63" hidden="1" customWidth="1"/>
    <col min="136" max="137" width="12.09765625" style="63" hidden="1" customWidth="1"/>
    <col min="138" max="138" width="12" style="63" hidden="1" customWidth="1"/>
    <col min="139" max="139" width="14.19921875" style="63" hidden="1" customWidth="1"/>
    <col min="140" max="140" width="5.59765625" style="63" hidden="1" customWidth="1"/>
    <col min="141" max="142" width="11" style="63" hidden="1" customWidth="1"/>
    <col min="143" max="143" width="12" style="63" hidden="1" customWidth="1"/>
    <col min="144" max="144" width="11.69921875" style="63" hidden="1" customWidth="1"/>
    <col min="145" max="145" width="11" style="63" hidden="1" customWidth="1"/>
    <col min="146" max="146" width="5" style="63" hidden="1" customWidth="1"/>
    <col min="147" max="147" width="7.5" style="63" hidden="1" customWidth="1"/>
    <col min="148" max="149" width="12.09765625" style="63" hidden="1" customWidth="1"/>
    <col min="150" max="150" width="12" style="63" hidden="1" customWidth="1"/>
    <col min="151" max="151" width="14.19921875" style="63" hidden="1" customWidth="1"/>
    <col min="152" max="152" width="5.59765625" style="63" hidden="1" customWidth="1"/>
    <col min="153" max="154" width="11" style="63" hidden="1" customWidth="1"/>
    <col min="155" max="155" width="12" style="63" hidden="1" customWidth="1"/>
    <col min="156" max="156" width="11.69921875" style="63" hidden="1" customWidth="1"/>
    <col min="157" max="157" width="11" style="63" hidden="1" customWidth="1"/>
    <col min="158" max="158" width="5" style="63" hidden="1" customWidth="1"/>
    <col min="159" max="159" width="5.796875" style="63" hidden="1" customWidth="1"/>
    <col min="160" max="160" width="12.296875" style="63" hidden="1" customWidth="1"/>
    <col min="161" max="162" width="11.19921875" style="63" hidden="1" customWidth="1"/>
    <col min="163" max="163" width="5.8984375" style="63" hidden="1" customWidth="1"/>
    <col min="164" max="164" width="7" style="63" hidden="1" customWidth="1"/>
    <col min="165" max="165" width="5.8984375" style="63" hidden="1" customWidth="1"/>
    <col min="166" max="166" width="5.8984375" style="68" hidden="1" customWidth="1"/>
    <col min="167" max="167" width="5.59765625" style="125" hidden="1" customWidth="1"/>
    <col min="168" max="169" width="12.09765625" style="125" hidden="1" customWidth="1"/>
    <col min="170" max="170" width="10.59765625" style="125" hidden="1" customWidth="1"/>
    <col min="171" max="171" width="12.09765625" style="125" hidden="1" customWidth="1"/>
    <col min="172" max="172" width="10.09765625" style="63" hidden="1" customWidth="1"/>
    <col min="173" max="173" width="10.59765625" style="125" hidden="1" customWidth="1"/>
    <col min="174" max="174" width="11" style="125" hidden="1" customWidth="1"/>
    <col min="175" max="175" width="11.69921875" style="125" hidden="1" customWidth="1"/>
    <col min="176" max="176" width="11" style="63" hidden="1" customWidth="1"/>
    <col min="177" max="177" width="5" style="68" hidden="1" customWidth="1"/>
    <col min="178" max="178" width="5.796875" style="63" hidden="1" customWidth="1"/>
    <col min="179" max="180" width="12.296875" style="63" hidden="1" customWidth="1"/>
    <col min="181" max="182" width="11.69921875" style="63" hidden="1" customWidth="1"/>
    <col min="183" max="183" width="5.8984375" style="68" hidden="1" customWidth="1"/>
    <col min="184" max="184" width="7" style="68" hidden="1" customWidth="1"/>
    <col min="185" max="185" width="5.8984375" style="63" hidden="1" customWidth="1"/>
    <col min="186" max="186" width="6.296875" style="63" hidden="1" customWidth="1"/>
    <col min="187" max="187" width="5.59765625" style="63" hidden="1" customWidth="1"/>
    <col min="188" max="188" width="13.296875" style="63" hidden="1" customWidth="1"/>
    <col min="189" max="189" width="12.09765625" style="63" hidden="1" customWidth="1"/>
    <col min="190" max="190" width="4.8984375" style="68" hidden="1" customWidth="1"/>
    <col min="191" max="191" width="12.09765625" style="63" hidden="1" customWidth="1"/>
    <col min="192" max="192" width="4.69921875" style="63" hidden="1" customWidth="1"/>
    <col min="193" max="194" width="12.296875" style="63" hidden="1" customWidth="1"/>
    <col min="195" max="195" width="11.19921875" style="63" hidden="1" customWidth="1"/>
    <col min="196" max="196" width="8.19921875" style="63" hidden="1" customWidth="1"/>
    <col min="197" max="198" width="12.09765625" style="63" hidden="1" customWidth="1"/>
    <col min="199" max="199" width="12" style="63" hidden="1" customWidth="1"/>
    <col min="200" max="200" width="11" style="63" hidden="1" customWidth="1"/>
    <col min="201" max="201" width="5.59765625" style="63" hidden="1" customWidth="1"/>
    <col min="202" max="203" width="11" style="63" hidden="1" customWidth="1"/>
    <col min="204" max="204" width="12" style="63" hidden="1" customWidth="1"/>
    <col min="205" max="205" width="11.69921875" style="63" hidden="1" customWidth="1"/>
    <col min="206" max="206" width="11" style="63" hidden="1" customWidth="1"/>
    <col min="207" max="207" width="5.8984375" style="63" hidden="1" customWidth="1"/>
    <col min="208" max="208" width="8.59765625" style="834" hidden="1" customWidth="1"/>
    <col min="209" max="210" width="12.09765625" style="834" hidden="1" customWidth="1"/>
    <col min="211" max="211" width="12" style="834" hidden="1" customWidth="1"/>
    <col min="212" max="212" width="11" style="63" hidden="1" customWidth="1"/>
    <col min="213" max="213" width="5.59765625" style="63" hidden="1" customWidth="1"/>
    <col min="214" max="214" width="11" style="125" hidden="1" customWidth="1"/>
    <col min="215" max="215" width="11.09765625" style="125" hidden="1" customWidth="1"/>
    <col min="216" max="216" width="12" style="125" hidden="1" customWidth="1"/>
    <col min="217" max="217" width="11.69921875" style="125" hidden="1" customWidth="1"/>
    <col min="218" max="218" width="11" style="63" hidden="1" customWidth="1"/>
    <col min="219" max="219" width="5" style="63" hidden="1" customWidth="1"/>
    <col min="220" max="220" width="5.59765625" style="63" hidden="1" customWidth="1"/>
    <col min="221" max="222" width="12.09765625" style="63" hidden="1" customWidth="1"/>
    <col min="223" max="223" width="10.59765625" style="63" hidden="1" customWidth="1"/>
    <col min="224" max="224" width="11" style="63" hidden="1" customWidth="1"/>
    <col min="225" max="225" width="5.59765625" style="63" hidden="1" customWidth="1"/>
    <col min="226" max="227" width="11" style="125" hidden="1" customWidth="1"/>
    <col min="228" max="228" width="11.09765625" style="125" hidden="1" customWidth="1"/>
    <col min="229" max="229" width="11.69921875" style="125" hidden="1" customWidth="1"/>
    <col min="230" max="230" width="11.19921875" style="63" hidden="1" customWidth="1"/>
    <col min="231" max="231" width="5.8984375" style="63" hidden="1" customWidth="1"/>
    <col min="232" max="232" width="5.59765625" style="63" hidden="1" customWidth="1"/>
    <col min="233" max="234" width="12.09765625" style="63" hidden="1" customWidth="1"/>
    <col min="235" max="235" width="4.69921875" style="68" hidden="1" customWidth="1"/>
    <col min="236" max="236" width="12.09765625" style="63" hidden="1" customWidth="1"/>
    <col min="237" max="237" width="4.8984375" style="63" hidden="1" customWidth="1"/>
    <col min="238" max="238" width="5.59765625" style="63" hidden="1" customWidth="1"/>
    <col min="239" max="240" width="13.296875" style="63" hidden="1" customWidth="1"/>
    <col min="241" max="241" width="7" style="63" hidden="1" customWidth="1"/>
    <col min="242" max="242" width="6.296875" style="63" hidden="1" customWidth="1"/>
    <col min="243" max="243" width="2.3984375" style="63" hidden="1" customWidth="1"/>
    <col min="244" max="244" width="5.59765625" style="125" hidden="1" customWidth="1"/>
    <col min="245" max="246" width="12.09765625" style="125" hidden="1" customWidth="1"/>
    <col min="247" max="247" width="10.09765625" style="125" hidden="1" customWidth="1"/>
    <col min="248" max="248" width="11" style="125" hidden="1" customWidth="1"/>
    <col min="249" max="249" width="7.296875" style="63" hidden="1" customWidth="1"/>
    <col min="250" max="250" width="20.5" style="63" hidden="1" customWidth="1"/>
    <col min="251" max="251" width="11" style="63" hidden="1" customWidth="1"/>
    <col min="252" max="252" width="11.69921875" style="63" hidden="1" customWidth="1"/>
    <col min="253" max="253" width="10.09765625" style="63" hidden="1" customWidth="1"/>
    <col min="254" max="254" width="5" style="63" hidden="1" customWidth="1"/>
    <col min="255" max="255" width="9.296875" style="62" hidden="1" customWidth="1"/>
    <col min="256" max="257" width="12.09765625" style="63" hidden="1" customWidth="1"/>
    <col min="258" max="258" width="12" style="63" hidden="1" customWidth="1"/>
    <col min="259" max="259" width="11" style="63" hidden="1" customWidth="1"/>
    <col min="260" max="260" width="7.296875" style="63" hidden="1" customWidth="1"/>
    <col min="261" max="261" width="20.5" style="63" hidden="1" customWidth="1"/>
    <col min="262" max="262" width="11" style="63" hidden="1" customWidth="1"/>
    <col min="263" max="263" width="11.69921875" style="63" hidden="1" customWidth="1"/>
    <col min="264" max="264" width="11" style="63" hidden="1" customWidth="1"/>
    <col min="265" max="265" width="5.8984375" style="63" hidden="1" customWidth="1"/>
    <col min="266" max="266" width="8.59765625" style="63" hidden="1" customWidth="1"/>
    <col min="267" max="268" width="12.09765625" style="63" hidden="1" customWidth="1"/>
    <col min="269" max="269" width="9.3984375" style="63" hidden="1" customWidth="1"/>
    <col min="270" max="270" width="11" style="63" hidden="1" customWidth="1"/>
    <col min="271" max="271" width="7.296875" style="63" hidden="1" customWidth="1"/>
    <col min="272" max="272" width="20.5" style="63" hidden="1" customWidth="1"/>
    <col min="273" max="273" width="11" style="63" hidden="1" customWidth="1"/>
    <col min="274" max="274" width="11.69921875" style="63" hidden="1" customWidth="1"/>
    <col min="275" max="275" width="11" style="63" hidden="1" customWidth="1"/>
    <col min="276" max="276" width="5" style="63" hidden="1" customWidth="1"/>
    <col min="277" max="277" width="7.19921875" style="63" hidden="1" customWidth="1"/>
    <col min="278" max="279" width="12.09765625" style="63" hidden="1" customWidth="1"/>
    <col min="280" max="280" width="7.296875" style="63" hidden="1" customWidth="1"/>
    <col min="281" max="281" width="5.59765625" style="63" hidden="1" customWidth="1"/>
    <col min="282" max="282" width="14.8984375" style="63" hidden="1" customWidth="1"/>
    <col min="283" max="283" width="12.09765625" style="63" hidden="1" customWidth="1"/>
    <col min="284" max="284" width="9.3984375" style="63" hidden="1" customWidth="1"/>
    <col min="285" max="285" width="11" style="63" hidden="1" customWidth="1"/>
    <col min="286" max="286" width="7.296875" style="63" hidden="1" customWidth="1"/>
    <col min="287" max="287" width="20.5" style="63" hidden="1" customWidth="1"/>
    <col min="288" max="288" width="11" style="63" hidden="1" customWidth="1"/>
    <col min="289" max="289" width="11.69921875" style="63" hidden="1" customWidth="1"/>
    <col min="290" max="290" width="11" style="63" hidden="1" customWidth="1"/>
    <col min="291" max="291" width="5.8984375" style="63" hidden="1" customWidth="1"/>
    <col min="292" max="292" width="5.59765625" style="63" hidden="1" customWidth="1"/>
    <col min="293" max="293" width="14.8984375" style="63" hidden="1" customWidth="1"/>
    <col min="294" max="294" width="12.09765625" style="63" hidden="1" customWidth="1"/>
    <col min="295" max="295" width="9.3984375" style="63" hidden="1" customWidth="1"/>
    <col min="296" max="296" width="11" style="63" hidden="1" customWidth="1"/>
    <col min="297" max="297" width="7.296875" style="63" hidden="1" customWidth="1"/>
    <col min="298" max="298" width="20.5" style="63" hidden="1" customWidth="1"/>
    <col min="299" max="299" width="11" style="63" hidden="1" customWidth="1"/>
    <col min="300" max="300" width="11.69921875" style="63" hidden="1" customWidth="1"/>
    <col min="301" max="301" width="11" style="63" hidden="1" customWidth="1"/>
    <col min="302" max="302" width="5" style="63" hidden="1" customWidth="1"/>
    <col min="303" max="303" width="5.59765625" style="63" hidden="1" customWidth="1"/>
    <col min="304" max="304" width="14.8984375" style="63" hidden="1" customWidth="1"/>
    <col min="305" max="305" width="12.09765625" style="63" hidden="1" customWidth="1"/>
    <col min="306" max="306" width="9.3984375" style="63" hidden="1" customWidth="1"/>
    <col min="307" max="307" width="11" style="63" hidden="1" customWidth="1"/>
    <col min="308" max="308" width="7.296875" style="63" hidden="1" customWidth="1"/>
    <col min="309" max="309" width="20.5" style="63" hidden="1" customWidth="1"/>
    <col min="310" max="310" width="11" style="63" hidden="1" customWidth="1"/>
    <col min="311" max="312" width="11.69921875" style="63" hidden="1" customWidth="1"/>
    <col min="313" max="313" width="5" style="63" hidden="1" customWidth="1"/>
    <col min="314" max="314" width="7.19921875" style="63" hidden="1" customWidth="1"/>
    <col min="315" max="316" width="12.09765625" style="63" hidden="1" customWidth="1"/>
    <col min="317" max="317" width="5.296875" style="68" hidden="1" customWidth="1"/>
    <col min="318" max="318" width="5.19921875" style="125" hidden="1" customWidth="1"/>
    <col min="319" max="319" width="11.69921875" style="125" hidden="1" customWidth="1"/>
    <col min="320" max="320" width="11" style="125" hidden="1" customWidth="1"/>
    <col min="321" max="321" width="5.296875" style="68" hidden="1" customWidth="1"/>
    <col min="322" max="322" width="5.8984375" style="68" hidden="1" customWidth="1"/>
    <col min="323" max="323" width="6.796875" style="68" hidden="1" customWidth="1"/>
    <col min="324" max="324" width="5.59765625" style="63" hidden="1" customWidth="1"/>
    <col min="325" max="325" width="14.8984375" style="63" hidden="1" customWidth="1"/>
    <col min="326" max="326" width="12.09765625" style="63" hidden="1" customWidth="1"/>
    <col min="327" max="327" width="9.3984375" style="63" hidden="1" customWidth="1"/>
    <col min="328" max="328" width="11" style="63" hidden="1" customWidth="1"/>
    <col min="329" max="329" width="7.296875" style="63" hidden="1" customWidth="1"/>
    <col min="330" max="330" width="20.5" style="63" hidden="1" customWidth="1"/>
    <col min="331" max="331" width="11" style="63" hidden="1" customWidth="1"/>
    <col min="332" max="332" width="17.59765625" style="63" hidden="1" customWidth="1"/>
    <col min="333" max="333" width="10.09765625" style="63" hidden="1" customWidth="1"/>
    <col min="334" max="334" width="5" style="63" hidden="1" customWidth="1"/>
    <col min="335" max="335" width="5.59765625" style="125" hidden="1" customWidth="1"/>
    <col min="336" max="336" width="14.8984375" style="125" hidden="1" customWidth="1"/>
    <col min="337" max="337" width="12.09765625" style="125" hidden="1" customWidth="1"/>
    <col min="338" max="338" width="9.3984375" style="125" hidden="1" customWidth="1"/>
    <col min="339" max="339" width="11" style="63" hidden="1" customWidth="1"/>
    <col min="340" max="340" width="7.296875" style="63" hidden="1" customWidth="1"/>
    <col min="341" max="341" width="20.5" style="63" hidden="1" customWidth="1"/>
    <col min="342" max="342" width="11" style="63" hidden="1" customWidth="1"/>
    <col min="343" max="343" width="14.296875" style="63" hidden="1" customWidth="1"/>
    <col min="344" max="344" width="11" style="63" hidden="1" customWidth="1"/>
    <col min="345" max="345" width="7" style="63" hidden="1" customWidth="1"/>
    <col min="346" max="346" width="5.59765625" style="63" hidden="1" customWidth="1"/>
    <col min="347" max="347" width="14.8984375" style="63" hidden="1" customWidth="1"/>
    <col min="348" max="348" width="12.09765625" style="63" hidden="1" customWidth="1"/>
    <col min="349" max="349" width="9.3984375" style="63" hidden="1" customWidth="1"/>
    <col min="350" max="350" width="11" style="63" hidden="1" customWidth="1"/>
    <col min="351" max="351" width="7.296875" style="63" hidden="1" customWidth="1"/>
    <col min="352" max="352" width="20.5" style="63" hidden="1" customWidth="1"/>
    <col min="353" max="353" width="11" style="63" hidden="1" customWidth="1"/>
    <col min="354" max="354" width="17.19921875" style="63" hidden="1" customWidth="1"/>
    <col min="355" max="355" width="11.69921875" style="63" hidden="1" customWidth="1"/>
    <col min="356" max="356" width="7" style="63" hidden="1" customWidth="1"/>
    <col min="357" max="357" width="5.59765625" style="420" hidden="1" customWidth="1"/>
    <col min="358" max="359" width="12.09765625" style="125" hidden="1" customWidth="1"/>
    <col min="360" max="360" width="4.59765625" style="63" hidden="1" customWidth="1"/>
    <col min="361" max="361" width="5.19921875" style="125" hidden="1" customWidth="1"/>
    <col min="362" max="362" width="12.796875" style="125" hidden="1" customWidth="1"/>
    <col min="363" max="363" width="11.69921875" style="125" hidden="1" customWidth="1"/>
    <col min="364" max="364" width="5.59765625" style="125" hidden="1" customWidth="1"/>
    <col min="365" max="365" width="6.296875" style="125" hidden="1" customWidth="1"/>
    <col min="366" max="366" width="7.296875" style="63" hidden="1" customWidth="1"/>
    <col min="367" max="367" width="5.59765625" style="63" hidden="1" customWidth="1"/>
    <col min="368" max="368" width="14.8984375" style="63" hidden="1" customWidth="1"/>
    <col min="369" max="369" width="12.09765625" style="63" hidden="1" customWidth="1"/>
    <col min="370" max="370" width="9.3984375" style="63" hidden="1" customWidth="1"/>
    <col min="371" max="371" width="11" style="63" hidden="1" customWidth="1"/>
    <col min="372" max="372" width="8.59765625" style="63" hidden="1" customWidth="1"/>
    <col min="373" max="373" width="20.5" style="63" hidden="1" customWidth="1"/>
    <col min="374" max="374" width="11" style="63" hidden="1" customWidth="1"/>
    <col min="375" max="375" width="17.19921875" style="63" hidden="1" customWidth="1"/>
    <col min="376" max="376" width="11" style="63" hidden="1" customWidth="1"/>
    <col min="377" max="377" width="7" style="63" hidden="1" customWidth="1"/>
    <col min="378" max="378" width="5.59765625" style="63" hidden="1" customWidth="1"/>
    <col min="379" max="379" width="14.8984375" style="63" hidden="1" customWidth="1"/>
    <col min="380" max="380" width="12.09765625" style="63" hidden="1" customWidth="1"/>
    <col min="381" max="381" width="9.3984375" style="63" hidden="1" customWidth="1"/>
    <col min="382" max="382" width="11" style="63" hidden="1" customWidth="1"/>
    <col min="383" max="383" width="8.59765625" style="63" hidden="1" customWidth="1"/>
    <col min="384" max="384" width="20.5" style="63" hidden="1" customWidth="1"/>
    <col min="385" max="385" width="11" style="63" hidden="1" customWidth="1"/>
    <col min="386" max="386" width="17.19921875" style="63" hidden="1" customWidth="1"/>
    <col min="387" max="387" width="11" style="63" hidden="1" customWidth="1"/>
    <col min="388" max="388" width="10.09765625" style="63" hidden="1" customWidth="1"/>
    <col min="389" max="389" width="5.59765625" style="63" bestFit="1" customWidth="1"/>
    <col min="390" max="390" width="14.8984375" style="63" hidden="1" customWidth="1"/>
    <col min="391" max="391" width="12.09765625" style="63" bestFit="1" customWidth="1"/>
    <col min="392" max="392" width="9.3984375" style="63" hidden="1" customWidth="1"/>
    <col min="393" max="393" width="12.09765625" style="63" bestFit="1" customWidth="1"/>
    <col min="394" max="394" width="7.296875" style="63" bestFit="1" customWidth="1"/>
    <col min="395" max="395" width="20.5" style="63" hidden="1" customWidth="1"/>
    <col min="396" max="396" width="11.09765625" style="63" hidden="1" customWidth="1"/>
    <col min="397" max="397" width="26" style="63" hidden="1" customWidth="1"/>
    <col min="398" max="398" width="11.69921875" style="63" bestFit="1" customWidth="1"/>
    <col min="399" max="399" width="10.09765625" style="63" bestFit="1" customWidth="1"/>
    <col min="400" max="400" width="5.296875" style="63" hidden="1" customWidth="1"/>
    <col min="401" max="401" width="13.296875" style="63" hidden="1" customWidth="1"/>
    <col min="402" max="402" width="12.09765625" style="63" hidden="1" customWidth="1"/>
    <col min="403" max="403" width="7" style="63" hidden="1" customWidth="1"/>
    <col min="404" max="404" width="12.09765625" style="63" hidden="1" customWidth="1"/>
    <col min="405" max="405" width="4.19921875" style="63" hidden="1" customWidth="1"/>
    <col min="406" max="406" width="2.19921875" style="63" hidden="1" customWidth="1"/>
    <col min="407" max="407" width="7.296875" style="63" customWidth="1"/>
    <col min="408" max="408" width="12.09765625" style="63" hidden="1" customWidth="1"/>
    <col min="409" max="409" width="12.09765625" style="63" bestFit="1" customWidth="1"/>
    <col min="410" max="410" width="10.09765625" style="63" hidden="1" customWidth="1"/>
    <col min="411" max="411" width="11" style="63" bestFit="1" customWidth="1"/>
    <col min="412" max="412" width="10.09765625" style="62" bestFit="1" customWidth="1"/>
    <col min="413" max="414" width="11" style="63" hidden="1" customWidth="1"/>
    <col min="415" max="415" width="11.69921875" style="63" hidden="1" customWidth="1"/>
    <col min="416" max="416" width="11" style="63" bestFit="1" customWidth="1"/>
    <col min="417" max="417" width="7" style="62" bestFit="1" customWidth="1"/>
    <col min="418" max="418" width="9.296875" style="63" customWidth="1"/>
    <col min="419" max="420" width="12.09765625" style="63" bestFit="1" customWidth="1"/>
    <col min="421" max="421" width="10.09765625" style="63" hidden="1" customWidth="1"/>
    <col min="422" max="422" width="11" style="63" bestFit="1" customWidth="1"/>
    <col min="423" max="423" width="10.09765625" style="62" bestFit="1" customWidth="1"/>
    <col min="424" max="425" width="11" style="63" hidden="1" customWidth="1"/>
    <col min="426" max="426" width="11.69921875" style="63" hidden="1" customWidth="1"/>
    <col min="427" max="427" width="11" style="63" bestFit="1" customWidth="1"/>
    <col min="428" max="428" width="5" style="63" bestFit="1" customWidth="1"/>
    <col min="429" max="429" width="8.5" style="63" customWidth="1"/>
    <col min="430" max="431" width="12.09765625" style="63" bestFit="1" customWidth="1"/>
    <col min="432" max="432" width="10.09765625" style="63" hidden="1" customWidth="1"/>
    <col min="433" max="433" width="11" style="63" bestFit="1" customWidth="1"/>
    <col min="434" max="434" width="10.09765625" style="63" bestFit="1" customWidth="1"/>
    <col min="435" max="436" width="11" style="63" hidden="1" customWidth="1"/>
    <col min="437" max="437" width="11.69921875" style="63" hidden="1" customWidth="1"/>
    <col min="438" max="438" width="11" style="63" bestFit="1" customWidth="1"/>
    <col min="439" max="439" width="5" style="63" bestFit="1" customWidth="1"/>
    <col min="440" max="440" width="7.19921875" style="63" hidden="1" customWidth="1"/>
    <col min="441" max="442" width="12.09765625" style="63" hidden="1" customWidth="1"/>
    <col min="443" max="443" width="7.296875" style="63" hidden="1" customWidth="1"/>
    <col min="444" max="444" width="5.59765625" style="63" customWidth="1"/>
    <col min="445" max="446" width="12.09765625" style="63" bestFit="1" customWidth="1"/>
    <col min="447" max="447" width="10.09765625" style="63" hidden="1" customWidth="1"/>
    <col min="448" max="448" width="11" style="63" bestFit="1" customWidth="1"/>
    <col min="449" max="449" width="10.09765625" style="63" bestFit="1" customWidth="1"/>
    <col min="450" max="451" width="11" style="63" hidden="1" customWidth="1"/>
    <col min="452" max="452" width="11.69921875" style="63" hidden="1" customWidth="1"/>
    <col min="453" max="453" width="11" style="63" bestFit="1" customWidth="1"/>
    <col min="454" max="454" width="5" style="63" bestFit="1" customWidth="1"/>
    <col min="455" max="455" width="13.19921875" style="63" bestFit="1" customWidth="1"/>
    <col min="456" max="457" width="12.09765625" style="63" bestFit="1" customWidth="1"/>
    <col min="458" max="458" width="10.09765625" style="63" hidden="1" customWidth="1"/>
    <col min="459" max="459" width="11" style="63" bestFit="1" customWidth="1"/>
    <col min="460" max="460" width="10.09765625" style="63" bestFit="1" customWidth="1"/>
    <col min="461" max="462" width="11" style="63" hidden="1" customWidth="1"/>
    <col min="463" max="463" width="11.69921875" style="63" hidden="1" customWidth="1"/>
    <col min="464" max="464" width="11.69921875" style="63" bestFit="1" customWidth="1"/>
    <col min="465" max="465" width="5.8984375" style="63" bestFit="1" customWidth="1"/>
    <col min="466" max="466" width="13.19921875" style="63" bestFit="1" customWidth="1"/>
    <col min="467" max="468" width="12.09765625" style="63" bestFit="1" customWidth="1"/>
    <col min="469" max="469" width="10.09765625" style="63" hidden="1" customWidth="1"/>
    <col min="470" max="470" width="11" style="63" bestFit="1" customWidth="1"/>
    <col min="471" max="471" width="10.09765625" style="63" bestFit="1" customWidth="1"/>
    <col min="472" max="473" width="11" style="63" hidden="1" customWidth="1"/>
    <col min="474" max="474" width="11.69921875" style="63" hidden="1" customWidth="1"/>
    <col min="475" max="475" width="11" style="63" bestFit="1" customWidth="1"/>
    <col min="476" max="476" width="5.8984375" style="63" bestFit="1" customWidth="1"/>
    <col min="477" max="477" width="5.09765625" style="63" hidden="1" customWidth="1"/>
    <col min="478" max="479" width="12.09765625" style="63" hidden="1" customWidth="1"/>
    <col min="480" max="480" width="7" style="63" hidden="1" customWidth="1"/>
    <col min="481" max="481" width="7.8984375" style="63" hidden="1" customWidth="1"/>
    <col min="482" max="482" width="12.796875" style="63" hidden="1" customWidth="1"/>
    <col min="483" max="483" width="11.69921875" style="63" hidden="1" customWidth="1"/>
    <col min="484" max="486" width="7" style="63" hidden="1" customWidth="1"/>
    <col min="487" max="487" width="7.296875" style="63" customWidth="1"/>
    <col min="488" max="489" width="12.09765625" style="63" bestFit="1" customWidth="1"/>
    <col min="490" max="490" width="10.09765625" style="63" hidden="1" customWidth="1"/>
    <col min="491" max="491" width="11" style="63" bestFit="1" customWidth="1"/>
    <col min="492" max="492" width="10.09765625" style="63" bestFit="1" customWidth="1"/>
    <col min="493" max="494" width="11" style="63" hidden="1" customWidth="1"/>
    <col min="495" max="495" width="11.69921875" style="63" hidden="1" customWidth="1"/>
    <col min="496" max="496" width="11" style="63" bestFit="1" customWidth="1"/>
    <col min="497" max="497" width="5.8984375" style="63" bestFit="1" customWidth="1"/>
    <col min="498" max="498" width="6.296875" style="63" customWidth="1"/>
    <col min="499" max="500" width="12.09765625" style="63" bestFit="1" customWidth="1"/>
    <col min="501" max="501" width="10.09765625" style="63" hidden="1" customWidth="1"/>
    <col min="502" max="502" width="11" style="63" bestFit="1" customWidth="1"/>
    <col min="503" max="503" width="10.09765625" style="63" bestFit="1" customWidth="1"/>
    <col min="504" max="505" width="11" style="63" hidden="1" customWidth="1"/>
    <col min="506" max="506" width="11.296875" style="63" hidden="1" customWidth="1"/>
    <col min="507" max="507" width="11" style="63" bestFit="1" customWidth="1"/>
    <col min="508" max="508" width="7" style="63" bestFit="1" customWidth="1"/>
    <col min="509" max="509" width="5.59765625" style="63" bestFit="1" customWidth="1"/>
    <col min="510" max="511" width="12.09765625" style="63" bestFit="1" customWidth="1"/>
    <col min="512" max="512" width="9.3984375" style="63" hidden="1" customWidth="1"/>
    <col min="513" max="513" width="11" style="63" bestFit="1" customWidth="1"/>
    <col min="514" max="514" width="10.09765625" style="63" bestFit="1" customWidth="1"/>
    <col min="515" max="516" width="11" style="63" hidden="1" customWidth="1"/>
    <col min="517" max="517" width="11.296875" style="63" hidden="1" customWidth="1"/>
    <col min="518" max="518" width="11" style="63" customWidth="1"/>
    <col min="519" max="519" width="7.8984375" style="63" bestFit="1" customWidth="1"/>
    <col min="520" max="520" width="5.09765625" style="63" hidden="1" customWidth="1"/>
    <col min="521" max="521" width="13.296875" style="63" hidden="1" customWidth="1"/>
    <col min="522" max="522" width="12.09765625" style="63" hidden="1" customWidth="1"/>
    <col min="523" max="523" width="5.8984375" style="63" hidden="1" customWidth="1"/>
    <col min="524" max="524" width="6" style="63" customWidth="1"/>
    <col min="525" max="525" width="14.8984375" style="63" bestFit="1" customWidth="1"/>
    <col min="526" max="526" width="12.09765625" style="63" bestFit="1" customWidth="1"/>
    <col min="527" max="527" width="9.3984375" style="63" hidden="1" customWidth="1"/>
    <col min="528" max="528" width="11" style="63" bestFit="1" customWidth="1"/>
    <col min="529" max="529" width="10.09765625" style="63" bestFit="1" customWidth="1"/>
    <col min="530" max="531" width="11" style="63" bestFit="1" customWidth="1"/>
    <col min="532" max="532" width="11.296875" style="63" bestFit="1" customWidth="1"/>
    <col min="533" max="533" width="11.69921875" style="63" bestFit="1" customWidth="1"/>
    <col min="534" max="534" width="7" style="63" bestFit="1" customWidth="1"/>
    <col min="535" max="535" width="5.09765625" style="63" bestFit="1" customWidth="1"/>
    <col min="536" max="536" width="14.8984375" style="63" bestFit="1" customWidth="1"/>
    <col min="537" max="537" width="8.296875" style="63" bestFit="1" customWidth="1"/>
    <col min="538" max="539" width="5.09765625" style="63" bestFit="1" customWidth="1"/>
    <col min="540" max="540" width="7.8984375" style="63" bestFit="1" customWidth="1"/>
    <col min="541" max="541" width="9.296875" style="63" bestFit="1" customWidth="1"/>
    <col min="542" max="542" width="7.796875" style="63" bestFit="1" customWidth="1"/>
    <col min="543" max="543" width="11.296875" style="63" bestFit="1" customWidth="1"/>
    <col min="544" max="544" width="5.09765625" style="63" bestFit="1" customWidth="1"/>
    <col min="545" max="545" width="7.8984375" style="63" bestFit="1" customWidth="1"/>
    <col min="546" max="546" width="5.09765625" style="63" bestFit="1" customWidth="1"/>
    <col min="547" max="547" width="14.8984375" style="63" bestFit="1" customWidth="1"/>
    <col min="548" max="548" width="8.296875" style="63" bestFit="1" customWidth="1"/>
    <col min="549" max="550" width="5.09765625" style="63" bestFit="1" customWidth="1"/>
    <col min="551" max="551" width="7.8984375" style="63" bestFit="1" customWidth="1"/>
    <col min="552" max="552" width="9.296875" style="63" bestFit="1" customWidth="1"/>
    <col min="553" max="553" width="7.796875" style="63" bestFit="1" customWidth="1"/>
    <col min="554" max="554" width="11.296875" style="63" bestFit="1" customWidth="1"/>
    <col min="555" max="555" width="5.09765625" style="63" bestFit="1" customWidth="1"/>
    <col min="556" max="556" width="7.8984375" style="63" bestFit="1" customWidth="1"/>
    <col min="557" max="557" width="5.09765625" style="63" bestFit="1" customWidth="1"/>
    <col min="558" max="558" width="13.296875" style="63" bestFit="1" customWidth="1"/>
    <col min="559" max="559" width="12.09765625" style="63" bestFit="1" customWidth="1"/>
    <col min="560" max="560" width="7" style="63" bestFit="1" customWidth="1"/>
    <col min="561" max="561" width="12.09765625" style="63" bestFit="1" customWidth="1"/>
    <col min="562" max="562" width="4.8984375" style="63" bestFit="1" customWidth="1"/>
    <col min="563" max="563" width="9.09765625" style="63"/>
    <col min="564" max="564" width="12.09765625" style="63" hidden="1" customWidth="1"/>
    <col min="565" max="565" width="11" style="63" hidden="1" customWidth="1"/>
    <col min="566" max="566" width="8.8984375" style="63" customWidth="1"/>
    <col min="567" max="567" width="13.296875" style="63" bestFit="1" customWidth="1"/>
    <col min="568" max="16384" width="9.09765625" style="63"/>
  </cols>
  <sheetData>
    <row r="1" spans="1:567" s="65" customFormat="1" ht="22.05" x14ac:dyDescent="0.3">
      <c r="A1" s="3768" t="s">
        <v>973</v>
      </c>
      <c r="C1" s="573"/>
      <c r="D1" s="381"/>
      <c r="G1" s="102"/>
      <c r="H1" s="102"/>
      <c r="I1" s="102"/>
      <c r="L1" s="102"/>
      <c r="M1" s="102"/>
      <c r="N1" s="102"/>
      <c r="Q1" s="102"/>
      <c r="R1" s="102"/>
      <c r="S1" s="102"/>
      <c r="T1" s="64"/>
      <c r="AM1" s="102"/>
      <c r="AN1" s="102"/>
      <c r="AO1" s="102"/>
      <c r="AP1" s="102"/>
      <c r="AQ1" s="102"/>
      <c r="AX1" s="66"/>
      <c r="BC1" s="102"/>
      <c r="BD1" s="102"/>
      <c r="BE1" s="102"/>
      <c r="BF1" s="102"/>
      <c r="BG1" s="102"/>
      <c r="BH1" s="574"/>
      <c r="BI1" s="102"/>
      <c r="BJ1" s="102"/>
      <c r="BK1" s="102"/>
      <c r="BL1" s="102"/>
      <c r="BM1" s="102"/>
      <c r="BN1" s="574"/>
      <c r="BO1" s="419"/>
      <c r="BP1" s="102"/>
      <c r="BQ1" s="102"/>
      <c r="BR1" s="102"/>
      <c r="BS1" s="102"/>
      <c r="BY1" s="66"/>
      <c r="BZ1" s="101"/>
      <c r="CA1" s="575"/>
      <c r="CB1" s="575"/>
      <c r="CD1" s="64"/>
      <c r="CE1" s="102"/>
      <c r="CF1" s="102"/>
      <c r="CG1" s="102"/>
      <c r="CH1" s="102"/>
      <c r="CI1" s="102"/>
      <c r="CJ1" s="64"/>
      <c r="CK1" s="66"/>
      <c r="CL1" s="575"/>
      <c r="CM1" s="575"/>
      <c r="CN1" s="575"/>
      <c r="CP1" s="64"/>
      <c r="CQ1" s="102"/>
      <c r="CR1" s="102"/>
      <c r="CS1" s="102"/>
      <c r="CT1" s="102"/>
      <c r="CU1" s="102"/>
      <c r="CV1" s="64"/>
      <c r="CW1" s="64"/>
      <c r="CX1" s="64"/>
      <c r="CY1" s="64"/>
      <c r="CZ1" s="64"/>
      <c r="DA1" s="64"/>
      <c r="DB1" s="64"/>
      <c r="DC1" s="102"/>
      <c r="DD1" s="102"/>
      <c r="DE1" s="102"/>
      <c r="DF1" s="102"/>
      <c r="DG1" s="102"/>
      <c r="DH1" s="64"/>
      <c r="DI1" s="64"/>
      <c r="DJ1" s="64"/>
      <c r="DK1" s="64"/>
      <c r="DL1" s="64"/>
      <c r="DM1" s="64"/>
      <c r="DN1" s="64"/>
      <c r="DO1" s="64"/>
      <c r="DQ1" s="102"/>
      <c r="DR1" s="102"/>
      <c r="DS1" s="64"/>
      <c r="DT1" s="64"/>
      <c r="DU1" s="64"/>
      <c r="DZ1" s="102"/>
      <c r="EA1" s="102"/>
      <c r="FJ1" s="64"/>
      <c r="FK1" s="102"/>
      <c r="FL1" s="102"/>
      <c r="FM1" s="102"/>
      <c r="FN1" s="102"/>
      <c r="FO1" s="102"/>
      <c r="FQ1" s="102"/>
      <c r="FR1" s="102"/>
      <c r="FS1" s="102"/>
      <c r="FU1" s="64"/>
      <c r="GA1" s="64"/>
      <c r="GB1" s="64"/>
      <c r="GH1" s="64"/>
      <c r="GZ1" s="576"/>
      <c r="HA1" s="576"/>
      <c r="HB1" s="576"/>
      <c r="HC1" s="576"/>
      <c r="HF1" s="102"/>
      <c r="HG1" s="102"/>
      <c r="HH1" s="102"/>
      <c r="HI1" s="102"/>
      <c r="HR1" s="102"/>
      <c r="HS1" s="102"/>
      <c r="HT1" s="102"/>
      <c r="HU1" s="102"/>
      <c r="IA1" s="64"/>
      <c r="IE1" s="428"/>
      <c r="IF1" s="428"/>
      <c r="IJ1" s="102"/>
      <c r="IK1" s="102"/>
      <c r="IL1" s="102"/>
      <c r="IM1" s="102"/>
      <c r="IN1" s="102"/>
      <c r="IU1" s="66"/>
      <c r="LE1" s="64"/>
      <c r="LF1" s="102"/>
      <c r="LG1" s="102"/>
      <c r="LH1" s="102"/>
      <c r="LI1" s="64"/>
      <c r="LJ1" s="64"/>
      <c r="LK1" s="64"/>
      <c r="LW1" s="102"/>
      <c r="LX1" s="102"/>
      <c r="LY1" s="102"/>
      <c r="LZ1" s="102"/>
      <c r="MS1" s="419"/>
      <c r="MT1" s="102"/>
      <c r="MU1" s="102"/>
      <c r="MW1" s="102"/>
      <c r="MX1" s="102"/>
      <c r="MY1" s="102"/>
      <c r="MZ1" s="102"/>
      <c r="NA1" s="102"/>
      <c r="OV1" s="66"/>
      <c r="PA1" s="66"/>
      <c r="PG1" s="66"/>
      <c r="PS1" s="428"/>
      <c r="RD1" s="428"/>
      <c r="UP1" s="63"/>
    </row>
    <row r="2" spans="1:567" s="65" customFormat="1" ht="4.8499999999999996" customHeight="1" thickBot="1" x14ac:dyDescent="0.35">
      <c r="A2" s="61"/>
      <c r="C2" s="573"/>
      <c r="D2" s="381"/>
      <c r="G2" s="102"/>
      <c r="H2" s="102"/>
      <c r="I2" s="102"/>
      <c r="L2" s="102"/>
      <c r="M2" s="102"/>
      <c r="N2" s="102"/>
      <c r="Q2" s="102"/>
      <c r="R2" s="102"/>
      <c r="S2" s="102"/>
      <c r="T2" s="64"/>
      <c r="AM2" s="102"/>
      <c r="AN2" s="102"/>
      <c r="AO2" s="102"/>
      <c r="AP2" s="102"/>
      <c r="AQ2" s="102"/>
      <c r="AX2" s="66"/>
      <c r="BC2" s="102"/>
      <c r="BD2" s="102"/>
      <c r="BE2" s="102"/>
      <c r="BF2" s="102"/>
      <c r="BG2" s="102"/>
      <c r="BH2" s="574"/>
      <c r="BI2" s="102"/>
      <c r="BJ2" s="102"/>
      <c r="BK2" s="102"/>
      <c r="BL2" s="102"/>
      <c r="BM2" s="102"/>
      <c r="BN2" s="574"/>
      <c r="BO2" s="419"/>
      <c r="BP2" s="102"/>
      <c r="BQ2" s="102"/>
      <c r="BR2" s="102"/>
      <c r="BS2" s="102"/>
      <c r="BY2" s="66"/>
      <c r="BZ2" s="101"/>
      <c r="CA2" s="575"/>
      <c r="CB2" s="575"/>
      <c r="CD2" s="64"/>
      <c r="CE2" s="102"/>
      <c r="CF2" s="102"/>
      <c r="CG2" s="102"/>
      <c r="CH2" s="102"/>
      <c r="CI2" s="102"/>
      <c r="CJ2" s="64"/>
      <c r="CK2" s="66"/>
      <c r="CL2" s="575"/>
      <c r="CM2" s="575"/>
      <c r="CN2" s="575"/>
      <c r="CP2" s="64"/>
      <c r="CQ2" s="102"/>
      <c r="CR2" s="102"/>
      <c r="CS2" s="102"/>
      <c r="CT2" s="102"/>
      <c r="CU2" s="102"/>
      <c r="CV2" s="64"/>
      <c r="CW2" s="64"/>
      <c r="CX2" s="64"/>
      <c r="CY2" s="64"/>
      <c r="CZ2" s="64"/>
      <c r="DA2" s="64"/>
      <c r="DB2" s="64"/>
      <c r="DC2" s="102"/>
      <c r="DD2" s="102"/>
      <c r="DE2" s="102"/>
      <c r="DF2" s="102"/>
      <c r="DG2" s="102"/>
      <c r="DH2" s="64"/>
      <c r="DI2" s="64"/>
      <c r="DJ2" s="64"/>
      <c r="DK2" s="64"/>
      <c r="DL2" s="64"/>
      <c r="DM2" s="64"/>
      <c r="DN2" s="64"/>
      <c r="DO2" s="64"/>
      <c r="DQ2" s="102"/>
      <c r="DR2" s="102"/>
      <c r="DS2" s="64"/>
      <c r="DT2" s="64"/>
      <c r="DU2" s="64"/>
      <c r="DZ2" s="102"/>
      <c r="EA2" s="102"/>
      <c r="FJ2" s="64"/>
      <c r="FK2" s="102"/>
      <c r="FL2" s="102"/>
      <c r="FM2" s="102"/>
      <c r="FN2" s="102"/>
      <c r="FO2" s="102"/>
      <c r="FQ2" s="102"/>
      <c r="FR2" s="102"/>
      <c r="FS2" s="102"/>
      <c r="FU2" s="64"/>
      <c r="GA2" s="64"/>
      <c r="GB2" s="64"/>
      <c r="GH2" s="64"/>
      <c r="GZ2" s="576"/>
      <c r="HA2" s="576"/>
      <c r="HB2" s="576"/>
      <c r="HC2" s="576"/>
      <c r="HF2" s="102"/>
      <c r="HG2" s="102"/>
      <c r="HH2" s="102"/>
      <c r="HI2" s="102"/>
      <c r="HR2" s="102"/>
      <c r="HS2" s="102"/>
      <c r="HT2" s="102"/>
      <c r="HU2" s="102"/>
      <c r="IA2" s="64"/>
      <c r="IE2" s="101"/>
      <c r="IF2" s="101"/>
      <c r="IJ2" s="102"/>
      <c r="IK2" s="102"/>
      <c r="IL2" s="102"/>
      <c r="IM2" s="102"/>
      <c r="IN2" s="102"/>
      <c r="IU2" s="66"/>
      <c r="KN2" s="428"/>
      <c r="LE2" s="64"/>
      <c r="LF2" s="102"/>
      <c r="LG2" s="102"/>
      <c r="LH2" s="102"/>
      <c r="LI2" s="64"/>
      <c r="LJ2" s="64"/>
      <c r="LK2" s="64"/>
      <c r="LW2" s="102"/>
      <c r="LX2" s="102"/>
      <c r="LY2" s="102"/>
      <c r="LZ2" s="102"/>
      <c r="MS2" s="419"/>
      <c r="MT2" s="102"/>
      <c r="MU2" s="102"/>
      <c r="MW2" s="102"/>
      <c r="MX2" s="102"/>
      <c r="MY2" s="102"/>
      <c r="MZ2" s="102"/>
      <c r="NA2" s="102"/>
      <c r="OG2" s="428"/>
      <c r="OV2" s="66"/>
      <c r="PA2" s="66"/>
      <c r="PG2" s="66"/>
      <c r="PS2" s="428"/>
      <c r="PT2" s="428"/>
      <c r="PU2" s="428"/>
      <c r="UP2" s="63"/>
    </row>
    <row r="3" spans="1:567" s="1566" customFormat="1" ht="15.6" x14ac:dyDescent="0.3">
      <c r="A3" s="5325"/>
      <c r="B3" s="5325"/>
      <c r="C3" s="6156"/>
      <c r="D3" s="6156"/>
      <c r="E3" s="6275"/>
      <c r="F3" s="5328"/>
      <c r="G3" s="5329" t="s">
        <v>286</v>
      </c>
      <c r="H3" s="5330"/>
      <c r="I3" s="5330"/>
      <c r="J3" s="5326"/>
      <c r="K3" s="5331"/>
      <c r="L3" s="5329" t="s">
        <v>287</v>
      </c>
      <c r="M3" s="5330"/>
      <c r="N3" s="5330"/>
      <c r="O3" s="5326"/>
      <c r="P3" s="5331"/>
      <c r="Q3" s="5329" t="s">
        <v>288</v>
      </c>
      <c r="R3" s="5330"/>
      <c r="S3" s="5330"/>
      <c r="T3" s="5332"/>
      <c r="U3" s="5333"/>
      <c r="V3" s="5326" t="s">
        <v>341</v>
      </c>
      <c r="W3" s="5326"/>
      <c r="X3" s="5326"/>
      <c r="Y3" s="5326"/>
      <c r="Z3" s="5327"/>
      <c r="AA3" s="5326" t="s">
        <v>342</v>
      </c>
      <c r="AB3" s="5326"/>
      <c r="AC3" s="5326"/>
      <c r="AD3" s="5326"/>
      <c r="AE3" s="5326"/>
      <c r="AF3" s="5326"/>
      <c r="AG3" s="5334" t="s">
        <v>3</v>
      </c>
      <c r="AH3" s="5335"/>
      <c r="AI3" s="5335"/>
      <c r="AJ3" s="5335"/>
      <c r="AK3" s="5335"/>
      <c r="AL3" s="5335"/>
      <c r="AM3" s="5336"/>
      <c r="AN3" s="5336"/>
      <c r="AO3" s="5336"/>
      <c r="AP3" s="5336"/>
      <c r="AQ3" s="5336"/>
      <c r="AR3" s="5335"/>
      <c r="AS3" s="5337"/>
      <c r="AT3" s="5338"/>
      <c r="AU3" s="5336" t="s">
        <v>289</v>
      </c>
      <c r="AV3" s="5335"/>
      <c r="AW3" s="5339"/>
      <c r="AX3" s="6634" t="s">
        <v>343</v>
      </c>
      <c r="AY3" s="6635"/>
      <c r="AZ3" s="6635"/>
      <c r="BA3" s="6635"/>
      <c r="BB3" s="6635"/>
      <c r="BC3" s="6639" t="s">
        <v>169</v>
      </c>
      <c r="BD3" s="6640"/>
      <c r="BE3" s="6640"/>
      <c r="BF3" s="6640"/>
      <c r="BG3" s="6640"/>
      <c r="BH3" s="6641"/>
      <c r="BI3" s="5340"/>
      <c r="BJ3" s="5336"/>
      <c r="BK3" s="5336" t="s">
        <v>170</v>
      </c>
      <c r="BL3" s="5336"/>
      <c r="BM3" s="5336"/>
      <c r="BN3" s="5341"/>
      <c r="BO3" s="5337"/>
      <c r="BP3" s="5336"/>
      <c r="BQ3" s="5336" t="s">
        <v>171</v>
      </c>
      <c r="BR3" s="5336"/>
      <c r="BS3" s="5336"/>
      <c r="BT3" s="5335"/>
      <c r="BU3" s="5334"/>
      <c r="BV3" s="5335" t="s">
        <v>284</v>
      </c>
      <c r="BW3" s="5335"/>
      <c r="BX3" s="5335"/>
      <c r="BY3" s="5333" t="s">
        <v>133</v>
      </c>
      <c r="BZ3" s="5335"/>
      <c r="CA3" s="5342"/>
      <c r="CB3" s="5342"/>
      <c r="CC3" s="5335"/>
      <c r="CD3" s="5343"/>
      <c r="CE3" s="5336"/>
      <c r="CF3" s="5336"/>
      <c r="CG3" s="5336"/>
      <c r="CH3" s="5336"/>
      <c r="CI3" s="5336"/>
      <c r="CJ3" s="5344"/>
      <c r="CK3" s="5333"/>
      <c r="CL3" s="5342"/>
      <c r="CM3" s="5342" t="s">
        <v>42</v>
      </c>
      <c r="CN3" s="5342"/>
      <c r="CO3" s="5335"/>
      <c r="CP3" s="5343"/>
      <c r="CQ3" s="5336"/>
      <c r="CR3" s="5336"/>
      <c r="CS3" s="5336"/>
      <c r="CT3" s="5336"/>
      <c r="CU3" s="5336"/>
      <c r="CV3" s="5343"/>
      <c r="CW3" s="5333" t="s">
        <v>43</v>
      </c>
      <c r="CX3" s="5342"/>
      <c r="CY3" s="5342"/>
      <c r="CZ3" s="5342"/>
      <c r="DA3" s="5335"/>
      <c r="DB3" s="5343"/>
      <c r="DC3" s="5336"/>
      <c r="DD3" s="5336"/>
      <c r="DE3" s="5336"/>
      <c r="DF3" s="5336"/>
      <c r="DG3" s="5336"/>
      <c r="DH3" s="5343"/>
      <c r="DI3" s="5345" t="s">
        <v>182</v>
      </c>
      <c r="DJ3" s="5343"/>
      <c r="DK3" s="5343"/>
      <c r="DL3" s="5343"/>
      <c r="DM3" s="5343"/>
      <c r="DN3" s="5343"/>
      <c r="DO3" s="6636" t="s">
        <v>344</v>
      </c>
      <c r="DP3" s="6637"/>
      <c r="DQ3" s="6637"/>
      <c r="DR3" s="6637"/>
      <c r="DS3" s="6637"/>
      <c r="DT3" s="6637"/>
      <c r="DU3" s="6637"/>
      <c r="DV3" s="6638"/>
      <c r="DW3" s="6636" t="s">
        <v>345</v>
      </c>
      <c r="DX3" s="6637"/>
      <c r="DY3" s="6637"/>
      <c r="DZ3" s="6637"/>
      <c r="EA3" s="6637"/>
      <c r="EB3" s="6637"/>
      <c r="EC3" s="6637"/>
      <c r="ED3" s="6638"/>
      <c r="EE3" s="5333" t="s">
        <v>164</v>
      </c>
      <c r="EF3" s="5342"/>
      <c r="EG3" s="5342"/>
      <c r="EH3" s="5342"/>
      <c r="EI3" s="5335"/>
      <c r="EJ3" s="5343"/>
      <c r="EK3" s="5336"/>
      <c r="EL3" s="5336"/>
      <c r="EM3" s="5336"/>
      <c r="EN3" s="5336"/>
      <c r="EO3" s="5336"/>
      <c r="EP3" s="5344"/>
      <c r="EQ3" s="5333" t="s">
        <v>166</v>
      </c>
      <c r="ER3" s="5342"/>
      <c r="ES3" s="5342"/>
      <c r="ET3" s="5342"/>
      <c r="EU3" s="5335"/>
      <c r="EV3" s="5343"/>
      <c r="EW3" s="5336"/>
      <c r="EX3" s="5336"/>
      <c r="EY3" s="5336"/>
      <c r="EZ3" s="5336"/>
      <c r="FA3" s="5336"/>
      <c r="FB3" s="5344"/>
      <c r="FC3" s="6636" t="s">
        <v>346</v>
      </c>
      <c r="FD3" s="6637"/>
      <c r="FE3" s="6637"/>
      <c r="FF3" s="6637"/>
      <c r="FG3" s="6637"/>
      <c r="FH3" s="6637"/>
      <c r="FI3" s="6637"/>
      <c r="FJ3" s="6638"/>
      <c r="FK3" s="5330"/>
      <c r="FL3" s="5336"/>
      <c r="FM3" s="5336" t="s">
        <v>181</v>
      </c>
      <c r="FN3" s="5336"/>
      <c r="FO3" s="5336"/>
      <c r="FP3" s="5343"/>
      <c r="FQ3" s="5336"/>
      <c r="FR3" s="5336"/>
      <c r="FS3" s="5336"/>
      <c r="FT3" s="5336"/>
      <c r="FU3" s="5344"/>
      <c r="FV3" s="6636" t="s">
        <v>347</v>
      </c>
      <c r="FW3" s="6637"/>
      <c r="FX3" s="6637"/>
      <c r="FY3" s="6637"/>
      <c r="FZ3" s="6637"/>
      <c r="GA3" s="6637"/>
      <c r="GB3" s="6637"/>
      <c r="GC3" s="6637"/>
      <c r="GD3" s="6638"/>
      <c r="GE3" s="5334" t="s">
        <v>183</v>
      </c>
      <c r="GF3" s="5335"/>
      <c r="GG3" s="5335"/>
      <c r="GH3" s="5343"/>
      <c r="GI3" s="5339"/>
      <c r="GJ3" s="6636" t="s">
        <v>348</v>
      </c>
      <c r="GK3" s="6637"/>
      <c r="GL3" s="6637"/>
      <c r="GM3" s="6638"/>
      <c r="GN3" s="5329" t="s">
        <v>185</v>
      </c>
      <c r="GO3" s="5336"/>
      <c r="GP3" s="5336"/>
      <c r="GQ3" s="5336"/>
      <c r="GR3" s="5336"/>
      <c r="GS3" s="5343"/>
      <c r="GT3" s="5336"/>
      <c r="GU3" s="5336"/>
      <c r="GV3" s="5336"/>
      <c r="GW3" s="5336"/>
      <c r="GX3" s="5336"/>
      <c r="GY3" s="5344"/>
      <c r="GZ3" s="5346" t="s">
        <v>188</v>
      </c>
      <c r="HA3" s="5347"/>
      <c r="HB3" s="5347"/>
      <c r="HC3" s="5347"/>
      <c r="HD3" s="5336"/>
      <c r="HE3" s="5343"/>
      <c r="HF3" s="5348"/>
      <c r="HG3" s="5348"/>
      <c r="HH3" s="5348"/>
      <c r="HI3" s="5348"/>
      <c r="HJ3" s="5349"/>
      <c r="HK3" s="5350"/>
      <c r="HL3" s="5351"/>
      <c r="HM3" s="5347"/>
      <c r="HN3" s="5347" t="s">
        <v>191</v>
      </c>
      <c r="HO3" s="5347"/>
      <c r="HP3" s="5336"/>
      <c r="HQ3" s="5343"/>
      <c r="HR3" s="5336"/>
      <c r="HS3" s="5348"/>
      <c r="HT3" s="5348"/>
      <c r="HU3" s="5348"/>
      <c r="HV3" s="5343"/>
      <c r="HW3" s="5349"/>
      <c r="HX3" s="5345"/>
      <c r="HY3" s="5343" t="s">
        <v>349</v>
      </c>
      <c r="HZ3" s="5344"/>
      <c r="IA3" s="5343"/>
      <c r="IB3" s="5344"/>
      <c r="IC3" s="5349"/>
      <c r="ID3" s="6642" t="s">
        <v>614</v>
      </c>
      <c r="IE3" s="6643"/>
      <c r="IF3" s="6643"/>
      <c r="IG3" s="6643"/>
      <c r="IH3" s="6644"/>
      <c r="II3" s="5352"/>
      <c r="IJ3" s="5353"/>
      <c r="IK3" s="5336"/>
      <c r="IL3" s="5336" t="s">
        <v>246</v>
      </c>
      <c r="IM3" s="5336"/>
      <c r="IN3" s="5336"/>
      <c r="IO3" s="5343"/>
      <c r="IP3" s="5336"/>
      <c r="IQ3" s="5348"/>
      <c r="IR3" s="5348"/>
      <c r="IS3" s="5349"/>
      <c r="IT3" s="5350"/>
      <c r="IU3" s="5353" t="s">
        <v>247</v>
      </c>
      <c r="IV3" s="5336"/>
      <c r="IW3" s="5336"/>
      <c r="IX3" s="5336"/>
      <c r="IY3" s="5336"/>
      <c r="IZ3" s="5343"/>
      <c r="JA3" s="5336"/>
      <c r="JB3" s="5348"/>
      <c r="JC3" s="5348"/>
      <c r="JD3" s="5349"/>
      <c r="JE3" s="5350"/>
      <c r="JF3" s="5353"/>
      <c r="JG3" s="5336" t="s">
        <v>249</v>
      </c>
      <c r="JH3" s="5336"/>
      <c r="JI3" s="5336"/>
      <c r="JJ3" s="5336"/>
      <c r="JK3" s="5343"/>
      <c r="JL3" s="5336"/>
      <c r="JM3" s="5348"/>
      <c r="JN3" s="5348"/>
      <c r="JO3" s="5349"/>
      <c r="JP3" s="5350"/>
      <c r="JQ3" s="6636" t="s">
        <v>350</v>
      </c>
      <c r="JR3" s="6637"/>
      <c r="JS3" s="6637"/>
      <c r="JT3" s="6638"/>
      <c r="JU3" s="6623" t="s">
        <v>250</v>
      </c>
      <c r="JV3" s="6624"/>
      <c r="JW3" s="6624"/>
      <c r="JX3" s="6624"/>
      <c r="JY3" s="6624"/>
      <c r="JZ3" s="6624"/>
      <c r="KA3" s="5336"/>
      <c r="KB3" s="5348"/>
      <c r="KC3" s="5348"/>
      <c r="KD3" s="5349"/>
      <c r="KE3" s="5350"/>
      <c r="KF3" s="6623" t="s">
        <v>251</v>
      </c>
      <c r="KG3" s="6624"/>
      <c r="KH3" s="6624"/>
      <c r="KI3" s="6624"/>
      <c r="KJ3" s="6624"/>
      <c r="KK3" s="6624"/>
      <c r="KL3" s="5336"/>
      <c r="KM3" s="5348"/>
      <c r="KN3" s="5348"/>
      <c r="KO3" s="5349"/>
      <c r="KP3" s="5350"/>
      <c r="KQ3" s="6623" t="s">
        <v>252</v>
      </c>
      <c r="KR3" s="6624"/>
      <c r="KS3" s="6624"/>
      <c r="KT3" s="6624"/>
      <c r="KU3" s="6624"/>
      <c r="KV3" s="6624"/>
      <c r="KW3" s="5336"/>
      <c r="KX3" s="5348"/>
      <c r="KY3" s="5348"/>
      <c r="KZ3" s="5349"/>
      <c r="LA3" s="5350"/>
      <c r="LB3" s="6623" t="s">
        <v>182</v>
      </c>
      <c r="LC3" s="6624"/>
      <c r="LD3" s="6624"/>
      <c r="LE3" s="6624"/>
      <c r="LF3" s="6648" t="s">
        <v>351</v>
      </c>
      <c r="LG3" s="6649"/>
      <c r="LH3" s="6649"/>
      <c r="LI3" s="6649"/>
      <c r="LJ3" s="6649"/>
      <c r="LK3" s="6650"/>
      <c r="LL3" s="6623" t="s">
        <v>253</v>
      </c>
      <c r="LM3" s="6624"/>
      <c r="LN3" s="6624"/>
      <c r="LO3" s="6624"/>
      <c r="LP3" s="6624"/>
      <c r="LQ3" s="6624"/>
      <c r="LR3" s="5336"/>
      <c r="LS3" s="5348"/>
      <c r="LT3" s="5348"/>
      <c r="LU3" s="5349"/>
      <c r="LV3" s="5350"/>
      <c r="LW3" s="5348"/>
      <c r="LX3" s="5348"/>
      <c r="LY3" s="5348"/>
      <c r="LZ3" s="5348"/>
      <c r="MA3" s="5349" t="s">
        <v>315</v>
      </c>
      <c r="MB3" s="5349"/>
      <c r="MC3" s="5349"/>
      <c r="MD3" s="5349"/>
      <c r="ME3" s="5349"/>
      <c r="MF3" s="5343"/>
      <c r="MG3" s="5349"/>
      <c r="MH3" s="5354"/>
      <c r="MI3" s="5348"/>
      <c r="MJ3" s="5348"/>
      <c r="MK3" s="5348"/>
      <c r="ML3" s="5349" t="s">
        <v>474</v>
      </c>
      <c r="MM3" s="5349"/>
      <c r="MN3" s="5349"/>
      <c r="MO3" s="5349"/>
      <c r="MP3" s="5349"/>
      <c r="MQ3" s="5355"/>
      <c r="MR3" s="5350"/>
      <c r="MS3" s="6645" t="s">
        <v>183</v>
      </c>
      <c r="MT3" s="6646"/>
      <c r="MU3" s="6646"/>
      <c r="MV3" s="6647"/>
      <c r="MW3" s="6629" t="s">
        <v>602</v>
      </c>
      <c r="MX3" s="6630"/>
      <c r="MY3" s="6630"/>
      <c r="MZ3" s="6630"/>
      <c r="NA3" s="6630"/>
      <c r="NB3" s="6631"/>
      <c r="NC3" s="6628" t="s">
        <v>531</v>
      </c>
      <c r="ND3" s="6626"/>
      <c r="NE3" s="6626"/>
      <c r="NF3" s="6626"/>
      <c r="NG3" s="6626"/>
      <c r="NH3" s="6626"/>
      <c r="NI3" s="6626"/>
      <c r="NJ3" s="6626"/>
      <c r="NK3" s="6626"/>
      <c r="NL3" s="6626"/>
      <c r="NM3" s="6626"/>
      <c r="NN3" s="6625" t="s">
        <v>532</v>
      </c>
      <c r="NO3" s="6626"/>
      <c r="NP3" s="6626"/>
      <c r="NQ3" s="6626"/>
      <c r="NR3" s="6626"/>
      <c r="NS3" s="6626"/>
      <c r="NT3" s="6626"/>
      <c r="NU3" s="6626"/>
      <c r="NV3" s="6626"/>
      <c r="NW3" s="6626"/>
      <c r="NX3" s="6626"/>
      <c r="NY3" s="6625" t="s">
        <v>533</v>
      </c>
      <c r="NZ3" s="6626"/>
      <c r="OA3" s="6626"/>
      <c r="OB3" s="6626"/>
      <c r="OC3" s="6626"/>
      <c r="OD3" s="6626"/>
      <c r="OE3" s="6626"/>
      <c r="OF3" s="6626"/>
      <c r="OG3" s="6626"/>
      <c r="OH3" s="6626"/>
      <c r="OI3" s="6627"/>
      <c r="OJ3" s="6632" t="s">
        <v>655</v>
      </c>
      <c r="OK3" s="6632"/>
      <c r="OL3" s="6632"/>
      <c r="OM3" s="6632"/>
      <c r="ON3" s="6632"/>
      <c r="OO3" s="6633"/>
      <c r="OP3" s="5352"/>
      <c r="OQ3" s="6658" t="s">
        <v>918</v>
      </c>
      <c r="OR3" s="6624"/>
      <c r="OS3" s="6624"/>
      <c r="OT3" s="6624"/>
      <c r="OU3" s="6624"/>
      <c r="OV3" s="6624"/>
      <c r="OW3" s="6624"/>
      <c r="OX3" s="6624"/>
      <c r="OY3" s="6624"/>
      <c r="OZ3" s="6624"/>
      <c r="PA3" s="6659"/>
      <c r="PB3" s="6624" t="s">
        <v>657</v>
      </c>
      <c r="PC3" s="6624"/>
      <c r="PD3" s="6624"/>
      <c r="PE3" s="6624"/>
      <c r="PF3" s="6624"/>
      <c r="PG3" s="6624"/>
      <c r="PH3" s="6624"/>
      <c r="PI3" s="6624"/>
      <c r="PJ3" s="6624"/>
      <c r="PK3" s="6624"/>
      <c r="PL3" s="6624"/>
      <c r="PM3" s="6658" t="s">
        <v>658</v>
      </c>
      <c r="PN3" s="6624"/>
      <c r="PO3" s="6624"/>
      <c r="PP3" s="6624"/>
      <c r="PQ3" s="6624"/>
      <c r="PR3" s="6624"/>
      <c r="PS3" s="6624"/>
      <c r="PT3" s="6624"/>
      <c r="PU3" s="6624"/>
      <c r="PV3" s="6624"/>
      <c r="PW3" s="6659"/>
      <c r="PX3" s="6661" t="s">
        <v>350</v>
      </c>
      <c r="PY3" s="6661"/>
      <c r="PZ3" s="6661"/>
      <c r="QA3" s="6661"/>
      <c r="QB3" s="6658" t="s">
        <v>659</v>
      </c>
      <c r="QC3" s="6624"/>
      <c r="QD3" s="6624"/>
      <c r="QE3" s="6624"/>
      <c r="QF3" s="6624"/>
      <c r="QG3" s="6624"/>
      <c r="QH3" s="5336"/>
      <c r="QI3" s="5348"/>
      <c r="QJ3" s="5348"/>
      <c r="QK3" s="5349"/>
      <c r="QL3" s="5395"/>
      <c r="QM3" s="6658" t="s">
        <v>660</v>
      </c>
      <c r="QN3" s="6624"/>
      <c r="QO3" s="6624"/>
      <c r="QP3" s="6624"/>
      <c r="QQ3" s="6624"/>
      <c r="QR3" s="6624"/>
      <c r="QS3" s="5336"/>
      <c r="QT3" s="5348"/>
      <c r="QU3" s="5348"/>
      <c r="QV3" s="5349"/>
      <c r="QW3" s="5395"/>
      <c r="QX3" s="6658" t="s">
        <v>661</v>
      </c>
      <c r="QY3" s="6624"/>
      <c r="QZ3" s="6624"/>
      <c r="RA3" s="6624"/>
      <c r="RB3" s="6624"/>
      <c r="RC3" s="6624"/>
      <c r="RD3" s="5336"/>
      <c r="RE3" s="5348"/>
      <c r="RF3" s="5348"/>
      <c r="RG3" s="5349"/>
      <c r="RH3" s="5395"/>
      <c r="RI3" s="6662" t="s">
        <v>182</v>
      </c>
      <c r="RJ3" s="6663"/>
      <c r="RK3" s="6663"/>
      <c r="RL3" s="6664"/>
      <c r="RM3" s="6653" t="s">
        <v>351</v>
      </c>
      <c r="RN3" s="6649"/>
      <c r="RO3" s="6649"/>
      <c r="RP3" s="6649"/>
      <c r="RQ3" s="6649"/>
      <c r="RR3" s="6654"/>
      <c r="RS3" s="6624" t="s">
        <v>662</v>
      </c>
      <c r="RT3" s="6624"/>
      <c r="RU3" s="6624"/>
      <c r="RV3" s="6624"/>
      <c r="RW3" s="6624"/>
      <c r="RX3" s="6624"/>
      <c r="RY3" s="5336"/>
      <c r="RZ3" s="5348"/>
      <c r="SA3" s="5348"/>
      <c r="SB3" s="5349"/>
      <c r="SC3" s="5395"/>
      <c r="SD3" s="5403"/>
      <c r="SE3" s="5348"/>
      <c r="SF3" s="5348"/>
      <c r="SG3" s="5348"/>
      <c r="SH3" s="5349" t="s">
        <v>663</v>
      </c>
      <c r="SI3" s="5349"/>
      <c r="SJ3" s="5349"/>
      <c r="SK3" s="5349"/>
      <c r="SL3" s="5349"/>
      <c r="SM3" s="5343"/>
      <c r="SN3" s="5395"/>
      <c r="SO3" s="6626" t="s">
        <v>664</v>
      </c>
      <c r="SP3" s="6626"/>
      <c r="SQ3" s="6626"/>
      <c r="SR3" s="6626"/>
      <c r="SS3" s="6626"/>
      <c r="ST3" s="6626"/>
      <c r="SU3" s="6626"/>
      <c r="SV3" s="6626"/>
      <c r="SW3" s="6626"/>
      <c r="SX3" s="6626"/>
      <c r="SY3" s="6627"/>
      <c r="SZ3" s="6655" t="s">
        <v>183</v>
      </c>
      <c r="TA3" s="6656"/>
      <c r="TB3" s="6656"/>
      <c r="TC3" s="6657"/>
      <c r="TD3" s="6625" t="s">
        <v>531</v>
      </c>
      <c r="TE3" s="6626"/>
      <c r="TF3" s="6626"/>
      <c r="TG3" s="6626"/>
      <c r="TH3" s="6626"/>
      <c r="TI3" s="6626"/>
      <c r="TJ3" s="6626"/>
      <c r="TK3" s="6626"/>
      <c r="TL3" s="6626"/>
      <c r="TM3" s="6626"/>
      <c r="TN3" s="6627"/>
      <c r="TO3" s="6660" t="s">
        <v>666</v>
      </c>
      <c r="TP3" s="6660"/>
      <c r="TQ3" s="6660"/>
      <c r="TR3" s="6660"/>
      <c r="TS3" s="6660"/>
      <c r="TT3" s="6660"/>
      <c r="TU3" s="6660"/>
      <c r="TV3" s="6660"/>
      <c r="TW3" s="6660"/>
      <c r="TX3" s="6660"/>
      <c r="TY3" s="6660"/>
      <c r="TZ3" s="6625" t="s">
        <v>667</v>
      </c>
      <c r="UA3" s="6626"/>
      <c r="UB3" s="6626"/>
      <c r="UC3" s="6626"/>
      <c r="UD3" s="6626"/>
      <c r="UE3" s="6626"/>
      <c r="UF3" s="6626"/>
      <c r="UG3" s="6626"/>
      <c r="UH3" s="6626"/>
      <c r="UI3" s="6626"/>
      <c r="UJ3" s="6627"/>
      <c r="UK3" s="6651" t="s">
        <v>928</v>
      </c>
      <c r="UL3" s="6632"/>
      <c r="UM3" s="6632"/>
      <c r="UN3" s="6632"/>
      <c r="UO3" s="6632"/>
      <c r="UP3" s="6652"/>
    </row>
    <row r="4" spans="1:567" s="103" customFormat="1" ht="24.2" customHeight="1" x14ac:dyDescent="0.3">
      <c r="A4" s="4328"/>
      <c r="B4" s="4328" t="s">
        <v>174</v>
      </c>
      <c r="C4" s="4329" t="s">
        <v>134</v>
      </c>
      <c r="D4" s="4329" t="s">
        <v>135</v>
      </c>
      <c r="E4" s="6276" t="s">
        <v>352</v>
      </c>
      <c r="F4" s="4329" t="s">
        <v>5</v>
      </c>
      <c r="G4" s="4332" t="s">
        <v>136</v>
      </c>
      <c r="H4" s="4332" t="s">
        <v>40</v>
      </c>
      <c r="I4" s="4332" t="s">
        <v>280</v>
      </c>
      <c r="J4" s="4333"/>
      <c r="K4" s="4331" t="s">
        <v>5</v>
      </c>
      <c r="L4" s="4332" t="s">
        <v>136</v>
      </c>
      <c r="M4" s="4332" t="s">
        <v>40</v>
      </c>
      <c r="N4" s="4332" t="s">
        <v>280</v>
      </c>
      <c r="O4" s="4333"/>
      <c r="P4" s="4331" t="s">
        <v>5</v>
      </c>
      <c r="Q4" s="4332" t="s">
        <v>136</v>
      </c>
      <c r="R4" s="4332" t="s">
        <v>40</v>
      </c>
      <c r="S4" s="4332" t="s">
        <v>280</v>
      </c>
      <c r="T4" s="4334" t="s">
        <v>9</v>
      </c>
      <c r="U4" s="4331" t="s">
        <v>5</v>
      </c>
      <c r="V4" s="4333" t="s">
        <v>136</v>
      </c>
      <c r="W4" s="4333" t="s">
        <v>40</v>
      </c>
      <c r="X4" s="4332" t="s">
        <v>353</v>
      </c>
      <c r="Y4" s="4333" t="s">
        <v>280</v>
      </c>
      <c r="Z4" s="4330" t="s">
        <v>9</v>
      </c>
      <c r="AA4" s="4329" t="s">
        <v>5</v>
      </c>
      <c r="AB4" s="4333" t="s">
        <v>136</v>
      </c>
      <c r="AC4" s="4333" t="s">
        <v>40</v>
      </c>
      <c r="AD4" s="4332" t="s">
        <v>354</v>
      </c>
      <c r="AE4" s="4333" t="s">
        <v>280</v>
      </c>
      <c r="AF4" s="4329" t="s">
        <v>9</v>
      </c>
      <c r="AG4" s="4331" t="s">
        <v>5</v>
      </c>
      <c r="AH4" s="4333" t="s">
        <v>136</v>
      </c>
      <c r="AI4" s="4333" t="s">
        <v>40</v>
      </c>
      <c r="AJ4" s="4332" t="s">
        <v>354</v>
      </c>
      <c r="AK4" s="4333" t="s">
        <v>187</v>
      </c>
      <c r="AL4" s="4335" t="s">
        <v>9</v>
      </c>
      <c r="AM4" s="4336" t="s">
        <v>355</v>
      </c>
      <c r="AN4" s="4332" t="s">
        <v>356</v>
      </c>
      <c r="AO4" s="4332"/>
      <c r="AP4" s="4332" t="s">
        <v>34</v>
      </c>
      <c r="AQ4" s="4332" t="s">
        <v>33</v>
      </c>
      <c r="AR4" s="4333" t="s">
        <v>9</v>
      </c>
      <c r="AS4" s="4337" t="s">
        <v>5</v>
      </c>
      <c r="AT4" s="4338" t="s">
        <v>357</v>
      </c>
      <c r="AU4" s="4332" t="s">
        <v>358</v>
      </c>
      <c r="AV4" s="4333" t="s">
        <v>280</v>
      </c>
      <c r="AW4" s="4335" t="s">
        <v>9</v>
      </c>
      <c r="AX4" s="4337" t="s">
        <v>5</v>
      </c>
      <c r="AY4" s="4338" t="s">
        <v>357</v>
      </c>
      <c r="AZ4" s="4332" t="s">
        <v>358</v>
      </c>
      <c r="BA4" s="4333" t="s">
        <v>280</v>
      </c>
      <c r="BB4" s="4335" t="s">
        <v>9</v>
      </c>
      <c r="BC4" s="4336" t="s">
        <v>5</v>
      </c>
      <c r="BD4" s="4332" t="s">
        <v>136</v>
      </c>
      <c r="BE4" s="4332" t="s">
        <v>52</v>
      </c>
      <c r="BF4" s="4332" t="s">
        <v>359</v>
      </c>
      <c r="BG4" s="4332" t="s">
        <v>137</v>
      </c>
      <c r="BH4" s="4339" t="s">
        <v>9</v>
      </c>
      <c r="BI4" s="4336" t="s">
        <v>5</v>
      </c>
      <c r="BJ4" s="4332" t="s">
        <v>136</v>
      </c>
      <c r="BK4" s="4332" t="s">
        <v>52</v>
      </c>
      <c r="BL4" s="4332" t="s">
        <v>359</v>
      </c>
      <c r="BM4" s="4332" t="s">
        <v>137</v>
      </c>
      <c r="BN4" s="4339" t="s">
        <v>9</v>
      </c>
      <c r="BO4" s="4337" t="s">
        <v>5</v>
      </c>
      <c r="BP4" s="4332" t="s">
        <v>136</v>
      </c>
      <c r="BQ4" s="4332" t="s">
        <v>52</v>
      </c>
      <c r="BR4" s="4332" t="s">
        <v>359</v>
      </c>
      <c r="BS4" s="4332" t="s">
        <v>280</v>
      </c>
      <c r="BT4" s="4334" t="s">
        <v>9</v>
      </c>
      <c r="BU4" s="4340" t="s">
        <v>5</v>
      </c>
      <c r="BV4" s="4332" t="s">
        <v>52</v>
      </c>
      <c r="BW4" s="4341" t="s">
        <v>280</v>
      </c>
      <c r="BX4" s="4341" t="s">
        <v>9</v>
      </c>
      <c r="BY4" s="4331" t="s">
        <v>5</v>
      </c>
      <c r="BZ4" s="4333" t="s">
        <v>136</v>
      </c>
      <c r="CA4" s="4333" t="s">
        <v>52</v>
      </c>
      <c r="CB4" s="4332" t="s">
        <v>354</v>
      </c>
      <c r="CC4" s="4333" t="s">
        <v>137</v>
      </c>
      <c r="CD4" s="4334" t="s">
        <v>9</v>
      </c>
      <c r="CE4" s="4336" t="s">
        <v>355</v>
      </c>
      <c r="CF4" s="4332" t="s">
        <v>356</v>
      </c>
      <c r="CG4" s="4332"/>
      <c r="CH4" s="4332" t="s">
        <v>34</v>
      </c>
      <c r="CI4" s="4332" t="s">
        <v>360</v>
      </c>
      <c r="CJ4" s="4335" t="s">
        <v>9</v>
      </c>
      <c r="CK4" s="4331" t="s">
        <v>5</v>
      </c>
      <c r="CL4" s="4333" t="s">
        <v>136</v>
      </c>
      <c r="CM4" s="4333" t="s">
        <v>52</v>
      </c>
      <c r="CN4" s="4332" t="s">
        <v>354</v>
      </c>
      <c r="CO4" s="4333" t="s">
        <v>280</v>
      </c>
      <c r="CP4" s="4334" t="s">
        <v>361</v>
      </c>
      <c r="CQ4" s="4332" t="s">
        <v>355</v>
      </c>
      <c r="CR4" s="4332" t="s">
        <v>356</v>
      </c>
      <c r="CS4" s="4332" t="s">
        <v>354</v>
      </c>
      <c r="CT4" s="4332" t="s">
        <v>34</v>
      </c>
      <c r="CU4" s="4332" t="s">
        <v>360</v>
      </c>
      <c r="CV4" s="4341" t="s">
        <v>138</v>
      </c>
      <c r="CW4" s="4331" t="s">
        <v>5</v>
      </c>
      <c r="CX4" s="4333" t="s">
        <v>136</v>
      </c>
      <c r="CY4" s="4333" t="s">
        <v>40</v>
      </c>
      <c r="CZ4" s="4332" t="s">
        <v>359</v>
      </c>
      <c r="DA4" s="4333" t="s">
        <v>362</v>
      </c>
      <c r="DB4" s="4334" t="s">
        <v>361</v>
      </c>
      <c r="DC4" s="4332" t="s">
        <v>355</v>
      </c>
      <c r="DD4" s="4332" t="s">
        <v>356</v>
      </c>
      <c r="DE4" s="4332" t="s">
        <v>359</v>
      </c>
      <c r="DF4" s="4332" t="s">
        <v>34</v>
      </c>
      <c r="DG4" s="4332" t="s">
        <v>360</v>
      </c>
      <c r="DH4" s="4341" t="s">
        <v>138</v>
      </c>
      <c r="DI4" s="4342" t="s">
        <v>5</v>
      </c>
      <c r="DJ4" s="4343" t="s">
        <v>52</v>
      </c>
      <c r="DK4" s="4343" t="s">
        <v>280</v>
      </c>
      <c r="DL4" s="4343" t="s">
        <v>9</v>
      </c>
      <c r="DM4" s="4343" t="s">
        <v>175</v>
      </c>
      <c r="DN4" s="4343" t="s">
        <v>9</v>
      </c>
      <c r="DO4" s="4342" t="s">
        <v>5</v>
      </c>
      <c r="DP4" s="4344" t="s">
        <v>6</v>
      </c>
      <c r="DQ4" s="4345" t="s">
        <v>137</v>
      </c>
      <c r="DR4" s="4345" t="s">
        <v>33</v>
      </c>
      <c r="DS4" s="4346" t="s">
        <v>333</v>
      </c>
      <c r="DT4" s="4346" t="s">
        <v>334</v>
      </c>
      <c r="DU4" s="4346" t="s">
        <v>139</v>
      </c>
      <c r="DV4" s="4347" t="s">
        <v>328</v>
      </c>
      <c r="DW4" s="4348" t="s">
        <v>5</v>
      </c>
      <c r="DX4" s="4344" t="s">
        <v>6</v>
      </c>
      <c r="DY4" s="4345" t="s">
        <v>137</v>
      </c>
      <c r="DZ4" s="4345" t="s">
        <v>33</v>
      </c>
      <c r="EA4" s="4345" t="s">
        <v>333</v>
      </c>
      <c r="EB4" s="4346" t="s">
        <v>334</v>
      </c>
      <c r="EC4" s="4346" t="s">
        <v>139</v>
      </c>
      <c r="ED4" s="4347" t="s">
        <v>328</v>
      </c>
      <c r="EE4" s="4331" t="s">
        <v>5</v>
      </c>
      <c r="EF4" s="4333" t="s">
        <v>136</v>
      </c>
      <c r="EG4" s="4333" t="s">
        <v>40</v>
      </c>
      <c r="EH4" s="4332" t="s">
        <v>354</v>
      </c>
      <c r="EI4" s="4333" t="s">
        <v>362</v>
      </c>
      <c r="EJ4" s="4334" t="s">
        <v>361</v>
      </c>
      <c r="EK4" s="4332" t="s">
        <v>355</v>
      </c>
      <c r="EL4" s="4332" t="s">
        <v>356</v>
      </c>
      <c r="EM4" s="4332" t="s">
        <v>354</v>
      </c>
      <c r="EN4" s="4332" t="s">
        <v>34</v>
      </c>
      <c r="EO4" s="4332" t="s">
        <v>360</v>
      </c>
      <c r="EP4" s="4334" t="s">
        <v>138</v>
      </c>
      <c r="EQ4" s="4331" t="s">
        <v>5</v>
      </c>
      <c r="ER4" s="4333" t="s">
        <v>136</v>
      </c>
      <c r="ES4" s="4333" t="s">
        <v>40</v>
      </c>
      <c r="ET4" s="4332" t="s">
        <v>354</v>
      </c>
      <c r="EU4" s="4333" t="s">
        <v>362</v>
      </c>
      <c r="EV4" s="4334" t="s">
        <v>361</v>
      </c>
      <c r="EW4" s="4332" t="s">
        <v>355</v>
      </c>
      <c r="EX4" s="4332" t="s">
        <v>356</v>
      </c>
      <c r="EY4" s="4332" t="s">
        <v>354</v>
      </c>
      <c r="EZ4" s="4332" t="s">
        <v>34</v>
      </c>
      <c r="FA4" s="4332" t="s">
        <v>360</v>
      </c>
      <c r="FB4" s="4334" t="s">
        <v>138</v>
      </c>
      <c r="FC4" s="4349" t="s">
        <v>5</v>
      </c>
      <c r="FD4" s="4350" t="s">
        <v>6</v>
      </c>
      <c r="FE4" s="4350" t="s">
        <v>137</v>
      </c>
      <c r="FF4" s="4350" t="s">
        <v>175</v>
      </c>
      <c r="FG4" s="4350" t="s">
        <v>333</v>
      </c>
      <c r="FH4" s="4350" t="s">
        <v>364</v>
      </c>
      <c r="FI4" s="4350" t="s">
        <v>329</v>
      </c>
      <c r="FJ4" s="4351" t="s">
        <v>330</v>
      </c>
      <c r="FK4" s="4332" t="s">
        <v>5</v>
      </c>
      <c r="FL4" s="4332" t="s">
        <v>357</v>
      </c>
      <c r="FM4" s="4332" t="s">
        <v>40</v>
      </c>
      <c r="FN4" s="4332" t="s">
        <v>359</v>
      </c>
      <c r="FO4" s="4332" t="s">
        <v>280</v>
      </c>
      <c r="FP4" s="4341" t="s">
        <v>361</v>
      </c>
      <c r="FQ4" s="4336" t="s">
        <v>355</v>
      </c>
      <c r="FR4" s="4332" t="s">
        <v>356</v>
      </c>
      <c r="FS4" s="4332" t="s">
        <v>34</v>
      </c>
      <c r="FT4" s="4332" t="s">
        <v>360</v>
      </c>
      <c r="FU4" s="4334" t="s">
        <v>138</v>
      </c>
      <c r="FV4" s="4349" t="s">
        <v>5</v>
      </c>
      <c r="FW4" s="4350" t="s">
        <v>136</v>
      </c>
      <c r="FX4" s="4350" t="s">
        <v>52</v>
      </c>
      <c r="FY4" s="4350" t="s">
        <v>137</v>
      </c>
      <c r="FZ4" s="4350" t="s">
        <v>175</v>
      </c>
      <c r="GA4" s="4352" t="s">
        <v>333</v>
      </c>
      <c r="GB4" s="4352" t="s">
        <v>364</v>
      </c>
      <c r="GC4" s="4350" t="s">
        <v>329</v>
      </c>
      <c r="GD4" s="4351" t="s">
        <v>330</v>
      </c>
      <c r="GE4" s="4349" t="s">
        <v>5</v>
      </c>
      <c r="GF4" s="4350" t="s">
        <v>52</v>
      </c>
      <c r="GG4" s="4350" t="s">
        <v>280</v>
      </c>
      <c r="GH4" s="4352"/>
      <c r="GI4" s="4353" t="s">
        <v>175</v>
      </c>
      <c r="GJ4" s="4349" t="s">
        <v>5</v>
      </c>
      <c r="GK4" s="4350" t="s">
        <v>52</v>
      </c>
      <c r="GL4" s="4350" t="s">
        <v>137</v>
      </c>
      <c r="GM4" s="4353" t="s">
        <v>175</v>
      </c>
      <c r="GN4" s="4332" t="s">
        <v>5</v>
      </c>
      <c r="GO4" s="4332" t="s">
        <v>136</v>
      </c>
      <c r="GP4" s="4332" t="s">
        <v>40</v>
      </c>
      <c r="GQ4" s="4332" t="s">
        <v>354</v>
      </c>
      <c r="GR4" s="4332" t="s">
        <v>187</v>
      </c>
      <c r="GS4" s="4341" t="s">
        <v>361</v>
      </c>
      <c r="GT4" s="4336" t="s">
        <v>355</v>
      </c>
      <c r="GU4" s="4332" t="s">
        <v>356</v>
      </c>
      <c r="GV4" s="4332" t="s">
        <v>354</v>
      </c>
      <c r="GW4" s="4332" t="s">
        <v>34</v>
      </c>
      <c r="GX4" s="4336" t="s">
        <v>33</v>
      </c>
      <c r="GY4" s="4334" t="s">
        <v>138</v>
      </c>
      <c r="GZ4" s="4354" t="s">
        <v>5</v>
      </c>
      <c r="HA4" s="4354" t="s">
        <v>136</v>
      </c>
      <c r="HB4" s="4354" t="s">
        <v>40</v>
      </c>
      <c r="HC4" s="4332" t="s">
        <v>354</v>
      </c>
      <c r="HD4" s="4332" t="s">
        <v>187</v>
      </c>
      <c r="HE4" s="4334" t="s">
        <v>361</v>
      </c>
      <c r="HF4" s="4332" t="s">
        <v>355</v>
      </c>
      <c r="HG4" s="4332" t="s">
        <v>356</v>
      </c>
      <c r="HH4" s="4332" t="s">
        <v>354</v>
      </c>
      <c r="HI4" s="4332" t="s">
        <v>34</v>
      </c>
      <c r="HJ4" s="4332" t="s">
        <v>33</v>
      </c>
      <c r="HK4" s="4334" t="s">
        <v>138</v>
      </c>
      <c r="HL4" s="4355" t="s">
        <v>5</v>
      </c>
      <c r="HM4" s="4354" t="s">
        <v>136</v>
      </c>
      <c r="HN4" s="4354" t="s">
        <v>52</v>
      </c>
      <c r="HO4" s="4332" t="s">
        <v>353</v>
      </c>
      <c r="HP4" s="4332" t="s">
        <v>280</v>
      </c>
      <c r="HQ4" s="4334" t="s">
        <v>361</v>
      </c>
      <c r="HR4" s="4332" t="s">
        <v>355</v>
      </c>
      <c r="HS4" s="4332" t="s">
        <v>356</v>
      </c>
      <c r="HT4" s="4332"/>
      <c r="HU4" s="4332" t="s">
        <v>34</v>
      </c>
      <c r="HV4" s="4332" t="s">
        <v>33</v>
      </c>
      <c r="HW4" s="4334" t="s">
        <v>138</v>
      </c>
      <c r="HX4" s="4356" t="s">
        <v>5</v>
      </c>
      <c r="HY4" s="4357" t="s">
        <v>52</v>
      </c>
      <c r="HZ4" s="4358" t="s">
        <v>280</v>
      </c>
      <c r="IA4" s="4359"/>
      <c r="IB4" s="4358" t="s">
        <v>33</v>
      </c>
      <c r="IC4" s="4359"/>
      <c r="ID4" s="4360" t="s">
        <v>5</v>
      </c>
      <c r="IE4" s="4359" t="s">
        <v>52</v>
      </c>
      <c r="IF4" s="4359" t="s">
        <v>280</v>
      </c>
      <c r="IG4" s="4359" t="s">
        <v>285</v>
      </c>
      <c r="IH4" s="4358"/>
      <c r="II4" s="5356"/>
      <c r="IJ4" s="4336" t="s">
        <v>5</v>
      </c>
      <c r="IK4" s="4332" t="s">
        <v>365</v>
      </c>
      <c r="IL4" s="4332" t="s">
        <v>40</v>
      </c>
      <c r="IM4" s="4332" t="s">
        <v>366</v>
      </c>
      <c r="IN4" s="4361" t="s">
        <v>280</v>
      </c>
      <c r="IO4" s="4334" t="s">
        <v>296</v>
      </c>
      <c r="IP4" s="4332" t="s">
        <v>355</v>
      </c>
      <c r="IQ4" s="4332" t="s">
        <v>356</v>
      </c>
      <c r="IR4" s="4332" t="s">
        <v>34</v>
      </c>
      <c r="IS4" s="4336" t="s">
        <v>33</v>
      </c>
      <c r="IT4" s="4334" t="s">
        <v>138</v>
      </c>
      <c r="IU4" s="4336" t="s">
        <v>5</v>
      </c>
      <c r="IV4" s="4332" t="s">
        <v>365</v>
      </c>
      <c r="IW4" s="4332" t="s">
        <v>40</v>
      </c>
      <c r="IX4" s="4332" t="s">
        <v>354</v>
      </c>
      <c r="IY4" s="4361" t="s">
        <v>280</v>
      </c>
      <c r="IZ4" s="4334" t="s">
        <v>296</v>
      </c>
      <c r="JA4" s="4332" t="s">
        <v>355</v>
      </c>
      <c r="JB4" s="4332" t="s">
        <v>356</v>
      </c>
      <c r="JC4" s="4332" t="s">
        <v>34</v>
      </c>
      <c r="JD4" s="4336" t="s">
        <v>33</v>
      </c>
      <c r="JE4" s="4334" t="s">
        <v>138</v>
      </c>
      <c r="JF4" s="4336" t="s">
        <v>5</v>
      </c>
      <c r="JG4" s="4332" t="s">
        <v>365</v>
      </c>
      <c r="JH4" s="4332" t="s">
        <v>40</v>
      </c>
      <c r="JI4" s="4332" t="s">
        <v>353</v>
      </c>
      <c r="JJ4" s="4361" t="s">
        <v>280</v>
      </c>
      <c r="JK4" s="4334" t="s">
        <v>296</v>
      </c>
      <c r="JL4" s="4332" t="s">
        <v>355</v>
      </c>
      <c r="JM4" s="4332" t="s">
        <v>356</v>
      </c>
      <c r="JN4" s="4332" t="s">
        <v>34</v>
      </c>
      <c r="JO4" s="4336" t="s">
        <v>33</v>
      </c>
      <c r="JP4" s="4334" t="s">
        <v>138</v>
      </c>
      <c r="JQ4" s="4336" t="s">
        <v>5</v>
      </c>
      <c r="JR4" s="4332" t="s">
        <v>40</v>
      </c>
      <c r="JS4" s="4332" t="s">
        <v>280</v>
      </c>
      <c r="JT4" s="4362" t="s">
        <v>281</v>
      </c>
      <c r="JU4" s="4336" t="s">
        <v>5</v>
      </c>
      <c r="JV4" s="4332" t="s">
        <v>367</v>
      </c>
      <c r="JW4" s="4332" t="s">
        <v>40</v>
      </c>
      <c r="JX4" s="4332" t="s">
        <v>353</v>
      </c>
      <c r="JY4" s="4361" t="s">
        <v>280</v>
      </c>
      <c r="JZ4" s="4334" t="s">
        <v>296</v>
      </c>
      <c r="KA4" s="4332" t="s">
        <v>355</v>
      </c>
      <c r="KB4" s="4332" t="s">
        <v>356</v>
      </c>
      <c r="KC4" s="4332" t="s">
        <v>34</v>
      </c>
      <c r="KD4" s="4336" t="s">
        <v>33</v>
      </c>
      <c r="KE4" s="4334" t="s">
        <v>138</v>
      </c>
      <c r="KF4" s="4336" t="s">
        <v>5</v>
      </c>
      <c r="KG4" s="4332" t="s">
        <v>367</v>
      </c>
      <c r="KH4" s="4332" t="s">
        <v>40</v>
      </c>
      <c r="KI4" s="4332" t="s">
        <v>353</v>
      </c>
      <c r="KJ4" s="4361" t="s">
        <v>280</v>
      </c>
      <c r="KK4" s="4334" t="s">
        <v>296</v>
      </c>
      <c r="KL4" s="4332" t="s">
        <v>355</v>
      </c>
      <c r="KM4" s="4332" t="s">
        <v>356</v>
      </c>
      <c r="KN4" s="4332" t="s">
        <v>34</v>
      </c>
      <c r="KO4" s="4336" t="s">
        <v>33</v>
      </c>
      <c r="KP4" s="4334" t="s">
        <v>138</v>
      </c>
      <c r="KQ4" s="4336" t="s">
        <v>5</v>
      </c>
      <c r="KR4" s="4332" t="s">
        <v>367</v>
      </c>
      <c r="KS4" s="4332" t="s">
        <v>40</v>
      </c>
      <c r="KT4" s="4332" t="s">
        <v>353</v>
      </c>
      <c r="KU4" s="4361" t="s">
        <v>280</v>
      </c>
      <c r="KV4" s="4334" t="s">
        <v>296</v>
      </c>
      <c r="KW4" s="4332" t="s">
        <v>355</v>
      </c>
      <c r="KX4" s="4332" t="s">
        <v>356</v>
      </c>
      <c r="KY4" s="4332" t="s">
        <v>34</v>
      </c>
      <c r="KZ4" s="4336" t="s">
        <v>33</v>
      </c>
      <c r="LA4" s="4334" t="s">
        <v>138</v>
      </c>
      <c r="LB4" s="4336" t="s">
        <v>5</v>
      </c>
      <c r="LC4" s="4332" t="s">
        <v>40</v>
      </c>
      <c r="LD4" s="4332" t="s">
        <v>280</v>
      </c>
      <c r="LE4" s="4334" t="s">
        <v>9</v>
      </c>
      <c r="LF4" s="4363" t="s">
        <v>5</v>
      </c>
      <c r="LG4" s="4364" t="s">
        <v>52</v>
      </c>
      <c r="LH4" s="4364" t="s">
        <v>187</v>
      </c>
      <c r="LI4" s="4365" t="s">
        <v>333</v>
      </c>
      <c r="LJ4" s="4365" t="s">
        <v>248</v>
      </c>
      <c r="LK4" s="4366" t="s">
        <v>281</v>
      </c>
      <c r="LL4" s="4336" t="s">
        <v>5</v>
      </c>
      <c r="LM4" s="4332" t="s">
        <v>367</v>
      </c>
      <c r="LN4" s="4332" t="s">
        <v>40</v>
      </c>
      <c r="LO4" s="4332" t="s">
        <v>353</v>
      </c>
      <c r="LP4" s="4361" t="s">
        <v>280</v>
      </c>
      <c r="LQ4" s="4334" t="s">
        <v>296</v>
      </c>
      <c r="LR4" s="4332" t="s">
        <v>355</v>
      </c>
      <c r="LS4" s="4332" t="s">
        <v>356</v>
      </c>
      <c r="LT4" s="4332" t="s">
        <v>34</v>
      </c>
      <c r="LU4" s="4336" t="s">
        <v>33</v>
      </c>
      <c r="LV4" s="4334" t="s">
        <v>138</v>
      </c>
      <c r="LW4" s="4332" t="s">
        <v>5</v>
      </c>
      <c r="LX4" s="4332" t="s">
        <v>367</v>
      </c>
      <c r="LY4" s="4332" t="s">
        <v>40</v>
      </c>
      <c r="LZ4" s="4332" t="s">
        <v>353</v>
      </c>
      <c r="MA4" s="4361" t="s">
        <v>280</v>
      </c>
      <c r="MB4" s="4334" t="s">
        <v>296</v>
      </c>
      <c r="MC4" s="4341" t="s">
        <v>355</v>
      </c>
      <c r="MD4" s="4341" t="s">
        <v>356</v>
      </c>
      <c r="ME4" s="4341" t="s">
        <v>34</v>
      </c>
      <c r="MF4" s="4336" t="s">
        <v>33</v>
      </c>
      <c r="MG4" s="4334" t="s">
        <v>138</v>
      </c>
      <c r="MH4" s="4336" t="s">
        <v>5</v>
      </c>
      <c r="MI4" s="4332" t="s">
        <v>367</v>
      </c>
      <c r="MJ4" s="4332" t="s">
        <v>40</v>
      </c>
      <c r="MK4" s="4332" t="s">
        <v>353</v>
      </c>
      <c r="ML4" s="4361" t="s">
        <v>280</v>
      </c>
      <c r="MM4" s="4334" t="s">
        <v>296</v>
      </c>
      <c r="MN4" s="4341" t="s">
        <v>355</v>
      </c>
      <c r="MO4" s="4341" t="s">
        <v>356</v>
      </c>
      <c r="MP4" s="4341" t="s">
        <v>34</v>
      </c>
      <c r="MQ4" s="4336" t="s">
        <v>33</v>
      </c>
      <c r="MR4" s="4334" t="s">
        <v>138</v>
      </c>
      <c r="MS4" s="4367" t="s">
        <v>5</v>
      </c>
      <c r="MT4" s="4368" t="s">
        <v>40</v>
      </c>
      <c r="MU4" s="4368" t="s">
        <v>187</v>
      </c>
      <c r="MV4" s="4369" t="s">
        <v>9</v>
      </c>
      <c r="MW4" s="4370" t="s">
        <v>5</v>
      </c>
      <c r="MX4" s="4368" t="s">
        <v>40</v>
      </c>
      <c r="MY4" s="4368" t="s">
        <v>187</v>
      </c>
      <c r="MZ4" s="4368" t="s">
        <v>333</v>
      </c>
      <c r="NA4" s="4368" t="s">
        <v>248</v>
      </c>
      <c r="NB4" s="4369" t="s">
        <v>296</v>
      </c>
      <c r="NC4" s="4336" t="s">
        <v>5</v>
      </c>
      <c r="ND4" s="4332" t="s">
        <v>367</v>
      </c>
      <c r="NE4" s="4332" t="s">
        <v>52</v>
      </c>
      <c r="NF4" s="4332" t="s">
        <v>353</v>
      </c>
      <c r="NG4" s="4361" t="s">
        <v>280</v>
      </c>
      <c r="NH4" s="4334" t="s">
        <v>296</v>
      </c>
      <c r="NI4" s="4361" t="s">
        <v>355</v>
      </c>
      <c r="NJ4" s="4341" t="s">
        <v>356</v>
      </c>
      <c r="NK4" s="4341" t="s">
        <v>34</v>
      </c>
      <c r="NL4" s="4336" t="s">
        <v>33</v>
      </c>
      <c r="NM4" s="4341" t="s">
        <v>138</v>
      </c>
      <c r="NN4" s="4371" t="s">
        <v>5</v>
      </c>
      <c r="NO4" s="4332" t="s">
        <v>367</v>
      </c>
      <c r="NP4" s="4332" t="s">
        <v>52</v>
      </c>
      <c r="NQ4" s="4332" t="s">
        <v>353</v>
      </c>
      <c r="NR4" s="4361" t="s">
        <v>280</v>
      </c>
      <c r="NS4" s="4334" t="s">
        <v>296</v>
      </c>
      <c r="NT4" s="4361" t="s">
        <v>355</v>
      </c>
      <c r="NU4" s="4341" t="s">
        <v>356</v>
      </c>
      <c r="NV4" s="4341" t="s">
        <v>34</v>
      </c>
      <c r="NW4" s="4336" t="s">
        <v>33</v>
      </c>
      <c r="NX4" s="4341" t="s">
        <v>138</v>
      </c>
      <c r="NY4" s="4371" t="s">
        <v>5</v>
      </c>
      <c r="NZ4" s="4332" t="s">
        <v>367</v>
      </c>
      <c r="OA4" s="4332" t="s">
        <v>52</v>
      </c>
      <c r="OB4" s="4332" t="s">
        <v>353</v>
      </c>
      <c r="OC4" s="4361" t="s">
        <v>280</v>
      </c>
      <c r="OD4" s="4334" t="s">
        <v>296</v>
      </c>
      <c r="OE4" s="4361" t="s">
        <v>355</v>
      </c>
      <c r="OF4" s="4341" t="s">
        <v>356</v>
      </c>
      <c r="OG4" s="4341" t="s">
        <v>34</v>
      </c>
      <c r="OH4" s="4336" t="s">
        <v>33</v>
      </c>
      <c r="OI4" s="5357" t="s">
        <v>138</v>
      </c>
      <c r="OJ4" s="4372" t="s">
        <v>5</v>
      </c>
      <c r="OK4" s="4372" t="s">
        <v>52</v>
      </c>
      <c r="OL4" s="4372" t="s">
        <v>280</v>
      </c>
      <c r="OM4" s="4372" t="s">
        <v>285</v>
      </c>
      <c r="ON4" s="4372" t="s">
        <v>654</v>
      </c>
      <c r="OO4" s="4373" t="s">
        <v>9</v>
      </c>
      <c r="OP4" s="5356"/>
      <c r="OQ4" s="4371" t="s">
        <v>5</v>
      </c>
      <c r="OR4" s="4332" t="s">
        <v>1032</v>
      </c>
      <c r="OS4" s="4332" t="s">
        <v>40</v>
      </c>
      <c r="OT4" s="4332" t="s">
        <v>353</v>
      </c>
      <c r="OU4" s="4361" t="s">
        <v>280</v>
      </c>
      <c r="OV4" s="4334" t="s">
        <v>296</v>
      </c>
      <c r="OW4" s="4332" t="s">
        <v>355</v>
      </c>
      <c r="OX4" s="4332" t="s">
        <v>356</v>
      </c>
      <c r="OY4" s="4332" t="s">
        <v>34</v>
      </c>
      <c r="OZ4" s="4336" t="s">
        <v>33</v>
      </c>
      <c r="PA4" s="5357" t="s">
        <v>138</v>
      </c>
      <c r="PB4" s="4332" t="s">
        <v>5</v>
      </c>
      <c r="PC4" s="4332" t="s">
        <v>1032</v>
      </c>
      <c r="PD4" s="4332" t="s">
        <v>40</v>
      </c>
      <c r="PE4" s="4332" t="s">
        <v>353</v>
      </c>
      <c r="PF4" s="4361" t="s">
        <v>280</v>
      </c>
      <c r="PG4" s="4334" t="s">
        <v>296</v>
      </c>
      <c r="PH4" s="4332" t="s">
        <v>355</v>
      </c>
      <c r="PI4" s="4332" t="s">
        <v>356</v>
      </c>
      <c r="PJ4" s="4332" t="s">
        <v>34</v>
      </c>
      <c r="PK4" s="4336" t="s">
        <v>33</v>
      </c>
      <c r="PL4" s="4341" t="s">
        <v>138</v>
      </c>
      <c r="PM4" s="4371" t="s">
        <v>5</v>
      </c>
      <c r="PN4" s="4332" t="s">
        <v>1032</v>
      </c>
      <c r="PO4" s="4332" t="s">
        <v>40</v>
      </c>
      <c r="PP4" s="4332" t="s">
        <v>353</v>
      </c>
      <c r="PQ4" s="6291" t="s">
        <v>280</v>
      </c>
      <c r="PR4" s="6292" t="s">
        <v>296</v>
      </c>
      <c r="PS4" s="4332" t="s">
        <v>355</v>
      </c>
      <c r="PT4" s="4332" t="s">
        <v>356</v>
      </c>
      <c r="PU4" s="4332" t="s">
        <v>34</v>
      </c>
      <c r="PV4" s="4336" t="s">
        <v>33</v>
      </c>
      <c r="PW4" s="5357" t="s">
        <v>138</v>
      </c>
      <c r="PX4" s="4332" t="s">
        <v>5</v>
      </c>
      <c r="PY4" s="4332" t="s">
        <v>40</v>
      </c>
      <c r="PZ4" s="4332" t="s">
        <v>280</v>
      </c>
      <c r="QA4" s="4332" t="s">
        <v>281</v>
      </c>
      <c r="QB4" s="4371" t="s">
        <v>5</v>
      </c>
      <c r="QC4" s="4332" t="s">
        <v>1032</v>
      </c>
      <c r="QD4" s="4332" t="s">
        <v>40</v>
      </c>
      <c r="QE4" s="4332" t="s">
        <v>353</v>
      </c>
      <c r="QF4" s="6291" t="s">
        <v>280</v>
      </c>
      <c r="QG4" s="6292" t="s">
        <v>296</v>
      </c>
      <c r="QH4" s="4332" t="s">
        <v>355</v>
      </c>
      <c r="QI4" s="4332" t="s">
        <v>356</v>
      </c>
      <c r="QJ4" s="4332" t="s">
        <v>34</v>
      </c>
      <c r="QK4" s="4336" t="s">
        <v>33</v>
      </c>
      <c r="QL4" s="5357" t="s">
        <v>138</v>
      </c>
      <c r="QM4" s="4371" t="s">
        <v>5</v>
      </c>
      <c r="QN4" s="4332" t="s">
        <v>1032</v>
      </c>
      <c r="QO4" s="4332" t="s">
        <v>40</v>
      </c>
      <c r="QP4" s="4332" t="s">
        <v>353</v>
      </c>
      <c r="QQ4" s="4361" t="s">
        <v>280</v>
      </c>
      <c r="QR4" s="4334" t="s">
        <v>296</v>
      </c>
      <c r="QS4" s="4332" t="s">
        <v>355</v>
      </c>
      <c r="QT4" s="4332" t="s">
        <v>356</v>
      </c>
      <c r="QU4" s="4332" t="s">
        <v>34</v>
      </c>
      <c r="QV4" s="4336" t="s">
        <v>33</v>
      </c>
      <c r="QW4" s="5357" t="s">
        <v>138</v>
      </c>
      <c r="QX4" s="4371" t="s">
        <v>5</v>
      </c>
      <c r="QY4" s="4332" t="s">
        <v>357</v>
      </c>
      <c r="QZ4" s="4332" t="s">
        <v>40</v>
      </c>
      <c r="RA4" s="4332" t="s">
        <v>353</v>
      </c>
      <c r="RB4" s="4361" t="s">
        <v>280</v>
      </c>
      <c r="RC4" s="4334" t="s">
        <v>296</v>
      </c>
      <c r="RD4" s="4332" t="s">
        <v>355</v>
      </c>
      <c r="RE4" s="4332" t="s">
        <v>356</v>
      </c>
      <c r="RF4" s="4332" t="s">
        <v>34</v>
      </c>
      <c r="RG4" s="4336" t="s">
        <v>33</v>
      </c>
      <c r="RH4" s="5357" t="s">
        <v>138</v>
      </c>
      <c r="RI4" s="4371" t="s">
        <v>5</v>
      </c>
      <c r="RJ4" s="4332" t="s">
        <v>40</v>
      </c>
      <c r="RK4" s="4332" t="s">
        <v>280</v>
      </c>
      <c r="RL4" s="5357" t="s">
        <v>9</v>
      </c>
      <c r="RM4" s="6337" t="s">
        <v>5</v>
      </c>
      <c r="RN4" s="4374" t="s">
        <v>52</v>
      </c>
      <c r="RO4" s="4374" t="s">
        <v>187</v>
      </c>
      <c r="RP4" s="4375" t="s">
        <v>333</v>
      </c>
      <c r="RQ4" s="4375" t="s">
        <v>248</v>
      </c>
      <c r="RR4" s="6338" t="s">
        <v>281</v>
      </c>
      <c r="RS4" s="4332" t="s">
        <v>5</v>
      </c>
      <c r="RT4" s="4332" t="s">
        <v>1032</v>
      </c>
      <c r="RU4" s="4332" t="s">
        <v>40</v>
      </c>
      <c r="RV4" s="4332" t="s">
        <v>353</v>
      </c>
      <c r="RW4" s="4361" t="s">
        <v>280</v>
      </c>
      <c r="RX4" s="4334" t="s">
        <v>296</v>
      </c>
      <c r="RY4" s="4332" t="s">
        <v>355</v>
      </c>
      <c r="RZ4" s="4332" t="s">
        <v>356</v>
      </c>
      <c r="SA4" s="4332" t="s">
        <v>34</v>
      </c>
      <c r="SB4" s="4336" t="s">
        <v>33</v>
      </c>
      <c r="SC4" s="5357" t="s">
        <v>138</v>
      </c>
      <c r="SD4" s="4371" t="s">
        <v>5</v>
      </c>
      <c r="SE4" s="4332" t="s">
        <v>1032</v>
      </c>
      <c r="SF4" s="4332" t="s">
        <v>40</v>
      </c>
      <c r="SG4" s="4332" t="s">
        <v>353</v>
      </c>
      <c r="SH4" s="6359" t="s">
        <v>280</v>
      </c>
      <c r="SI4" s="6360" t="s">
        <v>296</v>
      </c>
      <c r="SJ4" s="4341" t="s">
        <v>355</v>
      </c>
      <c r="SK4" s="4341" t="s">
        <v>356</v>
      </c>
      <c r="SL4" s="4341" t="s">
        <v>34</v>
      </c>
      <c r="SM4" s="4336" t="s">
        <v>33</v>
      </c>
      <c r="SN4" s="5357" t="s">
        <v>138</v>
      </c>
      <c r="SO4" s="4332" t="s">
        <v>5</v>
      </c>
      <c r="SP4" s="4332" t="s">
        <v>1032</v>
      </c>
      <c r="SQ4" s="4332" t="s">
        <v>40</v>
      </c>
      <c r="SR4" s="4332" t="s">
        <v>353</v>
      </c>
      <c r="SS4" s="6359" t="s">
        <v>280</v>
      </c>
      <c r="ST4" s="6360" t="s">
        <v>296</v>
      </c>
      <c r="SU4" s="4341" t="s">
        <v>355</v>
      </c>
      <c r="SV4" s="4341" t="s">
        <v>356</v>
      </c>
      <c r="SW4" s="4341" t="s">
        <v>34</v>
      </c>
      <c r="SX4" s="4336" t="s">
        <v>33</v>
      </c>
      <c r="SY4" s="5357" t="s">
        <v>138</v>
      </c>
      <c r="SZ4" s="6267" t="s">
        <v>5</v>
      </c>
      <c r="TA4" s="4368" t="s">
        <v>40</v>
      </c>
      <c r="TB4" s="4368" t="s">
        <v>187</v>
      </c>
      <c r="TC4" s="6268" t="s">
        <v>9</v>
      </c>
      <c r="TD4" s="4371" t="s">
        <v>5</v>
      </c>
      <c r="TE4" s="4332" t="s">
        <v>1032</v>
      </c>
      <c r="TF4" s="4332" t="s">
        <v>52</v>
      </c>
      <c r="TG4" s="4332" t="s">
        <v>353</v>
      </c>
      <c r="TH4" s="4361" t="s">
        <v>280</v>
      </c>
      <c r="TI4" s="4334" t="s">
        <v>296</v>
      </c>
      <c r="TJ4" s="4361" t="s">
        <v>355</v>
      </c>
      <c r="TK4" s="4341" t="s">
        <v>356</v>
      </c>
      <c r="TL4" s="4341" t="s">
        <v>34</v>
      </c>
      <c r="TM4" s="4336" t="s">
        <v>33</v>
      </c>
      <c r="TN4" s="5357" t="s">
        <v>138</v>
      </c>
      <c r="TO4" s="4332" t="s">
        <v>5</v>
      </c>
      <c r="TP4" s="4332" t="s">
        <v>367</v>
      </c>
      <c r="TQ4" s="4332" t="s">
        <v>52</v>
      </c>
      <c r="TR4" s="4332" t="s">
        <v>353</v>
      </c>
      <c r="TS4" s="4361" t="s">
        <v>280</v>
      </c>
      <c r="TT4" s="4334" t="s">
        <v>296</v>
      </c>
      <c r="TU4" s="4361" t="s">
        <v>355</v>
      </c>
      <c r="TV4" s="4341" t="s">
        <v>356</v>
      </c>
      <c r="TW4" s="4341" t="s">
        <v>34</v>
      </c>
      <c r="TX4" s="4336" t="s">
        <v>33</v>
      </c>
      <c r="TY4" s="4341" t="s">
        <v>138</v>
      </c>
      <c r="TZ4" s="4371" t="s">
        <v>5</v>
      </c>
      <c r="UA4" s="4332" t="s">
        <v>367</v>
      </c>
      <c r="UB4" s="4332" t="s">
        <v>52</v>
      </c>
      <c r="UC4" s="4332" t="s">
        <v>353</v>
      </c>
      <c r="UD4" s="4361" t="s">
        <v>280</v>
      </c>
      <c r="UE4" s="4334" t="s">
        <v>296</v>
      </c>
      <c r="UF4" s="4361" t="s">
        <v>355</v>
      </c>
      <c r="UG4" s="4341" t="s">
        <v>356</v>
      </c>
      <c r="UH4" s="4341" t="s">
        <v>34</v>
      </c>
      <c r="UI4" s="4336" t="s">
        <v>33</v>
      </c>
      <c r="UJ4" s="5357" t="s">
        <v>138</v>
      </c>
      <c r="UK4" s="6417" t="s">
        <v>5</v>
      </c>
      <c r="UL4" s="4359" t="s">
        <v>52</v>
      </c>
      <c r="UM4" s="4359" t="s">
        <v>280</v>
      </c>
      <c r="UN4" s="4359" t="s">
        <v>9</v>
      </c>
      <c r="UO4" s="4359" t="s">
        <v>654</v>
      </c>
      <c r="UP4" s="6418" t="s">
        <v>9</v>
      </c>
    </row>
    <row r="5" spans="1:567" x14ac:dyDescent="0.3">
      <c r="A5" s="5315">
        <v>1</v>
      </c>
      <c r="B5" s="5358" t="s">
        <v>368</v>
      </c>
      <c r="C5" s="735" t="s">
        <v>442</v>
      </c>
      <c r="D5" s="735" t="s">
        <v>140</v>
      </c>
      <c r="E5" s="6279" t="s">
        <v>1035</v>
      </c>
      <c r="F5" s="1436">
        <v>129.66666666666666</v>
      </c>
      <c r="G5" s="350">
        <v>15701644</v>
      </c>
      <c r="H5" s="350">
        <v>16766142</v>
      </c>
      <c r="I5" s="350">
        <v>989545</v>
      </c>
      <c r="J5" s="351">
        <f t="shared" ref="J5:J11" si="0">I5/H5</f>
        <v>5.9020435351197671E-2</v>
      </c>
      <c r="K5" s="674">
        <v>172.66666666666666</v>
      </c>
      <c r="L5" s="350">
        <v>20392737</v>
      </c>
      <c r="M5" s="350">
        <v>21689583</v>
      </c>
      <c r="N5" s="350">
        <v>1169609</v>
      </c>
      <c r="O5" s="672"/>
      <c r="P5" s="674">
        <v>182.66666666666666</v>
      </c>
      <c r="Q5" s="350">
        <v>21862894</v>
      </c>
      <c r="R5" s="350">
        <v>23136190</v>
      </c>
      <c r="S5" s="350">
        <v>1187794</v>
      </c>
      <c r="T5" s="95"/>
      <c r="U5" s="673"/>
      <c r="V5" s="672"/>
      <c r="W5" s="672"/>
      <c r="X5" s="672"/>
      <c r="Y5" s="672"/>
      <c r="Z5" s="675"/>
      <c r="AA5" s="672"/>
      <c r="AB5" s="672"/>
      <c r="AC5" s="672"/>
      <c r="AD5" s="672"/>
      <c r="AE5" s="619">
        <f t="shared" ref="AE5:AE11" si="1">AC5-(AB5+AD5)</f>
        <v>0</v>
      </c>
      <c r="AF5" s="672"/>
      <c r="AG5" s="676">
        <v>201</v>
      </c>
      <c r="AH5" s="677">
        <v>6855753</v>
      </c>
      <c r="AI5" s="677">
        <v>7518168</v>
      </c>
      <c r="AJ5" s="677">
        <v>70171</v>
      </c>
      <c r="AK5" s="619">
        <f t="shared" ref="AK5:AK11" si="2">AI5-(AH5+AJ5)</f>
        <v>592244</v>
      </c>
      <c r="AL5" s="106">
        <f t="shared" ref="AL5:AL11" si="3">AK5/AI5</f>
        <v>7.8775042004913962E-2</v>
      </c>
      <c r="AM5" s="416">
        <v>150000</v>
      </c>
      <c r="AN5" s="140">
        <v>131298</v>
      </c>
      <c r="AO5" s="140"/>
      <c r="AP5" s="140">
        <v>49383.651724137926</v>
      </c>
      <c r="AQ5" s="140">
        <f t="shared" ref="AQ5:AQ11" si="4">AK5-AM5-AN5-AO5-AP5</f>
        <v>261562.34827586208</v>
      </c>
      <c r="AR5" s="126">
        <f t="shared" ref="AR5:AR11" si="5">AQ5/AK5</f>
        <v>0.44164626112862615</v>
      </c>
      <c r="AS5" s="1305">
        <v>201</v>
      </c>
      <c r="AT5" s="214">
        <v>20366627</v>
      </c>
      <c r="AU5" s="140">
        <v>21650836</v>
      </c>
      <c r="AV5" s="140">
        <v>1136482</v>
      </c>
      <c r="AW5" s="114">
        <f t="shared" ref="AW5:AW11" si="6">AV5/AU5</f>
        <v>5.249136800075526E-2</v>
      </c>
      <c r="AX5" s="1478">
        <v>201</v>
      </c>
      <c r="AY5" s="1479">
        <f t="shared" ref="AY5:BA11" si="7">AT5+Q5+L5+G5</f>
        <v>78323902</v>
      </c>
      <c r="AZ5" s="1479">
        <f t="shared" si="7"/>
        <v>83242751</v>
      </c>
      <c r="BA5" s="1479">
        <f t="shared" si="7"/>
        <v>4483430</v>
      </c>
      <c r="BB5" s="758">
        <f t="shared" ref="BB5:BB11" si="8">BA5/AZ5</f>
        <v>5.3859704852858598E-2</v>
      </c>
      <c r="BC5" s="636">
        <v>207</v>
      </c>
      <c r="BD5" s="619">
        <v>6588035</v>
      </c>
      <c r="BE5" s="619">
        <v>7203724</v>
      </c>
      <c r="BF5" s="619">
        <f>29891+2622</f>
        <v>32513</v>
      </c>
      <c r="BG5" s="619">
        <f t="shared" ref="BG5:BG11" si="9">BE5-(BD5+BF5)</f>
        <v>583176</v>
      </c>
      <c r="BH5" s="618"/>
      <c r="BI5" s="636">
        <v>208</v>
      </c>
      <c r="BJ5" s="619">
        <v>7061272</v>
      </c>
      <c r="BK5" s="619">
        <v>7678848</v>
      </c>
      <c r="BL5" s="619">
        <v>18427</v>
      </c>
      <c r="BM5" s="619">
        <f t="shared" ref="BM5:BM11" si="10">BK5-(BJ5+BL5)</f>
        <v>599149</v>
      </c>
      <c r="BN5" s="618"/>
      <c r="BO5" s="620">
        <v>199</v>
      </c>
      <c r="BP5" s="619">
        <v>7119303</v>
      </c>
      <c r="BQ5" s="619">
        <v>7582855</v>
      </c>
      <c r="BR5" s="619">
        <v>24011</v>
      </c>
      <c r="BS5" s="619">
        <f t="shared" ref="BS5:BS11" si="11">BQ5-(BP5+BR5)</f>
        <v>439541</v>
      </c>
      <c r="BT5" s="1480">
        <f t="shared" ref="BT5:BT11" si="12">BS5/BQ5</f>
        <v>5.7965106810033952E-2</v>
      </c>
      <c r="BU5" s="620">
        <v>199</v>
      </c>
      <c r="BV5" s="1481">
        <f t="shared" ref="BV5:BV11" si="13">BQ5+BK5+BE5</f>
        <v>22465427</v>
      </c>
      <c r="BW5" s="1481">
        <f t="shared" ref="BW5:BW11" si="14">BS5+BM5+BG5</f>
        <v>1621866</v>
      </c>
      <c r="BX5" s="236">
        <f t="shared" ref="BX5:BX11" si="15">BW5/BV5</f>
        <v>7.2193864821710266E-2</v>
      </c>
      <c r="BY5" s="1482">
        <v>191</v>
      </c>
      <c r="BZ5" s="1483">
        <v>6912602</v>
      </c>
      <c r="CA5" s="1483">
        <f>6752415+603000</f>
        <v>7355415</v>
      </c>
      <c r="CB5" s="1483">
        <v>51950</v>
      </c>
      <c r="CC5" s="1483">
        <f t="shared" ref="CC5:CC11" si="16">CA5-(BZ5+CB5)</f>
        <v>390863</v>
      </c>
      <c r="CD5" s="1484">
        <f t="shared" ref="CD5:CD11" si="17">CC5/CA5</f>
        <v>5.3139489750068485E-2</v>
      </c>
      <c r="CE5" s="1485">
        <v>266666</v>
      </c>
      <c r="CF5" s="1486">
        <v>235306</v>
      </c>
      <c r="CG5" s="1486">
        <v>0</v>
      </c>
      <c r="CH5" s="1486">
        <v>74304.057692307688</v>
      </c>
      <c r="CI5" s="1487">
        <f t="shared" ref="CI5:CI11" si="18">CC5-CE5-CF5-CG5-CH5</f>
        <v>-185413.05769230769</v>
      </c>
      <c r="CJ5" s="1484">
        <f t="shared" ref="CJ5:CJ11" si="19">CI5/CA5</f>
        <v>-2.5207694969258388E-2</v>
      </c>
      <c r="CK5" s="1488">
        <v>182</v>
      </c>
      <c r="CL5" s="1489">
        <f>6168602+7270</f>
        <v>6175872</v>
      </c>
      <c r="CM5" s="1489">
        <f>6288000+224000</f>
        <v>6512000</v>
      </c>
      <c r="CN5" s="1489">
        <v>116912</v>
      </c>
      <c r="CO5" s="211">
        <f t="shared" ref="CO5:CO11" si="20">CM5-(CL5+CN5)</f>
        <v>219216</v>
      </c>
      <c r="CP5" s="1490">
        <f t="shared" ref="CP5:CP11" si="21">CO5/CM5</f>
        <v>3.3663390663390663E-2</v>
      </c>
      <c r="CQ5" s="107">
        <v>100000</v>
      </c>
      <c r="CR5" s="107">
        <v>99658.273076923069</v>
      </c>
      <c r="CS5" s="107"/>
      <c r="CT5" s="107">
        <v>147101.18634615382</v>
      </c>
      <c r="CU5" s="107">
        <f t="shared" ref="CU5:CU11" si="22">CO5-CQ5-CR5-CS5-CT5</f>
        <v>-127543.45942307689</v>
      </c>
      <c r="CV5" s="108">
        <f t="shared" ref="CV5:CV11" si="23">CU5/CM5</f>
        <v>-1.9585912073568319E-2</v>
      </c>
      <c r="CW5" s="127">
        <v>171</v>
      </c>
      <c r="CX5" s="128">
        <v>6108025</v>
      </c>
      <c r="CY5" s="128">
        <v>6359669</v>
      </c>
      <c r="CZ5" s="140">
        <v>66753</v>
      </c>
      <c r="DA5" s="605">
        <f t="shared" ref="DA5:DA11" si="24">CY5-(CX5+CZ5)</f>
        <v>184891</v>
      </c>
      <c r="DB5" s="106">
        <f t="shared" ref="DB5:DB11" si="25">DA5/CY5</f>
        <v>2.9072424995703394E-2</v>
      </c>
      <c r="DC5" s="139">
        <f>220120+47000</f>
        <v>267120</v>
      </c>
      <c r="DD5" s="140">
        <v>133333</v>
      </c>
      <c r="DE5" s="140"/>
      <c r="DF5" s="140">
        <f>121185.013541667</f>
        <v>121185.01354166699</v>
      </c>
      <c r="DG5" s="128">
        <f t="shared" ref="DG5:DG11" si="26">DA5-DC5-DD5-DE5-DF5</f>
        <v>-336747.01354166702</v>
      </c>
      <c r="DH5" s="203">
        <f t="shared" ref="DH5:DH11" si="27">DG5/CY5</f>
        <v>-5.2950399390544856E-2</v>
      </c>
      <c r="DI5" s="204">
        <f t="shared" ref="DI5:DI11" si="28">(BY5+CK5+CW5)/3</f>
        <v>181.33333333333334</v>
      </c>
      <c r="DJ5" s="202">
        <f t="shared" ref="DJ5:DJ11" si="29">CA5+CM5+CY5</f>
        <v>20227084</v>
      </c>
      <c r="DK5" s="202">
        <f t="shared" ref="DK5:DK11" si="30">CC5+CO5+DA5</f>
        <v>794970</v>
      </c>
      <c r="DL5" s="119">
        <f t="shared" ref="DL5:DL11" si="31">DK5/DJ5</f>
        <v>3.9302254343730414E-2</v>
      </c>
      <c r="DM5" s="202">
        <f t="shared" ref="DM5:DM11" si="32">CI5+CU5+DG5</f>
        <v>-649703.5306570516</v>
      </c>
      <c r="DN5" s="119">
        <f t="shared" ref="DN5:DN11" si="33">DM5/DJ5</f>
        <v>-3.2120474244189207E-2</v>
      </c>
      <c r="DO5" s="686">
        <f t="shared" ref="DO5:DQ11" si="34">CW5-AG5</f>
        <v>-30</v>
      </c>
      <c r="DP5" s="146">
        <f t="shared" si="34"/>
        <v>-747728</v>
      </c>
      <c r="DQ5" s="146">
        <f t="shared" si="34"/>
        <v>-1158499</v>
      </c>
      <c r="DR5" s="146">
        <f t="shared" ref="DR5:DR11" si="35">DA5-AK5</f>
        <v>-407353</v>
      </c>
      <c r="DS5" s="758">
        <f t="shared" ref="DS5:DS11" si="36">DO5/AG5</f>
        <v>-0.14925373134328357</v>
      </c>
      <c r="DT5" s="758">
        <f t="shared" ref="DT5:DT11" si="37">DP5/AI5</f>
        <v>-9.9456144103191091E-2</v>
      </c>
      <c r="DU5" s="758">
        <f t="shared" ref="DU5:DU11" si="38">DQ5/AK5</f>
        <v>-1.9561177487657115</v>
      </c>
      <c r="DV5" s="150">
        <f t="shared" ref="DV5:DV11" si="39">DR5/AQ5</f>
        <v>-1.5573839380367422</v>
      </c>
      <c r="DW5" s="686">
        <f t="shared" ref="DW5:DW11" si="40">CW5-CK5</f>
        <v>-11</v>
      </c>
      <c r="DX5" s="1442">
        <f t="shared" ref="DX5:DX11" si="41">CY5-CM5</f>
        <v>-152331</v>
      </c>
      <c r="DY5" s="1442">
        <f t="shared" ref="DY5:DY11" si="42">DA5-CO5</f>
        <v>-34325</v>
      </c>
      <c r="DZ5" s="1442">
        <f t="shared" ref="DZ5:DZ11" si="43">DG5-CU5</f>
        <v>-209203.55411859014</v>
      </c>
      <c r="EA5" s="119">
        <f t="shared" ref="EA5:EA11" si="44">DW5/CK5</f>
        <v>-6.043956043956044E-2</v>
      </c>
      <c r="EB5" s="119">
        <f t="shared" ref="EB5:EB11" si="45">DX5/CM5</f>
        <v>-2.3392352579852581E-2</v>
      </c>
      <c r="EC5" s="119">
        <f t="shared" ref="EC5:EC11" si="46">DY5/CO5</f>
        <v>-0.15658072403474199</v>
      </c>
      <c r="ED5" s="150">
        <f>-DZ5/CU5</f>
        <v>-1.6402530954146144</v>
      </c>
      <c r="EE5" s="746">
        <v>159</v>
      </c>
      <c r="EF5" s="596">
        <v>5721952</v>
      </c>
      <c r="EG5" s="596">
        <v>5904348</v>
      </c>
      <c r="EH5" s="140">
        <v>26085</v>
      </c>
      <c r="EI5" s="605">
        <f t="shared" ref="EI5:EI11" si="47">EG5-(EF5+EH5)</f>
        <v>156311</v>
      </c>
      <c r="EJ5" s="106">
        <f t="shared" ref="EJ5:EJ11" si="48">EI5/EG5</f>
        <v>2.6473879927131665E-2</v>
      </c>
      <c r="EK5" s="139">
        <v>81000</v>
      </c>
      <c r="EL5" s="140">
        <v>0</v>
      </c>
      <c r="EM5" s="130">
        <v>0</v>
      </c>
      <c r="EN5" s="140">
        <v>0</v>
      </c>
      <c r="EO5" s="128">
        <f t="shared" ref="EO5:EO11" si="49">EI5-EK5-EL5-EM5-EN5</f>
        <v>75311</v>
      </c>
      <c r="EP5" s="106">
        <f t="shared" ref="EP5:EP11" si="50">EO5/EG5</f>
        <v>1.2755176354781256E-2</v>
      </c>
      <c r="EQ5" s="746">
        <v>147</v>
      </c>
      <c r="ER5" s="596">
        <v>5123072</v>
      </c>
      <c r="ES5" s="596">
        <v>5280994</v>
      </c>
      <c r="ET5" s="140">
        <v>35731</v>
      </c>
      <c r="EU5" s="200">
        <f t="shared" ref="EU5:EU11" si="51">ES5-(ER5+ET5)</f>
        <v>122191</v>
      </c>
      <c r="EV5" s="106">
        <f t="shared" ref="EV5:EV11" si="52">EU5/ES5</f>
        <v>2.3137878967482258E-2</v>
      </c>
      <c r="EW5" s="139">
        <v>0</v>
      </c>
      <c r="EX5" s="140">
        <v>0</v>
      </c>
      <c r="EY5" s="140">
        <v>0</v>
      </c>
      <c r="EZ5" s="140">
        <v>50000</v>
      </c>
      <c r="FA5" s="128">
        <f t="shared" ref="FA5:FA11" si="53">EU5-EW5-EX5-EY5-EZ5</f>
        <v>72191</v>
      </c>
      <c r="FB5" s="106">
        <f t="shared" ref="FB5:FB11" si="54">FA5/ES5</f>
        <v>1.3669964404428409E-2</v>
      </c>
      <c r="FC5" s="643">
        <f t="shared" ref="FC5:FC11" si="55">EQ5-AG5</f>
        <v>-54</v>
      </c>
      <c r="FD5" s="644">
        <f t="shared" ref="FD5:FD11" si="56">ES5-AI5</f>
        <v>-2237174</v>
      </c>
      <c r="FE5" s="644">
        <f t="shared" ref="FE5:FE11" si="57">EU5-AK5</f>
        <v>-470053</v>
      </c>
      <c r="FF5" s="644">
        <f t="shared" ref="FF5:FF11" si="58">FA5-AQ5</f>
        <v>-189371.34827586208</v>
      </c>
      <c r="FG5" s="74">
        <f t="shared" ref="FG5:FG11" si="59">FC5/AG5</f>
        <v>-0.26865671641791045</v>
      </c>
      <c r="FH5" s="74">
        <f t="shared" ref="FH5:FH11" si="60">FD5/AI5</f>
        <v>-0.29756903543522839</v>
      </c>
      <c r="FI5" s="74">
        <f t="shared" ref="FI5:FI11" si="61">FE5/AK5</f>
        <v>-0.79368132053680573</v>
      </c>
      <c r="FJ5" s="73">
        <f t="shared" ref="FJ5:FJ11" si="62">FF5/AQ5</f>
        <v>-0.72400079569609044</v>
      </c>
      <c r="FK5" s="199">
        <v>136</v>
      </c>
      <c r="FL5" s="200">
        <v>4885150</v>
      </c>
      <c r="FM5" s="200">
        <v>5020280</v>
      </c>
      <c r="FN5" s="200">
        <v>60471</v>
      </c>
      <c r="FO5" s="200">
        <f t="shared" ref="FO5:FO11" si="63">FM5-(FL5+FN5)</f>
        <v>74659</v>
      </c>
      <c r="FP5" s="758">
        <f t="shared" ref="FP5:FP11" si="64">FO5/FM5</f>
        <v>1.4871481271960927E-2</v>
      </c>
      <c r="FQ5" s="199"/>
      <c r="FR5" s="200">
        <v>50000</v>
      </c>
      <c r="FS5" s="200">
        <v>10164</v>
      </c>
      <c r="FT5" s="194">
        <f t="shared" ref="FT5:FT11" si="65">FO5-SUM(FQ5:FS5)</f>
        <v>14495</v>
      </c>
      <c r="FU5" s="195">
        <f t="shared" ref="FU5:FU11" si="66">FT5/FM5</f>
        <v>2.8872891551865632E-3</v>
      </c>
      <c r="FV5" s="188">
        <f t="shared" ref="FV5:FX11" si="67">FK5-AG5</f>
        <v>-65</v>
      </c>
      <c r="FW5" s="189">
        <f t="shared" si="67"/>
        <v>-1970603</v>
      </c>
      <c r="FX5" s="189">
        <f t="shared" si="67"/>
        <v>-2497888</v>
      </c>
      <c r="FY5" s="189">
        <f t="shared" ref="FY5:FY11" si="68">FO5-AK5</f>
        <v>-517585</v>
      </c>
      <c r="FZ5" s="189">
        <f t="shared" ref="FZ5:FZ11" si="69">FT5-AQ5</f>
        <v>-247067.34827586208</v>
      </c>
      <c r="GA5" s="119">
        <f t="shared" ref="GA5:GA11" si="70">FV5/AG5</f>
        <v>-0.32338308457711445</v>
      </c>
      <c r="GB5" s="119">
        <f t="shared" ref="GB5:GB11" si="71">FX5/AI5</f>
        <v>-0.33224689844653643</v>
      </c>
      <c r="GC5" s="119">
        <f t="shared" ref="GC5:GC11" si="72">FY5/AK5</f>
        <v>-0.87393878198850472</v>
      </c>
      <c r="GD5" s="150">
        <f t="shared" ref="GD5:GD11" si="73">FZ5/AQ5</f>
        <v>-0.9445830025019023</v>
      </c>
      <c r="GE5" s="187">
        <f t="shared" ref="GE5:GE11" si="74">(EE5+EQ5+FK5)/3</f>
        <v>147.33333333333334</v>
      </c>
      <c r="GF5" s="155">
        <f t="shared" ref="GF5:GF11" si="75">EG5+ES5+FM5</f>
        <v>16205622</v>
      </c>
      <c r="GG5" s="155">
        <f t="shared" ref="GG5:GG11" si="76">EI5+EU5+FO5</f>
        <v>353161</v>
      </c>
      <c r="GH5" s="74">
        <f t="shared" ref="GH5:GH11" si="77">GG5/GF5</f>
        <v>2.1792498924138797E-2</v>
      </c>
      <c r="GI5" s="613">
        <f t="shared" ref="GI5:GI11" si="78">EO5+FA5+FT5</f>
        <v>161997</v>
      </c>
      <c r="GJ5" s="187">
        <f t="shared" ref="GJ5:GL11" si="79">GE5-DI5</f>
        <v>-34</v>
      </c>
      <c r="GK5" s="155">
        <f t="shared" si="79"/>
        <v>-4021462</v>
      </c>
      <c r="GL5" s="155">
        <f t="shared" si="79"/>
        <v>-441809</v>
      </c>
      <c r="GM5" s="613">
        <f t="shared" ref="GM5:GM11" si="80">GI5-DM5</f>
        <v>811700.5306570516</v>
      </c>
      <c r="GN5" s="199">
        <v>125</v>
      </c>
      <c r="GO5" s="200">
        <v>4627103</v>
      </c>
      <c r="GP5" s="200">
        <v>4798094</v>
      </c>
      <c r="GQ5" s="134">
        <v>33746</v>
      </c>
      <c r="GR5" s="200">
        <f t="shared" ref="GR5:GR11" si="81">GP5-(GO5+GQ5)</f>
        <v>137245</v>
      </c>
      <c r="GS5" s="758">
        <f t="shared" ref="GS5:GS11" si="82">GR5/GP5</f>
        <v>2.8604066531418518E-2</v>
      </c>
      <c r="GT5" s="199">
        <v>50340</v>
      </c>
      <c r="GU5" s="200">
        <v>50000</v>
      </c>
      <c r="GV5" s="134">
        <v>0</v>
      </c>
      <c r="GW5" s="200">
        <v>0</v>
      </c>
      <c r="GX5" s="756">
        <f t="shared" ref="GX5:GX11" si="83">GR5-SUM(GT5:GW5)</f>
        <v>36905</v>
      </c>
      <c r="GY5" s="151">
        <f t="shared" ref="GY5:GY11" si="84">GX5/GP5</f>
        <v>7.691595871193853E-3</v>
      </c>
      <c r="GZ5" s="1491">
        <v>115</v>
      </c>
      <c r="HA5" s="140">
        <v>4399762</v>
      </c>
      <c r="HB5" s="140">
        <v>4744706</v>
      </c>
      <c r="HC5" s="140">
        <v>29559</v>
      </c>
      <c r="HD5" s="200">
        <f t="shared" ref="HD5:HD11" si="85">HB5-(HA5+HC5)</f>
        <v>315385</v>
      </c>
      <c r="HE5" s="195">
        <f t="shared" ref="HE5:HE11" si="86">HD5/HB5</f>
        <v>6.6470925701192021E-2</v>
      </c>
      <c r="HF5" s="757">
        <v>69094</v>
      </c>
      <c r="HG5" s="140">
        <v>186946</v>
      </c>
      <c r="HH5" s="140"/>
      <c r="HI5" s="140">
        <v>100000</v>
      </c>
      <c r="HJ5" s="197">
        <f t="shared" ref="HJ5:HJ11" si="87">HD5-SUM(HF5:HI5)</f>
        <v>-40655</v>
      </c>
      <c r="HK5" s="201">
        <f t="shared" ref="HK5:HK11" si="88">HJ5/HB5</f>
        <v>-8.5684971840194104E-3</v>
      </c>
      <c r="HL5" s="1492">
        <v>110</v>
      </c>
      <c r="HM5" s="200">
        <v>4257758</v>
      </c>
      <c r="HN5" s="200">
        <v>4309112</v>
      </c>
      <c r="HO5" s="200">
        <v>19846</v>
      </c>
      <c r="HP5" s="1444">
        <f t="shared" ref="HP5:HP11" si="89">HN5-(HM5+HO5)</f>
        <v>31508</v>
      </c>
      <c r="HQ5" s="201">
        <f t="shared" ref="HQ5:HQ11" si="90">HP5/HN5</f>
        <v>7.3119473339286608E-3</v>
      </c>
      <c r="HR5" s="199">
        <v>74225</v>
      </c>
      <c r="HS5" s="200">
        <v>558495.74</v>
      </c>
      <c r="HT5" s="200"/>
      <c r="HU5" s="200">
        <v>0</v>
      </c>
      <c r="HV5" s="194">
        <f t="shared" ref="HV5:HV11" si="91">HP5-SUM(HR5:HU5)</f>
        <v>-601212.74</v>
      </c>
      <c r="HW5" s="195">
        <f t="shared" ref="HW5:HW11" si="92">HV5/HN5</f>
        <v>-0.13952126099298418</v>
      </c>
      <c r="HX5" s="1445">
        <v>110</v>
      </c>
      <c r="HY5" s="202">
        <f t="shared" ref="HY5:HY11" si="93">HN5+HB5+GP5</f>
        <v>13851912</v>
      </c>
      <c r="HZ5" s="1446">
        <f t="shared" ref="HZ5:HZ11" si="94">HP5+HD5+GR5</f>
        <v>484138</v>
      </c>
      <c r="IA5" s="119"/>
      <c r="IB5" s="1446">
        <f t="shared" ref="IB5:IB11" si="95">HV5+HJ5+GX5</f>
        <v>-604962.74</v>
      </c>
      <c r="IC5" s="141"/>
      <c r="ID5" s="642">
        <v>110</v>
      </c>
      <c r="IE5" s="141">
        <f t="shared" ref="IE5:IF11" si="96">HY5+GF5+DJ5+BV5</f>
        <v>72750045</v>
      </c>
      <c r="IF5" s="141">
        <f t="shared" si="96"/>
        <v>3254135</v>
      </c>
      <c r="IG5" s="74">
        <f t="shared" ref="IG5:IG11" si="97">IF5/IE5</f>
        <v>4.4730350338614909E-2</v>
      </c>
      <c r="IH5" s="1507"/>
      <c r="II5" s="69"/>
      <c r="IJ5" s="199">
        <v>103</v>
      </c>
      <c r="IK5" s="200">
        <v>4010044</v>
      </c>
      <c r="IL5" s="200">
        <v>4224544</v>
      </c>
      <c r="IM5" s="200">
        <f>14900+62006</f>
        <v>76906</v>
      </c>
      <c r="IN5" s="199">
        <f>IL5-(IK5+IM5)</f>
        <v>137594</v>
      </c>
      <c r="IO5" s="195">
        <f t="shared" ref="IO5:IO11" si="98">IN5/IL5</f>
        <v>3.2570142481650091E-2</v>
      </c>
      <c r="IP5" s="199">
        <v>0</v>
      </c>
      <c r="IQ5" s="200">
        <v>91653</v>
      </c>
      <c r="IR5" s="200">
        <v>100000</v>
      </c>
      <c r="IS5" s="756">
        <f t="shared" ref="IS5:IS11" si="99">IN5-SUM(IP5:IR5)</f>
        <v>-54059</v>
      </c>
      <c r="IT5" s="195">
        <f t="shared" ref="IT5:IT11" si="100">IS5/IL5</f>
        <v>-1.2796410689532408E-2</v>
      </c>
      <c r="IU5" s="1477">
        <v>97</v>
      </c>
      <c r="IV5" s="200">
        <v>3691129</v>
      </c>
      <c r="IW5" s="200">
        <v>3795457</v>
      </c>
      <c r="IX5" s="134">
        <v>28462</v>
      </c>
      <c r="IY5" s="133">
        <f t="shared" ref="IY5:IY11" si="101">IW5-(IV5+IX5)</f>
        <v>75866</v>
      </c>
      <c r="IZ5" s="195">
        <f t="shared" ref="IZ5:IZ11" si="102">IY5/IW5</f>
        <v>1.9988633779805698E-2</v>
      </c>
      <c r="JA5" s="133">
        <f>25000+2833</f>
        <v>27833</v>
      </c>
      <c r="JB5" s="134">
        <v>0</v>
      </c>
      <c r="JC5" s="200">
        <v>50000</v>
      </c>
      <c r="JD5" s="190">
        <f t="shared" ref="JD5:JD11" si="103">IY5-SUM(JA5:JC5)</f>
        <v>-1967</v>
      </c>
      <c r="JE5" s="195">
        <f t="shared" ref="JE5:JE11" si="104">JD5/IW5</f>
        <v>-5.1825116184954804E-4</v>
      </c>
      <c r="JF5" s="1477">
        <v>93</v>
      </c>
      <c r="JG5" s="200">
        <v>3104837</v>
      </c>
      <c r="JH5" s="200">
        <v>3180000</v>
      </c>
      <c r="JI5" s="200">
        <v>15842</v>
      </c>
      <c r="JJ5" s="133">
        <f t="shared" ref="JJ5:JJ11" si="105">JH5-(JG5+JI5)</f>
        <v>59321</v>
      </c>
      <c r="JK5" s="195">
        <f t="shared" ref="JK5:JK11" si="106">JJ5/JH5</f>
        <v>1.865440251572327E-2</v>
      </c>
      <c r="JL5" s="133">
        <v>65027</v>
      </c>
      <c r="JM5" s="134"/>
      <c r="JN5" s="200">
        <v>200000</v>
      </c>
      <c r="JO5" s="190">
        <f t="shared" ref="JO5:JO11" si="107">JJ5-SUM(JL5:JN5)</f>
        <v>-205706</v>
      </c>
      <c r="JP5" s="195">
        <f t="shared" ref="JP5:JP11" si="108">JO5/JH5</f>
        <v>-6.4687421383647803E-2</v>
      </c>
      <c r="JQ5" s="1477">
        <v>93</v>
      </c>
      <c r="JR5" s="194">
        <f t="shared" ref="JR5:JR11" si="109">JH5+IW5+IL5</f>
        <v>11200001</v>
      </c>
      <c r="JS5" s="194">
        <f t="shared" ref="JS5:JS11" si="110">JJ5+IY5+IN5</f>
        <v>272781</v>
      </c>
      <c r="JT5" s="195">
        <f t="shared" ref="JT5:JT11" si="111">JS5/JR5</f>
        <v>2.4355444253978193E-2</v>
      </c>
      <c r="JU5" s="1477">
        <v>85</v>
      </c>
      <c r="JV5" s="200">
        <v>2834261</v>
      </c>
      <c r="JW5" s="200">
        <v>2920917</v>
      </c>
      <c r="JX5" s="200">
        <v>11483</v>
      </c>
      <c r="JY5" s="133">
        <f t="shared" ref="JY5:JY11" si="112">JW5-(JV5+JX5)</f>
        <v>75173</v>
      </c>
      <c r="JZ5" s="195">
        <f t="shared" ref="JZ5:JZ11" si="113">JY5/JW5</f>
        <v>2.5736095890434407E-2</v>
      </c>
      <c r="KA5" s="133">
        <v>0</v>
      </c>
      <c r="KB5" s="134">
        <v>50000</v>
      </c>
      <c r="KC5" s="200">
        <v>0</v>
      </c>
      <c r="KD5" s="190">
        <f t="shared" ref="KD5:KD11" si="114">JY5-SUM(KA5:KC5)</f>
        <v>25173</v>
      </c>
      <c r="KE5" s="195">
        <f t="shared" ref="KE5:KE11" si="115">KD5/JW5</f>
        <v>8.618183947027595E-3</v>
      </c>
      <c r="KF5" s="1477">
        <v>86</v>
      </c>
      <c r="KG5" s="200">
        <v>2858133</v>
      </c>
      <c r="KH5" s="200">
        <v>2944186</v>
      </c>
      <c r="KI5" s="200">
        <v>27794</v>
      </c>
      <c r="KJ5" s="133">
        <f t="shared" ref="KJ5:KJ11" si="116">KH5-(KG5+KI5)</f>
        <v>58259</v>
      </c>
      <c r="KK5" s="195">
        <f t="shared" ref="KK5:KK11" si="117">KJ5/KH5</f>
        <v>1.9787812318922786E-2</v>
      </c>
      <c r="KL5" s="133"/>
      <c r="KM5" s="134">
        <v>0</v>
      </c>
      <c r="KN5" s="200">
        <v>43933</v>
      </c>
      <c r="KO5" s="190">
        <f t="shared" ref="KO5:KO11" si="118">KJ5-SUM(KL5:KN5)</f>
        <v>14326</v>
      </c>
      <c r="KP5" s="195">
        <f t="shared" ref="KP5:KP11" si="119">KO5/KH5</f>
        <v>4.865861056332718E-3</v>
      </c>
      <c r="KQ5" s="1477">
        <v>79</v>
      </c>
      <c r="KR5" s="200">
        <v>2729347</v>
      </c>
      <c r="KS5" s="200">
        <v>2882489</v>
      </c>
      <c r="KT5" s="200">
        <v>12511</v>
      </c>
      <c r="KU5" s="133">
        <f t="shared" ref="KU5:KU11" si="120">KS5-(KR5+KT5)</f>
        <v>140631</v>
      </c>
      <c r="KV5" s="195">
        <f t="shared" ref="KV5:KV11" si="121">KU5/KS5</f>
        <v>4.8788043943966485E-2</v>
      </c>
      <c r="KW5" s="133"/>
      <c r="KX5" s="134">
        <v>50000</v>
      </c>
      <c r="KY5" s="200">
        <v>50000</v>
      </c>
      <c r="KZ5" s="190">
        <f t="shared" ref="KZ5:KZ11" si="122">KU5-SUM(KW5:KY5)</f>
        <v>40631</v>
      </c>
      <c r="LA5" s="195">
        <f t="shared" ref="LA5:LA11" si="123">KZ5/KS5</f>
        <v>1.4095804008272018E-2</v>
      </c>
      <c r="LB5" s="1476">
        <v>79</v>
      </c>
      <c r="LC5" s="194">
        <f t="shared" ref="LC5:LC11" si="124">KS5+KH5+JW5</f>
        <v>8747592</v>
      </c>
      <c r="LD5" s="194">
        <f t="shared" ref="LD5:LD11" si="125">KU5+KJ5+JY5</f>
        <v>274063</v>
      </c>
      <c r="LE5" s="195">
        <f t="shared" ref="LE5:LE11" si="126">LD5/LC5</f>
        <v>3.1330107759941252E-2</v>
      </c>
      <c r="LF5" s="226">
        <f t="shared" ref="LF5:LH11" si="127">LB5-JQ5</f>
        <v>-14</v>
      </c>
      <c r="LG5" s="140">
        <f t="shared" si="127"/>
        <v>-2452409</v>
      </c>
      <c r="LH5" s="139">
        <f t="shared" si="127"/>
        <v>1282</v>
      </c>
      <c r="LI5" s="442">
        <f t="shared" ref="LI5:LK11" si="128">LF5/JQ5</f>
        <v>-0.15053763440860216</v>
      </c>
      <c r="LJ5" s="442">
        <f t="shared" si="128"/>
        <v>-0.21896506973526164</v>
      </c>
      <c r="LK5" s="106">
        <f t="shared" si="128"/>
        <v>4.6997408177255747E-3</v>
      </c>
      <c r="LL5" s="1477">
        <v>73</v>
      </c>
      <c r="LM5" s="200">
        <v>2445074</v>
      </c>
      <c r="LN5" s="200">
        <v>2643744</v>
      </c>
      <c r="LO5" s="200">
        <v>15236</v>
      </c>
      <c r="LP5" s="133">
        <f t="shared" ref="LP5:LP11" si="129">LN5-(LM5+LO5)</f>
        <v>183434</v>
      </c>
      <c r="LQ5" s="195">
        <f t="shared" ref="LQ5:LQ11" si="130">LP5/LN5</f>
        <v>6.9384176380163892E-2</v>
      </c>
      <c r="LR5" s="133">
        <v>89705</v>
      </c>
      <c r="LS5" s="134">
        <v>100000</v>
      </c>
      <c r="LT5" s="200">
        <v>50000</v>
      </c>
      <c r="LU5" s="190">
        <f t="shared" ref="LU5:LU11" si="131">LP5-SUM(LR5:LT5)</f>
        <v>-56271</v>
      </c>
      <c r="LV5" s="195">
        <f t="shared" ref="LV5:LV11" si="132">LU5/LN5</f>
        <v>-2.1284587312538582E-2</v>
      </c>
      <c r="LW5" s="118">
        <v>70</v>
      </c>
      <c r="LX5" s="118">
        <v>2306622</v>
      </c>
      <c r="LY5" s="118">
        <v>2415078</v>
      </c>
      <c r="LZ5" s="118">
        <v>25945</v>
      </c>
      <c r="MA5" s="133">
        <f t="shared" ref="MA5:MA11" si="133">LY5-(LX5+LZ5)</f>
        <v>82511</v>
      </c>
      <c r="MB5" s="195">
        <f t="shared" ref="MB5:MB11" si="134">MA5/LY5</f>
        <v>3.4164942084686289E-2</v>
      </c>
      <c r="MC5" s="118"/>
      <c r="MD5" s="118">
        <v>25000</v>
      </c>
      <c r="ME5" s="118">
        <v>50000</v>
      </c>
      <c r="MF5" s="190">
        <f t="shared" ref="MF5:MF11" si="135">MA5-SUM(MC5:ME5)</f>
        <v>7511</v>
      </c>
      <c r="MG5" s="195">
        <f t="shared" ref="MG5:MG11" si="136">MF5/LY5</f>
        <v>3.1100444788946776E-3</v>
      </c>
      <c r="MH5" s="118">
        <v>63</v>
      </c>
      <c r="MI5" s="118">
        <v>2135179</v>
      </c>
      <c r="MJ5" s="118">
        <v>2297129</v>
      </c>
      <c r="MK5" s="118">
        <v>11511</v>
      </c>
      <c r="ML5" s="133">
        <f t="shared" ref="ML5:ML11" si="137">MJ5-(MI5+MK5)</f>
        <v>150439</v>
      </c>
      <c r="MM5" s="195">
        <f t="shared" ref="MM5:MM11" si="138">ML5/MJ5</f>
        <v>6.5490009485753745E-2</v>
      </c>
      <c r="MN5" s="118">
        <v>90000</v>
      </c>
      <c r="MO5" s="118">
        <v>0</v>
      </c>
      <c r="MP5" s="118">
        <v>50000</v>
      </c>
      <c r="MQ5" s="190">
        <f t="shared" ref="MQ5:MQ11" si="139">ML5-SUM(MN5:MP5)</f>
        <v>10439</v>
      </c>
      <c r="MR5" s="195">
        <f t="shared" ref="MR5:MR11" si="140">MQ5/MJ5</f>
        <v>4.5443682091863367E-3</v>
      </c>
      <c r="MS5" s="1471">
        <v>63</v>
      </c>
      <c r="MT5" s="118">
        <f t="shared" ref="MT5:MT11" si="141">MJ5+LY5+LN5</f>
        <v>7355951</v>
      </c>
      <c r="MU5" s="118">
        <f t="shared" ref="MU5:MU11" si="142">ML5+MA5+LP5</f>
        <v>416384</v>
      </c>
      <c r="MV5" s="119">
        <f t="shared" ref="MV5:MV11" si="143">MU5/MT5</f>
        <v>5.6605053513814868E-2</v>
      </c>
      <c r="MW5" s="133">
        <f t="shared" ref="MW5:MY11" si="144">MS5-LB5</f>
        <v>-16</v>
      </c>
      <c r="MX5" s="134">
        <f t="shared" si="144"/>
        <v>-1391641</v>
      </c>
      <c r="MY5" s="134">
        <f t="shared" si="144"/>
        <v>142321</v>
      </c>
      <c r="MZ5" s="135">
        <f t="shared" ref="MZ5:NB11" si="145">MW5/LB5</f>
        <v>-0.20253164556962025</v>
      </c>
      <c r="NA5" s="135">
        <f t="shared" si="145"/>
        <v>-0.15908846686036568</v>
      </c>
      <c r="NB5" s="151">
        <f t="shared" si="145"/>
        <v>0.51930030686375028</v>
      </c>
      <c r="NC5" s="118">
        <v>61</v>
      </c>
      <c r="ND5" s="118">
        <v>2123804</v>
      </c>
      <c r="NE5" s="118">
        <v>2217919</v>
      </c>
      <c r="NF5" s="118">
        <v>3333</v>
      </c>
      <c r="NG5" s="133">
        <f t="shared" ref="NG5:NG11" si="146">NE5-(ND5+NF5)</f>
        <v>90782</v>
      </c>
      <c r="NH5" s="195">
        <f t="shared" ref="NH5:NH11" si="147">NG5/NE5</f>
        <v>4.0931161147003112E-2</v>
      </c>
      <c r="NI5" s="118"/>
      <c r="NJ5" s="118">
        <v>0</v>
      </c>
      <c r="NK5" s="118">
        <v>50000</v>
      </c>
      <c r="NL5" s="190">
        <f t="shared" ref="NL5:NL11" si="148">NG5-SUM(NI5:NK5)</f>
        <v>40782</v>
      </c>
      <c r="NM5" s="758">
        <f t="shared" ref="NM5:NM11" si="149">NL5/NE5</f>
        <v>1.8387506486936628E-2</v>
      </c>
      <c r="NN5" s="1562">
        <v>57</v>
      </c>
      <c r="NO5" s="118">
        <v>1960948</v>
      </c>
      <c r="NP5" s="118">
        <v>2089110</v>
      </c>
      <c r="NQ5" s="118">
        <v>9947</v>
      </c>
      <c r="NR5" s="133">
        <f t="shared" ref="NR5:NR11" si="150">NP5-(NO5+NQ5)</f>
        <v>118215</v>
      </c>
      <c r="NS5" s="195">
        <f t="shared" ref="NS5:NS11" si="151">NR5/NP5</f>
        <v>5.6586297514252482E-2</v>
      </c>
      <c r="NT5" s="118">
        <v>0</v>
      </c>
      <c r="NU5" s="118">
        <v>50000</v>
      </c>
      <c r="NV5" s="118">
        <v>50000</v>
      </c>
      <c r="NW5" s="190">
        <f t="shared" ref="NW5:NW11" si="152">NR5-SUM(NT5:NV5)</f>
        <v>18215</v>
      </c>
      <c r="NX5" s="758">
        <f t="shared" ref="NX5:NX11" si="153">NW5/NP5</f>
        <v>8.7190238905562652E-3</v>
      </c>
      <c r="NY5" s="1562">
        <v>55</v>
      </c>
      <c r="NZ5" s="118">
        <v>1880309</v>
      </c>
      <c r="OA5" s="118">
        <v>1938455</v>
      </c>
      <c r="OB5" s="118">
        <v>3976</v>
      </c>
      <c r="OC5" s="133">
        <f t="shared" ref="OC5:OC11" si="154">OA5-(NZ5+OB5)</f>
        <v>54170</v>
      </c>
      <c r="OD5" s="195">
        <f t="shared" ref="OD5:OD11" si="155">OC5/OA5</f>
        <v>2.794493552855238E-2</v>
      </c>
      <c r="OE5" s="118">
        <v>0</v>
      </c>
      <c r="OF5" s="118">
        <v>50000</v>
      </c>
      <c r="OG5" s="118">
        <v>50000</v>
      </c>
      <c r="OH5" s="190">
        <f t="shared" ref="OH5:OH11" si="156">OC5-SUM(OE5:OG5)</f>
        <v>-45830</v>
      </c>
      <c r="OI5" s="5378">
        <f t="shared" ref="OI5:OI11" si="157">OH5/OA5</f>
        <v>-2.3642540064123231E-2</v>
      </c>
      <c r="OJ5" s="69">
        <v>55</v>
      </c>
      <c r="OK5" s="155">
        <f t="shared" ref="OK5:OK11" si="158">OA5+NP5+NE5+MJ5+LY5+LN5+KS5+KH5+JW5+JG5+IW5+IL5</f>
        <v>33473865</v>
      </c>
      <c r="OL5" s="155">
        <f t="shared" ref="OL5:OL11" si="159">OC5+NR5+NG5+ML5+MA5+LP5+KU5+KJ5+JY5+JI5+IY5+IN5</f>
        <v>1182916</v>
      </c>
      <c r="OM5" s="74">
        <f t="shared" ref="OM5:OM11" si="160">OL5/OK5</f>
        <v>3.5338494673381758E-2</v>
      </c>
      <c r="ON5" s="155">
        <f t="shared" ref="ON5:ON11" si="161">OH5+NW5+NL5+MQ5+MF5+LU5+KZ5+KO5+KD5+JN5+JD5+IS5</f>
        <v>198950</v>
      </c>
      <c r="OO5" s="70"/>
      <c r="OP5" s="69"/>
      <c r="OQ5" s="6290">
        <v>49</v>
      </c>
      <c r="OR5" s="200">
        <v>1701241</v>
      </c>
      <c r="OS5" s="200">
        <v>1733098</v>
      </c>
      <c r="OT5" s="200">
        <v>14772</v>
      </c>
      <c r="OU5" s="199">
        <f t="shared" ref="OU5:OU11" si="162">OS5-(OR5+OT5)</f>
        <v>17085</v>
      </c>
      <c r="OV5" s="4270">
        <f>OU5/OS5</f>
        <v>9.8580691917017956E-3</v>
      </c>
      <c r="OW5" s="199">
        <v>34000</v>
      </c>
      <c r="OX5" s="200">
        <f>50000+111111</f>
        <v>161111</v>
      </c>
      <c r="OY5" s="200">
        <v>100000</v>
      </c>
      <c r="OZ5" s="756">
        <f t="shared" ref="OZ5:OZ11" si="163">OU5-SUM(OW5:OY5)</f>
        <v>-278026</v>
      </c>
      <c r="PA5" s="5359">
        <f>OZ5/OS5</f>
        <v>-0.16042139567410499</v>
      </c>
      <c r="PB5" s="5319">
        <v>44</v>
      </c>
      <c r="PC5" s="200">
        <v>1609925</v>
      </c>
      <c r="PD5" s="200">
        <v>1694735</v>
      </c>
      <c r="PE5" s="134">
        <v>27339</v>
      </c>
      <c r="PF5" s="133">
        <f t="shared" ref="PF5:PF11" si="164">PD5-(PC5+PE5)</f>
        <v>57471</v>
      </c>
      <c r="PG5" s="4270">
        <f>PF5/PD5</f>
        <v>3.391149648765146E-2</v>
      </c>
      <c r="PH5" s="133">
        <v>0</v>
      </c>
      <c r="PI5" s="134">
        <v>0</v>
      </c>
      <c r="PJ5" s="200">
        <v>50000</v>
      </c>
      <c r="PK5" s="190">
        <f t="shared" ref="PK5:PK11" si="165">PF5-SUM(PH5:PJ5)</f>
        <v>7471</v>
      </c>
      <c r="PL5" s="758">
        <f>PK5/PD5</f>
        <v>4.4083588289614605E-3</v>
      </c>
      <c r="PM5" s="5377">
        <v>44</v>
      </c>
      <c r="PN5" s="200">
        <v>1596986</v>
      </c>
      <c r="PO5" s="200">
        <v>1668323</v>
      </c>
      <c r="PP5" s="200">
        <v>29010</v>
      </c>
      <c r="PQ5" s="6293">
        <f t="shared" ref="PQ5:PQ11" si="166">PO5-(PN5+PP5)</f>
        <v>42327</v>
      </c>
      <c r="PR5" s="6294">
        <f>PQ5/PO5</f>
        <v>2.5370986313801344E-2</v>
      </c>
      <c r="PS5" s="134">
        <v>0</v>
      </c>
      <c r="PT5" s="134">
        <v>0</v>
      </c>
      <c r="PU5" s="200">
        <v>30000</v>
      </c>
      <c r="PV5" s="190">
        <f t="shared" ref="PV5:PV11" si="167">PQ5-SUM(PS5:PU5)</f>
        <v>12327</v>
      </c>
      <c r="PW5" s="5378">
        <f>PV5/PO5</f>
        <v>7.3888569539591557E-3</v>
      </c>
      <c r="PX5" s="5319">
        <v>44</v>
      </c>
      <c r="PY5" s="194">
        <f t="shared" ref="PY5:PY11" si="168">PO5+PD5+OS5</f>
        <v>5096156</v>
      </c>
      <c r="PZ5" s="194">
        <f t="shared" ref="PZ5:PZ11" si="169">PQ5+PF5+OU5</f>
        <v>116883</v>
      </c>
      <c r="QA5" s="758">
        <f>PZ5/PY5</f>
        <v>2.2935522381967898E-2</v>
      </c>
      <c r="QB5" s="5377">
        <v>35</v>
      </c>
      <c r="QC5" s="200">
        <v>1290240</v>
      </c>
      <c r="QD5" s="200">
        <v>1345241</v>
      </c>
      <c r="QE5" s="200">
        <v>69589</v>
      </c>
      <c r="QF5" s="6293">
        <f t="shared" ref="QF5:QF11" si="170">QD5-(QC5+QE5)</f>
        <v>-14588</v>
      </c>
      <c r="QG5" s="6294">
        <f t="shared" ref="QG5:QG11" si="171">QF5/QD5</f>
        <v>-1.0844153575455996E-2</v>
      </c>
      <c r="QH5" s="134">
        <v>0</v>
      </c>
      <c r="QI5" s="134"/>
      <c r="QJ5" s="200">
        <v>0</v>
      </c>
      <c r="QK5" s="190">
        <f t="shared" ref="QK5:QK11" si="172">QF5-SUM(QH5:QJ5)</f>
        <v>-14588</v>
      </c>
      <c r="QL5" s="5378">
        <f t="shared" ref="QL5:QL11" si="173">QK5/QD5</f>
        <v>-1.0844153575455996E-2</v>
      </c>
      <c r="QM5" s="5377">
        <v>28</v>
      </c>
      <c r="QN5" s="200">
        <v>961715</v>
      </c>
      <c r="QO5" s="200">
        <v>1203728</v>
      </c>
      <c r="QP5" s="200">
        <v>143023</v>
      </c>
      <c r="QQ5" s="133">
        <f t="shared" ref="QQ5:QQ11" si="174">QO5-(QN5+QP5)</f>
        <v>98990</v>
      </c>
      <c r="QR5" s="195">
        <f t="shared" ref="QR5:QR11" si="175">QQ5/QO5</f>
        <v>8.2236186248056037E-2</v>
      </c>
      <c r="QS5" s="133">
        <v>47808</v>
      </c>
      <c r="QT5" s="134">
        <v>0</v>
      </c>
      <c r="QU5" s="200">
        <v>0</v>
      </c>
      <c r="QV5" s="190">
        <f t="shared" ref="QV5:QV11" si="176">QQ5-SUM(QS5:QU5)</f>
        <v>51182</v>
      </c>
      <c r="QW5" s="5378">
        <f t="shared" ref="QW5:QW11" si="177">QV5/QO5</f>
        <v>4.2519572528012972E-2</v>
      </c>
      <c r="QX5" s="5377">
        <v>36</v>
      </c>
      <c r="QY5" s="2532">
        <v>1130849</v>
      </c>
      <c r="QZ5" s="2532">
        <v>1259827</v>
      </c>
      <c r="RA5" s="200">
        <v>19482</v>
      </c>
      <c r="RB5" s="133">
        <f t="shared" ref="RB5:RB11" si="178">QZ5-(QY5+RA5)</f>
        <v>109496</v>
      </c>
      <c r="RC5" s="195">
        <f t="shared" ref="RC5:RC11" si="179">RB5/QZ5</f>
        <v>8.6913520665932706E-2</v>
      </c>
      <c r="RD5" s="133">
        <v>47808</v>
      </c>
      <c r="RE5" s="134">
        <v>0</v>
      </c>
      <c r="RF5" s="200">
        <v>0</v>
      </c>
      <c r="RG5" s="190">
        <f t="shared" ref="RG5:RG11" si="180">RB5-SUM(RD5:RF5)</f>
        <v>61688</v>
      </c>
      <c r="RH5" s="5378">
        <f t="shared" ref="RH5:RH11" si="181">RG5/QZ5</f>
        <v>4.8965453193176522E-2</v>
      </c>
      <c r="RI5" s="6317"/>
      <c r="RJ5" s="194">
        <f t="shared" ref="RJ5:RJ11" si="182">QZ5+QO5+QD5</f>
        <v>3808796</v>
      </c>
      <c r="RK5" s="194">
        <f t="shared" ref="RK5:RK10" si="183">RB5+QQ5+QF5</f>
        <v>193898</v>
      </c>
      <c r="RL5" s="5378">
        <f t="shared" ref="RL5:RL11" si="184">RK5/RJ5</f>
        <v>5.0907950964031681E-2</v>
      </c>
      <c r="RM5" s="1562">
        <f t="shared" ref="RM5:RO11" si="185">RI5-PX5</f>
        <v>-44</v>
      </c>
      <c r="RN5" s="140">
        <f t="shared" si="185"/>
        <v>-1287360</v>
      </c>
      <c r="RO5" s="139">
        <f t="shared" si="185"/>
        <v>77015</v>
      </c>
      <c r="RP5" s="442">
        <f t="shared" ref="RP5:RR11" si="186">RM5/PX5</f>
        <v>-1</v>
      </c>
      <c r="RQ5" s="442">
        <f t="shared" si="186"/>
        <v>-0.25261393097071599</v>
      </c>
      <c r="RR5" s="6339">
        <f t="shared" si="186"/>
        <v>0.65890677001788112</v>
      </c>
      <c r="RS5" s="6326">
        <v>30</v>
      </c>
      <c r="RT5" s="954">
        <v>973707</v>
      </c>
      <c r="RU5" s="140">
        <v>1059827</v>
      </c>
      <c r="RV5" s="3545">
        <v>5070</v>
      </c>
      <c r="RW5" s="133">
        <f t="shared" ref="RW5:RW11" si="187">RU5-(RT5+RV5)</f>
        <v>81050</v>
      </c>
      <c r="RX5" s="195">
        <f t="shared" ref="RX5:RX11" si="188">RW5/RU5</f>
        <v>7.6474745406561642E-2</v>
      </c>
      <c r="RY5" s="133">
        <v>47808</v>
      </c>
      <c r="RZ5" s="134">
        <v>0</v>
      </c>
      <c r="SA5" s="200">
        <v>0</v>
      </c>
      <c r="SB5" s="190">
        <f t="shared" ref="SB5:SB10" si="189">RW5-SUM(RY5:SA5)</f>
        <v>33242</v>
      </c>
      <c r="SC5" s="5378">
        <f t="shared" ref="SC5:SC11" si="190">SB5/RU5</f>
        <v>3.1365496444230992E-2</v>
      </c>
      <c r="SD5" s="5404">
        <v>29</v>
      </c>
      <c r="SE5" s="140">
        <v>919950</v>
      </c>
      <c r="SF5" s="140">
        <v>1017263</v>
      </c>
      <c r="SG5" s="6352">
        <v>393</v>
      </c>
      <c r="SH5" s="6361">
        <f t="shared" ref="SH5:SH11" si="191">SF5-(SE5+SG5)</f>
        <v>96920</v>
      </c>
      <c r="SI5" s="6362">
        <f t="shared" ref="SI5:SI11" si="192">SH5/SF5</f>
        <v>9.5275263132542906E-2</v>
      </c>
      <c r="SJ5" s="134"/>
      <c r="SK5" s="134">
        <v>0</v>
      </c>
      <c r="SL5" s="200">
        <v>0</v>
      </c>
      <c r="SM5" s="190">
        <f t="shared" ref="SM5:SM10" si="193">SH5-SUM(SJ5:SL5)</f>
        <v>96920</v>
      </c>
      <c r="SN5" s="5378">
        <f t="shared" ref="SN5:SN10" si="194">SM5/SF5</f>
        <v>9.5275263132542906E-2</v>
      </c>
      <c r="SO5" s="118">
        <v>30</v>
      </c>
      <c r="SP5" s="118">
        <v>929812</v>
      </c>
      <c r="SQ5" s="118">
        <v>1004086</v>
      </c>
      <c r="SR5" s="118">
        <v>6600</v>
      </c>
      <c r="SS5" s="6361">
        <f t="shared" ref="SS5:SS11" si="195">SQ5-(SP5+SR5)</f>
        <v>67674</v>
      </c>
      <c r="ST5" s="6362">
        <f t="shared" ref="ST5:ST11" si="196">SS5/SQ5</f>
        <v>6.7398609282471822E-2</v>
      </c>
      <c r="SU5" s="134">
        <v>0</v>
      </c>
      <c r="SV5" s="134">
        <v>0</v>
      </c>
      <c r="SW5" s="200">
        <v>0</v>
      </c>
      <c r="SX5" s="190">
        <f t="shared" ref="SX5:SX13" si="197">SS5-SUM(SU5:SW5)</f>
        <v>67674</v>
      </c>
      <c r="SY5" s="5378">
        <f t="shared" ref="SY5:SY10" si="198">SX5/SQ5</f>
        <v>6.7398609282471822E-2</v>
      </c>
      <c r="SZ5" s="6269"/>
      <c r="TA5" s="118">
        <f t="shared" ref="TA5:TA11" si="199">SQ5+SF5+RU5</f>
        <v>3081176</v>
      </c>
      <c r="TB5" s="118">
        <f t="shared" ref="TB5:TB11" si="200">SS5+SH5+RW5</f>
        <v>245644</v>
      </c>
      <c r="TC5" s="5389">
        <f t="shared" ref="TC5:TC11" si="201">TB5/TA5</f>
        <v>7.9724105341596851E-2</v>
      </c>
      <c r="TD5" s="957">
        <v>25</v>
      </c>
      <c r="TE5" s="954">
        <v>802742</v>
      </c>
      <c r="TF5" s="954">
        <v>859574</v>
      </c>
      <c r="TG5" s="118">
        <f>7333+6453</f>
        <v>13786</v>
      </c>
      <c r="TH5" s="133">
        <f t="shared" ref="TH5:TH11" si="202">TF5-(TE5+TG5)</f>
        <v>43046</v>
      </c>
      <c r="TI5" s="195">
        <f t="shared" ref="TI5:TI11" si="203">TH5/TF5</f>
        <v>5.0078294597091115E-2</v>
      </c>
      <c r="TJ5" s="134">
        <v>0</v>
      </c>
      <c r="TK5" s="134">
        <v>0</v>
      </c>
      <c r="TL5" s="200">
        <v>0</v>
      </c>
      <c r="TM5" s="190">
        <f t="shared" ref="TM5:TM11" si="204">TH5-SUM(TJ5:TL5)</f>
        <v>43046</v>
      </c>
      <c r="TN5" s="5378">
        <f t="shared" ref="TN5:TN10" si="205">TM5/TF5</f>
        <v>5.0078294597091115E-2</v>
      </c>
      <c r="TO5" s="118"/>
      <c r="TP5" s="118"/>
      <c r="TQ5" s="118"/>
      <c r="TR5" s="118"/>
      <c r="TS5" s="133">
        <f t="shared" ref="TS5:TS11" si="206">TQ5-(TP5+TR5)</f>
        <v>0</v>
      </c>
      <c r="TT5" s="195" t="e">
        <f t="shared" ref="TT5:TT11" si="207">TS5/TQ5</f>
        <v>#DIV/0!</v>
      </c>
      <c r="TU5" s="118"/>
      <c r="TV5" s="118"/>
      <c r="TW5" s="118"/>
      <c r="TX5" s="190">
        <f t="shared" ref="TX5:TX11" si="208">TS5-SUM(TU5:TW5)</f>
        <v>0</v>
      </c>
      <c r="TY5" s="758" t="e">
        <f t="shared" ref="TY5:TY10" si="209">TX5/TQ5</f>
        <v>#DIV/0!</v>
      </c>
      <c r="TZ5" s="1562"/>
      <c r="UA5" s="118"/>
      <c r="UB5" s="118"/>
      <c r="UC5" s="118"/>
      <c r="UD5" s="133">
        <f t="shared" ref="UD5:UD11" si="210">UB5-(UA5+UC5)</f>
        <v>0</v>
      </c>
      <c r="UE5" s="195" t="e">
        <f t="shared" ref="UE5:UE11" si="211">UD5/UB5</f>
        <v>#DIV/0!</v>
      </c>
      <c r="UF5" s="118"/>
      <c r="UG5" s="118"/>
      <c r="UH5" s="118"/>
      <c r="UI5" s="190">
        <f t="shared" ref="UI5:UI11" si="212">UD5-SUM(UF5:UH5)</f>
        <v>0</v>
      </c>
      <c r="UJ5" s="5378" t="e">
        <f t="shared" ref="UJ5:UJ10" si="213">UI5/UB5</f>
        <v>#DIV/0!</v>
      </c>
      <c r="UK5" s="5374"/>
      <c r="UL5" s="189">
        <f t="shared" ref="UL5:UL12" si="214">OS5+PD5+PO5+QD5+QO5+QZ5+RU5+SF5+SQ5+TF5+TQ5+UB5</f>
        <v>12845702</v>
      </c>
      <c r="UM5" s="189">
        <f t="shared" ref="UM5:UM12" si="215">OU5+PF5+PQ5+QF5+QQ5+RB5+RW5+SH5+SS5+TH5+TS5+UD5</f>
        <v>599471</v>
      </c>
      <c r="UN5" s="119">
        <f t="shared" ref="UN5:UN11" si="216">UM5/UL5</f>
        <v>4.6667048636189756E-2</v>
      </c>
      <c r="UO5" s="189">
        <f t="shared" ref="UO5:UO12" si="217">OZ5+PK5+PV5+QK5+QV5+RG5+SB5+SM5+SX5+TM5+TX5+UI5</f>
        <v>80936</v>
      </c>
      <c r="UP5" s="5389">
        <f t="shared" ref="UP5:UP12" si="218">UO5/UL5</f>
        <v>6.3006288017579733E-3</v>
      </c>
    </row>
    <row r="6" spans="1:567" x14ac:dyDescent="0.3">
      <c r="A6" s="5316">
        <v>2</v>
      </c>
      <c r="B6" s="5360" t="s">
        <v>370</v>
      </c>
      <c r="C6" s="735" t="s">
        <v>442</v>
      </c>
      <c r="D6" s="578" t="s">
        <v>140</v>
      </c>
      <c r="E6" s="6279" t="s">
        <v>1035</v>
      </c>
      <c r="F6" s="579">
        <v>461.33333333333331</v>
      </c>
      <c r="G6" s="161">
        <v>28088391</v>
      </c>
      <c r="H6" s="161">
        <v>32142810</v>
      </c>
      <c r="I6" s="161">
        <v>3897734</v>
      </c>
      <c r="J6" s="351">
        <f t="shared" si="0"/>
        <v>0.12126301340797523</v>
      </c>
      <c r="K6" s="580">
        <v>600.33333333333337</v>
      </c>
      <c r="L6" s="161">
        <v>36293650</v>
      </c>
      <c r="M6" s="161">
        <v>40926010</v>
      </c>
      <c r="N6" s="161">
        <v>4474043</v>
      </c>
      <c r="O6" s="422"/>
      <c r="P6" s="580">
        <v>688.33333333333337</v>
      </c>
      <c r="Q6" s="161">
        <v>41290926</v>
      </c>
      <c r="R6" s="161">
        <v>45856842</v>
      </c>
      <c r="S6" s="161">
        <v>4385851</v>
      </c>
      <c r="T6" s="94"/>
      <c r="U6" s="136"/>
      <c r="V6" s="422"/>
      <c r="W6" s="422"/>
      <c r="X6" s="422"/>
      <c r="Y6" s="422"/>
      <c r="Z6" s="581"/>
      <c r="AA6" s="422"/>
      <c r="AB6" s="422"/>
      <c r="AC6" s="422"/>
      <c r="AD6" s="422"/>
      <c r="AE6" s="619">
        <f t="shared" si="1"/>
        <v>0</v>
      </c>
      <c r="AF6" s="422"/>
      <c r="AG6" s="113">
        <f>724+1</f>
        <v>725</v>
      </c>
      <c r="AH6" s="616">
        <f>14563807+5644</f>
        <v>14569451</v>
      </c>
      <c r="AI6" s="616">
        <v>16326482</v>
      </c>
      <c r="AJ6" s="616">
        <v>45345</v>
      </c>
      <c r="AK6" s="105">
        <f t="shared" si="2"/>
        <v>1711686</v>
      </c>
      <c r="AL6" s="114">
        <f t="shared" si="3"/>
        <v>0.1048410796643147</v>
      </c>
      <c r="AM6" s="129">
        <v>229001</v>
      </c>
      <c r="AN6" s="130">
        <f>131298*3</f>
        <v>393894</v>
      </c>
      <c r="AO6" s="130"/>
      <c r="AP6" s="130">
        <v>49383.651724137926</v>
      </c>
      <c r="AQ6" s="130">
        <f t="shared" si="4"/>
        <v>1039407.3482758621</v>
      </c>
      <c r="AR6" s="114">
        <f t="shared" si="5"/>
        <v>0.6072418354043102</v>
      </c>
      <c r="AS6" s="113">
        <v>725</v>
      </c>
      <c r="AT6" s="213">
        <v>42311504</v>
      </c>
      <c r="AU6" s="130">
        <v>46968201</v>
      </c>
      <c r="AV6" s="130">
        <v>4440416</v>
      </c>
      <c r="AW6" s="114">
        <f t="shared" si="6"/>
        <v>9.4540900129430117E-2</v>
      </c>
      <c r="AX6" s="617">
        <v>725</v>
      </c>
      <c r="AY6" s="241">
        <f t="shared" si="7"/>
        <v>147984471</v>
      </c>
      <c r="AZ6" s="241">
        <f t="shared" si="7"/>
        <v>165893863</v>
      </c>
      <c r="BA6" s="241">
        <f t="shared" si="7"/>
        <v>17198044</v>
      </c>
      <c r="BB6" s="135">
        <f t="shared" si="8"/>
        <v>0.10366895850752478</v>
      </c>
      <c r="BC6" s="636">
        <v>724</v>
      </c>
      <c r="BD6" s="619">
        <v>14021038</v>
      </c>
      <c r="BE6" s="619">
        <v>16296320</v>
      </c>
      <c r="BF6" s="619">
        <v>68491</v>
      </c>
      <c r="BG6" s="619">
        <f t="shared" si="9"/>
        <v>2206791</v>
      </c>
      <c r="BH6" s="618"/>
      <c r="BI6" s="636">
        <v>716</v>
      </c>
      <c r="BJ6" s="619">
        <v>14638141</v>
      </c>
      <c r="BK6" s="619">
        <v>15942403</v>
      </c>
      <c r="BL6" s="619">
        <f>66658+1420</f>
        <v>68078</v>
      </c>
      <c r="BM6" s="619">
        <f t="shared" si="10"/>
        <v>1236184</v>
      </c>
      <c r="BN6" s="618"/>
      <c r="BO6" s="620">
        <v>743</v>
      </c>
      <c r="BP6" s="619">
        <v>15517636</v>
      </c>
      <c r="BQ6" s="619">
        <v>17208447</v>
      </c>
      <c r="BR6" s="619">
        <v>62136</v>
      </c>
      <c r="BS6" s="619">
        <f t="shared" si="11"/>
        <v>1628675</v>
      </c>
      <c r="BT6" s="1480">
        <f t="shared" si="12"/>
        <v>9.4643926904037307E-2</v>
      </c>
      <c r="BU6" s="620">
        <v>743</v>
      </c>
      <c r="BV6" s="1481">
        <f t="shared" si="13"/>
        <v>49447170</v>
      </c>
      <c r="BW6" s="1481">
        <f t="shared" si="14"/>
        <v>5071650</v>
      </c>
      <c r="BX6" s="236">
        <f t="shared" si="15"/>
        <v>0.10256704276503589</v>
      </c>
      <c r="BY6" s="594">
        <v>758</v>
      </c>
      <c r="BZ6" s="595">
        <v>16488932</v>
      </c>
      <c r="CA6" s="595">
        <f>17986755+250000</f>
        <v>18236755</v>
      </c>
      <c r="CB6" s="595">
        <v>21328</v>
      </c>
      <c r="CC6" s="596">
        <f t="shared" si="16"/>
        <v>1726495</v>
      </c>
      <c r="CD6" s="597">
        <f t="shared" si="17"/>
        <v>9.4671173681940668E-2</v>
      </c>
      <c r="CE6" s="598">
        <v>100000</v>
      </c>
      <c r="CF6" s="599">
        <f>235306+235306+235306</f>
        <v>705918</v>
      </c>
      <c r="CG6" s="599"/>
      <c r="CH6" s="599">
        <v>74304.057692307688</v>
      </c>
      <c r="CI6" s="599">
        <f t="shared" si="18"/>
        <v>846272.94230769225</v>
      </c>
      <c r="CJ6" s="597">
        <f t="shared" si="19"/>
        <v>4.640479856793011E-2</v>
      </c>
      <c r="CK6" s="600">
        <v>758</v>
      </c>
      <c r="CL6" s="601">
        <f>16889389-27000+2376</f>
        <v>16864765</v>
      </c>
      <c r="CM6" s="601">
        <f>18202073+250000</f>
        <v>18452073</v>
      </c>
      <c r="CN6" s="601">
        <v>37156</v>
      </c>
      <c r="CO6" s="96">
        <f t="shared" si="20"/>
        <v>1550152</v>
      </c>
      <c r="CP6" s="602">
        <f t="shared" si="21"/>
        <v>8.400963945893776E-2</v>
      </c>
      <c r="CQ6" s="603">
        <v>266666</v>
      </c>
      <c r="CR6" s="603">
        <f>565804+99568</f>
        <v>665372</v>
      </c>
      <c r="CS6" s="603"/>
      <c r="CT6" s="603">
        <v>147101.18634615382</v>
      </c>
      <c r="CU6" s="603">
        <f t="shared" si="22"/>
        <v>471012.81365384615</v>
      </c>
      <c r="CV6" s="604">
        <f t="shared" si="23"/>
        <v>2.5526281716631304E-2</v>
      </c>
      <c r="CW6" s="129">
        <v>762</v>
      </c>
      <c r="CX6" s="130">
        <v>16897996</v>
      </c>
      <c r="CY6" s="130">
        <v>18398995</v>
      </c>
      <c r="CZ6" s="130">
        <v>46928</v>
      </c>
      <c r="DA6" s="605">
        <f t="shared" si="24"/>
        <v>1454071</v>
      </c>
      <c r="DB6" s="114">
        <f t="shared" si="25"/>
        <v>7.9029914405650964E-2</v>
      </c>
      <c r="DC6" s="138">
        <v>266666</v>
      </c>
      <c r="DD6" s="606">
        <f>113817.958333333*3</f>
        <v>341453.87499999895</v>
      </c>
      <c r="DE6" s="130"/>
      <c r="DF6" s="130">
        <f>121185.013541667*3</f>
        <v>363555.04062500095</v>
      </c>
      <c r="DG6" s="128">
        <f t="shared" si="26"/>
        <v>482396.08437500009</v>
      </c>
      <c r="DH6" s="169">
        <f t="shared" si="27"/>
        <v>2.6218610547750033E-2</v>
      </c>
      <c r="DI6" s="204">
        <f t="shared" si="28"/>
        <v>759.33333333333337</v>
      </c>
      <c r="DJ6" s="202">
        <f t="shared" si="29"/>
        <v>55087823</v>
      </c>
      <c r="DK6" s="202">
        <f t="shared" si="30"/>
        <v>4730718</v>
      </c>
      <c r="DL6" s="119">
        <f t="shared" si="31"/>
        <v>8.5875929422732866E-2</v>
      </c>
      <c r="DM6" s="202">
        <f t="shared" si="32"/>
        <v>1799681.8403365384</v>
      </c>
      <c r="DN6" s="119">
        <f t="shared" si="33"/>
        <v>3.2669322226375481E-2</v>
      </c>
      <c r="DO6" s="607">
        <f t="shared" si="34"/>
        <v>37</v>
      </c>
      <c r="DP6" s="137">
        <f t="shared" si="34"/>
        <v>2328545</v>
      </c>
      <c r="DQ6" s="137">
        <f t="shared" si="34"/>
        <v>2072513</v>
      </c>
      <c r="DR6" s="137">
        <f t="shared" si="35"/>
        <v>-257615</v>
      </c>
      <c r="DS6" s="135">
        <f t="shared" si="36"/>
        <v>5.1034482758620693E-2</v>
      </c>
      <c r="DT6" s="135">
        <f t="shared" si="37"/>
        <v>0.14262380591238211</v>
      </c>
      <c r="DU6" s="135">
        <f t="shared" si="38"/>
        <v>1.2108020980483569</v>
      </c>
      <c r="DV6" s="151">
        <f t="shared" si="39"/>
        <v>-0.24784796877501789</v>
      </c>
      <c r="DW6" s="607">
        <f t="shared" si="40"/>
        <v>4</v>
      </c>
      <c r="DX6" s="608">
        <f t="shared" si="41"/>
        <v>-53078</v>
      </c>
      <c r="DY6" s="608">
        <f t="shared" si="42"/>
        <v>-96081</v>
      </c>
      <c r="DZ6" s="608">
        <f t="shared" si="43"/>
        <v>11383.270721153938</v>
      </c>
      <c r="EA6" s="135">
        <f t="shared" si="44"/>
        <v>5.2770448548812663E-3</v>
      </c>
      <c r="EB6" s="135">
        <f t="shared" si="45"/>
        <v>-2.876533167845152E-3</v>
      </c>
      <c r="EC6" s="135">
        <f t="shared" si="46"/>
        <v>-6.1981663733620962E-2</v>
      </c>
      <c r="ED6" s="151">
        <f t="shared" ref="ED6:ED11" si="219">DZ6/CU6</f>
        <v>2.416764553144336E-2</v>
      </c>
      <c r="EE6" s="594">
        <v>750</v>
      </c>
      <c r="EF6" s="595">
        <v>16564595</v>
      </c>
      <c r="EG6" s="595">
        <v>18157877</v>
      </c>
      <c r="EH6" s="130">
        <v>63462</v>
      </c>
      <c r="EI6" s="605">
        <f t="shared" si="47"/>
        <v>1529820</v>
      </c>
      <c r="EJ6" s="114">
        <f t="shared" si="48"/>
        <v>8.4251038819130666E-2</v>
      </c>
      <c r="EK6" s="138">
        <v>200836</v>
      </c>
      <c r="EL6" s="606">
        <v>322116.66499999998</v>
      </c>
      <c r="EM6" s="130">
        <v>0</v>
      </c>
      <c r="EN6" s="128">
        <f>96058.45*5</f>
        <v>480292.25</v>
      </c>
      <c r="EO6" s="128">
        <f t="shared" si="49"/>
        <v>526575.08499999996</v>
      </c>
      <c r="EP6" s="114">
        <f t="shared" si="50"/>
        <v>2.8999815617211194E-2</v>
      </c>
      <c r="EQ6" s="594">
        <v>729</v>
      </c>
      <c r="ER6" s="595">
        <v>16152056</v>
      </c>
      <c r="ES6" s="595">
        <v>17697462</v>
      </c>
      <c r="ET6" s="130">
        <v>75815</v>
      </c>
      <c r="EU6" s="134">
        <f t="shared" si="51"/>
        <v>1469591</v>
      </c>
      <c r="EV6" s="114">
        <f t="shared" si="52"/>
        <v>8.3039647153925242E-2</v>
      </c>
      <c r="EW6" s="138">
        <v>200836</v>
      </c>
      <c r="EX6" s="606">
        <f>296085.0425*3</f>
        <v>888255.12749999994</v>
      </c>
      <c r="EY6" s="130">
        <v>0</v>
      </c>
      <c r="EZ6" s="128">
        <f>184967.745625*2</f>
        <v>369935.49125000002</v>
      </c>
      <c r="FA6" s="128">
        <f t="shared" si="53"/>
        <v>10564.381250000035</v>
      </c>
      <c r="FB6" s="114">
        <f t="shared" si="54"/>
        <v>5.9694329333776983E-4</v>
      </c>
      <c r="FC6" s="643">
        <f t="shared" si="55"/>
        <v>4</v>
      </c>
      <c r="FD6" s="644">
        <f t="shared" si="56"/>
        <v>1370980</v>
      </c>
      <c r="FE6" s="644">
        <f t="shared" si="57"/>
        <v>-242095</v>
      </c>
      <c r="FF6" s="644">
        <f t="shared" si="58"/>
        <v>-1028842.9670258621</v>
      </c>
      <c r="FG6" s="74">
        <f t="shared" si="59"/>
        <v>5.5172413793103444E-3</v>
      </c>
      <c r="FH6" s="74">
        <f t="shared" si="60"/>
        <v>8.3972775028937643E-2</v>
      </c>
      <c r="FI6" s="74">
        <f t="shared" si="61"/>
        <v>-0.14143657189461151</v>
      </c>
      <c r="FJ6" s="73">
        <f t="shared" si="62"/>
        <v>-0.9898361491598805</v>
      </c>
      <c r="FK6" s="133">
        <v>679</v>
      </c>
      <c r="FL6" s="134">
        <v>14806706</v>
      </c>
      <c r="FM6" s="134">
        <v>16269145</v>
      </c>
      <c r="FN6" s="134">
        <v>94522</v>
      </c>
      <c r="FO6" s="134">
        <f t="shared" si="63"/>
        <v>1367917</v>
      </c>
      <c r="FP6" s="135">
        <f t="shared" si="64"/>
        <v>8.4080447989122967E-2</v>
      </c>
      <c r="FQ6" s="133">
        <f>200836+266666</f>
        <v>467502</v>
      </c>
      <c r="FR6" s="134">
        <f>133333+223380+100000</f>
        <v>456713</v>
      </c>
      <c r="FS6" s="134">
        <v>430164.6</v>
      </c>
      <c r="FT6" s="191">
        <f t="shared" si="65"/>
        <v>13537.399999999907</v>
      </c>
      <c r="FU6" s="151">
        <f t="shared" si="66"/>
        <v>8.3209043868008473E-4</v>
      </c>
      <c r="FV6" s="190">
        <f t="shared" si="67"/>
        <v>-46</v>
      </c>
      <c r="FW6" s="191">
        <f t="shared" si="67"/>
        <v>237255</v>
      </c>
      <c r="FX6" s="191">
        <f t="shared" si="67"/>
        <v>-57337</v>
      </c>
      <c r="FY6" s="191">
        <f t="shared" si="68"/>
        <v>-343769</v>
      </c>
      <c r="FZ6" s="191">
        <f t="shared" si="69"/>
        <v>-1025869.9482758621</v>
      </c>
      <c r="GA6" s="135">
        <f t="shared" si="70"/>
        <v>-6.344827586206897E-2</v>
      </c>
      <c r="GB6" s="135">
        <f t="shared" si="71"/>
        <v>-3.5119017066873315E-3</v>
      </c>
      <c r="GC6" s="135">
        <f t="shared" si="72"/>
        <v>-0.2008364851964671</v>
      </c>
      <c r="GD6" s="151">
        <f t="shared" si="73"/>
        <v>-0.98697584732063393</v>
      </c>
      <c r="GE6" s="187">
        <f t="shared" si="74"/>
        <v>719.33333333333337</v>
      </c>
      <c r="GF6" s="155">
        <f t="shared" si="75"/>
        <v>52124484</v>
      </c>
      <c r="GG6" s="155">
        <f t="shared" si="76"/>
        <v>4367328</v>
      </c>
      <c r="GH6" s="74">
        <f t="shared" si="77"/>
        <v>8.3786498490805203E-2</v>
      </c>
      <c r="GI6" s="613">
        <f t="shared" si="78"/>
        <v>550676.86624999996</v>
      </c>
      <c r="GJ6" s="187">
        <f t="shared" si="79"/>
        <v>-40</v>
      </c>
      <c r="GK6" s="155">
        <f t="shared" si="79"/>
        <v>-2963339</v>
      </c>
      <c r="GL6" s="155">
        <f t="shared" si="79"/>
        <v>-363390</v>
      </c>
      <c r="GM6" s="613">
        <f t="shared" si="80"/>
        <v>-1249004.9740865384</v>
      </c>
      <c r="GN6" s="133">
        <v>635</v>
      </c>
      <c r="GO6" s="134">
        <v>13985810</v>
      </c>
      <c r="GP6" s="134">
        <v>15750415</v>
      </c>
      <c r="GQ6" s="134">
        <v>71476</v>
      </c>
      <c r="GR6" s="134">
        <f t="shared" si="81"/>
        <v>1693129</v>
      </c>
      <c r="GS6" s="135">
        <f t="shared" si="82"/>
        <v>0.10749742149651295</v>
      </c>
      <c r="GT6" s="133">
        <f>150496+54387</f>
        <v>204883</v>
      </c>
      <c r="GU6" s="134">
        <f>150000+(424311)</f>
        <v>574311</v>
      </c>
      <c r="GV6" s="134">
        <v>0</v>
      </c>
      <c r="GW6" s="134">
        <f>230387.4*3</f>
        <v>691162.2</v>
      </c>
      <c r="GX6" s="190">
        <f t="shared" si="83"/>
        <v>222772.80000000005</v>
      </c>
      <c r="GY6" s="151">
        <f t="shared" si="84"/>
        <v>1.4143932080519787E-2</v>
      </c>
      <c r="GZ6" s="614">
        <v>624</v>
      </c>
      <c r="HA6" s="130">
        <v>13656136</v>
      </c>
      <c r="HB6" s="130">
        <v>14503104</v>
      </c>
      <c r="HC6" s="130">
        <v>55913</v>
      </c>
      <c r="HD6" s="134">
        <f t="shared" si="85"/>
        <v>791055</v>
      </c>
      <c r="HE6" s="151">
        <f t="shared" si="86"/>
        <v>5.454384109774018E-2</v>
      </c>
      <c r="HF6" s="138">
        <f>190975+56020+171422</f>
        <v>418417</v>
      </c>
      <c r="HG6" s="130">
        <v>133333</v>
      </c>
      <c r="HH6" s="130"/>
      <c r="HI6" s="130">
        <v>65940</v>
      </c>
      <c r="HJ6" s="197">
        <f t="shared" si="87"/>
        <v>173365</v>
      </c>
      <c r="HK6" s="201">
        <f t="shared" si="88"/>
        <v>1.1953647991492029E-2</v>
      </c>
      <c r="HL6" s="136">
        <v>604</v>
      </c>
      <c r="HM6" s="134">
        <f>13373386+25623</f>
        <v>13399009</v>
      </c>
      <c r="HN6" s="134">
        <v>15171817</v>
      </c>
      <c r="HO6" s="134">
        <v>53054</v>
      </c>
      <c r="HP6" s="615">
        <f t="shared" si="89"/>
        <v>1719754</v>
      </c>
      <c r="HQ6" s="201">
        <f t="shared" si="90"/>
        <v>0.1133518813204773</v>
      </c>
      <c r="HR6" s="133">
        <f>174636+21669+266666</f>
        <v>462971</v>
      </c>
      <c r="HS6" s="134">
        <f>558495*2</f>
        <v>1116990</v>
      </c>
      <c r="HT6" s="134"/>
      <c r="HU6" s="134">
        <v>349385.7</v>
      </c>
      <c r="HV6" s="191">
        <f t="shared" si="91"/>
        <v>-209592.69999999995</v>
      </c>
      <c r="HW6" s="151">
        <f t="shared" si="92"/>
        <v>-1.3814607703217087E-2</v>
      </c>
      <c r="HX6" s="414">
        <v>604</v>
      </c>
      <c r="HY6" s="241">
        <f t="shared" si="93"/>
        <v>45425336</v>
      </c>
      <c r="HZ6" s="415">
        <f t="shared" si="94"/>
        <v>4203938</v>
      </c>
      <c r="IA6" s="135"/>
      <c r="IB6" s="415">
        <f t="shared" si="95"/>
        <v>186545.10000000009</v>
      </c>
      <c r="IC6" s="141"/>
      <c r="ID6" s="642">
        <v>604</v>
      </c>
      <c r="IE6" s="141">
        <f t="shared" si="96"/>
        <v>202084813</v>
      </c>
      <c r="IF6" s="141">
        <f t="shared" si="96"/>
        <v>18373634</v>
      </c>
      <c r="IG6" s="74">
        <f t="shared" si="97"/>
        <v>9.0920409739053479E-2</v>
      </c>
      <c r="IH6" s="1507"/>
      <c r="II6" s="69"/>
      <c r="IJ6" s="133">
        <v>585</v>
      </c>
      <c r="IK6" s="134">
        <v>13012119</v>
      </c>
      <c r="IL6" s="134">
        <v>14632171</v>
      </c>
      <c r="IM6" s="134">
        <f>53482+55378</f>
        <v>108860</v>
      </c>
      <c r="IN6" s="133">
        <f>IL6-(IK6+IM6)</f>
        <v>1511192</v>
      </c>
      <c r="IO6" s="151">
        <f t="shared" si="98"/>
        <v>0.10327872740142252</v>
      </c>
      <c r="IP6" s="133">
        <v>162170</v>
      </c>
      <c r="IQ6" s="134">
        <v>850000</v>
      </c>
      <c r="IR6" s="134">
        <v>400000</v>
      </c>
      <c r="IS6" s="190">
        <f t="shared" si="99"/>
        <v>99022</v>
      </c>
      <c r="IT6" s="151">
        <f t="shared" si="100"/>
        <v>6.7674168105334468E-3</v>
      </c>
      <c r="IU6" s="390">
        <v>585</v>
      </c>
      <c r="IV6" s="134">
        <v>13211650</v>
      </c>
      <c r="IW6" s="134">
        <v>14142485</v>
      </c>
      <c r="IX6" s="134">
        <v>2130</v>
      </c>
      <c r="IY6" s="133">
        <f t="shared" si="101"/>
        <v>928705</v>
      </c>
      <c r="IZ6" s="151">
        <f t="shared" si="102"/>
        <v>6.5667738024823785E-2</v>
      </c>
      <c r="JA6" s="133">
        <f>126698+193136</f>
        <v>319834</v>
      </c>
      <c r="JB6" s="134">
        <f>346073+53324-150920</f>
        <v>248477</v>
      </c>
      <c r="JC6" s="134">
        <v>300000</v>
      </c>
      <c r="JD6" s="190">
        <f t="shared" si="103"/>
        <v>60394</v>
      </c>
      <c r="JE6" s="151">
        <f t="shared" si="104"/>
        <v>4.2703951957523733E-3</v>
      </c>
      <c r="JF6" s="390">
        <v>606</v>
      </c>
      <c r="JG6" s="134">
        <v>13659038</v>
      </c>
      <c r="JH6" s="134">
        <v>14741222</v>
      </c>
      <c r="JI6" s="134">
        <v>78683</v>
      </c>
      <c r="JJ6" s="133">
        <f t="shared" si="105"/>
        <v>1003501</v>
      </c>
      <c r="JK6" s="151">
        <f t="shared" si="106"/>
        <v>6.8074478493031304E-2</v>
      </c>
      <c r="JL6" s="133">
        <f>265833+100000</f>
        <v>365833</v>
      </c>
      <c r="JM6" s="134">
        <v>337941.6</v>
      </c>
      <c r="JN6" s="134">
        <v>300000</v>
      </c>
      <c r="JO6" s="190">
        <f t="shared" si="107"/>
        <v>-273.59999999997672</v>
      </c>
      <c r="JP6" s="151">
        <f t="shared" si="108"/>
        <v>-1.8560198062275753E-5</v>
      </c>
      <c r="JQ6" s="390">
        <v>606</v>
      </c>
      <c r="JR6" s="191">
        <f t="shared" si="109"/>
        <v>43515878</v>
      </c>
      <c r="JS6" s="191">
        <f t="shared" si="110"/>
        <v>3443398</v>
      </c>
      <c r="JT6" s="151">
        <f t="shared" si="111"/>
        <v>7.9129691465722005E-2</v>
      </c>
      <c r="JU6" s="390">
        <v>586</v>
      </c>
      <c r="JV6" s="134">
        <v>13262439</v>
      </c>
      <c r="JW6" s="134">
        <v>14579800</v>
      </c>
      <c r="JX6" s="134">
        <v>35990</v>
      </c>
      <c r="JY6" s="133">
        <f t="shared" si="112"/>
        <v>1281371</v>
      </c>
      <c r="JZ6" s="151">
        <f t="shared" si="113"/>
        <v>8.7886733700050762E-2</v>
      </c>
      <c r="KA6" s="133">
        <f>244958-45670</f>
        <v>199288</v>
      </c>
      <c r="KB6" s="134">
        <v>300000</v>
      </c>
      <c r="KC6" s="134">
        <v>600000</v>
      </c>
      <c r="KD6" s="190">
        <f t="shared" si="114"/>
        <v>182083</v>
      </c>
      <c r="KE6" s="151">
        <f t="shared" si="115"/>
        <v>1.248871726635482E-2</v>
      </c>
      <c r="KF6" s="390">
        <v>611</v>
      </c>
      <c r="KG6" s="134">
        <v>13684864</v>
      </c>
      <c r="KH6" s="134">
        <v>15182457</v>
      </c>
      <c r="KI6" s="134">
        <v>54113</v>
      </c>
      <c r="KJ6" s="133">
        <f t="shared" si="116"/>
        <v>1443480</v>
      </c>
      <c r="KK6" s="151">
        <f t="shared" si="117"/>
        <v>9.5075520385139237E-2</v>
      </c>
      <c r="KL6" s="133">
        <v>351105</v>
      </c>
      <c r="KM6" s="134">
        <f>424682.746875+2179</f>
        <v>426861.74687500001</v>
      </c>
      <c r="KN6" s="134">
        <v>425566.53333333338</v>
      </c>
      <c r="KO6" s="190">
        <f t="shared" si="118"/>
        <v>239946.7197916666</v>
      </c>
      <c r="KP6" s="151">
        <f t="shared" si="119"/>
        <v>1.5804208751697212E-2</v>
      </c>
      <c r="KQ6" s="390">
        <v>619</v>
      </c>
      <c r="KR6" s="134">
        <v>13997602</v>
      </c>
      <c r="KS6" s="134">
        <v>15464329</v>
      </c>
      <c r="KT6" s="134">
        <v>47290</v>
      </c>
      <c r="KU6" s="133">
        <f t="shared" si="120"/>
        <v>1419437</v>
      </c>
      <c r="KV6" s="151">
        <f t="shared" si="121"/>
        <v>9.1787816981907203E-2</v>
      </c>
      <c r="KW6" s="133">
        <f>352976+480766</f>
        <v>833742</v>
      </c>
      <c r="KX6" s="134">
        <v>582860.92333333334</v>
      </c>
      <c r="KY6" s="134">
        <v>0</v>
      </c>
      <c r="KZ6" s="190">
        <f t="shared" si="122"/>
        <v>2834.0766666666605</v>
      </c>
      <c r="LA6" s="151">
        <f t="shared" si="123"/>
        <v>1.8326541466278043E-4</v>
      </c>
      <c r="LB6" s="402">
        <v>619</v>
      </c>
      <c r="LC6" s="191">
        <f t="shared" si="124"/>
        <v>45226586</v>
      </c>
      <c r="LD6" s="191">
        <f t="shared" si="125"/>
        <v>4144288</v>
      </c>
      <c r="LE6" s="151">
        <f t="shared" si="126"/>
        <v>9.1633889854078304E-2</v>
      </c>
      <c r="LF6" s="226">
        <f t="shared" si="127"/>
        <v>13</v>
      </c>
      <c r="LG6" s="128">
        <f t="shared" si="127"/>
        <v>1710708</v>
      </c>
      <c r="LH6" s="139">
        <f t="shared" si="127"/>
        <v>700890</v>
      </c>
      <c r="LI6" s="442">
        <f t="shared" si="128"/>
        <v>2.1452145214521452E-2</v>
      </c>
      <c r="LJ6" s="442">
        <f t="shared" si="128"/>
        <v>3.9312271258780528E-2</v>
      </c>
      <c r="LK6" s="106">
        <f t="shared" si="128"/>
        <v>0.2035460321461533</v>
      </c>
      <c r="LL6" s="390">
        <v>626</v>
      </c>
      <c r="LM6" s="134">
        <v>13955873</v>
      </c>
      <c r="LN6" s="134">
        <v>15855111</v>
      </c>
      <c r="LO6" s="134">
        <v>174118</v>
      </c>
      <c r="LP6" s="133">
        <f t="shared" si="129"/>
        <v>1725120</v>
      </c>
      <c r="LQ6" s="151">
        <f t="shared" si="130"/>
        <v>0.10880529313229027</v>
      </c>
      <c r="LR6" s="133">
        <f>193526+25070+191667+408334</f>
        <v>818597</v>
      </c>
      <c r="LS6" s="134">
        <v>100000</v>
      </c>
      <c r="LT6" s="134">
        <v>800000</v>
      </c>
      <c r="LU6" s="190">
        <f t="shared" si="131"/>
        <v>6523</v>
      </c>
      <c r="LV6" s="151">
        <f t="shared" si="132"/>
        <v>4.1141307683055642E-4</v>
      </c>
      <c r="LW6" s="134">
        <v>628</v>
      </c>
      <c r="LX6" s="134">
        <v>14142694</v>
      </c>
      <c r="LY6" s="134">
        <v>15803304</v>
      </c>
      <c r="LZ6" s="134">
        <v>58574</v>
      </c>
      <c r="MA6" s="133">
        <f t="shared" si="133"/>
        <v>1602036</v>
      </c>
      <c r="MB6" s="151">
        <f t="shared" si="134"/>
        <v>0.10137348493707392</v>
      </c>
      <c r="MC6" s="134">
        <f>328350+258499+408334</f>
        <v>995183</v>
      </c>
      <c r="MD6" s="134">
        <v>25000</v>
      </c>
      <c r="ME6" s="134">
        <v>800000</v>
      </c>
      <c r="MF6" s="190">
        <f t="shared" si="135"/>
        <v>-218147</v>
      </c>
      <c r="MG6" s="151">
        <f t="shared" si="136"/>
        <v>-1.3803885567220626E-2</v>
      </c>
      <c r="MH6" s="134">
        <v>617</v>
      </c>
      <c r="MI6" s="134">
        <v>14038686</v>
      </c>
      <c r="MJ6" s="134">
        <v>16015474</v>
      </c>
      <c r="MK6" s="134">
        <v>53061</v>
      </c>
      <c r="ML6" s="133">
        <f t="shared" si="137"/>
        <v>1923727</v>
      </c>
      <c r="MM6" s="151">
        <f t="shared" si="138"/>
        <v>0.12011676956923036</v>
      </c>
      <c r="MN6" s="134">
        <v>291268</v>
      </c>
      <c r="MO6" s="134">
        <v>500000</v>
      </c>
      <c r="MP6" s="134">
        <f>1000000+107137</f>
        <v>1107137</v>
      </c>
      <c r="MQ6" s="190">
        <f t="shared" si="139"/>
        <v>25322</v>
      </c>
      <c r="MR6" s="151">
        <f t="shared" si="140"/>
        <v>1.5810958826444974E-3</v>
      </c>
      <c r="MS6" s="1472">
        <v>617</v>
      </c>
      <c r="MT6" s="118">
        <f t="shared" si="141"/>
        <v>47673889</v>
      </c>
      <c r="MU6" s="118">
        <f t="shared" si="142"/>
        <v>5250883</v>
      </c>
      <c r="MV6" s="135">
        <f t="shared" si="143"/>
        <v>0.11014169622285272</v>
      </c>
      <c r="MW6" s="133">
        <f t="shared" si="144"/>
        <v>-2</v>
      </c>
      <c r="MX6" s="134">
        <f t="shared" si="144"/>
        <v>2447303</v>
      </c>
      <c r="MY6" s="134">
        <f t="shared" si="144"/>
        <v>1106595</v>
      </c>
      <c r="MZ6" s="135">
        <f t="shared" si="145"/>
        <v>-3.2310177705977385E-3</v>
      </c>
      <c r="NA6" s="135">
        <f t="shared" si="145"/>
        <v>5.4112043743474246E-2</v>
      </c>
      <c r="NB6" s="151">
        <f t="shared" si="145"/>
        <v>0.26701691581280068</v>
      </c>
      <c r="NC6" s="134">
        <v>611</v>
      </c>
      <c r="ND6" s="134">
        <v>13874174</v>
      </c>
      <c r="NE6" s="134">
        <v>15615473</v>
      </c>
      <c r="NF6" s="134">
        <v>80266</v>
      </c>
      <c r="NG6" s="133">
        <f t="shared" si="146"/>
        <v>1661033</v>
      </c>
      <c r="NH6" s="151">
        <f t="shared" si="147"/>
        <v>0.10637096935840497</v>
      </c>
      <c r="NI6" s="134">
        <f>105260+90000</f>
        <v>195260</v>
      </c>
      <c r="NJ6" s="134">
        <f>200000+131100</f>
        <v>331100</v>
      </c>
      <c r="NK6" s="134">
        <f>1000000-82618</f>
        <v>917382</v>
      </c>
      <c r="NL6" s="190">
        <f t="shared" si="148"/>
        <v>217291</v>
      </c>
      <c r="NM6" s="135">
        <f t="shared" si="149"/>
        <v>1.391510843123356E-2</v>
      </c>
      <c r="NN6" s="1563">
        <v>596</v>
      </c>
      <c r="NO6" s="134">
        <v>13963193</v>
      </c>
      <c r="NP6" s="134">
        <v>15353908</v>
      </c>
      <c r="NQ6" s="134">
        <v>6815</v>
      </c>
      <c r="NR6" s="133">
        <f t="shared" si="150"/>
        <v>1383900</v>
      </c>
      <c r="NS6" s="151">
        <f t="shared" si="151"/>
        <v>9.0133404472659343E-2</v>
      </c>
      <c r="NT6" s="134">
        <v>215258</v>
      </c>
      <c r="NU6" s="134">
        <f>200000+131100</f>
        <v>331100</v>
      </c>
      <c r="NV6" s="134">
        <f>1000000-82618</f>
        <v>917382</v>
      </c>
      <c r="NW6" s="190">
        <f t="shared" si="152"/>
        <v>-79840</v>
      </c>
      <c r="NX6" s="135">
        <f t="shared" si="153"/>
        <v>-5.1999790541925875E-3</v>
      </c>
      <c r="NY6" s="1563">
        <v>608</v>
      </c>
      <c r="NZ6" s="134">
        <v>14127217</v>
      </c>
      <c r="OA6" s="134">
        <v>15217998</v>
      </c>
      <c r="OB6" s="134">
        <v>41820</v>
      </c>
      <c r="OC6" s="133">
        <f t="shared" si="154"/>
        <v>1048961</v>
      </c>
      <c r="OD6" s="151">
        <f t="shared" si="155"/>
        <v>6.8928974757389239E-2</v>
      </c>
      <c r="OE6" s="134">
        <v>215258</v>
      </c>
      <c r="OF6" s="134">
        <f>200000+131100</f>
        <v>331100</v>
      </c>
      <c r="OG6" s="134">
        <v>495176.79600000009</v>
      </c>
      <c r="OH6" s="190">
        <f t="shared" si="156"/>
        <v>7426.2039999999106</v>
      </c>
      <c r="OI6" s="5380">
        <f t="shared" si="157"/>
        <v>4.8798823603472092E-4</v>
      </c>
      <c r="OJ6" s="69">
        <v>608</v>
      </c>
      <c r="OK6" s="155">
        <f t="shared" si="158"/>
        <v>181521548</v>
      </c>
      <c r="OL6" s="155">
        <f t="shared" si="159"/>
        <v>16007645</v>
      </c>
      <c r="OM6" s="74">
        <f t="shared" si="160"/>
        <v>8.8185921596481753E-2</v>
      </c>
      <c r="ON6" s="155">
        <f t="shared" si="161"/>
        <v>842855.00045833318</v>
      </c>
      <c r="OO6" s="70"/>
      <c r="OP6" s="69"/>
      <c r="OQ6" s="1563">
        <v>606</v>
      </c>
      <c r="OR6" s="134">
        <v>14415716</v>
      </c>
      <c r="OS6" s="134">
        <v>15846161</v>
      </c>
      <c r="OT6" s="134">
        <v>34556</v>
      </c>
      <c r="OU6" s="133">
        <f t="shared" si="162"/>
        <v>1395889</v>
      </c>
      <c r="OV6" s="94">
        <f>OU6/OS6</f>
        <v>8.8090042755466141E-2</v>
      </c>
      <c r="OW6" s="133">
        <f>187002+10924</f>
        <v>197926</v>
      </c>
      <c r="OX6" s="134">
        <v>579860</v>
      </c>
      <c r="OY6" s="134">
        <f>600000+12380</f>
        <v>612380</v>
      </c>
      <c r="OZ6" s="190">
        <f t="shared" si="163"/>
        <v>5723</v>
      </c>
      <c r="PA6" s="5361">
        <f>OZ6/OS6</f>
        <v>3.6116003112678205E-4</v>
      </c>
      <c r="PB6" s="5320">
        <v>608</v>
      </c>
      <c r="PC6" s="134">
        <v>14769368</v>
      </c>
      <c r="PD6" s="134">
        <v>16362835</v>
      </c>
      <c r="PE6" s="134">
        <v>102913</v>
      </c>
      <c r="PF6" s="133">
        <f t="shared" si="164"/>
        <v>1490554</v>
      </c>
      <c r="PG6" s="94">
        <f>PF6/PD6</f>
        <v>9.1093872180462609E-2</v>
      </c>
      <c r="PH6" s="133">
        <f>338503-90000-47760</f>
        <v>200743</v>
      </c>
      <c r="PI6" s="134">
        <v>519233.25</v>
      </c>
      <c r="PJ6" s="134">
        <v>700000</v>
      </c>
      <c r="PK6" s="190">
        <f t="shared" si="165"/>
        <v>70577.75</v>
      </c>
      <c r="PL6" s="135">
        <f>PK6/PD6</f>
        <v>4.3132959539101869E-3</v>
      </c>
      <c r="PM6" s="5379">
        <v>613</v>
      </c>
      <c r="PN6" s="134">
        <v>14991256</v>
      </c>
      <c r="PO6" s="134">
        <v>17253009</v>
      </c>
      <c r="PP6" s="134">
        <v>70568</v>
      </c>
      <c r="PQ6" s="6293">
        <f t="shared" si="166"/>
        <v>2191185</v>
      </c>
      <c r="PR6" s="6295">
        <f>PQ6/PO6</f>
        <v>0.12700306363950775</v>
      </c>
      <c r="PS6" s="134">
        <v>247008</v>
      </c>
      <c r="PT6" s="134">
        <f>300000+152361+100000</f>
        <v>552361</v>
      </c>
      <c r="PU6" s="134">
        <v>770000</v>
      </c>
      <c r="PV6" s="190">
        <f t="shared" si="167"/>
        <v>621816</v>
      </c>
      <c r="PW6" s="5380">
        <f>PV6/PO6</f>
        <v>3.6041017540766364E-2</v>
      </c>
      <c r="PX6" s="5320">
        <v>613</v>
      </c>
      <c r="PY6" s="191">
        <f t="shared" si="168"/>
        <v>49462005</v>
      </c>
      <c r="PZ6" s="191">
        <f t="shared" si="169"/>
        <v>5077628</v>
      </c>
      <c r="QA6" s="135">
        <f>PZ6/PY6</f>
        <v>0.10265714056678454</v>
      </c>
      <c r="QB6" s="5379">
        <v>628</v>
      </c>
      <c r="QC6" s="134">
        <v>14979298</v>
      </c>
      <c r="QD6" s="134">
        <v>17423464</v>
      </c>
      <c r="QE6" s="134">
        <v>196087</v>
      </c>
      <c r="QF6" s="6293">
        <f t="shared" si="170"/>
        <v>2248079</v>
      </c>
      <c r="QG6" s="6295">
        <f t="shared" si="171"/>
        <v>0.12902595029323674</v>
      </c>
      <c r="QH6" s="134">
        <f>231295+58218</f>
        <v>289513</v>
      </c>
      <c r="QI6" s="134">
        <f>734645+100000</f>
        <v>834645</v>
      </c>
      <c r="QJ6" s="134">
        <f>770000+46924+30000</f>
        <v>846924</v>
      </c>
      <c r="QK6" s="190">
        <f t="shared" si="172"/>
        <v>276997</v>
      </c>
      <c r="QL6" s="5380">
        <f t="shared" si="173"/>
        <v>1.5897929366973179E-2</v>
      </c>
      <c r="QM6" s="5379">
        <v>621</v>
      </c>
      <c r="QN6" s="134">
        <v>14867603</v>
      </c>
      <c r="QO6" s="134">
        <v>16939723</v>
      </c>
      <c r="QP6" s="134">
        <v>100601</v>
      </c>
      <c r="QQ6" s="133">
        <f t="shared" si="174"/>
        <v>1971519</v>
      </c>
      <c r="QR6" s="151">
        <f t="shared" si="175"/>
        <v>0.11638437062990936</v>
      </c>
      <c r="QS6" s="133">
        <f>231295+58218-3243</f>
        <v>286270</v>
      </c>
      <c r="QT6" s="134">
        <f>520107+277777-125000</f>
        <v>672884</v>
      </c>
      <c r="QU6" s="134">
        <f>770000+46924+30000</f>
        <v>846924</v>
      </c>
      <c r="QV6" s="190">
        <f t="shared" si="176"/>
        <v>165441</v>
      </c>
      <c r="QW6" s="5380">
        <f t="shared" si="177"/>
        <v>9.7664524974818059E-3</v>
      </c>
      <c r="QX6" s="5379">
        <v>622</v>
      </c>
      <c r="QY6" s="358">
        <v>15178596</v>
      </c>
      <c r="QZ6" s="358">
        <v>17482806</v>
      </c>
      <c r="RA6" s="134">
        <v>92305</v>
      </c>
      <c r="RB6" s="133">
        <f t="shared" si="178"/>
        <v>2211905</v>
      </c>
      <c r="RC6" s="151">
        <f t="shared" si="179"/>
        <v>0.12651887803365203</v>
      </c>
      <c r="RD6" s="133">
        <f>231295+58218-3243</f>
        <v>286270</v>
      </c>
      <c r="RE6" s="134">
        <f>500000+100000</f>
        <v>600000</v>
      </c>
      <c r="RF6" s="134">
        <v>800000</v>
      </c>
      <c r="RG6" s="190">
        <f t="shared" si="180"/>
        <v>525635</v>
      </c>
      <c r="RH6" s="5380">
        <f t="shared" si="181"/>
        <v>3.0065825817663365E-2</v>
      </c>
      <c r="RI6" s="5376"/>
      <c r="RJ6" s="191">
        <f t="shared" si="182"/>
        <v>51845993</v>
      </c>
      <c r="RK6" s="191">
        <f t="shared" si="183"/>
        <v>6431503</v>
      </c>
      <c r="RL6" s="5380">
        <f t="shared" si="184"/>
        <v>0.12405014597753003</v>
      </c>
      <c r="RM6" s="1562">
        <f t="shared" si="185"/>
        <v>-613</v>
      </c>
      <c r="RN6" s="128">
        <f t="shared" si="185"/>
        <v>2383988</v>
      </c>
      <c r="RO6" s="139">
        <f t="shared" si="185"/>
        <v>1353875</v>
      </c>
      <c r="RP6" s="442">
        <f t="shared" si="186"/>
        <v>-1</v>
      </c>
      <c r="RQ6" s="442">
        <f t="shared" si="186"/>
        <v>4.819836963746213E-2</v>
      </c>
      <c r="RR6" s="6339">
        <f t="shared" si="186"/>
        <v>0.26663532657374661</v>
      </c>
      <c r="RS6" s="6327">
        <v>586</v>
      </c>
      <c r="RT6" s="208">
        <v>15150890</v>
      </c>
      <c r="RU6" s="130">
        <v>17182806</v>
      </c>
      <c r="RV6" s="3546">
        <v>28730</v>
      </c>
      <c r="RW6" s="133">
        <f t="shared" si="187"/>
        <v>2003186</v>
      </c>
      <c r="RX6" s="151">
        <f t="shared" si="188"/>
        <v>0.11658084250034599</v>
      </c>
      <c r="RY6" s="133">
        <f>231295+58218-3243</f>
        <v>286270</v>
      </c>
      <c r="RZ6" s="134">
        <f>500000+100000-17101+150000</f>
        <v>732899</v>
      </c>
      <c r="SA6" s="134">
        <f>800000+83438</f>
        <v>883438</v>
      </c>
      <c r="SB6" s="190">
        <f t="shared" si="189"/>
        <v>100579</v>
      </c>
      <c r="SC6" s="5380">
        <f t="shared" si="190"/>
        <v>5.8534677048672958E-3</v>
      </c>
      <c r="SD6" s="5405">
        <v>575</v>
      </c>
      <c r="SE6" s="130">
        <v>14892172</v>
      </c>
      <c r="SF6" s="130">
        <v>16759667</v>
      </c>
      <c r="SG6" s="606">
        <v>93589</v>
      </c>
      <c r="SH6" s="6361">
        <f t="shared" si="191"/>
        <v>1773906</v>
      </c>
      <c r="SI6" s="6363">
        <f t="shared" si="192"/>
        <v>0.10584374975946718</v>
      </c>
      <c r="SJ6" s="134">
        <f>231295+58218-3243</f>
        <v>286270</v>
      </c>
      <c r="SK6" s="134">
        <f>150000+400000</f>
        <v>550000</v>
      </c>
      <c r="SL6" s="134">
        <f>800000+83438</f>
        <v>883438</v>
      </c>
      <c r="SM6" s="190">
        <f t="shared" si="193"/>
        <v>54198</v>
      </c>
      <c r="SN6" s="5380">
        <f t="shared" si="194"/>
        <v>3.2338351352684991E-3</v>
      </c>
      <c r="SO6" s="134">
        <v>545</v>
      </c>
      <c r="SP6" s="134">
        <v>13607710</v>
      </c>
      <c r="SQ6" s="134">
        <v>15480578</v>
      </c>
      <c r="SR6" s="134">
        <v>4718</v>
      </c>
      <c r="SS6" s="6361">
        <f t="shared" si="195"/>
        <v>1868150</v>
      </c>
      <c r="ST6" s="6363">
        <f t="shared" si="196"/>
        <v>0.12067701864878688</v>
      </c>
      <c r="SU6" s="134">
        <f>231295+58218-3243</f>
        <v>286270</v>
      </c>
      <c r="SV6" s="134">
        <f>150000+400000-49800</f>
        <v>500200</v>
      </c>
      <c r="SW6" s="134">
        <f>800000+83438+60000+5677</f>
        <v>949115</v>
      </c>
      <c r="SX6" s="190">
        <f t="shared" si="197"/>
        <v>132565</v>
      </c>
      <c r="SY6" s="5380">
        <f t="shared" si="198"/>
        <v>8.563310749766578E-3</v>
      </c>
      <c r="SZ6" s="6270"/>
      <c r="TA6" s="118">
        <f t="shared" si="199"/>
        <v>49423051</v>
      </c>
      <c r="TB6" s="118">
        <f t="shared" si="200"/>
        <v>5645242</v>
      </c>
      <c r="TC6" s="5380">
        <f t="shared" si="201"/>
        <v>0.11422285524218244</v>
      </c>
      <c r="TD6" s="209">
        <v>515</v>
      </c>
      <c r="TE6" s="208">
        <v>12691774</v>
      </c>
      <c r="TF6" s="208">
        <v>13716376</v>
      </c>
      <c r="TG6" s="134">
        <f>27856+16490</f>
        <v>44346</v>
      </c>
      <c r="TH6" s="133">
        <f t="shared" si="202"/>
        <v>980256</v>
      </c>
      <c r="TI6" s="151">
        <f t="shared" si="203"/>
        <v>7.1466107374134391E-2</v>
      </c>
      <c r="TJ6" s="134">
        <v>192070</v>
      </c>
      <c r="TK6" s="134">
        <f>150000+400000-49800</f>
        <v>500200</v>
      </c>
      <c r="TL6" s="134">
        <v>200000</v>
      </c>
      <c r="TM6" s="190">
        <f t="shared" si="204"/>
        <v>87986</v>
      </c>
      <c r="TN6" s="5380">
        <f t="shared" si="205"/>
        <v>6.4146681309990338E-3</v>
      </c>
      <c r="TO6" s="134"/>
      <c r="TP6" s="134"/>
      <c r="TQ6" s="134"/>
      <c r="TR6" s="134"/>
      <c r="TS6" s="133">
        <f t="shared" si="206"/>
        <v>0</v>
      </c>
      <c r="TT6" s="151" t="e">
        <f t="shared" si="207"/>
        <v>#DIV/0!</v>
      </c>
      <c r="TU6" s="134"/>
      <c r="TV6" s="134"/>
      <c r="TW6" s="134"/>
      <c r="TX6" s="190">
        <f t="shared" si="208"/>
        <v>0</v>
      </c>
      <c r="TY6" s="135" t="e">
        <f t="shared" si="209"/>
        <v>#DIV/0!</v>
      </c>
      <c r="TZ6" s="1563"/>
      <c r="UA6" s="134"/>
      <c r="UB6" s="134"/>
      <c r="UC6" s="134"/>
      <c r="UD6" s="133">
        <f t="shared" si="210"/>
        <v>0</v>
      </c>
      <c r="UE6" s="151" t="e">
        <f t="shared" si="211"/>
        <v>#DIV/0!</v>
      </c>
      <c r="UF6" s="134"/>
      <c r="UG6" s="134"/>
      <c r="UH6" s="134"/>
      <c r="UI6" s="190">
        <f t="shared" si="212"/>
        <v>0</v>
      </c>
      <c r="UJ6" s="5380" t="e">
        <f t="shared" si="213"/>
        <v>#DIV/0!</v>
      </c>
      <c r="UK6" s="5376"/>
      <c r="UL6" s="191">
        <f t="shared" si="214"/>
        <v>164447425</v>
      </c>
      <c r="UM6" s="191">
        <f t="shared" si="215"/>
        <v>18134629</v>
      </c>
      <c r="UN6" s="135">
        <f t="shared" si="216"/>
        <v>0.11027615056909526</v>
      </c>
      <c r="UO6" s="191">
        <f t="shared" si="217"/>
        <v>2041517.75</v>
      </c>
      <c r="UP6" s="5380">
        <f t="shared" si="218"/>
        <v>1.2414409955035781E-2</v>
      </c>
    </row>
    <row r="7" spans="1:567" x14ac:dyDescent="0.3">
      <c r="A7" s="5316">
        <v>3</v>
      </c>
      <c r="B7" s="5360" t="s">
        <v>371</v>
      </c>
      <c r="C7" s="735" t="s">
        <v>442</v>
      </c>
      <c r="D7" s="578" t="s">
        <v>140</v>
      </c>
      <c r="E7" s="6279" t="s">
        <v>1035</v>
      </c>
      <c r="F7" s="579">
        <v>76.666666666666671</v>
      </c>
      <c r="G7" s="161">
        <v>4006137</v>
      </c>
      <c r="H7" s="161">
        <v>4645266</v>
      </c>
      <c r="I7" s="161">
        <v>639129</v>
      </c>
      <c r="J7" s="351">
        <f t="shared" si="0"/>
        <v>0.13758716938922336</v>
      </c>
      <c r="K7" s="580">
        <v>74</v>
      </c>
      <c r="L7" s="161">
        <v>4023739</v>
      </c>
      <c r="M7" s="161">
        <v>4919118</v>
      </c>
      <c r="N7" s="161">
        <v>895379</v>
      </c>
      <c r="O7" s="422"/>
      <c r="P7" s="580">
        <v>82</v>
      </c>
      <c r="Q7" s="161">
        <v>4790559</v>
      </c>
      <c r="R7" s="161">
        <v>5607117</v>
      </c>
      <c r="S7" s="161">
        <v>811952</v>
      </c>
      <c r="T7" s="94"/>
      <c r="U7" s="136"/>
      <c r="V7" s="422"/>
      <c r="W7" s="422"/>
      <c r="X7" s="422"/>
      <c r="Y7" s="422"/>
      <c r="Z7" s="581"/>
      <c r="AA7" s="422"/>
      <c r="AB7" s="422"/>
      <c r="AC7" s="422"/>
      <c r="AD7" s="422"/>
      <c r="AE7" s="619">
        <f t="shared" si="1"/>
        <v>0</v>
      </c>
      <c r="AF7" s="422"/>
      <c r="AG7" s="113">
        <v>84</v>
      </c>
      <c r="AH7" s="616">
        <v>1612247</v>
      </c>
      <c r="AI7" s="616">
        <v>1905910</v>
      </c>
      <c r="AJ7" s="616"/>
      <c r="AK7" s="105">
        <f t="shared" si="2"/>
        <v>293663</v>
      </c>
      <c r="AL7" s="114">
        <f t="shared" si="3"/>
        <v>0.15408020315754678</v>
      </c>
      <c r="AM7" s="129">
        <v>60000</v>
      </c>
      <c r="AN7" s="130">
        <v>131298</v>
      </c>
      <c r="AO7" s="130"/>
      <c r="AP7" s="130">
        <v>49383.651724137926</v>
      </c>
      <c r="AQ7" s="130">
        <f t="shared" si="4"/>
        <v>52981.348275862074</v>
      </c>
      <c r="AR7" s="114">
        <f t="shared" si="5"/>
        <v>0.18041547037203215</v>
      </c>
      <c r="AS7" s="113">
        <v>84</v>
      </c>
      <c r="AT7" s="213">
        <v>4726562</v>
      </c>
      <c r="AU7" s="130">
        <v>5609217</v>
      </c>
      <c r="AV7" s="130">
        <v>860337</v>
      </c>
      <c r="AW7" s="114">
        <f t="shared" si="6"/>
        <v>0.15337916147654834</v>
      </c>
      <c r="AX7" s="617">
        <v>84</v>
      </c>
      <c r="AY7" s="241">
        <f t="shared" si="7"/>
        <v>17546997</v>
      </c>
      <c r="AZ7" s="241">
        <f t="shared" si="7"/>
        <v>20780718</v>
      </c>
      <c r="BA7" s="241">
        <f t="shared" si="7"/>
        <v>3206797</v>
      </c>
      <c r="BB7" s="135">
        <f t="shared" si="8"/>
        <v>0.15431598657948201</v>
      </c>
      <c r="BC7" s="636">
        <v>33</v>
      </c>
      <c r="BD7" s="619">
        <v>1811407</v>
      </c>
      <c r="BE7" s="619">
        <v>2365154</v>
      </c>
      <c r="BF7" s="619">
        <v>12779</v>
      </c>
      <c r="BG7" s="619">
        <f t="shared" si="9"/>
        <v>540968</v>
      </c>
      <c r="BH7" s="618"/>
      <c r="BI7" s="636">
        <v>32</v>
      </c>
      <c r="BJ7" s="619">
        <v>1722200</v>
      </c>
      <c r="BK7" s="619">
        <v>2157549</v>
      </c>
      <c r="BL7" s="619"/>
      <c r="BM7" s="619">
        <f t="shared" si="10"/>
        <v>435349</v>
      </c>
      <c r="BN7" s="618"/>
      <c r="BO7" s="620">
        <v>28</v>
      </c>
      <c r="BP7" s="619">
        <v>1586330</v>
      </c>
      <c r="BQ7" s="619">
        <v>2230458</v>
      </c>
      <c r="BR7" s="619">
        <v>2664</v>
      </c>
      <c r="BS7" s="619">
        <f t="shared" si="11"/>
        <v>641464</v>
      </c>
      <c r="BT7" s="1480">
        <f t="shared" si="12"/>
        <v>0.28759295176147681</v>
      </c>
      <c r="BU7" s="620">
        <v>28</v>
      </c>
      <c r="BV7" s="1481">
        <f t="shared" si="13"/>
        <v>6753161</v>
      </c>
      <c r="BW7" s="1481">
        <f t="shared" si="14"/>
        <v>1617781</v>
      </c>
      <c r="BX7" s="236">
        <f t="shared" si="15"/>
        <v>0.23955907463186499</v>
      </c>
      <c r="BY7" s="594">
        <v>83</v>
      </c>
      <c r="BZ7" s="595">
        <v>1579487</v>
      </c>
      <c r="CA7" s="595">
        <v>1859010</v>
      </c>
      <c r="CB7" s="595">
        <v>0</v>
      </c>
      <c r="CC7" s="596">
        <f t="shared" si="16"/>
        <v>279523</v>
      </c>
      <c r="CD7" s="597">
        <f t="shared" si="17"/>
        <v>0.15036121376431541</v>
      </c>
      <c r="CE7" s="598">
        <v>224030</v>
      </c>
      <c r="CF7" s="599">
        <v>235306</v>
      </c>
      <c r="CG7" s="599"/>
      <c r="CH7" s="599">
        <v>74304.057692307688</v>
      </c>
      <c r="CI7" s="599">
        <f t="shared" si="18"/>
        <v>-254117.05769230769</v>
      </c>
      <c r="CJ7" s="597">
        <f t="shared" si="19"/>
        <v>-0.13669483095427548</v>
      </c>
      <c r="CK7" s="600">
        <v>83</v>
      </c>
      <c r="CL7" s="601">
        <v>1579326</v>
      </c>
      <c r="CM7" s="601">
        <v>1852830</v>
      </c>
      <c r="CN7" s="601">
        <v>4976</v>
      </c>
      <c r="CO7" s="96">
        <f t="shared" si="20"/>
        <v>268528</v>
      </c>
      <c r="CP7" s="602">
        <f t="shared" si="21"/>
        <v>0.14492856872999682</v>
      </c>
      <c r="CQ7" s="603">
        <v>315370</v>
      </c>
      <c r="CR7" s="603">
        <v>99658.273076923069</v>
      </c>
      <c r="CS7" s="603"/>
      <c r="CT7" s="603">
        <v>147101.18634615382</v>
      </c>
      <c r="CU7" s="603">
        <f t="shared" si="22"/>
        <v>-293601.45942307689</v>
      </c>
      <c r="CV7" s="604">
        <f t="shared" si="23"/>
        <v>-0.15846108894128275</v>
      </c>
      <c r="CW7" s="129">
        <v>93</v>
      </c>
      <c r="CX7" s="130">
        <v>1807187</v>
      </c>
      <c r="CY7" s="130">
        <v>2113957</v>
      </c>
      <c r="CZ7" s="130">
        <v>833</v>
      </c>
      <c r="DA7" s="605">
        <f t="shared" si="24"/>
        <v>305937</v>
      </c>
      <c r="DB7" s="114">
        <f t="shared" si="25"/>
        <v>0.14472243285932496</v>
      </c>
      <c r="DC7" s="138">
        <v>25000</v>
      </c>
      <c r="DD7" s="606">
        <v>113817.95833333333</v>
      </c>
      <c r="DE7" s="130"/>
      <c r="DF7" s="130">
        <f>121185.013541667*2</f>
        <v>242370.02708333399</v>
      </c>
      <c r="DG7" s="128">
        <f t="shared" si="26"/>
        <v>-75250.985416667303</v>
      </c>
      <c r="DH7" s="169">
        <f t="shared" si="27"/>
        <v>-3.5597216696776381E-2</v>
      </c>
      <c r="DI7" s="204">
        <f t="shared" si="28"/>
        <v>86.333333333333329</v>
      </c>
      <c r="DJ7" s="202">
        <f t="shared" si="29"/>
        <v>5825797</v>
      </c>
      <c r="DK7" s="202">
        <f t="shared" si="30"/>
        <v>853988</v>
      </c>
      <c r="DL7" s="119">
        <f t="shared" si="31"/>
        <v>0.14658732530501836</v>
      </c>
      <c r="DM7" s="202">
        <f t="shared" si="32"/>
        <v>-622969.50253205188</v>
      </c>
      <c r="DN7" s="119">
        <f t="shared" si="33"/>
        <v>-0.10693292308881547</v>
      </c>
      <c r="DO7" s="607">
        <f t="shared" si="34"/>
        <v>9</v>
      </c>
      <c r="DP7" s="137">
        <f t="shared" si="34"/>
        <v>194940</v>
      </c>
      <c r="DQ7" s="137">
        <f t="shared" si="34"/>
        <v>208047</v>
      </c>
      <c r="DR7" s="137">
        <f t="shared" si="35"/>
        <v>12274</v>
      </c>
      <c r="DS7" s="135">
        <f t="shared" si="36"/>
        <v>0.10714285714285714</v>
      </c>
      <c r="DT7" s="135">
        <f t="shared" si="37"/>
        <v>0.10228184961514447</v>
      </c>
      <c r="DU7" s="135">
        <f t="shared" si="38"/>
        <v>0.70845492963022239</v>
      </c>
      <c r="DV7" s="151">
        <f t="shared" si="39"/>
        <v>0.23166643355491856</v>
      </c>
      <c r="DW7" s="607">
        <f t="shared" si="40"/>
        <v>10</v>
      </c>
      <c r="DX7" s="608">
        <f t="shared" si="41"/>
        <v>261127</v>
      </c>
      <c r="DY7" s="608">
        <f t="shared" si="42"/>
        <v>37409</v>
      </c>
      <c r="DZ7" s="608">
        <f t="shared" si="43"/>
        <v>218350.47400640958</v>
      </c>
      <c r="EA7" s="135">
        <f t="shared" si="44"/>
        <v>0.12048192771084337</v>
      </c>
      <c r="EB7" s="135">
        <f t="shared" si="45"/>
        <v>0.14093413858799783</v>
      </c>
      <c r="EC7" s="135">
        <f t="shared" si="46"/>
        <v>0.13931135673002443</v>
      </c>
      <c r="ED7" s="151">
        <f t="shared" si="219"/>
        <v>-0.74369682778643365</v>
      </c>
      <c r="EE7" s="1493">
        <v>96</v>
      </c>
      <c r="EF7" s="1494">
        <v>1921451</v>
      </c>
      <c r="EG7" s="1494">
        <v>2250326</v>
      </c>
      <c r="EH7" s="130">
        <v>0</v>
      </c>
      <c r="EI7" s="605">
        <f t="shared" si="47"/>
        <v>328875</v>
      </c>
      <c r="EJ7" s="114">
        <f t="shared" si="48"/>
        <v>0.14614549180874237</v>
      </c>
      <c r="EK7" s="138">
        <v>40500</v>
      </c>
      <c r="EL7" s="606">
        <v>0</v>
      </c>
      <c r="EM7" s="130">
        <v>0</v>
      </c>
      <c r="EN7" s="130">
        <v>96058.455729166672</v>
      </c>
      <c r="EO7" s="128">
        <f t="shared" si="49"/>
        <v>192316.54427083331</v>
      </c>
      <c r="EP7" s="114">
        <f t="shared" si="50"/>
        <v>8.546163723426442E-2</v>
      </c>
      <c r="EQ7" s="1493">
        <v>97</v>
      </c>
      <c r="ER7" s="595">
        <v>1943397</v>
      </c>
      <c r="ES7" s="595">
        <v>2293529</v>
      </c>
      <c r="ET7" s="130">
        <v>2951</v>
      </c>
      <c r="EU7" s="134">
        <f t="shared" si="51"/>
        <v>347181</v>
      </c>
      <c r="EV7" s="114">
        <f t="shared" si="52"/>
        <v>0.15137414874632063</v>
      </c>
      <c r="EW7" s="138">
        <v>40500</v>
      </c>
      <c r="EX7" s="606">
        <v>296085.04249999998</v>
      </c>
      <c r="EY7" s="130">
        <v>0</v>
      </c>
      <c r="EZ7" s="128">
        <v>0</v>
      </c>
      <c r="FA7" s="128">
        <f t="shared" si="53"/>
        <v>10595.957500000019</v>
      </c>
      <c r="FB7" s="114">
        <f t="shared" si="54"/>
        <v>4.6199361333560717E-3</v>
      </c>
      <c r="FC7" s="643">
        <f t="shared" si="55"/>
        <v>13</v>
      </c>
      <c r="FD7" s="644">
        <f t="shared" si="56"/>
        <v>387619</v>
      </c>
      <c r="FE7" s="644">
        <f t="shared" si="57"/>
        <v>53518</v>
      </c>
      <c r="FF7" s="644">
        <f t="shared" si="58"/>
        <v>-42385.390775862055</v>
      </c>
      <c r="FG7" s="74">
        <f t="shared" si="59"/>
        <v>0.15476190476190477</v>
      </c>
      <c r="FH7" s="74">
        <f t="shared" si="60"/>
        <v>0.20337738927861232</v>
      </c>
      <c r="FI7" s="74">
        <f t="shared" si="61"/>
        <v>0.18224291109196597</v>
      </c>
      <c r="FJ7" s="73">
        <f t="shared" si="62"/>
        <v>-0.80000589179366988</v>
      </c>
      <c r="FK7" s="133">
        <v>99</v>
      </c>
      <c r="FL7" s="134">
        <v>1999281</v>
      </c>
      <c r="FM7" s="134">
        <v>2293746</v>
      </c>
      <c r="FN7" s="134">
        <v>1888</v>
      </c>
      <c r="FO7" s="134">
        <f t="shared" si="63"/>
        <v>292577</v>
      </c>
      <c r="FP7" s="135">
        <f t="shared" si="64"/>
        <v>0.12755422788748189</v>
      </c>
      <c r="FQ7" s="133">
        <v>40500</v>
      </c>
      <c r="FR7" s="134">
        <v>223379.93400000004</v>
      </c>
      <c r="FS7" s="134"/>
      <c r="FT7" s="191">
        <f t="shared" si="65"/>
        <v>28697.065999999992</v>
      </c>
      <c r="FU7" s="151">
        <f t="shared" si="66"/>
        <v>1.2511004269871203E-2</v>
      </c>
      <c r="FV7" s="190">
        <f t="shared" si="67"/>
        <v>15</v>
      </c>
      <c r="FW7" s="191">
        <f t="shared" si="67"/>
        <v>387034</v>
      </c>
      <c r="FX7" s="191">
        <f t="shared" si="67"/>
        <v>387836</v>
      </c>
      <c r="FY7" s="191">
        <f t="shared" si="68"/>
        <v>-1086</v>
      </c>
      <c r="FZ7" s="191">
        <f t="shared" si="69"/>
        <v>-24284.282275862082</v>
      </c>
      <c r="GA7" s="135">
        <f t="shared" si="70"/>
        <v>0.17857142857142858</v>
      </c>
      <c r="GB7" s="135">
        <f t="shared" si="71"/>
        <v>0.20349124565168344</v>
      </c>
      <c r="GC7" s="135">
        <f t="shared" si="72"/>
        <v>-3.6981165485607654E-3</v>
      </c>
      <c r="GD7" s="151">
        <f t="shared" si="73"/>
        <v>-0.45835530929524926</v>
      </c>
      <c r="GE7" s="187">
        <f t="shared" si="74"/>
        <v>97.333333333333329</v>
      </c>
      <c r="GF7" s="155">
        <f t="shared" si="75"/>
        <v>6837601</v>
      </c>
      <c r="GG7" s="155">
        <f t="shared" si="76"/>
        <v>968633</v>
      </c>
      <c r="GH7" s="74">
        <f t="shared" si="77"/>
        <v>0.14166269719452773</v>
      </c>
      <c r="GI7" s="613">
        <f t="shared" si="78"/>
        <v>231609.56777083332</v>
      </c>
      <c r="GJ7" s="187">
        <f t="shared" si="79"/>
        <v>11</v>
      </c>
      <c r="GK7" s="155">
        <f t="shared" si="79"/>
        <v>1011804</v>
      </c>
      <c r="GL7" s="155">
        <f t="shared" si="79"/>
        <v>114645</v>
      </c>
      <c r="GM7" s="613">
        <f t="shared" si="80"/>
        <v>854579.07030288526</v>
      </c>
      <c r="GN7" s="133">
        <v>98</v>
      </c>
      <c r="GO7" s="134">
        <v>1967428</v>
      </c>
      <c r="GP7" s="134">
        <v>2240274</v>
      </c>
      <c r="GQ7" s="134">
        <v>3810</v>
      </c>
      <c r="GR7" s="134">
        <f t="shared" si="81"/>
        <v>269036</v>
      </c>
      <c r="GS7" s="135">
        <f t="shared" si="82"/>
        <v>0.12009066748085279</v>
      </c>
      <c r="GT7" s="133">
        <v>40500</v>
      </c>
      <c r="GU7" s="134">
        <v>100000</v>
      </c>
      <c r="GV7" s="134">
        <v>0</v>
      </c>
      <c r="GW7" s="134">
        <v>0</v>
      </c>
      <c r="GX7" s="190">
        <f t="shared" si="83"/>
        <v>128536</v>
      </c>
      <c r="GY7" s="151">
        <f t="shared" si="84"/>
        <v>5.7375124649931213E-2</v>
      </c>
      <c r="GZ7" s="614">
        <v>94</v>
      </c>
      <c r="HA7" s="130">
        <v>1879010</v>
      </c>
      <c r="HB7" s="130">
        <v>2196780</v>
      </c>
      <c r="HC7" s="130">
        <v>784</v>
      </c>
      <c r="HD7" s="134">
        <f t="shared" si="85"/>
        <v>316986</v>
      </c>
      <c r="HE7" s="151">
        <f t="shared" si="86"/>
        <v>0.14429574194958075</v>
      </c>
      <c r="HF7" s="138">
        <v>58200</v>
      </c>
      <c r="HG7" s="130">
        <v>186946</v>
      </c>
      <c r="HH7" s="130"/>
      <c r="HI7" s="130">
        <v>10000</v>
      </c>
      <c r="HJ7" s="197">
        <f t="shared" si="87"/>
        <v>61840</v>
      </c>
      <c r="HK7" s="201">
        <f t="shared" si="88"/>
        <v>2.8150292701135299E-2</v>
      </c>
      <c r="HL7" s="1365">
        <v>94</v>
      </c>
      <c r="HM7" s="148">
        <v>1889052</v>
      </c>
      <c r="HN7" s="148">
        <v>2197795</v>
      </c>
      <c r="HO7" s="134">
        <v>0</v>
      </c>
      <c r="HP7" s="615">
        <f t="shared" si="89"/>
        <v>308743</v>
      </c>
      <c r="HQ7" s="201">
        <f t="shared" si="90"/>
        <v>0.1404785250671696</v>
      </c>
      <c r="HR7" s="133">
        <v>40500</v>
      </c>
      <c r="HS7" s="134">
        <v>200000</v>
      </c>
      <c r="HT7" s="134"/>
      <c r="HU7" s="134">
        <v>100000</v>
      </c>
      <c r="HV7" s="191">
        <f t="shared" si="91"/>
        <v>-31757</v>
      </c>
      <c r="HW7" s="151">
        <f t="shared" si="92"/>
        <v>-1.4449482322054605E-2</v>
      </c>
      <c r="HX7" s="414">
        <v>94</v>
      </c>
      <c r="HY7" s="241">
        <f t="shared" si="93"/>
        <v>6634849</v>
      </c>
      <c r="HZ7" s="415">
        <f t="shared" si="94"/>
        <v>894765</v>
      </c>
      <c r="IA7" s="241"/>
      <c r="IB7" s="415">
        <f t="shared" si="95"/>
        <v>158619</v>
      </c>
      <c r="IC7" s="141"/>
      <c r="ID7" s="642">
        <v>94</v>
      </c>
      <c r="IE7" s="141">
        <f t="shared" si="96"/>
        <v>26051408</v>
      </c>
      <c r="IF7" s="141">
        <f t="shared" si="96"/>
        <v>4335167</v>
      </c>
      <c r="IG7" s="74">
        <f t="shared" si="97"/>
        <v>0.16640816496367489</v>
      </c>
      <c r="IH7" s="1507"/>
      <c r="II7" s="69"/>
      <c r="IJ7" s="133">
        <v>95</v>
      </c>
      <c r="IK7" s="134">
        <v>1900324</v>
      </c>
      <c r="IL7" s="134">
        <v>2212606</v>
      </c>
      <c r="IM7" s="134">
        <v>13578</v>
      </c>
      <c r="IN7" s="133">
        <f>IL7-(IK7+IM7)</f>
        <v>298704</v>
      </c>
      <c r="IO7" s="151">
        <f t="shared" si="98"/>
        <v>0.13500098978308836</v>
      </c>
      <c r="IP7" s="133">
        <v>0</v>
      </c>
      <c r="IQ7" s="134">
        <v>50000</v>
      </c>
      <c r="IR7" s="134">
        <v>200000</v>
      </c>
      <c r="IS7" s="190">
        <f t="shared" si="99"/>
        <v>48704</v>
      </c>
      <c r="IT7" s="151">
        <f t="shared" si="100"/>
        <v>2.2012052755890566E-2</v>
      </c>
      <c r="IU7" s="390">
        <v>93</v>
      </c>
      <c r="IV7" s="134">
        <v>1869022</v>
      </c>
      <c r="IW7" s="134">
        <v>2195120</v>
      </c>
      <c r="IX7" s="134">
        <v>2188</v>
      </c>
      <c r="IY7" s="133">
        <f t="shared" si="101"/>
        <v>323910</v>
      </c>
      <c r="IZ7" s="151">
        <f t="shared" si="102"/>
        <v>0.14755913116367214</v>
      </c>
      <c r="JA7" s="133">
        <v>57094</v>
      </c>
      <c r="JB7" s="134">
        <v>0</v>
      </c>
      <c r="JC7" s="134">
        <v>200000</v>
      </c>
      <c r="JD7" s="190">
        <f t="shared" si="103"/>
        <v>66816</v>
      </c>
      <c r="JE7" s="151">
        <f t="shared" si="104"/>
        <v>3.0438427056379606E-2</v>
      </c>
      <c r="JF7" s="390">
        <v>92</v>
      </c>
      <c r="JG7" s="134">
        <v>1827674</v>
      </c>
      <c r="JH7" s="134">
        <v>2136289</v>
      </c>
      <c r="JI7" s="134">
        <v>670</v>
      </c>
      <c r="JJ7" s="133">
        <f t="shared" si="105"/>
        <v>307945</v>
      </c>
      <c r="JK7" s="151">
        <f t="shared" si="106"/>
        <v>0.14414950411671829</v>
      </c>
      <c r="JL7" s="133">
        <v>40500</v>
      </c>
      <c r="JM7" s="134">
        <v>113866</v>
      </c>
      <c r="JN7" s="134">
        <v>200000</v>
      </c>
      <c r="JO7" s="190">
        <f t="shared" si="107"/>
        <v>-46421</v>
      </c>
      <c r="JP7" s="151">
        <f t="shared" si="108"/>
        <v>-2.1729737877225413E-2</v>
      </c>
      <c r="JQ7" s="390">
        <v>92</v>
      </c>
      <c r="JR7" s="191">
        <f t="shared" si="109"/>
        <v>6544015</v>
      </c>
      <c r="JS7" s="191">
        <f t="shared" si="110"/>
        <v>930559</v>
      </c>
      <c r="JT7" s="151">
        <f t="shared" si="111"/>
        <v>0.14220001023836285</v>
      </c>
      <c r="JU7" s="390">
        <v>93</v>
      </c>
      <c r="JV7" s="134">
        <v>1845675</v>
      </c>
      <c r="JW7" s="134">
        <v>2162747</v>
      </c>
      <c r="JX7" s="134">
        <v>2901</v>
      </c>
      <c r="JY7" s="133">
        <f t="shared" si="112"/>
        <v>314171</v>
      </c>
      <c r="JZ7" s="151">
        <f t="shared" si="113"/>
        <v>0.14526479518871138</v>
      </c>
      <c r="KA7" s="133">
        <v>40500</v>
      </c>
      <c r="KB7" s="134">
        <v>50000</v>
      </c>
      <c r="KC7" s="134">
        <v>200000</v>
      </c>
      <c r="KD7" s="190">
        <f t="shared" si="114"/>
        <v>23671</v>
      </c>
      <c r="KE7" s="151">
        <f t="shared" si="115"/>
        <v>1.0944877047569596E-2</v>
      </c>
      <c r="KF7" s="390">
        <v>93</v>
      </c>
      <c r="KG7" s="134">
        <v>1871141</v>
      </c>
      <c r="KH7" s="134">
        <v>2308256</v>
      </c>
      <c r="KI7" s="134">
        <v>6157</v>
      </c>
      <c r="KJ7" s="133">
        <f t="shared" si="116"/>
        <v>430958</v>
      </c>
      <c r="KK7" s="151">
        <f t="shared" si="117"/>
        <v>0.18670286138105999</v>
      </c>
      <c r="KL7" s="133">
        <v>40500</v>
      </c>
      <c r="KM7" s="134">
        <v>200000</v>
      </c>
      <c r="KN7" s="134">
        <v>100000</v>
      </c>
      <c r="KO7" s="190">
        <f t="shared" si="118"/>
        <v>90458</v>
      </c>
      <c r="KP7" s="151">
        <f t="shared" si="119"/>
        <v>3.9188894126128124E-2</v>
      </c>
      <c r="KQ7" s="390">
        <v>91</v>
      </c>
      <c r="KR7" s="134">
        <v>1829448</v>
      </c>
      <c r="KS7" s="134">
        <v>2310546</v>
      </c>
      <c r="KT7" s="134">
        <v>0</v>
      </c>
      <c r="KU7" s="133">
        <f t="shared" si="120"/>
        <v>481098</v>
      </c>
      <c r="KV7" s="151">
        <f t="shared" si="121"/>
        <v>0.20821831722891473</v>
      </c>
      <c r="KW7" s="133">
        <v>40500</v>
      </c>
      <c r="KX7" s="134">
        <v>200000</v>
      </c>
      <c r="KY7" s="134">
        <v>200000</v>
      </c>
      <c r="KZ7" s="190">
        <f t="shared" si="122"/>
        <v>40598</v>
      </c>
      <c r="LA7" s="151">
        <f t="shared" si="123"/>
        <v>1.7570738691201127E-2</v>
      </c>
      <c r="LB7" s="402">
        <v>91</v>
      </c>
      <c r="LC7" s="191">
        <f t="shared" si="124"/>
        <v>6781549</v>
      </c>
      <c r="LD7" s="191">
        <f t="shared" si="125"/>
        <v>1226227</v>
      </c>
      <c r="LE7" s="151">
        <f t="shared" si="126"/>
        <v>0.18081812871955949</v>
      </c>
      <c r="LF7" s="226">
        <f t="shared" si="127"/>
        <v>-1</v>
      </c>
      <c r="LG7" s="128">
        <f t="shared" si="127"/>
        <v>237534</v>
      </c>
      <c r="LH7" s="139">
        <f t="shared" si="127"/>
        <v>295668</v>
      </c>
      <c r="LI7" s="442">
        <f t="shared" si="128"/>
        <v>-1.0869565217391304E-2</v>
      </c>
      <c r="LJ7" s="442">
        <f t="shared" si="128"/>
        <v>3.6297899683909646E-2</v>
      </c>
      <c r="LK7" s="106">
        <f t="shared" si="128"/>
        <v>0.31773160003825657</v>
      </c>
      <c r="LL7" s="390">
        <v>92</v>
      </c>
      <c r="LM7" s="134">
        <v>2189346</v>
      </c>
      <c r="LN7" s="134">
        <v>2369943</v>
      </c>
      <c r="LO7" s="134">
        <v>5756</v>
      </c>
      <c r="LP7" s="133">
        <f t="shared" si="129"/>
        <v>174841</v>
      </c>
      <c r="LQ7" s="151">
        <f t="shared" si="130"/>
        <v>7.3774348159428307E-2</v>
      </c>
      <c r="LR7" s="133">
        <v>40500</v>
      </c>
      <c r="LS7" s="134">
        <v>30000</v>
      </c>
      <c r="LT7" s="134">
        <v>100000</v>
      </c>
      <c r="LU7" s="190">
        <f t="shared" si="131"/>
        <v>4341</v>
      </c>
      <c r="LV7" s="151">
        <f t="shared" si="132"/>
        <v>1.8316896229149816E-3</v>
      </c>
      <c r="LW7" s="134">
        <v>91</v>
      </c>
      <c r="LX7" s="134">
        <v>1988820</v>
      </c>
      <c r="LY7" s="134">
        <v>2297750</v>
      </c>
      <c r="LZ7" s="134">
        <v>5155</v>
      </c>
      <c r="MA7" s="133">
        <f t="shared" si="133"/>
        <v>303775</v>
      </c>
      <c r="MB7" s="151">
        <f t="shared" si="134"/>
        <v>0.13220541834403221</v>
      </c>
      <c r="MC7" s="134">
        <v>40500</v>
      </c>
      <c r="MD7" s="134">
        <v>150000</v>
      </c>
      <c r="ME7" s="134">
        <v>100000</v>
      </c>
      <c r="MF7" s="190">
        <f t="shared" si="135"/>
        <v>13275</v>
      </c>
      <c r="MG7" s="151">
        <f t="shared" si="136"/>
        <v>5.7773909259057777E-3</v>
      </c>
      <c r="MH7" s="134">
        <v>93</v>
      </c>
      <c r="MI7" s="134">
        <v>2052266</v>
      </c>
      <c r="MJ7" s="134">
        <v>2394233</v>
      </c>
      <c r="MK7" s="134">
        <v>5193</v>
      </c>
      <c r="ML7" s="133">
        <f t="shared" si="137"/>
        <v>336774</v>
      </c>
      <c r="MM7" s="151">
        <f t="shared" si="138"/>
        <v>0.14066049544885564</v>
      </c>
      <c r="MN7" s="134">
        <v>40500</v>
      </c>
      <c r="MO7" s="134">
        <v>190000</v>
      </c>
      <c r="MP7" s="134">
        <v>100000</v>
      </c>
      <c r="MQ7" s="190">
        <f t="shared" si="139"/>
        <v>6274</v>
      </c>
      <c r="MR7" s="151">
        <f t="shared" si="140"/>
        <v>2.6204634218975347E-3</v>
      </c>
      <c r="MS7" s="1472">
        <v>93</v>
      </c>
      <c r="MT7" s="118">
        <f t="shared" si="141"/>
        <v>7061926</v>
      </c>
      <c r="MU7" s="118">
        <f t="shared" si="142"/>
        <v>815390</v>
      </c>
      <c r="MV7" s="135">
        <f t="shared" si="143"/>
        <v>0.11546283549275367</v>
      </c>
      <c r="MW7" s="133">
        <f t="shared" si="144"/>
        <v>2</v>
      </c>
      <c r="MX7" s="134">
        <f t="shared" si="144"/>
        <v>280377</v>
      </c>
      <c r="MY7" s="134">
        <f t="shared" si="144"/>
        <v>-410837</v>
      </c>
      <c r="MZ7" s="135">
        <f t="shared" si="145"/>
        <v>2.197802197802198E-2</v>
      </c>
      <c r="NA7" s="135">
        <f t="shared" si="145"/>
        <v>4.1344094100035256E-2</v>
      </c>
      <c r="NB7" s="151">
        <f t="shared" si="145"/>
        <v>-0.3350415542962274</v>
      </c>
      <c r="NC7" s="134">
        <v>93</v>
      </c>
      <c r="ND7" s="134">
        <v>2040760</v>
      </c>
      <c r="NE7" s="134">
        <v>2390118</v>
      </c>
      <c r="NF7" s="134"/>
      <c r="NG7" s="133">
        <f t="shared" si="146"/>
        <v>349358</v>
      </c>
      <c r="NH7" s="151">
        <f t="shared" si="147"/>
        <v>0.14616767875058889</v>
      </c>
      <c r="NI7" s="134">
        <f>63204+40500</f>
        <v>103704</v>
      </c>
      <c r="NJ7" s="134">
        <v>50000</v>
      </c>
      <c r="NK7" s="134">
        <v>100000</v>
      </c>
      <c r="NL7" s="190">
        <f t="shared" si="148"/>
        <v>95654</v>
      </c>
      <c r="NM7" s="135">
        <f t="shared" si="149"/>
        <v>4.0020618228890789E-2</v>
      </c>
      <c r="NN7" s="1563">
        <v>94</v>
      </c>
      <c r="NO7" s="134">
        <v>2048586</v>
      </c>
      <c r="NP7" s="134">
        <v>2401848</v>
      </c>
      <c r="NQ7" s="134">
        <v>879</v>
      </c>
      <c r="NR7" s="133">
        <f t="shared" si="150"/>
        <v>352383</v>
      </c>
      <c r="NS7" s="151">
        <f t="shared" si="151"/>
        <v>0.14671328077380416</v>
      </c>
      <c r="NT7" s="134">
        <v>0</v>
      </c>
      <c r="NU7" s="134">
        <v>100000</v>
      </c>
      <c r="NV7" s="134">
        <v>100000</v>
      </c>
      <c r="NW7" s="190">
        <f t="shared" si="152"/>
        <v>152383</v>
      </c>
      <c r="NX7" s="135">
        <f t="shared" si="153"/>
        <v>6.3444064736819322E-2</v>
      </c>
      <c r="NY7" s="1563">
        <v>93</v>
      </c>
      <c r="NZ7" s="134">
        <v>2026560</v>
      </c>
      <c r="OA7" s="134">
        <v>2337778</v>
      </c>
      <c r="OB7" s="134">
        <v>4936</v>
      </c>
      <c r="OC7" s="133">
        <f t="shared" si="154"/>
        <v>306282</v>
      </c>
      <c r="OD7" s="151">
        <f t="shared" si="155"/>
        <v>0.13101415104428221</v>
      </c>
      <c r="OE7" s="134">
        <v>34103</v>
      </c>
      <c r="OF7" s="134">
        <v>100000</v>
      </c>
      <c r="OG7" s="134">
        <v>100000</v>
      </c>
      <c r="OH7" s="190">
        <f t="shared" si="156"/>
        <v>72179</v>
      </c>
      <c r="OI7" s="5380">
        <f t="shared" si="157"/>
        <v>3.087504459362694E-2</v>
      </c>
      <c r="OJ7" s="69">
        <v>93</v>
      </c>
      <c r="OK7" s="155">
        <f t="shared" si="158"/>
        <v>27208619</v>
      </c>
      <c r="OL7" s="155">
        <f t="shared" si="159"/>
        <v>3672924</v>
      </c>
      <c r="OM7" s="74">
        <f t="shared" si="160"/>
        <v>0.13499119525323944</v>
      </c>
      <c r="ON7" s="155">
        <f t="shared" si="161"/>
        <v>814353</v>
      </c>
      <c r="OO7" s="70"/>
      <c r="OP7" s="69"/>
      <c r="OQ7" s="1563">
        <v>94</v>
      </c>
      <c r="OR7" s="134">
        <v>2048514</v>
      </c>
      <c r="OS7" s="134">
        <v>2369725</v>
      </c>
      <c r="OT7" s="134">
        <v>5895</v>
      </c>
      <c r="OU7" s="133">
        <f t="shared" si="162"/>
        <v>315316</v>
      </c>
      <c r="OV7" s="94">
        <f>OU7/OS7</f>
        <v>0.13306016520904324</v>
      </c>
      <c r="OW7" s="133">
        <v>40500</v>
      </c>
      <c r="OX7" s="134">
        <v>50000</v>
      </c>
      <c r="OY7" s="134">
        <v>300000</v>
      </c>
      <c r="OZ7" s="190">
        <f t="shared" si="163"/>
        <v>-75184</v>
      </c>
      <c r="PA7" s="5361">
        <f>OZ7/OS7</f>
        <v>-3.1726888141029023E-2</v>
      </c>
      <c r="PB7" s="5320">
        <v>93</v>
      </c>
      <c r="PC7" s="134">
        <v>2034423</v>
      </c>
      <c r="PD7" s="134">
        <v>2391953</v>
      </c>
      <c r="PE7" s="134">
        <v>0</v>
      </c>
      <c r="PF7" s="133">
        <f t="shared" si="164"/>
        <v>357530</v>
      </c>
      <c r="PG7" s="94">
        <f>PF7/PD7</f>
        <v>0.14947200049499301</v>
      </c>
      <c r="PH7" s="133">
        <v>90000</v>
      </c>
      <c r="PI7" s="134">
        <v>50000</v>
      </c>
      <c r="PJ7" s="134">
        <v>200000</v>
      </c>
      <c r="PK7" s="190">
        <f t="shared" si="165"/>
        <v>17530</v>
      </c>
      <c r="PL7" s="135">
        <f>PK7/PD7</f>
        <v>7.3287393188745768E-3</v>
      </c>
      <c r="PM7" s="5379">
        <v>93</v>
      </c>
      <c r="PN7" s="134">
        <v>2022231</v>
      </c>
      <c r="PO7" s="134">
        <v>2448760</v>
      </c>
      <c r="PP7" s="134">
        <v>0</v>
      </c>
      <c r="PQ7" s="6293">
        <f t="shared" si="166"/>
        <v>426529</v>
      </c>
      <c r="PR7" s="6295">
        <f>PQ7/PO7</f>
        <v>0.17418162661918685</v>
      </c>
      <c r="PS7" s="134">
        <v>40500</v>
      </c>
      <c r="PT7" s="134">
        <v>100000</v>
      </c>
      <c r="PU7" s="134">
        <v>200000</v>
      </c>
      <c r="PV7" s="190">
        <f t="shared" si="167"/>
        <v>86029</v>
      </c>
      <c r="PW7" s="5380">
        <f>PV7/PO7</f>
        <v>3.5131658472042991E-2</v>
      </c>
      <c r="PX7" s="5320">
        <v>93</v>
      </c>
      <c r="PY7" s="191">
        <f t="shared" si="168"/>
        <v>7210438</v>
      </c>
      <c r="PZ7" s="191">
        <f t="shared" si="169"/>
        <v>1099375</v>
      </c>
      <c r="QA7" s="135">
        <f>PZ7/PY7</f>
        <v>0.1524699331718822</v>
      </c>
      <c r="QB7" s="5379">
        <v>91</v>
      </c>
      <c r="QC7" s="134">
        <v>1984082</v>
      </c>
      <c r="QD7" s="134">
        <v>2208685</v>
      </c>
      <c r="QE7" s="134"/>
      <c r="QF7" s="6293">
        <f t="shared" si="170"/>
        <v>224603</v>
      </c>
      <c r="QG7" s="6295">
        <f t="shared" si="171"/>
        <v>0.10169082508370365</v>
      </c>
      <c r="QH7" s="134">
        <v>40500</v>
      </c>
      <c r="QI7" s="134">
        <v>26400</v>
      </c>
      <c r="QJ7" s="134">
        <v>200000</v>
      </c>
      <c r="QK7" s="190">
        <f t="shared" si="172"/>
        <v>-42297</v>
      </c>
      <c r="QL7" s="5380">
        <f t="shared" si="173"/>
        <v>-1.915030889420628E-2</v>
      </c>
      <c r="QM7" s="5379">
        <v>93</v>
      </c>
      <c r="QN7" s="134">
        <v>2043405</v>
      </c>
      <c r="QO7" s="134">
        <v>2377088</v>
      </c>
      <c r="QP7" s="134">
        <v>2757</v>
      </c>
      <c r="QQ7" s="133">
        <f t="shared" si="174"/>
        <v>330926</v>
      </c>
      <c r="QR7" s="151">
        <f t="shared" si="175"/>
        <v>0.1392148713047224</v>
      </c>
      <c r="QS7" s="133">
        <v>40500</v>
      </c>
      <c r="QT7" s="134">
        <v>26400</v>
      </c>
      <c r="QU7" s="134">
        <v>200000</v>
      </c>
      <c r="QV7" s="190">
        <f t="shared" si="176"/>
        <v>64026</v>
      </c>
      <c r="QW7" s="5380">
        <f t="shared" si="177"/>
        <v>2.6934635991599808E-2</v>
      </c>
      <c r="QX7" s="5379">
        <v>94</v>
      </c>
      <c r="QY7" s="358">
        <v>2004669</v>
      </c>
      <c r="QZ7" s="358">
        <v>2585205</v>
      </c>
      <c r="RA7" s="134">
        <v>15344</v>
      </c>
      <c r="RB7" s="133">
        <f t="shared" si="178"/>
        <v>565192</v>
      </c>
      <c r="RC7" s="151">
        <f t="shared" si="179"/>
        <v>0.21862560222496863</v>
      </c>
      <c r="RD7" s="133">
        <v>40500</v>
      </c>
      <c r="RE7" s="134">
        <v>100000</v>
      </c>
      <c r="RF7" s="134">
        <v>200000</v>
      </c>
      <c r="RG7" s="190">
        <f t="shared" si="180"/>
        <v>224692</v>
      </c>
      <c r="RH7" s="5380">
        <f t="shared" si="181"/>
        <v>8.6914577373941329E-2</v>
      </c>
      <c r="RI7" s="5376"/>
      <c r="RJ7" s="191">
        <f t="shared" si="182"/>
        <v>7170978</v>
      </c>
      <c r="RK7" s="191">
        <f t="shared" si="183"/>
        <v>1120721</v>
      </c>
      <c r="RL7" s="5380">
        <f t="shared" si="184"/>
        <v>0.15628565587566995</v>
      </c>
      <c r="RM7" s="1562">
        <f t="shared" si="185"/>
        <v>-93</v>
      </c>
      <c r="RN7" s="128">
        <f t="shared" si="185"/>
        <v>-39460</v>
      </c>
      <c r="RO7" s="139">
        <f t="shared" si="185"/>
        <v>21346</v>
      </c>
      <c r="RP7" s="442">
        <f t="shared" si="186"/>
        <v>-1</v>
      </c>
      <c r="RQ7" s="442">
        <f t="shared" si="186"/>
        <v>-5.4726217741557451E-3</v>
      </c>
      <c r="RR7" s="6339">
        <f t="shared" si="186"/>
        <v>1.9416486640136441E-2</v>
      </c>
      <c r="RS7" s="6327">
        <v>92</v>
      </c>
      <c r="RT7" s="208">
        <v>2381511</v>
      </c>
      <c r="RU7" s="130">
        <v>2572295</v>
      </c>
      <c r="RV7" s="3546">
        <v>0</v>
      </c>
      <c r="RW7" s="133">
        <f t="shared" si="187"/>
        <v>190784</v>
      </c>
      <c r="RX7" s="151">
        <f t="shared" si="188"/>
        <v>7.4168787017041202E-2</v>
      </c>
      <c r="RY7" s="133">
        <v>0</v>
      </c>
      <c r="RZ7" s="134">
        <v>100000</v>
      </c>
      <c r="SA7" s="134">
        <v>50000</v>
      </c>
      <c r="SB7" s="190">
        <f t="shared" si="189"/>
        <v>40784</v>
      </c>
      <c r="SC7" s="5380">
        <f t="shared" si="190"/>
        <v>1.5855102155856931E-2</v>
      </c>
      <c r="SD7" s="5405">
        <v>93</v>
      </c>
      <c r="SE7" s="130">
        <v>2209583</v>
      </c>
      <c r="SF7" s="130">
        <v>2526711</v>
      </c>
      <c r="SG7" s="606">
        <v>0</v>
      </c>
      <c r="SH7" s="6361">
        <f t="shared" si="191"/>
        <v>317128</v>
      </c>
      <c r="SI7" s="6363">
        <f t="shared" si="192"/>
        <v>0.12551019883160361</v>
      </c>
      <c r="SJ7" s="6358">
        <v>185100</v>
      </c>
      <c r="SK7" s="134">
        <v>39295</v>
      </c>
      <c r="SL7" s="134">
        <v>50000</v>
      </c>
      <c r="SM7" s="190">
        <f t="shared" si="193"/>
        <v>42733</v>
      </c>
      <c r="SN7" s="5380">
        <f t="shared" si="194"/>
        <v>1.6912500084101428E-2</v>
      </c>
      <c r="SO7" s="134">
        <v>94</v>
      </c>
      <c r="SP7" s="134">
        <v>2204739</v>
      </c>
      <c r="SQ7" s="134">
        <v>2585727</v>
      </c>
      <c r="SR7" s="134">
        <v>1520</v>
      </c>
      <c r="SS7" s="6361">
        <f t="shared" si="195"/>
        <v>379468</v>
      </c>
      <c r="ST7" s="6363">
        <f t="shared" si="196"/>
        <v>0.1467548584982096</v>
      </c>
      <c r="SU7" s="6358">
        <v>31677</v>
      </c>
      <c r="SV7" s="134">
        <v>39295</v>
      </c>
      <c r="SW7" s="134">
        <v>50000</v>
      </c>
      <c r="SX7" s="190">
        <f t="shared" si="197"/>
        <v>258496</v>
      </c>
      <c r="SY7" s="5380">
        <f t="shared" si="198"/>
        <v>9.9970337162430534E-2</v>
      </c>
      <c r="SZ7" s="6270"/>
      <c r="TA7" s="118">
        <f t="shared" si="199"/>
        <v>7684733</v>
      </c>
      <c r="TB7" s="118">
        <f t="shared" si="200"/>
        <v>887380</v>
      </c>
      <c r="TC7" s="5380">
        <f t="shared" si="201"/>
        <v>0.11547310752370968</v>
      </c>
      <c r="TD7" s="209">
        <v>94</v>
      </c>
      <c r="TE7" s="208">
        <v>2215474</v>
      </c>
      <c r="TF7" s="208">
        <v>2601279</v>
      </c>
      <c r="TG7" s="134"/>
      <c r="TH7" s="133">
        <f t="shared" si="202"/>
        <v>385805</v>
      </c>
      <c r="TI7" s="151">
        <f t="shared" si="203"/>
        <v>0.14831357958911751</v>
      </c>
      <c r="TJ7" s="134">
        <v>144000</v>
      </c>
      <c r="TK7" s="134">
        <v>39295</v>
      </c>
      <c r="TL7" s="134">
        <v>50000</v>
      </c>
      <c r="TM7" s="190">
        <f t="shared" si="204"/>
        <v>152510</v>
      </c>
      <c r="TN7" s="5380">
        <f t="shared" si="205"/>
        <v>5.8628851422703986E-2</v>
      </c>
      <c r="TO7" s="134"/>
      <c r="TP7" s="134"/>
      <c r="TQ7" s="134"/>
      <c r="TR7" s="134"/>
      <c r="TS7" s="133">
        <f t="shared" si="206"/>
        <v>0</v>
      </c>
      <c r="TT7" s="151" t="e">
        <f t="shared" si="207"/>
        <v>#DIV/0!</v>
      </c>
      <c r="TU7" s="134"/>
      <c r="TV7" s="134"/>
      <c r="TW7" s="134"/>
      <c r="TX7" s="190">
        <f t="shared" si="208"/>
        <v>0</v>
      </c>
      <c r="TY7" s="135" t="e">
        <f t="shared" si="209"/>
        <v>#DIV/0!</v>
      </c>
      <c r="TZ7" s="1563"/>
      <c r="UA7" s="134"/>
      <c r="UB7" s="134"/>
      <c r="UC7" s="134"/>
      <c r="UD7" s="133">
        <f t="shared" si="210"/>
        <v>0</v>
      </c>
      <c r="UE7" s="151" t="e">
        <f t="shared" si="211"/>
        <v>#DIV/0!</v>
      </c>
      <c r="UF7" s="134"/>
      <c r="UG7" s="134"/>
      <c r="UH7" s="134"/>
      <c r="UI7" s="190">
        <f t="shared" si="212"/>
        <v>0</v>
      </c>
      <c r="UJ7" s="5380" t="e">
        <f t="shared" si="213"/>
        <v>#DIV/0!</v>
      </c>
      <c r="UK7" s="5376"/>
      <c r="UL7" s="191">
        <f t="shared" si="214"/>
        <v>24667428</v>
      </c>
      <c r="UM7" s="191">
        <f t="shared" si="215"/>
        <v>3493281</v>
      </c>
      <c r="UN7" s="135">
        <f t="shared" si="216"/>
        <v>0.1416151290681785</v>
      </c>
      <c r="UO7" s="191">
        <f t="shared" si="217"/>
        <v>769319</v>
      </c>
      <c r="UP7" s="5380">
        <f t="shared" si="218"/>
        <v>3.1187645505644124E-2</v>
      </c>
    </row>
    <row r="8" spans="1:567" x14ac:dyDescent="0.3">
      <c r="A8" s="5316">
        <v>4</v>
      </c>
      <c r="B8" s="5360" t="s">
        <v>373</v>
      </c>
      <c r="C8" s="735" t="s">
        <v>442</v>
      </c>
      <c r="D8" s="578" t="s">
        <v>140</v>
      </c>
      <c r="E8" s="6279" t="s">
        <v>1035</v>
      </c>
      <c r="F8" s="579">
        <v>192.33333333333334</v>
      </c>
      <c r="G8" s="161">
        <v>13647309</v>
      </c>
      <c r="H8" s="161">
        <v>16686645</v>
      </c>
      <c r="I8" s="161">
        <v>3024311</v>
      </c>
      <c r="J8" s="351">
        <f t="shared" si="0"/>
        <v>0.18124140592671564</v>
      </c>
      <c r="K8" s="580">
        <v>239.66666666666666</v>
      </c>
      <c r="L8" s="161">
        <v>18037041</v>
      </c>
      <c r="M8" s="161">
        <v>21431191</v>
      </c>
      <c r="N8" s="161">
        <v>3366899</v>
      </c>
      <c r="O8" s="422"/>
      <c r="P8" s="580">
        <v>226</v>
      </c>
      <c r="Q8" s="161">
        <v>16951225</v>
      </c>
      <c r="R8" s="161">
        <v>20013004</v>
      </c>
      <c r="S8" s="161">
        <v>3025406</v>
      </c>
      <c r="T8" s="94"/>
      <c r="U8" s="136"/>
      <c r="V8" s="422"/>
      <c r="W8" s="422"/>
      <c r="X8" s="422"/>
      <c r="Y8" s="422"/>
      <c r="Z8" s="581"/>
      <c r="AA8" s="422"/>
      <c r="AB8" s="422"/>
      <c r="AC8" s="422"/>
      <c r="AD8" s="422"/>
      <c r="AE8" s="619">
        <f t="shared" si="1"/>
        <v>0</v>
      </c>
      <c r="AF8" s="422"/>
      <c r="AG8" s="113">
        <v>221</v>
      </c>
      <c r="AH8" s="616">
        <f>5350763+84540+85988</f>
        <v>5521291</v>
      </c>
      <c r="AI8" s="616">
        <v>6446228</v>
      </c>
      <c r="AJ8" s="616"/>
      <c r="AK8" s="105">
        <f t="shared" si="2"/>
        <v>924937</v>
      </c>
      <c r="AL8" s="114">
        <f t="shared" si="3"/>
        <v>0.14348499618691737</v>
      </c>
      <c r="AM8" s="129">
        <v>231667</v>
      </c>
      <c r="AN8" s="130">
        <f>131298*2</f>
        <v>262596</v>
      </c>
      <c r="AO8" s="130"/>
      <c r="AP8" s="130">
        <v>49383.651724137926</v>
      </c>
      <c r="AQ8" s="130">
        <f t="shared" si="4"/>
        <v>381290.34827586205</v>
      </c>
      <c r="AR8" s="114">
        <f t="shared" si="5"/>
        <v>0.41223385838804377</v>
      </c>
      <c r="AS8" s="113">
        <v>221</v>
      </c>
      <c r="AT8" s="213">
        <v>16083209</v>
      </c>
      <c r="AU8" s="130">
        <v>18820064</v>
      </c>
      <c r="AV8" s="130">
        <v>2689823</v>
      </c>
      <c r="AW8" s="114">
        <f t="shared" si="6"/>
        <v>0.14292315902857716</v>
      </c>
      <c r="AX8" s="617">
        <v>221</v>
      </c>
      <c r="AY8" s="241">
        <f t="shared" si="7"/>
        <v>64718784</v>
      </c>
      <c r="AZ8" s="241">
        <f t="shared" si="7"/>
        <v>76950904</v>
      </c>
      <c r="BA8" s="241">
        <f t="shared" si="7"/>
        <v>12106439</v>
      </c>
      <c r="BB8" s="135">
        <f t="shared" si="8"/>
        <v>0.15732679371771902</v>
      </c>
      <c r="BC8" s="636">
        <v>232</v>
      </c>
      <c r="BD8" s="619">
        <v>5587696</v>
      </c>
      <c r="BE8" s="619">
        <v>6414683</v>
      </c>
      <c r="BF8" s="619">
        <v>12150</v>
      </c>
      <c r="BG8" s="619">
        <f t="shared" si="9"/>
        <v>814837</v>
      </c>
      <c r="BH8" s="618"/>
      <c r="BI8" s="636">
        <v>219</v>
      </c>
      <c r="BJ8" s="619">
        <v>5403455</v>
      </c>
      <c r="BK8" s="619">
        <v>6043437</v>
      </c>
      <c r="BL8" s="619">
        <f>17438+4666</f>
        <v>22104</v>
      </c>
      <c r="BM8" s="619">
        <f t="shared" si="10"/>
        <v>617878</v>
      </c>
      <c r="BN8" s="618"/>
      <c r="BO8" s="620">
        <v>230</v>
      </c>
      <c r="BP8" s="619">
        <v>5577881</v>
      </c>
      <c r="BQ8" s="619">
        <v>6301823</v>
      </c>
      <c r="BR8" s="619">
        <v>9956</v>
      </c>
      <c r="BS8" s="619">
        <f t="shared" si="11"/>
        <v>713986</v>
      </c>
      <c r="BT8" s="1480">
        <f t="shared" si="12"/>
        <v>0.11329832653186228</v>
      </c>
      <c r="BU8" s="620">
        <v>230</v>
      </c>
      <c r="BV8" s="1481">
        <f t="shared" si="13"/>
        <v>18759943</v>
      </c>
      <c r="BW8" s="1481">
        <f t="shared" si="14"/>
        <v>2146701</v>
      </c>
      <c r="BX8" s="236">
        <f t="shared" si="15"/>
        <v>0.11443003851344324</v>
      </c>
      <c r="BY8" s="594">
        <v>234</v>
      </c>
      <c r="BZ8" s="595">
        <f>5537593+16908+80147</f>
        <v>5634648</v>
      </c>
      <c r="CA8" s="595">
        <v>6393470</v>
      </c>
      <c r="CB8" s="595">
        <v>38551</v>
      </c>
      <c r="CC8" s="596">
        <f t="shared" si="16"/>
        <v>720271</v>
      </c>
      <c r="CD8" s="597">
        <f t="shared" si="17"/>
        <v>0.11265728939058132</v>
      </c>
      <c r="CE8" s="598">
        <v>561287</v>
      </c>
      <c r="CF8" s="599">
        <v>235306</v>
      </c>
      <c r="CG8" s="599"/>
      <c r="CH8" s="599">
        <v>74304.057692307688</v>
      </c>
      <c r="CI8" s="599">
        <f t="shared" si="18"/>
        <v>-150626.05769230769</v>
      </c>
      <c r="CJ8" s="597">
        <f t="shared" si="19"/>
        <v>-2.3559359423334699E-2</v>
      </c>
      <c r="CK8" s="600">
        <v>242</v>
      </c>
      <c r="CL8" s="601">
        <f>5783640+77536+51894+15794</f>
        <v>5928864</v>
      </c>
      <c r="CM8" s="601">
        <v>6794621</v>
      </c>
      <c r="CN8" s="601">
        <v>24164</v>
      </c>
      <c r="CO8" s="96">
        <f t="shared" si="20"/>
        <v>841593</v>
      </c>
      <c r="CP8" s="602">
        <f t="shared" si="21"/>
        <v>0.12386165468243188</v>
      </c>
      <c r="CQ8" s="603">
        <v>146287</v>
      </c>
      <c r="CR8" s="603">
        <v>99658.273076923069</v>
      </c>
      <c r="CS8" s="603"/>
      <c r="CT8" s="603">
        <v>147101.18634615382</v>
      </c>
      <c r="CU8" s="603">
        <f t="shared" si="22"/>
        <v>448546.54057692306</v>
      </c>
      <c r="CV8" s="604">
        <f t="shared" si="23"/>
        <v>6.6014946319584725E-2</v>
      </c>
      <c r="CW8" s="129">
        <v>269</v>
      </c>
      <c r="CX8" s="130">
        <v>6277169</v>
      </c>
      <c r="CY8" s="130">
        <v>7360882</v>
      </c>
      <c r="CZ8" s="130">
        <v>64882</v>
      </c>
      <c r="DA8" s="605">
        <f t="shared" si="24"/>
        <v>1018831</v>
      </c>
      <c r="DB8" s="114">
        <f t="shared" si="25"/>
        <v>0.13841153818251672</v>
      </c>
      <c r="DC8" s="138">
        <f>142372+31000</f>
        <v>173372</v>
      </c>
      <c r="DD8" s="606">
        <f>113817.958333333*4</f>
        <v>455271.83333333198</v>
      </c>
      <c r="DE8" s="130"/>
      <c r="DF8" s="130">
        <f>121185.013541667*2</f>
        <v>242370.02708333399</v>
      </c>
      <c r="DG8" s="128">
        <f t="shared" si="26"/>
        <v>147817.13958333404</v>
      </c>
      <c r="DH8" s="169">
        <f t="shared" si="27"/>
        <v>2.0081443987735984E-2</v>
      </c>
      <c r="DI8" s="204">
        <f t="shared" si="28"/>
        <v>248.33333333333334</v>
      </c>
      <c r="DJ8" s="202">
        <f t="shared" si="29"/>
        <v>20548973</v>
      </c>
      <c r="DK8" s="202">
        <f t="shared" si="30"/>
        <v>2580695</v>
      </c>
      <c r="DL8" s="119">
        <f t="shared" si="31"/>
        <v>0.12558754152823112</v>
      </c>
      <c r="DM8" s="202">
        <f t="shared" si="32"/>
        <v>445737.6224679494</v>
      </c>
      <c r="DN8" s="119">
        <f t="shared" si="33"/>
        <v>2.1691479300106599E-2</v>
      </c>
      <c r="DO8" s="607">
        <f t="shared" si="34"/>
        <v>48</v>
      </c>
      <c r="DP8" s="137">
        <f t="shared" si="34"/>
        <v>755878</v>
      </c>
      <c r="DQ8" s="137">
        <f t="shared" si="34"/>
        <v>914654</v>
      </c>
      <c r="DR8" s="137">
        <f t="shared" si="35"/>
        <v>93894</v>
      </c>
      <c r="DS8" s="135">
        <f t="shared" si="36"/>
        <v>0.21719457013574661</v>
      </c>
      <c r="DT8" s="135">
        <f t="shared" si="37"/>
        <v>0.11725896136469266</v>
      </c>
      <c r="DU8" s="135">
        <f t="shared" si="38"/>
        <v>0.9888824860504013</v>
      </c>
      <c r="DV8" s="151">
        <f t="shared" si="39"/>
        <v>0.24625328289733697</v>
      </c>
      <c r="DW8" s="607">
        <f t="shared" si="40"/>
        <v>27</v>
      </c>
      <c r="DX8" s="608">
        <f t="shared" si="41"/>
        <v>566261</v>
      </c>
      <c r="DY8" s="608">
        <f t="shared" si="42"/>
        <v>177238</v>
      </c>
      <c r="DZ8" s="608">
        <f t="shared" si="43"/>
        <v>-300729.40099358902</v>
      </c>
      <c r="EA8" s="135">
        <f t="shared" si="44"/>
        <v>0.1115702479338843</v>
      </c>
      <c r="EB8" s="135">
        <f t="shared" si="45"/>
        <v>8.3339600545784667E-2</v>
      </c>
      <c r="EC8" s="135">
        <f t="shared" si="46"/>
        <v>0.21059823453854773</v>
      </c>
      <c r="ED8" s="151">
        <f t="shared" si="219"/>
        <v>-0.67045306069419064</v>
      </c>
      <c r="EE8" s="129">
        <v>294</v>
      </c>
      <c r="EF8" s="130">
        <v>7264384</v>
      </c>
      <c r="EG8" s="130">
        <v>8168154</v>
      </c>
      <c r="EH8" s="130">
        <v>34323</v>
      </c>
      <c r="EI8" s="605">
        <f t="shared" si="47"/>
        <v>869447</v>
      </c>
      <c r="EJ8" s="114">
        <f t="shared" si="48"/>
        <v>0.10644351220606271</v>
      </c>
      <c r="EK8" s="138">
        <v>117372</v>
      </c>
      <c r="EL8" s="606">
        <v>322116.66499999998</v>
      </c>
      <c r="EM8" s="130">
        <v>0</v>
      </c>
      <c r="EN8" s="130">
        <v>96058.455729166672</v>
      </c>
      <c r="EO8" s="128">
        <f t="shared" si="49"/>
        <v>333899.87927083333</v>
      </c>
      <c r="EP8" s="114">
        <f t="shared" si="50"/>
        <v>4.0878254654703294E-2</v>
      </c>
      <c r="EQ8" s="129">
        <v>287</v>
      </c>
      <c r="ER8" s="595">
        <v>7068478</v>
      </c>
      <c r="ES8" s="595">
        <v>8115775</v>
      </c>
      <c r="ET8" s="130">
        <v>48170</v>
      </c>
      <c r="EU8" s="134">
        <f t="shared" si="51"/>
        <v>999127</v>
      </c>
      <c r="EV8" s="114">
        <f t="shared" si="52"/>
        <v>0.12310925327525714</v>
      </c>
      <c r="EW8" s="138">
        <v>117372</v>
      </c>
      <c r="EX8" s="606">
        <f>296085.0425*2</f>
        <v>592170.08499999996</v>
      </c>
      <c r="EY8" s="130">
        <v>0</v>
      </c>
      <c r="EZ8" s="128">
        <v>184967.74562500001</v>
      </c>
      <c r="FA8" s="128">
        <f t="shared" si="53"/>
        <v>104617.16937500003</v>
      </c>
      <c r="FB8" s="114">
        <f t="shared" si="54"/>
        <v>1.2890595091041832E-2</v>
      </c>
      <c r="FC8" s="643">
        <f t="shared" si="55"/>
        <v>66</v>
      </c>
      <c r="FD8" s="644">
        <f t="shared" si="56"/>
        <v>1669547</v>
      </c>
      <c r="FE8" s="644">
        <f t="shared" si="57"/>
        <v>74190</v>
      </c>
      <c r="FF8" s="644">
        <f t="shared" si="58"/>
        <v>-276673.178900862</v>
      </c>
      <c r="FG8" s="74">
        <f t="shared" si="59"/>
        <v>0.29864253393665158</v>
      </c>
      <c r="FH8" s="74">
        <f t="shared" si="60"/>
        <v>0.25899595856677737</v>
      </c>
      <c r="FI8" s="74">
        <f t="shared" si="61"/>
        <v>8.0210868415902928E-2</v>
      </c>
      <c r="FJ8" s="73">
        <f t="shared" si="62"/>
        <v>-0.72562334754062552</v>
      </c>
      <c r="FK8" s="133">
        <v>282</v>
      </c>
      <c r="FL8" s="134">
        <v>7160974</v>
      </c>
      <c r="FM8" s="134">
        <v>8183903</v>
      </c>
      <c r="FN8" s="134">
        <v>54065</v>
      </c>
      <c r="FO8" s="134">
        <f t="shared" si="63"/>
        <v>968864</v>
      </c>
      <c r="FP8" s="135">
        <f t="shared" si="64"/>
        <v>0.1183865449040635</v>
      </c>
      <c r="FQ8" s="133">
        <v>117372</v>
      </c>
      <c r="FR8" s="134">
        <f>223379.934+150000</f>
        <v>373379.93400000001</v>
      </c>
      <c r="FS8" s="134">
        <v>430164.6</v>
      </c>
      <c r="FT8" s="191">
        <f t="shared" si="65"/>
        <v>47947.466000000015</v>
      </c>
      <c r="FU8" s="151">
        <f t="shared" si="66"/>
        <v>5.8587529690906671E-3</v>
      </c>
      <c r="FV8" s="190">
        <f t="shared" si="67"/>
        <v>61</v>
      </c>
      <c r="FW8" s="191">
        <f t="shared" si="67"/>
        <v>1639683</v>
      </c>
      <c r="FX8" s="191">
        <f t="shared" si="67"/>
        <v>1737675</v>
      </c>
      <c r="FY8" s="191">
        <f t="shared" si="68"/>
        <v>43927</v>
      </c>
      <c r="FZ8" s="191">
        <f t="shared" si="69"/>
        <v>-333342.88227586204</v>
      </c>
      <c r="GA8" s="135">
        <f t="shared" si="70"/>
        <v>0.27601809954751133</v>
      </c>
      <c r="GB8" s="135">
        <f t="shared" si="71"/>
        <v>0.2695646198055669</v>
      </c>
      <c r="GC8" s="135">
        <f t="shared" si="72"/>
        <v>4.7491883230966002E-2</v>
      </c>
      <c r="GD8" s="151">
        <f t="shared" si="73"/>
        <v>-0.87424946312747942</v>
      </c>
      <c r="GE8" s="187">
        <f t="shared" si="74"/>
        <v>287.66666666666669</v>
      </c>
      <c r="GF8" s="155">
        <f t="shared" si="75"/>
        <v>24467832</v>
      </c>
      <c r="GG8" s="155">
        <f t="shared" si="76"/>
        <v>2837438</v>
      </c>
      <c r="GH8" s="74">
        <f t="shared" si="77"/>
        <v>0.11596605698453381</v>
      </c>
      <c r="GI8" s="613">
        <f t="shared" si="78"/>
        <v>486464.51464583341</v>
      </c>
      <c r="GJ8" s="187">
        <f t="shared" si="79"/>
        <v>39.333333333333343</v>
      </c>
      <c r="GK8" s="155">
        <f t="shared" si="79"/>
        <v>3918859</v>
      </c>
      <c r="GL8" s="155">
        <f t="shared" si="79"/>
        <v>256743</v>
      </c>
      <c r="GM8" s="613">
        <f t="shared" si="80"/>
        <v>40726.892177884001</v>
      </c>
      <c r="GN8" s="133">
        <v>265</v>
      </c>
      <c r="GO8" s="134">
        <v>6553422</v>
      </c>
      <c r="GP8" s="134">
        <v>7247962</v>
      </c>
      <c r="GQ8" s="134">
        <v>69322</v>
      </c>
      <c r="GR8" s="134">
        <f t="shared" si="81"/>
        <v>625218</v>
      </c>
      <c r="GS8" s="135">
        <f t="shared" si="82"/>
        <v>8.6261213841904799E-2</v>
      </c>
      <c r="GT8" s="133">
        <f>140611+16000+1266</f>
        <v>157877</v>
      </c>
      <c r="GU8" s="134">
        <v>100000</v>
      </c>
      <c r="GV8" s="134">
        <v>0</v>
      </c>
      <c r="GW8" s="134">
        <v>230387.4</v>
      </c>
      <c r="GX8" s="190">
        <f t="shared" si="83"/>
        <v>136953.59999999998</v>
      </c>
      <c r="GY8" s="151">
        <f t="shared" si="84"/>
        <v>1.8895463304029459E-2</v>
      </c>
      <c r="GZ8" s="614">
        <v>265</v>
      </c>
      <c r="HA8" s="130">
        <v>6499474</v>
      </c>
      <c r="HB8" s="130">
        <v>7706615</v>
      </c>
      <c r="HC8" s="130">
        <v>42557</v>
      </c>
      <c r="HD8" s="134">
        <f t="shared" si="85"/>
        <v>1164584</v>
      </c>
      <c r="HE8" s="151">
        <f t="shared" si="86"/>
        <v>0.15111485392743768</v>
      </c>
      <c r="HF8" s="138">
        <f>92460+16000+17157</f>
        <v>125617</v>
      </c>
      <c r="HG8" s="130">
        <f>186946*4</f>
        <v>747784</v>
      </c>
      <c r="HH8" s="130"/>
      <c r="HI8" s="130">
        <v>375313.25</v>
      </c>
      <c r="HJ8" s="197">
        <f t="shared" si="87"/>
        <v>-84130.25</v>
      </c>
      <c r="HK8" s="201">
        <f t="shared" si="88"/>
        <v>-1.0916628117532795E-2</v>
      </c>
      <c r="HL8" s="1365">
        <v>249</v>
      </c>
      <c r="HM8" s="148">
        <v>6156960</v>
      </c>
      <c r="HN8" s="148">
        <v>7481452</v>
      </c>
      <c r="HO8" s="134">
        <v>77289</v>
      </c>
      <c r="HP8" s="615">
        <f t="shared" si="89"/>
        <v>1247203</v>
      </c>
      <c r="HQ8" s="201">
        <f t="shared" si="90"/>
        <v>0.16670600840585489</v>
      </c>
      <c r="HR8" s="133">
        <f>149007+59466</f>
        <v>208473</v>
      </c>
      <c r="HS8" s="134">
        <v>558495.74</v>
      </c>
      <c r="HT8" s="134"/>
      <c r="HU8" s="134">
        <v>349385.7</v>
      </c>
      <c r="HV8" s="191">
        <f t="shared" si="91"/>
        <v>130848.56000000006</v>
      </c>
      <c r="HW8" s="151">
        <f t="shared" si="92"/>
        <v>1.7489727929818979E-2</v>
      </c>
      <c r="HX8" s="414">
        <v>249</v>
      </c>
      <c r="HY8" s="241">
        <f t="shared" si="93"/>
        <v>22436029</v>
      </c>
      <c r="HZ8" s="415">
        <f t="shared" si="94"/>
        <v>3037005</v>
      </c>
      <c r="IA8" s="135"/>
      <c r="IB8" s="415">
        <f t="shared" si="95"/>
        <v>183671.91000000003</v>
      </c>
      <c r="IC8" s="141"/>
      <c r="ID8" s="642">
        <v>249</v>
      </c>
      <c r="IE8" s="141">
        <f t="shared" si="96"/>
        <v>86212777</v>
      </c>
      <c r="IF8" s="141">
        <f t="shared" si="96"/>
        <v>10601839</v>
      </c>
      <c r="IG8" s="74">
        <f t="shared" si="97"/>
        <v>0.12297294402197484</v>
      </c>
      <c r="IH8" s="1507"/>
      <c r="II8" s="69"/>
      <c r="IJ8" s="133">
        <v>232</v>
      </c>
      <c r="IK8" s="134">
        <v>5778639</v>
      </c>
      <c r="IL8" s="134">
        <v>6863543</v>
      </c>
      <c r="IM8" s="134">
        <f>123842+16623</f>
        <v>140465</v>
      </c>
      <c r="IN8" s="133">
        <f>IL8-(IK8+IM8)-70</f>
        <v>944369</v>
      </c>
      <c r="IO8" s="151">
        <f t="shared" si="98"/>
        <v>0.13759205704692168</v>
      </c>
      <c r="IP8" s="133">
        <v>55809</v>
      </c>
      <c r="IQ8" s="134">
        <v>550000</v>
      </c>
      <c r="IR8" s="134">
        <v>300000</v>
      </c>
      <c r="IS8" s="190">
        <f t="shared" si="99"/>
        <v>38560</v>
      </c>
      <c r="IT8" s="151">
        <f t="shared" si="100"/>
        <v>5.6180896659349258E-3</v>
      </c>
      <c r="IU8" s="621">
        <v>230</v>
      </c>
      <c r="IV8" s="358">
        <v>5612014</v>
      </c>
      <c r="IW8" s="358">
        <v>6670541</v>
      </c>
      <c r="IX8" s="134">
        <v>16513</v>
      </c>
      <c r="IY8" s="133">
        <f t="shared" si="101"/>
        <v>1042014</v>
      </c>
      <c r="IZ8" s="151">
        <f t="shared" si="102"/>
        <v>0.15621131779266478</v>
      </c>
      <c r="JA8" s="133">
        <v>266666</v>
      </c>
      <c r="JB8" s="134">
        <v>346073</v>
      </c>
      <c r="JC8" s="134">
        <v>300000</v>
      </c>
      <c r="JD8" s="190">
        <f t="shared" si="103"/>
        <v>129275</v>
      </c>
      <c r="JE8" s="151">
        <f t="shared" si="104"/>
        <v>1.9379987320368768E-2</v>
      </c>
      <c r="JF8" s="621">
        <v>221</v>
      </c>
      <c r="JG8" s="358">
        <v>5412827</v>
      </c>
      <c r="JH8" s="358">
        <v>6320531</v>
      </c>
      <c r="JI8" s="134">
        <v>105541</v>
      </c>
      <c r="JJ8" s="133">
        <f t="shared" si="105"/>
        <v>802163</v>
      </c>
      <c r="JK8" s="151">
        <f t="shared" si="106"/>
        <v>0.12691386214227887</v>
      </c>
      <c r="JL8" s="133">
        <f>28977</f>
        <v>28977</v>
      </c>
      <c r="JM8" s="134">
        <f>207941+222000</f>
        <v>429941</v>
      </c>
      <c r="JN8" s="134">
        <v>250000</v>
      </c>
      <c r="JO8" s="190">
        <f t="shared" si="107"/>
        <v>93245</v>
      </c>
      <c r="JP8" s="151">
        <f t="shared" si="108"/>
        <v>1.4752716187927881E-2</v>
      </c>
      <c r="JQ8" s="621">
        <v>221</v>
      </c>
      <c r="JR8" s="191">
        <f t="shared" si="109"/>
        <v>19854615</v>
      </c>
      <c r="JS8" s="191">
        <f t="shared" si="110"/>
        <v>2788546</v>
      </c>
      <c r="JT8" s="151">
        <f t="shared" si="111"/>
        <v>0.14044825346651144</v>
      </c>
      <c r="JU8" s="621">
        <v>227</v>
      </c>
      <c r="JV8" s="358">
        <v>6008367</v>
      </c>
      <c r="JW8" s="358">
        <v>6900000</v>
      </c>
      <c r="JX8" s="134">
        <v>41488</v>
      </c>
      <c r="JY8" s="133">
        <f t="shared" si="112"/>
        <v>850145</v>
      </c>
      <c r="JZ8" s="151">
        <f t="shared" si="113"/>
        <v>0.12320942028985507</v>
      </c>
      <c r="KA8" s="133">
        <v>261218</v>
      </c>
      <c r="KB8" s="134">
        <v>200000</v>
      </c>
      <c r="KC8" s="134">
        <v>350000</v>
      </c>
      <c r="KD8" s="190">
        <f t="shared" si="114"/>
        <v>38927</v>
      </c>
      <c r="KE8" s="151">
        <f t="shared" si="115"/>
        <v>5.641594202898551E-3</v>
      </c>
      <c r="KF8" s="621">
        <v>205</v>
      </c>
      <c r="KG8" s="358">
        <v>6372192</v>
      </c>
      <c r="KH8" s="358">
        <v>7635365</v>
      </c>
      <c r="KI8" s="134">
        <v>96077</v>
      </c>
      <c r="KJ8" s="133">
        <f t="shared" si="116"/>
        <v>1167096</v>
      </c>
      <c r="KK8" s="151">
        <f t="shared" si="117"/>
        <v>0.15285398929848149</v>
      </c>
      <c r="KL8" s="133">
        <v>191667</v>
      </c>
      <c r="KM8" s="134">
        <v>424682.74687500001</v>
      </c>
      <c r="KN8" s="134">
        <v>425566.53333333338</v>
      </c>
      <c r="KO8" s="190">
        <f t="shared" si="118"/>
        <v>125179.7197916666</v>
      </c>
      <c r="KP8" s="151">
        <f t="shared" si="119"/>
        <v>1.6394726354492104E-2</v>
      </c>
      <c r="KQ8" s="621">
        <v>173</v>
      </c>
      <c r="KR8" s="358">
        <v>5672636</v>
      </c>
      <c r="KS8" s="358">
        <v>6786908</v>
      </c>
      <c r="KT8" s="134">
        <v>116250</v>
      </c>
      <c r="KU8" s="133">
        <f t="shared" si="120"/>
        <v>998022</v>
      </c>
      <c r="KV8" s="151">
        <f t="shared" si="121"/>
        <v>0.14705105771287896</v>
      </c>
      <c r="KW8" s="133"/>
      <c r="KX8" s="134">
        <v>582860.92333333334</v>
      </c>
      <c r="KY8" s="134">
        <v>400000</v>
      </c>
      <c r="KZ8" s="190">
        <f t="shared" si="122"/>
        <v>15161.07666666666</v>
      </c>
      <c r="LA8" s="151">
        <f t="shared" si="123"/>
        <v>2.2338709566516388E-3</v>
      </c>
      <c r="LB8" s="402">
        <v>173</v>
      </c>
      <c r="LC8" s="191">
        <f t="shared" si="124"/>
        <v>21322273</v>
      </c>
      <c r="LD8" s="191">
        <f t="shared" si="125"/>
        <v>3015263</v>
      </c>
      <c r="LE8" s="151">
        <f t="shared" si="126"/>
        <v>0.14141376953573384</v>
      </c>
      <c r="LF8" s="226">
        <f t="shared" si="127"/>
        <v>-48</v>
      </c>
      <c r="LG8" s="128">
        <f t="shared" si="127"/>
        <v>1467658</v>
      </c>
      <c r="LH8" s="139">
        <f t="shared" si="127"/>
        <v>226717</v>
      </c>
      <c r="LI8" s="442">
        <f t="shared" si="128"/>
        <v>-0.21719457013574661</v>
      </c>
      <c r="LJ8" s="442">
        <f t="shared" si="128"/>
        <v>7.3920244739069482E-2</v>
      </c>
      <c r="LK8" s="106">
        <f t="shared" si="128"/>
        <v>8.1302944258405632E-2</v>
      </c>
      <c r="LL8" s="621">
        <v>159</v>
      </c>
      <c r="LM8" s="358">
        <v>5357379</v>
      </c>
      <c r="LN8" s="358">
        <v>6422655</v>
      </c>
      <c r="LO8" s="134">
        <v>79414</v>
      </c>
      <c r="LP8" s="133">
        <f t="shared" si="129"/>
        <v>985862</v>
      </c>
      <c r="LQ8" s="151">
        <f t="shared" si="130"/>
        <v>0.1534975800506177</v>
      </c>
      <c r="LR8" s="133">
        <v>147042</v>
      </c>
      <c r="LS8" s="134">
        <v>150000</v>
      </c>
      <c r="LT8" s="134">
        <f>700000+78372</f>
        <v>778372</v>
      </c>
      <c r="LU8" s="190">
        <f t="shared" si="131"/>
        <v>-89552</v>
      </c>
      <c r="LV8" s="151">
        <f t="shared" si="132"/>
        <v>-1.3943143450800331E-2</v>
      </c>
      <c r="LW8" s="134">
        <v>154</v>
      </c>
      <c r="LX8" s="134">
        <v>5246307</v>
      </c>
      <c r="LY8" s="134">
        <v>6222798</v>
      </c>
      <c r="LZ8" s="134">
        <v>25727</v>
      </c>
      <c r="MA8" s="133">
        <f t="shared" si="133"/>
        <v>950764</v>
      </c>
      <c r="MB8" s="151">
        <f t="shared" si="134"/>
        <v>0.15278721886842542</v>
      </c>
      <c r="MC8" s="134"/>
      <c r="MD8" s="134">
        <v>170000</v>
      </c>
      <c r="ME8" s="134">
        <v>778372</v>
      </c>
      <c r="MF8" s="190">
        <f t="shared" si="135"/>
        <v>2392</v>
      </c>
      <c r="MG8" s="151">
        <f t="shared" si="136"/>
        <v>3.8439300134762532E-4</v>
      </c>
      <c r="MH8" s="134">
        <v>119</v>
      </c>
      <c r="MI8" s="134">
        <v>4359856</v>
      </c>
      <c r="MJ8" s="134">
        <v>4876730</v>
      </c>
      <c r="MK8" s="134">
        <v>134139</v>
      </c>
      <c r="ML8" s="133">
        <f t="shared" si="137"/>
        <v>382735</v>
      </c>
      <c r="MM8" s="151">
        <f t="shared" si="138"/>
        <v>7.8481892579658916E-2</v>
      </c>
      <c r="MN8" s="134"/>
      <c r="MO8" s="134">
        <v>280000</v>
      </c>
      <c r="MP8" s="134">
        <v>100000</v>
      </c>
      <c r="MQ8" s="190">
        <f t="shared" si="139"/>
        <v>2735</v>
      </c>
      <c r="MR8" s="151">
        <f t="shared" si="140"/>
        <v>5.6082661947657545E-4</v>
      </c>
      <c r="MS8" s="1472">
        <v>119</v>
      </c>
      <c r="MT8" s="118">
        <f t="shared" si="141"/>
        <v>17522183</v>
      </c>
      <c r="MU8" s="118">
        <f t="shared" si="142"/>
        <v>2319361</v>
      </c>
      <c r="MV8" s="135">
        <f t="shared" si="143"/>
        <v>0.13236712571715523</v>
      </c>
      <c r="MW8" s="133">
        <f t="shared" si="144"/>
        <v>-54</v>
      </c>
      <c r="MX8" s="134">
        <f t="shared" si="144"/>
        <v>-3800090</v>
      </c>
      <c r="MY8" s="134">
        <f t="shared" si="144"/>
        <v>-695902</v>
      </c>
      <c r="MZ8" s="135">
        <f t="shared" si="145"/>
        <v>-0.31213872832369943</v>
      </c>
      <c r="NA8" s="135">
        <f t="shared" si="145"/>
        <v>-0.17822161830495276</v>
      </c>
      <c r="NB8" s="151">
        <f t="shared" si="145"/>
        <v>-0.23079313479454364</v>
      </c>
      <c r="NC8" s="134">
        <v>129</v>
      </c>
      <c r="ND8" s="134">
        <v>4393819</v>
      </c>
      <c r="NE8" s="134">
        <v>5108974</v>
      </c>
      <c r="NF8" s="134">
        <v>24338</v>
      </c>
      <c r="NG8" s="133">
        <f t="shared" si="146"/>
        <v>690817</v>
      </c>
      <c r="NH8" s="151">
        <f t="shared" si="147"/>
        <v>0.13521638591231822</v>
      </c>
      <c r="NI8" s="134">
        <v>112988</v>
      </c>
      <c r="NJ8" s="134">
        <v>150000</v>
      </c>
      <c r="NK8" s="134">
        <v>100000</v>
      </c>
      <c r="NL8" s="190">
        <f t="shared" si="148"/>
        <v>327829</v>
      </c>
      <c r="NM8" s="135">
        <f t="shared" si="149"/>
        <v>6.4167286817274863E-2</v>
      </c>
      <c r="NN8" s="1563">
        <v>130</v>
      </c>
      <c r="NO8" s="134">
        <v>4549523</v>
      </c>
      <c r="NP8" s="134">
        <v>5273770</v>
      </c>
      <c r="NQ8" s="134">
        <v>43150</v>
      </c>
      <c r="NR8" s="133">
        <f t="shared" si="150"/>
        <v>681097</v>
      </c>
      <c r="NS8" s="151">
        <f t="shared" si="151"/>
        <v>0.12914802882947113</v>
      </c>
      <c r="NT8" s="134">
        <f>64276+29976</f>
        <v>94252</v>
      </c>
      <c r="NU8" s="134">
        <f>350000+34000+15000</f>
        <v>399000</v>
      </c>
      <c r="NV8" s="134">
        <v>100000</v>
      </c>
      <c r="NW8" s="190">
        <f t="shared" si="152"/>
        <v>87845</v>
      </c>
      <c r="NX8" s="135">
        <f t="shared" si="153"/>
        <v>1.6656964562352928E-2</v>
      </c>
      <c r="NY8" s="1563">
        <v>143</v>
      </c>
      <c r="NZ8" s="134">
        <v>4722892</v>
      </c>
      <c r="OA8" s="134">
        <v>5519648</v>
      </c>
      <c r="OB8" s="134">
        <v>31064</v>
      </c>
      <c r="OC8" s="133">
        <f t="shared" si="154"/>
        <v>765692</v>
      </c>
      <c r="OD8" s="151">
        <f t="shared" si="155"/>
        <v>0.13872116482790206</v>
      </c>
      <c r="OE8" s="134">
        <f>64276+29976</f>
        <v>94252</v>
      </c>
      <c r="OF8" s="134">
        <f>350000+34000+15000</f>
        <v>399000</v>
      </c>
      <c r="OG8" s="134">
        <v>100000</v>
      </c>
      <c r="OH8" s="190">
        <f t="shared" si="156"/>
        <v>172440</v>
      </c>
      <c r="OI8" s="5380">
        <f t="shared" si="157"/>
        <v>3.1241122622312146E-2</v>
      </c>
      <c r="OJ8" s="69">
        <v>143</v>
      </c>
      <c r="OK8" s="155">
        <f t="shared" si="158"/>
        <v>73693759</v>
      </c>
      <c r="OL8" s="155">
        <f t="shared" si="159"/>
        <v>9564154</v>
      </c>
      <c r="OM8" s="74">
        <f t="shared" si="160"/>
        <v>0.12978241481751529</v>
      </c>
      <c r="ON8" s="155">
        <f t="shared" si="161"/>
        <v>1100791.7964583333</v>
      </c>
      <c r="OO8" s="70"/>
      <c r="OP8" s="69"/>
      <c r="OQ8" s="1563">
        <v>147</v>
      </c>
      <c r="OR8" s="134">
        <v>5012317.68</v>
      </c>
      <c r="OS8" s="134">
        <v>5930901</v>
      </c>
      <c r="OT8" s="134">
        <v>37149</v>
      </c>
      <c r="OU8" s="133">
        <f t="shared" si="162"/>
        <v>881434.3200000003</v>
      </c>
      <c r="OV8" s="94">
        <f>OU8/OS8</f>
        <v>0.14861727079915857</v>
      </c>
      <c r="OW8" s="133">
        <v>125258</v>
      </c>
      <c r="OX8" s="134">
        <v>300000</v>
      </c>
      <c r="OY8" s="134">
        <v>460000</v>
      </c>
      <c r="OZ8" s="190">
        <f t="shared" si="163"/>
        <v>-3823.679999999702</v>
      </c>
      <c r="PA8" s="5361">
        <f>OZ8/OS8</f>
        <v>-6.447047421630713E-4</v>
      </c>
      <c r="PB8" s="5321">
        <v>148</v>
      </c>
      <c r="PC8" s="358">
        <v>5085826.0839999998</v>
      </c>
      <c r="PD8" s="358">
        <v>5974757</v>
      </c>
      <c r="PE8" s="134">
        <v>26449</v>
      </c>
      <c r="PF8" s="133">
        <f t="shared" si="164"/>
        <v>862481.9160000002</v>
      </c>
      <c r="PG8" s="94">
        <f>PF8/PD8</f>
        <v>0.14435430863548093</v>
      </c>
      <c r="PH8" s="133">
        <v>148550</v>
      </c>
      <c r="PI8" s="134">
        <v>346073</v>
      </c>
      <c r="PJ8" s="134">
        <f>390000-13609</f>
        <v>376391</v>
      </c>
      <c r="PK8" s="190">
        <f t="shared" si="165"/>
        <v>-8532.0839999997988</v>
      </c>
      <c r="PL8" s="135">
        <f>PK8/PD8</f>
        <v>-1.4280219262473434E-3</v>
      </c>
      <c r="PM8" s="3863">
        <v>188</v>
      </c>
      <c r="PN8" s="358">
        <v>5887420.5839999998</v>
      </c>
      <c r="PO8" s="358">
        <v>6934882</v>
      </c>
      <c r="PP8" s="134">
        <v>38491</v>
      </c>
      <c r="PQ8" s="6293">
        <f t="shared" si="166"/>
        <v>1008970.4160000002</v>
      </c>
      <c r="PR8" s="6295">
        <f>PQ8/PO8</f>
        <v>0.14549208133606314</v>
      </c>
      <c r="PS8" s="134">
        <v>118100</v>
      </c>
      <c r="PT8" s="134">
        <f>300000+25800</f>
        <v>325800</v>
      </c>
      <c r="PU8" s="134">
        <v>350000</v>
      </c>
      <c r="PV8" s="190">
        <f t="shared" si="167"/>
        <v>215070.4160000002</v>
      </c>
      <c r="PW8" s="5380">
        <f>PV8/PO8</f>
        <v>3.1012844342556974E-2</v>
      </c>
      <c r="PX8" s="5321">
        <v>188</v>
      </c>
      <c r="PY8" s="191">
        <f t="shared" si="168"/>
        <v>18840540</v>
      </c>
      <c r="PZ8" s="191">
        <f t="shared" si="169"/>
        <v>2752886.6520000007</v>
      </c>
      <c r="QA8" s="135">
        <f>PZ8/PY8</f>
        <v>0.14611506103328253</v>
      </c>
      <c r="QB8" s="3863">
        <v>193</v>
      </c>
      <c r="QC8" s="358">
        <v>6166628.2680000002</v>
      </c>
      <c r="QD8" s="358">
        <v>7492464</v>
      </c>
      <c r="QE8" s="134"/>
      <c r="QF8" s="6293">
        <f t="shared" si="170"/>
        <v>1325835.7319999998</v>
      </c>
      <c r="QG8" s="6295">
        <f t="shared" si="171"/>
        <v>0.17695590289122509</v>
      </c>
      <c r="QH8" s="134">
        <f>129700+17000</f>
        <v>146700</v>
      </c>
      <c r="QI8" s="134">
        <f>425800+88888</f>
        <v>514688</v>
      </c>
      <c r="QJ8" s="134">
        <v>350000</v>
      </c>
      <c r="QK8" s="190">
        <f t="shared" si="172"/>
        <v>314447.73199999984</v>
      </c>
      <c r="QL8" s="5380">
        <f t="shared" si="173"/>
        <v>4.1968534249880923E-2</v>
      </c>
      <c r="QM8" s="3863">
        <v>200</v>
      </c>
      <c r="QN8" s="358">
        <v>6480825.4479999999</v>
      </c>
      <c r="QO8" s="358">
        <v>7823704</v>
      </c>
      <c r="QP8" s="134">
        <v>33185</v>
      </c>
      <c r="QQ8" s="133">
        <f t="shared" si="174"/>
        <v>1309693.5520000001</v>
      </c>
      <c r="QR8" s="151">
        <f t="shared" si="175"/>
        <v>0.16740070329859108</v>
      </c>
      <c r="QS8" s="133">
        <f>129700+17000</f>
        <v>146700</v>
      </c>
      <c r="QT8" s="134">
        <f>625800</f>
        <v>625800</v>
      </c>
      <c r="QU8" s="134">
        <f>350000+62301</f>
        <v>412301</v>
      </c>
      <c r="QV8" s="190">
        <f t="shared" si="176"/>
        <v>124892.55200000014</v>
      </c>
      <c r="QW8" s="5380">
        <f t="shared" si="177"/>
        <v>1.5963353419301156E-2</v>
      </c>
      <c r="QX8" s="3863">
        <v>214</v>
      </c>
      <c r="QY8" s="358">
        <v>7046180.4400000004</v>
      </c>
      <c r="QZ8" s="358">
        <v>8397620</v>
      </c>
      <c r="RA8" s="134">
        <v>74439</v>
      </c>
      <c r="RB8" s="133">
        <f t="shared" si="178"/>
        <v>1277000.5599999996</v>
      </c>
      <c r="RC8" s="151">
        <f t="shared" si="179"/>
        <v>0.1520669618296612</v>
      </c>
      <c r="RD8" s="133">
        <f>129700+17200</f>
        <v>146900</v>
      </c>
      <c r="RE8" s="134">
        <v>300000</v>
      </c>
      <c r="RF8" s="134">
        <f>400000+85070</f>
        <v>485070</v>
      </c>
      <c r="RG8" s="190">
        <f t="shared" si="180"/>
        <v>345030.55999999959</v>
      </c>
      <c r="RH8" s="5380">
        <f t="shared" si="181"/>
        <v>4.1086707900571777E-2</v>
      </c>
      <c r="RI8" s="5376"/>
      <c r="RJ8" s="191">
        <f t="shared" si="182"/>
        <v>23713788</v>
      </c>
      <c r="RK8" s="191">
        <f t="shared" si="183"/>
        <v>3912529.8439999996</v>
      </c>
      <c r="RL8" s="5380">
        <f t="shared" si="184"/>
        <v>0.16498966103601836</v>
      </c>
      <c r="RM8" s="1562">
        <f t="shared" si="185"/>
        <v>-188</v>
      </c>
      <c r="RN8" s="128">
        <f t="shared" si="185"/>
        <v>4873248</v>
      </c>
      <c r="RO8" s="139">
        <f t="shared" si="185"/>
        <v>1159643.1919999989</v>
      </c>
      <c r="RP8" s="442">
        <f t="shared" si="186"/>
        <v>-1</v>
      </c>
      <c r="RQ8" s="442">
        <f t="shared" si="186"/>
        <v>0.25865755440130694</v>
      </c>
      <c r="RR8" s="6339">
        <f t="shared" si="186"/>
        <v>0.42124625478404859</v>
      </c>
      <c r="RS8" s="6328">
        <v>226</v>
      </c>
      <c r="RT8" s="208">
        <v>7975098.3159999996</v>
      </c>
      <c r="RU8" s="208">
        <v>9444193</v>
      </c>
      <c r="RV8" s="3546">
        <v>27684</v>
      </c>
      <c r="RW8" s="133">
        <f t="shared" si="187"/>
        <v>1441410.6840000004</v>
      </c>
      <c r="RX8" s="151">
        <f t="shared" si="188"/>
        <v>0.15262401816650722</v>
      </c>
      <c r="RY8" s="133">
        <f>129700+17200+30161</f>
        <v>177061</v>
      </c>
      <c r="RZ8" s="134">
        <v>300000</v>
      </c>
      <c r="SA8" s="134">
        <f>400000+85070</f>
        <v>485070</v>
      </c>
      <c r="SB8" s="190">
        <f t="shared" si="189"/>
        <v>479279.68400000036</v>
      </c>
      <c r="SC8" s="5380">
        <f t="shared" si="190"/>
        <v>5.0748611765981527E-2</v>
      </c>
      <c r="SD8" s="5405">
        <v>223</v>
      </c>
      <c r="SE8" s="130">
        <v>7965308.3880000003</v>
      </c>
      <c r="SF8" s="130">
        <v>9442699</v>
      </c>
      <c r="SG8" s="606">
        <v>17993</v>
      </c>
      <c r="SH8" s="6361">
        <f t="shared" si="191"/>
        <v>1459397.6119999997</v>
      </c>
      <c r="SI8" s="6363">
        <f t="shared" si="192"/>
        <v>0.15455301625096804</v>
      </c>
      <c r="SJ8" s="134">
        <v>0</v>
      </c>
      <c r="SK8" s="5309">
        <f>100000+1068434</f>
        <v>1168434</v>
      </c>
      <c r="SL8" s="134">
        <f>200000+85070</f>
        <v>285070</v>
      </c>
      <c r="SM8" s="190">
        <f t="shared" si="193"/>
        <v>5893.6119999997318</v>
      </c>
      <c r="SN8" s="5380">
        <f t="shared" si="194"/>
        <v>6.2414485519444508E-4</v>
      </c>
      <c r="SO8" s="134">
        <v>230</v>
      </c>
      <c r="SP8" s="134">
        <v>8245418.2599999998</v>
      </c>
      <c r="SQ8" s="134">
        <v>9656855</v>
      </c>
      <c r="SR8" s="134">
        <v>7675</v>
      </c>
      <c r="SS8" s="6361">
        <f t="shared" si="195"/>
        <v>1403761.7400000002</v>
      </c>
      <c r="ST8" s="6363">
        <f t="shared" si="196"/>
        <v>0.14536427646474967</v>
      </c>
      <c r="SU8" s="134">
        <f>90716+109000</f>
        <v>199716</v>
      </c>
      <c r="SV8" s="134">
        <f>66027+150000</f>
        <v>216027</v>
      </c>
      <c r="SW8" s="134">
        <f>200000+85070</f>
        <v>285070</v>
      </c>
      <c r="SX8" s="190">
        <f t="shared" si="197"/>
        <v>702948.74000000022</v>
      </c>
      <c r="SY8" s="5380">
        <f t="shared" si="198"/>
        <v>7.2792719782993551E-2</v>
      </c>
      <c r="SZ8" s="6270"/>
      <c r="TA8" s="118">
        <f t="shared" si="199"/>
        <v>28543747</v>
      </c>
      <c r="TB8" s="118">
        <f t="shared" si="200"/>
        <v>4304570.0360000003</v>
      </c>
      <c r="TC8" s="5380">
        <f t="shared" si="201"/>
        <v>0.15080606046571252</v>
      </c>
      <c r="TD8" s="209">
        <v>230</v>
      </c>
      <c r="TE8" s="208">
        <f>8103375+65784+(1493489*1.2%)</f>
        <v>8187080.8679999998</v>
      </c>
      <c r="TF8" s="208">
        <v>9662648</v>
      </c>
      <c r="TG8" s="134">
        <f>24353+1471</f>
        <v>25824</v>
      </c>
      <c r="TH8" s="133">
        <f t="shared" si="202"/>
        <v>1449743.1320000002</v>
      </c>
      <c r="TI8" s="151">
        <f t="shared" si="203"/>
        <v>0.15003580095228555</v>
      </c>
      <c r="TJ8" s="134">
        <f>90716+109000</f>
        <v>199716</v>
      </c>
      <c r="TK8" s="134">
        <f>66027+150000</f>
        <v>216027</v>
      </c>
      <c r="TL8" s="134">
        <v>400000</v>
      </c>
      <c r="TM8" s="190">
        <f t="shared" si="204"/>
        <v>634000.13200000022</v>
      </c>
      <c r="TN8" s="5380">
        <f t="shared" si="205"/>
        <v>6.5613497666478199E-2</v>
      </c>
      <c r="TO8" s="134"/>
      <c r="TP8" s="134"/>
      <c r="TQ8" s="134"/>
      <c r="TR8" s="134"/>
      <c r="TS8" s="133">
        <f t="shared" si="206"/>
        <v>0</v>
      </c>
      <c r="TT8" s="151" t="e">
        <f t="shared" si="207"/>
        <v>#DIV/0!</v>
      </c>
      <c r="TU8" s="134"/>
      <c r="TV8" s="134"/>
      <c r="TW8" s="134"/>
      <c r="TX8" s="190">
        <f t="shared" si="208"/>
        <v>0</v>
      </c>
      <c r="TY8" s="135" t="e">
        <f t="shared" si="209"/>
        <v>#DIV/0!</v>
      </c>
      <c r="TZ8" s="1563"/>
      <c r="UA8" s="134"/>
      <c r="UB8" s="134"/>
      <c r="UC8" s="134"/>
      <c r="UD8" s="133">
        <f t="shared" si="210"/>
        <v>0</v>
      </c>
      <c r="UE8" s="151" t="e">
        <f t="shared" si="211"/>
        <v>#DIV/0!</v>
      </c>
      <c r="UF8" s="134"/>
      <c r="UG8" s="134"/>
      <c r="UH8" s="134"/>
      <c r="UI8" s="190">
        <f t="shared" si="212"/>
        <v>0</v>
      </c>
      <c r="UJ8" s="5380" t="e">
        <f t="shared" si="213"/>
        <v>#DIV/0!</v>
      </c>
      <c r="UK8" s="5376"/>
      <c r="UL8" s="191">
        <f t="shared" si="214"/>
        <v>80760723</v>
      </c>
      <c r="UM8" s="191">
        <f t="shared" si="215"/>
        <v>12419729.664000001</v>
      </c>
      <c r="UN8" s="135">
        <f t="shared" si="216"/>
        <v>0.15378428031160643</v>
      </c>
      <c r="UO8" s="191">
        <f t="shared" si="217"/>
        <v>2809207.6640000008</v>
      </c>
      <c r="UP8" s="5380">
        <f t="shared" si="218"/>
        <v>3.4784330298776554E-2</v>
      </c>
    </row>
    <row r="9" spans="1:567" x14ac:dyDescent="0.3">
      <c r="A9" s="5316">
        <v>5</v>
      </c>
      <c r="B9" s="5360" t="s">
        <v>374</v>
      </c>
      <c r="C9" s="735" t="s">
        <v>442</v>
      </c>
      <c r="D9" s="578" t="s">
        <v>140</v>
      </c>
      <c r="E9" s="6279" t="s">
        <v>1035</v>
      </c>
      <c r="F9" s="579">
        <v>143.33333333333334</v>
      </c>
      <c r="G9" s="161">
        <v>5653025</v>
      </c>
      <c r="H9" s="161">
        <v>8563578</v>
      </c>
      <c r="I9" s="161">
        <v>2910553</v>
      </c>
      <c r="J9" s="351">
        <f t="shared" si="0"/>
        <v>0.33987580892005653</v>
      </c>
      <c r="K9" s="580">
        <v>113</v>
      </c>
      <c r="L9" s="161">
        <v>4756936</v>
      </c>
      <c r="M9" s="161">
        <v>8090022.5</v>
      </c>
      <c r="N9" s="161">
        <v>3333086.5</v>
      </c>
      <c r="O9" s="422"/>
      <c r="P9" s="580">
        <v>100.66666666666667</v>
      </c>
      <c r="Q9" s="161">
        <v>3960729</v>
      </c>
      <c r="R9" s="161">
        <v>6655471</v>
      </c>
      <c r="S9" s="161">
        <v>2694742</v>
      </c>
      <c r="T9" s="94"/>
      <c r="U9" s="136"/>
      <c r="V9" s="422"/>
      <c r="W9" s="422"/>
      <c r="X9" s="422"/>
      <c r="Y9" s="422"/>
      <c r="Z9" s="581"/>
      <c r="AA9" s="422"/>
      <c r="AB9" s="422"/>
      <c r="AC9" s="422"/>
      <c r="AD9" s="422"/>
      <c r="AE9" s="619">
        <f t="shared" si="1"/>
        <v>0</v>
      </c>
      <c r="AF9" s="422"/>
      <c r="AG9" s="113">
        <v>74</v>
      </c>
      <c r="AH9" s="616">
        <f>68000+873678+68309+53342-17363</f>
        <v>1045966</v>
      </c>
      <c r="AI9" s="616">
        <v>1800208</v>
      </c>
      <c r="AJ9" s="616"/>
      <c r="AK9" s="105">
        <f t="shared" si="2"/>
        <v>754242</v>
      </c>
      <c r="AL9" s="114">
        <f t="shared" si="3"/>
        <v>0.41897491845386753</v>
      </c>
      <c r="AM9" s="129">
        <v>100000</v>
      </c>
      <c r="AN9" s="130">
        <f>131298*2</f>
        <v>262596</v>
      </c>
      <c r="AO9" s="130"/>
      <c r="AP9" s="130">
        <v>49383.651724137926</v>
      </c>
      <c r="AQ9" s="130">
        <f t="shared" si="4"/>
        <v>342262.34827586205</v>
      </c>
      <c r="AR9" s="114">
        <f t="shared" si="5"/>
        <v>0.45378319992238836</v>
      </c>
      <c r="AS9" s="113">
        <v>74</v>
      </c>
      <c r="AT9" s="213">
        <v>3226253</v>
      </c>
      <c r="AU9" s="130">
        <v>5161389.75</v>
      </c>
      <c r="AV9" s="130">
        <v>1935136.75</v>
      </c>
      <c r="AW9" s="114">
        <f t="shared" si="6"/>
        <v>0.37492552272379742</v>
      </c>
      <c r="AX9" s="617">
        <v>74</v>
      </c>
      <c r="AY9" s="241">
        <f t="shared" si="7"/>
        <v>17596943</v>
      </c>
      <c r="AZ9" s="241">
        <f t="shared" si="7"/>
        <v>28470461.25</v>
      </c>
      <c r="BA9" s="241">
        <f t="shared" si="7"/>
        <v>10873518.25</v>
      </c>
      <c r="BB9" s="135">
        <f t="shared" si="8"/>
        <v>0.38192279902033549</v>
      </c>
      <c r="BC9" s="636">
        <v>73</v>
      </c>
      <c r="BD9" s="619">
        <v>935439</v>
      </c>
      <c r="BE9" s="619">
        <v>1584391.25</v>
      </c>
      <c r="BF9" s="619">
        <v>0</v>
      </c>
      <c r="BG9" s="619">
        <f t="shared" si="9"/>
        <v>648952.25</v>
      </c>
      <c r="BH9" s="618"/>
      <c r="BI9" s="636">
        <v>67</v>
      </c>
      <c r="BJ9" s="619">
        <v>906615</v>
      </c>
      <c r="BK9" s="619">
        <v>1374620</v>
      </c>
      <c r="BL9" s="619"/>
      <c r="BM9" s="619">
        <f t="shared" si="10"/>
        <v>468005</v>
      </c>
      <c r="BN9" s="618"/>
      <c r="BO9" s="620">
        <v>50</v>
      </c>
      <c r="BP9" s="619">
        <v>728241</v>
      </c>
      <c r="BQ9" s="619">
        <v>1566630</v>
      </c>
      <c r="BR9" s="619"/>
      <c r="BS9" s="619">
        <f t="shared" si="11"/>
        <v>838389</v>
      </c>
      <c r="BT9" s="1480">
        <f t="shared" si="12"/>
        <v>0.53515443978476096</v>
      </c>
      <c r="BU9" s="620">
        <v>50</v>
      </c>
      <c r="BV9" s="1481">
        <f t="shared" si="13"/>
        <v>4525641.25</v>
      </c>
      <c r="BW9" s="1481">
        <f t="shared" si="14"/>
        <v>1955346.25</v>
      </c>
      <c r="BX9" s="236">
        <f t="shared" si="15"/>
        <v>0.43205948991206494</v>
      </c>
      <c r="BY9" s="594">
        <v>49</v>
      </c>
      <c r="BZ9" s="595">
        <f>68000+509470+244039+37844</f>
        <v>859353</v>
      </c>
      <c r="CA9" s="595">
        <v>1106333</v>
      </c>
      <c r="CB9" s="595">
        <v>0</v>
      </c>
      <c r="CC9" s="596">
        <f t="shared" si="16"/>
        <v>246980</v>
      </c>
      <c r="CD9" s="597">
        <f t="shared" si="17"/>
        <v>0.2232420076053051</v>
      </c>
      <c r="CE9" s="598">
        <v>100000</v>
      </c>
      <c r="CF9" s="599">
        <v>235306</v>
      </c>
      <c r="CG9" s="599"/>
      <c r="CH9" s="599">
        <v>74304.057692307688</v>
      </c>
      <c r="CI9" s="599">
        <f t="shared" si="18"/>
        <v>-162630.05769230769</v>
      </c>
      <c r="CJ9" s="597">
        <f t="shared" si="19"/>
        <v>-0.14699919255080313</v>
      </c>
      <c r="CK9" s="600">
        <f>1+46</f>
        <v>47</v>
      </c>
      <c r="CL9" s="601">
        <f>68000+552000+66917</f>
        <v>686917</v>
      </c>
      <c r="CM9" s="601">
        <v>1362384</v>
      </c>
      <c r="CN9" s="601"/>
      <c r="CO9" s="96">
        <f t="shared" si="20"/>
        <v>675467</v>
      </c>
      <c r="CP9" s="602">
        <f t="shared" si="21"/>
        <v>0.49579780737295798</v>
      </c>
      <c r="CQ9" s="603">
        <v>100000</v>
      </c>
      <c r="CR9" s="603">
        <v>99658.273076923069</v>
      </c>
      <c r="CS9" s="603"/>
      <c r="CT9" s="603">
        <v>147101.18634615382</v>
      </c>
      <c r="CU9" s="603">
        <f t="shared" si="22"/>
        <v>328707.54057692306</v>
      </c>
      <c r="CV9" s="604">
        <f t="shared" si="23"/>
        <v>0.24127378226470883</v>
      </c>
      <c r="CW9" s="129">
        <v>42</v>
      </c>
      <c r="CX9" s="130">
        <v>607751</v>
      </c>
      <c r="CY9" s="130">
        <v>1169562</v>
      </c>
      <c r="CZ9" s="130"/>
      <c r="DA9" s="605">
        <f t="shared" si="24"/>
        <v>561811</v>
      </c>
      <c r="DB9" s="114">
        <f t="shared" si="25"/>
        <v>0.4803601690205393</v>
      </c>
      <c r="DC9" s="138">
        <v>32000</v>
      </c>
      <c r="DD9" s="606">
        <v>113817.95833333333</v>
      </c>
      <c r="DE9" s="130"/>
      <c r="DF9" s="130">
        <v>121185.01354166666</v>
      </c>
      <c r="DG9" s="128">
        <f t="shared" si="26"/>
        <v>294808.02812500001</v>
      </c>
      <c r="DH9" s="169">
        <f t="shared" si="27"/>
        <v>0.25206703716861528</v>
      </c>
      <c r="DI9" s="204">
        <f t="shared" si="28"/>
        <v>46</v>
      </c>
      <c r="DJ9" s="202">
        <f t="shared" si="29"/>
        <v>3638279</v>
      </c>
      <c r="DK9" s="202">
        <f t="shared" si="30"/>
        <v>1484258</v>
      </c>
      <c r="DL9" s="119">
        <f t="shared" si="31"/>
        <v>0.40795606933937723</v>
      </c>
      <c r="DM9" s="202">
        <f t="shared" si="32"/>
        <v>460885.51100961538</v>
      </c>
      <c r="DN9" s="119">
        <f t="shared" si="33"/>
        <v>0.12667679169453894</v>
      </c>
      <c r="DO9" s="607">
        <f t="shared" si="34"/>
        <v>-32</v>
      </c>
      <c r="DP9" s="137">
        <f t="shared" si="34"/>
        <v>-438215</v>
      </c>
      <c r="DQ9" s="137">
        <f t="shared" si="34"/>
        <v>-630646</v>
      </c>
      <c r="DR9" s="137">
        <f t="shared" si="35"/>
        <v>-192431</v>
      </c>
      <c r="DS9" s="135">
        <f t="shared" si="36"/>
        <v>-0.43243243243243246</v>
      </c>
      <c r="DT9" s="135">
        <f t="shared" si="37"/>
        <v>-0.24342464870726049</v>
      </c>
      <c r="DU9" s="135">
        <f t="shared" si="38"/>
        <v>-0.83613216978105176</v>
      </c>
      <c r="DV9" s="151">
        <f t="shared" si="39"/>
        <v>-0.56223245404984312</v>
      </c>
      <c r="DW9" s="607">
        <f t="shared" si="40"/>
        <v>-5</v>
      </c>
      <c r="DX9" s="608">
        <f t="shared" si="41"/>
        <v>-192822</v>
      </c>
      <c r="DY9" s="608">
        <f t="shared" si="42"/>
        <v>-113656</v>
      </c>
      <c r="DZ9" s="608">
        <f t="shared" si="43"/>
        <v>-33899.512451923045</v>
      </c>
      <c r="EA9" s="135">
        <f t="shared" si="44"/>
        <v>-0.10638297872340426</v>
      </c>
      <c r="EB9" s="135">
        <f t="shared" si="45"/>
        <v>-0.14153278370855793</v>
      </c>
      <c r="EC9" s="135">
        <f t="shared" si="46"/>
        <v>-0.1682628462974505</v>
      </c>
      <c r="ED9" s="151">
        <f t="shared" si="219"/>
        <v>-0.10312970731497409</v>
      </c>
      <c r="EE9" s="129">
        <v>42</v>
      </c>
      <c r="EF9" s="130">
        <v>654287</v>
      </c>
      <c r="EG9" s="130">
        <v>858780</v>
      </c>
      <c r="EH9" s="130">
        <v>0</v>
      </c>
      <c r="EI9" s="605">
        <f t="shared" si="47"/>
        <v>204493</v>
      </c>
      <c r="EJ9" s="114">
        <f t="shared" si="48"/>
        <v>0.23812035678520693</v>
      </c>
      <c r="EK9" s="138">
        <v>0</v>
      </c>
      <c r="EL9" s="606">
        <v>0</v>
      </c>
      <c r="EM9" s="130">
        <v>0</v>
      </c>
      <c r="EN9" s="130">
        <v>96058.455729166672</v>
      </c>
      <c r="EO9" s="128">
        <f t="shared" si="49"/>
        <v>108434.54427083333</v>
      </c>
      <c r="EP9" s="114">
        <f t="shared" si="50"/>
        <v>0.12626580063675602</v>
      </c>
      <c r="EQ9" s="129">
        <v>35</v>
      </c>
      <c r="ER9" s="595">
        <v>531347</v>
      </c>
      <c r="ES9" s="595">
        <v>846414</v>
      </c>
      <c r="ET9" s="130">
        <v>0</v>
      </c>
      <c r="EU9" s="134">
        <f t="shared" si="51"/>
        <v>315067</v>
      </c>
      <c r="EV9" s="114">
        <f t="shared" si="52"/>
        <v>0.37223746299092408</v>
      </c>
      <c r="EW9" s="138">
        <v>0</v>
      </c>
      <c r="EX9" s="606">
        <v>296085.04249999998</v>
      </c>
      <c r="EY9" s="130">
        <v>0</v>
      </c>
      <c r="EZ9" s="128">
        <v>0</v>
      </c>
      <c r="FA9" s="128">
        <f t="shared" si="53"/>
        <v>18981.957500000019</v>
      </c>
      <c r="FB9" s="114">
        <f t="shared" si="54"/>
        <v>2.2426327423695755E-2</v>
      </c>
      <c r="FC9" s="643">
        <f t="shared" si="55"/>
        <v>-39</v>
      </c>
      <c r="FD9" s="644">
        <f t="shared" si="56"/>
        <v>-953794</v>
      </c>
      <c r="FE9" s="644">
        <f t="shared" si="57"/>
        <v>-439175</v>
      </c>
      <c r="FF9" s="644">
        <f t="shared" si="58"/>
        <v>-323280.39077586203</v>
      </c>
      <c r="FG9" s="74">
        <f t="shared" si="59"/>
        <v>-0.52702702702702697</v>
      </c>
      <c r="FH9" s="74">
        <f t="shared" si="60"/>
        <v>-0.5298243314105926</v>
      </c>
      <c r="FI9" s="74">
        <f t="shared" si="61"/>
        <v>-0.58227332871942961</v>
      </c>
      <c r="FJ9" s="73">
        <f t="shared" si="62"/>
        <v>-0.9445397438671792</v>
      </c>
      <c r="FK9" s="133">
        <v>36</v>
      </c>
      <c r="FL9" s="134">
        <v>629326</v>
      </c>
      <c r="FM9" s="134">
        <v>846414</v>
      </c>
      <c r="FN9" s="134"/>
      <c r="FO9" s="134">
        <f t="shared" si="63"/>
        <v>217088</v>
      </c>
      <c r="FP9" s="135">
        <f t="shared" si="64"/>
        <v>0.25647968960815865</v>
      </c>
      <c r="FQ9" s="133"/>
      <c r="FR9" s="134">
        <v>150000</v>
      </c>
      <c r="FS9" s="134">
        <v>20000</v>
      </c>
      <c r="FT9" s="191">
        <f t="shared" si="65"/>
        <v>47088</v>
      </c>
      <c r="FU9" s="151">
        <f t="shared" si="66"/>
        <v>5.5632350126533822E-2</v>
      </c>
      <c r="FV9" s="190">
        <f t="shared" si="67"/>
        <v>-38</v>
      </c>
      <c r="FW9" s="191">
        <f t="shared" si="67"/>
        <v>-416640</v>
      </c>
      <c r="FX9" s="191">
        <f t="shared" si="67"/>
        <v>-953794</v>
      </c>
      <c r="FY9" s="191">
        <f t="shared" si="68"/>
        <v>-537154</v>
      </c>
      <c r="FZ9" s="191">
        <f t="shared" si="69"/>
        <v>-295174.34827586205</v>
      </c>
      <c r="GA9" s="135">
        <f t="shared" si="70"/>
        <v>-0.51351351351351349</v>
      </c>
      <c r="GB9" s="135">
        <f t="shared" si="71"/>
        <v>-0.5298243314105926</v>
      </c>
      <c r="GC9" s="135">
        <f t="shared" si="72"/>
        <v>-0.71217725875779925</v>
      </c>
      <c r="GD9" s="151">
        <f t="shared" si="73"/>
        <v>-0.86242132610494671</v>
      </c>
      <c r="GE9" s="187">
        <f t="shared" si="74"/>
        <v>37.666666666666664</v>
      </c>
      <c r="GF9" s="155">
        <f t="shared" si="75"/>
        <v>2551608</v>
      </c>
      <c r="GG9" s="155">
        <f t="shared" si="76"/>
        <v>736648</v>
      </c>
      <c r="GH9" s="74">
        <f t="shared" si="77"/>
        <v>0.28869951810779715</v>
      </c>
      <c r="GI9" s="613">
        <f t="shared" si="78"/>
        <v>174504.50177083333</v>
      </c>
      <c r="GJ9" s="187">
        <f t="shared" si="79"/>
        <v>-8.3333333333333357</v>
      </c>
      <c r="GK9" s="155">
        <f t="shared" si="79"/>
        <v>-1086671</v>
      </c>
      <c r="GL9" s="155">
        <f t="shared" si="79"/>
        <v>-747610</v>
      </c>
      <c r="GM9" s="613">
        <f t="shared" si="80"/>
        <v>-286381.00923878205</v>
      </c>
      <c r="GN9" s="133">
        <v>33</v>
      </c>
      <c r="GO9" s="134">
        <v>415270</v>
      </c>
      <c r="GP9" s="134">
        <v>451764</v>
      </c>
      <c r="GQ9" s="134">
        <v>0</v>
      </c>
      <c r="GR9" s="134">
        <f t="shared" si="81"/>
        <v>36494</v>
      </c>
      <c r="GS9" s="135">
        <f t="shared" si="82"/>
        <v>8.0781115803826783E-2</v>
      </c>
      <c r="GT9" s="133"/>
      <c r="GU9" s="134"/>
      <c r="GV9" s="134">
        <v>0</v>
      </c>
      <c r="GW9" s="134">
        <v>0</v>
      </c>
      <c r="GX9" s="190">
        <f t="shared" si="83"/>
        <v>36494</v>
      </c>
      <c r="GY9" s="151">
        <f t="shared" si="84"/>
        <v>8.0781115803826783E-2</v>
      </c>
      <c r="GZ9" s="614">
        <v>29</v>
      </c>
      <c r="HA9" s="130">
        <v>358471</v>
      </c>
      <c r="HB9" s="130">
        <v>400000</v>
      </c>
      <c r="HC9" s="130"/>
      <c r="HD9" s="134">
        <f t="shared" si="85"/>
        <v>41529</v>
      </c>
      <c r="HE9" s="151">
        <f t="shared" si="86"/>
        <v>0.1038225</v>
      </c>
      <c r="HF9" s="138">
        <v>37640</v>
      </c>
      <c r="HG9" s="130"/>
      <c r="HH9" s="130"/>
      <c r="HI9" s="130">
        <v>50000</v>
      </c>
      <c r="HJ9" s="197">
        <f t="shared" si="87"/>
        <v>-46111</v>
      </c>
      <c r="HK9" s="201">
        <f t="shared" si="88"/>
        <v>-0.1152775</v>
      </c>
      <c r="HL9" s="1365">
        <v>27</v>
      </c>
      <c r="HM9" s="148">
        <v>324000</v>
      </c>
      <c r="HN9" s="148">
        <v>486891</v>
      </c>
      <c r="HO9" s="134">
        <v>0</v>
      </c>
      <c r="HP9" s="615">
        <f t="shared" si="89"/>
        <v>162891</v>
      </c>
      <c r="HQ9" s="201">
        <f t="shared" si="90"/>
        <v>0.33455331891532192</v>
      </c>
      <c r="HR9" s="133">
        <v>0</v>
      </c>
      <c r="HS9" s="134">
        <v>200000</v>
      </c>
      <c r="HT9" s="134"/>
      <c r="HU9" s="134">
        <v>0</v>
      </c>
      <c r="HV9" s="191">
        <f t="shared" si="91"/>
        <v>-37109</v>
      </c>
      <c r="HW9" s="151">
        <f t="shared" si="92"/>
        <v>-7.6216237309788021E-2</v>
      </c>
      <c r="HX9" s="414">
        <v>27</v>
      </c>
      <c r="HY9" s="241">
        <f t="shared" si="93"/>
        <v>1338655</v>
      </c>
      <c r="HZ9" s="415">
        <f t="shared" si="94"/>
        <v>240914</v>
      </c>
      <c r="IA9" s="135"/>
      <c r="IB9" s="415">
        <f t="shared" si="95"/>
        <v>-46726</v>
      </c>
      <c r="IC9" s="141"/>
      <c r="ID9" s="642">
        <v>27</v>
      </c>
      <c r="IE9" s="141">
        <f t="shared" si="96"/>
        <v>12054183.25</v>
      </c>
      <c r="IF9" s="141">
        <f t="shared" si="96"/>
        <v>4417166.25</v>
      </c>
      <c r="IG9" s="74">
        <f t="shared" si="97"/>
        <v>0.36644259991650618</v>
      </c>
      <c r="IH9" s="1507"/>
      <c r="II9" s="69"/>
      <c r="IJ9" s="133">
        <v>28</v>
      </c>
      <c r="IK9" s="134">
        <v>394459</v>
      </c>
      <c r="IL9" s="134">
        <v>486891</v>
      </c>
      <c r="IM9" s="134">
        <v>0</v>
      </c>
      <c r="IN9" s="133">
        <f>IL9-(IK9+IM9)</f>
        <v>92432</v>
      </c>
      <c r="IO9" s="151">
        <f t="shared" si="98"/>
        <v>0.1898412581049968</v>
      </c>
      <c r="IP9" s="133">
        <v>21787</v>
      </c>
      <c r="IQ9" s="134">
        <v>50000</v>
      </c>
      <c r="IR9" s="134">
        <v>0</v>
      </c>
      <c r="IS9" s="190">
        <f t="shared" si="99"/>
        <v>20645</v>
      </c>
      <c r="IT9" s="151">
        <f t="shared" si="100"/>
        <v>4.2401687441336974E-2</v>
      </c>
      <c r="IU9" s="390">
        <v>26</v>
      </c>
      <c r="IV9" s="134">
        <v>348401</v>
      </c>
      <c r="IW9" s="134">
        <v>387801</v>
      </c>
      <c r="IX9" s="134">
        <v>0</v>
      </c>
      <c r="IY9" s="133">
        <f t="shared" si="101"/>
        <v>39400</v>
      </c>
      <c r="IZ9" s="151">
        <f t="shared" si="102"/>
        <v>0.10159850026173217</v>
      </c>
      <c r="JA9" s="133">
        <v>33333</v>
      </c>
      <c r="JB9" s="134">
        <v>100000</v>
      </c>
      <c r="JC9" s="134">
        <v>61356.200000000186</v>
      </c>
      <c r="JD9" s="190">
        <f t="shared" si="103"/>
        <v>-155289.20000000019</v>
      </c>
      <c r="JE9" s="151">
        <f t="shared" si="104"/>
        <v>-0.40043527479300001</v>
      </c>
      <c r="JF9" s="390">
        <v>25</v>
      </c>
      <c r="JG9" s="134">
        <v>316669</v>
      </c>
      <c r="JH9" s="134">
        <v>412438</v>
      </c>
      <c r="JI9" s="134">
        <v>0</v>
      </c>
      <c r="JJ9" s="133">
        <f t="shared" si="105"/>
        <v>95769</v>
      </c>
      <c r="JK9" s="151">
        <f t="shared" si="106"/>
        <v>0.23220217341758034</v>
      </c>
      <c r="JL9" s="133">
        <v>33333</v>
      </c>
      <c r="JM9" s="134">
        <v>50000</v>
      </c>
      <c r="JN9" s="134">
        <v>0</v>
      </c>
      <c r="JO9" s="190">
        <f t="shared" si="107"/>
        <v>12436</v>
      </c>
      <c r="JP9" s="151">
        <f t="shared" si="108"/>
        <v>3.0152410786590953E-2</v>
      </c>
      <c r="JQ9" s="390">
        <v>25</v>
      </c>
      <c r="JR9" s="191">
        <f t="shared" si="109"/>
        <v>1287130</v>
      </c>
      <c r="JS9" s="191">
        <f t="shared" si="110"/>
        <v>227601</v>
      </c>
      <c r="JT9" s="151">
        <f t="shared" si="111"/>
        <v>0.17682829240247683</v>
      </c>
      <c r="JU9" s="390">
        <v>24</v>
      </c>
      <c r="JV9" s="134">
        <v>288000</v>
      </c>
      <c r="JW9" s="134">
        <v>422480</v>
      </c>
      <c r="JX9" s="134"/>
      <c r="JY9" s="133">
        <f t="shared" si="112"/>
        <v>134480</v>
      </c>
      <c r="JZ9" s="151">
        <f t="shared" si="113"/>
        <v>0.31831092596099225</v>
      </c>
      <c r="KA9" s="133">
        <v>33333</v>
      </c>
      <c r="KB9" s="134">
        <v>25000</v>
      </c>
      <c r="KC9" s="134">
        <v>27625</v>
      </c>
      <c r="KD9" s="190">
        <f t="shared" si="114"/>
        <v>48522</v>
      </c>
      <c r="KE9" s="151">
        <f t="shared" si="115"/>
        <v>0.11485040711986366</v>
      </c>
      <c r="KF9" s="390">
        <v>24</v>
      </c>
      <c r="KG9" s="134">
        <v>287613</v>
      </c>
      <c r="KH9" s="134">
        <v>429829</v>
      </c>
      <c r="KI9" s="134">
        <v>0</v>
      </c>
      <c r="KJ9" s="133">
        <f t="shared" si="116"/>
        <v>142216</v>
      </c>
      <c r="KK9" s="151">
        <f t="shared" si="117"/>
        <v>0.33086646084838389</v>
      </c>
      <c r="KL9" s="133">
        <v>33333</v>
      </c>
      <c r="KM9" s="134">
        <v>50000</v>
      </c>
      <c r="KN9" s="134">
        <v>50000</v>
      </c>
      <c r="KO9" s="190">
        <f t="shared" si="118"/>
        <v>8883</v>
      </c>
      <c r="KP9" s="151">
        <f t="shared" si="119"/>
        <v>2.0666358016792726E-2</v>
      </c>
      <c r="KQ9" s="390">
        <v>23</v>
      </c>
      <c r="KR9" s="134">
        <v>282282</v>
      </c>
      <c r="KS9" s="134">
        <v>329078</v>
      </c>
      <c r="KT9" s="134">
        <v>0</v>
      </c>
      <c r="KU9" s="133">
        <f t="shared" si="120"/>
        <v>46796</v>
      </c>
      <c r="KV9" s="151">
        <f t="shared" si="121"/>
        <v>0.14220336819842105</v>
      </c>
      <c r="KW9" s="133">
        <v>33333</v>
      </c>
      <c r="KX9" s="134">
        <v>0</v>
      </c>
      <c r="KY9" s="134">
        <v>0</v>
      </c>
      <c r="KZ9" s="190">
        <f t="shared" si="122"/>
        <v>13463</v>
      </c>
      <c r="LA9" s="151">
        <f t="shared" si="123"/>
        <v>4.0911273315141092E-2</v>
      </c>
      <c r="LB9" s="402">
        <v>23</v>
      </c>
      <c r="LC9" s="191">
        <f t="shared" si="124"/>
        <v>1181387</v>
      </c>
      <c r="LD9" s="191">
        <f t="shared" si="125"/>
        <v>323492</v>
      </c>
      <c r="LE9" s="151">
        <f t="shared" si="126"/>
        <v>0.27382390359805892</v>
      </c>
      <c r="LF9" s="226">
        <f t="shared" si="127"/>
        <v>-2</v>
      </c>
      <c r="LG9" s="128">
        <f t="shared" si="127"/>
        <v>-105743</v>
      </c>
      <c r="LH9" s="139">
        <f t="shared" si="127"/>
        <v>95891</v>
      </c>
      <c r="LI9" s="442">
        <f t="shared" si="128"/>
        <v>-0.08</v>
      </c>
      <c r="LJ9" s="442">
        <f t="shared" si="128"/>
        <v>-8.2154094768982153E-2</v>
      </c>
      <c r="LK9" s="106">
        <f t="shared" si="128"/>
        <v>0.42131185715352742</v>
      </c>
      <c r="LL9" s="390">
        <v>23</v>
      </c>
      <c r="LM9" s="134">
        <v>275032</v>
      </c>
      <c r="LN9" s="134">
        <v>363447</v>
      </c>
      <c r="LO9" s="134">
        <v>0</v>
      </c>
      <c r="LP9" s="133">
        <f t="shared" si="129"/>
        <v>88415</v>
      </c>
      <c r="LQ9" s="151">
        <f t="shared" si="130"/>
        <v>0.24326793177547207</v>
      </c>
      <c r="LR9" s="133">
        <v>43594</v>
      </c>
      <c r="LS9" s="134">
        <v>25000</v>
      </c>
      <c r="LT9" s="134">
        <v>30000</v>
      </c>
      <c r="LU9" s="190">
        <f t="shared" si="131"/>
        <v>-10179</v>
      </c>
      <c r="LV9" s="151">
        <f t="shared" si="132"/>
        <v>-2.8006834559096649E-2</v>
      </c>
      <c r="LW9" s="134">
        <v>24</v>
      </c>
      <c r="LX9" s="134">
        <v>278411</v>
      </c>
      <c r="LY9" s="134">
        <v>445045</v>
      </c>
      <c r="LZ9" s="134"/>
      <c r="MA9" s="133">
        <f t="shared" si="133"/>
        <v>166634</v>
      </c>
      <c r="MB9" s="151">
        <f t="shared" si="134"/>
        <v>0.37442056421260772</v>
      </c>
      <c r="MC9" s="134">
        <v>33000</v>
      </c>
      <c r="MD9" s="134">
        <v>100000</v>
      </c>
      <c r="ME9" s="134">
        <v>30000</v>
      </c>
      <c r="MF9" s="190">
        <f t="shared" si="135"/>
        <v>3634</v>
      </c>
      <c r="MG9" s="151">
        <f t="shared" si="136"/>
        <v>8.165466413508746E-3</v>
      </c>
      <c r="MH9" s="134">
        <v>27</v>
      </c>
      <c r="MI9" s="134">
        <v>317535</v>
      </c>
      <c r="MJ9" s="134">
        <v>414550</v>
      </c>
      <c r="MK9" s="134"/>
      <c r="ML9" s="133">
        <f t="shared" si="137"/>
        <v>97015</v>
      </c>
      <c r="MM9" s="151">
        <f t="shared" si="138"/>
        <v>0.23402484621879147</v>
      </c>
      <c r="MN9" s="134">
        <v>33000</v>
      </c>
      <c r="MO9" s="134">
        <v>25000</v>
      </c>
      <c r="MP9" s="134">
        <v>30000</v>
      </c>
      <c r="MQ9" s="190">
        <f t="shared" si="139"/>
        <v>9015</v>
      </c>
      <c r="MR9" s="151">
        <f t="shared" si="140"/>
        <v>2.1746472078157039E-2</v>
      </c>
      <c r="MS9" s="1472">
        <v>27</v>
      </c>
      <c r="MT9" s="118">
        <f t="shared" si="141"/>
        <v>1223042</v>
      </c>
      <c r="MU9" s="118">
        <f t="shared" si="142"/>
        <v>352064</v>
      </c>
      <c r="MV9" s="135">
        <f t="shared" si="143"/>
        <v>0.28785928856081805</v>
      </c>
      <c r="MW9" s="133">
        <f t="shared" si="144"/>
        <v>4</v>
      </c>
      <c r="MX9" s="134">
        <f t="shared" si="144"/>
        <v>41655</v>
      </c>
      <c r="MY9" s="134">
        <f t="shared" si="144"/>
        <v>28572</v>
      </c>
      <c r="MZ9" s="135">
        <f t="shared" si="145"/>
        <v>0.17391304347826086</v>
      </c>
      <c r="NA9" s="135">
        <f t="shared" si="145"/>
        <v>3.5259402719007404E-2</v>
      </c>
      <c r="NB9" s="151">
        <f t="shared" si="145"/>
        <v>8.8323667973241995E-2</v>
      </c>
      <c r="NC9" s="134">
        <v>27</v>
      </c>
      <c r="ND9" s="134">
        <v>322838</v>
      </c>
      <c r="NE9" s="134">
        <v>410197.5</v>
      </c>
      <c r="NF9" s="134"/>
      <c r="NG9" s="133">
        <f t="shared" si="146"/>
        <v>87359.5</v>
      </c>
      <c r="NH9" s="151">
        <f t="shared" si="147"/>
        <v>0.21296936231937055</v>
      </c>
      <c r="NI9" s="134">
        <v>33000</v>
      </c>
      <c r="NJ9" s="134">
        <v>0</v>
      </c>
      <c r="NK9" s="134">
        <v>30000</v>
      </c>
      <c r="NL9" s="190">
        <f t="shared" si="148"/>
        <v>24359.5</v>
      </c>
      <c r="NM9" s="135">
        <f t="shared" si="149"/>
        <v>5.9384808537350911E-2</v>
      </c>
      <c r="NN9" s="1563">
        <v>27</v>
      </c>
      <c r="NO9" s="134">
        <v>360139</v>
      </c>
      <c r="NP9" s="134">
        <v>458895</v>
      </c>
      <c r="NQ9" s="134">
        <v>0</v>
      </c>
      <c r="NR9" s="133">
        <f t="shared" si="150"/>
        <v>98756</v>
      </c>
      <c r="NS9" s="151">
        <f t="shared" si="151"/>
        <v>0.21520391374933265</v>
      </c>
      <c r="NT9" s="134">
        <v>31929</v>
      </c>
      <c r="NU9" s="134">
        <v>21827.550000000047</v>
      </c>
      <c r="NV9" s="134">
        <v>30000</v>
      </c>
      <c r="NW9" s="190">
        <f t="shared" si="152"/>
        <v>14999.449999999953</v>
      </c>
      <c r="NX9" s="135">
        <f t="shared" si="153"/>
        <v>3.2686017498556215E-2</v>
      </c>
      <c r="NY9" s="1563">
        <v>27</v>
      </c>
      <c r="NZ9" s="134">
        <v>334108</v>
      </c>
      <c r="OA9" s="134">
        <v>514674</v>
      </c>
      <c r="OB9" s="134">
        <v>0</v>
      </c>
      <c r="OC9" s="133">
        <f t="shared" si="154"/>
        <v>180566</v>
      </c>
      <c r="OD9" s="151">
        <f t="shared" si="155"/>
        <v>0.35083567462121656</v>
      </c>
      <c r="OE9" s="134">
        <v>31929</v>
      </c>
      <c r="OF9" s="134">
        <v>21827.550000000047</v>
      </c>
      <c r="OG9" s="134">
        <v>30000</v>
      </c>
      <c r="OH9" s="190">
        <f t="shared" si="156"/>
        <v>96809.449999999953</v>
      </c>
      <c r="OI9" s="5380">
        <f t="shared" si="157"/>
        <v>0.188098582792214</v>
      </c>
      <c r="OJ9" s="69">
        <v>27</v>
      </c>
      <c r="OK9" s="155">
        <f t="shared" si="158"/>
        <v>4979556.5</v>
      </c>
      <c r="OL9" s="155">
        <f t="shared" si="159"/>
        <v>1174069.5</v>
      </c>
      <c r="OM9" s="74">
        <f t="shared" si="160"/>
        <v>0.2357779252027766</v>
      </c>
      <c r="ON9" s="155">
        <f t="shared" si="161"/>
        <v>74862.199999999721</v>
      </c>
      <c r="OO9" s="70"/>
      <c r="OP9" s="69"/>
      <c r="OQ9" s="1563">
        <v>27</v>
      </c>
      <c r="OR9" s="134">
        <v>345626.495</v>
      </c>
      <c r="OS9" s="134">
        <v>484866</v>
      </c>
      <c r="OT9" s="134"/>
      <c r="OU9" s="133">
        <f t="shared" si="162"/>
        <v>139239.505</v>
      </c>
      <c r="OV9" s="94">
        <f>OU9/OS9</f>
        <v>0.28717110500633164</v>
      </c>
      <c r="OW9" s="133">
        <f>2600+12476</f>
        <v>15076</v>
      </c>
      <c r="OX9" s="134">
        <v>50000</v>
      </c>
      <c r="OY9" s="134">
        <v>70000</v>
      </c>
      <c r="OZ9" s="190">
        <f t="shared" si="163"/>
        <v>4163.5050000000047</v>
      </c>
      <c r="PA9" s="5361">
        <f>OZ9/OS9</f>
        <v>8.5869188600561901E-3</v>
      </c>
      <c r="PB9" s="5320">
        <v>24</v>
      </c>
      <c r="PC9" s="134">
        <v>307112.71999999997</v>
      </c>
      <c r="PD9" s="134">
        <v>451696</v>
      </c>
      <c r="PE9" s="134">
        <v>0</v>
      </c>
      <c r="PF9" s="133">
        <f t="shared" si="164"/>
        <v>144583.28000000003</v>
      </c>
      <c r="PG9" s="94">
        <f>PF9/PD9</f>
        <v>0.32008979490630873</v>
      </c>
      <c r="PH9" s="133">
        <v>0</v>
      </c>
      <c r="PI9" s="134">
        <v>50000</v>
      </c>
      <c r="PJ9" s="134">
        <v>61356.200000000186</v>
      </c>
      <c r="PK9" s="190">
        <f t="shared" si="165"/>
        <v>33227.079999999842</v>
      </c>
      <c r="PL9" s="135">
        <f>PK9/PD9</f>
        <v>7.3560713400162597E-2</v>
      </c>
      <c r="PM9" s="5379">
        <v>24</v>
      </c>
      <c r="PN9" s="134">
        <v>294958.02500000002</v>
      </c>
      <c r="PO9" s="134">
        <v>443070</v>
      </c>
      <c r="PP9" s="134">
        <v>0</v>
      </c>
      <c r="PQ9" s="6293">
        <f t="shared" si="166"/>
        <v>148111.97499999998</v>
      </c>
      <c r="PR9" s="6295">
        <f>PQ9/PO9</f>
        <v>0.33428572234635606</v>
      </c>
      <c r="PS9" s="134">
        <v>26000</v>
      </c>
      <c r="PT9" s="134">
        <v>50000</v>
      </c>
      <c r="PU9" s="134">
        <v>50000</v>
      </c>
      <c r="PV9" s="190">
        <f t="shared" si="167"/>
        <v>22111.974999999977</v>
      </c>
      <c r="PW9" s="5380">
        <f>PV9/PO9</f>
        <v>4.9906278917552477E-2</v>
      </c>
      <c r="PX9" s="5320">
        <v>24</v>
      </c>
      <c r="PY9" s="191">
        <f t="shared" si="168"/>
        <v>1379632</v>
      </c>
      <c r="PZ9" s="191">
        <f t="shared" si="169"/>
        <v>431934.76</v>
      </c>
      <c r="QA9" s="135">
        <f>PZ9/PY9</f>
        <v>0.31307969081610171</v>
      </c>
      <c r="QB9" s="5379">
        <v>23</v>
      </c>
      <c r="QC9" s="134">
        <v>279426.59250000003</v>
      </c>
      <c r="QD9" s="134">
        <v>509679</v>
      </c>
      <c r="QE9" s="134"/>
      <c r="QF9" s="6293">
        <f t="shared" si="170"/>
        <v>230252.40749999997</v>
      </c>
      <c r="QG9" s="6295">
        <f t="shared" si="171"/>
        <v>0.45175965166310555</v>
      </c>
      <c r="QH9" s="134">
        <v>24448</v>
      </c>
      <c r="QI9" s="134">
        <v>100000</v>
      </c>
      <c r="QJ9" s="134">
        <v>50000</v>
      </c>
      <c r="QK9" s="190">
        <f t="shared" si="172"/>
        <v>55804.407499999972</v>
      </c>
      <c r="QL9" s="5380">
        <f t="shared" si="173"/>
        <v>0.10948932072932173</v>
      </c>
      <c r="QM9" s="5379">
        <v>20</v>
      </c>
      <c r="QN9" s="134">
        <v>305195.59000000003</v>
      </c>
      <c r="QO9" s="134">
        <v>533412</v>
      </c>
      <c r="QP9" s="134">
        <v>0</v>
      </c>
      <c r="QQ9" s="133">
        <f t="shared" si="174"/>
        <v>228216.40999999997</v>
      </c>
      <c r="QR9" s="151">
        <f t="shared" si="175"/>
        <v>0.42784266195736126</v>
      </c>
      <c r="QS9" s="133">
        <v>0</v>
      </c>
      <c r="QT9" s="134">
        <v>0</v>
      </c>
      <c r="QU9" s="134">
        <v>50000</v>
      </c>
      <c r="QV9" s="190">
        <f t="shared" si="176"/>
        <v>178216.40999999997</v>
      </c>
      <c r="QW9" s="5380">
        <f t="shared" si="177"/>
        <v>0.33410648804301363</v>
      </c>
      <c r="QX9" s="5379">
        <v>26</v>
      </c>
      <c r="QY9" s="358">
        <v>339015.17249999999</v>
      </c>
      <c r="QZ9" s="358">
        <v>439223</v>
      </c>
      <c r="RA9" s="134">
        <v>0</v>
      </c>
      <c r="RB9" s="133">
        <f t="shared" si="178"/>
        <v>100207.82750000001</v>
      </c>
      <c r="RC9" s="151">
        <f t="shared" si="179"/>
        <v>0.22814795104081528</v>
      </c>
      <c r="RD9" s="133">
        <v>0</v>
      </c>
      <c r="RE9" s="134">
        <v>7784.4700000000885</v>
      </c>
      <c r="RF9" s="134">
        <v>50000</v>
      </c>
      <c r="RG9" s="190">
        <f t="shared" si="180"/>
        <v>42423.357499999925</v>
      </c>
      <c r="RH9" s="5380">
        <f t="shared" si="181"/>
        <v>9.6587285957247054E-2</v>
      </c>
      <c r="RI9" s="5376"/>
      <c r="RJ9" s="191">
        <f t="shared" si="182"/>
        <v>1482314</v>
      </c>
      <c r="RK9" s="191">
        <f t="shared" si="183"/>
        <v>558676.64500000002</v>
      </c>
      <c r="RL9" s="5380">
        <f t="shared" si="184"/>
        <v>0.37689493926388068</v>
      </c>
      <c r="RM9" s="1562">
        <f t="shared" si="185"/>
        <v>-24</v>
      </c>
      <c r="RN9" s="128">
        <f t="shared" si="185"/>
        <v>102682</v>
      </c>
      <c r="RO9" s="139">
        <f t="shared" si="185"/>
        <v>126741.88500000001</v>
      </c>
      <c r="RP9" s="442">
        <f t="shared" si="186"/>
        <v>-1</v>
      </c>
      <c r="RQ9" s="442">
        <f t="shared" si="186"/>
        <v>7.4427093601772062E-2</v>
      </c>
      <c r="RR9" s="6339">
        <f t="shared" si="186"/>
        <v>0.29342830616364379</v>
      </c>
      <c r="RS9" s="6327">
        <v>29</v>
      </c>
      <c r="RT9" s="208">
        <v>363475.4</v>
      </c>
      <c r="RU9" s="130">
        <v>457920</v>
      </c>
      <c r="RV9" s="3546">
        <v>0</v>
      </c>
      <c r="RW9" s="133">
        <f t="shared" si="187"/>
        <v>94444.599999999977</v>
      </c>
      <c r="RX9" s="151">
        <f t="shared" si="188"/>
        <v>0.20624694269741434</v>
      </c>
      <c r="RY9" s="133">
        <v>0</v>
      </c>
      <c r="RZ9" s="134">
        <v>0</v>
      </c>
      <c r="SA9" s="134">
        <v>50000</v>
      </c>
      <c r="SB9" s="190">
        <f t="shared" si="189"/>
        <v>44444.599999999977</v>
      </c>
      <c r="SC9" s="5380">
        <f t="shared" si="190"/>
        <v>9.7057564640111754E-2</v>
      </c>
      <c r="SD9" s="5405">
        <v>33</v>
      </c>
      <c r="SE9" s="130">
        <v>399368.685</v>
      </c>
      <c r="SF9" s="130">
        <v>449158</v>
      </c>
      <c r="SG9" s="606">
        <v>0</v>
      </c>
      <c r="SH9" s="6364">
        <f t="shared" si="191"/>
        <v>49789.315000000002</v>
      </c>
      <c r="SI9" s="6363">
        <f t="shared" si="192"/>
        <v>0.11085033551667788</v>
      </c>
      <c r="SJ9" s="134"/>
      <c r="SK9" s="134">
        <v>0</v>
      </c>
      <c r="SL9" s="134">
        <v>0</v>
      </c>
      <c r="SM9" s="190">
        <f t="shared" si="193"/>
        <v>49789.315000000002</v>
      </c>
      <c r="SN9" s="5380">
        <f t="shared" si="194"/>
        <v>0.11085033551667788</v>
      </c>
      <c r="SO9" s="134">
        <v>35</v>
      </c>
      <c r="SP9" s="134">
        <v>408340.185</v>
      </c>
      <c r="SQ9" s="134">
        <v>535758</v>
      </c>
      <c r="SR9" s="134"/>
      <c r="SS9" s="6361">
        <f t="shared" si="195"/>
        <v>127417.815</v>
      </c>
      <c r="ST9" s="6363">
        <f t="shared" si="196"/>
        <v>0.23782718130200575</v>
      </c>
      <c r="SU9" s="134">
        <v>0</v>
      </c>
      <c r="SV9" s="134">
        <v>50000</v>
      </c>
      <c r="SW9" s="134">
        <v>0</v>
      </c>
      <c r="SX9" s="190">
        <f t="shared" si="197"/>
        <v>77417.815000000002</v>
      </c>
      <c r="SY9" s="5380">
        <f t="shared" si="198"/>
        <v>0.14450146334725752</v>
      </c>
      <c r="SZ9" s="6270"/>
      <c r="TA9" s="118">
        <f t="shared" si="199"/>
        <v>1442836</v>
      </c>
      <c r="TB9" s="118">
        <f t="shared" si="200"/>
        <v>271651.73</v>
      </c>
      <c r="TC9" s="5380">
        <f t="shared" si="201"/>
        <v>0.18827623513691091</v>
      </c>
      <c r="TD9" s="209">
        <v>39</v>
      </c>
      <c r="TE9" s="208">
        <f>474314+(687386*0.75%)</f>
        <v>479469.39500000002</v>
      </c>
      <c r="TF9" s="208">
        <v>687386</v>
      </c>
      <c r="TG9" s="134"/>
      <c r="TH9" s="133">
        <f t="shared" si="202"/>
        <v>207916.60499999998</v>
      </c>
      <c r="TI9" s="151">
        <f t="shared" si="203"/>
        <v>0.30247430846714946</v>
      </c>
      <c r="TJ9" s="134">
        <v>0</v>
      </c>
      <c r="TK9" s="134">
        <v>50000</v>
      </c>
      <c r="TL9" s="134">
        <v>100000</v>
      </c>
      <c r="TM9" s="190">
        <f t="shared" si="204"/>
        <v>57916.604999999981</v>
      </c>
      <c r="TN9" s="5380">
        <f t="shared" si="205"/>
        <v>8.4256305772884496E-2</v>
      </c>
      <c r="TO9" s="134"/>
      <c r="TP9" s="134"/>
      <c r="TQ9" s="134"/>
      <c r="TR9" s="134"/>
      <c r="TS9" s="133">
        <f t="shared" si="206"/>
        <v>0</v>
      </c>
      <c r="TT9" s="151" t="e">
        <f t="shared" si="207"/>
        <v>#DIV/0!</v>
      </c>
      <c r="TU9" s="134"/>
      <c r="TV9" s="134"/>
      <c r="TW9" s="134"/>
      <c r="TX9" s="190">
        <f t="shared" si="208"/>
        <v>0</v>
      </c>
      <c r="TY9" s="135" t="e">
        <f t="shared" si="209"/>
        <v>#DIV/0!</v>
      </c>
      <c r="TZ9" s="1563"/>
      <c r="UA9" s="134"/>
      <c r="UB9" s="134"/>
      <c r="UC9" s="134"/>
      <c r="UD9" s="133">
        <f t="shared" si="210"/>
        <v>0</v>
      </c>
      <c r="UE9" s="151" t="e">
        <f t="shared" si="211"/>
        <v>#DIV/0!</v>
      </c>
      <c r="UF9" s="134"/>
      <c r="UG9" s="134"/>
      <c r="UH9" s="134"/>
      <c r="UI9" s="190">
        <f t="shared" si="212"/>
        <v>0</v>
      </c>
      <c r="UJ9" s="5380" t="e">
        <f t="shared" si="213"/>
        <v>#DIV/0!</v>
      </c>
      <c r="UK9" s="5376"/>
      <c r="UL9" s="191">
        <f t="shared" si="214"/>
        <v>4992168</v>
      </c>
      <c r="UM9" s="191">
        <f t="shared" si="215"/>
        <v>1470179.7399999998</v>
      </c>
      <c r="UN9" s="135">
        <f t="shared" si="216"/>
        <v>0.29449724849003472</v>
      </c>
      <c r="UO9" s="191">
        <f t="shared" si="217"/>
        <v>565515.0699999996</v>
      </c>
      <c r="UP9" s="5380">
        <f t="shared" si="218"/>
        <v>0.11328045650707259</v>
      </c>
    </row>
    <row r="10" spans="1:567" x14ac:dyDescent="0.3">
      <c r="A10" s="5316">
        <v>6</v>
      </c>
      <c r="B10" s="5360" t="s">
        <v>376</v>
      </c>
      <c r="C10" s="735" t="s">
        <v>442</v>
      </c>
      <c r="D10" s="578" t="s">
        <v>140</v>
      </c>
      <c r="E10" s="6279" t="s">
        <v>1035</v>
      </c>
      <c r="F10" s="579">
        <v>33.666666666666664</v>
      </c>
      <c r="G10" s="161">
        <v>1289701</v>
      </c>
      <c r="H10" s="161">
        <v>1088100</v>
      </c>
      <c r="I10" s="161">
        <v>-201601</v>
      </c>
      <c r="J10" s="351">
        <f t="shared" si="0"/>
        <v>-0.18527800753607204</v>
      </c>
      <c r="K10" s="580">
        <v>28.666666666666668</v>
      </c>
      <c r="L10" s="161">
        <v>1021957</v>
      </c>
      <c r="M10" s="161">
        <v>1061498.5</v>
      </c>
      <c r="N10" s="161">
        <v>39541.5</v>
      </c>
      <c r="O10" s="422"/>
      <c r="P10" s="580">
        <v>28.333333333333332</v>
      </c>
      <c r="Q10" s="161">
        <v>1031838</v>
      </c>
      <c r="R10" s="161">
        <v>1082186</v>
      </c>
      <c r="S10" s="161">
        <v>50348</v>
      </c>
      <c r="T10" s="94"/>
      <c r="U10" s="136"/>
      <c r="V10" s="422"/>
      <c r="W10" s="422"/>
      <c r="X10" s="422"/>
      <c r="Y10" s="422"/>
      <c r="Z10" s="581"/>
      <c r="AA10" s="422"/>
      <c r="AB10" s="422"/>
      <c r="AC10" s="422"/>
      <c r="AD10" s="422"/>
      <c r="AE10" s="619">
        <f t="shared" si="1"/>
        <v>0</v>
      </c>
      <c r="AF10" s="422"/>
      <c r="AG10" s="113">
        <v>19</v>
      </c>
      <c r="AH10" s="616">
        <f>226452+10075+44973</f>
        <v>281500</v>
      </c>
      <c r="AI10" s="616">
        <v>289300</v>
      </c>
      <c r="AJ10" s="616"/>
      <c r="AK10" s="105">
        <f t="shared" si="2"/>
        <v>7800</v>
      </c>
      <c r="AL10" s="114">
        <f t="shared" si="3"/>
        <v>2.6961631524369166E-2</v>
      </c>
      <c r="AM10" s="129">
        <v>0</v>
      </c>
      <c r="AN10" s="130">
        <v>131298</v>
      </c>
      <c r="AO10" s="130"/>
      <c r="AP10" s="130">
        <v>49383.651724137926</v>
      </c>
      <c r="AQ10" s="130">
        <f t="shared" si="4"/>
        <v>-172881.65172413792</v>
      </c>
      <c r="AR10" s="114">
        <f t="shared" si="5"/>
        <v>-22.164314323607424</v>
      </c>
      <c r="AS10" s="113">
        <v>19</v>
      </c>
      <c r="AT10" s="213">
        <v>812168</v>
      </c>
      <c r="AU10" s="130">
        <v>867911.2</v>
      </c>
      <c r="AV10" s="130">
        <v>55743.199999999953</v>
      </c>
      <c r="AW10" s="114">
        <f t="shared" si="6"/>
        <v>6.4226847170539975E-2</v>
      </c>
      <c r="AX10" s="617">
        <v>19</v>
      </c>
      <c r="AY10" s="241">
        <f t="shared" si="7"/>
        <v>4155664</v>
      </c>
      <c r="AZ10" s="241">
        <f t="shared" si="7"/>
        <v>4099695.7</v>
      </c>
      <c r="BA10" s="241">
        <f t="shared" si="7"/>
        <v>-55968.300000000047</v>
      </c>
      <c r="BB10" s="135">
        <f t="shared" si="8"/>
        <v>-1.3651818109329443E-2</v>
      </c>
      <c r="BC10" s="636">
        <v>19</v>
      </c>
      <c r="BD10" s="619">
        <v>256291</v>
      </c>
      <c r="BE10" s="619">
        <v>214999.8</v>
      </c>
      <c r="BF10" s="619">
        <v>0</v>
      </c>
      <c r="BG10" s="619">
        <f t="shared" si="9"/>
        <v>-41291.200000000012</v>
      </c>
      <c r="BH10" s="618"/>
      <c r="BI10" s="636">
        <v>15</v>
      </c>
      <c r="BJ10" s="619">
        <v>176130</v>
      </c>
      <c r="BK10" s="619">
        <v>213505</v>
      </c>
      <c r="BL10" s="619"/>
      <c r="BM10" s="619">
        <f t="shared" si="10"/>
        <v>37375</v>
      </c>
      <c r="BN10" s="618"/>
      <c r="BO10" s="620">
        <v>16</v>
      </c>
      <c r="BP10" s="619">
        <v>218065</v>
      </c>
      <c r="BQ10" s="619">
        <v>182580</v>
      </c>
      <c r="BR10" s="619"/>
      <c r="BS10" s="619">
        <f t="shared" si="11"/>
        <v>-35485</v>
      </c>
      <c r="BT10" s="1480">
        <f t="shared" si="12"/>
        <v>-0.19435316025851682</v>
      </c>
      <c r="BU10" s="620">
        <v>16</v>
      </c>
      <c r="BV10" s="1481">
        <f t="shared" si="13"/>
        <v>611084.80000000005</v>
      </c>
      <c r="BW10" s="1481">
        <f t="shared" si="14"/>
        <v>-39401.200000000012</v>
      </c>
      <c r="BX10" s="236">
        <f t="shared" si="15"/>
        <v>-6.4477466957122823E-2</v>
      </c>
      <c r="BY10" s="594">
        <v>15</v>
      </c>
      <c r="BZ10" s="595">
        <f>158453+9429+17851</f>
        <v>185733</v>
      </c>
      <c r="CA10" s="595">
        <v>143481</v>
      </c>
      <c r="CB10" s="595">
        <v>0</v>
      </c>
      <c r="CC10" s="596">
        <f t="shared" si="16"/>
        <v>-42252</v>
      </c>
      <c r="CD10" s="597">
        <f t="shared" si="17"/>
        <v>-0.29447801451063205</v>
      </c>
      <c r="CE10" s="598">
        <v>0</v>
      </c>
      <c r="CF10" s="599"/>
      <c r="CG10" s="599"/>
      <c r="CH10" s="599">
        <v>74304.057692307688</v>
      </c>
      <c r="CI10" s="599">
        <f t="shared" si="18"/>
        <v>-116556.05769230769</v>
      </c>
      <c r="CJ10" s="597">
        <f t="shared" si="19"/>
        <v>-0.81234489369538609</v>
      </c>
      <c r="CK10" s="600">
        <v>13</v>
      </c>
      <c r="CL10" s="601">
        <v>176594</v>
      </c>
      <c r="CM10" s="601">
        <v>160303</v>
      </c>
      <c r="CN10" s="601"/>
      <c r="CO10" s="96">
        <f t="shared" si="20"/>
        <v>-16291</v>
      </c>
      <c r="CP10" s="602">
        <f t="shared" si="21"/>
        <v>-0.10162629520345845</v>
      </c>
      <c r="CQ10" s="603">
        <v>0</v>
      </c>
      <c r="CR10" s="603">
        <v>99658.273076923069</v>
      </c>
      <c r="CS10" s="603"/>
      <c r="CT10" s="603">
        <v>147101.18634615382</v>
      </c>
      <c r="CU10" s="603">
        <f t="shared" si="22"/>
        <v>-263050.45942307689</v>
      </c>
      <c r="CV10" s="604">
        <f t="shared" si="23"/>
        <v>-1.6409578075461899</v>
      </c>
      <c r="CW10" s="129">
        <v>11</v>
      </c>
      <c r="CX10" s="130">
        <v>131600</v>
      </c>
      <c r="CY10" s="130">
        <v>160303.79999999999</v>
      </c>
      <c r="CZ10" s="130"/>
      <c r="DA10" s="605">
        <f t="shared" si="24"/>
        <v>28703.799999999988</v>
      </c>
      <c r="DB10" s="114">
        <f t="shared" si="25"/>
        <v>0.17905876217531955</v>
      </c>
      <c r="DC10" s="138"/>
      <c r="DD10" s="606">
        <v>113817.95833333333</v>
      </c>
      <c r="DE10" s="130"/>
      <c r="DF10" s="130">
        <v>121185.01354166666</v>
      </c>
      <c r="DG10" s="128">
        <f t="shared" si="26"/>
        <v>-206299.171875</v>
      </c>
      <c r="DH10" s="169">
        <f t="shared" si="27"/>
        <v>-1.2869262729579711</v>
      </c>
      <c r="DI10" s="204">
        <f t="shared" si="28"/>
        <v>13</v>
      </c>
      <c r="DJ10" s="202">
        <f t="shared" si="29"/>
        <v>464087.8</v>
      </c>
      <c r="DK10" s="202">
        <f t="shared" si="30"/>
        <v>-29839.200000000012</v>
      </c>
      <c r="DL10" s="119">
        <f t="shared" si="31"/>
        <v>-6.4296454248527993E-2</v>
      </c>
      <c r="DM10" s="202">
        <f t="shared" si="32"/>
        <v>-585905.68899038457</v>
      </c>
      <c r="DN10" s="119">
        <f t="shared" si="33"/>
        <v>-1.2624888846256777</v>
      </c>
      <c r="DO10" s="607">
        <f t="shared" si="34"/>
        <v>-8</v>
      </c>
      <c r="DP10" s="137">
        <f t="shared" si="34"/>
        <v>-149900</v>
      </c>
      <c r="DQ10" s="137">
        <f t="shared" si="34"/>
        <v>-128996.20000000001</v>
      </c>
      <c r="DR10" s="137">
        <f t="shared" si="35"/>
        <v>20903.799999999988</v>
      </c>
      <c r="DS10" s="135">
        <f t="shared" si="36"/>
        <v>-0.42105263157894735</v>
      </c>
      <c r="DT10" s="135">
        <f t="shared" si="37"/>
        <v>-0.51814725198755618</v>
      </c>
      <c r="DU10" s="135">
        <f t="shared" si="38"/>
        <v>-16.53797435897436</v>
      </c>
      <c r="DV10" s="151">
        <f t="shared" si="39"/>
        <v>-0.12091393037680805</v>
      </c>
      <c r="DW10" s="607">
        <f t="shared" si="40"/>
        <v>-2</v>
      </c>
      <c r="DX10" s="608">
        <f t="shared" si="41"/>
        <v>0.79999999998835847</v>
      </c>
      <c r="DY10" s="608">
        <f t="shared" si="42"/>
        <v>44994.799999999988</v>
      </c>
      <c r="DZ10" s="608">
        <f t="shared" si="43"/>
        <v>56751.287548076885</v>
      </c>
      <c r="EA10" s="135">
        <f t="shared" si="44"/>
        <v>-0.15384615384615385</v>
      </c>
      <c r="EB10" s="135">
        <f t="shared" si="45"/>
        <v>4.9905491474792017E-6</v>
      </c>
      <c r="EC10" s="135">
        <f t="shared" si="46"/>
        <v>-2.7619421766619601</v>
      </c>
      <c r="ED10" s="151">
        <f t="shared" si="219"/>
        <v>-0.21574297065492298</v>
      </c>
      <c r="EE10" s="129">
        <v>10</v>
      </c>
      <c r="EF10" s="130">
        <v>119806</v>
      </c>
      <c r="EG10" s="130">
        <v>131254.5</v>
      </c>
      <c r="EH10" s="130">
        <v>0</v>
      </c>
      <c r="EI10" s="605">
        <f t="shared" si="47"/>
        <v>11448.5</v>
      </c>
      <c r="EJ10" s="114">
        <f t="shared" si="48"/>
        <v>8.7223676140627565E-2</v>
      </c>
      <c r="EK10" s="138">
        <v>0</v>
      </c>
      <c r="EL10" s="606">
        <v>0</v>
      </c>
      <c r="EM10" s="130">
        <v>0</v>
      </c>
      <c r="EN10" s="130">
        <v>0</v>
      </c>
      <c r="EO10" s="128">
        <f t="shared" si="49"/>
        <v>11448.5</v>
      </c>
      <c r="EP10" s="114">
        <f t="shared" si="50"/>
        <v>8.7223676140627565E-2</v>
      </c>
      <c r="EQ10" s="129">
        <v>7</v>
      </c>
      <c r="ER10" s="595">
        <v>93048</v>
      </c>
      <c r="ES10" s="595">
        <v>126914</v>
      </c>
      <c r="ET10" s="130">
        <v>0</v>
      </c>
      <c r="EU10" s="134">
        <f t="shared" si="51"/>
        <v>33866</v>
      </c>
      <c r="EV10" s="114">
        <f t="shared" si="52"/>
        <v>0.26684211355721199</v>
      </c>
      <c r="EW10" s="138">
        <v>0</v>
      </c>
      <c r="EX10" s="606">
        <v>0</v>
      </c>
      <c r="EY10" s="130">
        <v>0</v>
      </c>
      <c r="EZ10" s="128">
        <v>0</v>
      </c>
      <c r="FA10" s="128">
        <f t="shared" si="53"/>
        <v>33866</v>
      </c>
      <c r="FB10" s="114">
        <f t="shared" si="54"/>
        <v>0.26684211355721199</v>
      </c>
      <c r="FC10" s="643">
        <f t="shared" si="55"/>
        <v>-12</v>
      </c>
      <c r="FD10" s="644">
        <f t="shared" si="56"/>
        <v>-162386</v>
      </c>
      <c r="FE10" s="644">
        <f t="shared" si="57"/>
        <v>26066</v>
      </c>
      <c r="FF10" s="644">
        <f t="shared" si="58"/>
        <v>206747.65172413792</v>
      </c>
      <c r="FG10" s="74">
        <f t="shared" si="59"/>
        <v>-0.63157894736842102</v>
      </c>
      <c r="FH10" s="74">
        <f t="shared" si="60"/>
        <v>-0.56130660214310402</v>
      </c>
      <c r="FI10" s="74">
        <f t="shared" si="61"/>
        <v>3.341794871794872</v>
      </c>
      <c r="FJ10" s="73">
        <f t="shared" si="62"/>
        <v>-1.1958912334666896</v>
      </c>
      <c r="FK10" s="133">
        <v>6</v>
      </c>
      <c r="FL10" s="134">
        <v>90813</v>
      </c>
      <c r="FM10" s="134">
        <v>77640</v>
      </c>
      <c r="FN10" s="134"/>
      <c r="FO10" s="134">
        <f t="shared" si="63"/>
        <v>-13173</v>
      </c>
      <c r="FP10" s="135">
        <f t="shared" si="64"/>
        <v>-0.1696676970633694</v>
      </c>
      <c r="FQ10" s="133"/>
      <c r="FR10" s="134"/>
      <c r="FS10" s="134"/>
      <c r="FT10" s="191">
        <f t="shared" si="65"/>
        <v>-13173</v>
      </c>
      <c r="FU10" s="151">
        <f t="shared" si="66"/>
        <v>-0.1696676970633694</v>
      </c>
      <c r="FV10" s="190">
        <f t="shared" si="67"/>
        <v>-13</v>
      </c>
      <c r="FW10" s="191">
        <f t="shared" si="67"/>
        <v>-190687</v>
      </c>
      <c r="FX10" s="191">
        <f t="shared" si="67"/>
        <v>-211660</v>
      </c>
      <c r="FY10" s="191">
        <f t="shared" si="68"/>
        <v>-20973</v>
      </c>
      <c r="FZ10" s="191">
        <f t="shared" si="69"/>
        <v>159708.65172413792</v>
      </c>
      <c r="GA10" s="135">
        <f t="shared" si="70"/>
        <v>-0.68421052631578949</v>
      </c>
      <c r="GB10" s="135">
        <f t="shared" si="71"/>
        <v>-0.73162806774974076</v>
      </c>
      <c r="GC10" s="135">
        <f t="shared" si="72"/>
        <v>-2.6888461538461539</v>
      </c>
      <c r="GD10" s="151">
        <f t="shared" si="73"/>
        <v>-0.92380336566300414</v>
      </c>
      <c r="GE10" s="187">
        <f t="shared" si="74"/>
        <v>7.666666666666667</v>
      </c>
      <c r="GF10" s="155">
        <f t="shared" si="75"/>
        <v>335808.5</v>
      </c>
      <c r="GG10" s="155">
        <f t="shared" si="76"/>
        <v>32141.5</v>
      </c>
      <c r="GH10" s="74">
        <f t="shared" si="77"/>
        <v>9.5713777346314935E-2</v>
      </c>
      <c r="GI10" s="613">
        <f t="shared" si="78"/>
        <v>32141.5</v>
      </c>
      <c r="GJ10" s="187">
        <f t="shared" si="79"/>
        <v>-5.333333333333333</v>
      </c>
      <c r="GK10" s="155">
        <f t="shared" si="79"/>
        <v>-128279.29999999999</v>
      </c>
      <c r="GL10" s="155">
        <f t="shared" si="79"/>
        <v>61980.700000000012</v>
      </c>
      <c r="GM10" s="613">
        <f t="shared" si="80"/>
        <v>618047.18899038457</v>
      </c>
      <c r="GN10" s="133">
        <v>5</v>
      </c>
      <c r="GO10" s="134">
        <v>59032</v>
      </c>
      <c r="GP10" s="134">
        <v>80120</v>
      </c>
      <c r="GQ10" s="134">
        <v>0</v>
      </c>
      <c r="GR10" s="134">
        <f t="shared" si="81"/>
        <v>21088</v>
      </c>
      <c r="GS10" s="135">
        <f t="shared" si="82"/>
        <v>0.26320519221168248</v>
      </c>
      <c r="GT10" s="133"/>
      <c r="GU10" s="134"/>
      <c r="GV10" s="134">
        <v>0</v>
      </c>
      <c r="GW10" s="134">
        <v>0</v>
      </c>
      <c r="GX10" s="190">
        <f t="shared" si="83"/>
        <v>21088</v>
      </c>
      <c r="GY10" s="151">
        <f t="shared" si="84"/>
        <v>0.26320519221168248</v>
      </c>
      <c r="GZ10" s="614">
        <v>6</v>
      </c>
      <c r="HA10" s="130">
        <v>89032</v>
      </c>
      <c r="HB10" s="130">
        <v>90000</v>
      </c>
      <c r="HC10" s="130"/>
      <c r="HD10" s="134">
        <f t="shared" si="85"/>
        <v>968</v>
      </c>
      <c r="HE10" s="151">
        <f t="shared" si="86"/>
        <v>1.0755555555555556E-2</v>
      </c>
      <c r="HF10" s="138">
        <v>0</v>
      </c>
      <c r="HG10" s="130"/>
      <c r="HH10" s="130"/>
      <c r="HI10" s="130"/>
      <c r="HJ10" s="197">
        <f t="shared" si="87"/>
        <v>968</v>
      </c>
      <c r="HK10" s="201">
        <f t="shared" si="88"/>
        <v>1.0755555555555556E-2</v>
      </c>
      <c r="HL10" s="1365">
        <v>5</v>
      </c>
      <c r="HM10" s="148">
        <v>60000</v>
      </c>
      <c r="HN10" s="148">
        <v>38542</v>
      </c>
      <c r="HO10" s="134">
        <v>0</v>
      </c>
      <c r="HP10" s="615">
        <f t="shared" si="89"/>
        <v>-21458</v>
      </c>
      <c r="HQ10" s="201">
        <f t="shared" si="90"/>
        <v>-0.55674329303097914</v>
      </c>
      <c r="HR10" s="133">
        <v>0</v>
      </c>
      <c r="HS10" s="134">
        <v>100000</v>
      </c>
      <c r="HT10" s="134"/>
      <c r="HU10" s="134">
        <v>0</v>
      </c>
      <c r="HV10" s="191">
        <f t="shared" si="91"/>
        <v>-121458</v>
      </c>
      <c r="HW10" s="151">
        <f t="shared" si="92"/>
        <v>-3.1513154480826113</v>
      </c>
      <c r="HX10" s="414">
        <v>5</v>
      </c>
      <c r="HY10" s="241">
        <f t="shared" si="93"/>
        <v>208662</v>
      </c>
      <c r="HZ10" s="415">
        <f t="shared" si="94"/>
        <v>598</v>
      </c>
      <c r="IA10" s="135"/>
      <c r="IB10" s="415">
        <f t="shared" si="95"/>
        <v>-99402</v>
      </c>
      <c r="IC10" s="141"/>
      <c r="ID10" s="642">
        <v>5</v>
      </c>
      <c r="IE10" s="141">
        <f t="shared" si="96"/>
        <v>1619643.1</v>
      </c>
      <c r="IF10" s="141">
        <f t="shared" si="96"/>
        <v>-36500.900000000023</v>
      </c>
      <c r="IG10" s="74">
        <f t="shared" si="97"/>
        <v>-2.2536384713397674E-2</v>
      </c>
      <c r="IH10" s="1507"/>
      <c r="II10" s="69"/>
      <c r="IJ10" s="133">
        <v>4</v>
      </c>
      <c r="IK10" s="134">
        <v>56903</v>
      </c>
      <c r="IL10" s="134">
        <v>47055</v>
      </c>
      <c r="IM10" s="134">
        <v>0</v>
      </c>
      <c r="IN10" s="133">
        <f>IL10-(IK10+IM10)</f>
        <v>-9848</v>
      </c>
      <c r="IO10" s="151">
        <f t="shared" si="98"/>
        <v>-0.20928700456912125</v>
      </c>
      <c r="IP10" s="133">
        <v>0</v>
      </c>
      <c r="IQ10" s="134"/>
      <c r="IR10" s="134">
        <v>0</v>
      </c>
      <c r="IS10" s="190">
        <f t="shared" si="99"/>
        <v>-9848</v>
      </c>
      <c r="IT10" s="151">
        <f t="shared" si="100"/>
        <v>-0.20928700456912125</v>
      </c>
      <c r="IU10" s="390">
        <v>3</v>
      </c>
      <c r="IV10" s="134">
        <v>36000</v>
      </c>
      <c r="IW10" s="134">
        <v>51205</v>
      </c>
      <c r="IX10" s="134">
        <v>0</v>
      </c>
      <c r="IY10" s="133">
        <f t="shared" si="101"/>
        <v>15205</v>
      </c>
      <c r="IZ10" s="151">
        <f t="shared" si="102"/>
        <v>0.29694365784591348</v>
      </c>
      <c r="JA10" s="133">
        <v>0</v>
      </c>
      <c r="JB10" s="134">
        <v>0</v>
      </c>
      <c r="JC10" s="134">
        <v>0</v>
      </c>
      <c r="JD10" s="190">
        <f t="shared" si="103"/>
        <v>15205</v>
      </c>
      <c r="JE10" s="151">
        <f t="shared" si="104"/>
        <v>0.29694365784591348</v>
      </c>
      <c r="JF10" s="390">
        <v>1</v>
      </c>
      <c r="JG10" s="134">
        <v>24000</v>
      </c>
      <c r="JH10" s="134">
        <v>29924</v>
      </c>
      <c r="JI10" s="134">
        <v>0</v>
      </c>
      <c r="JJ10" s="133">
        <f t="shared" si="105"/>
        <v>5924</v>
      </c>
      <c r="JK10" s="151">
        <f t="shared" si="106"/>
        <v>0.19796818607138084</v>
      </c>
      <c r="JL10" s="133">
        <v>0</v>
      </c>
      <c r="JM10" s="134">
        <v>0</v>
      </c>
      <c r="JN10" s="134">
        <v>0</v>
      </c>
      <c r="JO10" s="190">
        <f t="shared" si="107"/>
        <v>5924</v>
      </c>
      <c r="JP10" s="151">
        <f t="shared" si="108"/>
        <v>0.19796818607138084</v>
      </c>
      <c r="JQ10" s="390">
        <v>1</v>
      </c>
      <c r="JR10" s="191">
        <f t="shared" si="109"/>
        <v>128184</v>
      </c>
      <c r="JS10" s="191">
        <f t="shared" si="110"/>
        <v>11281</v>
      </c>
      <c r="JT10" s="151">
        <f t="shared" si="111"/>
        <v>8.8006303438806721E-2</v>
      </c>
      <c r="JU10" s="390">
        <v>7</v>
      </c>
      <c r="JV10" s="134">
        <v>78581</v>
      </c>
      <c r="JW10" s="134">
        <v>31657</v>
      </c>
      <c r="JX10" s="134"/>
      <c r="JY10" s="133">
        <f t="shared" si="112"/>
        <v>-46924</v>
      </c>
      <c r="JZ10" s="151">
        <f t="shared" si="113"/>
        <v>-1.4822630066020153</v>
      </c>
      <c r="KA10" s="133">
        <v>0</v>
      </c>
      <c r="KB10" s="134">
        <v>0</v>
      </c>
      <c r="KC10" s="134">
        <v>0</v>
      </c>
      <c r="KD10" s="190">
        <f t="shared" si="114"/>
        <v>-46924</v>
      </c>
      <c r="KE10" s="151">
        <f t="shared" si="115"/>
        <v>-1.4822630066020153</v>
      </c>
      <c r="KF10" s="390">
        <v>7</v>
      </c>
      <c r="KG10" s="134">
        <v>84000</v>
      </c>
      <c r="KH10" s="134">
        <v>76567</v>
      </c>
      <c r="KI10" s="134">
        <v>0</v>
      </c>
      <c r="KJ10" s="133">
        <f t="shared" si="116"/>
        <v>-7433</v>
      </c>
      <c r="KK10" s="151">
        <f t="shared" si="117"/>
        <v>-9.7078375801585542E-2</v>
      </c>
      <c r="KL10" s="133"/>
      <c r="KM10" s="134">
        <v>0</v>
      </c>
      <c r="KN10" s="134">
        <v>0</v>
      </c>
      <c r="KO10" s="190">
        <f t="shared" si="118"/>
        <v>-7433</v>
      </c>
      <c r="KP10" s="151">
        <f t="shared" si="119"/>
        <v>-9.7078375801585542E-2</v>
      </c>
      <c r="KQ10" s="390">
        <v>7</v>
      </c>
      <c r="KR10" s="134">
        <v>83800</v>
      </c>
      <c r="KS10" s="134">
        <v>67893</v>
      </c>
      <c r="KT10" s="134">
        <v>0</v>
      </c>
      <c r="KU10" s="133">
        <f t="shared" si="120"/>
        <v>-15907</v>
      </c>
      <c r="KV10" s="151">
        <f t="shared" si="121"/>
        <v>-0.23429514088344897</v>
      </c>
      <c r="KW10" s="133"/>
      <c r="KX10" s="134">
        <v>0</v>
      </c>
      <c r="KY10" s="134">
        <v>0</v>
      </c>
      <c r="KZ10" s="190">
        <f t="shared" si="122"/>
        <v>-15907</v>
      </c>
      <c r="LA10" s="151">
        <f t="shared" si="123"/>
        <v>-0.23429514088344897</v>
      </c>
      <c r="LB10" s="402">
        <v>7</v>
      </c>
      <c r="LC10" s="191">
        <f t="shared" si="124"/>
        <v>176117</v>
      </c>
      <c r="LD10" s="191">
        <f t="shared" si="125"/>
        <v>-70264</v>
      </c>
      <c r="LE10" s="151">
        <f t="shared" si="126"/>
        <v>-0.39896205363479958</v>
      </c>
      <c r="LF10" s="226">
        <f t="shared" si="127"/>
        <v>6</v>
      </c>
      <c r="LG10" s="128">
        <f t="shared" si="127"/>
        <v>47933</v>
      </c>
      <c r="LH10" s="139">
        <f t="shared" si="127"/>
        <v>-81545</v>
      </c>
      <c r="LI10" s="442">
        <f t="shared" si="128"/>
        <v>6</v>
      </c>
      <c r="LJ10" s="442">
        <f t="shared" si="128"/>
        <v>0.37393902515134492</v>
      </c>
      <c r="LK10" s="106">
        <f t="shared" si="128"/>
        <v>-7.2285258399078094</v>
      </c>
      <c r="LL10" s="390">
        <v>7</v>
      </c>
      <c r="LM10" s="134">
        <v>84000</v>
      </c>
      <c r="LN10" s="134">
        <v>70000</v>
      </c>
      <c r="LO10" s="134">
        <v>0</v>
      </c>
      <c r="LP10" s="133">
        <f t="shared" si="129"/>
        <v>-14000</v>
      </c>
      <c r="LQ10" s="151">
        <f t="shared" si="130"/>
        <v>-0.2</v>
      </c>
      <c r="LR10" s="133"/>
      <c r="LS10" s="134">
        <v>25000</v>
      </c>
      <c r="LT10" s="134">
        <v>0</v>
      </c>
      <c r="LU10" s="190">
        <f t="shared" si="131"/>
        <v>-39000</v>
      </c>
      <c r="LV10" s="151">
        <f t="shared" si="132"/>
        <v>-0.55714285714285716</v>
      </c>
      <c r="LW10" s="134">
        <v>7</v>
      </c>
      <c r="LX10" s="134">
        <v>83600</v>
      </c>
      <c r="LY10" s="134">
        <v>106180</v>
      </c>
      <c r="LZ10" s="134"/>
      <c r="MA10" s="133">
        <f t="shared" si="133"/>
        <v>22580</v>
      </c>
      <c r="MB10" s="151">
        <f t="shared" si="134"/>
        <v>0.21265775098888678</v>
      </c>
      <c r="MC10" s="134"/>
      <c r="MD10" s="134">
        <v>20000</v>
      </c>
      <c r="ME10" s="134">
        <v>0</v>
      </c>
      <c r="MF10" s="190">
        <f t="shared" si="135"/>
        <v>2580</v>
      </c>
      <c r="MG10" s="151">
        <f t="shared" si="136"/>
        <v>2.4298361273309473E-2</v>
      </c>
      <c r="MH10" s="134">
        <v>7</v>
      </c>
      <c r="MI10" s="134">
        <v>84000</v>
      </c>
      <c r="MJ10" s="134">
        <v>87641</v>
      </c>
      <c r="MK10" s="134"/>
      <c r="ML10" s="133">
        <f t="shared" si="137"/>
        <v>3641</v>
      </c>
      <c r="MM10" s="151">
        <f t="shared" si="138"/>
        <v>4.1544482605173377E-2</v>
      </c>
      <c r="MN10" s="134"/>
      <c r="MO10" s="134">
        <v>279550.625</v>
      </c>
      <c r="MP10" s="134">
        <v>0</v>
      </c>
      <c r="MQ10" s="190">
        <f t="shared" si="139"/>
        <v>-275909.625</v>
      </c>
      <c r="MR10" s="151">
        <f t="shared" si="140"/>
        <v>-3.1481797902808046</v>
      </c>
      <c r="MS10" s="1472">
        <v>7</v>
      </c>
      <c r="MT10" s="118">
        <f t="shared" si="141"/>
        <v>263821</v>
      </c>
      <c r="MU10" s="118">
        <f t="shared" si="142"/>
        <v>12221</v>
      </c>
      <c r="MV10" s="135">
        <f t="shared" si="143"/>
        <v>4.6323075115324408E-2</v>
      </c>
      <c r="MW10" s="133">
        <f t="shared" si="144"/>
        <v>0</v>
      </c>
      <c r="MX10" s="134">
        <f t="shared" si="144"/>
        <v>87704</v>
      </c>
      <c r="MY10" s="134">
        <f t="shared" si="144"/>
        <v>82485</v>
      </c>
      <c r="MZ10" s="135">
        <f t="shared" si="145"/>
        <v>0</v>
      </c>
      <c r="NA10" s="135">
        <f t="shared" si="145"/>
        <v>0.49798713355326291</v>
      </c>
      <c r="NB10" s="151">
        <f t="shared" si="145"/>
        <v>-1.1739297506546738</v>
      </c>
      <c r="NC10" s="134">
        <v>7</v>
      </c>
      <c r="ND10" s="134">
        <v>84000</v>
      </c>
      <c r="NE10" s="134">
        <v>92792.4</v>
      </c>
      <c r="NF10" s="134"/>
      <c r="NG10" s="133">
        <f t="shared" si="146"/>
        <v>8792.3999999999942</v>
      </c>
      <c r="NH10" s="151">
        <f t="shared" si="147"/>
        <v>9.4753449635961509E-2</v>
      </c>
      <c r="NI10" s="134"/>
      <c r="NJ10" s="134">
        <v>0</v>
      </c>
      <c r="NK10" s="134">
        <v>0</v>
      </c>
      <c r="NL10" s="190">
        <f t="shared" si="148"/>
        <v>8792.3999999999942</v>
      </c>
      <c r="NM10" s="135">
        <f t="shared" si="149"/>
        <v>9.4753449635961509E-2</v>
      </c>
      <c r="NN10" s="1563">
        <v>3</v>
      </c>
      <c r="NO10" s="134">
        <v>83793</v>
      </c>
      <c r="NP10" s="134">
        <v>95415</v>
      </c>
      <c r="NQ10" s="134">
        <v>0</v>
      </c>
      <c r="NR10" s="133">
        <f t="shared" si="150"/>
        <v>11622</v>
      </c>
      <c r="NS10" s="151">
        <f t="shared" si="151"/>
        <v>0.1218047476811822</v>
      </c>
      <c r="NT10" s="134">
        <v>0</v>
      </c>
      <c r="NU10" s="134">
        <v>0</v>
      </c>
      <c r="NV10" s="134">
        <v>0</v>
      </c>
      <c r="NW10" s="190">
        <f t="shared" si="152"/>
        <v>11622</v>
      </c>
      <c r="NX10" s="135">
        <f t="shared" si="153"/>
        <v>0.1218047476811822</v>
      </c>
      <c r="NY10" s="1563">
        <v>1</v>
      </c>
      <c r="NZ10" s="134">
        <v>36000</v>
      </c>
      <c r="OA10" s="134">
        <v>47684</v>
      </c>
      <c r="OB10" s="134">
        <v>0</v>
      </c>
      <c r="OC10" s="133">
        <f t="shared" si="154"/>
        <v>11684</v>
      </c>
      <c r="OD10" s="151">
        <f t="shared" si="155"/>
        <v>0.24502977938092441</v>
      </c>
      <c r="OE10" s="134">
        <v>0</v>
      </c>
      <c r="OF10" s="134">
        <v>2211982</v>
      </c>
      <c r="OG10" s="134">
        <v>0</v>
      </c>
      <c r="OH10" s="190">
        <f t="shared" si="156"/>
        <v>-2200298</v>
      </c>
      <c r="OI10" s="5380">
        <f t="shared" si="157"/>
        <v>-46.14331851354752</v>
      </c>
      <c r="OJ10" s="69">
        <v>1</v>
      </c>
      <c r="OK10" s="155">
        <f t="shared" si="158"/>
        <v>798089.4</v>
      </c>
      <c r="OL10" s="155">
        <f t="shared" si="159"/>
        <v>-20587.600000000006</v>
      </c>
      <c r="OM10" s="74">
        <f t="shared" si="160"/>
        <v>-2.5796107553865525E-2</v>
      </c>
      <c r="ON10" s="155">
        <f t="shared" si="161"/>
        <v>-2557120.2250000001</v>
      </c>
      <c r="OO10" s="70"/>
      <c r="OP10" s="69"/>
      <c r="OQ10" s="1563"/>
      <c r="OR10" s="134">
        <v>0</v>
      </c>
      <c r="OS10" s="134">
        <v>0</v>
      </c>
      <c r="OT10" s="134"/>
      <c r="OU10" s="133">
        <f t="shared" si="162"/>
        <v>0</v>
      </c>
      <c r="OV10" s="94">
        <v>0</v>
      </c>
      <c r="OW10" s="133">
        <v>0</v>
      </c>
      <c r="OX10" s="134"/>
      <c r="OY10" s="134">
        <v>0</v>
      </c>
      <c r="OZ10" s="190">
        <f t="shared" si="163"/>
        <v>0</v>
      </c>
      <c r="PA10" s="5361">
        <v>0</v>
      </c>
      <c r="PB10" s="5320"/>
      <c r="PC10" s="134"/>
      <c r="PD10" s="134"/>
      <c r="PE10" s="134"/>
      <c r="PF10" s="133">
        <f t="shared" si="164"/>
        <v>0</v>
      </c>
      <c r="PG10" s="94">
        <v>0</v>
      </c>
      <c r="PH10" s="133">
        <v>0</v>
      </c>
      <c r="PI10" s="134">
        <v>0</v>
      </c>
      <c r="PJ10" s="134">
        <v>0</v>
      </c>
      <c r="PK10" s="190">
        <f t="shared" si="165"/>
        <v>0</v>
      </c>
      <c r="PL10" s="152">
        <v>0</v>
      </c>
      <c r="PM10" s="5379"/>
      <c r="PN10" s="134">
        <v>0</v>
      </c>
      <c r="PO10" s="134">
        <v>0</v>
      </c>
      <c r="PP10" s="134">
        <v>0</v>
      </c>
      <c r="PQ10" s="6293">
        <f t="shared" si="166"/>
        <v>0</v>
      </c>
      <c r="PR10" s="6296">
        <v>0</v>
      </c>
      <c r="PS10" s="134">
        <v>0</v>
      </c>
      <c r="PT10" s="134">
        <v>0</v>
      </c>
      <c r="PU10" s="134">
        <v>0</v>
      </c>
      <c r="PV10" s="190">
        <f t="shared" si="167"/>
        <v>0</v>
      </c>
      <c r="PW10" s="5380">
        <v>0</v>
      </c>
      <c r="PX10" s="5320"/>
      <c r="PY10" s="191">
        <f t="shared" si="168"/>
        <v>0</v>
      </c>
      <c r="PZ10" s="191">
        <f t="shared" si="169"/>
        <v>0</v>
      </c>
      <c r="QA10" s="152">
        <v>0</v>
      </c>
      <c r="QB10" s="5379">
        <v>2</v>
      </c>
      <c r="QC10" s="134">
        <v>24212.264999999999</v>
      </c>
      <c r="QD10" s="134">
        <v>28302</v>
      </c>
      <c r="QE10" s="134"/>
      <c r="QF10" s="6293">
        <f t="shared" si="170"/>
        <v>4089.7350000000006</v>
      </c>
      <c r="QG10" s="6295">
        <f t="shared" si="171"/>
        <v>0.14450339198643208</v>
      </c>
      <c r="QH10" s="134">
        <v>0</v>
      </c>
      <c r="QI10" s="134">
        <v>0</v>
      </c>
      <c r="QJ10" s="134">
        <v>0</v>
      </c>
      <c r="QK10" s="190">
        <f t="shared" si="172"/>
        <v>4089.7350000000006</v>
      </c>
      <c r="QL10" s="5380">
        <f t="shared" si="173"/>
        <v>0.14450339198643208</v>
      </c>
      <c r="QM10" s="5379">
        <v>24</v>
      </c>
      <c r="QN10" s="134">
        <v>169592.755</v>
      </c>
      <c r="QO10" s="134">
        <v>31434</v>
      </c>
      <c r="QP10" s="134">
        <v>0</v>
      </c>
      <c r="QQ10" s="133">
        <f t="shared" si="174"/>
        <v>-138158.755</v>
      </c>
      <c r="QR10" s="151">
        <f t="shared" si="175"/>
        <v>-4.39520121524464</v>
      </c>
      <c r="QS10" s="133">
        <v>0</v>
      </c>
      <c r="QT10" s="134">
        <v>0</v>
      </c>
      <c r="QU10" s="134">
        <v>0</v>
      </c>
      <c r="QV10" s="190">
        <f t="shared" si="176"/>
        <v>-138158.755</v>
      </c>
      <c r="QW10" s="5380">
        <f t="shared" si="177"/>
        <v>-4.39520121524464</v>
      </c>
      <c r="QX10" s="5379">
        <v>26</v>
      </c>
      <c r="QY10" s="358">
        <v>300885.15500000003</v>
      </c>
      <c r="QZ10" s="358">
        <v>171354</v>
      </c>
      <c r="RA10" s="134">
        <v>0</v>
      </c>
      <c r="RB10" s="133">
        <f t="shared" si="178"/>
        <v>-129531.15500000003</v>
      </c>
      <c r="RC10" s="151">
        <f t="shared" si="179"/>
        <v>-0.75592723251280991</v>
      </c>
      <c r="RD10" s="133">
        <v>0</v>
      </c>
      <c r="RE10" s="134">
        <v>0</v>
      </c>
      <c r="RF10" s="134">
        <v>0</v>
      </c>
      <c r="RG10" s="190">
        <f t="shared" si="180"/>
        <v>-129531.15500000003</v>
      </c>
      <c r="RH10" s="5380">
        <f t="shared" si="181"/>
        <v>-0.75592723251280991</v>
      </c>
      <c r="RI10" s="5376"/>
      <c r="RJ10" s="191">
        <f t="shared" si="182"/>
        <v>231090</v>
      </c>
      <c r="RK10" s="191">
        <f t="shared" si="183"/>
        <v>-263600.17500000005</v>
      </c>
      <c r="RL10" s="5380">
        <f t="shared" si="184"/>
        <v>-1.140681877190705</v>
      </c>
      <c r="RM10" s="1562">
        <f t="shared" si="185"/>
        <v>0</v>
      </c>
      <c r="RN10" s="128">
        <f t="shared" si="185"/>
        <v>231090</v>
      </c>
      <c r="RO10" s="139">
        <f t="shared" si="185"/>
        <v>-263600.17500000005</v>
      </c>
      <c r="RP10" s="442" t="e">
        <f t="shared" si="186"/>
        <v>#DIV/0!</v>
      </c>
      <c r="RQ10" s="442" t="e">
        <f t="shared" si="186"/>
        <v>#DIV/0!</v>
      </c>
      <c r="RR10" s="6339" t="e">
        <f t="shared" si="186"/>
        <v>#DIV/0!</v>
      </c>
      <c r="RS10" s="6327">
        <v>26</v>
      </c>
      <c r="RT10" s="208">
        <v>316013.53749999998</v>
      </c>
      <c r="RU10" s="130">
        <v>265005</v>
      </c>
      <c r="RV10" s="3546">
        <v>0</v>
      </c>
      <c r="RW10" s="133">
        <f t="shared" si="187"/>
        <v>-51008.537499999977</v>
      </c>
      <c r="RX10" s="151">
        <f t="shared" si="188"/>
        <v>-0.1924814154449915</v>
      </c>
      <c r="RY10" s="133">
        <v>0</v>
      </c>
      <c r="RZ10" s="134">
        <v>0</v>
      </c>
      <c r="SA10" s="134">
        <v>0</v>
      </c>
      <c r="SB10" s="4827">
        <f t="shared" si="189"/>
        <v>-51008.537499999977</v>
      </c>
      <c r="SC10" s="5401">
        <f t="shared" si="190"/>
        <v>-0.1924814154449915</v>
      </c>
      <c r="SD10" s="5405">
        <v>26</v>
      </c>
      <c r="SE10" s="130">
        <v>379739.82500000001</v>
      </c>
      <c r="SF10" s="130">
        <v>445310</v>
      </c>
      <c r="SG10" s="606">
        <v>0</v>
      </c>
      <c r="SH10" s="6361">
        <f t="shared" si="191"/>
        <v>65570.174999999988</v>
      </c>
      <c r="SI10" s="6363">
        <f t="shared" si="192"/>
        <v>0.14724613190810892</v>
      </c>
      <c r="SJ10" s="134">
        <v>26000</v>
      </c>
      <c r="SK10" s="134">
        <v>50000</v>
      </c>
      <c r="SL10" s="134">
        <v>6267</v>
      </c>
      <c r="SM10" s="190">
        <f t="shared" si="193"/>
        <v>-16696.825000000012</v>
      </c>
      <c r="SN10" s="5380">
        <f t="shared" si="194"/>
        <v>-3.7494835058723162E-2</v>
      </c>
      <c r="SO10" s="134">
        <v>50</v>
      </c>
      <c r="SP10" s="134">
        <v>606889.55249999999</v>
      </c>
      <c r="SQ10" s="134">
        <v>659007</v>
      </c>
      <c r="SR10" s="134"/>
      <c r="SS10" s="6361">
        <f t="shared" si="195"/>
        <v>52117.447500000009</v>
      </c>
      <c r="ST10" s="6363">
        <f t="shared" si="196"/>
        <v>7.908481624626143E-2</v>
      </c>
      <c r="SU10" s="134">
        <v>26000</v>
      </c>
      <c r="SV10" s="134">
        <v>0</v>
      </c>
      <c r="SW10" s="134">
        <v>6267</v>
      </c>
      <c r="SX10" s="190">
        <f t="shared" si="197"/>
        <v>19850.447500000009</v>
      </c>
      <c r="SY10" s="5380">
        <f t="shared" si="198"/>
        <v>3.0121755155863305E-2</v>
      </c>
      <c r="SZ10" s="6270"/>
      <c r="TA10" s="118">
        <f t="shared" si="199"/>
        <v>1369322</v>
      </c>
      <c r="TB10" s="118">
        <f t="shared" si="200"/>
        <v>66679.085000000021</v>
      </c>
      <c r="TC10" s="5380">
        <f t="shared" si="201"/>
        <v>4.8694963638939576E-2</v>
      </c>
      <c r="TD10" s="209">
        <v>49</v>
      </c>
      <c r="TE10" s="208">
        <f>627376+(966654*0.75%)</f>
        <v>634625.90500000003</v>
      </c>
      <c r="TF10" s="208">
        <v>966654</v>
      </c>
      <c r="TG10" s="134"/>
      <c r="TH10" s="133">
        <f t="shared" si="202"/>
        <v>332028.09499999997</v>
      </c>
      <c r="TI10" s="151">
        <f t="shared" si="203"/>
        <v>0.34348184045170244</v>
      </c>
      <c r="TJ10" s="134">
        <v>26000</v>
      </c>
      <c r="TK10" s="134">
        <v>0</v>
      </c>
      <c r="TL10" s="134">
        <v>100000</v>
      </c>
      <c r="TM10" s="190">
        <f t="shared" si="204"/>
        <v>206028.09499999997</v>
      </c>
      <c r="TN10" s="5380">
        <f t="shared" si="205"/>
        <v>0.21313530487640869</v>
      </c>
      <c r="TO10" s="134"/>
      <c r="TP10" s="134"/>
      <c r="TQ10" s="134"/>
      <c r="TR10" s="134"/>
      <c r="TS10" s="133">
        <f t="shared" si="206"/>
        <v>0</v>
      </c>
      <c r="TT10" s="151" t="e">
        <f t="shared" si="207"/>
        <v>#DIV/0!</v>
      </c>
      <c r="TU10" s="134"/>
      <c r="TV10" s="134"/>
      <c r="TW10" s="134"/>
      <c r="TX10" s="190">
        <f t="shared" si="208"/>
        <v>0</v>
      </c>
      <c r="TY10" s="135" t="e">
        <f t="shared" si="209"/>
        <v>#DIV/0!</v>
      </c>
      <c r="TZ10" s="1563"/>
      <c r="UA10" s="134"/>
      <c r="UB10" s="134"/>
      <c r="UC10" s="134"/>
      <c r="UD10" s="133">
        <f t="shared" si="210"/>
        <v>0</v>
      </c>
      <c r="UE10" s="151" t="e">
        <f t="shared" si="211"/>
        <v>#DIV/0!</v>
      </c>
      <c r="UF10" s="134"/>
      <c r="UG10" s="134"/>
      <c r="UH10" s="134"/>
      <c r="UI10" s="190">
        <f t="shared" si="212"/>
        <v>0</v>
      </c>
      <c r="UJ10" s="5380" t="e">
        <f t="shared" si="213"/>
        <v>#DIV/0!</v>
      </c>
      <c r="UK10" s="5376"/>
      <c r="UL10" s="191">
        <f t="shared" si="214"/>
        <v>2567066</v>
      </c>
      <c r="UM10" s="191">
        <f t="shared" si="215"/>
        <v>135107.00499999995</v>
      </c>
      <c r="UN10" s="135">
        <f t="shared" si="216"/>
        <v>5.2630904308654296E-2</v>
      </c>
      <c r="UO10" s="191">
        <f t="shared" si="217"/>
        <v>-105426.99500000005</v>
      </c>
      <c r="UP10" s="5380">
        <f t="shared" si="218"/>
        <v>-4.1069062891254081E-2</v>
      </c>
      <c r="UR10" s="410"/>
    </row>
    <row r="11" spans="1:567" x14ac:dyDescent="0.3">
      <c r="A11" s="5316">
        <v>7</v>
      </c>
      <c r="B11" s="5360" t="s">
        <v>384</v>
      </c>
      <c r="C11" s="735" t="s">
        <v>442</v>
      </c>
      <c r="D11" s="578" t="s">
        <v>140</v>
      </c>
      <c r="E11" s="6279" t="s">
        <v>1035</v>
      </c>
      <c r="F11" s="579">
        <v>40</v>
      </c>
      <c r="G11" s="161">
        <v>1941125</v>
      </c>
      <c r="H11" s="161">
        <v>2417913</v>
      </c>
      <c r="I11" s="161">
        <v>455812</v>
      </c>
      <c r="J11" s="351">
        <f t="shared" si="0"/>
        <v>0.18851464051849673</v>
      </c>
      <c r="K11" s="580">
        <v>64</v>
      </c>
      <c r="L11" s="161">
        <v>3057588</v>
      </c>
      <c r="M11" s="161">
        <v>3885632</v>
      </c>
      <c r="N11" s="161">
        <v>828044</v>
      </c>
      <c r="O11" s="422"/>
      <c r="P11" s="580">
        <v>73.333333333333329</v>
      </c>
      <c r="Q11" s="161">
        <v>3672526</v>
      </c>
      <c r="R11" s="161">
        <v>4910582</v>
      </c>
      <c r="S11" s="161">
        <v>1238056</v>
      </c>
      <c r="T11" s="94"/>
      <c r="U11" s="136"/>
      <c r="V11" s="422"/>
      <c r="W11" s="422"/>
      <c r="X11" s="422"/>
      <c r="Y11" s="422"/>
      <c r="Z11" s="581"/>
      <c r="AA11" s="422"/>
      <c r="AB11" s="422"/>
      <c r="AC11" s="422"/>
      <c r="AD11" s="422"/>
      <c r="AE11" s="619">
        <f t="shared" si="1"/>
        <v>0</v>
      </c>
      <c r="AF11" s="422"/>
      <c r="AG11" s="113">
        <f>44+35</f>
        <v>79</v>
      </c>
      <c r="AH11" s="616">
        <f>856916+530699</f>
        <v>1387615</v>
      </c>
      <c r="AI11" s="616">
        <v>1701129</v>
      </c>
      <c r="AJ11" s="616">
        <v>15427</v>
      </c>
      <c r="AK11" s="105">
        <f t="shared" si="2"/>
        <v>298087</v>
      </c>
      <c r="AL11" s="114">
        <f t="shared" si="3"/>
        <v>0.17522892149860475</v>
      </c>
      <c r="AM11" s="129">
        <v>37000</v>
      </c>
      <c r="AN11" s="130">
        <v>131298</v>
      </c>
      <c r="AO11" s="130"/>
      <c r="AP11" s="130">
        <v>49383.651724137926</v>
      </c>
      <c r="AQ11" s="130">
        <f t="shared" si="4"/>
        <v>80405.348275862081</v>
      </c>
      <c r="AR11" s="114">
        <f t="shared" si="5"/>
        <v>0.26973785598118027</v>
      </c>
      <c r="AS11" s="113">
        <v>79</v>
      </c>
      <c r="AT11" s="213">
        <v>4392800</v>
      </c>
      <c r="AU11" s="130">
        <v>5425592</v>
      </c>
      <c r="AV11" s="130">
        <v>1032792</v>
      </c>
      <c r="AW11" s="114">
        <f t="shared" si="6"/>
        <v>0.19035563308114581</v>
      </c>
      <c r="AX11" s="617">
        <v>79</v>
      </c>
      <c r="AY11" s="241">
        <f t="shared" si="7"/>
        <v>13064039</v>
      </c>
      <c r="AZ11" s="241">
        <f t="shared" si="7"/>
        <v>16639719</v>
      </c>
      <c r="BA11" s="241">
        <f t="shared" si="7"/>
        <v>3554704</v>
      </c>
      <c r="BB11" s="135">
        <f t="shared" si="8"/>
        <v>0.21362764599570461</v>
      </c>
      <c r="BC11" s="636">
        <v>89</v>
      </c>
      <c r="BD11" s="619">
        <v>1548379</v>
      </c>
      <c r="BE11" s="619">
        <v>1939537</v>
      </c>
      <c r="BF11" s="619">
        <v>0</v>
      </c>
      <c r="BG11" s="619">
        <f t="shared" si="9"/>
        <v>391158</v>
      </c>
      <c r="BH11" s="618"/>
      <c r="BI11" s="636">
        <v>92</v>
      </c>
      <c r="BJ11" s="619">
        <v>1787771</v>
      </c>
      <c r="BK11" s="619">
        <v>2049255</v>
      </c>
      <c r="BL11" s="619">
        <v>26788</v>
      </c>
      <c r="BM11" s="619">
        <f t="shared" si="10"/>
        <v>234696</v>
      </c>
      <c r="BN11" s="618"/>
      <c r="BO11" s="620">
        <v>90</v>
      </c>
      <c r="BP11" s="619">
        <v>1608217</v>
      </c>
      <c r="BQ11" s="619">
        <v>1916676</v>
      </c>
      <c r="BR11" s="619"/>
      <c r="BS11" s="619">
        <f t="shared" si="11"/>
        <v>308459</v>
      </c>
      <c r="BT11" s="1480">
        <f t="shared" si="12"/>
        <v>0.16093434675448537</v>
      </c>
      <c r="BU11" s="620">
        <v>90</v>
      </c>
      <c r="BV11" s="1481">
        <f t="shared" si="13"/>
        <v>5905468</v>
      </c>
      <c r="BW11" s="1481">
        <f t="shared" si="14"/>
        <v>934313</v>
      </c>
      <c r="BX11" s="236">
        <f t="shared" si="15"/>
        <v>0.15821150838511019</v>
      </c>
      <c r="BY11" s="594">
        <f>56+29</f>
        <v>85</v>
      </c>
      <c r="BZ11" s="595">
        <f>1143569+403612</f>
        <v>1547181</v>
      </c>
      <c r="CA11" s="595">
        <v>1947403</v>
      </c>
      <c r="CB11" s="595">
        <v>9273</v>
      </c>
      <c r="CC11" s="596">
        <f t="shared" si="16"/>
        <v>390949</v>
      </c>
      <c r="CD11" s="597">
        <f t="shared" si="17"/>
        <v>0.20075402985411853</v>
      </c>
      <c r="CE11" s="598">
        <v>164500.04999999999</v>
      </c>
      <c r="CF11" s="599">
        <v>235306</v>
      </c>
      <c r="CG11" s="599"/>
      <c r="CH11" s="599">
        <v>74304.057692307688</v>
      </c>
      <c r="CI11" s="599">
        <f t="shared" si="18"/>
        <v>-83161.107692307676</v>
      </c>
      <c r="CJ11" s="597">
        <f t="shared" si="19"/>
        <v>-4.2703594321415586E-2</v>
      </c>
      <c r="CK11" s="600">
        <f>58+28</f>
        <v>86</v>
      </c>
      <c r="CL11" s="601">
        <f>1223692+435079</f>
        <v>1658771</v>
      </c>
      <c r="CM11" s="601">
        <v>1993144</v>
      </c>
      <c r="CN11" s="601"/>
      <c r="CO11" s="96">
        <f t="shared" si="20"/>
        <v>334373</v>
      </c>
      <c r="CP11" s="602">
        <f t="shared" si="21"/>
        <v>0.16776158671927366</v>
      </c>
      <c r="CQ11" s="603">
        <v>337369.33333333337</v>
      </c>
      <c r="CR11" s="603">
        <v>99658.273076923069</v>
      </c>
      <c r="CS11" s="603"/>
      <c r="CT11" s="603">
        <v>147101.18634615382</v>
      </c>
      <c r="CU11" s="603">
        <f t="shared" si="22"/>
        <v>-249755.79275641026</v>
      </c>
      <c r="CV11" s="604">
        <f t="shared" si="23"/>
        <v>-0.12530745031789486</v>
      </c>
      <c r="CW11" s="129">
        <v>81</v>
      </c>
      <c r="CX11" s="130">
        <v>1550772</v>
      </c>
      <c r="CY11" s="130">
        <v>1875815</v>
      </c>
      <c r="CZ11" s="130">
        <v>60956</v>
      </c>
      <c r="DA11" s="605">
        <f t="shared" si="24"/>
        <v>264087</v>
      </c>
      <c r="DB11" s="114">
        <f t="shared" si="25"/>
        <v>0.14078520536406841</v>
      </c>
      <c r="DC11" s="138">
        <v>170000</v>
      </c>
      <c r="DD11" s="606">
        <f>113817.958333333*2</f>
        <v>227635.91666666599</v>
      </c>
      <c r="DE11" s="130"/>
      <c r="DF11" s="130">
        <v>121185.01354166666</v>
      </c>
      <c r="DG11" s="128">
        <f t="shared" si="26"/>
        <v>-254733.93020833266</v>
      </c>
      <c r="DH11" s="169">
        <f t="shared" si="27"/>
        <v>-0.13579906878254661</v>
      </c>
      <c r="DI11" s="204">
        <f t="shared" si="28"/>
        <v>84</v>
      </c>
      <c r="DJ11" s="202">
        <f t="shared" si="29"/>
        <v>5816362</v>
      </c>
      <c r="DK11" s="202">
        <f t="shared" si="30"/>
        <v>989409</v>
      </c>
      <c r="DL11" s="119">
        <f t="shared" si="31"/>
        <v>0.17010787842985015</v>
      </c>
      <c r="DM11" s="202">
        <f t="shared" si="32"/>
        <v>-587650.8306570506</v>
      </c>
      <c r="DN11" s="119">
        <f t="shared" si="33"/>
        <v>-0.1010340880875452</v>
      </c>
      <c r="DO11" s="607">
        <f t="shared" si="34"/>
        <v>2</v>
      </c>
      <c r="DP11" s="137">
        <f t="shared" si="34"/>
        <v>163157</v>
      </c>
      <c r="DQ11" s="137">
        <f t="shared" si="34"/>
        <v>174686</v>
      </c>
      <c r="DR11" s="137">
        <f t="shared" si="35"/>
        <v>-34000</v>
      </c>
      <c r="DS11" s="135">
        <f t="shared" si="36"/>
        <v>2.5316455696202531E-2</v>
      </c>
      <c r="DT11" s="135">
        <f t="shared" si="37"/>
        <v>9.5911009688271737E-2</v>
      </c>
      <c r="DU11" s="135">
        <f t="shared" si="38"/>
        <v>0.58602354346214358</v>
      </c>
      <c r="DV11" s="151">
        <f t="shared" si="39"/>
        <v>-0.42285744330525954</v>
      </c>
      <c r="DW11" s="607">
        <f t="shared" si="40"/>
        <v>-5</v>
      </c>
      <c r="DX11" s="608">
        <f t="shared" si="41"/>
        <v>-117329</v>
      </c>
      <c r="DY11" s="608">
        <f t="shared" si="42"/>
        <v>-70286</v>
      </c>
      <c r="DZ11" s="608">
        <f t="shared" si="43"/>
        <v>-4978.1374519224046</v>
      </c>
      <c r="EA11" s="135">
        <f t="shared" si="44"/>
        <v>-5.8139534883720929E-2</v>
      </c>
      <c r="EB11" s="135">
        <f t="shared" si="45"/>
        <v>-5.8866293654648134E-2</v>
      </c>
      <c r="EC11" s="135">
        <f t="shared" si="46"/>
        <v>-0.21020237878058337</v>
      </c>
      <c r="ED11" s="151">
        <f t="shared" si="219"/>
        <v>1.9932019982325855E-2</v>
      </c>
      <c r="EE11" s="129">
        <v>82</v>
      </c>
      <c r="EF11" s="130">
        <v>1599815</v>
      </c>
      <c r="EG11" s="130">
        <v>1927516</v>
      </c>
      <c r="EH11" s="130">
        <v>12753</v>
      </c>
      <c r="EI11" s="605">
        <f t="shared" si="47"/>
        <v>314948</v>
      </c>
      <c r="EJ11" s="114">
        <f t="shared" si="48"/>
        <v>0.16339579022949743</v>
      </c>
      <c r="EK11" s="138">
        <v>105006</v>
      </c>
      <c r="EL11" s="606">
        <v>0</v>
      </c>
      <c r="EM11" s="130">
        <v>0</v>
      </c>
      <c r="EN11" s="130">
        <v>96058.455729166672</v>
      </c>
      <c r="EO11" s="128">
        <f t="shared" si="49"/>
        <v>113883.54427083333</v>
      </c>
      <c r="EP11" s="114">
        <f t="shared" si="50"/>
        <v>5.9083060410825811E-2</v>
      </c>
      <c r="EQ11" s="129">
        <v>77</v>
      </c>
      <c r="ER11" s="595">
        <v>1499608</v>
      </c>
      <c r="ES11" s="595">
        <v>1813128</v>
      </c>
      <c r="ET11" s="130">
        <v>15908</v>
      </c>
      <c r="EU11" s="134">
        <f t="shared" si="51"/>
        <v>297612</v>
      </c>
      <c r="EV11" s="114">
        <f t="shared" si="52"/>
        <v>0.16414285146994587</v>
      </c>
      <c r="EW11" s="138">
        <v>131000</v>
      </c>
      <c r="EX11" s="606">
        <v>0</v>
      </c>
      <c r="EY11" s="130">
        <v>0</v>
      </c>
      <c r="EZ11" s="128">
        <v>70000</v>
      </c>
      <c r="FA11" s="128">
        <f t="shared" si="53"/>
        <v>96612</v>
      </c>
      <c r="FB11" s="114">
        <f t="shared" si="54"/>
        <v>5.3284710180417486E-2</v>
      </c>
      <c r="FC11" s="643">
        <f t="shared" si="55"/>
        <v>-2</v>
      </c>
      <c r="FD11" s="644">
        <f t="shared" si="56"/>
        <v>111999</v>
      </c>
      <c r="FE11" s="644">
        <f t="shared" si="57"/>
        <v>-475</v>
      </c>
      <c r="FF11" s="644">
        <f t="shared" si="58"/>
        <v>16206.651724137919</v>
      </c>
      <c r="FG11" s="74">
        <f t="shared" si="59"/>
        <v>-2.5316455696202531E-2</v>
      </c>
      <c r="FH11" s="74">
        <f t="shared" si="60"/>
        <v>6.5838040501337639E-2</v>
      </c>
      <c r="FI11" s="74">
        <f t="shared" si="61"/>
        <v>-1.5934945167014999E-3</v>
      </c>
      <c r="FJ11" s="73">
        <f t="shared" si="62"/>
        <v>0.20156186213552169</v>
      </c>
      <c r="FK11" s="133">
        <v>78</v>
      </c>
      <c r="FL11" s="134">
        <v>1548660</v>
      </c>
      <c r="FM11" s="134">
        <v>1808120</v>
      </c>
      <c r="FN11" s="134">
        <v>15939</v>
      </c>
      <c r="FO11" s="134">
        <f t="shared" si="63"/>
        <v>243521</v>
      </c>
      <c r="FP11" s="135">
        <f t="shared" si="64"/>
        <v>0.13468187952127073</v>
      </c>
      <c r="FQ11" s="133">
        <v>105006</v>
      </c>
      <c r="FR11" s="134">
        <v>150000</v>
      </c>
      <c r="FS11" s="134"/>
      <c r="FT11" s="191">
        <f t="shared" si="65"/>
        <v>-11485</v>
      </c>
      <c r="FU11" s="151">
        <f t="shared" si="66"/>
        <v>-6.3519014224719594E-3</v>
      </c>
      <c r="FV11" s="190">
        <f t="shared" si="67"/>
        <v>-1</v>
      </c>
      <c r="FW11" s="191">
        <f t="shared" si="67"/>
        <v>161045</v>
      </c>
      <c r="FX11" s="191">
        <f t="shared" si="67"/>
        <v>106991</v>
      </c>
      <c r="FY11" s="191">
        <f t="shared" si="68"/>
        <v>-54566</v>
      </c>
      <c r="FZ11" s="191">
        <f t="shared" si="69"/>
        <v>-91890.348275862081</v>
      </c>
      <c r="GA11" s="135">
        <f t="shared" si="70"/>
        <v>-1.2658227848101266E-2</v>
      </c>
      <c r="GB11" s="135">
        <f t="shared" si="71"/>
        <v>6.2894113262427484E-2</v>
      </c>
      <c r="GC11" s="135">
        <f t="shared" si="72"/>
        <v>-0.18305394062807168</v>
      </c>
      <c r="GD11" s="151">
        <f t="shared" si="73"/>
        <v>-1.1428387569517913</v>
      </c>
      <c r="GE11" s="187">
        <f t="shared" si="74"/>
        <v>79</v>
      </c>
      <c r="GF11" s="155">
        <f t="shared" si="75"/>
        <v>5548764</v>
      </c>
      <c r="GG11" s="155">
        <f t="shared" si="76"/>
        <v>856081</v>
      </c>
      <c r="GH11" s="74">
        <f t="shared" si="77"/>
        <v>0.15428318811180292</v>
      </c>
      <c r="GI11" s="613">
        <f t="shared" si="78"/>
        <v>199010.54427083331</v>
      </c>
      <c r="GJ11" s="187">
        <f t="shared" si="79"/>
        <v>-5</v>
      </c>
      <c r="GK11" s="155">
        <f t="shared" si="79"/>
        <v>-267598</v>
      </c>
      <c r="GL11" s="155">
        <f t="shared" si="79"/>
        <v>-133328</v>
      </c>
      <c r="GM11" s="613">
        <f t="shared" si="80"/>
        <v>786661.37492788397</v>
      </c>
      <c r="GN11" s="133">
        <v>75</v>
      </c>
      <c r="GO11" s="134">
        <v>1512787</v>
      </c>
      <c r="GP11" s="134">
        <v>1827910</v>
      </c>
      <c r="GQ11" s="134">
        <v>0</v>
      </c>
      <c r="GR11" s="134">
        <f t="shared" si="81"/>
        <v>315123</v>
      </c>
      <c r="GS11" s="135">
        <f t="shared" si="82"/>
        <v>0.17239524921905344</v>
      </c>
      <c r="GT11" s="133">
        <v>142751</v>
      </c>
      <c r="GU11" s="134">
        <v>100000</v>
      </c>
      <c r="GV11" s="134">
        <v>0</v>
      </c>
      <c r="GW11" s="134">
        <v>0</v>
      </c>
      <c r="GX11" s="190">
        <f t="shared" si="83"/>
        <v>72372</v>
      </c>
      <c r="GY11" s="151">
        <f t="shared" si="84"/>
        <v>3.9592758943274013E-2</v>
      </c>
      <c r="GZ11" s="614">
        <v>76</v>
      </c>
      <c r="HA11" s="130">
        <v>1485354</v>
      </c>
      <c r="HB11" s="130">
        <v>1827004</v>
      </c>
      <c r="HC11" s="130">
        <v>4922</v>
      </c>
      <c r="HD11" s="134">
        <f t="shared" si="85"/>
        <v>336728</v>
      </c>
      <c r="HE11" s="151">
        <f t="shared" si="86"/>
        <v>0.1843061098935744</v>
      </c>
      <c r="HF11" s="138">
        <v>82471</v>
      </c>
      <c r="HG11" s="130">
        <v>186946</v>
      </c>
      <c r="HH11" s="130"/>
      <c r="HI11" s="130">
        <v>100000</v>
      </c>
      <c r="HJ11" s="197">
        <f t="shared" si="87"/>
        <v>-32689</v>
      </c>
      <c r="HK11" s="201">
        <f t="shared" si="88"/>
        <v>-1.7892133788431772E-2</v>
      </c>
      <c r="HL11" s="1365">
        <v>73</v>
      </c>
      <c r="HM11" s="148">
        <v>1484483</v>
      </c>
      <c r="HN11" s="148">
        <v>1799637</v>
      </c>
      <c r="HO11" s="134">
        <v>0</v>
      </c>
      <c r="HP11" s="615">
        <f t="shared" si="89"/>
        <v>315154</v>
      </c>
      <c r="HQ11" s="201">
        <f t="shared" si="90"/>
        <v>0.17512087159799447</v>
      </c>
      <c r="HR11" s="133">
        <f>85833+26000</f>
        <v>111833</v>
      </c>
      <c r="HS11" s="134">
        <v>200000</v>
      </c>
      <c r="HT11" s="134"/>
      <c r="HU11" s="134">
        <v>100000</v>
      </c>
      <c r="HV11" s="191">
        <f t="shared" si="91"/>
        <v>-96679</v>
      </c>
      <c r="HW11" s="151">
        <f t="shared" si="92"/>
        <v>-5.3721389369078318E-2</v>
      </c>
      <c r="HX11" s="414">
        <v>73</v>
      </c>
      <c r="HY11" s="241">
        <f t="shared" si="93"/>
        <v>5454551</v>
      </c>
      <c r="HZ11" s="415">
        <f t="shared" si="94"/>
        <v>967005</v>
      </c>
      <c r="IA11" s="241"/>
      <c r="IB11" s="415">
        <f t="shared" si="95"/>
        <v>-56996</v>
      </c>
      <c r="IC11" s="141"/>
      <c r="ID11" s="642">
        <v>73</v>
      </c>
      <c r="IE11" s="141">
        <f t="shared" si="96"/>
        <v>22725145</v>
      </c>
      <c r="IF11" s="141">
        <f t="shared" si="96"/>
        <v>3746808</v>
      </c>
      <c r="IG11" s="74">
        <f t="shared" si="97"/>
        <v>0.16487498759633876</v>
      </c>
      <c r="IH11" s="1507"/>
      <c r="II11" s="69"/>
      <c r="IJ11" s="133">
        <v>72</v>
      </c>
      <c r="IK11" s="134">
        <v>1471739</v>
      </c>
      <c r="IL11" s="134">
        <v>1832998</v>
      </c>
      <c r="IM11" s="134">
        <v>0</v>
      </c>
      <c r="IN11" s="133">
        <f>IL11-(IK11+IM11)</f>
        <v>361259</v>
      </c>
      <c r="IO11" s="151">
        <f t="shared" si="98"/>
        <v>0.19708641253291057</v>
      </c>
      <c r="IP11" s="133">
        <v>26000</v>
      </c>
      <c r="IQ11" s="134">
        <v>100000</v>
      </c>
      <c r="IR11" s="134">
        <v>200000</v>
      </c>
      <c r="IS11" s="190">
        <f t="shared" si="99"/>
        <v>35259</v>
      </c>
      <c r="IT11" s="151">
        <f t="shared" si="100"/>
        <v>1.9235700202618878E-2</v>
      </c>
      <c r="IU11" s="390">
        <v>71</v>
      </c>
      <c r="IV11" s="134">
        <v>1463898</v>
      </c>
      <c r="IW11" s="134">
        <v>1811583</v>
      </c>
      <c r="IX11" s="134">
        <v>6892</v>
      </c>
      <c r="IY11" s="133">
        <f t="shared" si="101"/>
        <v>340793</v>
      </c>
      <c r="IZ11" s="151">
        <f t="shared" si="102"/>
        <v>0.18811889932727344</v>
      </c>
      <c r="JA11" s="133">
        <v>26000</v>
      </c>
      <c r="JB11" s="134">
        <v>50000</v>
      </c>
      <c r="JC11" s="134">
        <v>50000</v>
      </c>
      <c r="JD11" s="190">
        <f t="shared" si="103"/>
        <v>214793</v>
      </c>
      <c r="JE11" s="151">
        <f t="shared" si="104"/>
        <v>0.11856646921504563</v>
      </c>
      <c r="JF11" s="390">
        <v>71</v>
      </c>
      <c r="JG11" s="134">
        <v>1517905</v>
      </c>
      <c r="JH11" s="134">
        <v>1784469</v>
      </c>
      <c r="JI11" s="134">
        <v>8485</v>
      </c>
      <c r="JJ11" s="133">
        <f t="shared" si="105"/>
        <v>258079</v>
      </c>
      <c r="JK11" s="151">
        <f t="shared" si="106"/>
        <v>0.14462509575677696</v>
      </c>
      <c r="JL11" s="133">
        <v>101593</v>
      </c>
      <c r="JM11" s="134">
        <v>150000</v>
      </c>
      <c r="JN11" s="134">
        <v>50000</v>
      </c>
      <c r="JO11" s="190">
        <f t="shared" si="107"/>
        <v>-43514</v>
      </c>
      <c r="JP11" s="151">
        <f t="shared" si="108"/>
        <v>-2.4384845015520022E-2</v>
      </c>
      <c r="JQ11" s="390">
        <v>71</v>
      </c>
      <c r="JR11" s="191">
        <f t="shared" si="109"/>
        <v>5429050</v>
      </c>
      <c r="JS11" s="191">
        <f t="shared" si="110"/>
        <v>960131</v>
      </c>
      <c r="JT11" s="151">
        <f t="shared" si="111"/>
        <v>0.17685064606146564</v>
      </c>
      <c r="JU11" s="390">
        <v>71</v>
      </c>
      <c r="JV11" s="134">
        <v>1503059</v>
      </c>
      <c r="JW11" s="134">
        <v>1857170</v>
      </c>
      <c r="JX11" s="134">
        <v>6404</v>
      </c>
      <c r="JY11" s="133">
        <f t="shared" si="112"/>
        <v>347707</v>
      </c>
      <c r="JZ11" s="151">
        <f t="shared" si="113"/>
        <v>0.18722410980147214</v>
      </c>
      <c r="KA11" s="133">
        <v>116000</v>
      </c>
      <c r="KB11" s="134">
        <v>100000</v>
      </c>
      <c r="KC11" s="134">
        <v>50000</v>
      </c>
      <c r="KD11" s="190">
        <f t="shared" si="114"/>
        <v>81707</v>
      </c>
      <c r="KE11" s="151">
        <f t="shared" si="115"/>
        <v>4.3995433912888966E-2</v>
      </c>
      <c r="KF11" s="390">
        <v>72</v>
      </c>
      <c r="KG11" s="134">
        <v>1524560</v>
      </c>
      <c r="KH11" s="134">
        <v>1864925</v>
      </c>
      <c r="KI11" s="134">
        <v>0</v>
      </c>
      <c r="KJ11" s="133">
        <f t="shared" si="116"/>
        <v>340365</v>
      </c>
      <c r="KK11" s="151">
        <f t="shared" si="117"/>
        <v>0.1825086799737255</v>
      </c>
      <c r="KL11" s="133">
        <f>48431+26000</f>
        <v>74431</v>
      </c>
      <c r="KM11" s="134">
        <v>100000</v>
      </c>
      <c r="KN11" s="134">
        <v>100000</v>
      </c>
      <c r="KO11" s="190">
        <f t="shared" si="118"/>
        <v>65934</v>
      </c>
      <c r="KP11" s="151">
        <f t="shared" si="119"/>
        <v>3.5354772980146658E-2</v>
      </c>
      <c r="KQ11" s="390">
        <v>72</v>
      </c>
      <c r="KR11" s="134">
        <v>1481519</v>
      </c>
      <c r="KS11" s="134">
        <v>1768885</v>
      </c>
      <c r="KT11" s="134">
        <v>7507</v>
      </c>
      <c r="KU11" s="133">
        <f t="shared" si="120"/>
        <v>279859</v>
      </c>
      <c r="KV11" s="151">
        <f t="shared" si="121"/>
        <v>0.15821209405925202</v>
      </c>
      <c r="KW11" s="133">
        <v>336454</v>
      </c>
      <c r="KX11" s="134">
        <v>582860.92333333334</v>
      </c>
      <c r="KY11" s="134">
        <v>0</v>
      </c>
      <c r="KZ11" s="190">
        <f t="shared" si="122"/>
        <v>-639455.92333333334</v>
      </c>
      <c r="LA11" s="151">
        <f t="shared" si="123"/>
        <v>-0.36150225895597132</v>
      </c>
      <c r="LB11" s="402">
        <v>72</v>
      </c>
      <c r="LC11" s="191">
        <f t="shared" si="124"/>
        <v>5490980</v>
      </c>
      <c r="LD11" s="191">
        <f t="shared" si="125"/>
        <v>967931</v>
      </c>
      <c r="LE11" s="151">
        <f t="shared" si="126"/>
        <v>0.17627654808431281</v>
      </c>
      <c r="LF11" s="226">
        <f t="shared" si="127"/>
        <v>1</v>
      </c>
      <c r="LG11" s="128">
        <f t="shared" si="127"/>
        <v>61930</v>
      </c>
      <c r="LH11" s="139">
        <f t="shared" si="127"/>
        <v>7800</v>
      </c>
      <c r="LI11" s="442">
        <f t="shared" si="128"/>
        <v>1.4084507042253521E-2</v>
      </c>
      <c r="LJ11" s="442">
        <f t="shared" si="128"/>
        <v>1.1407152264208287E-2</v>
      </c>
      <c r="LK11" s="106">
        <f t="shared" si="128"/>
        <v>8.1238914273156475E-3</v>
      </c>
      <c r="LL11" s="390">
        <v>72</v>
      </c>
      <c r="LM11" s="134">
        <v>1513735</v>
      </c>
      <c r="LN11" s="134">
        <v>1821328</v>
      </c>
      <c r="LO11" s="134"/>
      <c r="LP11" s="133">
        <f t="shared" si="129"/>
        <v>307593</v>
      </c>
      <c r="LQ11" s="151">
        <f t="shared" si="130"/>
        <v>0.1688839132764664</v>
      </c>
      <c r="LR11" s="133">
        <v>215450</v>
      </c>
      <c r="LS11" s="134">
        <v>25000</v>
      </c>
      <c r="LT11" s="134">
        <v>80000</v>
      </c>
      <c r="LU11" s="190">
        <f t="shared" si="131"/>
        <v>-12857</v>
      </c>
      <c r="LV11" s="151">
        <f t="shared" si="132"/>
        <v>-7.0591348730157334E-3</v>
      </c>
      <c r="LW11" s="134">
        <v>73</v>
      </c>
      <c r="LX11" s="134">
        <v>1499108</v>
      </c>
      <c r="LY11" s="134">
        <v>1784179</v>
      </c>
      <c r="LZ11" s="134"/>
      <c r="MA11" s="133">
        <f t="shared" si="133"/>
        <v>285071</v>
      </c>
      <c r="MB11" s="151">
        <f t="shared" si="134"/>
        <v>0.15977712998527613</v>
      </c>
      <c r="MC11" s="134">
        <v>115575</v>
      </c>
      <c r="MD11" s="134">
        <v>80000</v>
      </c>
      <c r="ME11" s="134">
        <v>80000</v>
      </c>
      <c r="MF11" s="190">
        <f t="shared" si="135"/>
        <v>9496</v>
      </c>
      <c r="MG11" s="151">
        <f t="shared" si="136"/>
        <v>5.3223359315405011E-3</v>
      </c>
      <c r="MH11" s="134">
        <v>74</v>
      </c>
      <c r="MI11" s="134">
        <v>1528051</v>
      </c>
      <c r="MJ11" s="134">
        <v>1780440</v>
      </c>
      <c r="MK11" s="134"/>
      <c r="ML11" s="133">
        <f t="shared" si="137"/>
        <v>252389</v>
      </c>
      <c r="MM11" s="151">
        <f t="shared" si="138"/>
        <v>0.14175653209319045</v>
      </c>
      <c r="MN11" s="134">
        <v>26000</v>
      </c>
      <c r="MO11" s="134">
        <v>125000</v>
      </c>
      <c r="MP11" s="134">
        <v>100000</v>
      </c>
      <c r="MQ11" s="190">
        <f t="shared" si="139"/>
        <v>1389</v>
      </c>
      <c r="MR11" s="151">
        <f t="shared" si="140"/>
        <v>7.801442340095707E-4</v>
      </c>
      <c r="MS11" s="1472">
        <v>74</v>
      </c>
      <c r="MT11" s="118">
        <f t="shared" si="141"/>
        <v>5385947</v>
      </c>
      <c r="MU11" s="118">
        <f t="shared" si="142"/>
        <v>845053</v>
      </c>
      <c r="MV11" s="135">
        <f t="shared" si="143"/>
        <v>0.15689961301141656</v>
      </c>
      <c r="MW11" s="133">
        <f t="shared" si="144"/>
        <v>2</v>
      </c>
      <c r="MX11" s="134">
        <f t="shared" si="144"/>
        <v>-105033</v>
      </c>
      <c r="MY11" s="134">
        <f t="shared" si="144"/>
        <v>-122878</v>
      </c>
      <c r="MZ11" s="135">
        <f t="shared" si="145"/>
        <v>2.7777777777777776E-2</v>
      </c>
      <c r="NA11" s="135">
        <f t="shared" si="145"/>
        <v>-1.9128279469238643E-2</v>
      </c>
      <c r="NB11" s="151">
        <f t="shared" si="145"/>
        <v>-0.12694913170463598</v>
      </c>
      <c r="NC11" s="134">
        <v>76</v>
      </c>
      <c r="ND11" s="134">
        <v>1580829</v>
      </c>
      <c r="NE11" s="134">
        <v>1888916</v>
      </c>
      <c r="NF11" s="134"/>
      <c r="NG11" s="133">
        <f t="shared" si="146"/>
        <v>308087</v>
      </c>
      <c r="NH11" s="151">
        <f t="shared" si="147"/>
        <v>0.16310254135175942</v>
      </c>
      <c r="NI11" s="134">
        <v>26000</v>
      </c>
      <c r="NJ11" s="134">
        <f>77000+24</f>
        <v>77024</v>
      </c>
      <c r="NK11" s="134">
        <v>100000</v>
      </c>
      <c r="NL11" s="190">
        <f t="shared" si="148"/>
        <v>105063</v>
      </c>
      <c r="NM11" s="135">
        <f t="shared" si="149"/>
        <v>5.5620789913368301E-2</v>
      </c>
      <c r="NN11" s="1563">
        <v>75</v>
      </c>
      <c r="NO11" s="134">
        <v>1649499</v>
      </c>
      <c r="NP11" s="134">
        <v>1889478</v>
      </c>
      <c r="NQ11" s="134">
        <v>6474</v>
      </c>
      <c r="NR11" s="133">
        <f t="shared" si="150"/>
        <v>233505</v>
      </c>
      <c r="NS11" s="151">
        <f t="shared" si="151"/>
        <v>0.12358175115031771</v>
      </c>
      <c r="NT11" s="134">
        <f>51000+26000</f>
        <v>77000</v>
      </c>
      <c r="NU11" s="134">
        <f>77000+24</f>
        <v>77024</v>
      </c>
      <c r="NV11" s="134">
        <v>100000</v>
      </c>
      <c r="NW11" s="190">
        <f t="shared" si="152"/>
        <v>-20519</v>
      </c>
      <c r="NX11" s="135">
        <f t="shared" si="153"/>
        <v>-1.0859613078321102E-2</v>
      </c>
      <c r="NY11" s="1563">
        <v>75</v>
      </c>
      <c r="NZ11" s="134">
        <v>1617280</v>
      </c>
      <c r="OA11" s="134">
        <v>1927800</v>
      </c>
      <c r="OB11" s="134">
        <v>3600</v>
      </c>
      <c r="OC11" s="133">
        <f t="shared" si="154"/>
        <v>306920</v>
      </c>
      <c r="OD11" s="151">
        <f t="shared" si="155"/>
        <v>0.15920738665836706</v>
      </c>
      <c r="OE11" s="134">
        <f>51000+26000</f>
        <v>77000</v>
      </c>
      <c r="OF11" s="134">
        <f>77000+24</f>
        <v>77024</v>
      </c>
      <c r="OG11" s="134">
        <v>100000</v>
      </c>
      <c r="OH11" s="190">
        <f t="shared" si="156"/>
        <v>52896</v>
      </c>
      <c r="OI11" s="5380">
        <f t="shared" si="157"/>
        <v>2.7438530967942732E-2</v>
      </c>
      <c r="OJ11" s="69">
        <v>75</v>
      </c>
      <c r="OK11" s="155">
        <f t="shared" si="158"/>
        <v>21745607</v>
      </c>
      <c r="OL11" s="155">
        <f t="shared" si="159"/>
        <v>3372033</v>
      </c>
      <c r="OM11" s="74">
        <f t="shared" si="160"/>
        <v>0.15506732003388088</v>
      </c>
      <c r="ON11" s="155">
        <f t="shared" si="161"/>
        <v>-56294.92333333334</v>
      </c>
      <c r="OO11" s="70"/>
      <c r="OP11" s="69"/>
      <c r="OQ11" s="1563">
        <v>75</v>
      </c>
      <c r="OR11" s="134">
        <v>1672547.49</v>
      </c>
      <c r="OS11" s="134">
        <v>1839483</v>
      </c>
      <c r="OT11" s="134">
        <v>3243</v>
      </c>
      <c r="OU11" s="133">
        <f t="shared" si="162"/>
        <v>163692.51</v>
      </c>
      <c r="OV11" s="94">
        <f>OU11/OS11</f>
        <v>8.8988324436811872E-2</v>
      </c>
      <c r="OW11" s="133">
        <v>26000</v>
      </c>
      <c r="OX11" s="134">
        <v>50000</v>
      </c>
      <c r="OY11" s="134">
        <v>150000</v>
      </c>
      <c r="OZ11" s="190">
        <f t="shared" si="163"/>
        <v>-62307.489999999991</v>
      </c>
      <c r="PA11" s="5361">
        <f>OZ11/OS11</f>
        <v>-3.3872283679707828E-2</v>
      </c>
      <c r="PB11" s="5320">
        <v>73</v>
      </c>
      <c r="PC11" s="134">
        <v>1652917.73</v>
      </c>
      <c r="PD11" s="134">
        <v>1829391</v>
      </c>
      <c r="PE11" s="134">
        <v>2599</v>
      </c>
      <c r="PF11" s="133">
        <f t="shared" si="164"/>
        <v>173874.27000000002</v>
      </c>
      <c r="PG11" s="94">
        <f>PF11/PD11</f>
        <v>9.5044891988645408E-2</v>
      </c>
      <c r="PH11" s="133">
        <v>47760</v>
      </c>
      <c r="PI11" s="134">
        <v>50000</v>
      </c>
      <c r="PJ11" s="134">
        <v>120000</v>
      </c>
      <c r="PK11" s="190">
        <f t="shared" si="165"/>
        <v>-43885.729999999981</v>
      </c>
      <c r="PL11" s="135">
        <f>PK11/PD11</f>
        <v>-2.3989256534005021E-2</v>
      </c>
      <c r="PM11" s="5379">
        <v>69</v>
      </c>
      <c r="PN11" s="134">
        <v>1551132.31</v>
      </c>
      <c r="PO11" s="134">
        <v>1724677</v>
      </c>
      <c r="PP11" s="134">
        <v>9952</v>
      </c>
      <c r="PQ11" s="6293">
        <f t="shared" si="166"/>
        <v>163592.68999999994</v>
      </c>
      <c r="PR11" s="6295">
        <f>PQ11/PO11</f>
        <v>9.4854103116119678E-2</v>
      </c>
      <c r="PS11" s="134">
        <v>54400</v>
      </c>
      <c r="PT11" s="134">
        <v>50000</v>
      </c>
      <c r="PU11" s="134">
        <f>50000-585</f>
        <v>49415</v>
      </c>
      <c r="PV11" s="190">
        <f t="shared" si="167"/>
        <v>9777.6899999999441</v>
      </c>
      <c r="PW11" s="5380">
        <f>PV11/PO11</f>
        <v>5.6692876405262807E-3</v>
      </c>
      <c r="PX11" s="5320">
        <v>69</v>
      </c>
      <c r="PY11" s="191">
        <f t="shared" si="168"/>
        <v>5393551</v>
      </c>
      <c r="PZ11" s="191">
        <f t="shared" si="169"/>
        <v>501159.47</v>
      </c>
      <c r="QA11" s="135">
        <f>PZ11/PY11</f>
        <v>9.2918277772843894E-2</v>
      </c>
      <c r="QB11" s="5379">
        <v>68</v>
      </c>
      <c r="QC11" s="134">
        <v>1529714.72</v>
      </c>
      <c r="QD11" s="134">
        <v>1701824</v>
      </c>
      <c r="QE11" s="134">
        <v>3573</v>
      </c>
      <c r="QF11" s="6293">
        <f t="shared" si="170"/>
        <v>168536.28000000003</v>
      </c>
      <c r="QG11" s="6295">
        <f t="shared" si="171"/>
        <v>9.9032731939378005E-2</v>
      </c>
      <c r="QH11" s="134">
        <v>47808</v>
      </c>
      <c r="QI11" s="134">
        <v>50000</v>
      </c>
      <c r="QJ11" s="134">
        <f>50000-585</f>
        <v>49415</v>
      </c>
      <c r="QK11" s="190">
        <f t="shared" si="172"/>
        <v>21313.280000000028</v>
      </c>
      <c r="QL11" s="5380">
        <f t="shared" si="173"/>
        <v>1.252378624346585E-2</v>
      </c>
      <c r="QM11" s="5379">
        <v>67</v>
      </c>
      <c r="QN11" s="134">
        <v>1455612.5</v>
      </c>
      <c r="QO11" s="134">
        <v>1684050</v>
      </c>
      <c r="QP11" s="134">
        <v>15159</v>
      </c>
      <c r="QQ11" s="133">
        <f t="shared" si="174"/>
        <v>213278.5</v>
      </c>
      <c r="QR11" s="151">
        <f t="shared" si="175"/>
        <v>0.12664618033906358</v>
      </c>
      <c r="QS11" s="4138">
        <v>63900</v>
      </c>
      <c r="QT11" s="134">
        <v>50000</v>
      </c>
      <c r="QU11" s="134">
        <f>50000-585</f>
        <v>49415</v>
      </c>
      <c r="QV11" s="190">
        <f t="shared" si="176"/>
        <v>49963.5</v>
      </c>
      <c r="QW11" s="5380">
        <f t="shared" si="177"/>
        <v>2.9668655918767259E-2</v>
      </c>
      <c r="QX11" s="5379">
        <v>60</v>
      </c>
      <c r="QY11" s="622">
        <v>1402602.79</v>
      </c>
      <c r="QZ11" s="358">
        <v>1549693</v>
      </c>
      <c r="RA11" s="134">
        <v>4401</v>
      </c>
      <c r="RB11" s="133">
        <f t="shared" si="178"/>
        <v>142689.20999999996</v>
      </c>
      <c r="RC11" s="151">
        <f t="shared" si="179"/>
        <v>9.2075791785856911E-2</v>
      </c>
      <c r="RD11" s="4138">
        <v>274200</v>
      </c>
      <c r="RE11" s="134">
        <v>0</v>
      </c>
      <c r="RF11" s="134">
        <v>0</v>
      </c>
      <c r="RG11" s="190">
        <f t="shared" si="180"/>
        <v>-131510.79000000004</v>
      </c>
      <c r="RH11" s="5380">
        <f t="shared" si="181"/>
        <v>-8.4862479213624914E-2</v>
      </c>
      <c r="RI11" s="5376"/>
      <c r="RJ11" s="191">
        <f t="shared" si="182"/>
        <v>4935567</v>
      </c>
      <c r="RK11" s="191">
        <f>RB11+QQ11+QF11</f>
        <v>524503.99</v>
      </c>
      <c r="RL11" s="5380">
        <f t="shared" si="184"/>
        <v>0.10627026033685694</v>
      </c>
      <c r="RM11" s="1562">
        <f t="shared" si="185"/>
        <v>-69</v>
      </c>
      <c r="RN11" s="128">
        <f t="shared" si="185"/>
        <v>-457984</v>
      </c>
      <c r="RO11" s="139">
        <f t="shared" si="185"/>
        <v>23344.520000000019</v>
      </c>
      <c r="RP11" s="442">
        <f t="shared" si="186"/>
        <v>-1</v>
      </c>
      <c r="RQ11" s="442">
        <f t="shared" si="186"/>
        <v>-8.491326029919806E-2</v>
      </c>
      <c r="RR11" s="6339">
        <f t="shared" si="186"/>
        <v>4.6581021406220301E-2</v>
      </c>
      <c r="RS11" s="6327">
        <v>57</v>
      </c>
      <c r="RT11" s="208">
        <v>1319162.6599999999</v>
      </c>
      <c r="RU11" s="130">
        <v>1479422</v>
      </c>
      <c r="RV11" s="3546">
        <v>5280</v>
      </c>
      <c r="RW11" s="133">
        <f t="shared" si="187"/>
        <v>154979.34000000008</v>
      </c>
      <c r="RX11" s="151">
        <f t="shared" si="188"/>
        <v>0.10475668200148441</v>
      </c>
      <c r="RY11" s="4138">
        <v>74700</v>
      </c>
      <c r="RZ11" s="134">
        <v>0</v>
      </c>
      <c r="SA11" s="134">
        <v>39446</v>
      </c>
      <c r="SB11" s="190">
        <f>RW11-SUM(RY11:SA11)</f>
        <v>40833.340000000084</v>
      </c>
      <c r="SC11" s="5380">
        <f t="shared" si="190"/>
        <v>2.7600873854789293E-2</v>
      </c>
      <c r="SD11" s="5405">
        <v>54</v>
      </c>
      <c r="SE11" s="130">
        <v>1301206.1000000001</v>
      </c>
      <c r="SF11" s="130">
        <v>1435370</v>
      </c>
      <c r="SG11" s="606">
        <v>3140</v>
      </c>
      <c r="SH11" s="6361">
        <f t="shared" si="191"/>
        <v>131023.89999999991</v>
      </c>
      <c r="SI11" s="6363">
        <f t="shared" si="192"/>
        <v>9.1282317451249442E-2</v>
      </c>
      <c r="SJ11" s="134">
        <v>47808</v>
      </c>
      <c r="SK11" s="134">
        <v>0</v>
      </c>
      <c r="SL11" s="134">
        <v>39446</v>
      </c>
      <c r="SM11" s="190">
        <f>SH11-SUM(SJ11:SL11)</f>
        <v>43769.899999999907</v>
      </c>
      <c r="SN11" s="5380">
        <f>SM11/SF11</f>
        <v>3.0493809958407871E-2</v>
      </c>
      <c r="SO11" s="134">
        <v>53</v>
      </c>
      <c r="SP11" s="134">
        <v>1263606.8799999999</v>
      </c>
      <c r="SQ11" s="134">
        <v>1365996</v>
      </c>
      <c r="SR11" s="134"/>
      <c r="SS11" s="6361">
        <f t="shared" si="195"/>
        <v>102389.12000000011</v>
      </c>
      <c r="ST11" s="6363">
        <f t="shared" si="196"/>
        <v>7.4955651407471263E-2</v>
      </c>
      <c r="SU11" s="134">
        <v>47808</v>
      </c>
      <c r="SV11" s="134">
        <v>0</v>
      </c>
      <c r="SW11" s="134">
        <v>39446</v>
      </c>
      <c r="SX11" s="190">
        <f t="shared" si="197"/>
        <v>15135.120000000112</v>
      </c>
      <c r="SY11" s="5380">
        <f>SX11/SQ11</f>
        <v>1.1079915314539803E-2</v>
      </c>
      <c r="SZ11" s="6270"/>
      <c r="TA11" s="118">
        <f t="shared" si="199"/>
        <v>4280788</v>
      </c>
      <c r="TB11" s="118">
        <f t="shared" si="200"/>
        <v>388392.3600000001</v>
      </c>
      <c r="TC11" s="5380">
        <f t="shared" si="201"/>
        <v>9.0729174161392742E-2</v>
      </c>
      <c r="TD11" s="209">
        <f>48+5</f>
        <v>53</v>
      </c>
      <c r="TE11" s="208">
        <f>1157501+84970+(1440543*3%)</f>
        <v>1285687.29</v>
      </c>
      <c r="TF11" s="208">
        <v>1440543</v>
      </c>
      <c r="TG11" s="134">
        <v>1540</v>
      </c>
      <c r="TH11" s="133">
        <f t="shared" si="202"/>
        <v>153315.70999999996</v>
      </c>
      <c r="TI11" s="151">
        <f t="shared" si="203"/>
        <v>0.10642911041183774</v>
      </c>
      <c r="TJ11" s="134">
        <v>47808</v>
      </c>
      <c r="TK11" s="134">
        <v>0</v>
      </c>
      <c r="TL11" s="134">
        <v>31120</v>
      </c>
      <c r="TM11" s="190">
        <f t="shared" si="204"/>
        <v>74387.709999999963</v>
      </c>
      <c r="TN11" s="5380">
        <f>TM11/TF11</f>
        <v>5.1638659866453107E-2</v>
      </c>
      <c r="TO11" s="134"/>
      <c r="TP11" s="134"/>
      <c r="TQ11" s="134"/>
      <c r="TR11" s="134"/>
      <c r="TS11" s="133">
        <f t="shared" si="206"/>
        <v>0</v>
      </c>
      <c r="TT11" s="151" t="e">
        <f t="shared" si="207"/>
        <v>#DIV/0!</v>
      </c>
      <c r="TU11" s="134"/>
      <c r="TV11" s="134"/>
      <c r="TW11" s="134"/>
      <c r="TX11" s="190">
        <f t="shared" si="208"/>
        <v>0</v>
      </c>
      <c r="TY11" s="135" t="e">
        <f>TX11/TQ11</f>
        <v>#DIV/0!</v>
      </c>
      <c r="TZ11" s="1563"/>
      <c r="UA11" s="134"/>
      <c r="UB11" s="134"/>
      <c r="UC11" s="134"/>
      <c r="UD11" s="133">
        <f t="shared" si="210"/>
        <v>0</v>
      </c>
      <c r="UE11" s="151" t="e">
        <f t="shared" si="211"/>
        <v>#DIV/0!</v>
      </c>
      <c r="UF11" s="134"/>
      <c r="UG11" s="134"/>
      <c r="UH11" s="134"/>
      <c r="UI11" s="190">
        <f t="shared" si="212"/>
        <v>0</v>
      </c>
      <c r="UJ11" s="5380" t="e">
        <f>UI11/UB11</f>
        <v>#DIV/0!</v>
      </c>
      <c r="UK11" s="5376"/>
      <c r="UL11" s="191">
        <f t="shared" si="214"/>
        <v>16050449</v>
      </c>
      <c r="UM11" s="191">
        <f t="shared" si="215"/>
        <v>1567371.53</v>
      </c>
      <c r="UN11" s="135">
        <f t="shared" si="216"/>
        <v>9.7652815195387987E-2</v>
      </c>
      <c r="UO11" s="191">
        <f t="shared" si="217"/>
        <v>17476.530000000028</v>
      </c>
      <c r="UP11" s="5380">
        <f t="shared" si="218"/>
        <v>1.088849913170655E-3</v>
      </c>
    </row>
    <row r="12" spans="1:567" x14ac:dyDescent="0.3">
      <c r="A12" s="5317">
        <v>8</v>
      </c>
      <c r="B12" s="5362" t="s">
        <v>1034</v>
      </c>
      <c r="C12" s="735" t="s">
        <v>442</v>
      </c>
      <c r="D12" s="719" t="s">
        <v>140</v>
      </c>
      <c r="E12" s="6279" t="s">
        <v>1035</v>
      </c>
      <c r="F12" s="3760"/>
      <c r="G12" s="380"/>
      <c r="H12" s="380"/>
      <c r="I12" s="380"/>
      <c r="J12" s="85"/>
      <c r="K12" s="665"/>
      <c r="L12" s="380"/>
      <c r="M12" s="380"/>
      <c r="N12" s="380"/>
      <c r="O12" s="663"/>
      <c r="P12" s="665"/>
      <c r="Q12" s="380"/>
      <c r="R12" s="380"/>
      <c r="S12" s="380"/>
      <c r="T12" s="225"/>
      <c r="U12" s="664"/>
      <c r="V12" s="663"/>
      <c r="W12" s="663"/>
      <c r="X12" s="663"/>
      <c r="Y12" s="663"/>
      <c r="Z12" s="666"/>
      <c r="AA12" s="663"/>
      <c r="AB12" s="663"/>
      <c r="AC12" s="663"/>
      <c r="AD12" s="663"/>
      <c r="AE12" s="619"/>
      <c r="AF12" s="663"/>
      <c r="AG12" s="667"/>
      <c r="AH12" s="668"/>
      <c r="AI12" s="668"/>
      <c r="AJ12" s="668"/>
      <c r="AK12" s="700"/>
      <c r="AL12" s="117"/>
      <c r="AM12" s="131"/>
      <c r="AN12" s="132"/>
      <c r="AO12" s="132"/>
      <c r="AP12" s="132"/>
      <c r="AQ12" s="132"/>
      <c r="AR12" s="117"/>
      <c r="AS12" s="667"/>
      <c r="AT12" s="3761"/>
      <c r="AU12" s="132"/>
      <c r="AV12" s="132"/>
      <c r="AW12" s="117"/>
      <c r="AX12" s="1365"/>
      <c r="AY12" s="711"/>
      <c r="AZ12" s="711"/>
      <c r="BA12" s="711"/>
      <c r="BB12" s="198"/>
      <c r="BC12" s="636"/>
      <c r="BD12" s="619"/>
      <c r="BE12" s="619"/>
      <c r="BF12" s="619"/>
      <c r="BG12" s="619"/>
      <c r="BH12" s="618"/>
      <c r="BI12" s="636"/>
      <c r="BJ12" s="619"/>
      <c r="BK12" s="619"/>
      <c r="BL12" s="619"/>
      <c r="BM12" s="619"/>
      <c r="BN12" s="618"/>
      <c r="BO12" s="620"/>
      <c r="BP12" s="619"/>
      <c r="BQ12" s="619"/>
      <c r="BR12" s="619"/>
      <c r="BS12" s="619"/>
      <c r="BT12" s="1480"/>
      <c r="BU12" s="620"/>
      <c r="BV12" s="1481"/>
      <c r="BW12" s="1481"/>
      <c r="BX12" s="236"/>
      <c r="BY12" s="1493"/>
      <c r="BZ12" s="1494"/>
      <c r="CA12" s="1494"/>
      <c r="CB12" s="1494"/>
      <c r="CC12" s="634"/>
      <c r="CD12" s="790"/>
      <c r="CE12" s="3762"/>
      <c r="CF12" s="789"/>
      <c r="CG12" s="789"/>
      <c r="CH12" s="789"/>
      <c r="CI12" s="789"/>
      <c r="CJ12" s="790"/>
      <c r="CK12" s="791"/>
      <c r="CL12" s="792"/>
      <c r="CM12" s="792"/>
      <c r="CN12" s="792"/>
      <c r="CO12" s="2146"/>
      <c r="CP12" s="793"/>
      <c r="CQ12" s="796"/>
      <c r="CR12" s="796"/>
      <c r="CS12" s="796"/>
      <c r="CT12" s="796"/>
      <c r="CU12" s="796"/>
      <c r="CV12" s="797"/>
      <c r="CW12" s="131"/>
      <c r="CX12" s="132"/>
      <c r="CY12" s="132"/>
      <c r="CZ12" s="132"/>
      <c r="DA12" s="707"/>
      <c r="DB12" s="117"/>
      <c r="DC12" s="3763"/>
      <c r="DD12" s="3764"/>
      <c r="DE12" s="132"/>
      <c r="DF12" s="132"/>
      <c r="DG12" s="639"/>
      <c r="DH12" s="1589"/>
      <c r="DI12" s="642"/>
      <c r="DJ12" s="141"/>
      <c r="DK12" s="141"/>
      <c r="DL12" s="74"/>
      <c r="DM12" s="141"/>
      <c r="DN12" s="74"/>
      <c r="DO12" s="806"/>
      <c r="DP12" s="227"/>
      <c r="DQ12" s="227"/>
      <c r="DR12" s="227"/>
      <c r="DS12" s="198"/>
      <c r="DT12" s="198"/>
      <c r="DU12" s="198"/>
      <c r="DV12" s="201"/>
      <c r="DW12" s="806"/>
      <c r="DX12" s="3765"/>
      <c r="DY12" s="3765"/>
      <c r="DZ12" s="3765"/>
      <c r="EA12" s="198"/>
      <c r="EB12" s="198"/>
      <c r="EC12" s="198"/>
      <c r="ED12" s="201"/>
      <c r="EE12" s="165"/>
      <c r="EF12" s="109"/>
      <c r="EG12" s="109"/>
      <c r="EH12" s="132"/>
      <c r="EI12" s="707"/>
      <c r="EJ12" s="117"/>
      <c r="EK12" s="3763"/>
      <c r="EL12" s="3764"/>
      <c r="EM12" s="132"/>
      <c r="EN12" s="132"/>
      <c r="EO12" s="639"/>
      <c r="EP12" s="117"/>
      <c r="EQ12" s="165"/>
      <c r="ER12" s="1494"/>
      <c r="ES12" s="1494"/>
      <c r="ET12" s="132"/>
      <c r="EU12" s="148"/>
      <c r="EV12" s="117"/>
      <c r="EW12" s="3763"/>
      <c r="EX12" s="3764"/>
      <c r="EY12" s="132"/>
      <c r="EZ12" s="639"/>
      <c r="FA12" s="639"/>
      <c r="FB12" s="117"/>
      <c r="FC12" s="643"/>
      <c r="FD12" s="644"/>
      <c r="FE12" s="644"/>
      <c r="FF12" s="644"/>
      <c r="FG12" s="74"/>
      <c r="FH12" s="74"/>
      <c r="FI12" s="74"/>
      <c r="FJ12" s="73"/>
      <c r="FK12" s="147"/>
      <c r="FL12" s="148"/>
      <c r="FM12" s="148"/>
      <c r="FN12" s="148"/>
      <c r="FO12" s="148"/>
      <c r="FP12" s="198"/>
      <c r="FQ12" s="147"/>
      <c r="FR12" s="148"/>
      <c r="FS12" s="148"/>
      <c r="FT12" s="197"/>
      <c r="FU12" s="201"/>
      <c r="FV12" s="803"/>
      <c r="FW12" s="197"/>
      <c r="FX12" s="197"/>
      <c r="FY12" s="197"/>
      <c r="FZ12" s="197"/>
      <c r="GA12" s="198"/>
      <c r="GB12" s="198"/>
      <c r="GC12" s="198"/>
      <c r="GD12" s="201"/>
      <c r="GE12" s="187"/>
      <c r="GF12" s="155"/>
      <c r="GG12" s="155"/>
      <c r="GH12" s="74"/>
      <c r="GI12" s="613"/>
      <c r="GJ12" s="187"/>
      <c r="GK12" s="155"/>
      <c r="GL12" s="155"/>
      <c r="GM12" s="613"/>
      <c r="GN12" s="147"/>
      <c r="GO12" s="148"/>
      <c r="GP12" s="148"/>
      <c r="GQ12" s="148"/>
      <c r="GR12" s="148"/>
      <c r="GS12" s="198"/>
      <c r="GT12" s="147"/>
      <c r="GU12" s="148"/>
      <c r="GV12" s="148"/>
      <c r="GW12" s="148"/>
      <c r="GX12" s="803"/>
      <c r="GY12" s="201"/>
      <c r="GZ12" s="3766"/>
      <c r="HA12" s="132"/>
      <c r="HB12" s="132"/>
      <c r="HC12" s="132"/>
      <c r="HD12" s="148"/>
      <c r="HE12" s="201"/>
      <c r="HF12" s="3763"/>
      <c r="HG12" s="132"/>
      <c r="HH12" s="132"/>
      <c r="HI12" s="132"/>
      <c r="HJ12" s="197"/>
      <c r="HK12" s="201"/>
      <c r="HL12" s="1365"/>
      <c r="HM12" s="148"/>
      <c r="HN12" s="148"/>
      <c r="HO12" s="148"/>
      <c r="HP12" s="615"/>
      <c r="HQ12" s="201"/>
      <c r="HR12" s="147"/>
      <c r="HS12" s="148"/>
      <c r="HT12" s="148"/>
      <c r="HU12" s="148"/>
      <c r="HV12" s="197"/>
      <c r="HW12" s="201"/>
      <c r="HX12" s="3722"/>
      <c r="HY12" s="711"/>
      <c r="HZ12" s="1510"/>
      <c r="IA12" s="711"/>
      <c r="IB12" s="1510"/>
      <c r="IC12" s="141"/>
      <c r="ID12" s="642"/>
      <c r="IE12" s="141"/>
      <c r="IF12" s="141"/>
      <c r="IG12" s="74"/>
      <c r="IH12" s="1507"/>
      <c r="II12" s="69"/>
      <c r="IJ12" s="147"/>
      <c r="IK12" s="148"/>
      <c r="IL12" s="148"/>
      <c r="IM12" s="148"/>
      <c r="IN12" s="147"/>
      <c r="IO12" s="201"/>
      <c r="IP12" s="147"/>
      <c r="IQ12" s="148"/>
      <c r="IR12" s="148"/>
      <c r="IS12" s="803"/>
      <c r="IT12" s="201"/>
      <c r="IU12" s="713"/>
      <c r="IV12" s="148"/>
      <c r="IW12" s="148"/>
      <c r="IX12" s="148"/>
      <c r="IY12" s="147"/>
      <c r="IZ12" s="201"/>
      <c r="JA12" s="147"/>
      <c r="JB12" s="148"/>
      <c r="JC12" s="148"/>
      <c r="JD12" s="803"/>
      <c r="JE12" s="201"/>
      <c r="JF12" s="713"/>
      <c r="JG12" s="148"/>
      <c r="JH12" s="148"/>
      <c r="JI12" s="148"/>
      <c r="JJ12" s="147"/>
      <c r="JK12" s="201"/>
      <c r="JL12" s="147"/>
      <c r="JM12" s="148"/>
      <c r="JN12" s="148"/>
      <c r="JO12" s="803"/>
      <c r="JP12" s="201"/>
      <c r="JQ12" s="713"/>
      <c r="JR12" s="197"/>
      <c r="JS12" s="197"/>
      <c r="JT12" s="201"/>
      <c r="JU12" s="713"/>
      <c r="JV12" s="148"/>
      <c r="JW12" s="148"/>
      <c r="JX12" s="148"/>
      <c r="JY12" s="147"/>
      <c r="JZ12" s="201"/>
      <c r="KA12" s="147"/>
      <c r="KB12" s="148"/>
      <c r="KC12" s="148"/>
      <c r="KD12" s="803"/>
      <c r="KE12" s="201"/>
      <c r="KF12" s="713"/>
      <c r="KG12" s="148"/>
      <c r="KH12" s="148"/>
      <c r="KI12" s="148"/>
      <c r="KJ12" s="147"/>
      <c r="KK12" s="201"/>
      <c r="KL12" s="147"/>
      <c r="KM12" s="148"/>
      <c r="KN12" s="148"/>
      <c r="KO12" s="803"/>
      <c r="KP12" s="201"/>
      <c r="KQ12" s="713"/>
      <c r="KR12" s="148"/>
      <c r="KS12" s="148"/>
      <c r="KT12" s="148"/>
      <c r="KU12" s="147"/>
      <c r="KV12" s="201"/>
      <c r="KW12" s="147"/>
      <c r="KX12" s="148"/>
      <c r="KY12" s="148"/>
      <c r="KZ12" s="803"/>
      <c r="LA12" s="201"/>
      <c r="LB12" s="3767"/>
      <c r="LC12" s="197"/>
      <c r="LD12" s="197"/>
      <c r="LE12" s="201"/>
      <c r="LF12" s="165"/>
      <c r="LG12" s="639"/>
      <c r="LH12" s="640"/>
      <c r="LI12" s="809"/>
      <c r="LJ12" s="809"/>
      <c r="LK12" s="632"/>
      <c r="LL12" s="713"/>
      <c r="LM12" s="148"/>
      <c r="LN12" s="148"/>
      <c r="LO12" s="148"/>
      <c r="LP12" s="147"/>
      <c r="LQ12" s="201"/>
      <c r="LR12" s="147"/>
      <c r="LS12" s="148"/>
      <c r="LT12" s="148"/>
      <c r="LU12" s="803"/>
      <c r="LV12" s="201"/>
      <c r="LW12" s="148"/>
      <c r="LX12" s="148"/>
      <c r="LY12" s="148"/>
      <c r="LZ12" s="148"/>
      <c r="MA12" s="147"/>
      <c r="MB12" s="201"/>
      <c r="MC12" s="148"/>
      <c r="MD12" s="148"/>
      <c r="ME12" s="148"/>
      <c r="MF12" s="803"/>
      <c r="MG12" s="201"/>
      <c r="MH12" s="148"/>
      <c r="MI12" s="148"/>
      <c r="MJ12" s="148"/>
      <c r="MK12" s="148"/>
      <c r="ML12" s="147"/>
      <c r="MM12" s="201"/>
      <c r="MN12" s="148"/>
      <c r="MO12" s="148"/>
      <c r="MP12" s="148"/>
      <c r="MQ12" s="803"/>
      <c r="MR12" s="201"/>
      <c r="MS12" s="1475"/>
      <c r="MT12" s="118"/>
      <c r="MU12" s="118"/>
      <c r="MV12" s="135"/>
      <c r="MW12" s="147"/>
      <c r="MX12" s="148"/>
      <c r="MY12" s="148"/>
      <c r="MZ12" s="198"/>
      <c r="NA12" s="198"/>
      <c r="NB12" s="201"/>
      <c r="NC12" s="148"/>
      <c r="ND12" s="148"/>
      <c r="NE12" s="148"/>
      <c r="NF12" s="148"/>
      <c r="NG12" s="147"/>
      <c r="NH12" s="201"/>
      <c r="NI12" s="148"/>
      <c r="NJ12" s="148"/>
      <c r="NK12" s="148"/>
      <c r="NL12" s="803"/>
      <c r="NM12" s="198"/>
      <c r="NN12" s="1565"/>
      <c r="NO12" s="148"/>
      <c r="NP12" s="148"/>
      <c r="NQ12" s="148"/>
      <c r="NR12" s="147"/>
      <c r="NS12" s="201"/>
      <c r="NT12" s="148"/>
      <c r="NU12" s="148"/>
      <c r="NV12" s="148"/>
      <c r="NW12" s="803"/>
      <c r="NX12" s="198"/>
      <c r="NY12" s="1565"/>
      <c r="NZ12" s="148"/>
      <c r="OA12" s="148"/>
      <c r="OB12" s="148"/>
      <c r="OC12" s="147"/>
      <c r="OD12" s="201"/>
      <c r="OE12" s="148"/>
      <c r="OF12" s="148"/>
      <c r="OG12" s="148"/>
      <c r="OH12" s="803"/>
      <c r="OI12" s="5383"/>
      <c r="OJ12" s="69"/>
      <c r="OK12" s="155"/>
      <c r="OL12" s="155"/>
      <c r="OM12" s="74"/>
      <c r="ON12" s="155"/>
      <c r="OO12" s="70"/>
      <c r="OP12" s="69"/>
      <c r="OQ12" s="1565"/>
      <c r="OR12" s="148"/>
      <c r="OS12" s="148"/>
      <c r="OT12" s="148"/>
      <c r="OU12" s="147"/>
      <c r="OV12" s="225"/>
      <c r="OW12" s="147"/>
      <c r="OX12" s="148"/>
      <c r="OY12" s="148"/>
      <c r="OZ12" s="803"/>
      <c r="PA12" s="5363"/>
      <c r="PB12" s="5322"/>
      <c r="PC12" s="148"/>
      <c r="PD12" s="148"/>
      <c r="PE12" s="148"/>
      <c r="PF12" s="147"/>
      <c r="PG12" s="225"/>
      <c r="PH12" s="147"/>
      <c r="PI12" s="148"/>
      <c r="PJ12" s="148"/>
      <c r="PK12" s="803"/>
      <c r="PL12" s="198"/>
      <c r="PM12" s="5382"/>
      <c r="PN12" s="148"/>
      <c r="PO12" s="148"/>
      <c r="PP12" s="148"/>
      <c r="PQ12" s="6297"/>
      <c r="PR12" s="6298"/>
      <c r="PS12" s="148"/>
      <c r="PT12" s="148"/>
      <c r="PU12" s="148"/>
      <c r="PV12" s="803"/>
      <c r="PW12" s="5383"/>
      <c r="PX12" s="5322"/>
      <c r="PY12" s="197"/>
      <c r="PZ12" s="197"/>
      <c r="QA12" s="198"/>
      <c r="QB12" s="5382"/>
      <c r="QC12" s="148"/>
      <c r="QD12" s="148"/>
      <c r="QE12" s="148"/>
      <c r="QF12" s="6297"/>
      <c r="QG12" s="6298"/>
      <c r="QH12" s="148"/>
      <c r="QI12" s="148"/>
      <c r="QJ12" s="148"/>
      <c r="QK12" s="803"/>
      <c r="QL12" s="5383"/>
      <c r="QM12" s="5382"/>
      <c r="QN12" s="148"/>
      <c r="QO12" s="148"/>
      <c r="QP12" s="148"/>
      <c r="QQ12" s="147"/>
      <c r="QR12" s="201"/>
      <c r="QS12" s="147"/>
      <c r="QT12" s="148"/>
      <c r="QU12" s="148"/>
      <c r="QV12" s="803"/>
      <c r="QW12" s="5383"/>
      <c r="QX12" s="5382"/>
      <c r="QY12" s="148"/>
      <c r="QZ12" s="148"/>
      <c r="RA12" s="148"/>
      <c r="RB12" s="147"/>
      <c r="RC12" s="201"/>
      <c r="RD12" s="147"/>
      <c r="RE12" s="148"/>
      <c r="RF12" s="148"/>
      <c r="RG12" s="803"/>
      <c r="RH12" s="5383"/>
      <c r="RI12" s="6318"/>
      <c r="RJ12" s="197"/>
      <c r="RK12" s="197"/>
      <c r="RL12" s="5383"/>
      <c r="RM12" s="6340"/>
      <c r="RN12" s="639"/>
      <c r="RO12" s="640"/>
      <c r="RP12" s="809"/>
      <c r="RQ12" s="809"/>
      <c r="RR12" s="6341"/>
      <c r="RS12" s="6329"/>
      <c r="RT12" s="132"/>
      <c r="RU12" s="132"/>
      <c r="RV12" s="5311"/>
      <c r="RW12" s="147"/>
      <c r="RX12" s="201"/>
      <c r="RY12" s="147"/>
      <c r="RZ12" s="148"/>
      <c r="SA12" s="148"/>
      <c r="SB12" s="803"/>
      <c r="SC12" s="5383"/>
      <c r="SD12" s="5406">
        <v>1</v>
      </c>
      <c r="SE12" s="132">
        <v>49408</v>
      </c>
      <c r="SF12" s="132">
        <v>60000</v>
      </c>
      <c r="SG12" s="3764">
        <v>0</v>
      </c>
      <c r="SH12" s="6361">
        <f>SF12-(SE12+SG12)</f>
        <v>10592</v>
      </c>
      <c r="SI12" s="6363">
        <f>SH12/SF12</f>
        <v>0.17653333333333332</v>
      </c>
      <c r="SJ12" s="148"/>
      <c r="SK12" s="148"/>
      <c r="SL12" s="148"/>
      <c r="SM12" s="190">
        <f>SH12-SUM(SJ12:SL12)</f>
        <v>10592</v>
      </c>
      <c r="SN12" s="5380">
        <f>SM12/SF12</f>
        <v>0.17653333333333332</v>
      </c>
      <c r="SO12" s="148">
        <v>1</v>
      </c>
      <c r="SP12" s="148">
        <v>57062</v>
      </c>
      <c r="SQ12" s="148">
        <v>69677.42</v>
      </c>
      <c r="SR12" s="148"/>
      <c r="SS12" s="6361">
        <f>SQ12-(SP12+SR12)</f>
        <v>12615.419999999998</v>
      </c>
      <c r="ST12" s="6363">
        <f>SS12/SQ12</f>
        <v>0.18105463721245704</v>
      </c>
      <c r="SU12" s="148">
        <v>0</v>
      </c>
      <c r="SV12" s="148"/>
      <c r="SW12" s="148"/>
      <c r="SX12" s="190">
        <f t="shared" si="197"/>
        <v>12615.419999999998</v>
      </c>
      <c r="SY12" s="5380">
        <f>SX12/SQ12</f>
        <v>0.18105463721245704</v>
      </c>
      <c r="SZ12" s="6270"/>
      <c r="TA12" s="118">
        <f>SQ12+SF12+RU12</f>
        <v>129677.42</v>
      </c>
      <c r="TB12" s="118">
        <f>SS12+SH12+RW12</f>
        <v>23207.42</v>
      </c>
      <c r="TC12" s="5380">
        <f>TB12/TA12</f>
        <v>0.17896269065192691</v>
      </c>
      <c r="TD12" s="3618">
        <v>1</v>
      </c>
      <c r="TE12" s="1066">
        <f>58900+1837</f>
        <v>60737</v>
      </c>
      <c r="TF12" s="459">
        <v>69677.42</v>
      </c>
      <c r="TG12" s="148"/>
      <c r="TH12" s="133">
        <f t="shared" ref="TH12:TH13" si="220">TF12-(TE12+TG12)</f>
        <v>8940.4199999999983</v>
      </c>
      <c r="TI12" s="151">
        <f t="shared" ref="TI12:TI13" si="221">TH12/TF12</f>
        <v>0.12831158214526311</v>
      </c>
      <c r="TJ12" s="148">
        <v>0</v>
      </c>
      <c r="TK12" s="148">
        <v>0</v>
      </c>
      <c r="TL12" s="148">
        <v>0</v>
      </c>
      <c r="TM12" s="190">
        <f t="shared" ref="TM12:TM13" si="222">TH12-SUM(TJ12:TL12)</f>
        <v>8940.4199999999983</v>
      </c>
      <c r="TN12" s="5380">
        <f t="shared" ref="TN12:TN13" si="223">TM12/TF12</f>
        <v>0.12831158214526311</v>
      </c>
      <c r="TO12" s="148"/>
      <c r="TP12" s="148"/>
      <c r="TQ12" s="148"/>
      <c r="TR12" s="148"/>
      <c r="TS12" s="147"/>
      <c r="TT12" s="201"/>
      <c r="TU12" s="148"/>
      <c r="TV12" s="148"/>
      <c r="TW12" s="148"/>
      <c r="TX12" s="803"/>
      <c r="TY12" s="198"/>
      <c r="TZ12" s="1565"/>
      <c r="UA12" s="148"/>
      <c r="UB12" s="148"/>
      <c r="UC12" s="148"/>
      <c r="UD12" s="147"/>
      <c r="UE12" s="201"/>
      <c r="UF12" s="148"/>
      <c r="UG12" s="148"/>
      <c r="UH12" s="148"/>
      <c r="UI12" s="803"/>
      <c r="UJ12" s="5383"/>
      <c r="UK12" s="5376"/>
      <c r="UL12" s="191">
        <f t="shared" si="214"/>
        <v>199354.84</v>
      </c>
      <c r="UM12" s="191">
        <f t="shared" si="215"/>
        <v>32147.839999999997</v>
      </c>
      <c r="UN12" s="135">
        <f>UM12/UL12</f>
        <v>0.16125939054201041</v>
      </c>
      <c r="UO12" s="191">
        <f t="shared" si="217"/>
        <v>32147.839999999997</v>
      </c>
      <c r="UP12" s="5380">
        <f t="shared" si="218"/>
        <v>0.16125939054201041</v>
      </c>
    </row>
    <row r="13" spans="1:567" x14ac:dyDescent="0.3">
      <c r="A13" s="5317">
        <v>9</v>
      </c>
      <c r="B13" s="5362" t="s">
        <v>1048</v>
      </c>
      <c r="C13" s="735" t="s">
        <v>442</v>
      </c>
      <c r="D13" s="719" t="s">
        <v>140</v>
      </c>
      <c r="E13" s="6279" t="s">
        <v>1035</v>
      </c>
      <c r="F13" s="3760"/>
      <c r="G13" s="380"/>
      <c r="H13" s="380"/>
      <c r="I13" s="380"/>
      <c r="J13" s="85"/>
      <c r="K13" s="665"/>
      <c r="L13" s="380"/>
      <c r="M13" s="380"/>
      <c r="N13" s="380"/>
      <c r="O13" s="663"/>
      <c r="P13" s="665"/>
      <c r="Q13" s="380"/>
      <c r="R13" s="380"/>
      <c r="S13" s="380"/>
      <c r="T13" s="225"/>
      <c r="U13" s="664"/>
      <c r="V13" s="663"/>
      <c r="W13" s="663"/>
      <c r="X13" s="663"/>
      <c r="Y13" s="663"/>
      <c r="Z13" s="666"/>
      <c r="AA13" s="663"/>
      <c r="AB13" s="663"/>
      <c r="AC13" s="663"/>
      <c r="AD13" s="663"/>
      <c r="AE13" s="619"/>
      <c r="AF13" s="663"/>
      <c r="AG13" s="667"/>
      <c r="AH13" s="668"/>
      <c r="AI13" s="668"/>
      <c r="AJ13" s="668"/>
      <c r="AK13" s="700"/>
      <c r="AL13" s="117"/>
      <c r="AM13" s="131"/>
      <c r="AN13" s="132"/>
      <c r="AO13" s="132"/>
      <c r="AP13" s="132"/>
      <c r="AQ13" s="132"/>
      <c r="AR13" s="117"/>
      <c r="AS13" s="667"/>
      <c r="AT13" s="3761"/>
      <c r="AU13" s="132"/>
      <c r="AV13" s="132"/>
      <c r="AW13" s="117"/>
      <c r="AX13" s="1365"/>
      <c r="AY13" s="711"/>
      <c r="AZ13" s="711"/>
      <c r="BA13" s="711"/>
      <c r="BB13" s="198"/>
      <c r="BC13" s="636"/>
      <c r="BD13" s="619"/>
      <c r="BE13" s="619"/>
      <c r="BF13" s="619"/>
      <c r="BG13" s="619"/>
      <c r="BH13" s="618"/>
      <c r="BI13" s="636"/>
      <c r="BJ13" s="619"/>
      <c r="BK13" s="619"/>
      <c r="BL13" s="619"/>
      <c r="BM13" s="619"/>
      <c r="BN13" s="618"/>
      <c r="BO13" s="620"/>
      <c r="BP13" s="619"/>
      <c r="BQ13" s="619"/>
      <c r="BR13" s="619"/>
      <c r="BS13" s="619"/>
      <c r="BT13" s="1480"/>
      <c r="BU13" s="620"/>
      <c r="BV13" s="1481"/>
      <c r="BW13" s="1481"/>
      <c r="BX13" s="236"/>
      <c r="BY13" s="1493"/>
      <c r="BZ13" s="1494"/>
      <c r="CA13" s="1494"/>
      <c r="CB13" s="1494"/>
      <c r="CC13" s="634"/>
      <c r="CD13" s="790"/>
      <c r="CE13" s="3762"/>
      <c r="CF13" s="789"/>
      <c r="CG13" s="789"/>
      <c r="CH13" s="789"/>
      <c r="CI13" s="789"/>
      <c r="CJ13" s="790"/>
      <c r="CK13" s="791"/>
      <c r="CL13" s="792"/>
      <c r="CM13" s="792"/>
      <c r="CN13" s="792"/>
      <c r="CO13" s="2146"/>
      <c r="CP13" s="793"/>
      <c r="CQ13" s="796"/>
      <c r="CR13" s="796"/>
      <c r="CS13" s="796"/>
      <c r="CT13" s="796"/>
      <c r="CU13" s="796"/>
      <c r="CV13" s="797"/>
      <c r="CW13" s="131"/>
      <c r="CX13" s="132"/>
      <c r="CY13" s="132"/>
      <c r="CZ13" s="132"/>
      <c r="DA13" s="707"/>
      <c r="DB13" s="117"/>
      <c r="DC13" s="3763"/>
      <c r="DD13" s="3764"/>
      <c r="DE13" s="132"/>
      <c r="DF13" s="132"/>
      <c r="DG13" s="639"/>
      <c r="DH13" s="1589"/>
      <c r="DI13" s="642"/>
      <c r="DJ13" s="141"/>
      <c r="DK13" s="141"/>
      <c r="DL13" s="74"/>
      <c r="DM13" s="141"/>
      <c r="DN13" s="74"/>
      <c r="DO13" s="806"/>
      <c r="DP13" s="227"/>
      <c r="DQ13" s="227"/>
      <c r="DR13" s="227"/>
      <c r="DS13" s="198"/>
      <c r="DT13" s="198"/>
      <c r="DU13" s="198"/>
      <c r="DV13" s="201"/>
      <c r="DW13" s="806"/>
      <c r="DX13" s="3765"/>
      <c r="DY13" s="3765"/>
      <c r="DZ13" s="3765"/>
      <c r="EA13" s="198"/>
      <c r="EB13" s="198"/>
      <c r="EC13" s="198"/>
      <c r="ED13" s="201"/>
      <c r="EE13" s="165"/>
      <c r="EF13" s="109"/>
      <c r="EG13" s="109"/>
      <c r="EH13" s="132"/>
      <c r="EI13" s="707"/>
      <c r="EJ13" s="117"/>
      <c r="EK13" s="3763"/>
      <c r="EL13" s="3764"/>
      <c r="EM13" s="132"/>
      <c r="EN13" s="132"/>
      <c r="EO13" s="639"/>
      <c r="EP13" s="117"/>
      <c r="EQ13" s="165"/>
      <c r="ER13" s="1494"/>
      <c r="ES13" s="1494"/>
      <c r="ET13" s="132"/>
      <c r="EU13" s="148"/>
      <c r="EV13" s="117"/>
      <c r="EW13" s="3763"/>
      <c r="EX13" s="3764"/>
      <c r="EY13" s="132"/>
      <c r="EZ13" s="639"/>
      <c r="FA13" s="639"/>
      <c r="FB13" s="117"/>
      <c r="FC13" s="643"/>
      <c r="FD13" s="644"/>
      <c r="FE13" s="644"/>
      <c r="FF13" s="644"/>
      <c r="FG13" s="74"/>
      <c r="FH13" s="74"/>
      <c r="FI13" s="74"/>
      <c r="FJ13" s="73"/>
      <c r="FK13" s="147"/>
      <c r="FL13" s="148"/>
      <c r="FM13" s="148"/>
      <c r="FN13" s="148"/>
      <c r="FO13" s="148"/>
      <c r="FP13" s="198"/>
      <c r="FQ13" s="147"/>
      <c r="FR13" s="148"/>
      <c r="FS13" s="148"/>
      <c r="FT13" s="197"/>
      <c r="FU13" s="201"/>
      <c r="FV13" s="803"/>
      <c r="FW13" s="197"/>
      <c r="FX13" s="197"/>
      <c r="FY13" s="197"/>
      <c r="FZ13" s="197"/>
      <c r="GA13" s="198"/>
      <c r="GB13" s="198"/>
      <c r="GC13" s="198"/>
      <c r="GD13" s="201"/>
      <c r="GE13" s="187"/>
      <c r="GF13" s="155"/>
      <c r="GG13" s="155"/>
      <c r="GH13" s="74"/>
      <c r="GI13" s="613"/>
      <c r="GJ13" s="187"/>
      <c r="GK13" s="155"/>
      <c r="GL13" s="155"/>
      <c r="GM13" s="613"/>
      <c r="GN13" s="147"/>
      <c r="GO13" s="148"/>
      <c r="GP13" s="148"/>
      <c r="GQ13" s="148"/>
      <c r="GR13" s="148"/>
      <c r="GS13" s="198"/>
      <c r="GT13" s="147"/>
      <c r="GU13" s="148"/>
      <c r="GV13" s="148"/>
      <c r="GW13" s="148"/>
      <c r="GX13" s="803"/>
      <c r="GY13" s="201"/>
      <c r="GZ13" s="3766"/>
      <c r="HA13" s="132"/>
      <c r="HB13" s="132"/>
      <c r="HC13" s="132"/>
      <c r="HD13" s="148"/>
      <c r="HE13" s="201"/>
      <c r="HF13" s="3763"/>
      <c r="HG13" s="132"/>
      <c r="HH13" s="132"/>
      <c r="HI13" s="132"/>
      <c r="HJ13" s="197"/>
      <c r="HK13" s="201"/>
      <c r="HL13" s="1365"/>
      <c r="HM13" s="148"/>
      <c r="HN13" s="148"/>
      <c r="HO13" s="148"/>
      <c r="HP13" s="615"/>
      <c r="HQ13" s="201"/>
      <c r="HR13" s="147"/>
      <c r="HS13" s="148"/>
      <c r="HT13" s="148"/>
      <c r="HU13" s="148"/>
      <c r="HV13" s="197"/>
      <c r="HW13" s="201"/>
      <c r="HX13" s="3722"/>
      <c r="HY13" s="711"/>
      <c r="HZ13" s="1510"/>
      <c r="IA13" s="711"/>
      <c r="IB13" s="1510"/>
      <c r="IC13" s="141"/>
      <c r="ID13" s="642"/>
      <c r="IE13" s="141"/>
      <c r="IF13" s="141"/>
      <c r="IG13" s="74"/>
      <c r="IH13" s="1507"/>
      <c r="II13" s="69"/>
      <c r="IJ13" s="147"/>
      <c r="IK13" s="148"/>
      <c r="IL13" s="148"/>
      <c r="IM13" s="148"/>
      <c r="IN13" s="147"/>
      <c r="IO13" s="201"/>
      <c r="IP13" s="147"/>
      <c r="IQ13" s="148"/>
      <c r="IR13" s="148"/>
      <c r="IS13" s="803"/>
      <c r="IT13" s="201"/>
      <c r="IU13" s="713"/>
      <c r="IV13" s="148"/>
      <c r="IW13" s="148"/>
      <c r="IX13" s="148"/>
      <c r="IY13" s="147"/>
      <c r="IZ13" s="201"/>
      <c r="JA13" s="147"/>
      <c r="JB13" s="148"/>
      <c r="JC13" s="148"/>
      <c r="JD13" s="803"/>
      <c r="JE13" s="201"/>
      <c r="JF13" s="713"/>
      <c r="JG13" s="148"/>
      <c r="JH13" s="148"/>
      <c r="JI13" s="148"/>
      <c r="JJ13" s="147"/>
      <c r="JK13" s="201"/>
      <c r="JL13" s="147"/>
      <c r="JM13" s="148"/>
      <c r="JN13" s="148"/>
      <c r="JO13" s="803"/>
      <c r="JP13" s="201"/>
      <c r="JQ13" s="713"/>
      <c r="JR13" s="197"/>
      <c r="JS13" s="197"/>
      <c r="JT13" s="201"/>
      <c r="JU13" s="713"/>
      <c r="JV13" s="148"/>
      <c r="JW13" s="148"/>
      <c r="JX13" s="148"/>
      <c r="JY13" s="147"/>
      <c r="JZ13" s="201"/>
      <c r="KA13" s="147"/>
      <c r="KB13" s="148"/>
      <c r="KC13" s="148"/>
      <c r="KD13" s="803"/>
      <c r="KE13" s="201"/>
      <c r="KF13" s="713"/>
      <c r="KG13" s="148"/>
      <c r="KH13" s="148"/>
      <c r="KI13" s="148"/>
      <c r="KJ13" s="147"/>
      <c r="KK13" s="201"/>
      <c r="KL13" s="147"/>
      <c r="KM13" s="148"/>
      <c r="KN13" s="148"/>
      <c r="KO13" s="803"/>
      <c r="KP13" s="201"/>
      <c r="KQ13" s="713"/>
      <c r="KR13" s="148"/>
      <c r="KS13" s="148"/>
      <c r="KT13" s="148"/>
      <c r="KU13" s="147"/>
      <c r="KV13" s="201"/>
      <c r="KW13" s="147"/>
      <c r="KX13" s="148"/>
      <c r="KY13" s="148"/>
      <c r="KZ13" s="803"/>
      <c r="LA13" s="201"/>
      <c r="LB13" s="3767"/>
      <c r="LC13" s="197"/>
      <c r="LD13" s="197"/>
      <c r="LE13" s="201"/>
      <c r="LF13" s="165"/>
      <c r="LG13" s="639"/>
      <c r="LH13" s="640"/>
      <c r="LI13" s="809"/>
      <c r="LJ13" s="809"/>
      <c r="LK13" s="632"/>
      <c r="LL13" s="713"/>
      <c r="LM13" s="148"/>
      <c r="LN13" s="148"/>
      <c r="LO13" s="148"/>
      <c r="LP13" s="147"/>
      <c r="LQ13" s="201"/>
      <c r="LR13" s="147"/>
      <c r="LS13" s="148"/>
      <c r="LT13" s="148"/>
      <c r="LU13" s="803"/>
      <c r="LV13" s="201"/>
      <c r="LW13" s="148"/>
      <c r="LX13" s="148"/>
      <c r="LY13" s="148"/>
      <c r="LZ13" s="148"/>
      <c r="MA13" s="147"/>
      <c r="MB13" s="201"/>
      <c r="MC13" s="148"/>
      <c r="MD13" s="148"/>
      <c r="ME13" s="148"/>
      <c r="MF13" s="803"/>
      <c r="MG13" s="201"/>
      <c r="MH13" s="148"/>
      <c r="MI13" s="148"/>
      <c r="MJ13" s="148"/>
      <c r="MK13" s="148"/>
      <c r="ML13" s="147"/>
      <c r="MM13" s="201"/>
      <c r="MN13" s="148"/>
      <c r="MO13" s="148"/>
      <c r="MP13" s="148"/>
      <c r="MQ13" s="803"/>
      <c r="MR13" s="201"/>
      <c r="MS13" s="1475"/>
      <c r="MT13" s="118"/>
      <c r="MU13" s="118"/>
      <c r="MV13" s="135"/>
      <c r="MW13" s="147"/>
      <c r="MX13" s="148"/>
      <c r="MY13" s="148"/>
      <c r="MZ13" s="198"/>
      <c r="NA13" s="198"/>
      <c r="NB13" s="201"/>
      <c r="NC13" s="148"/>
      <c r="ND13" s="148"/>
      <c r="NE13" s="148"/>
      <c r="NF13" s="148"/>
      <c r="NG13" s="147"/>
      <c r="NH13" s="201"/>
      <c r="NI13" s="148"/>
      <c r="NJ13" s="148"/>
      <c r="NK13" s="148"/>
      <c r="NL13" s="803"/>
      <c r="NM13" s="198"/>
      <c r="NN13" s="1565"/>
      <c r="NO13" s="148"/>
      <c r="NP13" s="148"/>
      <c r="NQ13" s="148"/>
      <c r="NR13" s="147"/>
      <c r="NS13" s="201"/>
      <c r="NT13" s="148"/>
      <c r="NU13" s="148"/>
      <c r="NV13" s="148"/>
      <c r="NW13" s="803"/>
      <c r="NX13" s="198"/>
      <c r="NY13" s="1565"/>
      <c r="NZ13" s="148"/>
      <c r="OA13" s="148"/>
      <c r="OB13" s="148"/>
      <c r="OC13" s="147"/>
      <c r="OD13" s="201"/>
      <c r="OE13" s="148"/>
      <c r="OF13" s="148"/>
      <c r="OG13" s="148"/>
      <c r="OH13" s="803"/>
      <c r="OI13" s="5383"/>
      <c r="OJ13" s="69"/>
      <c r="OK13" s="155"/>
      <c r="OL13" s="155"/>
      <c r="OM13" s="74"/>
      <c r="ON13" s="155"/>
      <c r="OO13" s="70"/>
      <c r="OP13" s="69"/>
      <c r="OQ13" s="1565"/>
      <c r="OR13" s="148"/>
      <c r="OS13" s="148"/>
      <c r="OT13" s="148"/>
      <c r="OU13" s="147"/>
      <c r="OV13" s="225"/>
      <c r="OW13" s="147"/>
      <c r="OX13" s="148"/>
      <c r="OY13" s="148"/>
      <c r="OZ13" s="803"/>
      <c r="PA13" s="5363"/>
      <c r="PB13" s="5322"/>
      <c r="PC13" s="148"/>
      <c r="PD13" s="148"/>
      <c r="PE13" s="148"/>
      <c r="PF13" s="147"/>
      <c r="PG13" s="225"/>
      <c r="PH13" s="147"/>
      <c r="PI13" s="148"/>
      <c r="PJ13" s="148"/>
      <c r="PK13" s="803"/>
      <c r="PL13" s="198"/>
      <c r="PM13" s="5382"/>
      <c r="PN13" s="148"/>
      <c r="PO13" s="148"/>
      <c r="PP13" s="148"/>
      <c r="PQ13" s="6297"/>
      <c r="PR13" s="6298"/>
      <c r="PS13" s="148"/>
      <c r="PT13" s="148"/>
      <c r="PU13" s="148"/>
      <c r="PV13" s="803"/>
      <c r="PW13" s="5383"/>
      <c r="PX13" s="5322"/>
      <c r="PY13" s="197"/>
      <c r="PZ13" s="197"/>
      <c r="QA13" s="198"/>
      <c r="QB13" s="5382"/>
      <c r="QC13" s="148"/>
      <c r="QD13" s="148"/>
      <c r="QE13" s="148"/>
      <c r="QF13" s="6297"/>
      <c r="QG13" s="6298"/>
      <c r="QH13" s="148"/>
      <c r="QI13" s="148"/>
      <c r="QJ13" s="148"/>
      <c r="QK13" s="803"/>
      <c r="QL13" s="5383"/>
      <c r="QM13" s="5382"/>
      <c r="QN13" s="148"/>
      <c r="QO13" s="148"/>
      <c r="QP13" s="148"/>
      <c r="QQ13" s="147"/>
      <c r="QR13" s="201"/>
      <c r="QS13" s="147"/>
      <c r="QT13" s="148"/>
      <c r="QU13" s="148"/>
      <c r="QV13" s="803"/>
      <c r="QW13" s="5383"/>
      <c r="QX13" s="5382"/>
      <c r="QY13" s="148"/>
      <c r="QZ13" s="148"/>
      <c r="RA13" s="148"/>
      <c r="RB13" s="147"/>
      <c r="RC13" s="201"/>
      <c r="RD13" s="147"/>
      <c r="RE13" s="148"/>
      <c r="RF13" s="148"/>
      <c r="RG13" s="803"/>
      <c r="RH13" s="5383"/>
      <c r="RI13" s="6318"/>
      <c r="RJ13" s="197"/>
      <c r="RK13" s="197"/>
      <c r="RL13" s="5383"/>
      <c r="RM13" s="6340"/>
      <c r="RN13" s="639"/>
      <c r="RO13" s="640"/>
      <c r="RP13" s="809"/>
      <c r="RQ13" s="809"/>
      <c r="RR13" s="6341"/>
      <c r="RS13" s="6329"/>
      <c r="RT13" s="132"/>
      <c r="RU13" s="132"/>
      <c r="RV13" s="5311"/>
      <c r="RW13" s="147"/>
      <c r="RX13" s="201"/>
      <c r="RY13" s="147"/>
      <c r="RZ13" s="148"/>
      <c r="SA13" s="148"/>
      <c r="SB13" s="803"/>
      <c r="SC13" s="5383"/>
      <c r="SD13" s="5406"/>
      <c r="SE13" s="132"/>
      <c r="SF13" s="132"/>
      <c r="SG13" s="3764"/>
      <c r="SH13" s="6365"/>
      <c r="SI13" s="6366"/>
      <c r="SJ13" s="148"/>
      <c r="SK13" s="148"/>
      <c r="SL13" s="148"/>
      <c r="SM13" s="803"/>
      <c r="SN13" s="5383"/>
      <c r="SO13" s="148">
        <v>16</v>
      </c>
      <c r="SP13" s="148">
        <v>132566</v>
      </c>
      <c r="SQ13" s="148">
        <v>152981</v>
      </c>
      <c r="SR13" s="148"/>
      <c r="SS13" s="6361">
        <f>SQ13-(SP13+SR13)</f>
        <v>20415</v>
      </c>
      <c r="ST13" s="6363">
        <f>SS13/SQ13</f>
        <v>0.13344794451598566</v>
      </c>
      <c r="SU13" s="148">
        <v>0</v>
      </c>
      <c r="SV13" s="148"/>
      <c r="SW13" s="148"/>
      <c r="SX13" s="190">
        <f t="shared" si="197"/>
        <v>20415</v>
      </c>
      <c r="SY13" s="5380">
        <f>SX13/SQ13</f>
        <v>0.13344794451598566</v>
      </c>
      <c r="SZ13" s="6270"/>
      <c r="TA13" s="118">
        <f>SQ13+SF13+RU13</f>
        <v>152981</v>
      </c>
      <c r="TB13" s="118">
        <f>SS13+SH13+RW13</f>
        <v>20415</v>
      </c>
      <c r="TC13" s="5380">
        <f>TB13/TA13</f>
        <v>0.13344794451598566</v>
      </c>
      <c r="TD13" s="3618">
        <v>19</v>
      </c>
      <c r="TE13" s="1066">
        <f>479298+6032</f>
        <v>485330</v>
      </c>
      <c r="TF13" s="1066">
        <v>577703</v>
      </c>
      <c r="TG13" s="148"/>
      <c r="TH13" s="133">
        <f t="shared" si="220"/>
        <v>92373</v>
      </c>
      <c r="TI13" s="151">
        <f t="shared" si="221"/>
        <v>0.15989704052082127</v>
      </c>
      <c r="TJ13" s="148">
        <v>0</v>
      </c>
      <c r="TK13" s="148">
        <v>0</v>
      </c>
      <c r="TL13" s="148">
        <v>0</v>
      </c>
      <c r="TM13" s="190">
        <f t="shared" si="222"/>
        <v>92373</v>
      </c>
      <c r="TN13" s="5380">
        <f t="shared" si="223"/>
        <v>0.15989704052082127</v>
      </c>
      <c r="TO13" s="148"/>
      <c r="TP13" s="148"/>
      <c r="TQ13" s="148"/>
      <c r="TR13" s="148"/>
      <c r="TS13" s="147"/>
      <c r="TT13" s="201"/>
      <c r="TU13" s="148"/>
      <c r="TV13" s="148"/>
      <c r="TW13" s="148"/>
      <c r="TX13" s="803"/>
      <c r="TY13" s="198"/>
      <c r="TZ13" s="1565"/>
      <c r="UA13" s="148"/>
      <c r="UB13" s="148"/>
      <c r="UC13" s="148"/>
      <c r="UD13" s="147"/>
      <c r="UE13" s="201"/>
      <c r="UF13" s="148"/>
      <c r="UG13" s="148"/>
      <c r="UH13" s="148"/>
      <c r="UI13" s="803"/>
      <c r="UJ13" s="5383"/>
      <c r="UK13" s="6318"/>
      <c r="UL13" s="197"/>
      <c r="UM13" s="197"/>
      <c r="UN13" s="198"/>
      <c r="UO13" s="197"/>
      <c r="UP13" s="5383"/>
    </row>
    <row r="14" spans="1:567" s="577" customFormat="1" x14ac:dyDescent="0.3">
      <c r="A14" s="5318"/>
      <c r="B14" s="5364"/>
      <c r="C14" s="1389"/>
      <c r="D14" s="1389"/>
      <c r="E14" s="6280"/>
      <c r="F14" s="1390"/>
      <c r="G14" s="1391"/>
      <c r="H14" s="1391"/>
      <c r="I14" s="1391"/>
      <c r="J14" s="1392"/>
      <c r="K14" s="1393"/>
      <c r="L14" s="1391"/>
      <c r="M14" s="1391"/>
      <c r="N14" s="1391"/>
      <c r="O14" s="1394"/>
      <c r="P14" s="1393"/>
      <c r="Q14" s="1391"/>
      <c r="R14" s="1391"/>
      <c r="S14" s="1391"/>
      <c r="T14" s="1395"/>
      <c r="U14" s="1396"/>
      <c r="V14" s="1394"/>
      <c r="W14" s="1394"/>
      <c r="X14" s="1394"/>
      <c r="Y14" s="1394"/>
      <c r="Z14" s="1397"/>
      <c r="AA14" s="1394"/>
      <c r="AB14" s="1394"/>
      <c r="AC14" s="1394"/>
      <c r="AD14" s="1394"/>
      <c r="AE14" s="1366"/>
      <c r="AF14" s="1394"/>
      <c r="AG14" s="1398"/>
      <c r="AH14" s="1399"/>
      <c r="AI14" s="1399"/>
      <c r="AJ14" s="1399"/>
      <c r="AK14" s="1400"/>
      <c r="AL14" s="742"/>
      <c r="AM14" s="1401"/>
      <c r="AN14" s="1402"/>
      <c r="AO14" s="1402"/>
      <c r="AP14" s="1402"/>
      <c r="AQ14" s="1402"/>
      <c r="AR14" s="742"/>
      <c r="AS14" s="1398"/>
      <c r="AT14" s="1403"/>
      <c r="AU14" s="1402"/>
      <c r="AV14" s="1402"/>
      <c r="AW14" s="742"/>
      <c r="AX14" s="1385"/>
      <c r="AY14" s="1404"/>
      <c r="AZ14" s="1404"/>
      <c r="BA14" s="1404"/>
      <c r="BB14" s="1405"/>
      <c r="BC14" s="1511"/>
      <c r="BD14" s="1366"/>
      <c r="BE14" s="1366"/>
      <c r="BF14" s="1366"/>
      <c r="BG14" s="1366"/>
      <c r="BH14" s="1367"/>
      <c r="BI14" s="1511"/>
      <c r="BJ14" s="1366"/>
      <c r="BK14" s="1366"/>
      <c r="BL14" s="1366"/>
      <c r="BM14" s="1366"/>
      <c r="BN14" s="1367"/>
      <c r="BO14" s="1368"/>
      <c r="BP14" s="1366"/>
      <c r="BQ14" s="1366"/>
      <c r="BR14" s="1366"/>
      <c r="BS14" s="1366"/>
      <c r="BT14" s="1369"/>
      <c r="BU14" s="1368"/>
      <c r="BV14" s="1370"/>
      <c r="BW14" s="1370"/>
      <c r="BX14" s="1371"/>
      <c r="BY14" s="1383"/>
      <c r="BZ14" s="1384"/>
      <c r="CA14" s="1384"/>
      <c r="CB14" s="1384"/>
      <c r="CC14" s="1406"/>
      <c r="CD14" s="1407"/>
      <c r="CE14" s="1408"/>
      <c r="CF14" s="1409"/>
      <c r="CG14" s="1409"/>
      <c r="CH14" s="1409"/>
      <c r="CI14" s="1409"/>
      <c r="CJ14" s="1407"/>
      <c r="CK14" s="1410"/>
      <c r="CL14" s="1411"/>
      <c r="CM14" s="1411"/>
      <c r="CN14" s="1411"/>
      <c r="CO14" s="1412"/>
      <c r="CP14" s="1413"/>
      <c r="CQ14" s="1414"/>
      <c r="CR14" s="1414"/>
      <c r="CS14" s="1414"/>
      <c r="CT14" s="1414"/>
      <c r="CU14" s="1414"/>
      <c r="CV14" s="1415"/>
      <c r="CW14" s="1401"/>
      <c r="CX14" s="1402"/>
      <c r="CY14" s="1402"/>
      <c r="CZ14" s="1402"/>
      <c r="DA14" s="1416"/>
      <c r="DB14" s="742"/>
      <c r="DC14" s="1417"/>
      <c r="DD14" s="1418"/>
      <c r="DE14" s="1402"/>
      <c r="DF14" s="1402"/>
      <c r="DG14" s="1419"/>
      <c r="DH14" s="1420"/>
      <c r="DI14" s="1421"/>
      <c r="DJ14" s="1422"/>
      <c r="DK14" s="1422"/>
      <c r="DL14" s="1374"/>
      <c r="DM14" s="1422"/>
      <c r="DN14" s="1374"/>
      <c r="DO14" s="1423"/>
      <c r="DP14" s="1424"/>
      <c r="DQ14" s="1424"/>
      <c r="DR14" s="1424"/>
      <c r="DS14" s="1405"/>
      <c r="DT14" s="1405"/>
      <c r="DU14" s="1405"/>
      <c r="DV14" s="1380"/>
      <c r="DW14" s="1423"/>
      <c r="DX14" s="1425"/>
      <c r="DY14" s="1425"/>
      <c r="DZ14" s="1425"/>
      <c r="EA14" s="1405"/>
      <c r="EB14" s="1405"/>
      <c r="EC14" s="1405"/>
      <c r="ED14" s="1380"/>
      <c r="EE14" s="1387"/>
      <c r="EF14" s="1388"/>
      <c r="EG14" s="1388"/>
      <c r="EH14" s="1402"/>
      <c r="EI14" s="1416"/>
      <c r="EJ14" s="742"/>
      <c r="EK14" s="1417"/>
      <c r="EL14" s="1418"/>
      <c r="EM14" s="1402"/>
      <c r="EN14" s="1402"/>
      <c r="EO14" s="1419"/>
      <c r="EP14" s="742"/>
      <c r="EQ14" s="1387"/>
      <c r="ER14" s="1384"/>
      <c r="ES14" s="1384"/>
      <c r="ET14" s="1402"/>
      <c r="EU14" s="1386"/>
      <c r="EV14" s="742"/>
      <c r="EW14" s="1417"/>
      <c r="EX14" s="1418"/>
      <c r="EY14" s="1402"/>
      <c r="EZ14" s="1419"/>
      <c r="FA14" s="1419"/>
      <c r="FB14" s="742"/>
      <c r="FC14" s="1372"/>
      <c r="FD14" s="1373"/>
      <c r="FE14" s="1373"/>
      <c r="FF14" s="1373"/>
      <c r="FG14" s="1374"/>
      <c r="FH14" s="1374"/>
      <c r="FI14" s="1374"/>
      <c r="FJ14" s="1375"/>
      <c r="FK14" s="1426"/>
      <c r="FL14" s="1386"/>
      <c r="FM14" s="1386"/>
      <c r="FN14" s="1386"/>
      <c r="FO14" s="1386"/>
      <c r="FP14" s="1405"/>
      <c r="FQ14" s="1426"/>
      <c r="FR14" s="1386"/>
      <c r="FS14" s="1386"/>
      <c r="FT14" s="1379"/>
      <c r="FU14" s="1380"/>
      <c r="FV14" s="1427"/>
      <c r="FW14" s="1379"/>
      <c r="FX14" s="1379"/>
      <c r="FY14" s="1379"/>
      <c r="FZ14" s="1379"/>
      <c r="GA14" s="1405"/>
      <c r="GB14" s="1405"/>
      <c r="GC14" s="1405"/>
      <c r="GD14" s="1380"/>
      <c r="GE14" s="1376"/>
      <c r="GF14" s="1377"/>
      <c r="GG14" s="1377"/>
      <c r="GH14" s="1374"/>
      <c r="GI14" s="1378"/>
      <c r="GJ14" s="1376"/>
      <c r="GK14" s="1377"/>
      <c r="GL14" s="1377"/>
      <c r="GM14" s="1378"/>
      <c r="GN14" s="1426"/>
      <c r="GO14" s="1386"/>
      <c r="GP14" s="1386"/>
      <c r="GQ14" s="1386"/>
      <c r="GR14" s="1386"/>
      <c r="GS14" s="1405"/>
      <c r="GT14" s="1426"/>
      <c r="GU14" s="1386"/>
      <c r="GV14" s="1386"/>
      <c r="GW14" s="1386"/>
      <c r="GX14" s="1427"/>
      <c r="GY14" s="1380"/>
      <c r="GZ14" s="1428"/>
      <c r="HA14" s="1402"/>
      <c r="HB14" s="1402"/>
      <c r="HC14" s="1402"/>
      <c r="HD14" s="1386"/>
      <c r="HE14" s="1380"/>
      <c r="HF14" s="1417"/>
      <c r="HG14" s="1402"/>
      <c r="HH14" s="1402"/>
      <c r="HI14" s="1402"/>
      <c r="HJ14" s="1379"/>
      <c r="HK14" s="1380"/>
      <c r="HL14" s="1385"/>
      <c r="HM14" s="1386"/>
      <c r="HN14" s="1386"/>
      <c r="HO14" s="1386"/>
      <c r="HP14" s="1381"/>
      <c r="HQ14" s="1380"/>
      <c r="HR14" s="1426"/>
      <c r="HS14" s="1386"/>
      <c r="HT14" s="1386"/>
      <c r="HU14" s="1386"/>
      <c r="HV14" s="1379"/>
      <c r="HW14" s="1380"/>
      <c r="HX14" s="1429"/>
      <c r="HY14" s="1404"/>
      <c r="HZ14" s="1430"/>
      <c r="IA14" s="1405"/>
      <c r="IB14" s="1430"/>
      <c r="IC14" s="1422"/>
      <c r="ID14" s="1421"/>
      <c r="IE14" s="141">
        <f>HY14+GF14+DJ14+BV14</f>
        <v>0</v>
      </c>
      <c r="IF14" s="141">
        <f>HZ14+GG14+DK14+BW14</f>
        <v>0</v>
      </c>
      <c r="IG14" s="141">
        <v>0</v>
      </c>
      <c r="IH14" s="1508"/>
      <c r="II14" s="1382"/>
      <c r="IJ14" s="1426"/>
      <c r="IK14" s="1386"/>
      <c r="IL14" s="1386"/>
      <c r="IM14" s="1386"/>
      <c r="IN14" s="1426"/>
      <c r="IO14" s="1380"/>
      <c r="IP14" s="1426"/>
      <c r="IQ14" s="1386"/>
      <c r="IR14" s="1386"/>
      <c r="IS14" s="1427"/>
      <c r="IT14" s="1380"/>
      <c r="IU14" s="1431"/>
      <c r="IV14" s="1386"/>
      <c r="IW14" s="1386"/>
      <c r="IX14" s="1386"/>
      <c r="IY14" s="1426"/>
      <c r="IZ14" s="1380"/>
      <c r="JA14" s="1426"/>
      <c r="JB14" s="1386"/>
      <c r="JC14" s="1386"/>
      <c r="JD14" s="1427"/>
      <c r="JE14" s="1380"/>
      <c r="JF14" s="1431"/>
      <c r="JG14" s="1386"/>
      <c r="JH14" s="1386"/>
      <c r="JI14" s="1386"/>
      <c r="JJ14" s="1426"/>
      <c r="JK14" s="1380"/>
      <c r="JL14" s="1426"/>
      <c r="JM14" s="1386"/>
      <c r="JN14" s="1386"/>
      <c r="JO14" s="1427"/>
      <c r="JP14" s="1380"/>
      <c r="JQ14" s="1431"/>
      <c r="JR14" s="1379"/>
      <c r="JS14" s="1379"/>
      <c r="JT14" s="1380"/>
      <c r="JU14" s="1431"/>
      <c r="JV14" s="1386"/>
      <c r="JW14" s="1386"/>
      <c r="JX14" s="1386"/>
      <c r="JY14" s="1426"/>
      <c r="JZ14" s="1380"/>
      <c r="KA14" s="1426"/>
      <c r="KB14" s="1386"/>
      <c r="KC14" s="1386"/>
      <c r="KD14" s="1427"/>
      <c r="KE14" s="1380"/>
      <c r="KF14" s="1431"/>
      <c r="KG14" s="1386"/>
      <c r="KH14" s="1386"/>
      <c r="KI14" s="1386"/>
      <c r="KJ14" s="1426"/>
      <c r="KK14" s="1380"/>
      <c r="KL14" s="1426"/>
      <c r="KM14" s="1386"/>
      <c r="KN14" s="1386"/>
      <c r="KO14" s="1427"/>
      <c r="KP14" s="1380"/>
      <c r="KQ14" s="1431"/>
      <c r="KR14" s="1386"/>
      <c r="KS14" s="1386"/>
      <c r="KT14" s="1386"/>
      <c r="KU14" s="1426"/>
      <c r="KV14" s="1380"/>
      <c r="KW14" s="1426"/>
      <c r="KX14" s="1386"/>
      <c r="KY14" s="1386"/>
      <c r="KZ14" s="1427"/>
      <c r="LA14" s="1380"/>
      <c r="LB14" s="1432"/>
      <c r="LC14" s="1379"/>
      <c r="LD14" s="1379"/>
      <c r="LE14" s="1380"/>
      <c r="LF14" s="1387"/>
      <c r="LG14" s="1419"/>
      <c r="LH14" s="1433"/>
      <c r="LI14" s="1434"/>
      <c r="LJ14" s="1434"/>
      <c r="LK14" s="1435"/>
      <c r="LL14" s="1431"/>
      <c r="LM14" s="1386"/>
      <c r="LN14" s="1386"/>
      <c r="LO14" s="1386"/>
      <c r="LP14" s="1426"/>
      <c r="LQ14" s="1380"/>
      <c r="LR14" s="1426"/>
      <c r="LS14" s="1386"/>
      <c r="LT14" s="1386"/>
      <c r="LU14" s="1427"/>
      <c r="LV14" s="1380"/>
      <c r="LW14" s="1386"/>
      <c r="LX14" s="1386"/>
      <c r="LY14" s="1386"/>
      <c r="LZ14" s="1386"/>
      <c r="MA14" s="1426"/>
      <c r="MB14" s="1380"/>
      <c r="MC14" s="1386"/>
      <c r="MD14" s="1386"/>
      <c r="ME14" s="1386"/>
      <c r="MF14" s="1427"/>
      <c r="MG14" s="1380"/>
      <c r="MH14" s="1386"/>
      <c r="MI14" s="1386"/>
      <c r="MJ14" s="1386"/>
      <c r="MK14" s="1386"/>
      <c r="ML14" s="1426"/>
      <c r="MM14" s="1380"/>
      <c r="MN14" s="1386"/>
      <c r="MO14" s="1386"/>
      <c r="MP14" s="1386"/>
      <c r="MQ14" s="1427"/>
      <c r="MR14" s="1380"/>
      <c r="MS14" s="1470"/>
      <c r="MT14" s="1448"/>
      <c r="MU14" s="1448"/>
      <c r="MV14" s="1449"/>
      <c r="MW14" s="147"/>
      <c r="MX14" s="148"/>
      <c r="MY14" s="148"/>
      <c r="MZ14" s="198"/>
      <c r="NA14" s="198"/>
      <c r="NB14" s="201"/>
      <c r="NC14" s="1386"/>
      <c r="ND14" s="1386"/>
      <c r="NE14" s="1386"/>
      <c r="NF14" s="1386"/>
      <c r="NG14" s="1426"/>
      <c r="NH14" s="1380"/>
      <c r="NI14" s="1386"/>
      <c r="NJ14" s="1386"/>
      <c r="NK14" s="1386"/>
      <c r="NL14" s="1427"/>
      <c r="NM14" s="1405"/>
      <c r="NN14" s="1564"/>
      <c r="NO14" s="1386"/>
      <c r="NP14" s="1386"/>
      <c r="NQ14" s="1386"/>
      <c r="NR14" s="1426"/>
      <c r="NS14" s="1380"/>
      <c r="NT14" s="1386"/>
      <c r="NU14" s="1386"/>
      <c r="NV14" s="1386"/>
      <c r="NW14" s="1427"/>
      <c r="NX14" s="1405"/>
      <c r="NY14" s="1564"/>
      <c r="NZ14" s="1386"/>
      <c r="OA14" s="1386"/>
      <c r="OB14" s="1386"/>
      <c r="OC14" s="1426"/>
      <c r="OD14" s="1380"/>
      <c r="OE14" s="1386"/>
      <c r="OF14" s="1386"/>
      <c r="OG14" s="1386"/>
      <c r="OH14" s="1427"/>
      <c r="OI14" s="5385"/>
      <c r="OJ14" s="1382"/>
      <c r="OK14" s="155">
        <f>OA14+NP14+NE14+MJ14+LY14+LN14+KS14+KH14+JW14+JG14+IW14+IL14</f>
        <v>0</v>
      </c>
      <c r="OL14" s="155">
        <f>OC14+NR14+NG14+ML14+MA14+LP14+KU14+KJ14+JY14+JI14+IY14+IN14</f>
        <v>0</v>
      </c>
      <c r="OM14" s="74">
        <v>0</v>
      </c>
      <c r="ON14" s="155">
        <f>OH14+NW14+NL14+MQ14+MF14+LU14+KZ14+KO14+KD14+JN14+JD14+IS14</f>
        <v>0</v>
      </c>
      <c r="OO14" s="1658"/>
      <c r="OP14" s="1382"/>
      <c r="OQ14" s="1564"/>
      <c r="OR14" s="1386"/>
      <c r="OS14" s="1386"/>
      <c r="OT14" s="1386"/>
      <c r="OU14" s="1426"/>
      <c r="OV14" s="1395"/>
      <c r="OW14" s="1426"/>
      <c r="OX14" s="1386"/>
      <c r="OY14" s="1386"/>
      <c r="OZ14" s="1427"/>
      <c r="PA14" s="5365"/>
      <c r="PB14" s="5323"/>
      <c r="PC14" s="1386"/>
      <c r="PD14" s="1386"/>
      <c r="PE14" s="1386"/>
      <c r="PF14" s="1426"/>
      <c r="PG14" s="1395"/>
      <c r="PH14" s="1426"/>
      <c r="PI14" s="1386"/>
      <c r="PJ14" s="1386"/>
      <c r="PK14" s="1427"/>
      <c r="PL14" s="1405"/>
      <c r="PM14" s="5384"/>
      <c r="PN14" s="1386"/>
      <c r="PO14" s="1386"/>
      <c r="PP14" s="1386"/>
      <c r="PQ14" s="6299"/>
      <c r="PR14" s="6300"/>
      <c r="PS14" s="1386"/>
      <c r="PT14" s="1386"/>
      <c r="PU14" s="1386"/>
      <c r="PV14" s="1427"/>
      <c r="PW14" s="5385"/>
      <c r="PX14" s="5323"/>
      <c r="PY14" s="1379"/>
      <c r="PZ14" s="1379"/>
      <c r="QA14" s="1405"/>
      <c r="QB14" s="5384"/>
      <c r="QC14" s="1386"/>
      <c r="QD14" s="1386"/>
      <c r="QE14" s="1386"/>
      <c r="QF14" s="6299"/>
      <c r="QG14" s="6300"/>
      <c r="QH14" s="1386"/>
      <c r="QI14" s="1386"/>
      <c r="QJ14" s="1386"/>
      <c r="QK14" s="1427"/>
      <c r="QL14" s="5385"/>
      <c r="QM14" s="5384"/>
      <c r="QN14" s="1386"/>
      <c r="QO14" s="1386"/>
      <c r="QP14" s="1386"/>
      <c r="QQ14" s="1426"/>
      <c r="QR14" s="1380"/>
      <c r="QS14" s="1426"/>
      <c r="QT14" s="1386"/>
      <c r="QU14" s="1386"/>
      <c r="QV14" s="1427"/>
      <c r="QW14" s="5385"/>
      <c r="QX14" s="5384"/>
      <c r="QY14" s="1386"/>
      <c r="QZ14" s="1386"/>
      <c r="RA14" s="1386"/>
      <c r="RB14" s="1426"/>
      <c r="RC14" s="1380"/>
      <c r="RD14" s="1426"/>
      <c r="RE14" s="1386"/>
      <c r="RF14" s="1386"/>
      <c r="RG14" s="1427"/>
      <c r="RH14" s="5385"/>
      <c r="RI14" s="6319"/>
      <c r="RJ14" s="1379"/>
      <c r="RK14" s="1379"/>
      <c r="RL14" s="5385"/>
      <c r="RM14" s="6342"/>
      <c r="RN14" s="1419"/>
      <c r="RO14" s="1433"/>
      <c r="RP14" s="1434"/>
      <c r="RQ14" s="1434"/>
      <c r="RR14" s="6343"/>
      <c r="RS14" s="6330"/>
      <c r="RT14" s="1402"/>
      <c r="RU14" s="1402"/>
      <c r="RV14" s="5312"/>
      <c r="RW14" s="1426"/>
      <c r="RX14" s="1380"/>
      <c r="RY14" s="1426"/>
      <c r="RZ14" s="1386"/>
      <c r="SA14" s="1386"/>
      <c r="SB14" s="1427"/>
      <c r="SC14" s="5385"/>
      <c r="SD14" s="5407"/>
      <c r="SE14" s="1402"/>
      <c r="SF14" s="1402"/>
      <c r="SG14" s="1418"/>
      <c r="SH14" s="6367"/>
      <c r="SI14" s="6368"/>
      <c r="SJ14" s="1386"/>
      <c r="SK14" s="1386"/>
      <c r="SL14" s="1386"/>
      <c r="SM14" s="1427"/>
      <c r="SN14" s="5385"/>
      <c r="SO14" s="1386"/>
      <c r="SP14" s="1386"/>
      <c r="SQ14" s="1386"/>
      <c r="SR14" s="1386"/>
      <c r="SS14" s="6367"/>
      <c r="ST14" s="6368"/>
      <c r="SU14" s="1386"/>
      <c r="SV14" s="1386"/>
      <c r="SW14" s="1386"/>
      <c r="SX14" s="1427"/>
      <c r="SY14" s="5385"/>
      <c r="SZ14" s="6272"/>
      <c r="TA14" s="1448"/>
      <c r="TB14" s="1448"/>
      <c r="TC14" s="6453"/>
      <c r="TD14" s="1564"/>
      <c r="TE14" s="1386"/>
      <c r="TF14" s="1386"/>
      <c r="TG14" s="1386"/>
      <c r="TH14" s="1426"/>
      <c r="TI14" s="1380"/>
      <c r="TJ14" s="1386"/>
      <c r="TK14" s="1386"/>
      <c r="TL14" s="1386"/>
      <c r="TM14" s="1427"/>
      <c r="TN14" s="5385"/>
      <c r="TO14" s="1386"/>
      <c r="TP14" s="1386"/>
      <c r="TQ14" s="1386"/>
      <c r="TR14" s="1386"/>
      <c r="TS14" s="1426"/>
      <c r="TT14" s="1380"/>
      <c r="TU14" s="1386"/>
      <c r="TV14" s="1386"/>
      <c r="TW14" s="1386"/>
      <c r="TX14" s="1427"/>
      <c r="TY14" s="1405"/>
      <c r="TZ14" s="1564"/>
      <c r="UA14" s="1386"/>
      <c r="UB14" s="1386"/>
      <c r="UC14" s="1386"/>
      <c r="UD14" s="1426"/>
      <c r="UE14" s="1380"/>
      <c r="UF14" s="1386"/>
      <c r="UG14" s="1386"/>
      <c r="UH14" s="1386"/>
      <c r="UI14" s="1427"/>
      <c r="UJ14" s="5385"/>
      <c r="UK14" s="6419"/>
      <c r="UL14" s="193"/>
      <c r="UM14" s="193"/>
      <c r="UN14" s="153"/>
      <c r="UO14" s="193"/>
      <c r="UP14" s="6420"/>
    </row>
    <row r="15" spans="1:567" s="4139" customFormat="1" ht="16.7" customHeight="1" x14ac:dyDescent="0.3">
      <c r="A15" s="5585"/>
      <c r="B15" s="5366"/>
      <c r="C15" s="4161"/>
      <c r="D15" s="4161"/>
      <c r="E15" s="6281" t="s">
        <v>168</v>
      </c>
      <c r="F15" s="4185">
        <f t="shared" ref="F15:T15" si="224">SUM(F5:F14)</f>
        <v>1077</v>
      </c>
      <c r="G15" s="4185">
        <f t="shared" si="224"/>
        <v>70327332</v>
      </c>
      <c r="H15" s="4185">
        <f t="shared" si="224"/>
        <v>82310454</v>
      </c>
      <c r="I15" s="4185">
        <f t="shared" si="224"/>
        <v>11715483</v>
      </c>
      <c r="J15" s="4187">
        <f t="shared" si="224"/>
        <v>0.84222446597759315</v>
      </c>
      <c r="K15" s="4186">
        <f t="shared" si="224"/>
        <v>1292.3333333333335</v>
      </c>
      <c r="L15" s="4185">
        <f t="shared" si="224"/>
        <v>87583648</v>
      </c>
      <c r="M15" s="4185">
        <f t="shared" si="224"/>
        <v>102003055</v>
      </c>
      <c r="N15" s="4185">
        <f t="shared" si="224"/>
        <v>14106602</v>
      </c>
      <c r="O15" s="4187">
        <f t="shared" si="224"/>
        <v>0</v>
      </c>
      <c r="P15" s="4186">
        <f t="shared" si="224"/>
        <v>1381.3333333333333</v>
      </c>
      <c r="Q15" s="4185">
        <f t="shared" si="224"/>
        <v>93560697</v>
      </c>
      <c r="R15" s="4185">
        <f t="shared" si="224"/>
        <v>107261392</v>
      </c>
      <c r="S15" s="4185">
        <f t="shared" si="224"/>
        <v>13394149</v>
      </c>
      <c r="T15" s="4187">
        <f t="shared" si="224"/>
        <v>0</v>
      </c>
      <c r="U15" s="4159"/>
      <c r="V15" s="4161"/>
      <c r="W15" s="4161"/>
      <c r="X15" s="4161"/>
      <c r="Y15" s="4161"/>
      <c r="Z15" s="4163"/>
      <c r="AA15" s="4161"/>
      <c r="AB15" s="4161"/>
      <c r="AC15" s="4161"/>
      <c r="AD15" s="4161"/>
      <c r="AE15" s="4164"/>
      <c r="AF15" s="4161"/>
      <c r="AG15" s="4165"/>
      <c r="AH15" s="4166"/>
      <c r="AI15" s="4166"/>
      <c r="AJ15" s="4166"/>
      <c r="AK15" s="4167"/>
      <c r="AL15" s="4168"/>
      <c r="AM15" s="4169"/>
      <c r="AN15" s="4170"/>
      <c r="AO15" s="4170"/>
      <c r="AP15" s="4170"/>
      <c r="AQ15" s="4170"/>
      <c r="AR15" s="4168"/>
      <c r="AS15" s="4186">
        <f t="shared" ref="AS15:BG15" si="225">SUM(AS5:AS14)</f>
        <v>1403</v>
      </c>
      <c r="AT15" s="4185">
        <f t="shared" si="225"/>
        <v>91919123</v>
      </c>
      <c r="AU15" s="4185">
        <f t="shared" si="225"/>
        <v>104503210.95</v>
      </c>
      <c r="AV15" s="4185">
        <f t="shared" si="225"/>
        <v>12150729.949999999</v>
      </c>
      <c r="AW15" s="4187">
        <f t="shared" si="225"/>
        <v>1.0728425916107942</v>
      </c>
      <c r="AX15" s="4173">
        <f t="shared" si="225"/>
        <v>1403</v>
      </c>
      <c r="AY15" s="4164">
        <f t="shared" si="225"/>
        <v>343390800</v>
      </c>
      <c r="AZ15" s="4164">
        <f t="shared" si="225"/>
        <v>396078111.94999999</v>
      </c>
      <c r="BA15" s="4164">
        <f t="shared" si="225"/>
        <v>51366963.950000003</v>
      </c>
      <c r="BB15" s="4164">
        <f t="shared" si="225"/>
        <v>1.051070070564295</v>
      </c>
      <c r="BC15" s="4173">
        <f t="shared" si="225"/>
        <v>1377</v>
      </c>
      <c r="BD15" s="4164">
        <f t="shared" si="225"/>
        <v>30748285</v>
      </c>
      <c r="BE15" s="4164">
        <f t="shared" si="225"/>
        <v>36018809.049999997</v>
      </c>
      <c r="BF15" s="4164">
        <f t="shared" si="225"/>
        <v>125933</v>
      </c>
      <c r="BG15" s="4164">
        <f t="shared" si="225"/>
        <v>5144591.05</v>
      </c>
      <c r="BH15" s="4174"/>
      <c r="BI15" s="4173">
        <f>SUM(BI5:BI14)</f>
        <v>1349</v>
      </c>
      <c r="BJ15" s="4164">
        <f>SUM(BJ5:BJ14)</f>
        <v>31695584</v>
      </c>
      <c r="BK15" s="4164">
        <f>SUM(BK5:BK14)</f>
        <v>35459617</v>
      </c>
      <c r="BL15" s="4164">
        <f>SUM(BL5:BL14)</f>
        <v>135397</v>
      </c>
      <c r="BM15" s="4164">
        <f>SUM(BM5:BM14)</f>
        <v>3628636</v>
      </c>
      <c r="BN15" s="4174"/>
      <c r="BO15" s="4175">
        <f>SUM(BO5:BO14)</f>
        <v>1356</v>
      </c>
      <c r="BP15" s="4164">
        <f>SUM(BP5:BP14)</f>
        <v>32355673</v>
      </c>
      <c r="BQ15" s="4164">
        <f>SUM(BQ5:BQ14)</f>
        <v>36989469</v>
      </c>
      <c r="BR15" s="4164">
        <f>SUM(BR5:BR14)</f>
        <v>98767</v>
      </c>
      <c r="BS15" s="4164">
        <f>SUM(BS5:BS14)</f>
        <v>4535029</v>
      </c>
      <c r="BT15" s="4176"/>
      <c r="BU15" s="4164">
        <f>SUM(BU5:BU14)</f>
        <v>1356</v>
      </c>
      <c r="BV15" s="4164">
        <f>SUM(BV5:BV14)</f>
        <v>108467895.05</v>
      </c>
      <c r="BW15" s="4164">
        <f>SUM(BW5:BW14)</f>
        <v>13308256.050000001</v>
      </c>
      <c r="BX15" s="4172"/>
      <c r="BY15" s="4175">
        <f>SUM(BY5:BY14)</f>
        <v>1415</v>
      </c>
      <c r="BZ15" s="4164">
        <f>SUM(BZ5:BZ14)</f>
        <v>33207936</v>
      </c>
      <c r="CA15" s="4164">
        <f>SUM(CA5:CA14)</f>
        <v>37041867</v>
      </c>
      <c r="CB15" s="4164">
        <f>SUM(CB5:CB14)</f>
        <v>121102</v>
      </c>
      <c r="CC15" s="4164">
        <f>SUM(CC5:CC14)</f>
        <v>3712829</v>
      </c>
      <c r="CD15" s="4177">
        <f>CC15/CA15</f>
        <v>0.1002333116740579</v>
      </c>
      <c r="CE15" s="4175">
        <f>SUM(CE5:CE14)</f>
        <v>1416483.05</v>
      </c>
      <c r="CF15" s="4164">
        <f>SUM(CF5:CF14)</f>
        <v>1882448</v>
      </c>
      <c r="CG15" s="4164">
        <f>SUM(CG5:CG14)</f>
        <v>0</v>
      </c>
      <c r="CH15" s="4164">
        <f>SUM(CH5:CH14)</f>
        <v>520128.40384615381</v>
      </c>
      <c r="CI15" s="4164">
        <f>SUM(CI5:CI14)</f>
        <v>-106230.45384615392</v>
      </c>
      <c r="CJ15" s="4177"/>
      <c r="CK15" s="4175">
        <f>SUM(CK5:CK14)</f>
        <v>1411</v>
      </c>
      <c r="CL15" s="4164">
        <f>SUM(CL5:CL14)</f>
        <v>33071109</v>
      </c>
      <c r="CM15" s="4164">
        <f>SUM(CM5:CM14)</f>
        <v>37127355</v>
      </c>
      <c r="CN15" s="4164">
        <f>SUM(CN5:CN14)</f>
        <v>183208</v>
      </c>
      <c r="CO15" s="4164">
        <f>SUM(CO5:CO14)</f>
        <v>3873038</v>
      </c>
      <c r="CP15" s="4168">
        <f>CO15/CM15</f>
        <v>0.1043176385713445</v>
      </c>
      <c r="CQ15" s="4175">
        <f>SUM(CQ5:CQ14)</f>
        <v>1265692.3333333335</v>
      </c>
      <c r="CR15" s="4164">
        <f>SUM(CR5:CR14)</f>
        <v>1263321.6384615386</v>
      </c>
      <c r="CS15" s="4164">
        <f>SUM(CS5:CS14)</f>
        <v>0</v>
      </c>
      <c r="CT15" s="4164">
        <f>SUM(CT5:CT14)</f>
        <v>1029708.3044230768</v>
      </c>
      <c r="CU15" s="4164">
        <f>SUM(CU5:CU14)</f>
        <v>314315.72378205141</v>
      </c>
      <c r="CV15" s="4172"/>
      <c r="CW15" s="4175">
        <f>SUM(CW5:CW14)</f>
        <v>1429</v>
      </c>
      <c r="CX15" s="4164">
        <f>SUM(CX5:CX14)</f>
        <v>33380500</v>
      </c>
      <c r="CY15" s="4164">
        <f>SUM(CY5:CY14)</f>
        <v>37439183.799999997</v>
      </c>
      <c r="CZ15" s="4164">
        <f>SUM(CZ5:CZ14)</f>
        <v>240352</v>
      </c>
      <c r="DA15" s="4164">
        <f>SUM(DA5:DA14)</f>
        <v>3818331.8</v>
      </c>
      <c r="DB15" s="4168">
        <f>DA15/CY15</f>
        <v>0.10198758125704653</v>
      </c>
      <c r="DC15" s="4175">
        <f>SUM(DC5:DC14)</f>
        <v>934158</v>
      </c>
      <c r="DD15" s="4164">
        <f>SUM(DD5:DD14)</f>
        <v>1499148.499999997</v>
      </c>
      <c r="DE15" s="4164">
        <f>SUM(DE5:DE14)</f>
        <v>0</v>
      </c>
      <c r="DF15" s="4164">
        <f>SUM(DF5:DF14)</f>
        <v>1333035.1489583356</v>
      </c>
      <c r="DG15" s="4164">
        <f>SUM(DG5:DG14)</f>
        <v>51990.151041667152</v>
      </c>
      <c r="DH15" s="4178"/>
      <c r="DI15" s="4175">
        <f>SUM(DI5:DI14)</f>
        <v>1418.3333333333333</v>
      </c>
      <c r="DJ15" s="4164">
        <f>SUM(DJ5:DJ14)</f>
        <v>111608405.8</v>
      </c>
      <c r="DK15" s="4164">
        <f>SUM(DK5:DK14)</f>
        <v>11404198.800000001</v>
      </c>
      <c r="DL15" s="4164">
        <f>SUM(DL5:DL14)</f>
        <v>0.91112054412041221</v>
      </c>
      <c r="DM15" s="4164">
        <f>SUM(DM5:DM14)</f>
        <v>260075.42097756464</v>
      </c>
      <c r="DN15" s="4168">
        <f>DM15/DK15</f>
        <v>2.2805233891359789E-2</v>
      </c>
      <c r="DO15" s="4175">
        <f>SUM(DO5:DO14)</f>
        <v>26</v>
      </c>
      <c r="DP15" s="4164">
        <f>SUM(DP5:DP14)</f>
        <v>2106677</v>
      </c>
      <c r="DQ15" s="4164">
        <f>SUM(DQ5:DQ14)</f>
        <v>1451758.8</v>
      </c>
      <c r="DR15" s="4164">
        <f>SUM(DR5:DR14)</f>
        <v>-764327.2</v>
      </c>
      <c r="DS15" s="4164"/>
      <c r="DT15" s="4172"/>
      <c r="DU15" s="4172"/>
      <c r="DV15" s="4179"/>
      <c r="DW15" s="4175">
        <f>SUM(DW5:DW14)</f>
        <v>18</v>
      </c>
      <c r="DX15" s="4164">
        <f>SUM(DX5:DX14)</f>
        <v>311828.8</v>
      </c>
      <c r="DY15" s="4164">
        <f>SUM(DY5:DY14)</f>
        <v>-54706.200000000012</v>
      </c>
      <c r="DZ15" s="4164">
        <f>SUM(DZ5:DZ14)</f>
        <v>-262325.5727403842</v>
      </c>
      <c r="EA15" s="4172"/>
      <c r="EB15" s="4172"/>
      <c r="EC15" s="4172"/>
      <c r="ED15" s="4179"/>
      <c r="EE15" s="4175">
        <f>SUM(EE5:EE14)</f>
        <v>1433</v>
      </c>
      <c r="EF15" s="4164">
        <f>SUM(EF5:EF14)</f>
        <v>33846290</v>
      </c>
      <c r="EG15" s="4164">
        <f>SUM(EG5:EG14)</f>
        <v>37398255.5</v>
      </c>
      <c r="EH15" s="4164">
        <f>SUM(EH5:EH14)</f>
        <v>136623</v>
      </c>
      <c r="EI15" s="4164">
        <f>SUM(EI5:EI14)</f>
        <v>3415342.5</v>
      </c>
      <c r="EJ15" s="4168">
        <f>EI15/EG15</f>
        <v>9.132357791394842E-2</v>
      </c>
      <c r="EK15" s="4175">
        <f>SUM(EK5:EK14)</f>
        <v>544714</v>
      </c>
      <c r="EL15" s="4164">
        <f>SUM(EL5:EL14)</f>
        <v>644233.32999999996</v>
      </c>
      <c r="EM15" s="4164">
        <f>SUM(EM5:EM14)</f>
        <v>0</v>
      </c>
      <c r="EN15" s="4164">
        <f>SUM(EN5:EN14)</f>
        <v>864526.07291666651</v>
      </c>
      <c r="EO15" s="4164">
        <f>SUM(EO5:EO14)</f>
        <v>1361869.0970833329</v>
      </c>
      <c r="EP15" s="4168"/>
      <c r="EQ15" s="4175">
        <f>SUM(EQ5:EQ14)</f>
        <v>1379</v>
      </c>
      <c r="ER15" s="4164">
        <f>SUM(ER5:ER14)</f>
        <v>32411006</v>
      </c>
      <c r="ES15" s="4164">
        <f>SUM(ES5:ES14)</f>
        <v>36174216</v>
      </c>
      <c r="ET15" s="4164">
        <f>SUM(ET5:ET14)</f>
        <v>178575</v>
      </c>
      <c r="EU15" s="4164">
        <f>SUM(EU5:EU14)</f>
        <v>3584635</v>
      </c>
      <c r="EV15" s="4168">
        <f>EU15/ES15</f>
        <v>9.9093647254165779E-2</v>
      </c>
      <c r="EW15" s="4175">
        <f>SUM(EW5:EW14)</f>
        <v>489708</v>
      </c>
      <c r="EX15" s="4164">
        <f>SUM(EX5:EX14)</f>
        <v>2072595.2974999999</v>
      </c>
      <c r="EY15" s="4164">
        <f>SUM(EY5:EY14)</f>
        <v>0</v>
      </c>
      <c r="EZ15" s="4164">
        <f>SUM(EZ5:EZ14)</f>
        <v>674903.23687500006</v>
      </c>
      <c r="FA15" s="4164">
        <f>SUM(FA5:FA14)</f>
        <v>347428.46562500007</v>
      </c>
      <c r="FB15" s="4168"/>
      <c r="FC15" s="4180"/>
      <c r="FD15" s="4181"/>
      <c r="FE15" s="4181"/>
      <c r="FF15" s="4181"/>
      <c r="FG15" s="4172"/>
      <c r="FH15" s="4172"/>
      <c r="FI15" s="4172"/>
      <c r="FJ15" s="4179"/>
      <c r="FK15" s="4175">
        <f>SUM(FK5:FK14)</f>
        <v>1316</v>
      </c>
      <c r="FL15" s="4164">
        <f>SUM(FL5:FL14)</f>
        <v>31120910</v>
      </c>
      <c r="FM15" s="4164">
        <f>SUM(FM5:FM14)</f>
        <v>34499248</v>
      </c>
      <c r="FN15" s="4164">
        <f>SUM(FN5:FN14)</f>
        <v>226885</v>
      </c>
      <c r="FO15" s="4164">
        <f>SUM(FO5:FO14)</f>
        <v>3151453</v>
      </c>
      <c r="FP15" s="4168">
        <f>FO15/FM15</f>
        <v>9.1348454899654624E-2</v>
      </c>
      <c r="FQ15" s="4175">
        <f t="shared" ref="FQ15:FZ15" si="226">SUM(FQ5:FQ14)</f>
        <v>730380</v>
      </c>
      <c r="FR15" s="4164">
        <f t="shared" si="226"/>
        <v>1403472.868</v>
      </c>
      <c r="FS15" s="4164">
        <f t="shared" si="226"/>
        <v>890493.2</v>
      </c>
      <c r="FT15" s="4164">
        <f t="shared" si="226"/>
        <v>127106.93199999991</v>
      </c>
      <c r="FU15" s="4164">
        <f t="shared" si="226"/>
        <v>-9.8298111526479007E-2</v>
      </c>
      <c r="FV15" s="4175">
        <f t="shared" si="226"/>
        <v>-87</v>
      </c>
      <c r="FW15" s="4164">
        <f t="shared" si="226"/>
        <v>-152913</v>
      </c>
      <c r="FX15" s="4164">
        <f t="shared" si="226"/>
        <v>-1488177</v>
      </c>
      <c r="FY15" s="4164">
        <f t="shared" si="226"/>
        <v>-1431206</v>
      </c>
      <c r="FZ15" s="4164">
        <f t="shared" si="226"/>
        <v>-1857920.5059310347</v>
      </c>
      <c r="GA15" s="4172"/>
      <c r="GB15" s="4172"/>
      <c r="GC15" s="4172"/>
      <c r="GD15" s="4179"/>
      <c r="GE15" s="4175">
        <f>SUM(GE5:GE14)</f>
        <v>1376.0000000000002</v>
      </c>
      <c r="GF15" s="4164">
        <f>SUM(GF5:GF14)</f>
        <v>108071719.5</v>
      </c>
      <c r="GG15" s="4164">
        <f>SUM(GG5:GG14)</f>
        <v>10151430.5</v>
      </c>
      <c r="GH15" s="4164">
        <f>SUM(GH5:GH14)</f>
        <v>0.90190423515992046</v>
      </c>
      <c r="GI15" s="4164">
        <f>SUM(GI5:GI14)</f>
        <v>1836404.4947083332</v>
      </c>
      <c r="GJ15" s="4182"/>
      <c r="GK15" s="4183"/>
      <c r="GL15" s="4183"/>
      <c r="GM15" s="4184"/>
      <c r="GN15" s="4175">
        <f>SUM(GN5:GN14)</f>
        <v>1236</v>
      </c>
      <c r="GO15" s="4164">
        <f>SUM(GO5:GO14)</f>
        <v>29120852</v>
      </c>
      <c r="GP15" s="4164">
        <f>SUM(GP5:GP14)</f>
        <v>32396539</v>
      </c>
      <c r="GQ15" s="4164">
        <f>SUM(GQ5:GQ14)</f>
        <v>178354</v>
      </c>
      <c r="GR15" s="4164">
        <f>SUM(GR5:GR14)</f>
        <v>3097333</v>
      </c>
      <c r="GS15" s="4172"/>
      <c r="GT15" s="4175">
        <f>SUM(GT5:GT14)</f>
        <v>596351</v>
      </c>
      <c r="GU15" s="4164">
        <f>SUM(GU5:GU14)</f>
        <v>924311</v>
      </c>
      <c r="GV15" s="4164">
        <f>SUM(GV5:GV14)</f>
        <v>0</v>
      </c>
      <c r="GW15" s="4164">
        <f>SUM(GW5:GW14)</f>
        <v>921549.6</v>
      </c>
      <c r="GX15" s="4164">
        <f>SUM(GX5:GX14)</f>
        <v>655121.4</v>
      </c>
      <c r="GY15" s="4179"/>
      <c r="GZ15" s="4175">
        <f>SUM(GZ5:GZ14)</f>
        <v>1209</v>
      </c>
      <c r="HA15" s="4164">
        <f>SUM(HA5:HA14)</f>
        <v>28367239</v>
      </c>
      <c r="HB15" s="4164">
        <f>SUM(HB5:HB14)</f>
        <v>31468209</v>
      </c>
      <c r="HC15" s="4164">
        <f>SUM(HC5:HC14)</f>
        <v>133735</v>
      </c>
      <c r="HD15" s="4164">
        <f>SUM(HD5:HD14)</f>
        <v>2967235</v>
      </c>
      <c r="HE15" s="4172">
        <f>HD15/HB15</f>
        <v>9.4293100697278323E-2</v>
      </c>
      <c r="HF15" s="4175">
        <f>SUM(HF5:HF14)</f>
        <v>791439</v>
      </c>
      <c r="HG15" s="4164">
        <f>SUM(HG5:HG14)</f>
        <v>1441955</v>
      </c>
      <c r="HH15" s="4164">
        <f>SUM(HH5:HH14)</f>
        <v>0</v>
      </c>
      <c r="HI15" s="4164">
        <f>SUM(HI5:HI14)</f>
        <v>701253.25</v>
      </c>
      <c r="HJ15" s="4164">
        <f>SUM(HJ5:HJ14)</f>
        <v>32587.75</v>
      </c>
      <c r="HK15" s="4179"/>
      <c r="HL15" s="4171">
        <f>SUM(HL5:HL14)</f>
        <v>1162</v>
      </c>
      <c r="HM15" s="4185">
        <f>SUM(HM5:HM14)</f>
        <v>27571262</v>
      </c>
      <c r="HN15" s="4185">
        <f>SUM(HN5:HN14)</f>
        <v>31485246</v>
      </c>
      <c r="HO15" s="4185">
        <f>SUM(HO5:HO14)</f>
        <v>150189</v>
      </c>
      <c r="HP15" s="4185">
        <f>SUM(HP5:HP14)</f>
        <v>3763795</v>
      </c>
      <c r="HQ15" s="4179">
        <f>HP15/HN15</f>
        <v>0.11954154653897257</v>
      </c>
      <c r="HR15" s="4186">
        <f>SUM(HR5:HR14)</f>
        <v>898002</v>
      </c>
      <c r="HS15" s="4185">
        <f>SUM(HS5:HS14)</f>
        <v>2933981.48</v>
      </c>
      <c r="HT15" s="4185">
        <f>SUM(HT5:HT14)</f>
        <v>0</v>
      </c>
      <c r="HU15" s="4185">
        <f>SUM(HU5:HU14)</f>
        <v>898771.4</v>
      </c>
      <c r="HV15" s="4183">
        <f>SUM(HV5:HV14)</f>
        <v>-966959.87999999989</v>
      </c>
      <c r="HW15" s="4179">
        <f>HV15/HN15</f>
        <v>-3.0711523740357623E-2</v>
      </c>
      <c r="HX15" s="4171">
        <f>SUM(HX5:HX14)</f>
        <v>1162</v>
      </c>
      <c r="HY15" s="4185">
        <f>SUM(HY5:HY14)</f>
        <v>95349994</v>
      </c>
      <c r="HZ15" s="4187">
        <f>SUM(HZ5:HZ14)</f>
        <v>9828363</v>
      </c>
      <c r="IA15" s="4172"/>
      <c r="IB15" s="4187">
        <f>SUM(IB5:IB14)</f>
        <v>-279250.72999999986</v>
      </c>
      <c r="IC15" s="4185"/>
      <c r="ID15" s="4171">
        <f>SUM(ID5:ID14)</f>
        <v>1162</v>
      </c>
      <c r="IE15" s="4185">
        <f>SUM(IE5:IE14)</f>
        <v>423498014.35000002</v>
      </c>
      <c r="IF15" s="4185">
        <f>SUM(IF5:IF14)</f>
        <v>44692248.350000001</v>
      </c>
      <c r="IG15" s="4172">
        <f>IF15/IE15</f>
        <v>0.10553118748052519</v>
      </c>
      <c r="IH15" s="4187"/>
      <c r="II15" s="4160"/>
      <c r="IJ15" s="4171">
        <f>SUM(IJ5:IJ14)</f>
        <v>1119</v>
      </c>
      <c r="IK15" s="4185">
        <f>SUM(IK5:IK14)</f>
        <v>26624227</v>
      </c>
      <c r="IL15" s="4185">
        <f>SUM(IL5:IL14)</f>
        <v>30299808</v>
      </c>
      <c r="IM15" s="4185">
        <f>SUM(IM5:IM14)</f>
        <v>339809</v>
      </c>
      <c r="IN15" s="4186">
        <f>SUM(IN5:IN14)</f>
        <v>3335702</v>
      </c>
      <c r="IO15" s="4179">
        <f>IN15/IL15</f>
        <v>0.11008987251668394</v>
      </c>
      <c r="IP15" s="4186">
        <f>SUM(IP5:IP14)</f>
        <v>265766</v>
      </c>
      <c r="IQ15" s="4185">
        <f>SUM(IQ5:IQ14)</f>
        <v>1691653</v>
      </c>
      <c r="IR15" s="4185">
        <f>SUM(IR5:IR14)</f>
        <v>1200000</v>
      </c>
      <c r="IS15" s="4186">
        <f>SUM(IS5:IS14)</f>
        <v>178283</v>
      </c>
      <c r="IT15" s="4179">
        <f>IS15/IL15</f>
        <v>5.8839646772679216E-3</v>
      </c>
      <c r="IU15" s="4171">
        <f>SUM(IU5:IU14)</f>
        <v>1105</v>
      </c>
      <c r="IV15" s="4185">
        <f>SUM(IV5:IV14)</f>
        <v>26232114</v>
      </c>
      <c r="IW15" s="4185">
        <f>SUM(IW5:IW14)</f>
        <v>29054192</v>
      </c>
      <c r="IX15" s="4185">
        <f>SUM(IX5:IX14)</f>
        <v>56185</v>
      </c>
      <c r="IY15" s="4186">
        <f>SUM(IY5:IY14)</f>
        <v>2765893</v>
      </c>
      <c r="IZ15" s="4179">
        <f>IY15/IW15</f>
        <v>9.5197725684472656E-2</v>
      </c>
      <c r="JA15" s="4186">
        <f>SUM(JA5:JA14)</f>
        <v>730760</v>
      </c>
      <c r="JB15" s="4185">
        <f>SUM(JB5:JB14)</f>
        <v>744550</v>
      </c>
      <c r="JC15" s="4185">
        <f>SUM(JC5:JC14)</f>
        <v>961356.20000000019</v>
      </c>
      <c r="JD15" s="4186">
        <f>SUM(JD5:JD14)</f>
        <v>329226.79999999981</v>
      </c>
      <c r="JE15" s="4179">
        <f>JD15/IW15</f>
        <v>1.1331473268986444E-2</v>
      </c>
      <c r="JF15" s="4171">
        <f>SUM(JF5:JF14)</f>
        <v>1109</v>
      </c>
      <c r="JG15" s="4185">
        <f>SUM(JG5:JG14)</f>
        <v>25862950</v>
      </c>
      <c r="JH15" s="4185">
        <f>SUM(JH5:JH14)</f>
        <v>28604873</v>
      </c>
      <c r="JI15" s="4185">
        <f>SUM(JI5:JI14)</f>
        <v>209221</v>
      </c>
      <c r="JJ15" s="4186">
        <f>SUM(JJ5:JJ14)</f>
        <v>2532702</v>
      </c>
      <c r="JK15" s="4179">
        <f>JJ15/JH15</f>
        <v>8.8540927974055328E-2</v>
      </c>
      <c r="JL15" s="4186">
        <f>SUM(JL5:JL14)</f>
        <v>635263</v>
      </c>
      <c r="JM15" s="4185">
        <f>SUM(JM5:JM14)</f>
        <v>1081748.6000000001</v>
      </c>
      <c r="JN15" s="4185">
        <f>SUM(JN5:JN14)</f>
        <v>1000000</v>
      </c>
      <c r="JO15" s="4186">
        <f>SUM(JO5:JO14)</f>
        <v>-184309.59999999998</v>
      </c>
      <c r="JP15" s="4179">
        <f>JO15/JH15</f>
        <v>-6.443293770260752E-3</v>
      </c>
      <c r="JQ15" s="4186">
        <f>SUM(JQ5:JQ14)</f>
        <v>1109</v>
      </c>
      <c r="JR15" s="4185">
        <f>SUM(JR5:JR14)</f>
        <v>87958873</v>
      </c>
      <c r="JS15" s="4185">
        <f>SUM(JS5:JS14)</f>
        <v>8634297</v>
      </c>
      <c r="JT15" s="4179">
        <f>JS15/JR15</f>
        <v>9.816288801244645E-2</v>
      </c>
      <c r="JU15" s="4171">
        <f>SUM(JU5:JU14)</f>
        <v>1093</v>
      </c>
      <c r="JV15" s="4185">
        <f>SUM(JV5:JV14)</f>
        <v>25820382</v>
      </c>
      <c r="JW15" s="4185">
        <f>SUM(JW5:JW14)</f>
        <v>28874771</v>
      </c>
      <c r="JX15" s="4185">
        <f>SUM(JX5:JX14)</f>
        <v>98266</v>
      </c>
      <c r="JY15" s="4186">
        <f>SUM(JY5:JY14)</f>
        <v>2956123</v>
      </c>
      <c r="JZ15" s="4179">
        <f>JY15/JW15</f>
        <v>0.10237736604040946</v>
      </c>
      <c r="KA15" s="4186">
        <f>SUM(KA5:KA14)</f>
        <v>650339</v>
      </c>
      <c r="KB15" s="4185">
        <f>SUM(KB5:KB14)</f>
        <v>725000</v>
      </c>
      <c r="KC15" s="4185">
        <f>SUM(KC5:KC14)</f>
        <v>1227625</v>
      </c>
      <c r="KD15" s="4186">
        <f>SUM(KD5:KD14)</f>
        <v>353159</v>
      </c>
      <c r="KE15" s="4179">
        <f>KD15/JW15</f>
        <v>1.2230711717159592E-2</v>
      </c>
      <c r="KF15" s="4171">
        <f>SUM(KF5:KF14)</f>
        <v>1098</v>
      </c>
      <c r="KG15" s="4185">
        <f>SUM(KG5:KG14)</f>
        <v>26682503</v>
      </c>
      <c r="KH15" s="4185">
        <f>SUM(KH5:KH14)</f>
        <v>30441585</v>
      </c>
      <c r="KI15" s="4185">
        <f>SUM(KI5:KI14)</f>
        <v>184141</v>
      </c>
      <c r="KJ15" s="4186">
        <f>SUM(KJ5:KJ14)</f>
        <v>3574941</v>
      </c>
      <c r="KK15" s="4179">
        <f>KJ15/KH15</f>
        <v>0.1174360993358263</v>
      </c>
      <c r="KL15" s="4186">
        <f>SUM(KL5:KL14)</f>
        <v>691036</v>
      </c>
      <c r="KM15" s="4185">
        <f>SUM(KM5:KM14)</f>
        <v>1201544.4937499999</v>
      </c>
      <c r="KN15" s="4185">
        <f>SUM(KN5:KN14)</f>
        <v>1145066.0666666669</v>
      </c>
      <c r="KO15" s="4186">
        <f>SUM(KO5:KO14)</f>
        <v>537294.43958333321</v>
      </c>
      <c r="KP15" s="4179">
        <f>KO15/KH15</f>
        <v>1.7650015253257451E-2</v>
      </c>
      <c r="KQ15" s="4171">
        <f>SUM(KQ5:KQ14)</f>
        <v>1064</v>
      </c>
      <c r="KR15" s="4185">
        <f>SUM(KR5:KR14)</f>
        <v>26076634</v>
      </c>
      <c r="KS15" s="4185">
        <f>SUM(KS5:KS14)</f>
        <v>29610128</v>
      </c>
      <c r="KT15" s="4185">
        <f>SUM(KT5:KT14)</f>
        <v>183558</v>
      </c>
      <c r="KU15" s="4186">
        <f>SUM(KU5:KU14)</f>
        <v>3349936</v>
      </c>
      <c r="KV15" s="4179">
        <f>KU15/KS15</f>
        <v>0.11313480306468111</v>
      </c>
      <c r="KW15" s="4186">
        <f>SUM(KW5:KW14)</f>
        <v>1244029</v>
      </c>
      <c r="KX15" s="4185">
        <f>SUM(KX5:KX14)</f>
        <v>1998582.77</v>
      </c>
      <c r="KY15" s="4185">
        <f>SUM(KY5:KY14)</f>
        <v>650000</v>
      </c>
      <c r="KZ15" s="4186">
        <f>SUM(KZ5:KZ14)</f>
        <v>-542675.77</v>
      </c>
      <c r="LA15" s="4179">
        <f>KZ15/KS15</f>
        <v>-1.832736994585096E-2</v>
      </c>
      <c r="LB15" s="4186">
        <f>SUM(LB5:LB14)</f>
        <v>1064</v>
      </c>
      <c r="LC15" s="4185">
        <f>SUM(LC5:LC14)</f>
        <v>88926484</v>
      </c>
      <c r="LD15" s="4185">
        <f>SUM(LD5:LD14)</f>
        <v>9881000</v>
      </c>
      <c r="LE15" s="4179">
        <f>LD15/LC15</f>
        <v>0.11111425478151143</v>
      </c>
      <c r="LF15" s="4186">
        <f>LB15-JQ15</f>
        <v>-45</v>
      </c>
      <c r="LG15" s="4170">
        <f>LC15-JR15</f>
        <v>967611</v>
      </c>
      <c r="LH15" s="4188">
        <f>LD15-JS15</f>
        <v>1246703</v>
      </c>
      <c r="LI15" s="4189">
        <f>LF15/JQ15</f>
        <v>-4.0577096483318302E-2</v>
      </c>
      <c r="LJ15" s="4189">
        <f>LG15/JR15</f>
        <v>1.1000720757302108E-2</v>
      </c>
      <c r="LK15" s="4168">
        <f>LH15/JS15</f>
        <v>0.14438963589044945</v>
      </c>
      <c r="LL15" s="4171">
        <f>SUM(LL5:LL14)</f>
        <v>1052</v>
      </c>
      <c r="LM15" s="4185">
        <f>SUM(LM5:LM14)</f>
        <v>25820439</v>
      </c>
      <c r="LN15" s="4185">
        <f>SUM(LN5:LN14)</f>
        <v>29546228</v>
      </c>
      <c r="LO15" s="4185">
        <f>SUM(LO5:LO14)</f>
        <v>274524</v>
      </c>
      <c r="LP15" s="4186">
        <f>SUM(LP5:LP14)</f>
        <v>3451265</v>
      </c>
      <c r="LQ15" s="4179">
        <f>LP15/LN15</f>
        <v>0.11680898827423927</v>
      </c>
      <c r="LR15" s="4186">
        <f>SUM(LR5:LR14)</f>
        <v>1354888</v>
      </c>
      <c r="LS15" s="4185">
        <f>SUM(LS5:LS14)</f>
        <v>455000</v>
      </c>
      <c r="LT15" s="4185">
        <f>SUM(LT5:LT14)</f>
        <v>1838372</v>
      </c>
      <c r="LU15" s="4186">
        <f>SUM(LU5:LU14)</f>
        <v>-196995</v>
      </c>
      <c r="LV15" s="4179">
        <f>LU15/LN15</f>
        <v>-6.667348535995864E-3</v>
      </c>
      <c r="LW15" s="4171">
        <f>SUM(LW5:LW14)</f>
        <v>1047</v>
      </c>
      <c r="LX15" s="4185">
        <f>SUM(LX5:LX14)</f>
        <v>25545562</v>
      </c>
      <c r="LY15" s="4185">
        <f>SUM(LY5:LY14)</f>
        <v>29074334</v>
      </c>
      <c r="LZ15" s="4185">
        <f>SUM(LZ5:LZ14)</f>
        <v>115401</v>
      </c>
      <c r="MA15" s="4186">
        <f>SUM(MA5:MA14)</f>
        <v>3413371</v>
      </c>
      <c r="MB15" s="4179">
        <f>MA15/LY15</f>
        <v>0.11740151984220859</v>
      </c>
      <c r="MC15" s="4186">
        <f>SUM(MC5:MC14)</f>
        <v>1184258</v>
      </c>
      <c r="MD15" s="4185">
        <f>SUM(MD5:MD14)</f>
        <v>570000</v>
      </c>
      <c r="ME15" s="4185">
        <f>SUM(ME5:ME14)</f>
        <v>1838372</v>
      </c>
      <c r="MF15" s="4186">
        <f>SUM(MF5:MF14)</f>
        <v>-179259</v>
      </c>
      <c r="MG15" s="4179">
        <f>MF15/LY15</f>
        <v>-6.1655410576214745E-3</v>
      </c>
      <c r="MH15" s="4171">
        <f>SUM(MH5:MH14)</f>
        <v>1000</v>
      </c>
      <c r="MI15" s="4185">
        <f>SUM(MI5:MI14)</f>
        <v>24515573</v>
      </c>
      <c r="MJ15" s="4185">
        <f>SUM(MJ5:MJ14)</f>
        <v>27866197</v>
      </c>
      <c r="MK15" s="4185">
        <f>SUM(MK5:MK14)</f>
        <v>203904</v>
      </c>
      <c r="ML15" s="4186">
        <f>SUM(ML5:ML14)</f>
        <v>3146720</v>
      </c>
      <c r="MM15" s="4179">
        <f>ML15/MJ15</f>
        <v>0.11292247736567713</v>
      </c>
      <c r="MN15" s="4186">
        <f>SUM(MN5:MN14)</f>
        <v>480768</v>
      </c>
      <c r="MO15" s="4185">
        <f>SUM(MO5:MO14)</f>
        <v>1399550.625</v>
      </c>
      <c r="MP15" s="4185">
        <f>SUM(MP5:MP14)</f>
        <v>1487137</v>
      </c>
      <c r="MQ15" s="4186">
        <f>SUM(MQ5:MQ14)</f>
        <v>-220735.625</v>
      </c>
      <c r="MR15" s="4179">
        <f>MQ15/MJ15</f>
        <v>-7.9212683740088399E-3</v>
      </c>
      <c r="MS15" s="4171">
        <f>SUM(MS5:MS14)</f>
        <v>1000</v>
      </c>
      <c r="MT15" s="4185">
        <f>SUM(MT5:MT14)</f>
        <v>86486759</v>
      </c>
      <c r="MU15" s="4185">
        <f>SUM(MU5:MU14)</f>
        <v>10011356</v>
      </c>
      <c r="MV15" s="4179">
        <f>MU15/MT15</f>
        <v>0.11575593901027093</v>
      </c>
      <c r="MW15" s="4186">
        <f>MS15-LB15</f>
        <v>-64</v>
      </c>
      <c r="MX15" s="4185">
        <f>MT15-LC15</f>
        <v>-2439725</v>
      </c>
      <c r="MY15" s="4185">
        <f>MU15-LD15</f>
        <v>130356</v>
      </c>
      <c r="MZ15" s="4172">
        <f>MW15/LB15</f>
        <v>-6.0150375939849621E-2</v>
      </c>
      <c r="NA15" s="4172">
        <f>MX15/LC15</f>
        <v>-2.7435302625930875E-2</v>
      </c>
      <c r="NB15" s="4179">
        <f>MY15/LD15</f>
        <v>1.3192591842930878E-2</v>
      </c>
      <c r="NC15" s="4171">
        <f>SUM(NC5:NC14)</f>
        <v>1004</v>
      </c>
      <c r="ND15" s="4185">
        <f>SUM(ND5:ND14)</f>
        <v>24420224</v>
      </c>
      <c r="NE15" s="4185">
        <f>SUM(NE5:NE14)</f>
        <v>27724389.899999999</v>
      </c>
      <c r="NF15" s="4185">
        <f>SUM(NF5:NF14)</f>
        <v>107937</v>
      </c>
      <c r="NG15" s="4186">
        <f>SUM(NG5:NG14)</f>
        <v>3196228.9</v>
      </c>
      <c r="NH15" s="4179">
        <f>NG15/NE15</f>
        <v>0.11528581554106625</v>
      </c>
      <c r="NI15" s="4186">
        <f>SUM(NI5:NI14)</f>
        <v>470952</v>
      </c>
      <c r="NJ15" s="4185">
        <f>SUM(NJ5:NJ14)</f>
        <v>608124</v>
      </c>
      <c r="NK15" s="4185">
        <f>SUM(NK5:NK14)</f>
        <v>1297382</v>
      </c>
      <c r="NL15" s="4186">
        <f>SUM(NL5:NL14)</f>
        <v>819770.9</v>
      </c>
      <c r="NM15" s="4172">
        <f>NL15/NE15</f>
        <v>2.956858213857395E-2</v>
      </c>
      <c r="NN15" s="4190">
        <f>SUM(NN5:NN14)</f>
        <v>982</v>
      </c>
      <c r="NO15" s="4185">
        <f>SUM(NO5:NO14)</f>
        <v>24615681</v>
      </c>
      <c r="NP15" s="4185">
        <f>SUM(NP5:NP14)</f>
        <v>27562424</v>
      </c>
      <c r="NQ15" s="4185">
        <f>SUM(NQ5:NQ14)</f>
        <v>67265</v>
      </c>
      <c r="NR15" s="4186">
        <f>SUM(NR5:NR14)</f>
        <v>2879478</v>
      </c>
      <c r="NS15" s="4179">
        <f>NR15/NP15</f>
        <v>0.10447114520841853</v>
      </c>
      <c r="NT15" s="4186">
        <f>SUM(NT5:NT14)</f>
        <v>418439</v>
      </c>
      <c r="NU15" s="4185">
        <f>SUM(NU5:NU14)</f>
        <v>978951.55</v>
      </c>
      <c r="NV15" s="4185">
        <f>SUM(NV5:NV14)</f>
        <v>1297382</v>
      </c>
      <c r="NW15" s="4186">
        <f>SUM(NW5:NW14)</f>
        <v>184705.44999999995</v>
      </c>
      <c r="NX15" s="4172">
        <f>NW15/NP15</f>
        <v>6.701349997373234E-3</v>
      </c>
      <c r="NY15" s="4190">
        <f>SUM(NY5:NY14)</f>
        <v>1002</v>
      </c>
      <c r="NZ15" s="4185">
        <f>SUM(NZ5:NZ14)</f>
        <v>24744366</v>
      </c>
      <c r="OA15" s="4185">
        <f>SUM(OA5:OA14)</f>
        <v>27504037</v>
      </c>
      <c r="OB15" s="4185">
        <f>SUM(OB5:OB14)</f>
        <v>85396</v>
      </c>
      <c r="OC15" s="4186">
        <f>SUM(OC5:OC14)</f>
        <v>2674275</v>
      </c>
      <c r="OD15" s="4179">
        <f>OC15/OA15</f>
        <v>9.7232089965556698E-2</v>
      </c>
      <c r="OE15" s="4186">
        <f>SUM(OE5:OE14)</f>
        <v>452542</v>
      </c>
      <c r="OF15" s="4185">
        <f>SUM(OF5:OF14)</f>
        <v>3190933.55</v>
      </c>
      <c r="OG15" s="4185">
        <f>SUM(OG5:OG14)</f>
        <v>875176.79600000009</v>
      </c>
      <c r="OH15" s="4186">
        <f>SUM(OH5:OH14)</f>
        <v>-1844377.3460000001</v>
      </c>
      <c r="OI15" s="5386">
        <f>OH15/OA15</f>
        <v>-6.7058422950783556E-2</v>
      </c>
      <c r="OJ15" s="4160">
        <f>SUM(OJ5:OJ14)</f>
        <v>1002</v>
      </c>
      <c r="OK15" s="4191">
        <f>OA15+NP15+NE15+MJ15+LY15+LN15+KS15+KH15+JW15+JG15+IW15+IL15</f>
        <v>343421043.89999998</v>
      </c>
      <c r="OL15" s="4191">
        <f>OC15+NR15+NG15+ML15+MA15+LP15+KU15+KJ15+JY15+JI15+IY15+IN15</f>
        <v>34953153.899999999</v>
      </c>
      <c r="OM15" s="4192">
        <f>OL15/OK15</f>
        <v>0.10177930130041166</v>
      </c>
      <c r="ON15" s="4191">
        <f>OH15+NW15+NL15+MQ15+MF15+LU15+KZ15+KO15+KD15+JN15+JD15+IS15</f>
        <v>418396.84858333273</v>
      </c>
      <c r="OO15" s="4179">
        <f>ON15/OK15</f>
        <v>1.2183203563528996E-3</v>
      </c>
      <c r="OP15" s="20"/>
      <c r="OQ15" s="4190">
        <f>SUM(OQ5:OQ14)</f>
        <v>998</v>
      </c>
      <c r="OR15" s="4185">
        <f>SUM(OR5:OR14)</f>
        <v>25195962.664999999</v>
      </c>
      <c r="OS15" s="4185">
        <f>SUM(OS5:OS14)</f>
        <v>28204234</v>
      </c>
      <c r="OT15" s="4185">
        <f>SUM(OT5:OT14)</f>
        <v>95615</v>
      </c>
      <c r="OU15" s="4186">
        <f>SUM(OU5:OU14)</f>
        <v>2912656.335</v>
      </c>
      <c r="OV15" s="4162">
        <f>OU15/OS15</f>
        <v>0.10327018046297588</v>
      </c>
      <c r="OW15" s="4186">
        <f>SUM(OW5:OW14)</f>
        <v>438760</v>
      </c>
      <c r="OX15" s="4185">
        <f>SUM(OX5:OX14)</f>
        <v>1190971</v>
      </c>
      <c r="OY15" s="4185">
        <f>SUM(OY5:OY14)</f>
        <v>1692380</v>
      </c>
      <c r="OZ15" s="4186">
        <f>SUM(OZ5:OZ14)</f>
        <v>-409454.66499999969</v>
      </c>
      <c r="PA15" s="5367">
        <f>OZ15/OS15</f>
        <v>-1.4517489289019503E-2</v>
      </c>
      <c r="PB15" s="6265">
        <f>SUM(PB5:PB14)</f>
        <v>990</v>
      </c>
      <c r="PC15" s="4185">
        <f>SUM(PC5:PC14)</f>
        <v>25459572.533999998</v>
      </c>
      <c r="PD15" s="4185">
        <f>SUM(PD5:PD14)</f>
        <v>28705367</v>
      </c>
      <c r="PE15" s="4185">
        <f>SUM(PE5:PE14)</f>
        <v>159300</v>
      </c>
      <c r="PF15" s="4186">
        <f>SUM(PF5:PF14)</f>
        <v>3086494.4660000005</v>
      </c>
      <c r="PG15" s="4162">
        <f>PF15/PD15</f>
        <v>0.10752325396153271</v>
      </c>
      <c r="PH15" s="4186">
        <f>SUM(PH5:PH14)</f>
        <v>487053</v>
      </c>
      <c r="PI15" s="4185">
        <f>SUM(PI5:PI14)</f>
        <v>1015306.25</v>
      </c>
      <c r="PJ15" s="4185">
        <f>SUM(PJ5:PJ14)</f>
        <v>1507747.2000000002</v>
      </c>
      <c r="PK15" s="4186">
        <f>SUM(PK5:PK14)</f>
        <v>76388.016000000061</v>
      </c>
      <c r="PL15" s="4172">
        <f>PK15/PD15</f>
        <v>2.661105708908026E-3</v>
      </c>
      <c r="PM15" s="4190">
        <f>SUM(PM5:PM14)</f>
        <v>1031</v>
      </c>
      <c r="PN15" s="4185">
        <f>SUM(PN5:PN14)</f>
        <v>26343983.918999996</v>
      </c>
      <c r="PO15" s="4185">
        <f>SUM(PO5:PO14)</f>
        <v>30472721</v>
      </c>
      <c r="PP15" s="4185">
        <f>SUM(PP5:PP14)</f>
        <v>148021</v>
      </c>
      <c r="PQ15" s="6301">
        <f>SUM(PQ5:PQ14)</f>
        <v>3980716.0810000002</v>
      </c>
      <c r="PR15" s="6302">
        <f>PQ15/PO15</f>
        <v>0.13063211785386675</v>
      </c>
      <c r="PS15" s="4185">
        <f>SUM(PS5:PS14)</f>
        <v>486008</v>
      </c>
      <c r="PT15" s="4185">
        <f>SUM(PT5:PT14)</f>
        <v>1078161</v>
      </c>
      <c r="PU15" s="4185">
        <f>SUM(PU5:PU14)</f>
        <v>1449415</v>
      </c>
      <c r="PV15" s="4186">
        <f>SUM(PV5:PV14)</f>
        <v>967132.08100000012</v>
      </c>
      <c r="PW15" s="5386">
        <f>PV15/PO15</f>
        <v>3.1737634489548867E-2</v>
      </c>
      <c r="PX15" s="4185">
        <f>SUM(PX5:PX14)</f>
        <v>1031</v>
      </c>
      <c r="PY15" s="4185">
        <f>SUM(PY5:PY14)</f>
        <v>87382322</v>
      </c>
      <c r="PZ15" s="4185">
        <f>SUM(PZ5:PZ14)</f>
        <v>9979866.8820000011</v>
      </c>
      <c r="QA15" s="4172">
        <f>PZ15/PY15</f>
        <v>0.11420922051029957</v>
      </c>
      <c r="QB15" s="4190">
        <f>SUM(QB5:QB14)</f>
        <v>1040</v>
      </c>
      <c r="QC15" s="4185">
        <f>SUM(QC5:QC14)</f>
        <v>26253601.8455</v>
      </c>
      <c r="QD15" s="4185">
        <f>SUM(QD5:QD14)</f>
        <v>30709659</v>
      </c>
      <c r="QE15" s="4185">
        <f>SUM(QE5:QE14)</f>
        <v>269249</v>
      </c>
      <c r="QF15" s="6301">
        <f>SUM(QF5:QF14)</f>
        <v>4186808.1544999992</v>
      </c>
      <c r="QG15" s="6302">
        <f>QF15/QD15</f>
        <v>0.13633522125725978</v>
      </c>
      <c r="QH15" s="4185">
        <f>SUM(QH5:QH14)</f>
        <v>548969</v>
      </c>
      <c r="QI15" s="4185">
        <f>SUM(QI5:QI14)</f>
        <v>1525733</v>
      </c>
      <c r="QJ15" s="4185">
        <f>SUM(QJ5:QJ14)</f>
        <v>1496339</v>
      </c>
      <c r="QK15" s="4186">
        <f>SUM(QK5:QK14)</f>
        <v>615767.15449999983</v>
      </c>
      <c r="QL15" s="5386">
        <f>QK15/QD15</f>
        <v>2.0051253402064796E-2</v>
      </c>
      <c r="QM15" s="4190">
        <f>SUM(QM5:QM14)</f>
        <v>1053</v>
      </c>
      <c r="QN15" s="4185">
        <f>SUM(QN5:QN14)</f>
        <v>26283949.292999998</v>
      </c>
      <c r="QO15" s="4185">
        <f>SUM(QO5:QO14)</f>
        <v>30593139</v>
      </c>
      <c r="QP15" s="4185">
        <f>SUM(QP5:QP14)</f>
        <v>294725</v>
      </c>
      <c r="QQ15" s="4186">
        <f>SUM(QQ5:QQ14)</f>
        <v>4014464.7070000004</v>
      </c>
      <c r="QR15" s="4179">
        <f t="shared" ref="QR15:QR22" si="227">QQ15/QO15</f>
        <v>0.13122107891576607</v>
      </c>
      <c r="QS15" s="4186">
        <f>SUM(QS5:QS14)</f>
        <v>585178</v>
      </c>
      <c r="QT15" s="4185">
        <f>SUM(QT5:QT14)</f>
        <v>1375084</v>
      </c>
      <c r="QU15" s="4185">
        <f>SUM(QU5:QU14)</f>
        <v>1558640</v>
      </c>
      <c r="QV15" s="4186">
        <f>SUM(QV5:QV14)</f>
        <v>495562.70700000005</v>
      </c>
      <c r="QW15" s="5386">
        <f>QV15/QO15</f>
        <v>1.6198491661806917E-2</v>
      </c>
      <c r="QX15" s="4190">
        <f>SUM(QX5:QX14)</f>
        <v>1078</v>
      </c>
      <c r="QY15" s="4185">
        <f>SUM(QY5:QY14)</f>
        <v>27402797.557500001</v>
      </c>
      <c r="QZ15" s="4185">
        <f>SUM(QZ5:QZ14)</f>
        <v>31885728</v>
      </c>
      <c r="RA15" s="4185">
        <f>SUM(RA5:RA14)</f>
        <v>205971</v>
      </c>
      <c r="RB15" s="4186">
        <f>SUM(RB5:RB14)</f>
        <v>4276959.442499999</v>
      </c>
      <c r="RC15" s="4179">
        <f t="shared" ref="RC15:RC26" si="228">RB15/QZ15</f>
        <v>0.13413397500286017</v>
      </c>
      <c r="RD15" s="4186">
        <f>SUM(RD5:RD14)</f>
        <v>795678</v>
      </c>
      <c r="RE15" s="4185">
        <f>SUM(RE5:RE14)</f>
        <v>1007784.4700000001</v>
      </c>
      <c r="RF15" s="4185">
        <f>SUM(RF5:RF14)</f>
        <v>1535070</v>
      </c>
      <c r="RG15" s="4186">
        <f>SUM(RG5:RG14)</f>
        <v>938426.97249999945</v>
      </c>
      <c r="RH15" s="5386">
        <f t="shared" ref="RH15:RH22" si="229">RG15/QZ15</f>
        <v>2.9430940780150901E-2</v>
      </c>
      <c r="RI15" s="6320">
        <f>SUM(RI5:RI14)</f>
        <v>0</v>
      </c>
      <c r="RJ15" s="4185">
        <f>SUM(RJ5:RJ14)</f>
        <v>93188526</v>
      </c>
      <c r="RK15" s="4185">
        <f>SUM(RK5:RK14)</f>
        <v>12478232.304</v>
      </c>
      <c r="RL15" s="5386">
        <f t="shared" ref="RL15:RL24" si="230">RK15/RJ15</f>
        <v>0.13390309772685963</v>
      </c>
      <c r="RM15" s="6320">
        <f>RI15-PX15</f>
        <v>-1031</v>
      </c>
      <c r="RN15" s="4170">
        <f>RJ15-PY15</f>
        <v>5806204</v>
      </c>
      <c r="RO15" s="4188">
        <f>RK15-PZ15</f>
        <v>2498365.4219999984</v>
      </c>
      <c r="RP15" s="4189">
        <f>RM15/PX15</f>
        <v>-1</v>
      </c>
      <c r="RQ15" s="4189">
        <f>RN15/PY15</f>
        <v>6.6445979771514882E-2</v>
      </c>
      <c r="RR15" s="6344">
        <f>RO15/PZ15</f>
        <v>0.25034055579500042</v>
      </c>
      <c r="RS15" s="6265">
        <f>SUM(RS5:RS14)</f>
        <v>1046</v>
      </c>
      <c r="RT15" s="4185">
        <f>SUM(RT5:RT14)</f>
        <v>28479857.9135</v>
      </c>
      <c r="RU15" s="4185">
        <f>SUM(RU5:RU14)</f>
        <v>32461468</v>
      </c>
      <c r="RV15" s="4187">
        <f>SUM(RV5:RV14)</f>
        <v>66764</v>
      </c>
      <c r="RW15" s="4186">
        <f>SUM(RW5:RW14)</f>
        <v>3914846.0865000002</v>
      </c>
      <c r="RX15" s="4179">
        <f t="shared" ref="RX15:RX22" si="231">RW15/RU15</f>
        <v>0.12059978576754447</v>
      </c>
      <c r="RY15" s="4186">
        <f>SUM(RY5:RY14)</f>
        <v>585839</v>
      </c>
      <c r="RZ15" s="4185">
        <f>SUM(RZ5:RZ14)</f>
        <v>1132899</v>
      </c>
      <c r="SA15" s="4185">
        <f>SUM(SA5:SA14)</f>
        <v>1507954</v>
      </c>
      <c r="SB15" s="4186">
        <f>SUM(SB5:SB14)</f>
        <v>688154.08650000044</v>
      </c>
      <c r="SC15" s="5386">
        <f t="shared" ref="SC15:SC33" si="232">SB15/RU15</f>
        <v>2.1199105551849978E-2</v>
      </c>
      <c r="SD15" s="5408">
        <f>SUM(SD5:SD14)</f>
        <v>1034</v>
      </c>
      <c r="SE15" s="4170">
        <f>SUM(SE5:SE14)</f>
        <v>28116735.998</v>
      </c>
      <c r="SF15" s="4170">
        <f>SUM(SF5:SF14)</f>
        <v>32136178</v>
      </c>
      <c r="SG15" s="6353">
        <f>SUM(SG5:SG14)</f>
        <v>115115</v>
      </c>
      <c r="SH15" s="6369">
        <f>SUM(SH5:SH14)</f>
        <v>3904327.0019999994</v>
      </c>
      <c r="SI15" s="6370">
        <f>SH15/SF15</f>
        <v>0.12149319691968347</v>
      </c>
      <c r="SJ15" s="4185">
        <f>SUM(SJ5:SJ14)</f>
        <v>545178</v>
      </c>
      <c r="SK15" s="4185">
        <f>SUM(SK5:SK14)</f>
        <v>1807729</v>
      </c>
      <c r="SL15" s="4185">
        <f>SUM(SL5:SL14)</f>
        <v>1264221</v>
      </c>
      <c r="SM15" s="4186">
        <f>SUM(SM5:SM14)</f>
        <v>287199.00199999963</v>
      </c>
      <c r="SN15" s="5386">
        <f>SM15/SF15</f>
        <v>8.9369371180356184E-3</v>
      </c>
      <c r="SO15" s="6265">
        <f>SUM(SO5:SO14)</f>
        <v>1054</v>
      </c>
      <c r="SP15" s="4185">
        <f>SUM(SP5:SP14)</f>
        <v>27456143.877499994</v>
      </c>
      <c r="SQ15" s="4185">
        <f>SUM(SQ5:SQ14)</f>
        <v>31510665.420000002</v>
      </c>
      <c r="SR15" s="4185">
        <f>SUM(SR5:SR14)</f>
        <v>20513</v>
      </c>
      <c r="SS15" s="6369">
        <f>SUM(SS5:SS14)</f>
        <v>4034008.5425000004</v>
      </c>
      <c r="ST15" s="6370">
        <f t="shared" ref="ST15:ST22" si="233">SS15/SQ15</f>
        <v>0.12802041749139298</v>
      </c>
      <c r="SU15" s="4185">
        <f>SUM(SU5:SU14)</f>
        <v>591471</v>
      </c>
      <c r="SV15" s="4185">
        <f>SUM(SV5:SV14)</f>
        <v>805522</v>
      </c>
      <c r="SW15" s="4185">
        <f>SUM(SW5:SW14)</f>
        <v>1329898</v>
      </c>
      <c r="SX15" s="4186">
        <f>SUM(SX5:SX14)</f>
        <v>1307117.5425000002</v>
      </c>
      <c r="SY15" s="5386">
        <f t="shared" ref="SY15:SY22" si="234">SX15/SQ15</f>
        <v>4.1481749911582801E-2</v>
      </c>
      <c r="SZ15" s="4190">
        <f>SUM(SZ5:SZ14)</f>
        <v>0</v>
      </c>
      <c r="TA15" s="4185">
        <f>SUM(TA5:TA14)</f>
        <v>96108311.420000002</v>
      </c>
      <c r="TB15" s="4185">
        <f>SUM(TB5:TB14)</f>
        <v>11853181.631000001</v>
      </c>
      <c r="TC15" s="5386">
        <f t="shared" ref="TC15:TC24" si="235">TB15/TA15</f>
        <v>0.12333149397663198</v>
      </c>
      <c r="TD15" s="4190">
        <f>SUM(TD5:TD14)</f>
        <v>1025</v>
      </c>
      <c r="TE15" s="4185">
        <f>SUM(TE5:TE14)</f>
        <v>26842920.458000001</v>
      </c>
      <c r="TF15" s="4185">
        <f>SUM(TF5:TF14)</f>
        <v>30581840.420000002</v>
      </c>
      <c r="TG15" s="4185">
        <f>SUM(TG5:TG14)</f>
        <v>85496</v>
      </c>
      <c r="TH15" s="4186">
        <f>SUM(TH5:TH14)</f>
        <v>3653423.9620000003</v>
      </c>
      <c r="TI15" s="4179">
        <f t="shared" ref="TI15:TI22" si="236">TH15/TF15</f>
        <v>0.11946383578702881</v>
      </c>
      <c r="TJ15" s="4186">
        <f>SUM(TJ5:TJ14)</f>
        <v>609594</v>
      </c>
      <c r="TK15" s="4185">
        <f>SUM(TK5:TK14)</f>
        <v>805522</v>
      </c>
      <c r="TL15" s="4185">
        <f>SUM(TL5:TL14)</f>
        <v>881120</v>
      </c>
      <c r="TM15" s="4186">
        <f>SUM(TM5:TM14)</f>
        <v>1357187.9620000001</v>
      </c>
      <c r="TN15" s="5386">
        <f t="shared" ref="TN15:TN22" si="237">TM15/TF15</f>
        <v>4.4378884441252341E-2</v>
      </c>
      <c r="TO15" s="6265">
        <f>SUM(TO5:TO14)</f>
        <v>0</v>
      </c>
      <c r="TP15" s="4185">
        <f>SUM(TP5:TP14)</f>
        <v>0</v>
      </c>
      <c r="TQ15" s="4185">
        <f>SUM(TQ5:TQ14)</f>
        <v>0</v>
      </c>
      <c r="TR15" s="4185">
        <f>SUM(TR5:TR14)</f>
        <v>0</v>
      </c>
      <c r="TS15" s="4186">
        <f>SUM(TS5:TS14)</f>
        <v>0</v>
      </c>
      <c r="TT15" s="4179" t="e">
        <f t="shared" ref="TT15:TT24" si="238">TS15/TQ15</f>
        <v>#DIV/0!</v>
      </c>
      <c r="TU15" s="4186">
        <f>SUM(TU5:TU14)</f>
        <v>0</v>
      </c>
      <c r="TV15" s="4185">
        <f>SUM(TV5:TV14)</f>
        <v>0</v>
      </c>
      <c r="TW15" s="4185">
        <f>SUM(TW5:TW14)</f>
        <v>0</v>
      </c>
      <c r="TX15" s="4186">
        <f>SUM(TX5:TX14)</f>
        <v>0</v>
      </c>
      <c r="TY15" s="4172" t="e">
        <f t="shared" ref="TY15:TY24" si="239">TX15/TQ15</f>
        <v>#DIV/0!</v>
      </c>
      <c r="TZ15" s="4190">
        <f>SUM(TZ5:TZ14)</f>
        <v>0</v>
      </c>
      <c r="UA15" s="4185">
        <f>SUM(UA5:UA14)</f>
        <v>0</v>
      </c>
      <c r="UB15" s="4185">
        <f>SUM(UB5:UB14)</f>
        <v>0</v>
      </c>
      <c r="UC15" s="4185">
        <f>SUM(UC5:UC14)</f>
        <v>0</v>
      </c>
      <c r="UD15" s="4186">
        <f>SUM(UD5:UD14)</f>
        <v>0</v>
      </c>
      <c r="UE15" s="4179" t="e">
        <f t="shared" ref="UE15:UE24" si="240">UD15/UB15</f>
        <v>#DIV/0!</v>
      </c>
      <c r="UF15" s="4186">
        <f>SUM(UF5:UF14)</f>
        <v>0</v>
      </c>
      <c r="UG15" s="4185">
        <f>SUM(UG5:UG14)</f>
        <v>0</v>
      </c>
      <c r="UH15" s="4185">
        <f>SUM(UH5:UH14)</f>
        <v>0</v>
      </c>
      <c r="UI15" s="4186">
        <f>SUM(UI5:UI14)</f>
        <v>0</v>
      </c>
      <c r="UJ15" s="5386" t="e">
        <f t="shared" ref="UJ15:UJ24" si="241">UI15/UB15</f>
        <v>#DIV/0!</v>
      </c>
      <c r="UK15" s="6320">
        <f>SUM(UK5:UK14)</f>
        <v>0</v>
      </c>
      <c r="UL15" s="4185">
        <f>SUM(UL5:UL14)</f>
        <v>306530315.83999997</v>
      </c>
      <c r="UM15" s="4185">
        <f>SUM(UM5:UM14)</f>
        <v>37851916.779000014</v>
      </c>
      <c r="UN15" s="4172">
        <f>UM15/UL15</f>
        <v>0.12348506761973138</v>
      </c>
      <c r="UO15" s="4185">
        <f>SUM(UO5:UO14)</f>
        <v>6210692.8590000002</v>
      </c>
      <c r="UP15" s="6421">
        <f>UO15/UL15</f>
        <v>2.0261267933582804E-2</v>
      </c>
      <c r="UR15" s="4274">
        <f>UL15/6</f>
        <v>51088385.973333329</v>
      </c>
      <c r="US15" s="4274">
        <f>UM15/6</f>
        <v>6308652.796500002</v>
      </c>
      <c r="UT15" s="5310"/>
      <c r="UU15" s="4274"/>
    </row>
    <row r="16" spans="1:567" s="4139" customFormat="1" ht="15.05" x14ac:dyDescent="0.3">
      <c r="A16" s="5586"/>
      <c r="B16" s="5368"/>
      <c r="C16" s="4787"/>
      <c r="D16" s="4787"/>
      <c r="E16" s="6282"/>
      <c r="F16" s="4789"/>
      <c r="G16" s="4789"/>
      <c r="H16" s="4789"/>
      <c r="I16" s="4789"/>
      <c r="J16" s="4789"/>
      <c r="K16" s="4790"/>
      <c r="L16" s="4789"/>
      <c r="M16" s="4789"/>
      <c r="N16" s="4789"/>
      <c r="O16" s="4789"/>
      <c r="P16" s="4790"/>
      <c r="Q16" s="4789"/>
      <c r="R16" s="4789"/>
      <c r="S16" s="4789"/>
      <c r="T16" s="4791"/>
      <c r="U16" s="4792"/>
      <c r="V16" s="4787"/>
      <c r="W16" s="4787"/>
      <c r="X16" s="4787"/>
      <c r="Y16" s="4787"/>
      <c r="Z16" s="4793"/>
      <c r="AA16" s="4787"/>
      <c r="AB16" s="4787"/>
      <c r="AC16" s="4787"/>
      <c r="AD16" s="4787"/>
      <c r="AE16" s="4794"/>
      <c r="AF16" s="4787"/>
      <c r="AG16" s="4795"/>
      <c r="AH16" s="4796"/>
      <c r="AI16" s="4796"/>
      <c r="AJ16" s="4796"/>
      <c r="AK16" s="4797"/>
      <c r="AL16" s="4798"/>
      <c r="AM16" s="4799"/>
      <c r="AN16" s="4800"/>
      <c r="AO16" s="4800"/>
      <c r="AP16" s="4800"/>
      <c r="AQ16" s="4800"/>
      <c r="AR16" s="4798"/>
      <c r="AS16" s="4790"/>
      <c r="AT16" s="4789"/>
      <c r="AU16" s="4789"/>
      <c r="AV16" s="4789"/>
      <c r="AW16" s="4791"/>
      <c r="AX16" s="4790"/>
      <c r="AY16" s="4789"/>
      <c r="AZ16" s="4789"/>
      <c r="BA16" s="4789"/>
      <c r="BB16" s="4789"/>
      <c r="BC16" s="4801"/>
      <c r="BD16" s="4794"/>
      <c r="BE16" s="4794"/>
      <c r="BF16" s="4794"/>
      <c r="BG16" s="4794"/>
      <c r="BH16" s="4802"/>
      <c r="BI16" s="4801"/>
      <c r="BJ16" s="4794"/>
      <c r="BK16" s="4794"/>
      <c r="BL16" s="4794"/>
      <c r="BM16" s="4794"/>
      <c r="BN16" s="4802"/>
      <c r="BO16" s="4803"/>
      <c r="BP16" s="4794"/>
      <c r="BQ16" s="4794"/>
      <c r="BR16" s="4794"/>
      <c r="BS16" s="4794"/>
      <c r="BT16" s="4804"/>
      <c r="BU16" s="4794"/>
      <c r="BV16" s="4794"/>
      <c r="BW16" s="4794"/>
      <c r="BX16" s="4805"/>
      <c r="BY16" s="4803"/>
      <c r="BZ16" s="4794"/>
      <c r="CA16" s="4794"/>
      <c r="CB16" s="4794"/>
      <c r="CC16" s="4794"/>
      <c r="CD16" s="4806"/>
      <c r="CE16" s="4803"/>
      <c r="CF16" s="4794"/>
      <c r="CG16" s="4794"/>
      <c r="CH16" s="4794"/>
      <c r="CI16" s="4794"/>
      <c r="CJ16" s="4806"/>
      <c r="CK16" s="4807"/>
      <c r="CL16" s="4789"/>
      <c r="CM16" s="4789"/>
      <c r="CN16" s="4789"/>
      <c r="CO16" s="4789"/>
      <c r="CP16" s="4798"/>
      <c r="CQ16" s="4808"/>
      <c r="CR16" s="4789"/>
      <c r="CS16" s="4789"/>
      <c r="CT16" s="4789"/>
      <c r="CU16" s="4789"/>
      <c r="CV16" s="4805"/>
      <c r="CW16" s="4807"/>
      <c r="CX16" s="4789"/>
      <c r="CY16" s="4789"/>
      <c r="CZ16" s="4789"/>
      <c r="DA16" s="4789"/>
      <c r="DB16" s="4798"/>
      <c r="DC16" s="4808"/>
      <c r="DD16" s="4789"/>
      <c r="DE16" s="4789"/>
      <c r="DF16" s="4789"/>
      <c r="DG16" s="4789"/>
      <c r="DH16" s="4809"/>
      <c r="DI16" s="4807"/>
      <c r="DJ16" s="4789"/>
      <c r="DK16" s="4789"/>
      <c r="DL16" s="4789"/>
      <c r="DM16" s="4789"/>
      <c r="DN16" s="4805"/>
      <c r="DO16" s="4807"/>
      <c r="DP16" s="4789"/>
      <c r="DQ16" s="4789"/>
      <c r="DR16" s="4789"/>
      <c r="DS16" s="4789"/>
      <c r="DT16" s="4805"/>
      <c r="DU16" s="4805"/>
      <c r="DV16" s="4810"/>
      <c r="DW16" s="4807"/>
      <c r="DX16" s="4789"/>
      <c r="DY16" s="4789"/>
      <c r="DZ16" s="4789"/>
      <c r="EA16" s="4805"/>
      <c r="EB16" s="4805"/>
      <c r="EC16" s="4805"/>
      <c r="ED16" s="4810"/>
      <c r="EE16" s="4803"/>
      <c r="EF16" s="4794"/>
      <c r="EG16" s="4794"/>
      <c r="EH16" s="4789"/>
      <c r="EI16" s="4789"/>
      <c r="EJ16" s="4798"/>
      <c r="EK16" s="4808"/>
      <c r="EL16" s="4789"/>
      <c r="EM16" s="4789"/>
      <c r="EN16" s="4789"/>
      <c r="EO16" s="4789"/>
      <c r="EP16" s="4798"/>
      <c r="EQ16" s="4803"/>
      <c r="ER16" s="4794"/>
      <c r="ES16" s="4794"/>
      <c r="ET16" s="4789"/>
      <c r="EU16" s="4789"/>
      <c r="EV16" s="4798"/>
      <c r="EW16" s="4808"/>
      <c r="EX16" s="4789"/>
      <c r="EY16" s="4789"/>
      <c r="EZ16" s="4789"/>
      <c r="FA16" s="4789"/>
      <c r="FB16" s="4798"/>
      <c r="FC16" s="4811"/>
      <c r="FD16" s="4812"/>
      <c r="FE16" s="4812"/>
      <c r="FF16" s="4812"/>
      <c r="FG16" s="4805"/>
      <c r="FH16" s="4805"/>
      <c r="FI16" s="4805"/>
      <c r="FJ16" s="4810"/>
      <c r="FK16" s="4807"/>
      <c r="FL16" s="4789"/>
      <c r="FM16" s="4789"/>
      <c r="FN16" s="4789"/>
      <c r="FO16" s="4789"/>
      <c r="FP16" s="4805"/>
      <c r="FQ16" s="4807"/>
      <c r="FR16" s="4789"/>
      <c r="FS16" s="4789"/>
      <c r="FT16" s="4789"/>
      <c r="FU16" s="4789"/>
      <c r="FV16" s="4807"/>
      <c r="FW16" s="4789"/>
      <c r="FX16" s="4789"/>
      <c r="FY16" s="4789"/>
      <c r="FZ16" s="4789"/>
      <c r="GA16" s="4805"/>
      <c r="GB16" s="4805"/>
      <c r="GC16" s="4805"/>
      <c r="GD16" s="4810"/>
      <c r="GE16" s="4807"/>
      <c r="GF16" s="4789"/>
      <c r="GG16" s="4789"/>
      <c r="GH16" s="4789"/>
      <c r="GI16" s="4789"/>
      <c r="GJ16" s="4813"/>
      <c r="GK16" s="4814"/>
      <c r="GL16" s="4814"/>
      <c r="GM16" s="4815"/>
      <c r="GN16" s="4807"/>
      <c r="GO16" s="4789"/>
      <c r="GP16" s="4789"/>
      <c r="GQ16" s="4789"/>
      <c r="GR16" s="4789"/>
      <c r="GS16" s="4805"/>
      <c r="GT16" s="4807"/>
      <c r="GU16" s="4789"/>
      <c r="GV16" s="4789"/>
      <c r="GW16" s="4789"/>
      <c r="GX16" s="4789"/>
      <c r="GY16" s="4810"/>
      <c r="GZ16" s="4807"/>
      <c r="HA16" s="4789"/>
      <c r="HB16" s="4789"/>
      <c r="HC16" s="4789"/>
      <c r="HD16" s="4789"/>
      <c r="HE16" s="4805"/>
      <c r="HF16" s="4808"/>
      <c r="HG16" s="4789"/>
      <c r="HH16" s="4789"/>
      <c r="HI16" s="4789"/>
      <c r="HJ16" s="4789"/>
      <c r="HK16" s="4810"/>
      <c r="HL16" s="4816"/>
      <c r="HM16" s="4789"/>
      <c r="HN16" s="4789"/>
      <c r="HO16" s="4789"/>
      <c r="HP16" s="4789"/>
      <c r="HQ16" s="4810"/>
      <c r="HR16" s="4790"/>
      <c r="HS16" s="4789"/>
      <c r="HT16" s="4789"/>
      <c r="HU16" s="4789"/>
      <c r="HV16" s="4814"/>
      <c r="HW16" s="4810"/>
      <c r="HX16" s="4816"/>
      <c r="HY16" s="4789"/>
      <c r="HZ16" s="4791"/>
      <c r="IA16" s="4805"/>
      <c r="IB16" s="4791"/>
      <c r="IC16" s="4789"/>
      <c r="ID16" s="4816"/>
      <c r="IE16" s="4789"/>
      <c r="IF16" s="4789"/>
      <c r="IG16" s="4805"/>
      <c r="IH16" s="4791"/>
      <c r="II16" s="4788"/>
      <c r="IJ16" s="4816"/>
      <c r="IK16" s="4789"/>
      <c r="IL16" s="4789"/>
      <c r="IM16" s="4789"/>
      <c r="IN16" s="4790"/>
      <c r="IO16" s="4810"/>
      <c r="IP16" s="4790"/>
      <c r="IQ16" s="4789"/>
      <c r="IR16" s="4789"/>
      <c r="IS16" s="4790"/>
      <c r="IT16" s="4810"/>
      <c r="IU16" s="4816"/>
      <c r="IV16" s="4789"/>
      <c r="IW16" s="4789"/>
      <c r="IX16" s="4789"/>
      <c r="IY16" s="4790"/>
      <c r="IZ16" s="4810"/>
      <c r="JA16" s="4790"/>
      <c r="JB16" s="4789"/>
      <c r="JC16" s="4789"/>
      <c r="JD16" s="4790"/>
      <c r="JE16" s="4810"/>
      <c r="JF16" s="4816"/>
      <c r="JG16" s="4789"/>
      <c r="JH16" s="4789"/>
      <c r="JI16" s="4789"/>
      <c r="JJ16" s="4790"/>
      <c r="JK16" s="4810"/>
      <c r="JL16" s="4790"/>
      <c r="JM16" s="4789"/>
      <c r="JN16" s="4789"/>
      <c r="JO16" s="4790"/>
      <c r="JP16" s="4810"/>
      <c r="JQ16" s="4790"/>
      <c r="JR16" s="4789"/>
      <c r="JS16" s="4789"/>
      <c r="JT16" s="4810"/>
      <c r="JU16" s="4816"/>
      <c r="JV16" s="4789"/>
      <c r="JW16" s="4789"/>
      <c r="JX16" s="4789"/>
      <c r="JY16" s="4790"/>
      <c r="JZ16" s="4810"/>
      <c r="KA16" s="4790"/>
      <c r="KB16" s="4789"/>
      <c r="KC16" s="4789"/>
      <c r="KD16" s="4790"/>
      <c r="KE16" s="4810"/>
      <c r="KF16" s="4816"/>
      <c r="KG16" s="4789"/>
      <c r="KH16" s="4789"/>
      <c r="KI16" s="4789"/>
      <c r="KJ16" s="4790"/>
      <c r="KK16" s="4810"/>
      <c r="KL16" s="4790"/>
      <c r="KM16" s="4789"/>
      <c r="KN16" s="4789"/>
      <c r="KO16" s="4790"/>
      <c r="KP16" s="4810"/>
      <c r="KQ16" s="4816"/>
      <c r="KR16" s="4789"/>
      <c r="KS16" s="4789"/>
      <c r="KT16" s="4789"/>
      <c r="KU16" s="4790"/>
      <c r="KV16" s="4810"/>
      <c r="KW16" s="4790"/>
      <c r="KX16" s="4789"/>
      <c r="KY16" s="4789"/>
      <c r="KZ16" s="4790"/>
      <c r="LA16" s="4810"/>
      <c r="LB16" s="4790"/>
      <c r="LC16" s="4789"/>
      <c r="LD16" s="4789"/>
      <c r="LE16" s="4810"/>
      <c r="LF16" s="4790"/>
      <c r="LG16" s="4800"/>
      <c r="LH16" s="4817"/>
      <c r="LI16" s="4818"/>
      <c r="LJ16" s="4818"/>
      <c r="LK16" s="4798"/>
      <c r="LL16" s="4816"/>
      <c r="LM16" s="4789"/>
      <c r="LN16" s="4789"/>
      <c r="LO16" s="4789"/>
      <c r="LP16" s="4790"/>
      <c r="LQ16" s="4810"/>
      <c r="LR16" s="4790"/>
      <c r="LS16" s="4789"/>
      <c r="LT16" s="4789"/>
      <c r="LU16" s="4790"/>
      <c r="LV16" s="4810"/>
      <c r="LW16" s="4819"/>
      <c r="LX16" s="4789"/>
      <c r="LY16" s="4789"/>
      <c r="LZ16" s="4789"/>
      <c r="MA16" s="4790"/>
      <c r="MB16" s="4810"/>
      <c r="MC16" s="4789"/>
      <c r="MD16" s="4789"/>
      <c r="ME16" s="4789"/>
      <c r="MF16" s="4790"/>
      <c r="MG16" s="4810"/>
      <c r="MH16" s="4819"/>
      <c r="MI16" s="4789"/>
      <c r="MJ16" s="4789"/>
      <c r="MK16" s="4789"/>
      <c r="ML16" s="4790"/>
      <c r="MM16" s="4810"/>
      <c r="MN16" s="4789"/>
      <c r="MO16" s="4789"/>
      <c r="MP16" s="4789"/>
      <c r="MQ16" s="4790"/>
      <c r="MR16" s="4810"/>
      <c r="MS16" s="4819"/>
      <c r="MT16" s="4789"/>
      <c r="MU16" s="4789"/>
      <c r="MV16" s="4805"/>
      <c r="MW16" s="4790"/>
      <c r="MX16" s="4789"/>
      <c r="MY16" s="4789"/>
      <c r="MZ16" s="4805"/>
      <c r="NA16" s="4805"/>
      <c r="NB16" s="4810"/>
      <c r="NC16" s="4819"/>
      <c r="ND16" s="4789"/>
      <c r="NE16" s="4789"/>
      <c r="NF16" s="4789"/>
      <c r="NG16" s="4790"/>
      <c r="NH16" s="4810"/>
      <c r="NI16" s="4789"/>
      <c r="NJ16" s="4789"/>
      <c r="NK16" s="4789"/>
      <c r="NL16" s="4790"/>
      <c r="NM16" s="4805"/>
      <c r="NN16" s="4820"/>
      <c r="NO16" s="4789"/>
      <c r="NP16" s="4789"/>
      <c r="NQ16" s="4789"/>
      <c r="NR16" s="4790"/>
      <c r="NS16" s="4810"/>
      <c r="NT16" s="4789"/>
      <c r="NU16" s="4789"/>
      <c r="NV16" s="4789"/>
      <c r="NW16" s="4790"/>
      <c r="NX16" s="4805"/>
      <c r="NY16" s="4820"/>
      <c r="NZ16" s="4789"/>
      <c r="OA16" s="4789"/>
      <c r="OB16" s="4789"/>
      <c r="OC16" s="4790"/>
      <c r="OD16" s="4810"/>
      <c r="OE16" s="4789"/>
      <c r="OF16" s="4789"/>
      <c r="OG16" s="4789"/>
      <c r="OH16" s="4790"/>
      <c r="OI16" s="5387"/>
      <c r="OJ16" s="4788"/>
      <c r="OK16" s="4821"/>
      <c r="OL16" s="4821"/>
      <c r="OM16" s="4822"/>
      <c r="ON16" s="4821"/>
      <c r="OO16" s="4810"/>
      <c r="OP16" s="4788"/>
      <c r="OQ16" s="4820"/>
      <c r="OR16" s="4789"/>
      <c r="OS16" s="4789"/>
      <c r="OT16" s="4789"/>
      <c r="OU16" s="4790"/>
      <c r="OV16" s="4823"/>
      <c r="OW16" s="4790"/>
      <c r="OX16" s="4789"/>
      <c r="OY16" s="4789"/>
      <c r="OZ16" s="4790"/>
      <c r="PA16" s="5369"/>
      <c r="PB16" s="4819"/>
      <c r="PC16" s="4789"/>
      <c r="PD16" s="4789"/>
      <c r="PE16" s="4789"/>
      <c r="PF16" s="4790"/>
      <c r="PG16" s="4823"/>
      <c r="PH16" s="4790"/>
      <c r="PI16" s="4789"/>
      <c r="PJ16" s="4789"/>
      <c r="PK16" s="4790"/>
      <c r="PL16" s="4805"/>
      <c r="PM16" s="4820"/>
      <c r="PN16" s="4789"/>
      <c r="PO16" s="4789"/>
      <c r="PP16" s="4789"/>
      <c r="PQ16" s="6303"/>
      <c r="PR16" s="6304"/>
      <c r="PS16" s="4789"/>
      <c r="PT16" s="4789"/>
      <c r="PU16" s="4789"/>
      <c r="PV16" s="4790"/>
      <c r="PW16" s="5387"/>
      <c r="PX16" s="4789"/>
      <c r="PY16" s="4789"/>
      <c r="PZ16" s="4789"/>
      <c r="QA16" s="4805"/>
      <c r="QB16" s="4820"/>
      <c r="QC16" s="4789"/>
      <c r="QD16" s="4789"/>
      <c r="QE16" s="4789"/>
      <c r="QF16" s="6303"/>
      <c r="QG16" s="6304"/>
      <c r="QH16" s="4789"/>
      <c r="QI16" s="4789"/>
      <c r="QJ16" s="4789"/>
      <c r="QK16" s="4790"/>
      <c r="QL16" s="5387"/>
      <c r="QM16" s="4820"/>
      <c r="QN16" s="4789"/>
      <c r="QO16" s="4789"/>
      <c r="QP16" s="4789"/>
      <c r="QQ16" s="4790"/>
      <c r="QR16" s="4810"/>
      <c r="QS16" s="4790"/>
      <c r="QT16" s="4789"/>
      <c r="QU16" s="4789"/>
      <c r="QV16" s="4790"/>
      <c r="QW16" s="5387"/>
      <c r="QX16" s="5399"/>
      <c r="QY16" s="4824"/>
      <c r="QZ16" s="4824"/>
      <c r="RA16" s="4824"/>
      <c r="RB16" s="4825"/>
      <c r="RC16" s="4826"/>
      <c r="RD16" s="4825"/>
      <c r="RE16" s="4824"/>
      <c r="RF16" s="4824"/>
      <c r="RG16" s="4825"/>
      <c r="RH16" s="5400"/>
      <c r="RI16" s="6321"/>
      <c r="RJ16" s="4824"/>
      <c r="RK16" s="4824"/>
      <c r="RL16" s="5400"/>
      <c r="RM16" s="6324"/>
      <c r="RN16" s="4800"/>
      <c r="RO16" s="4817"/>
      <c r="RP16" s="4818"/>
      <c r="RQ16" s="4818"/>
      <c r="RR16" s="6345"/>
      <c r="RS16" s="6331"/>
      <c r="RT16" s="4800"/>
      <c r="RU16" s="4800"/>
      <c r="RV16" s="5313"/>
      <c r="RW16" s="4790"/>
      <c r="RX16" s="4810"/>
      <c r="RY16" s="4790"/>
      <c r="RZ16" s="4789"/>
      <c r="SA16" s="4789"/>
      <c r="SB16" s="4790"/>
      <c r="SC16" s="5387"/>
      <c r="SD16" s="5402"/>
      <c r="SE16" s="4800"/>
      <c r="SF16" s="4800"/>
      <c r="SG16" s="6354"/>
      <c r="SH16" s="6371"/>
      <c r="SI16" s="6372"/>
      <c r="SJ16" s="4789"/>
      <c r="SK16" s="4789"/>
      <c r="SL16" s="4789"/>
      <c r="SM16" s="4790"/>
      <c r="SN16" s="5387"/>
      <c r="SO16" s="4819"/>
      <c r="SP16" s="4789"/>
      <c r="SQ16" s="4789"/>
      <c r="SR16" s="4789"/>
      <c r="SS16" s="6371"/>
      <c r="ST16" s="6372"/>
      <c r="SU16" s="4789"/>
      <c r="SV16" s="4789"/>
      <c r="SW16" s="4789"/>
      <c r="SX16" s="4790"/>
      <c r="SY16" s="5387"/>
      <c r="SZ16" s="4820"/>
      <c r="TA16" s="4789"/>
      <c r="TB16" s="4789"/>
      <c r="TC16" s="5387"/>
      <c r="TD16" s="4820"/>
      <c r="TE16" s="4789"/>
      <c r="TF16" s="4789"/>
      <c r="TG16" s="4789"/>
      <c r="TH16" s="6371"/>
      <c r="TI16" s="6372"/>
      <c r="TJ16" s="4789"/>
      <c r="TK16" s="4789"/>
      <c r="TL16" s="4789"/>
      <c r="TM16" s="4790"/>
      <c r="TN16" s="5387"/>
      <c r="TO16" s="4819"/>
      <c r="TP16" s="4789"/>
      <c r="TQ16" s="4789"/>
      <c r="TR16" s="4789"/>
      <c r="TS16" s="4790"/>
      <c r="TT16" s="4810"/>
      <c r="TU16" s="4789"/>
      <c r="TV16" s="4789"/>
      <c r="TW16" s="4789"/>
      <c r="TX16" s="4790"/>
      <c r="TY16" s="4805"/>
      <c r="TZ16" s="4820"/>
      <c r="UA16" s="4789"/>
      <c r="UB16" s="4789"/>
      <c r="UC16" s="4789"/>
      <c r="UD16" s="4790"/>
      <c r="UE16" s="4810"/>
      <c r="UF16" s="4789"/>
      <c r="UG16" s="4789"/>
      <c r="UH16" s="4789"/>
      <c r="UI16" s="4790"/>
      <c r="UJ16" s="5387"/>
      <c r="UK16" s="6324"/>
      <c r="UL16" s="4789"/>
      <c r="UM16" s="4789"/>
      <c r="UN16" s="4822"/>
      <c r="UO16" s="4789"/>
      <c r="UP16" s="5389"/>
      <c r="UR16" s="4274"/>
      <c r="US16" s="4274"/>
    </row>
    <row r="17" spans="1:567" s="4139" customFormat="1" ht="16.7" customHeight="1" thickBot="1" x14ac:dyDescent="0.35">
      <c r="A17" s="5587">
        <v>1</v>
      </c>
      <c r="B17" s="5371" t="s">
        <v>1024</v>
      </c>
      <c r="C17" s="5495"/>
      <c r="D17" s="5495"/>
      <c r="E17" s="6283"/>
      <c r="F17" s="5496"/>
      <c r="G17" s="5496"/>
      <c r="H17" s="5496"/>
      <c r="I17" s="5496"/>
      <c r="J17" s="5496"/>
      <c r="K17" s="5497"/>
      <c r="L17" s="5496"/>
      <c r="M17" s="5496"/>
      <c r="N17" s="5496"/>
      <c r="O17" s="5496"/>
      <c r="P17" s="5497"/>
      <c r="Q17" s="5496"/>
      <c r="R17" s="5496"/>
      <c r="S17" s="5496"/>
      <c r="T17" s="5498"/>
      <c r="U17" s="5499"/>
      <c r="V17" s="5495"/>
      <c r="W17" s="5495"/>
      <c r="X17" s="5495"/>
      <c r="Y17" s="5495"/>
      <c r="Z17" s="5500"/>
      <c r="AA17" s="5495"/>
      <c r="AB17" s="5495"/>
      <c r="AC17" s="5495"/>
      <c r="AD17" s="5495"/>
      <c r="AE17" s="5501"/>
      <c r="AF17" s="5495"/>
      <c r="AG17" s="5502"/>
      <c r="AH17" s="5503"/>
      <c r="AI17" s="5503"/>
      <c r="AJ17" s="5503"/>
      <c r="AK17" s="5504"/>
      <c r="AL17" s="5505"/>
      <c r="AM17" s="5506"/>
      <c r="AN17" s="5507"/>
      <c r="AO17" s="5507"/>
      <c r="AP17" s="5507"/>
      <c r="AQ17" s="5507"/>
      <c r="AR17" s="5505"/>
      <c r="AS17" s="5497"/>
      <c r="AT17" s="5496"/>
      <c r="AU17" s="5496"/>
      <c r="AV17" s="5496"/>
      <c r="AW17" s="5498"/>
      <c r="AX17" s="5497"/>
      <c r="AY17" s="5496"/>
      <c r="AZ17" s="5496"/>
      <c r="BA17" s="5496"/>
      <c r="BB17" s="5496"/>
      <c r="BC17" s="5508"/>
      <c r="BD17" s="5501"/>
      <c r="BE17" s="5501"/>
      <c r="BF17" s="5501"/>
      <c r="BG17" s="5501"/>
      <c r="BH17" s="5509"/>
      <c r="BI17" s="5508"/>
      <c r="BJ17" s="5501"/>
      <c r="BK17" s="5501"/>
      <c r="BL17" s="5501"/>
      <c r="BM17" s="5501"/>
      <c r="BN17" s="5509"/>
      <c r="BO17" s="5510"/>
      <c r="BP17" s="5501"/>
      <c r="BQ17" s="5501"/>
      <c r="BR17" s="5501"/>
      <c r="BS17" s="5501"/>
      <c r="BT17" s="5511"/>
      <c r="BU17" s="5501"/>
      <c r="BV17" s="5501"/>
      <c r="BW17" s="5501"/>
      <c r="BX17" s="5512"/>
      <c r="BY17" s="5510"/>
      <c r="BZ17" s="5501"/>
      <c r="CA17" s="5501"/>
      <c r="CB17" s="5501"/>
      <c r="CC17" s="5501"/>
      <c r="CD17" s="5513"/>
      <c r="CE17" s="5510"/>
      <c r="CF17" s="5501"/>
      <c r="CG17" s="5501"/>
      <c r="CH17" s="5501"/>
      <c r="CI17" s="5501"/>
      <c r="CJ17" s="5513"/>
      <c r="CK17" s="5514"/>
      <c r="CL17" s="5496"/>
      <c r="CM17" s="5496"/>
      <c r="CN17" s="5496"/>
      <c r="CO17" s="5496"/>
      <c r="CP17" s="5505"/>
      <c r="CQ17" s="5515"/>
      <c r="CR17" s="5496"/>
      <c r="CS17" s="5496"/>
      <c r="CT17" s="5496"/>
      <c r="CU17" s="5496"/>
      <c r="CV17" s="5512"/>
      <c r="CW17" s="5514"/>
      <c r="CX17" s="5496"/>
      <c r="CY17" s="5496"/>
      <c r="CZ17" s="5496"/>
      <c r="DA17" s="5496"/>
      <c r="DB17" s="5505"/>
      <c r="DC17" s="5515"/>
      <c r="DD17" s="5496"/>
      <c r="DE17" s="5496"/>
      <c r="DF17" s="5496"/>
      <c r="DG17" s="5496"/>
      <c r="DH17" s="5516"/>
      <c r="DI17" s="5514"/>
      <c r="DJ17" s="5496"/>
      <c r="DK17" s="5496"/>
      <c r="DL17" s="5496"/>
      <c r="DM17" s="5496"/>
      <c r="DN17" s="5512"/>
      <c r="DO17" s="5514"/>
      <c r="DP17" s="5496"/>
      <c r="DQ17" s="5496"/>
      <c r="DR17" s="5496"/>
      <c r="DS17" s="5496"/>
      <c r="DT17" s="5512"/>
      <c r="DU17" s="5512"/>
      <c r="DV17" s="5517"/>
      <c r="DW17" s="5514"/>
      <c r="DX17" s="5496"/>
      <c r="DY17" s="5496"/>
      <c r="DZ17" s="5496"/>
      <c r="EA17" s="5512"/>
      <c r="EB17" s="5512"/>
      <c r="EC17" s="5512"/>
      <c r="ED17" s="5517"/>
      <c r="EE17" s="5510"/>
      <c r="EF17" s="5501"/>
      <c r="EG17" s="5501"/>
      <c r="EH17" s="5496"/>
      <c r="EI17" s="5496"/>
      <c r="EJ17" s="5505"/>
      <c r="EK17" s="5515"/>
      <c r="EL17" s="5496"/>
      <c r="EM17" s="5496"/>
      <c r="EN17" s="5496"/>
      <c r="EO17" s="5496"/>
      <c r="EP17" s="5505"/>
      <c r="EQ17" s="5510"/>
      <c r="ER17" s="5501"/>
      <c r="ES17" s="5501"/>
      <c r="ET17" s="5496"/>
      <c r="EU17" s="5496"/>
      <c r="EV17" s="5505"/>
      <c r="EW17" s="5515"/>
      <c r="EX17" s="5496"/>
      <c r="EY17" s="5496"/>
      <c r="EZ17" s="5496"/>
      <c r="FA17" s="5496"/>
      <c r="FB17" s="5505"/>
      <c r="FC17" s="5518"/>
      <c r="FD17" s="5519"/>
      <c r="FE17" s="5519"/>
      <c r="FF17" s="5519"/>
      <c r="FG17" s="5512"/>
      <c r="FH17" s="5512"/>
      <c r="FI17" s="5512"/>
      <c r="FJ17" s="5517"/>
      <c r="FK17" s="5514"/>
      <c r="FL17" s="5496"/>
      <c r="FM17" s="5496"/>
      <c r="FN17" s="5496"/>
      <c r="FO17" s="5496"/>
      <c r="FP17" s="5512"/>
      <c r="FQ17" s="5514"/>
      <c r="FR17" s="5496"/>
      <c r="FS17" s="5496"/>
      <c r="FT17" s="5496"/>
      <c r="FU17" s="5496"/>
      <c r="FV17" s="5514"/>
      <c r="FW17" s="5496"/>
      <c r="FX17" s="5496"/>
      <c r="FY17" s="5496"/>
      <c r="FZ17" s="5496"/>
      <c r="GA17" s="5512"/>
      <c r="GB17" s="5512"/>
      <c r="GC17" s="5512"/>
      <c r="GD17" s="5517"/>
      <c r="GE17" s="5514"/>
      <c r="GF17" s="5496"/>
      <c r="GG17" s="5496"/>
      <c r="GH17" s="5496"/>
      <c r="GI17" s="5496"/>
      <c r="GJ17" s="5520"/>
      <c r="GK17" s="5521"/>
      <c r="GL17" s="5521"/>
      <c r="GM17" s="5522"/>
      <c r="GN17" s="5514"/>
      <c r="GO17" s="5496"/>
      <c r="GP17" s="5496"/>
      <c r="GQ17" s="5496"/>
      <c r="GR17" s="5496"/>
      <c r="GS17" s="5512"/>
      <c r="GT17" s="5514"/>
      <c r="GU17" s="5496"/>
      <c r="GV17" s="5496"/>
      <c r="GW17" s="5496"/>
      <c r="GX17" s="5496"/>
      <c r="GY17" s="5517"/>
      <c r="GZ17" s="5514"/>
      <c r="HA17" s="5496"/>
      <c r="HB17" s="5496"/>
      <c r="HC17" s="5496"/>
      <c r="HD17" s="5496"/>
      <c r="HE17" s="5512"/>
      <c r="HF17" s="5515"/>
      <c r="HG17" s="5496"/>
      <c r="HH17" s="5496"/>
      <c r="HI17" s="5496"/>
      <c r="HJ17" s="5496"/>
      <c r="HK17" s="5517"/>
      <c r="HL17" s="5523"/>
      <c r="HM17" s="5496"/>
      <c r="HN17" s="5496"/>
      <c r="HO17" s="5496"/>
      <c r="HP17" s="5496"/>
      <c r="HQ17" s="5517"/>
      <c r="HR17" s="5497"/>
      <c r="HS17" s="5496"/>
      <c r="HT17" s="5496"/>
      <c r="HU17" s="5496"/>
      <c r="HV17" s="5521"/>
      <c r="HW17" s="5517"/>
      <c r="HX17" s="5523"/>
      <c r="HY17" s="5496"/>
      <c r="HZ17" s="5498"/>
      <c r="IA17" s="5512"/>
      <c r="IB17" s="5498"/>
      <c r="IC17" s="5496"/>
      <c r="ID17" s="5523"/>
      <c r="IE17" s="5496"/>
      <c r="IF17" s="5496"/>
      <c r="IG17" s="5512"/>
      <c r="IH17" s="5498"/>
      <c r="II17" s="5524"/>
      <c r="IJ17" s="5523"/>
      <c r="IK17" s="5496"/>
      <c r="IL17" s="5496"/>
      <c r="IM17" s="5496"/>
      <c r="IN17" s="5497"/>
      <c r="IO17" s="5517"/>
      <c r="IP17" s="5497"/>
      <c r="IQ17" s="5496"/>
      <c r="IR17" s="5496"/>
      <c r="IS17" s="5497"/>
      <c r="IT17" s="5517"/>
      <c r="IU17" s="5523"/>
      <c r="IV17" s="5496"/>
      <c r="IW17" s="5496"/>
      <c r="IX17" s="5496"/>
      <c r="IY17" s="5497"/>
      <c r="IZ17" s="5517"/>
      <c r="JA17" s="5497"/>
      <c r="JB17" s="5496"/>
      <c r="JC17" s="5496"/>
      <c r="JD17" s="5497"/>
      <c r="JE17" s="5517"/>
      <c r="JF17" s="5523"/>
      <c r="JG17" s="5496"/>
      <c r="JH17" s="5496"/>
      <c r="JI17" s="5496"/>
      <c r="JJ17" s="5497"/>
      <c r="JK17" s="5517"/>
      <c r="JL17" s="5497"/>
      <c r="JM17" s="5496"/>
      <c r="JN17" s="5496"/>
      <c r="JO17" s="5497"/>
      <c r="JP17" s="5517"/>
      <c r="JQ17" s="5497"/>
      <c r="JR17" s="5496"/>
      <c r="JS17" s="5496"/>
      <c r="JT17" s="5517"/>
      <c r="JU17" s="5523"/>
      <c r="JV17" s="5496"/>
      <c r="JW17" s="5496"/>
      <c r="JX17" s="5496"/>
      <c r="JY17" s="5497"/>
      <c r="JZ17" s="5517"/>
      <c r="KA17" s="5497"/>
      <c r="KB17" s="5496"/>
      <c r="KC17" s="5496"/>
      <c r="KD17" s="5497"/>
      <c r="KE17" s="5517"/>
      <c r="KF17" s="5523"/>
      <c r="KG17" s="5496"/>
      <c r="KH17" s="5496"/>
      <c r="KI17" s="5496"/>
      <c r="KJ17" s="5497"/>
      <c r="KK17" s="5517"/>
      <c r="KL17" s="5497"/>
      <c r="KM17" s="5496"/>
      <c r="KN17" s="5496"/>
      <c r="KO17" s="5497"/>
      <c r="KP17" s="5517"/>
      <c r="KQ17" s="5523"/>
      <c r="KR17" s="5496"/>
      <c r="KS17" s="5496"/>
      <c r="KT17" s="5496"/>
      <c r="KU17" s="5497"/>
      <c r="KV17" s="5517"/>
      <c r="KW17" s="5497"/>
      <c r="KX17" s="5496"/>
      <c r="KY17" s="5496"/>
      <c r="KZ17" s="5497"/>
      <c r="LA17" s="5517"/>
      <c r="LB17" s="5497"/>
      <c r="LC17" s="5496"/>
      <c r="LD17" s="5496"/>
      <c r="LE17" s="5517"/>
      <c r="LF17" s="5497"/>
      <c r="LG17" s="5507"/>
      <c r="LH17" s="5525"/>
      <c r="LI17" s="5526"/>
      <c r="LJ17" s="5526"/>
      <c r="LK17" s="5505"/>
      <c r="LL17" s="5523"/>
      <c r="LM17" s="5496"/>
      <c r="LN17" s="5496"/>
      <c r="LO17" s="5496"/>
      <c r="LP17" s="5497"/>
      <c r="LQ17" s="5517"/>
      <c r="LR17" s="5497"/>
      <c r="LS17" s="5496"/>
      <c r="LT17" s="5496"/>
      <c r="LU17" s="5497"/>
      <c r="LV17" s="5517"/>
      <c r="LW17" s="5527"/>
      <c r="LX17" s="5496"/>
      <c r="LY17" s="5496"/>
      <c r="LZ17" s="5496"/>
      <c r="MA17" s="5497"/>
      <c r="MB17" s="5517"/>
      <c r="MC17" s="5496"/>
      <c r="MD17" s="5496"/>
      <c r="ME17" s="5496"/>
      <c r="MF17" s="5497"/>
      <c r="MG17" s="5517"/>
      <c r="MH17" s="5527"/>
      <c r="MI17" s="5496"/>
      <c r="MJ17" s="5496"/>
      <c r="MK17" s="5496"/>
      <c r="ML17" s="5497"/>
      <c r="MM17" s="5517"/>
      <c r="MN17" s="5496"/>
      <c r="MO17" s="5496"/>
      <c r="MP17" s="5496"/>
      <c r="MQ17" s="5497"/>
      <c r="MR17" s="5517"/>
      <c r="MS17" s="5527"/>
      <c r="MT17" s="5496"/>
      <c r="MU17" s="5496"/>
      <c r="MV17" s="5512"/>
      <c r="MW17" s="5497"/>
      <c r="MX17" s="5496"/>
      <c r="MY17" s="5496"/>
      <c r="MZ17" s="5512"/>
      <c r="NA17" s="5512"/>
      <c r="NB17" s="5517"/>
      <c r="NC17" s="5527"/>
      <c r="ND17" s="5496"/>
      <c r="NE17" s="5496"/>
      <c r="NF17" s="5496"/>
      <c r="NG17" s="5497"/>
      <c r="NH17" s="5517"/>
      <c r="NI17" s="5496"/>
      <c r="NJ17" s="5496"/>
      <c r="NK17" s="5496"/>
      <c r="NL17" s="5497"/>
      <c r="NM17" s="5512"/>
      <c r="NN17" s="5528"/>
      <c r="NO17" s="5496"/>
      <c r="NP17" s="5496"/>
      <c r="NQ17" s="5496"/>
      <c r="NR17" s="5497"/>
      <c r="NS17" s="5517"/>
      <c r="NT17" s="5496"/>
      <c r="NU17" s="5496"/>
      <c r="NV17" s="5496"/>
      <c r="NW17" s="5497"/>
      <c r="NX17" s="5512"/>
      <c r="NY17" s="5528"/>
      <c r="NZ17" s="5496"/>
      <c r="OA17" s="5496"/>
      <c r="OB17" s="5496"/>
      <c r="OC17" s="5497"/>
      <c r="OD17" s="5517"/>
      <c r="OE17" s="5496"/>
      <c r="OF17" s="5496"/>
      <c r="OG17" s="5496"/>
      <c r="OH17" s="5497"/>
      <c r="OI17" s="5533"/>
      <c r="OJ17" s="5524"/>
      <c r="OK17" s="5529"/>
      <c r="OL17" s="5529"/>
      <c r="OM17" s="5530"/>
      <c r="ON17" s="5529"/>
      <c r="OO17" s="5517"/>
      <c r="OP17" s="5524"/>
      <c r="OQ17" s="5528"/>
      <c r="OR17" s="5496"/>
      <c r="OS17" s="5496"/>
      <c r="OT17" s="5496"/>
      <c r="OU17" s="5497"/>
      <c r="OV17" s="5531"/>
      <c r="OW17" s="5497"/>
      <c r="OX17" s="5496"/>
      <c r="OY17" s="5496"/>
      <c r="OZ17" s="5497"/>
      <c r="PA17" s="5532"/>
      <c r="PB17" s="5527"/>
      <c r="PC17" s="5496"/>
      <c r="PD17" s="5496"/>
      <c r="PE17" s="5496"/>
      <c r="PF17" s="5497"/>
      <c r="PG17" s="5531"/>
      <c r="PH17" s="5497"/>
      <c r="PI17" s="5496"/>
      <c r="PJ17" s="5496"/>
      <c r="PK17" s="5497"/>
      <c r="PL17" s="5512"/>
      <c r="PM17" s="5528"/>
      <c r="PN17" s="5496"/>
      <c r="PO17" s="5496"/>
      <c r="PP17" s="5496"/>
      <c r="PQ17" s="6305"/>
      <c r="PR17" s="6306"/>
      <c r="PS17" s="5496"/>
      <c r="PT17" s="5496"/>
      <c r="PU17" s="5496"/>
      <c r="PV17" s="5497"/>
      <c r="PW17" s="5533"/>
      <c r="PX17" s="5496"/>
      <c r="PY17" s="5496"/>
      <c r="PZ17" s="5496"/>
      <c r="QA17" s="5512"/>
      <c r="QB17" s="5528"/>
      <c r="QC17" s="5496"/>
      <c r="QD17" s="5496"/>
      <c r="QE17" s="5496"/>
      <c r="QF17" s="6305"/>
      <c r="QG17" s="6306"/>
      <c r="QH17" s="5496"/>
      <c r="QI17" s="5496"/>
      <c r="QJ17" s="5496"/>
      <c r="QK17" s="5497"/>
      <c r="QL17" s="5533"/>
      <c r="QM17" s="5534">
        <v>5</v>
      </c>
      <c r="QN17" s="5535">
        <f>89642+125957</f>
        <v>215599</v>
      </c>
      <c r="QO17" s="5535">
        <f>162580+181774</f>
        <v>344354</v>
      </c>
      <c r="QP17" s="5496"/>
      <c r="QQ17" s="147">
        <f>QO17-(QN17+QP17)</f>
        <v>128755</v>
      </c>
      <c r="QR17" s="5517"/>
      <c r="QS17" s="5497"/>
      <c r="QT17" s="5496"/>
      <c r="QU17" s="5496"/>
      <c r="QV17" s="803">
        <f>QQ17-SUM(QS17:QU17)</f>
        <v>128755</v>
      </c>
      <c r="QW17" s="5383">
        <f>QV17/QO17</f>
        <v>0.37390301840547807</v>
      </c>
      <c r="QX17" s="5534">
        <v>8</v>
      </c>
      <c r="QY17" s="5535">
        <v>224489</v>
      </c>
      <c r="QZ17" s="5535">
        <v>444833</v>
      </c>
      <c r="RA17" s="148">
        <v>4401</v>
      </c>
      <c r="RB17" s="147">
        <f>QZ17-(QY17+RA17)</f>
        <v>215943</v>
      </c>
      <c r="RC17" s="201">
        <f>RB17/QZ17</f>
        <v>0.48544734765631148</v>
      </c>
      <c r="RD17" s="5497"/>
      <c r="RE17" s="5496"/>
      <c r="RF17" s="5496"/>
      <c r="RG17" s="803">
        <f>RB17-SUM(RD17:RF17)</f>
        <v>215943</v>
      </c>
      <c r="RH17" s="5383">
        <f>RG17/QZ17</f>
        <v>0.48544734765631148</v>
      </c>
      <c r="RI17" s="6322"/>
      <c r="RJ17" s="5496"/>
      <c r="RK17" s="5496"/>
      <c r="RL17" s="5533"/>
      <c r="RM17" s="6322"/>
      <c r="RN17" s="5507"/>
      <c r="RO17" s="5525"/>
      <c r="RP17" s="5526"/>
      <c r="RQ17" s="5526"/>
      <c r="RR17" s="6346"/>
      <c r="RS17" s="6332">
        <v>13</v>
      </c>
      <c r="RT17" s="5535">
        <f>284004+33581</f>
        <v>317585</v>
      </c>
      <c r="RU17" s="5535">
        <f>608629+65322</f>
        <v>673951</v>
      </c>
      <c r="RV17" s="5537">
        <v>0</v>
      </c>
      <c r="RW17" s="147">
        <f>RU17-(RT17+RV17)</f>
        <v>356366</v>
      </c>
      <c r="RX17" s="201">
        <f>RW17/RU17</f>
        <v>0.52877137952165665</v>
      </c>
      <c r="RY17" s="5497">
        <v>0</v>
      </c>
      <c r="RZ17" s="5496">
        <v>0</v>
      </c>
      <c r="SA17" s="148">
        <v>80000</v>
      </c>
      <c r="SB17" s="803">
        <f>RW17-SUM(RY17:SA17)</f>
        <v>276366</v>
      </c>
      <c r="SC17" s="5383">
        <f>SB17/RU17</f>
        <v>0.41006838776112803</v>
      </c>
      <c r="SD17" s="5536">
        <v>25</v>
      </c>
      <c r="SE17" s="5538">
        <f>491619+36650</f>
        <v>528269</v>
      </c>
      <c r="SF17" s="5538">
        <f>1681666+65250</f>
        <v>1746916</v>
      </c>
      <c r="SG17" s="6355"/>
      <c r="SH17" s="6365">
        <f>SF17-(SE17+SG17)</f>
        <v>1218647</v>
      </c>
      <c r="SI17" s="6366">
        <f>SH17/SF17</f>
        <v>0.69759908318430885</v>
      </c>
      <c r="SJ17" s="148">
        <f>129700+17200+30161+1595</f>
        <v>178656</v>
      </c>
      <c r="SK17" s="148">
        <v>500000</v>
      </c>
      <c r="SL17" s="148">
        <v>250000</v>
      </c>
      <c r="SM17" s="803">
        <f>SH17-SUM(SJ17:SL17)</f>
        <v>289991</v>
      </c>
      <c r="SN17" s="5383">
        <f>SM17/SF17</f>
        <v>0.16600168525561618</v>
      </c>
      <c r="SO17" s="5536">
        <v>54</v>
      </c>
      <c r="SP17" s="5538">
        <v>1218954</v>
      </c>
      <c r="SQ17" s="5538">
        <v>2665032.2580645178</v>
      </c>
      <c r="SR17" s="6355">
        <v>0</v>
      </c>
      <c r="SS17" s="6365">
        <f>SQ17-(SP17+SR17)</f>
        <v>1446078.2580645178</v>
      </c>
      <c r="ST17" s="6366">
        <f>SS17/SQ17</f>
        <v>0.54261191536748354</v>
      </c>
      <c r="SU17" s="148">
        <v>0</v>
      </c>
      <c r="SV17" s="148">
        <v>500000</v>
      </c>
      <c r="SW17" s="148">
        <v>300000</v>
      </c>
      <c r="SX17" s="803">
        <f>SS17-SUM(SU17:SW17)</f>
        <v>646078.25806451775</v>
      </c>
      <c r="SY17" s="5383">
        <f>SX17/SQ17</f>
        <v>0.24242793163551901</v>
      </c>
      <c r="SZ17" s="5528"/>
      <c r="TA17" s="118">
        <f>SQ17+SF17+RU17</f>
        <v>5085899.2580645178</v>
      </c>
      <c r="TB17" s="118">
        <f>SS17+SH17+RW17</f>
        <v>3021091.2580645178</v>
      </c>
      <c r="TC17" s="5380">
        <f>TB17/TA17</f>
        <v>0.59401319309934975</v>
      </c>
      <c r="TD17" s="5528">
        <v>53</v>
      </c>
      <c r="TE17" s="5496">
        <v>1316362</v>
      </c>
      <c r="TF17" s="5496">
        <v>3010064.52</v>
      </c>
      <c r="TG17" s="5496"/>
      <c r="TH17" s="6365">
        <f>TF17-(TE17+TG17)</f>
        <v>1693702.52</v>
      </c>
      <c r="TI17" s="6366">
        <f>TH17/TF17</f>
        <v>0.56267980594648515</v>
      </c>
      <c r="TJ17" s="5496"/>
      <c r="TK17" s="5496"/>
      <c r="TL17" s="148">
        <v>600000</v>
      </c>
      <c r="TM17" s="190">
        <f t="shared" ref="TM17" si="242">TH17-SUM(TJ17:TL17)</f>
        <v>1093702.52</v>
      </c>
      <c r="TN17" s="5380">
        <f t="shared" ref="TN17" si="243">TM17/TF17</f>
        <v>0.36334853048266219</v>
      </c>
      <c r="TO17" s="5527"/>
      <c r="TP17" s="5496"/>
      <c r="TQ17" s="5496"/>
      <c r="TR17" s="5496"/>
      <c r="TS17" s="5497"/>
      <c r="TT17" s="5517"/>
      <c r="TU17" s="5496"/>
      <c r="TV17" s="5496"/>
      <c r="TW17" s="5496"/>
      <c r="TX17" s="5497"/>
      <c r="TY17" s="5512"/>
      <c r="TZ17" s="5528"/>
      <c r="UA17" s="5496"/>
      <c r="UB17" s="5496"/>
      <c r="UC17" s="5496"/>
      <c r="UD17" s="5497"/>
      <c r="UE17" s="5517"/>
      <c r="UF17" s="5496"/>
      <c r="UG17" s="5496"/>
      <c r="UH17" s="5496"/>
      <c r="UI17" s="5497"/>
      <c r="UJ17" s="5533"/>
      <c r="UK17" s="6322"/>
      <c r="UL17" s="155">
        <f>OS17+PD17+PO17+QD17+QO17+QZ17+RU17+SF17+SQ17+TF17+TQ17+UB17</f>
        <v>8885150.7780645173</v>
      </c>
      <c r="UM17" s="155">
        <f>OU17+PF17+PQ17+QF17+QQ17+RB17+RW17+SH17+SS17+TH17+TS17+UD17</f>
        <v>5059491.7780645173</v>
      </c>
      <c r="UN17" s="74">
        <f>UM17/UL17</f>
        <v>0.56943229264665818</v>
      </c>
      <c r="UO17" s="155">
        <f>OZ17+PK17+PV17+QK17+QV17+RG17+SB17+SM17+SX17+TM17+TX17+UI17</f>
        <v>2650835.7780645178</v>
      </c>
      <c r="UP17" s="5383">
        <f>UO17/UL17</f>
        <v>0.29834449006862646</v>
      </c>
      <c r="UR17" s="4274"/>
      <c r="US17" s="4274"/>
      <c r="UT17" s="4274"/>
      <c r="UU17" s="4274"/>
    </row>
    <row r="18" spans="1:567" s="4139" customFormat="1" ht="16.7" customHeight="1" thickBot="1" x14ac:dyDescent="0.35">
      <c r="A18" s="5539"/>
      <c r="B18" s="5540" t="s">
        <v>184</v>
      </c>
      <c r="C18" s="5541"/>
      <c r="D18" s="5541"/>
      <c r="E18" s="6284"/>
      <c r="F18" s="5542"/>
      <c r="G18" s="5542"/>
      <c r="H18" s="5542"/>
      <c r="I18" s="5542"/>
      <c r="J18" s="5542"/>
      <c r="K18" s="5543"/>
      <c r="L18" s="5542"/>
      <c r="M18" s="5542"/>
      <c r="N18" s="5542"/>
      <c r="O18" s="5542"/>
      <c r="P18" s="5543"/>
      <c r="Q18" s="5542"/>
      <c r="R18" s="5542"/>
      <c r="S18" s="5542"/>
      <c r="T18" s="5544"/>
      <c r="U18" s="5545"/>
      <c r="V18" s="5541"/>
      <c r="W18" s="5541"/>
      <c r="X18" s="5541"/>
      <c r="Y18" s="5541"/>
      <c r="Z18" s="5546"/>
      <c r="AA18" s="5541"/>
      <c r="AB18" s="5541"/>
      <c r="AC18" s="5541"/>
      <c r="AD18" s="5541"/>
      <c r="AE18" s="5547"/>
      <c r="AF18" s="5541"/>
      <c r="AG18" s="5548"/>
      <c r="AH18" s="5549"/>
      <c r="AI18" s="5549"/>
      <c r="AJ18" s="5549"/>
      <c r="AK18" s="5550"/>
      <c r="AL18" s="5551"/>
      <c r="AM18" s="5552"/>
      <c r="AN18" s="5553"/>
      <c r="AO18" s="5553"/>
      <c r="AP18" s="5553"/>
      <c r="AQ18" s="5553"/>
      <c r="AR18" s="5551"/>
      <c r="AS18" s="5543"/>
      <c r="AT18" s="5542"/>
      <c r="AU18" s="5542"/>
      <c r="AV18" s="5542"/>
      <c r="AW18" s="5544"/>
      <c r="AX18" s="5543"/>
      <c r="AY18" s="5542"/>
      <c r="AZ18" s="5542"/>
      <c r="BA18" s="5542"/>
      <c r="BB18" s="5542"/>
      <c r="BC18" s="5554"/>
      <c r="BD18" s="5547"/>
      <c r="BE18" s="5547"/>
      <c r="BF18" s="5547"/>
      <c r="BG18" s="5547"/>
      <c r="BH18" s="5555"/>
      <c r="BI18" s="5554"/>
      <c r="BJ18" s="5547"/>
      <c r="BK18" s="5547"/>
      <c r="BL18" s="5547"/>
      <c r="BM18" s="5547"/>
      <c r="BN18" s="5555"/>
      <c r="BO18" s="5556"/>
      <c r="BP18" s="5547"/>
      <c r="BQ18" s="5547"/>
      <c r="BR18" s="5547"/>
      <c r="BS18" s="5547"/>
      <c r="BT18" s="5557"/>
      <c r="BU18" s="5547"/>
      <c r="BV18" s="5547"/>
      <c r="BW18" s="5547"/>
      <c r="BX18" s="5558"/>
      <c r="BY18" s="5556"/>
      <c r="BZ18" s="5547"/>
      <c r="CA18" s="5547"/>
      <c r="CB18" s="5547"/>
      <c r="CC18" s="5547"/>
      <c r="CD18" s="5559"/>
      <c r="CE18" s="5556"/>
      <c r="CF18" s="5547"/>
      <c r="CG18" s="5547"/>
      <c r="CH18" s="5547"/>
      <c r="CI18" s="5547"/>
      <c r="CJ18" s="5559"/>
      <c r="CK18" s="5560"/>
      <c r="CL18" s="5542"/>
      <c r="CM18" s="5542"/>
      <c r="CN18" s="5542"/>
      <c r="CO18" s="5542"/>
      <c r="CP18" s="5551"/>
      <c r="CQ18" s="5561"/>
      <c r="CR18" s="5542"/>
      <c r="CS18" s="5542"/>
      <c r="CT18" s="5542"/>
      <c r="CU18" s="5542"/>
      <c r="CV18" s="5558"/>
      <c r="CW18" s="5560"/>
      <c r="CX18" s="5542"/>
      <c r="CY18" s="5542"/>
      <c r="CZ18" s="5542"/>
      <c r="DA18" s="5542"/>
      <c r="DB18" s="5551"/>
      <c r="DC18" s="5561"/>
      <c r="DD18" s="5542"/>
      <c r="DE18" s="5542"/>
      <c r="DF18" s="5542"/>
      <c r="DG18" s="5542"/>
      <c r="DH18" s="5562"/>
      <c r="DI18" s="5560"/>
      <c r="DJ18" s="5542"/>
      <c r="DK18" s="5542"/>
      <c r="DL18" s="5542"/>
      <c r="DM18" s="5542"/>
      <c r="DN18" s="5558"/>
      <c r="DO18" s="5560"/>
      <c r="DP18" s="5542"/>
      <c r="DQ18" s="5542"/>
      <c r="DR18" s="5542"/>
      <c r="DS18" s="5542"/>
      <c r="DT18" s="5558"/>
      <c r="DU18" s="5558"/>
      <c r="DV18" s="5563"/>
      <c r="DW18" s="5560"/>
      <c r="DX18" s="5542"/>
      <c r="DY18" s="5542"/>
      <c r="DZ18" s="5542"/>
      <c r="EA18" s="5558"/>
      <c r="EB18" s="5558"/>
      <c r="EC18" s="5558"/>
      <c r="ED18" s="5563"/>
      <c r="EE18" s="5556"/>
      <c r="EF18" s="5547"/>
      <c r="EG18" s="5547"/>
      <c r="EH18" s="5542"/>
      <c r="EI18" s="5542"/>
      <c r="EJ18" s="5551"/>
      <c r="EK18" s="5561"/>
      <c r="EL18" s="5542"/>
      <c r="EM18" s="5542"/>
      <c r="EN18" s="5542"/>
      <c r="EO18" s="5542"/>
      <c r="EP18" s="5551"/>
      <c r="EQ18" s="5556"/>
      <c r="ER18" s="5547"/>
      <c r="ES18" s="5547"/>
      <c r="ET18" s="5542"/>
      <c r="EU18" s="5542"/>
      <c r="EV18" s="5551"/>
      <c r="EW18" s="5561"/>
      <c r="EX18" s="5542"/>
      <c r="EY18" s="5542"/>
      <c r="EZ18" s="5542"/>
      <c r="FA18" s="5542"/>
      <c r="FB18" s="5551"/>
      <c r="FC18" s="5564"/>
      <c r="FD18" s="5565"/>
      <c r="FE18" s="5565"/>
      <c r="FF18" s="5565"/>
      <c r="FG18" s="5558"/>
      <c r="FH18" s="5558"/>
      <c r="FI18" s="5558"/>
      <c r="FJ18" s="5563"/>
      <c r="FK18" s="5560"/>
      <c r="FL18" s="5542"/>
      <c r="FM18" s="5542"/>
      <c r="FN18" s="5542"/>
      <c r="FO18" s="5542"/>
      <c r="FP18" s="5558"/>
      <c r="FQ18" s="5560"/>
      <c r="FR18" s="5542"/>
      <c r="FS18" s="5542"/>
      <c r="FT18" s="5542"/>
      <c r="FU18" s="5542"/>
      <c r="FV18" s="5560"/>
      <c r="FW18" s="5542"/>
      <c r="FX18" s="5542"/>
      <c r="FY18" s="5542"/>
      <c r="FZ18" s="5542"/>
      <c r="GA18" s="5558"/>
      <c r="GB18" s="5558"/>
      <c r="GC18" s="5558"/>
      <c r="GD18" s="5563"/>
      <c r="GE18" s="5560"/>
      <c r="GF18" s="5542"/>
      <c r="GG18" s="5542"/>
      <c r="GH18" s="5542"/>
      <c r="GI18" s="5542"/>
      <c r="GJ18" s="5566"/>
      <c r="GK18" s="5567"/>
      <c r="GL18" s="5567"/>
      <c r="GM18" s="5568"/>
      <c r="GN18" s="5560"/>
      <c r="GO18" s="5542"/>
      <c r="GP18" s="5542"/>
      <c r="GQ18" s="5542"/>
      <c r="GR18" s="5542"/>
      <c r="GS18" s="5558"/>
      <c r="GT18" s="5560"/>
      <c r="GU18" s="5542"/>
      <c r="GV18" s="5542"/>
      <c r="GW18" s="5542"/>
      <c r="GX18" s="5542"/>
      <c r="GY18" s="5563"/>
      <c r="GZ18" s="5560"/>
      <c r="HA18" s="5542"/>
      <c r="HB18" s="5542"/>
      <c r="HC18" s="5542"/>
      <c r="HD18" s="5542"/>
      <c r="HE18" s="5558"/>
      <c r="HF18" s="5561"/>
      <c r="HG18" s="5542"/>
      <c r="HH18" s="5542"/>
      <c r="HI18" s="5542"/>
      <c r="HJ18" s="5542"/>
      <c r="HK18" s="5563"/>
      <c r="HL18" s="5569"/>
      <c r="HM18" s="5542"/>
      <c r="HN18" s="5542"/>
      <c r="HO18" s="5542"/>
      <c r="HP18" s="5542"/>
      <c r="HQ18" s="5563"/>
      <c r="HR18" s="5543"/>
      <c r="HS18" s="5542"/>
      <c r="HT18" s="5542"/>
      <c r="HU18" s="5542"/>
      <c r="HV18" s="5567"/>
      <c r="HW18" s="5563"/>
      <c r="HX18" s="5569"/>
      <c r="HY18" s="5542"/>
      <c r="HZ18" s="5544"/>
      <c r="IA18" s="5558"/>
      <c r="IB18" s="5544"/>
      <c r="IC18" s="5542"/>
      <c r="ID18" s="5569"/>
      <c r="IE18" s="5542"/>
      <c r="IF18" s="5542"/>
      <c r="IG18" s="5558"/>
      <c r="IH18" s="5544"/>
      <c r="II18" s="5570"/>
      <c r="IJ18" s="5569"/>
      <c r="IK18" s="5542"/>
      <c r="IL18" s="5542"/>
      <c r="IM18" s="5542"/>
      <c r="IN18" s="5543"/>
      <c r="IO18" s="5563"/>
      <c r="IP18" s="5543"/>
      <c r="IQ18" s="5542"/>
      <c r="IR18" s="5542"/>
      <c r="IS18" s="5543"/>
      <c r="IT18" s="5563"/>
      <c r="IU18" s="5569"/>
      <c r="IV18" s="5542"/>
      <c r="IW18" s="5542"/>
      <c r="IX18" s="5542"/>
      <c r="IY18" s="5543"/>
      <c r="IZ18" s="5563"/>
      <c r="JA18" s="5543"/>
      <c r="JB18" s="5542"/>
      <c r="JC18" s="5542"/>
      <c r="JD18" s="5543"/>
      <c r="JE18" s="5563"/>
      <c r="JF18" s="5569"/>
      <c r="JG18" s="5542"/>
      <c r="JH18" s="5542"/>
      <c r="JI18" s="5542"/>
      <c r="JJ18" s="5543"/>
      <c r="JK18" s="5563"/>
      <c r="JL18" s="5543"/>
      <c r="JM18" s="5542"/>
      <c r="JN18" s="5542"/>
      <c r="JO18" s="5543"/>
      <c r="JP18" s="5563"/>
      <c r="JQ18" s="5543"/>
      <c r="JR18" s="5542"/>
      <c r="JS18" s="5542"/>
      <c r="JT18" s="5563"/>
      <c r="JU18" s="5569"/>
      <c r="JV18" s="5542"/>
      <c r="JW18" s="5542"/>
      <c r="JX18" s="5542"/>
      <c r="JY18" s="5543"/>
      <c r="JZ18" s="5563"/>
      <c r="KA18" s="5543"/>
      <c r="KB18" s="5542"/>
      <c r="KC18" s="5542"/>
      <c r="KD18" s="5543"/>
      <c r="KE18" s="5563"/>
      <c r="KF18" s="5569"/>
      <c r="KG18" s="5542"/>
      <c r="KH18" s="5542"/>
      <c r="KI18" s="5542"/>
      <c r="KJ18" s="5543"/>
      <c r="KK18" s="5563"/>
      <c r="KL18" s="5543"/>
      <c r="KM18" s="5542"/>
      <c r="KN18" s="5542"/>
      <c r="KO18" s="5543"/>
      <c r="KP18" s="5563"/>
      <c r="KQ18" s="5569"/>
      <c r="KR18" s="5542"/>
      <c r="KS18" s="5542"/>
      <c r="KT18" s="5542"/>
      <c r="KU18" s="5543"/>
      <c r="KV18" s="5563"/>
      <c r="KW18" s="5543"/>
      <c r="KX18" s="5542"/>
      <c r="KY18" s="5542"/>
      <c r="KZ18" s="5543"/>
      <c r="LA18" s="5563"/>
      <c r="LB18" s="5543"/>
      <c r="LC18" s="5542"/>
      <c r="LD18" s="5542"/>
      <c r="LE18" s="5563"/>
      <c r="LF18" s="5543"/>
      <c r="LG18" s="5553"/>
      <c r="LH18" s="5571"/>
      <c r="LI18" s="5572"/>
      <c r="LJ18" s="5572"/>
      <c r="LK18" s="5551"/>
      <c r="LL18" s="5569"/>
      <c r="LM18" s="5542"/>
      <c r="LN18" s="5542"/>
      <c r="LO18" s="5542"/>
      <c r="LP18" s="5543"/>
      <c r="LQ18" s="5563"/>
      <c r="LR18" s="5543"/>
      <c r="LS18" s="5542"/>
      <c r="LT18" s="5542"/>
      <c r="LU18" s="5543"/>
      <c r="LV18" s="5563"/>
      <c r="LW18" s="5573"/>
      <c r="LX18" s="5542"/>
      <c r="LY18" s="5542"/>
      <c r="LZ18" s="5542"/>
      <c r="MA18" s="5543"/>
      <c r="MB18" s="5563"/>
      <c r="MC18" s="5542"/>
      <c r="MD18" s="5542"/>
      <c r="ME18" s="5542"/>
      <c r="MF18" s="5543"/>
      <c r="MG18" s="5563"/>
      <c r="MH18" s="5573"/>
      <c r="MI18" s="5542"/>
      <c r="MJ18" s="5542"/>
      <c r="MK18" s="5542"/>
      <c r="ML18" s="5543"/>
      <c r="MM18" s="5563"/>
      <c r="MN18" s="5542"/>
      <c r="MO18" s="5542"/>
      <c r="MP18" s="5542"/>
      <c r="MQ18" s="5543"/>
      <c r="MR18" s="5563"/>
      <c r="MS18" s="5573"/>
      <c r="MT18" s="5542"/>
      <c r="MU18" s="5542"/>
      <c r="MV18" s="5558"/>
      <c r="MW18" s="5543"/>
      <c r="MX18" s="5542"/>
      <c r="MY18" s="5542"/>
      <c r="MZ18" s="5558"/>
      <c r="NA18" s="5558"/>
      <c r="NB18" s="5563"/>
      <c r="NC18" s="5573"/>
      <c r="ND18" s="5542"/>
      <c r="NE18" s="5542"/>
      <c r="NF18" s="5542"/>
      <c r="NG18" s="5543"/>
      <c r="NH18" s="5563"/>
      <c r="NI18" s="5542"/>
      <c r="NJ18" s="5542"/>
      <c r="NK18" s="5542"/>
      <c r="NL18" s="5543"/>
      <c r="NM18" s="5558"/>
      <c r="NN18" s="5574"/>
      <c r="NO18" s="5542"/>
      <c r="NP18" s="5542"/>
      <c r="NQ18" s="5542"/>
      <c r="NR18" s="5543"/>
      <c r="NS18" s="5563"/>
      <c r="NT18" s="5542"/>
      <c r="NU18" s="5542"/>
      <c r="NV18" s="5542"/>
      <c r="NW18" s="5543"/>
      <c r="NX18" s="5558"/>
      <c r="NY18" s="5574"/>
      <c r="NZ18" s="5542"/>
      <c r="OA18" s="5542"/>
      <c r="OB18" s="5542"/>
      <c r="OC18" s="5543"/>
      <c r="OD18" s="5563"/>
      <c r="OE18" s="5542"/>
      <c r="OF18" s="5542"/>
      <c r="OG18" s="5542"/>
      <c r="OH18" s="5543"/>
      <c r="OI18" s="5579"/>
      <c r="OJ18" s="5570"/>
      <c r="OK18" s="5575"/>
      <c r="OL18" s="5575"/>
      <c r="OM18" s="5576"/>
      <c r="ON18" s="5575"/>
      <c r="OO18" s="5563"/>
      <c r="OP18" s="5570"/>
      <c r="OQ18" s="5574"/>
      <c r="OR18" s="5542"/>
      <c r="OS18" s="5542"/>
      <c r="OT18" s="5542"/>
      <c r="OU18" s="5543"/>
      <c r="OV18" s="5577"/>
      <c r="OW18" s="5543"/>
      <c r="OX18" s="5542"/>
      <c r="OY18" s="5542"/>
      <c r="OZ18" s="5543"/>
      <c r="PA18" s="5578"/>
      <c r="PB18" s="5573"/>
      <c r="PC18" s="5542"/>
      <c r="PD18" s="5542"/>
      <c r="PE18" s="5542"/>
      <c r="PF18" s="5543"/>
      <c r="PG18" s="5577"/>
      <c r="PH18" s="5543"/>
      <c r="PI18" s="5542"/>
      <c r="PJ18" s="5542"/>
      <c r="PK18" s="5543"/>
      <c r="PL18" s="5558"/>
      <c r="PM18" s="5574"/>
      <c r="PN18" s="5542"/>
      <c r="PO18" s="5542"/>
      <c r="PP18" s="5542"/>
      <c r="PQ18" s="6307"/>
      <c r="PR18" s="6308"/>
      <c r="PS18" s="5542"/>
      <c r="PT18" s="5542"/>
      <c r="PU18" s="5542"/>
      <c r="PV18" s="5543"/>
      <c r="PW18" s="5579"/>
      <c r="PX18" s="5542"/>
      <c r="PY18" s="5542"/>
      <c r="PZ18" s="5542"/>
      <c r="QA18" s="5558"/>
      <c r="QB18" s="5574"/>
      <c r="QC18" s="5542"/>
      <c r="QD18" s="5542"/>
      <c r="QE18" s="5542"/>
      <c r="QF18" s="6307"/>
      <c r="QG18" s="6308"/>
      <c r="QH18" s="5542"/>
      <c r="QI18" s="5542"/>
      <c r="QJ18" s="5542"/>
      <c r="QK18" s="5543"/>
      <c r="QL18" s="5579"/>
      <c r="QM18" s="5574">
        <f>QM17+QM15</f>
        <v>1058</v>
      </c>
      <c r="QN18" s="5542">
        <f>QN17+QN15</f>
        <v>26499548.292999998</v>
      </c>
      <c r="QO18" s="5542">
        <f>QO17+QO15</f>
        <v>30937493</v>
      </c>
      <c r="QP18" s="5542">
        <f>QP17+QP15</f>
        <v>294725</v>
      </c>
      <c r="QQ18" s="5580">
        <f>QQ17+QQ15</f>
        <v>4143219.7070000004</v>
      </c>
      <c r="QR18" s="5563">
        <f>QQ18/QO18</f>
        <v>0.13392228345716314</v>
      </c>
      <c r="QS18" s="5543"/>
      <c r="QT18" s="5542"/>
      <c r="QU18" s="5542"/>
      <c r="QV18" s="5580">
        <f>QV17+QV15</f>
        <v>624317.70700000005</v>
      </c>
      <c r="QW18" s="5579">
        <f>QV18/QO18</f>
        <v>2.0179970852841893E-2</v>
      </c>
      <c r="QX18" s="5574">
        <f>QX17+QX15</f>
        <v>1086</v>
      </c>
      <c r="QY18" s="5542">
        <f>QY17+QY15</f>
        <v>27627286.557500001</v>
      </c>
      <c r="QZ18" s="5542">
        <f>QZ17+QZ15</f>
        <v>32330561</v>
      </c>
      <c r="RA18" s="5542">
        <f>RA17+RA15</f>
        <v>210372</v>
      </c>
      <c r="RB18" s="5580">
        <f>RB17+RB15</f>
        <v>4492902.442499999</v>
      </c>
      <c r="RC18" s="5563">
        <f>RB18/QZ18</f>
        <v>0.13896766104677241</v>
      </c>
      <c r="RD18" s="5543"/>
      <c r="RE18" s="5542"/>
      <c r="RF18" s="5542"/>
      <c r="RG18" s="5580">
        <f>RG17+RG15</f>
        <v>1154369.9724999995</v>
      </c>
      <c r="RH18" s="5579">
        <f>RG18/QZ18</f>
        <v>3.5705225544957274E-2</v>
      </c>
      <c r="RI18" s="6323"/>
      <c r="RJ18" s="5542"/>
      <c r="RK18" s="5542"/>
      <c r="RL18" s="5579"/>
      <c r="RM18" s="6323"/>
      <c r="RN18" s="5553"/>
      <c r="RO18" s="5571"/>
      <c r="RP18" s="5572"/>
      <c r="RQ18" s="5572"/>
      <c r="RR18" s="6347"/>
      <c r="RS18" s="6333">
        <f>RS17+RS15</f>
        <v>1059</v>
      </c>
      <c r="RT18" s="5553">
        <f>RT17+RT15</f>
        <v>28797442.9135</v>
      </c>
      <c r="RU18" s="5553">
        <f>RU17+RU15</f>
        <v>33135419</v>
      </c>
      <c r="RV18" s="5582">
        <f>RV17+RV15</f>
        <v>66764</v>
      </c>
      <c r="RW18" s="5580">
        <f>RW17+RW15</f>
        <v>4271212.0865000002</v>
      </c>
      <c r="RX18" s="5563">
        <f>RW18/RU18</f>
        <v>0.12890170745992377</v>
      </c>
      <c r="RY18" s="5583">
        <f>RY17+RY15</f>
        <v>585839</v>
      </c>
      <c r="RZ18" s="5553">
        <f>RZ17+RZ15</f>
        <v>1132899</v>
      </c>
      <c r="SA18" s="5553">
        <f>SA17+SA15</f>
        <v>1587954</v>
      </c>
      <c r="SB18" s="5580">
        <f>SB17+SB15</f>
        <v>964520.08650000044</v>
      </c>
      <c r="SC18" s="5579">
        <f>SB18/RU18</f>
        <v>2.9108431871647692E-2</v>
      </c>
      <c r="SD18" s="5581">
        <f>SD17+SD15</f>
        <v>1059</v>
      </c>
      <c r="SE18" s="5553">
        <f>SE17+SE15</f>
        <v>28645004.998</v>
      </c>
      <c r="SF18" s="5553">
        <f>SF17+SF15</f>
        <v>33883094</v>
      </c>
      <c r="SG18" s="6356">
        <f>SG17+SG15</f>
        <v>115115</v>
      </c>
      <c r="SH18" s="6373">
        <f>SH17+SH15</f>
        <v>5122974.0019999994</v>
      </c>
      <c r="SI18" s="6374">
        <f>SH18/SF18</f>
        <v>0.15119557859739727</v>
      </c>
      <c r="SJ18" s="5584">
        <f>SJ17+SJ15</f>
        <v>723834</v>
      </c>
      <c r="SK18" s="5542">
        <f>SK17+SK15</f>
        <v>2307729</v>
      </c>
      <c r="SL18" s="5542">
        <f>SL17+SL15</f>
        <v>1514221</v>
      </c>
      <c r="SM18" s="5580">
        <f>SM17+SM15</f>
        <v>577190.00199999963</v>
      </c>
      <c r="SN18" s="5579">
        <f>SM18/SF18</f>
        <v>1.7034749010819368E-2</v>
      </c>
      <c r="SO18" s="5581">
        <f>SO17+SO15</f>
        <v>1108</v>
      </c>
      <c r="SP18" s="5553">
        <f>SP17+SP15</f>
        <v>28675097.877499994</v>
      </c>
      <c r="SQ18" s="5553">
        <f>SQ17+SQ15</f>
        <v>34175697.678064518</v>
      </c>
      <c r="SR18" s="6356">
        <f>SR17+SR15</f>
        <v>20513</v>
      </c>
      <c r="SS18" s="6373">
        <f>SS17+SS15</f>
        <v>5480086.8005645182</v>
      </c>
      <c r="ST18" s="6374">
        <f>SS18/SQ18</f>
        <v>0.16035040022260852</v>
      </c>
      <c r="SU18" s="5584">
        <f>SU17+SU15</f>
        <v>591471</v>
      </c>
      <c r="SV18" s="5542">
        <f>SV17+SV15</f>
        <v>1305522</v>
      </c>
      <c r="SW18" s="5542">
        <f>SW17+SW15</f>
        <v>1629898</v>
      </c>
      <c r="SX18" s="5580">
        <f>SX17+SX15</f>
        <v>1953195.800564518</v>
      </c>
      <c r="SY18" s="5579">
        <f>SX18/SQ18</f>
        <v>5.7151599916515118E-2</v>
      </c>
      <c r="SZ18" s="5574"/>
      <c r="TA18" s="5584">
        <f>TA17+TA15</f>
        <v>101194210.67806453</v>
      </c>
      <c r="TB18" s="5542">
        <f>TB17+TB15</f>
        <v>14874272.889064519</v>
      </c>
      <c r="TC18" s="5579">
        <f>TB18/TA18</f>
        <v>0.14698738978640757</v>
      </c>
      <c r="TD18" s="5581">
        <f>TD17+TD15</f>
        <v>1078</v>
      </c>
      <c r="TE18" s="5553">
        <f>TE17+TE15</f>
        <v>28159282.458000001</v>
      </c>
      <c r="TF18" s="5553">
        <f>TF17+TF15</f>
        <v>33591904.940000005</v>
      </c>
      <c r="TG18" s="6356">
        <f>TG17+TG15</f>
        <v>85496</v>
      </c>
      <c r="TH18" s="6373">
        <f>TH17+TH15</f>
        <v>5347126.4820000008</v>
      </c>
      <c r="TI18" s="6374">
        <f>TH18/TF18</f>
        <v>0.15917901921759844</v>
      </c>
      <c r="TJ18" s="5584">
        <f>TJ17+TJ15</f>
        <v>609594</v>
      </c>
      <c r="TK18" s="5542">
        <f>TK17+TK15</f>
        <v>805522</v>
      </c>
      <c r="TL18" s="5542">
        <f>TL17+TL15</f>
        <v>1481120</v>
      </c>
      <c r="TM18" s="5580">
        <f>TM17+TM15</f>
        <v>2450890.4819999998</v>
      </c>
      <c r="TN18" s="5579">
        <f>TM18/TF18</f>
        <v>7.2960747131716533E-2</v>
      </c>
      <c r="TO18" s="5573"/>
      <c r="TP18" s="5542"/>
      <c r="TQ18" s="5542"/>
      <c r="TR18" s="5542"/>
      <c r="TS18" s="5543"/>
      <c r="TT18" s="5563"/>
      <c r="TU18" s="5542"/>
      <c r="TV18" s="5542"/>
      <c r="TW18" s="5542"/>
      <c r="TX18" s="5543"/>
      <c r="TY18" s="5558"/>
      <c r="TZ18" s="5574"/>
      <c r="UA18" s="5542"/>
      <c r="UB18" s="5542"/>
      <c r="UC18" s="5542"/>
      <c r="UD18" s="5543"/>
      <c r="UE18" s="5563"/>
      <c r="UF18" s="5542"/>
      <c r="UG18" s="5542"/>
      <c r="UH18" s="5542"/>
      <c r="UI18" s="5543"/>
      <c r="UJ18" s="5579"/>
      <c r="UK18" s="6323"/>
      <c r="UL18" s="5584">
        <f>UL17+UL15</f>
        <v>315415466.61806446</v>
      </c>
      <c r="UM18" s="5542">
        <f>UM17+UM15</f>
        <v>42911408.557064533</v>
      </c>
      <c r="UN18" s="5558">
        <f>UM18/UL18</f>
        <v>0.1360472554411094</v>
      </c>
      <c r="UO18" s="5542">
        <f>UO17+UO15</f>
        <v>8861528.6370645184</v>
      </c>
      <c r="UP18" s="5579">
        <f>UO18/UL18</f>
        <v>2.8094781565657697E-2</v>
      </c>
      <c r="UR18" s="4274"/>
      <c r="US18" s="4274"/>
    </row>
    <row r="19" spans="1:567" s="4139" customFormat="1" ht="15.05" x14ac:dyDescent="0.3">
      <c r="A19" s="5586"/>
      <c r="B19" s="5358"/>
      <c r="C19" s="4787"/>
      <c r="D19" s="4787"/>
      <c r="E19" s="6282"/>
      <c r="F19" s="4789"/>
      <c r="G19" s="4789"/>
      <c r="H19" s="4789"/>
      <c r="I19" s="4789"/>
      <c r="J19" s="4789"/>
      <c r="K19" s="4790"/>
      <c r="L19" s="4789"/>
      <c r="M19" s="4789"/>
      <c r="N19" s="4789"/>
      <c r="O19" s="4789"/>
      <c r="P19" s="4790"/>
      <c r="Q19" s="4789"/>
      <c r="R19" s="4789"/>
      <c r="S19" s="4789"/>
      <c r="T19" s="4791"/>
      <c r="U19" s="4792"/>
      <c r="V19" s="4787"/>
      <c r="W19" s="4787"/>
      <c r="X19" s="4787"/>
      <c r="Y19" s="4787"/>
      <c r="Z19" s="4793"/>
      <c r="AA19" s="4787"/>
      <c r="AB19" s="4787"/>
      <c r="AC19" s="4787"/>
      <c r="AD19" s="4787"/>
      <c r="AE19" s="4794"/>
      <c r="AF19" s="4787"/>
      <c r="AG19" s="4795"/>
      <c r="AH19" s="4796"/>
      <c r="AI19" s="4796"/>
      <c r="AJ19" s="4796"/>
      <c r="AK19" s="4797"/>
      <c r="AL19" s="4798"/>
      <c r="AM19" s="4799"/>
      <c r="AN19" s="4800"/>
      <c r="AO19" s="4800"/>
      <c r="AP19" s="4800"/>
      <c r="AQ19" s="4800"/>
      <c r="AR19" s="4798"/>
      <c r="AS19" s="4790"/>
      <c r="AT19" s="4789"/>
      <c r="AU19" s="4789"/>
      <c r="AV19" s="4789"/>
      <c r="AW19" s="4791"/>
      <c r="AX19" s="4790"/>
      <c r="AY19" s="4789"/>
      <c r="AZ19" s="4789"/>
      <c r="BA19" s="4789"/>
      <c r="BB19" s="4789"/>
      <c r="BC19" s="4801"/>
      <c r="BD19" s="4794"/>
      <c r="BE19" s="4794"/>
      <c r="BF19" s="4794"/>
      <c r="BG19" s="4794"/>
      <c r="BH19" s="4802"/>
      <c r="BI19" s="4801"/>
      <c r="BJ19" s="4794"/>
      <c r="BK19" s="4794"/>
      <c r="BL19" s="4794"/>
      <c r="BM19" s="4794"/>
      <c r="BN19" s="4802"/>
      <c r="BO19" s="4803"/>
      <c r="BP19" s="4794"/>
      <c r="BQ19" s="4794"/>
      <c r="BR19" s="4794"/>
      <c r="BS19" s="4794"/>
      <c r="BT19" s="4804"/>
      <c r="BU19" s="4794"/>
      <c r="BV19" s="4794"/>
      <c r="BW19" s="4794"/>
      <c r="BX19" s="4805"/>
      <c r="BY19" s="4803"/>
      <c r="BZ19" s="4794"/>
      <c r="CA19" s="4794"/>
      <c r="CB19" s="4794"/>
      <c r="CC19" s="4794"/>
      <c r="CD19" s="4806"/>
      <c r="CE19" s="4803"/>
      <c r="CF19" s="4794"/>
      <c r="CG19" s="4794"/>
      <c r="CH19" s="4794"/>
      <c r="CI19" s="4794"/>
      <c r="CJ19" s="4806"/>
      <c r="CK19" s="4807"/>
      <c r="CL19" s="4789"/>
      <c r="CM19" s="4789"/>
      <c r="CN19" s="4789"/>
      <c r="CO19" s="4789"/>
      <c r="CP19" s="4798"/>
      <c r="CQ19" s="4808"/>
      <c r="CR19" s="4789"/>
      <c r="CS19" s="4789"/>
      <c r="CT19" s="4789"/>
      <c r="CU19" s="4789"/>
      <c r="CV19" s="4805"/>
      <c r="CW19" s="4807"/>
      <c r="CX19" s="4789"/>
      <c r="CY19" s="4789"/>
      <c r="CZ19" s="4789"/>
      <c r="DA19" s="4789"/>
      <c r="DB19" s="4798"/>
      <c r="DC19" s="4808"/>
      <c r="DD19" s="4789"/>
      <c r="DE19" s="4789"/>
      <c r="DF19" s="4789"/>
      <c r="DG19" s="4789"/>
      <c r="DH19" s="4809"/>
      <c r="DI19" s="4807"/>
      <c r="DJ19" s="4789"/>
      <c r="DK19" s="4789"/>
      <c r="DL19" s="4789"/>
      <c r="DM19" s="4789"/>
      <c r="DN19" s="4805"/>
      <c r="DO19" s="4807"/>
      <c r="DP19" s="4789"/>
      <c r="DQ19" s="4789"/>
      <c r="DR19" s="4789"/>
      <c r="DS19" s="4789"/>
      <c r="DT19" s="4805"/>
      <c r="DU19" s="4805"/>
      <c r="DV19" s="4810"/>
      <c r="DW19" s="4807"/>
      <c r="DX19" s="4789"/>
      <c r="DY19" s="4789"/>
      <c r="DZ19" s="4789"/>
      <c r="EA19" s="4805"/>
      <c r="EB19" s="4805"/>
      <c r="EC19" s="4805"/>
      <c r="ED19" s="4810"/>
      <c r="EE19" s="4803"/>
      <c r="EF19" s="4794"/>
      <c r="EG19" s="4794"/>
      <c r="EH19" s="4789"/>
      <c r="EI19" s="4789"/>
      <c r="EJ19" s="4798"/>
      <c r="EK19" s="4808"/>
      <c r="EL19" s="4789"/>
      <c r="EM19" s="4789"/>
      <c r="EN19" s="4789"/>
      <c r="EO19" s="4789"/>
      <c r="EP19" s="4798"/>
      <c r="EQ19" s="4803"/>
      <c r="ER19" s="4794"/>
      <c r="ES19" s="4794"/>
      <c r="ET19" s="4789"/>
      <c r="EU19" s="4789"/>
      <c r="EV19" s="4798"/>
      <c r="EW19" s="4808"/>
      <c r="EX19" s="4789"/>
      <c r="EY19" s="4789"/>
      <c r="EZ19" s="4789"/>
      <c r="FA19" s="4789"/>
      <c r="FB19" s="4798"/>
      <c r="FC19" s="4811"/>
      <c r="FD19" s="4812"/>
      <c r="FE19" s="4812"/>
      <c r="FF19" s="4812"/>
      <c r="FG19" s="4805"/>
      <c r="FH19" s="4805"/>
      <c r="FI19" s="4805"/>
      <c r="FJ19" s="4810"/>
      <c r="FK19" s="4807"/>
      <c r="FL19" s="4789"/>
      <c r="FM19" s="4789"/>
      <c r="FN19" s="4789"/>
      <c r="FO19" s="4789"/>
      <c r="FP19" s="4805"/>
      <c r="FQ19" s="4807"/>
      <c r="FR19" s="4789"/>
      <c r="FS19" s="4789"/>
      <c r="FT19" s="4789"/>
      <c r="FU19" s="4789"/>
      <c r="FV19" s="4807"/>
      <c r="FW19" s="4789"/>
      <c r="FX19" s="4789"/>
      <c r="FY19" s="4789"/>
      <c r="FZ19" s="4789"/>
      <c r="GA19" s="4805"/>
      <c r="GB19" s="4805"/>
      <c r="GC19" s="4805"/>
      <c r="GD19" s="4810"/>
      <c r="GE19" s="4807"/>
      <c r="GF19" s="4789"/>
      <c r="GG19" s="4789"/>
      <c r="GH19" s="4789"/>
      <c r="GI19" s="4789"/>
      <c r="GJ19" s="4813"/>
      <c r="GK19" s="4814"/>
      <c r="GL19" s="4814"/>
      <c r="GM19" s="4815"/>
      <c r="GN19" s="4807"/>
      <c r="GO19" s="4789"/>
      <c r="GP19" s="4789"/>
      <c r="GQ19" s="4789"/>
      <c r="GR19" s="4789"/>
      <c r="GS19" s="4805"/>
      <c r="GT19" s="4807"/>
      <c r="GU19" s="4789"/>
      <c r="GV19" s="4789"/>
      <c r="GW19" s="4789"/>
      <c r="GX19" s="4789"/>
      <c r="GY19" s="4810"/>
      <c r="GZ19" s="4807"/>
      <c r="HA19" s="4789"/>
      <c r="HB19" s="4789"/>
      <c r="HC19" s="4789"/>
      <c r="HD19" s="4789"/>
      <c r="HE19" s="4805"/>
      <c r="HF19" s="4808"/>
      <c r="HG19" s="4789"/>
      <c r="HH19" s="4789"/>
      <c r="HI19" s="4789"/>
      <c r="HJ19" s="4789"/>
      <c r="HK19" s="4810"/>
      <c r="HL19" s="4816"/>
      <c r="HM19" s="4789"/>
      <c r="HN19" s="4789"/>
      <c r="HO19" s="4789"/>
      <c r="HP19" s="4789"/>
      <c r="HQ19" s="4810"/>
      <c r="HR19" s="4790"/>
      <c r="HS19" s="4789"/>
      <c r="HT19" s="4789"/>
      <c r="HU19" s="4789"/>
      <c r="HV19" s="4814"/>
      <c r="HW19" s="4810"/>
      <c r="HX19" s="4816"/>
      <c r="HY19" s="4789"/>
      <c r="HZ19" s="4791"/>
      <c r="IA19" s="4805"/>
      <c r="IB19" s="4791"/>
      <c r="IC19" s="4789"/>
      <c r="ID19" s="4816"/>
      <c r="IE19" s="4789"/>
      <c r="IF19" s="4789"/>
      <c r="IG19" s="4805"/>
      <c r="IH19" s="4791"/>
      <c r="II19" s="4788"/>
      <c r="IJ19" s="4816"/>
      <c r="IK19" s="4789"/>
      <c r="IL19" s="4789"/>
      <c r="IM19" s="4789"/>
      <c r="IN19" s="4790"/>
      <c r="IO19" s="4810"/>
      <c r="IP19" s="4790"/>
      <c r="IQ19" s="4789"/>
      <c r="IR19" s="4789"/>
      <c r="IS19" s="4790"/>
      <c r="IT19" s="4810"/>
      <c r="IU19" s="4816"/>
      <c r="IV19" s="4789"/>
      <c r="IW19" s="4789"/>
      <c r="IX19" s="4789"/>
      <c r="IY19" s="4790"/>
      <c r="IZ19" s="4810"/>
      <c r="JA19" s="4790"/>
      <c r="JB19" s="4789"/>
      <c r="JC19" s="4789"/>
      <c r="JD19" s="4790"/>
      <c r="JE19" s="4810"/>
      <c r="JF19" s="4816"/>
      <c r="JG19" s="4789"/>
      <c r="JH19" s="4789"/>
      <c r="JI19" s="4789"/>
      <c r="JJ19" s="4790"/>
      <c r="JK19" s="4810"/>
      <c r="JL19" s="4790"/>
      <c r="JM19" s="4789"/>
      <c r="JN19" s="4789"/>
      <c r="JO19" s="4790"/>
      <c r="JP19" s="4810"/>
      <c r="JQ19" s="4790"/>
      <c r="JR19" s="4789"/>
      <c r="JS19" s="4789"/>
      <c r="JT19" s="4810"/>
      <c r="JU19" s="4816"/>
      <c r="JV19" s="4789"/>
      <c r="JW19" s="4789"/>
      <c r="JX19" s="4789"/>
      <c r="JY19" s="4790"/>
      <c r="JZ19" s="4810"/>
      <c r="KA19" s="4790"/>
      <c r="KB19" s="4789"/>
      <c r="KC19" s="4789"/>
      <c r="KD19" s="4790"/>
      <c r="KE19" s="4810"/>
      <c r="KF19" s="4816"/>
      <c r="KG19" s="4789"/>
      <c r="KH19" s="4789"/>
      <c r="KI19" s="4789"/>
      <c r="KJ19" s="4790"/>
      <c r="KK19" s="4810"/>
      <c r="KL19" s="4790"/>
      <c r="KM19" s="4789"/>
      <c r="KN19" s="4789"/>
      <c r="KO19" s="4790"/>
      <c r="KP19" s="4810"/>
      <c r="KQ19" s="4816"/>
      <c r="KR19" s="4789"/>
      <c r="KS19" s="4789"/>
      <c r="KT19" s="4789"/>
      <c r="KU19" s="4790"/>
      <c r="KV19" s="4810"/>
      <c r="KW19" s="4790"/>
      <c r="KX19" s="4789"/>
      <c r="KY19" s="4789"/>
      <c r="KZ19" s="4790"/>
      <c r="LA19" s="4810"/>
      <c r="LB19" s="4790"/>
      <c r="LC19" s="4789"/>
      <c r="LD19" s="4789"/>
      <c r="LE19" s="4810"/>
      <c r="LF19" s="4790"/>
      <c r="LG19" s="4800"/>
      <c r="LH19" s="4817"/>
      <c r="LI19" s="4818"/>
      <c r="LJ19" s="4818"/>
      <c r="LK19" s="4798"/>
      <c r="LL19" s="4816"/>
      <c r="LM19" s="4789"/>
      <c r="LN19" s="4789"/>
      <c r="LO19" s="4789"/>
      <c r="LP19" s="4790"/>
      <c r="LQ19" s="4810"/>
      <c r="LR19" s="4790"/>
      <c r="LS19" s="4789"/>
      <c r="LT19" s="4789"/>
      <c r="LU19" s="4790"/>
      <c r="LV19" s="4810"/>
      <c r="LW19" s="4819"/>
      <c r="LX19" s="4789"/>
      <c r="LY19" s="4789"/>
      <c r="LZ19" s="4789"/>
      <c r="MA19" s="4790"/>
      <c r="MB19" s="4810"/>
      <c r="MC19" s="4789"/>
      <c r="MD19" s="4789"/>
      <c r="ME19" s="4789"/>
      <c r="MF19" s="4790"/>
      <c r="MG19" s="4810"/>
      <c r="MH19" s="4819"/>
      <c r="MI19" s="4789"/>
      <c r="MJ19" s="4789"/>
      <c r="MK19" s="4789"/>
      <c r="ML19" s="4790"/>
      <c r="MM19" s="4810"/>
      <c r="MN19" s="4789"/>
      <c r="MO19" s="4789"/>
      <c r="MP19" s="4789"/>
      <c r="MQ19" s="4790"/>
      <c r="MR19" s="4810"/>
      <c r="MS19" s="4819"/>
      <c r="MT19" s="4789"/>
      <c r="MU19" s="4789"/>
      <c r="MV19" s="4805"/>
      <c r="MW19" s="4790"/>
      <c r="MX19" s="4789"/>
      <c r="MY19" s="4789"/>
      <c r="MZ19" s="4805"/>
      <c r="NA19" s="4805"/>
      <c r="NB19" s="4810"/>
      <c r="NC19" s="4819"/>
      <c r="ND19" s="4789"/>
      <c r="NE19" s="4789"/>
      <c r="NF19" s="4789"/>
      <c r="NG19" s="4790"/>
      <c r="NH19" s="4810"/>
      <c r="NI19" s="4789"/>
      <c r="NJ19" s="4789"/>
      <c r="NK19" s="4789"/>
      <c r="NL19" s="4790"/>
      <c r="NM19" s="4805"/>
      <c r="NN19" s="4820"/>
      <c r="NO19" s="4789"/>
      <c r="NP19" s="4789"/>
      <c r="NQ19" s="4789"/>
      <c r="NR19" s="4790"/>
      <c r="NS19" s="4810"/>
      <c r="NT19" s="4789"/>
      <c r="NU19" s="4789"/>
      <c r="NV19" s="4789"/>
      <c r="NW19" s="4790"/>
      <c r="NX19" s="4805"/>
      <c r="NY19" s="4820"/>
      <c r="NZ19" s="4789"/>
      <c r="OA19" s="4789"/>
      <c r="OB19" s="4789"/>
      <c r="OC19" s="4790"/>
      <c r="OD19" s="4810"/>
      <c r="OE19" s="4789"/>
      <c r="OF19" s="4789"/>
      <c r="OG19" s="4789"/>
      <c r="OH19" s="4790"/>
      <c r="OI19" s="5387"/>
      <c r="OJ19" s="4788"/>
      <c r="OK19" s="4821"/>
      <c r="OL19" s="4821"/>
      <c r="OM19" s="4822"/>
      <c r="ON19" s="4821"/>
      <c r="OO19" s="4810"/>
      <c r="OP19" s="4788"/>
      <c r="OQ19" s="4820"/>
      <c r="OR19" s="4789"/>
      <c r="OS19" s="4789"/>
      <c r="OT19" s="4789"/>
      <c r="OU19" s="4790"/>
      <c r="OV19" s="4823"/>
      <c r="OW19" s="4790"/>
      <c r="OX19" s="4789"/>
      <c r="OY19" s="4789"/>
      <c r="OZ19" s="4790"/>
      <c r="PA19" s="5369"/>
      <c r="PB19" s="4819"/>
      <c r="PC19" s="4789"/>
      <c r="PD19" s="4789"/>
      <c r="PE19" s="4789"/>
      <c r="PF19" s="4790"/>
      <c r="PG19" s="4823"/>
      <c r="PH19" s="4790"/>
      <c r="PI19" s="4789"/>
      <c r="PJ19" s="4789"/>
      <c r="PK19" s="4790"/>
      <c r="PL19" s="4805"/>
      <c r="PM19" s="4820"/>
      <c r="PN19" s="4789"/>
      <c r="PO19" s="4789"/>
      <c r="PP19" s="4789"/>
      <c r="PQ19" s="6303"/>
      <c r="PR19" s="6304"/>
      <c r="PS19" s="4789"/>
      <c r="PT19" s="4789"/>
      <c r="PU19" s="4789"/>
      <c r="PV19" s="4790"/>
      <c r="PW19" s="5387"/>
      <c r="PX19" s="4789"/>
      <c r="PY19" s="4789"/>
      <c r="PZ19" s="4789"/>
      <c r="QA19" s="4805"/>
      <c r="QB19" s="4820"/>
      <c r="QC19" s="4789"/>
      <c r="QD19" s="4789"/>
      <c r="QE19" s="4789"/>
      <c r="QF19" s="6303"/>
      <c r="QG19" s="6304"/>
      <c r="QH19" s="4789"/>
      <c r="QI19" s="4789"/>
      <c r="QJ19" s="4789"/>
      <c r="QK19" s="4790"/>
      <c r="QL19" s="5387"/>
      <c r="QM19" s="4820"/>
      <c r="QN19" s="4789"/>
      <c r="QO19" s="4789"/>
      <c r="QP19" s="4789"/>
      <c r="QQ19" s="4790"/>
      <c r="QR19" s="4810"/>
      <c r="QS19" s="4790"/>
      <c r="QT19" s="4789"/>
      <c r="QU19" s="4789"/>
      <c r="QV19" s="4790"/>
      <c r="QW19" s="5387"/>
      <c r="QX19" s="4820"/>
      <c r="QY19" s="4789"/>
      <c r="QZ19" s="4789"/>
      <c r="RA19" s="4789"/>
      <c r="RB19" s="4790"/>
      <c r="RC19" s="4810"/>
      <c r="RD19" s="4790"/>
      <c r="RE19" s="4789"/>
      <c r="RF19" s="4789"/>
      <c r="RG19" s="4790"/>
      <c r="RH19" s="5387"/>
      <c r="RI19" s="6324"/>
      <c r="RJ19" s="4789"/>
      <c r="RK19" s="4789"/>
      <c r="RL19" s="5387"/>
      <c r="RM19" s="6324"/>
      <c r="RN19" s="4800"/>
      <c r="RO19" s="4817"/>
      <c r="RP19" s="4818"/>
      <c r="RQ19" s="4818"/>
      <c r="RR19" s="6345"/>
      <c r="RS19" s="6331"/>
      <c r="RT19" s="4800"/>
      <c r="RU19" s="4800"/>
      <c r="RV19" s="5313"/>
      <c r="RW19" s="4790"/>
      <c r="RX19" s="4810"/>
      <c r="RY19" s="4790"/>
      <c r="RZ19" s="4789"/>
      <c r="SA19" s="4789"/>
      <c r="SB19" s="4790"/>
      <c r="SC19" s="5387"/>
      <c r="SD19" s="5402"/>
      <c r="SE19" s="4800"/>
      <c r="SF19" s="4800"/>
      <c r="SG19" s="6354"/>
      <c r="SH19" s="6371"/>
      <c r="SI19" s="6372"/>
      <c r="SJ19" s="4789"/>
      <c r="SK19" s="4789"/>
      <c r="SL19" s="4789"/>
      <c r="SM19" s="4790"/>
      <c r="SN19" s="5387"/>
      <c r="SO19" s="4819"/>
      <c r="SP19" s="4789"/>
      <c r="SQ19" s="4789"/>
      <c r="SR19" s="4789"/>
      <c r="SS19" s="6371"/>
      <c r="ST19" s="6372"/>
      <c r="SU19" s="4789"/>
      <c r="SV19" s="4789"/>
      <c r="SW19" s="4789"/>
      <c r="SX19" s="4790"/>
      <c r="SY19" s="5387"/>
      <c r="SZ19" s="4820"/>
      <c r="TA19" s="4789"/>
      <c r="TB19" s="4789"/>
      <c r="TC19" s="5387"/>
      <c r="TD19" s="4820"/>
      <c r="TE19" s="4789"/>
      <c r="TF19" s="4789"/>
      <c r="TG19" s="4789"/>
      <c r="TH19" s="4790"/>
      <c r="TI19" s="4810"/>
      <c r="TJ19" s="4789"/>
      <c r="TK19" s="4789"/>
      <c r="TL19" s="4789"/>
      <c r="TM19" s="4790"/>
      <c r="TN19" s="5387"/>
      <c r="TO19" s="4819"/>
      <c r="TP19" s="4789"/>
      <c r="TQ19" s="4789"/>
      <c r="TR19" s="4789"/>
      <c r="TS19" s="4790"/>
      <c r="TT19" s="4810"/>
      <c r="TU19" s="4789"/>
      <c r="TV19" s="4789"/>
      <c r="TW19" s="4789"/>
      <c r="TX19" s="4790"/>
      <c r="TY19" s="4805"/>
      <c r="TZ19" s="4820"/>
      <c r="UA19" s="4789"/>
      <c r="UB19" s="4789"/>
      <c r="UC19" s="4789"/>
      <c r="UD19" s="4790"/>
      <c r="UE19" s="4810"/>
      <c r="UF19" s="4789"/>
      <c r="UG19" s="4789"/>
      <c r="UH19" s="4789"/>
      <c r="UI19" s="4790"/>
      <c r="UJ19" s="5387"/>
      <c r="UK19" s="6324"/>
      <c r="UL19" s="4789"/>
      <c r="UM19" s="4789"/>
      <c r="UN19" s="4822"/>
      <c r="UO19" s="4789"/>
      <c r="UP19" s="5389"/>
      <c r="UR19" s="4274"/>
      <c r="US19" s="4274"/>
    </row>
    <row r="20" spans="1:567" x14ac:dyDescent="0.3">
      <c r="A20" s="5315">
        <v>1</v>
      </c>
      <c r="B20" s="5358" t="s">
        <v>377</v>
      </c>
      <c r="C20" s="735" t="s">
        <v>141</v>
      </c>
      <c r="D20" s="735" t="s">
        <v>140</v>
      </c>
      <c r="E20" s="6277" t="s">
        <v>254</v>
      </c>
      <c r="F20" s="1436">
        <v>35.333333333333336</v>
      </c>
      <c r="G20" s="350">
        <v>4983623</v>
      </c>
      <c r="H20" s="350">
        <v>6737522</v>
      </c>
      <c r="I20" s="350">
        <v>1579516</v>
      </c>
      <c r="J20" s="351">
        <f>I20/H20</f>
        <v>0.23443574655489066</v>
      </c>
      <c r="K20" s="674">
        <v>73</v>
      </c>
      <c r="L20" s="350">
        <v>11866107</v>
      </c>
      <c r="M20" s="350">
        <v>17084894</v>
      </c>
      <c r="N20" s="350">
        <v>5196682</v>
      </c>
      <c r="O20" s="672"/>
      <c r="P20" s="674">
        <v>71</v>
      </c>
      <c r="Q20" s="350">
        <v>12629963</v>
      </c>
      <c r="R20" s="350">
        <v>18393544</v>
      </c>
      <c r="S20" s="350">
        <v>5734801</v>
      </c>
      <c r="T20" s="95"/>
      <c r="U20" s="673"/>
      <c r="V20" s="672"/>
      <c r="W20" s="672"/>
      <c r="X20" s="672"/>
      <c r="Y20" s="672"/>
      <c r="Z20" s="675"/>
      <c r="AA20" s="672"/>
      <c r="AB20" s="672"/>
      <c r="AC20" s="672"/>
      <c r="AD20" s="672"/>
      <c r="AE20" s="582">
        <f>AC20-(AB20+AD20)</f>
        <v>0</v>
      </c>
      <c r="AF20" s="672"/>
      <c r="AG20" s="1437">
        <v>36</v>
      </c>
      <c r="AH20" s="1438">
        <v>2071959</v>
      </c>
      <c r="AI20" s="1438">
        <v>2658363</v>
      </c>
      <c r="AJ20" s="1438">
        <v>96719</v>
      </c>
      <c r="AK20" s="105">
        <f>AI20-(AH20+AJ20)</f>
        <v>489685</v>
      </c>
      <c r="AL20" s="1439">
        <f>AK20/AI20</f>
        <v>0.18420546780104899</v>
      </c>
      <c r="AM20" s="1440">
        <v>542057</v>
      </c>
      <c r="AN20" s="418">
        <v>131298</v>
      </c>
      <c r="AO20" s="418"/>
      <c r="AP20" s="128">
        <v>49383.651724137926</v>
      </c>
      <c r="AQ20" s="418">
        <f>AK20-AM20-AN20-AO20-AP20</f>
        <v>-233053.65172413792</v>
      </c>
      <c r="AR20" s="1439">
        <f>AQ20/AK20</f>
        <v>-0.47592564959951383</v>
      </c>
      <c r="AS20" s="1437">
        <v>36</v>
      </c>
      <c r="AT20" s="356">
        <v>7785834</v>
      </c>
      <c r="AU20" s="418">
        <v>11037528</v>
      </c>
      <c r="AV20" s="418">
        <v>3166920</v>
      </c>
      <c r="AW20" s="1439">
        <f>AV20/AU20</f>
        <v>0.28692294144123576</v>
      </c>
      <c r="AX20" s="1441">
        <v>36</v>
      </c>
      <c r="AY20" s="763">
        <f t="shared" ref="AY20:BA22" si="244">AT20+Q20+L20+G20</f>
        <v>37265527</v>
      </c>
      <c r="AZ20" s="763">
        <f t="shared" si="244"/>
        <v>53253488</v>
      </c>
      <c r="BA20" s="763">
        <f t="shared" si="244"/>
        <v>15677919</v>
      </c>
      <c r="BB20" s="736">
        <f>BA20/AZ20</f>
        <v>0.2944017300801029</v>
      </c>
      <c r="BC20" s="1512">
        <v>84</v>
      </c>
      <c r="BD20" s="582">
        <v>1612600</v>
      </c>
      <c r="BE20" s="582">
        <v>1918809</v>
      </c>
      <c r="BF20" s="582">
        <f>30317+2528</f>
        <v>32845</v>
      </c>
      <c r="BG20" s="582">
        <f>BE20-(BD20+BF20)</f>
        <v>273364</v>
      </c>
      <c r="BH20" s="589"/>
      <c r="BI20" s="1512">
        <v>84</v>
      </c>
      <c r="BJ20" s="582">
        <v>1595848</v>
      </c>
      <c r="BK20" s="582">
        <v>1864284</v>
      </c>
      <c r="BL20" s="582">
        <v>44577</v>
      </c>
      <c r="BM20" s="582">
        <f>BK20-(BJ20+BL20)</f>
        <v>223859</v>
      </c>
      <c r="BN20" s="589"/>
      <c r="BO20" s="590">
        <v>83</v>
      </c>
      <c r="BP20" s="582">
        <v>1600312</v>
      </c>
      <c r="BQ20" s="582">
        <v>1887335</v>
      </c>
      <c r="BR20" s="582">
        <v>21497</v>
      </c>
      <c r="BS20" s="582">
        <f>BQ20-(BP20+BR20)</f>
        <v>265526</v>
      </c>
      <c r="BT20" s="591">
        <f>BS20/BQ20</f>
        <v>0.1406883250721255</v>
      </c>
      <c r="BU20" s="590">
        <v>83</v>
      </c>
      <c r="BV20" s="592">
        <f>BQ20+BK20+BE20</f>
        <v>5670428</v>
      </c>
      <c r="BW20" s="592">
        <f>BS20+BM20+BG20</f>
        <v>762749</v>
      </c>
      <c r="BX20" s="593">
        <f>BW20/BV20</f>
        <v>0.13451347940578737</v>
      </c>
      <c r="BY20" s="746">
        <v>29</v>
      </c>
      <c r="BZ20" s="596">
        <v>1764382</v>
      </c>
      <c r="CA20" s="596">
        <v>2333517</v>
      </c>
      <c r="CB20" s="596">
        <v>29573</v>
      </c>
      <c r="CC20" s="596">
        <f>CA20-(BZ20+CB20)</f>
        <v>539562</v>
      </c>
      <c r="CD20" s="747">
        <f>CC20/CA20</f>
        <v>0.2312226566166006</v>
      </c>
      <c r="CE20" s="748">
        <v>366010</v>
      </c>
      <c r="CF20" s="749">
        <v>235306</v>
      </c>
      <c r="CG20" s="749"/>
      <c r="CH20" s="749">
        <v>74304.057692307688</v>
      </c>
      <c r="CI20" s="749">
        <f>CC20-CE20-CF20-CG20-CH20</f>
        <v>-136058.05769230769</v>
      </c>
      <c r="CJ20" s="747">
        <f>CI20/CA20</f>
        <v>-5.8306006638180773E-2</v>
      </c>
      <c r="CK20" s="750">
        <v>26</v>
      </c>
      <c r="CL20" s="751">
        <v>1598813</v>
      </c>
      <c r="CM20" s="751">
        <v>2312774</v>
      </c>
      <c r="CN20" s="751">
        <v>3028</v>
      </c>
      <c r="CO20" s="105">
        <f>CM20-(CL20+CN20)</f>
        <v>710933</v>
      </c>
      <c r="CP20" s="753">
        <f>CO20/CM20</f>
        <v>0.30739406444382372</v>
      </c>
      <c r="CQ20" s="754">
        <v>240790.5</v>
      </c>
      <c r="CR20" s="754">
        <f>133333+99568</f>
        <v>232901</v>
      </c>
      <c r="CS20" s="754"/>
      <c r="CT20" s="754">
        <v>147101.18634615382</v>
      </c>
      <c r="CU20" s="754">
        <f>CO20-CQ20-CR20-CS20-CT20</f>
        <v>90140.313653846184</v>
      </c>
      <c r="CV20" s="755">
        <f>CU20/CM20</f>
        <v>3.8974977085459356E-2</v>
      </c>
      <c r="CW20" s="127">
        <v>22</v>
      </c>
      <c r="CX20" s="128">
        <v>1193700</v>
      </c>
      <c r="CY20" s="128">
        <v>1935614</v>
      </c>
      <c r="CZ20" s="128">
        <v>61690</v>
      </c>
      <c r="DA20" s="605">
        <f>CY20-(CX20+CZ20)</f>
        <v>680224</v>
      </c>
      <c r="DB20" s="106">
        <f>DA20/CY20</f>
        <v>0.35142543916297359</v>
      </c>
      <c r="DC20" s="139">
        <v>162890</v>
      </c>
      <c r="DD20" s="696">
        <v>113817.95833333333</v>
      </c>
      <c r="DE20" s="128"/>
      <c r="DF20" s="128">
        <v>121185.01354166666</v>
      </c>
      <c r="DG20" s="128">
        <f>DA20-DC20-DD20-DE20-DF20</f>
        <v>282331.02812500001</v>
      </c>
      <c r="DH20" s="203">
        <f>DG20/CY20</f>
        <v>0.14586122446159203</v>
      </c>
      <c r="DI20" s="204">
        <f>(BY20+CK20+CW20)/3</f>
        <v>25.666666666666668</v>
      </c>
      <c r="DJ20" s="202">
        <f>CA20+CM20+CY20</f>
        <v>6581905</v>
      </c>
      <c r="DK20" s="202">
        <f>CC20+CO20+DA20</f>
        <v>1930719</v>
      </c>
      <c r="DL20" s="119">
        <f>DK20/DJ20</f>
        <v>0.2933374152316085</v>
      </c>
      <c r="DM20" s="202">
        <f>CI20+CU20+DG20</f>
        <v>236413.28408653851</v>
      </c>
      <c r="DN20" s="119">
        <f>DM20/DJ20</f>
        <v>3.5918671583156932E-2</v>
      </c>
      <c r="DO20" s="686">
        <f t="shared" ref="DO20:DQ22" si="245">CW20-AG20</f>
        <v>-14</v>
      </c>
      <c r="DP20" s="146">
        <f t="shared" si="245"/>
        <v>-878259</v>
      </c>
      <c r="DQ20" s="146">
        <f t="shared" si="245"/>
        <v>-722749</v>
      </c>
      <c r="DR20" s="146">
        <f>DA20-AK20</f>
        <v>190539</v>
      </c>
      <c r="DS20" s="119">
        <f>DO20/AG20</f>
        <v>-0.3888888888888889</v>
      </c>
      <c r="DT20" s="119">
        <f>DP20/AI20</f>
        <v>-0.33037587417519731</v>
      </c>
      <c r="DU20" s="119">
        <f>DQ20/AK20</f>
        <v>-1.4759467821150332</v>
      </c>
      <c r="DV20" s="150">
        <f>DR20/AQ20</f>
        <v>-0.81757568950491333</v>
      </c>
      <c r="DW20" s="686">
        <f>CW20-CK20</f>
        <v>-4</v>
      </c>
      <c r="DX20" s="1442">
        <f>CY20-CM20</f>
        <v>-377160</v>
      </c>
      <c r="DY20" s="1442">
        <f>DA20-CO20</f>
        <v>-30709</v>
      </c>
      <c r="DZ20" s="1442">
        <f>DG20-CU20</f>
        <v>192190.71447115383</v>
      </c>
      <c r="EA20" s="119">
        <f>DW20/CK20</f>
        <v>-0.15384615384615385</v>
      </c>
      <c r="EB20" s="119">
        <f>DX20/CM20</f>
        <v>-0.16307689380804177</v>
      </c>
      <c r="EC20" s="119">
        <f>DY20/CO20</f>
        <v>-4.3195350335404323E-2</v>
      </c>
      <c r="ED20" s="150">
        <f>DZ20/CU20</f>
        <v>2.1321283084192295</v>
      </c>
      <c r="EE20" s="746">
        <v>18</v>
      </c>
      <c r="EF20" s="596">
        <v>955279</v>
      </c>
      <c r="EG20" s="596">
        <v>1141162</v>
      </c>
      <c r="EH20" s="128">
        <v>104048</v>
      </c>
      <c r="EI20" s="605">
        <f>EG20-(EF20+EH20)</f>
        <v>81835</v>
      </c>
      <c r="EJ20" s="106">
        <f>EI20/EG20</f>
        <v>7.1711991811854933E-2</v>
      </c>
      <c r="EK20" s="139">
        <f>149624-81000</f>
        <v>68624</v>
      </c>
      <c r="EL20" s="696">
        <v>0</v>
      </c>
      <c r="EM20" s="128">
        <v>0</v>
      </c>
      <c r="EN20" s="128">
        <v>96058.455729166672</v>
      </c>
      <c r="EO20" s="128">
        <f>EI20-EK20-EL20-EM20-EN20</f>
        <v>-82847.455729166672</v>
      </c>
      <c r="EP20" s="106">
        <f>EO20/EG20</f>
        <v>-7.2599206536115526E-2</v>
      </c>
      <c r="EQ20" s="746">
        <v>18</v>
      </c>
      <c r="ER20" s="596">
        <v>1108256</v>
      </c>
      <c r="ES20" s="596">
        <v>1484828</v>
      </c>
      <c r="ET20" s="128">
        <v>7138</v>
      </c>
      <c r="EU20" s="118">
        <f>ES20-(ER20+ET20)</f>
        <v>369434</v>
      </c>
      <c r="EV20" s="106">
        <f>EU20/ES20</f>
        <v>0.24880592230211176</v>
      </c>
      <c r="EW20" s="139">
        <v>149119</v>
      </c>
      <c r="EX20" s="696">
        <v>0</v>
      </c>
      <c r="EY20" s="128">
        <v>0</v>
      </c>
      <c r="EZ20" s="128">
        <v>184967.74562500001</v>
      </c>
      <c r="FA20" s="128">
        <f>EU20-EW20-EX20-EY20-EZ20</f>
        <v>35347.25437499999</v>
      </c>
      <c r="FB20" s="106">
        <f>FA20/ES20</f>
        <v>2.3805622183175418E-2</v>
      </c>
      <c r="FC20" s="609">
        <f>EQ20-AG20</f>
        <v>-18</v>
      </c>
      <c r="FD20" s="610">
        <f>ES20-AI20</f>
        <v>-1173535</v>
      </c>
      <c r="FE20" s="610">
        <f>EU20-AK20</f>
        <v>-120251</v>
      </c>
      <c r="FF20" s="610">
        <f>FA20-AQ20</f>
        <v>268400.90609913791</v>
      </c>
      <c r="FG20" s="611">
        <f>FC20/AG20</f>
        <v>-0.5</v>
      </c>
      <c r="FH20" s="611">
        <f>FD20/AI20</f>
        <v>-0.44145024588440329</v>
      </c>
      <c r="FI20" s="611">
        <f>FE20/AK20</f>
        <v>-0.24556806926901989</v>
      </c>
      <c r="FJ20" s="612">
        <f>FF20/AQ20</f>
        <v>-1.1516700301132377</v>
      </c>
      <c r="FK20" s="226">
        <v>12</v>
      </c>
      <c r="FL20" s="118">
        <v>626237</v>
      </c>
      <c r="FM20" s="118">
        <v>784453</v>
      </c>
      <c r="FN20" s="118">
        <v>103370</v>
      </c>
      <c r="FO20" s="118">
        <f>FM20-(FL20+FN20)</f>
        <v>54846</v>
      </c>
      <c r="FP20" s="119">
        <f>FO20/FM20</f>
        <v>6.9916234624636531E-2</v>
      </c>
      <c r="FQ20" s="226">
        <v>149624</v>
      </c>
      <c r="FR20" s="118">
        <v>50000</v>
      </c>
      <c r="FS20" s="118"/>
      <c r="FT20" s="189">
        <f>FO20-SUM(FQ20:FS20)</f>
        <v>-144778</v>
      </c>
      <c r="FU20" s="150">
        <f>FT20/FM20</f>
        <v>-0.18455917690416124</v>
      </c>
      <c r="FV20" s="188">
        <f t="shared" ref="FV20:FX22" si="246">FK20-AG20</f>
        <v>-24</v>
      </c>
      <c r="FW20" s="189">
        <f t="shared" si="246"/>
        <v>-1445722</v>
      </c>
      <c r="FX20" s="189">
        <f t="shared" si="246"/>
        <v>-1873910</v>
      </c>
      <c r="FY20" s="189">
        <f>FO20-AK20</f>
        <v>-434839</v>
      </c>
      <c r="FZ20" s="189">
        <f>FT20-AQ20</f>
        <v>88275.651724137919</v>
      </c>
      <c r="GA20" s="119">
        <f>FV20/AG20</f>
        <v>-0.66666666666666663</v>
      </c>
      <c r="GB20" s="119">
        <f>FX20/AI20</f>
        <v>-0.70491125553583167</v>
      </c>
      <c r="GC20" s="119">
        <f>FY20/AK20</f>
        <v>-0.88799738607472145</v>
      </c>
      <c r="GD20" s="150">
        <f>FZ20/AQ20</f>
        <v>-0.37877823870628929</v>
      </c>
      <c r="GE20" s="187">
        <f>(EE20+EQ20+FK20)/3</f>
        <v>16</v>
      </c>
      <c r="GF20" s="155">
        <f>EG20+ES20+FM20</f>
        <v>3410443</v>
      </c>
      <c r="GG20" s="155">
        <f>EI20+EU20+FO20</f>
        <v>506115</v>
      </c>
      <c r="GH20" s="74">
        <f>GG20/GF20</f>
        <v>0.14840154196976757</v>
      </c>
      <c r="GI20" s="613">
        <f>EO20+FA20+FT20</f>
        <v>-192278.20135416667</v>
      </c>
      <c r="GJ20" s="187">
        <f t="shared" ref="GJ20:GL22" si="247">GE20-DI20</f>
        <v>-9.6666666666666679</v>
      </c>
      <c r="GK20" s="155">
        <f t="shared" si="247"/>
        <v>-3171462</v>
      </c>
      <c r="GL20" s="155">
        <f t="shared" si="247"/>
        <v>-1424604</v>
      </c>
      <c r="GM20" s="613">
        <f>GI20-DM20</f>
        <v>-428691.4854407052</v>
      </c>
      <c r="GN20" s="226">
        <v>6</v>
      </c>
      <c r="GO20" s="118">
        <v>428667</v>
      </c>
      <c r="GP20" s="118">
        <v>534654</v>
      </c>
      <c r="GQ20" s="118">
        <v>5065</v>
      </c>
      <c r="GR20" s="118">
        <f>GP20-(GO20+GQ20)</f>
        <v>100922</v>
      </c>
      <c r="GS20" s="119">
        <f>GR20/GP20</f>
        <v>0.18876132975718876</v>
      </c>
      <c r="GT20" s="226">
        <f>148650</f>
        <v>148650</v>
      </c>
      <c r="GU20" s="118">
        <v>0</v>
      </c>
      <c r="GV20" s="118">
        <v>0</v>
      </c>
      <c r="GW20" s="118">
        <v>0</v>
      </c>
      <c r="GX20" s="188">
        <f>GR20-SUM(GT20:GW20)</f>
        <v>-47728</v>
      </c>
      <c r="GY20" s="150">
        <f>GX20/GP20</f>
        <v>-8.9268947768089274E-2</v>
      </c>
      <c r="GZ20" s="647">
        <v>5</v>
      </c>
      <c r="HA20" s="128">
        <v>417244</v>
      </c>
      <c r="HB20" s="128">
        <v>561960</v>
      </c>
      <c r="HC20" s="128">
        <v>0</v>
      </c>
      <c r="HD20" s="118">
        <f>HB20-(HA20+HC20)</f>
        <v>144716</v>
      </c>
      <c r="HE20" s="150">
        <f>HD20/HB20</f>
        <v>0.25752010819275395</v>
      </c>
      <c r="HF20" s="139">
        <f>40500+16000</f>
        <v>56500</v>
      </c>
      <c r="HG20" s="128">
        <v>0</v>
      </c>
      <c r="HH20" s="128"/>
      <c r="HI20" s="128">
        <v>100000</v>
      </c>
      <c r="HJ20" s="155">
        <f>HD20-SUM(HF20:HI20)</f>
        <v>-11784</v>
      </c>
      <c r="HK20" s="73">
        <f>HJ20/HB20</f>
        <v>-2.0969464018791371E-2</v>
      </c>
      <c r="HL20" s="1443">
        <v>5</v>
      </c>
      <c r="HM20" s="109">
        <v>416339</v>
      </c>
      <c r="HN20" s="109">
        <v>573740</v>
      </c>
      <c r="HO20" s="118">
        <v>0</v>
      </c>
      <c r="HP20" s="1444">
        <f>HN20-(HM20+HO20)</f>
        <v>157401</v>
      </c>
      <c r="HQ20" s="73">
        <f>HP20/HN20</f>
        <v>0.27434203646250915</v>
      </c>
      <c r="HR20" s="226">
        <v>125510</v>
      </c>
      <c r="HS20" s="118">
        <v>200000</v>
      </c>
      <c r="HT20" s="118"/>
      <c r="HU20" s="118">
        <v>50000</v>
      </c>
      <c r="HV20" s="189">
        <f>HP20-SUM(HR20:HU20)</f>
        <v>-218109</v>
      </c>
      <c r="HW20" s="150">
        <f>HV20/HN20</f>
        <v>-0.38015303098964687</v>
      </c>
      <c r="HX20" s="1445">
        <v>5</v>
      </c>
      <c r="HY20" s="202">
        <f>HN20+HB20+GP20</f>
        <v>1670354</v>
      </c>
      <c r="HZ20" s="1446">
        <f>HP20+HD20+GR20</f>
        <v>403039</v>
      </c>
      <c r="IA20" s="202"/>
      <c r="IB20" s="1446">
        <f>HV20+HJ20+GX20</f>
        <v>-277621</v>
      </c>
      <c r="IC20" s="141"/>
      <c r="ID20" s="642">
        <v>5</v>
      </c>
      <c r="IE20" s="141">
        <f t="shared" ref="IE20:IF22" si="248">HY20+GF20+DJ20+BV20</f>
        <v>17333130</v>
      </c>
      <c r="IF20" s="141">
        <f t="shared" si="248"/>
        <v>3602622</v>
      </c>
      <c r="IG20" s="74">
        <f>IF20/IE20</f>
        <v>0.2078460151167158</v>
      </c>
      <c r="IH20" s="1507"/>
      <c r="II20" s="69"/>
      <c r="IJ20" s="226">
        <v>5</v>
      </c>
      <c r="IK20" s="118">
        <v>418494</v>
      </c>
      <c r="IL20" s="118">
        <v>592000</v>
      </c>
      <c r="IM20" s="118">
        <v>0</v>
      </c>
      <c r="IN20" s="226">
        <f>IL20-(IK20+IM20)</f>
        <v>173506</v>
      </c>
      <c r="IO20" s="150">
        <f>IN20/IL20</f>
        <v>0.29308445945945943</v>
      </c>
      <c r="IP20" s="226">
        <v>125510</v>
      </c>
      <c r="IQ20" s="118">
        <v>0</v>
      </c>
      <c r="IR20" s="118">
        <v>0</v>
      </c>
      <c r="IS20" s="188">
        <f>IN20-SUM(IP20:IR20)</f>
        <v>47996</v>
      </c>
      <c r="IT20" s="150">
        <f>IS20/IL20</f>
        <v>8.1074324324324321E-2</v>
      </c>
      <c r="IU20" s="1447">
        <v>6</v>
      </c>
      <c r="IV20" s="118">
        <v>447257</v>
      </c>
      <c r="IW20" s="118">
        <v>535831</v>
      </c>
      <c r="IX20" s="118"/>
      <c r="IY20" s="226">
        <f>IW20-(IV20+IX20)</f>
        <v>88574</v>
      </c>
      <c r="IZ20" s="150">
        <f>IY20/IW20</f>
        <v>0.1653021195115624</v>
      </c>
      <c r="JA20" s="226">
        <v>48390</v>
      </c>
      <c r="JB20" s="118">
        <v>0</v>
      </c>
      <c r="JC20" s="118">
        <v>0</v>
      </c>
      <c r="JD20" s="188">
        <f>IY20-SUM(JA20:JC20)</f>
        <v>40184</v>
      </c>
      <c r="JE20" s="150">
        <f>JD20/IW20</f>
        <v>7.499379468526457E-2</v>
      </c>
      <c r="JF20" s="1447">
        <v>6</v>
      </c>
      <c r="JG20" s="118">
        <v>463781</v>
      </c>
      <c r="JH20" s="118">
        <v>624016</v>
      </c>
      <c r="JI20" s="118">
        <v>0</v>
      </c>
      <c r="JJ20" s="226">
        <f>JH20-(JG20+JI20)</f>
        <v>160235</v>
      </c>
      <c r="JK20" s="150">
        <f>JJ20/JH20</f>
        <v>0.25678027486474708</v>
      </c>
      <c r="JL20" s="226">
        <v>73592</v>
      </c>
      <c r="JM20" s="118">
        <v>0</v>
      </c>
      <c r="JN20" s="118">
        <v>50000</v>
      </c>
      <c r="JO20" s="188">
        <f>JJ20-SUM(JL20:JN20)</f>
        <v>36643</v>
      </c>
      <c r="JP20" s="150">
        <f>JO20/JH20</f>
        <v>5.8721250737160585E-2</v>
      </c>
      <c r="JQ20" s="1447">
        <v>6</v>
      </c>
      <c r="JR20" s="189">
        <f t="shared" ref="JR20:JR33" si="249">JH20+IW20+IL20</f>
        <v>1751847</v>
      </c>
      <c r="JS20" s="189">
        <f t="shared" ref="JS20:JS33" si="250">JJ20+IY20+IN20</f>
        <v>422315</v>
      </c>
      <c r="JT20" s="150">
        <f>JS20/JR20</f>
        <v>0.24106842663771436</v>
      </c>
      <c r="JU20" s="1447">
        <v>7</v>
      </c>
      <c r="JV20" s="118">
        <v>597089</v>
      </c>
      <c r="JW20" s="118">
        <v>807647</v>
      </c>
      <c r="JX20" s="118"/>
      <c r="JY20" s="226">
        <f>JW20-(JV20+JX20)</f>
        <v>210558</v>
      </c>
      <c r="JZ20" s="150">
        <f>JY20/JW20</f>
        <v>0.26070548147891343</v>
      </c>
      <c r="KA20" s="226">
        <v>45670</v>
      </c>
      <c r="KB20" s="118">
        <v>100000</v>
      </c>
      <c r="KC20" s="118">
        <v>50000</v>
      </c>
      <c r="KD20" s="188">
        <f>JY20-SUM(KA20:KC20)</f>
        <v>14888</v>
      </c>
      <c r="KE20" s="150">
        <f>KD20/JW20</f>
        <v>1.8433795952934883E-2</v>
      </c>
      <c r="KF20" s="1447">
        <v>8</v>
      </c>
      <c r="KG20" s="118">
        <v>619803</v>
      </c>
      <c r="KH20" s="118">
        <v>860003</v>
      </c>
      <c r="KI20" s="118">
        <v>0</v>
      </c>
      <c r="KJ20" s="226">
        <f>KH20-(KG20+KI20)</f>
        <v>240200</v>
      </c>
      <c r="KK20" s="150">
        <f>KJ20/KH20</f>
        <v>0.27930135127435601</v>
      </c>
      <c r="KL20" s="226">
        <v>187130</v>
      </c>
      <c r="KM20" s="118">
        <v>0</v>
      </c>
      <c r="KN20" s="118">
        <v>50000</v>
      </c>
      <c r="KO20" s="188">
        <f>KJ20-SUM(KL20:KN20)</f>
        <v>3070</v>
      </c>
      <c r="KP20" s="150">
        <f>KO20/KH20</f>
        <v>3.5697549892267817E-3</v>
      </c>
      <c r="KQ20" s="1447">
        <v>11</v>
      </c>
      <c r="KR20" s="118">
        <v>912277</v>
      </c>
      <c r="KS20" s="118">
        <v>1305377</v>
      </c>
      <c r="KT20" s="118">
        <v>0</v>
      </c>
      <c r="KU20" s="226">
        <f>KS20-(KR20+KT20)</f>
        <v>393100</v>
      </c>
      <c r="KV20" s="150">
        <f>KU20/KS20</f>
        <v>0.30113905791200551</v>
      </c>
      <c r="KW20" s="226">
        <v>162671</v>
      </c>
      <c r="KX20" s="118">
        <v>100000</v>
      </c>
      <c r="KY20" s="118">
        <v>100000</v>
      </c>
      <c r="KZ20" s="188">
        <f>KU20-SUM(KW20:KY20)</f>
        <v>30429</v>
      </c>
      <c r="LA20" s="150">
        <f>KZ20/KS20</f>
        <v>2.3310507232776431E-2</v>
      </c>
      <c r="LB20" s="462">
        <v>11</v>
      </c>
      <c r="LC20" s="189">
        <f>KS20+KH20+JW20</f>
        <v>2973027</v>
      </c>
      <c r="LD20" s="189">
        <f>KU20+KJ20+JY20</f>
        <v>843858</v>
      </c>
      <c r="LE20" s="150">
        <f>LD20/LC20</f>
        <v>0.28383798734421178</v>
      </c>
      <c r="LF20" s="226">
        <f t="shared" ref="LF20:LH22" si="251">LB20-JQ20</f>
        <v>5</v>
      </c>
      <c r="LG20" s="128">
        <f t="shared" si="251"/>
        <v>1221180</v>
      </c>
      <c r="LH20" s="139">
        <f t="shared" si="251"/>
        <v>421543</v>
      </c>
      <c r="LI20" s="442">
        <f t="shared" ref="LI20:LK22" si="252">LF20/JQ20</f>
        <v>0.83333333333333337</v>
      </c>
      <c r="LJ20" s="442">
        <f t="shared" si="252"/>
        <v>0.6970814232064787</v>
      </c>
      <c r="LK20" s="106">
        <f t="shared" si="252"/>
        <v>0.998171980630572</v>
      </c>
      <c r="LL20" s="1447">
        <v>13</v>
      </c>
      <c r="LM20" s="118">
        <v>1089785</v>
      </c>
      <c r="LN20" s="118">
        <v>1281681</v>
      </c>
      <c r="LO20" s="118">
        <v>0</v>
      </c>
      <c r="LP20" s="226">
        <f>LN20-(LM20+LO20)</f>
        <v>191896</v>
      </c>
      <c r="LQ20" s="150">
        <f>LP20/LN20</f>
        <v>0.14972212274349078</v>
      </c>
      <c r="LR20" s="226">
        <v>136644</v>
      </c>
      <c r="LS20" s="118">
        <v>14000</v>
      </c>
      <c r="LT20" s="118">
        <v>40000</v>
      </c>
      <c r="LU20" s="188">
        <f>LP20-SUM(LR20:LT20)</f>
        <v>1252</v>
      </c>
      <c r="LV20" s="150">
        <f>LU20/LN20</f>
        <v>9.7684213154443258E-4</v>
      </c>
      <c r="LW20" s="118">
        <v>13</v>
      </c>
      <c r="LX20" s="118">
        <v>1142698</v>
      </c>
      <c r="LY20" s="118">
        <v>1429594</v>
      </c>
      <c r="LZ20" s="118"/>
      <c r="MA20" s="226">
        <f>LY20-(LX20+LZ20)</f>
        <v>286896</v>
      </c>
      <c r="MB20" s="150">
        <f>MA20/LY20</f>
        <v>0.20068355071439864</v>
      </c>
      <c r="MC20" s="118">
        <v>136644</v>
      </c>
      <c r="MD20" s="118">
        <f>100000+69225</f>
        <v>169225</v>
      </c>
      <c r="ME20" s="118">
        <v>40000</v>
      </c>
      <c r="MF20" s="188">
        <f>MA20-SUM(MC20:ME20)</f>
        <v>-58973</v>
      </c>
      <c r="MG20" s="150">
        <f>MF20/LY20</f>
        <v>-4.1251572124673161E-2</v>
      </c>
      <c r="MH20" s="118">
        <v>13</v>
      </c>
      <c r="MI20" s="118">
        <v>1092645</v>
      </c>
      <c r="MJ20" s="118">
        <v>1328765</v>
      </c>
      <c r="MK20" s="118">
        <v>17977</v>
      </c>
      <c r="ML20" s="226">
        <f>MJ20-(MI20+MK20)</f>
        <v>218143</v>
      </c>
      <c r="MM20" s="150">
        <f>ML20/MJ20</f>
        <v>0.16416973655988831</v>
      </c>
      <c r="MN20" s="118">
        <v>229006</v>
      </c>
      <c r="MO20" s="118">
        <v>200000</v>
      </c>
      <c r="MP20" s="118">
        <v>40000</v>
      </c>
      <c r="MQ20" s="188">
        <f>ML20-SUM(MN20:MP20)</f>
        <v>-250863</v>
      </c>
      <c r="MR20" s="150">
        <f>MQ20/MJ20</f>
        <v>-0.18879410580501443</v>
      </c>
      <c r="MS20" s="1471">
        <v>13</v>
      </c>
      <c r="MT20" s="118">
        <f>MJ20+LY20+LN20</f>
        <v>4040040</v>
      </c>
      <c r="MU20" s="118">
        <f>ML20+MA20+LP20</f>
        <v>696935</v>
      </c>
      <c r="MV20" s="119">
        <f>MU20/MT20</f>
        <v>0.17250695537667943</v>
      </c>
      <c r="MW20" s="226">
        <f t="shared" ref="MW20:MY22" si="253">MS20-LB20</f>
        <v>2</v>
      </c>
      <c r="MX20" s="118">
        <f t="shared" si="253"/>
        <v>1067013</v>
      </c>
      <c r="MY20" s="118">
        <f t="shared" si="253"/>
        <v>-146923</v>
      </c>
      <c r="MZ20" s="119">
        <f t="shared" ref="MZ20:NB22" si="254">MW20/LB20</f>
        <v>0.18181818181818182</v>
      </c>
      <c r="NA20" s="119">
        <f t="shared" si="254"/>
        <v>0.35889785057451545</v>
      </c>
      <c r="NB20" s="150">
        <f t="shared" si="254"/>
        <v>-0.17410867705230026</v>
      </c>
      <c r="NC20" s="118">
        <v>13</v>
      </c>
      <c r="ND20" s="118">
        <v>1215868</v>
      </c>
      <c r="NE20" s="118">
        <v>1562015</v>
      </c>
      <c r="NF20" s="118">
        <v>1270</v>
      </c>
      <c r="NG20" s="226">
        <f>NE20-(ND20+NF20)</f>
        <v>344877</v>
      </c>
      <c r="NH20" s="150">
        <f>NG20/NE20</f>
        <v>0.22078981315800425</v>
      </c>
      <c r="NI20" s="118">
        <f>136644+83334</f>
        <v>219978</v>
      </c>
      <c r="NJ20" s="118">
        <v>50000</v>
      </c>
      <c r="NK20" s="118">
        <v>40000</v>
      </c>
      <c r="NL20" s="188">
        <f>NG20-SUM(NI20:NK20)</f>
        <v>34899</v>
      </c>
      <c r="NM20" s="119">
        <f>NL20/NE20</f>
        <v>2.2342295048383018E-2</v>
      </c>
      <c r="NN20" s="1562">
        <v>16</v>
      </c>
      <c r="NO20" s="118">
        <v>1392233</v>
      </c>
      <c r="NP20" s="118">
        <v>1672413</v>
      </c>
      <c r="NQ20" s="118"/>
      <c r="NR20" s="226">
        <f>NP20-(NO20+NQ20)</f>
        <v>280180</v>
      </c>
      <c r="NS20" s="150">
        <f>NR20/NP20</f>
        <v>0.16753038872575135</v>
      </c>
      <c r="NT20" s="118">
        <f>219978+40500</f>
        <v>260478</v>
      </c>
      <c r="NU20" s="118">
        <v>50000</v>
      </c>
      <c r="NV20" s="118">
        <v>40000</v>
      </c>
      <c r="NW20" s="188">
        <f>NR20-SUM(NT20:NV20)</f>
        <v>-70298</v>
      </c>
      <c r="NX20" s="119">
        <f>NW20/NP20</f>
        <v>-4.2033875603693586E-2</v>
      </c>
      <c r="NY20" s="1562">
        <v>16</v>
      </c>
      <c r="NZ20" s="118">
        <v>1461686</v>
      </c>
      <c r="OA20" s="118">
        <v>1850302</v>
      </c>
      <c r="OB20" s="118">
        <v>1426</v>
      </c>
      <c r="OC20" s="226">
        <f>OA20-(NZ20+OB20)</f>
        <v>387190</v>
      </c>
      <c r="OD20" s="150">
        <f>OC20/OA20</f>
        <v>0.20925773198104958</v>
      </c>
      <c r="OE20" s="118">
        <f>219978+40500</f>
        <v>260478</v>
      </c>
      <c r="OF20" s="118">
        <v>50000</v>
      </c>
      <c r="OG20" s="118">
        <v>40000</v>
      </c>
      <c r="OH20" s="188">
        <f>OC20-SUM(OE20:OG20)</f>
        <v>36712</v>
      </c>
      <c r="OI20" s="5389">
        <f>OH20/OA20</f>
        <v>1.9841085401193968E-2</v>
      </c>
      <c r="OJ20" s="69">
        <v>16</v>
      </c>
      <c r="OK20" s="155">
        <f>OA20+NP20+NE20+MJ20+LY20+LN20+KS20+KH20+JW20+JG20+IW20+IL20</f>
        <v>13689409</v>
      </c>
      <c r="OL20" s="155">
        <f>OC20+NR20+NG20+ML20+MA20+LP20+KU20+KJ20+JY20+JI20+IY20+IN20</f>
        <v>2815120</v>
      </c>
      <c r="OM20" s="74">
        <f>OL20/OK20</f>
        <v>0.20564218659841341</v>
      </c>
      <c r="ON20" s="155">
        <f>OH20+NW20+NL20+MQ20+MF20+LU20+KZ20+KO20+KD20+JN20+JD20+IS20</f>
        <v>-120704</v>
      </c>
      <c r="OO20" s="70"/>
      <c r="OP20" s="69"/>
      <c r="OQ20" s="1562">
        <v>16</v>
      </c>
      <c r="OR20" s="118">
        <v>1222903</v>
      </c>
      <c r="OS20" s="118">
        <v>1626876</v>
      </c>
      <c r="OT20" s="118"/>
      <c r="OU20" s="226">
        <f t="shared" ref="OU20:OU33" si="255">OS20-(OR20+OT20)</f>
        <v>403973</v>
      </c>
      <c r="OV20" s="95">
        <f t="shared" ref="OV20:OV33" si="256">OU20/OS20</f>
        <v>0.24831210245894586</v>
      </c>
      <c r="OW20" s="226">
        <v>270996</v>
      </c>
      <c r="OX20" s="118">
        <v>50000</v>
      </c>
      <c r="OY20" s="118">
        <v>60000</v>
      </c>
      <c r="OZ20" s="188">
        <f t="shared" ref="OZ20:OZ33" si="257">OU20-SUM(OW20:OY20)</f>
        <v>22977</v>
      </c>
      <c r="PA20" s="5370">
        <f t="shared" ref="PA20:PA33" si="258">OZ20/OS20</f>
        <v>1.4123387400146048E-2</v>
      </c>
      <c r="PB20" s="5324">
        <v>19</v>
      </c>
      <c r="PC20" s="118">
        <v>1705660</v>
      </c>
      <c r="PD20" s="118">
        <v>2305362</v>
      </c>
      <c r="PE20" s="118">
        <v>6348</v>
      </c>
      <c r="PF20" s="226">
        <f t="shared" ref="PF20:PF33" si="259">PD20-(PC20+PE20)</f>
        <v>593354</v>
      </c>
      <c r="PG20" s="95">
        <f t="shared" ref="PG20:PG30" si="260">PF20/PD20</f>
        <v>0.2573799689593218</v>
      </c>
      <c r="PH20" s="226">
        <v>276485</v>
      </c>
      <c r="PI20" s="118">
        <v>200000</v>
      </c>
      <c r="PJ20" s="118">
        <v>116000</v>
      </c>
      <c r="PK20" s="188">
        <f t="shared" ref="PK20:PK29" si="261">PF20-SUM(PH20:PJ20)</f>
        <v>869</v>
      </c>
      <c r="PL20" s="119">
        <f t="shared" ref="PL20:PL29" si="262">PK20/PD20</f>
        <v>3.7694730805834401E-4</v>
      </c>
      <c r="PM20" s="5388">
        <v>20</v>
      </c>
      <c r="PN20" s="118">
        <v>1842786</v>
      </c>
      <c r="PO20" s="118">
        <v>2425750</v>
      </c>
      <c r="PP20" s="118"/>
      <c r="PQ20" s="6309">
        <f t="shared" ref="PQ20:PQ39" si="263">PO20-(PN20+PP20)</f>
        <v>582964</v>
      </c>
      <c r="PR20" s="6310">
        <f t="shared" ref="PR20:PR37" si="264">PQ20/PO20</f>
        <v>0.24032319901061527</v>
      </c>
      <c r="PS20" s="118">
        <f>481167+83334</f>
        <v>564501</v>
      </c>
      <c r="PT20" s="118">
        <v>0</v>
      </c>
      <c r="PU20" s="118">
        <v>100000</v>
      </c>
      <c r="PV20" s="188">
        <f t="shared" ref="PV20:PV53" si="265">PQ20-SUM(PS20:PU20)</f>
        <v>-81537</v>
      </c>
      <c r="PW20" s="5389">
        <f t="shared" ref="PW20:PW37" si="266">PV20/PO20</f>
        <v>-3.3613109347624445E-2</v>
      </c>
      <c r="PX20" s="5324">
        <v>20</v>
      </c>
      <c r="PY20" s="189">
        <f t="shared" ref="PY20:PY33" si="267">PO20+PD20+OS20</f>
        <v>6357988</v>
      </c>
      <c r="PZ20" s="189">
        <f t="shared" ref="PZ20:PZ33" si="268">PQ20+PF20+OU20</f>
        <v>1580291</v>
      </c>
      <c r="QA20" s="119">
        <f t="shared" ref="QA20:QA33" si="269">PZ20/PY20</f>
        <v>0.24855205766352501</v>
      </c>
      <c r="QB20" s="5388">
        <v>26</v>
      </c>
      <c r="QC20" s="118">
        <v>2444487</v>
      </c>
      <c r="QD20" s="118">
        <v>3187460</v>
      </c>
      <c r="QE20" s="118">
        <v>20935</v>
      </c>
      <c r="QF20" s="6309">
        <f t="shared" ref="QF20:QF53" si="270">QD20-(QC20+QE20)</f>
        <v>722038</v>
      </c>
      <c r="QG20" s="6310">
        <f t="shared" ref="QG20:QG37" si="271">QF20/QD20</f>
        <v>0.22652456815144348</v>
      </c>
      <c r="QH20" s="118">
        <f>587536+151862</f>
        <v>739398</v>
      </c>
      <c r="QI20" s="118">
        <v>0</v>
      </c>
      <c r="QJ20" s="118">
        <v>100000</v>
      </c>
      <c r="QK20" s="188">
        <f t="shared" ref="QK20:QK32" si="272">QF20-SUM(QH20:QJ20)</f>
        <v>-117360</v>
      </c>
      <c r="QL20" s="5389">
        <f t="shared" ref="QL20:QL37" si="273">QK20/QD20</f>
        <v>-3.6819285575348394E-2</v>
      </c>
      <c r="QM20" s="5388">
        <v>31</v>
      </c>
      <c r="QN20" s="118">
        <v>2866819</v>
      </c>
      <c r="QO20" s="118">
        <v>3700000</v>
      </c>
      <c r="QP20" s="118">
        <v>175815</v>
      </c>
      <c r="QQ20" s="226">
        <f>QO20-(QN20+QP20)</f>
        <v>657366</v>
      </c>
      <c r="QR20" s="150">
        <f t="shared" si="227"/>
        <v>0.17766648648648647</v>
      </c>
      <c r="QS20" s="226">
        <f>587536</f>
        <v>587536</v>
      </c>
      <c r="QT20" s="118">
        <f>133417-65000</f>
        <v>68417</v>
      </c>
      <c r="QU20" s="118">
        <v>0</v>
      </c>
      <c r="QV20" s="188">
        <f>QQ20-SUM(QS20:QU20)</f>
        <v>1413</v>
      </c>
      <c r="QW20" s="5389">
        <f>QV20/QO20</f>
        <v>3.8189189189189192E-4</v>
      </c>
      <c r="QX20" s="5388">
        <v>39</v>
      </c>
      <c r="QY20" s="1089">
        <f>3615513+5969</f>
        <v>3621482</v>
      </c>
      <c r="QZ20" s="1089">
        <v>4760666</v>
      </c>
      <c r="RA20" s="3618">
        <v>29573</v>
      </c>
      <c r="RB20" s="226">
        <f t="shared" ref="RB20:RB37" si="274">QZ20-(QY20+RA20)</f>
        <v>1109611</v>
      </c>
      <c r="RC20" s="150">
        <f t="shared" si="228"/>
        <v>0.23307894315627267</v>
      </c>
      <c r="RD20" s="226">
        <f>587536</f>
        <v>587536</v>
      </c>
      <c r="RE20" s="118">
        <v>100000</v>
      </c>
      <c r="RF20" s="118">
        <v>300000</v>
      </c>
      <c r="RG20" s="188">
        <f>RB20-SUM(RD20:RF20)</f>
        <v>122075</v>
      </c>
      <c r="RH20" s="5389">
        <f t="shared" si="229"/>
        <v>2.5642420619299906E-2</v>
      </c>
      <c r="RI20" s="5374"/>
      <c r="RJ20" s="189">
        <f t="shared" ref="RJ20:RJ33" si="275">QZ20+QO20+QD20</f>
        <v>11648126</v>
      </c>
      <c r="RK20" s="189">
        <f>RB20+QQ20+QF20</f>
        <v>2489015</v>
      </c>
      <c r="RL20" s="5389">
        <f t="shared" si="230"/>
        <v>0.21368372903933217</v>
      </c>
      <c r="RM20" s="1562">
        <f t="shared" ref="RM20:RM33" si="276">RI20-PX20</f>
        <v>-20</v>
      </c>
      <c r="RN20" s="128">
        <f t="shared" ref="RN20:RN33" si="277">RJ20-PY20</f>
        <v>5290138</v>
      </c>
      <c r="RO20" s="139">
        <f t="shared" ref="RO20:RO33" si="278">RK20-PZ20</f>
        <v>908724</v>
      </c>
      <c r="RP20" s="442">
        <f t="shared" ref="RP20:RP33" si="279">RM20/PX20</f>
        <v>-1</v>
      </c>
      <c r="RQ20" s="442">
        <f t="shared" ref="RQ20:RQ33" si="280">RN20/PY20</f>
        <v>0.83204592396210875</v>
      </c>
      <c r="RR20" s="6339">
        <f t="shared" ref="RR20:RR33" si="281">RO20/PZ20</f>
        <v>0.57503586364789772</v>
      </c>
      <c r="RS20" s="6334">
        <v>37</v>
      </c>
      <c r="RT20" s="1066">
        <v>3961709</v>
      </c>
      <c r="RU20" s="1066">
        <v>4979700</v>
      </c>
      <c r="RV20" s="3164"/>
      <c r="RW20" s="226">
        <f>RU20-(RT20+RV20)</f>
        <v>1017991</v>
      </c>
      <c r="RX20" s="150">
        <f t="shared" si="231"/>
        <v>0.20442817840432154</v>
      </c>
      <c r="RY20" s="226">
        <v>580131</v>
      </c>
      <c r="RZ20" s="118">
        <v>100000</v>
      </c>
      <c r="SA20" s="118">
        <v>300000</v>
      </c>
      <c r="SB20" s="188">
        <f t="shared" ref="SB20:SB33" si="282">RW20-SUM(RY20:SA20)</f>
        <v>37860</v>
      </c>
      <c r="SC20" s="5389">
        <f t="shared" si="232"/>
        <v>7.6028676426290742E-3</v>
      </c>
      <c r="SD20" s="743">
        <v>38</v>
      </c>
      <c r="SE20" s="1066">
        <v>4151237</v>
      </c>
      <c r="SF20" s="1066">
        <v>5603777</v>
      </c>
      <c r="SG20" s="4502">
        <v>0</v>
      </c>
      <c r="SH20" s="6375">
        <f>SF20-(SE20+SG20)</f>
        <v>1452540</v>
      </c>
      <c r="SI20" s="6376">
        <f>SH20/SF20</f>
        <v>0.25920731677937936</v>
      </c>
      <c r="SJ20" s="118">
        <v>580131</v>
      </c>
      <c r="SK20" s="118">
        <v>100000</v>
      </c>
      <c r="SL20" s="118">
        <v>300000</v>
      </c>
      <c r="SM20" s="188">
        <f>SH20-SUM(SJ20:SL20)</f>
        <v>472409</v>
      </c>
      <c r="SN20" s="5389">
        <f>SM20/SF20</f>
        <v>8.4301891385042627E-2</v>
      </c>
      <c r="SO20" s="118">
        <v>38</v>
      </c>
      <c r="SP20" s="118">
        <v>4101498</v>
      </c>
      <c r="SQ20" s="118">
        <v>5394141</v>
      </c>
      <c r="SR20" s="118">
        <v>0</v>
      </c>
      <c r="SS20" s="6375">
        <f t="shared" ref="SS20:SS33" si="283">SQ20-(SP20+SR20)</f>
        <v>1292643</v>
      </c>
      <c r="ST20" s="6376">
        <f t="shared" si="233"/>
        <v>0.2396383409332459</v>
      </c>
      <c r="SU20" s="118">
        <v>556034</v>
      </c>
      <c r="SV20" s="118">
        <v>100000</v>
      </c>
      <c r="SW20" s="118">
        <v>100000</v>
      </c>
      <c r="SX20" s="188">
        <f>SS20-SUM(SU20:SW20)</f>
        <v>536609</v>
      </c>
      <c r="SY20" s="5389">
        <f t="shared" si="234"/>
        <v>9.9479972807533207E-2</v>
      </c>
      <c r="SZ20" s="6269"/>
      <c r="TA20" s="118">
        <f>SQ20+SF20+RU20</f>
        <v>15977618</v>
      </c>
      <c r="TB20" s="118">
        <f>SS20+SH20+RW20</f>
        <v>3763174</v>
      </c>
      <c r="TC20" s="5389">
        <f t="shared" si="235"/>
        <v>0.23552784901979756</v>
      </c>
      <c r="TD20" s="1092">
        <v>34</v>
      </c>
      <c r="TE20" s="1066">
        <v>3578766</v>
      </c>
      <c r="TF20" s="459">
        <v>4671383</v>
      </c>
      <c r="TG20" s="118">
        <v>3521</v>
      </c>
      <c r="TH20" s="226">
        <f>TF20-(TE20+TG20)</f>
        <v>1089096</v>
      </c>
      <c r="TI20" s="150">
        <f t="shared" si="236"/>
        <v>0.23314209089685003</v>
      </c>
      <c r="TJ20" s="118">
        <v>556034</v>
      </c>
      <c r="TK20" s="118">
        <v>100000</v>
      </c>
      <c r="TL20" s="118">
        <v>100000</v>
      </c>
      <c r="TM20" s="188">
        <f>TH20-SUM(TJ20:TL20)</f>
        <v>333062</v>
      </c>
      <c r="TN20" s="5389">
        <f t="shared" si="237"/>
        <v>7.1298371381665768E-2</v>
      </c>
      <c r="TO20" s="118"/>
      <c r="TP20" s="118"/>
      <c r="TQ20" s="118"/>
      <c r="TR20" s="118"/>
      <c r="TS20" s="226">
        <f>TQ20-(TP20+TR20)</f>
        <v>0</v>
      </c>
      <c r="TT20" s="150" t="e">
        <f t="shared" si="238"/>
        <v>#DIV/0!</v>
      </c>
      <c r="TU20" s="118"/>
      <c r="TV20" s="118"/>
      <c r="TW20" s="118"/>
      <c r="TX20" s="188">
        <f>TS20-SUM(TU20:TW20)</f>
        <v>0</v>
      </c>
      <c r="TY20" s="119" t="e">
        <f t="shared" si="239"/>
        <v>#DIV/0!</v>
      </c>
      <c r="TZ20" s="1562"/>
      <c r="UA20" s="118"/>
      <c r="UB20" s="118"/>
      <c r="UC20" s="118"/>
      <c r="UD20" s="226">
        <f>UB20-(UA20+UC20)</f>
        <v>0</v>
      </c>
      <c r="UE20" s="150" t="e">
        <f t="shared" si="240"/>
        <v>#DIV/0!</v>
      </c>
      <c r="UF20" s="118"/>
      <c r="UG20" s="118"/>
      <c r="UH20" s="118"/>
      <c r="UI20" s="188">
        <f>UD20-SUM(UF20:UH20)</f>
        <v>0</v>
      </c>
      <c r="UJ20" s="5389" t="e">
        <f t="shared" si="241"/>
        <v>#DIV/0!</v>
      </c>
      <c r="UK20" s="5376"/>
      <c r="UL20" s="191">
        <f t="shared" ref="UL20:UL56" si="284">OS20+PD20+PO20+QD20+QO20+QZ20+RU20+SF20+SQ20+TF20+TQ20+UB20</f>
        <v>38655115</v>
      </c>
      <c r="UM20" s="191">
        <f t="shared" ref="UM20:UM56" si="285">OU20+PF20+PQ20+QF20+QQ20+RB20+RW20+SH20+SS20+TH20+TS20+UD20</f>
        <v>8921576</v>
      </c>
      <c r="UN20" s="135">
        <f>UM20/UL20</f>
        <v>0.23079936510342811</v>
      </c>
      <c r="UO20" s="191">
        <f t="shared" ref="UO20:UO56" si="286">OZ20+PK20+PV20+QK20+QV20+RG20+SB20+SM20+SX20+TM20+TX20+UI20</f>
        <v>1328377</v>
      </c>
      <c r="UP20" s="5380">
        <f>UO20/UL20</f>
        <v>3.4364844083376804E-2</v>
      </c>
    </row>
    <row r="21" spans="1:567" ht="15.6" customHeight="1" x14ac:dyDescent="0.3">
      <c r="A21" s="5316">
        <v>2</v>
      </c>
      <c r="B21" s="5360" t="s">
        <v>389</v>
      </c>
      <c r="C21" s="578" t="s">
        <v>141</v>
      </c>
      <c r="D21" s="578" t="s">
        <v>140</v>
      </c>
      <c r="E21" s="6278" t="s">
        <v>254</v>
      </c>
      <c r="F21" s="579"/>
      <c r="G21" s="161"/>
      <c r="H21" s="161"/>
      <c r="I21" s="161">
        <v>0</v>
      </c>
      <c r="J21" s="351"/>
      <c r="K21" s="580">
        <v>0.66666666666666663</v>
      </c>
      <c r="L21" s="161">
        <v>138694</v>
      </c>
      <c r="M21" s="161">
        <v>186000</v>
      </c>
      <c r="N21" s="161">
        <v>47306</v>
      </c>
      <c r="O21" s="422"/>
      <c r="P21" s="580">
        <v>3</v>
      </c>
      <c r="Q21" s="161">
        <v>920173</v>
      </c>
      <c r="R21" s="161">
        <v>1224654</v>
      </c>
      <c r="S21" s="161">
        <v>304481</v>
      </c>
      <c r="T21" s="94"/>
      <c r="U21" s="136"/>
      <c r="V21" s="422"/>
      <c r="W21" s="422"/>
      <c r="X21" s="422"/>
      <c r="Y21" s="422"/>
      <c r="Z21" s="581"/>
      <c r="AA21" s="422"/>
      <c r="AB21" s="422"/>
      <c r="AC21" s="422"/>
      <c r="AD21" s="422"/>
      <c r="AE21" s="582">
        <f>AC21-(AB21+AD21)</f>
        <v>0</v>
      </c>
      <c r="AF21" s="422"/>
      <c r="AG21" s="583">
        <v>7</v>
      </c>
      <c r="AH21" s="584">
        <v>745709</v>
      </c>
      <c r="AI21" s="584">
        <v>985952</v>
      </c>
      <c r="AJ21" s="584"/>
      <c r="AK21" s="105">
        <f>AI21-(AH21+AJ21)</f>
        <v>240243</v>
      </c>
      <c r="AL21" s="116">
        <f>AK21/AI21</f>
        <v>0.24366602025250722</v>
      </c>
      <c r="AM21" s="585">
        <v>0</v>
      </c>
      <c r="AN21" s="417">
        <v>131298</v>
      </c>
      <c r="AO21" s="417"/>
      <c r="AP21" s="130">
        <v>49383.651724137926</v>
      </c>
      <c r="AQ21" s="417">
        <f>AK21-AM21-AN21-AO21-AP21</f>
        <v>59561.348275862074</v>
      </c>
      <c r="AR21" s="116">
        <f>AQ21/AK21</f>
        <v>0.24792126420275334</v>
      </c>
      <c r="AS21" s="583">
        <v>7</v>
      </c>
      <c r="AT21" s="216">
        <v>2128260</v>
      </c>
      <c r="AU21" s="417">
        <v>2828332</v>
      </c>
      <c r="AV21" s="417">
        <v>700072</v>
      </c>
      <c r="AW21" s="116">
        <f>AV21/AU21</f>
        <v>0.24752115381079731</v>
      </c>
      <c r="AX21" s="586">
        <v>7</v>
      </c>
      <c r="AY21" s="587">
        <f t="shared" si="244"/>
        <v>3187127</v>
      </c>
      <c r="AZ21" s="587">
        <f t="shared" si="244"/>
        <v>4238986</v>
      </c>
      <c r="BA21" s="587">
        <f t="shared" si="244"/>
        <v>1051859</v>
      </c>
      <c r="BB21" s="588">
        <f>BA21/AZ21</f>
        <v>0.24813929557681955</v>
      </c>
      <c r="BC21" s="1512">
        <v>6</v>
      </c>
      <c r="BD21" s="582">
        <v>656348</v>
      </c>
      <c r="BE21" s="582">
        <v>889047</v>
      </c>
      <c r="BF21" s="582">
        <v>0</v>
      </c>
      <c r="BG21" s="582">
        <f>BE21-(BD21+BF21)</f>
        <v>232699</v>
      </c>
      <c r="BH21" s="589"/>
      <c r="BI21" s="1512">
        <v>5</v>
      </c>
      <c r="BJ21" s="582">
        <v>602719</v>
      </c>
      <c r="BK21" s="582">
        <v>775000</v>
      </c>
      <c r="BL21" s="582"/>
      <c r="BM21" s="582">
        <f>BK21-(BJ21+BL21)</f>
        <v>172281</v>
      </c>
      <c r="BN21" s="589"/>
      <c r="BO21" s="590">
        <v>8</v>
      </c>
      <c r="BP21" s="582">
        <v>678929</v>
      </c>
      <c r="BQ21" s="582">
        <v>880868</v>
      </c>
      <c r="BR21" s="582">
        <v>30841</v>
      </c>
      <c r="BS21" s="582">
        <f>BQ21-(BP21+BR21)</f>
        <v>171098</v>
      </c>
      <c r="BT21" s="591">
        <f>BS21/BQ21</f>
        <v>0.19423795619775039</v>
      </c>
      <c r="BU21" s="590">
        <v>8</v>
      </c>
      <c r="BV21" s="592">
        <f>BQ21+BK21+BE21</f>
        <v>2544915</v>
      </c>
      <c r="BW21" s="592">
        <f>BS21+BM21+BG21</f>
        <v>576078</v>
      </c>
      <c r="BX21" s="593">
        <f>BW21/BV21</f>
        <v>0.22636433829813568</v>
      </c>
      <c r="BY21" s="594">
        <v>11</v>
      </c>
      <c r="BZ21" s="595">
        <v>1065860</v>
      </c>
      <c r="CA21" s="595">
        <v>1491170</v>
      </c>
      <c r="CB21" s="595">
        <v>0</v>
      </c>
      <c r="CC21" s="596">
        <f>CA21-(BZ21+CB21)</f>
        <v>425310</v>
      </c>
      <c r="CD21" s="597">
        <f>CC21/CA21</f>
        <v>0.28521898911592908</v>
      </c>
      <c r="CE21" s="598">
        <v>156594.1</v>
      </c>
      <c r="CF21" s="599">
        <v>235306</v>
      </c>
      <c r="CG21" s="599"/>
      <c r="CH21" s="599">
        <v>74304.057692307688</v>
      </c>
      <c r="CI21" s="599">
        <f>CC21-CE21-CF21-CG21-CH21</f>
        <v>-40894.157692307665</v>
      </c>
      <c r="CJ21" s="597">
        <f>CI21/CA21</f>
        <v>-2.7424208971685095E-2</v>
      </c>
      <c r="CK21" s="651">
        <v>12</v>
      </c>
      <c r="CL21" s="652">
        <v>1124524</v>
      </c>
      <c r="CM21" s="652">
        <v>1479818</v>
      </c>
      <c r="CN21" s="652"/>
      <c r="CO21" s="96">
        <f>CM21-(CL21+CN21)</f>
        <v>355294</v>
      </c>
      <c r="CP21" s="659">
        <f>CO21/CM21</f>
        <v>0.24009303846824406</v>
      </c>
      <c r="CQ21" s="603">
        <v>177529.33333333334</v>
      </c>
      <c r="CR21" s="603">
        <v>99658.273076923069</v>
      </c>
      <c r="CS21" s="603"/>
      <c r="CT21" s="603">
        <v>147101.18634615382</v>
      </c>
      <c r="CU21" s="603">
        <f>CO21-CQ21-CR21-CS21-CT21</f>
        <v>-68994.792756410228</v>
      </c>
      <c r="CV21" s="604">
        <f>CU21/CM21</f>
        <v>-4.6623836685599329E-2</v>
      </c>
      <c r="CW21" s="129">
        <v>8</v>
      </c>
      <c r="CX21" s="130">
        <v>837590</v>
      </c>
      <c r="CY21" s="130">
        <v>1190474</v>
      </c>
      <c r="CZ21" s="130">
        <v>23382</v>
      </c>
      <c r="DA21" s="605">
        <f>CY21-(CX21+CZ21)</f>
        <v>329502</v>
      </c>
      <c r="DB21" s="114">
        <f>DA21/CY21</f>
        <v>0.27678218927922826</v>
      </c>
      <c r="DC21" s="138">
        <f>117732+16000</f>
        <v>133732</v>
      </c>
      <c r="DD21" s="606">
        <v>113817.95833333333</v>
      </c>
      <c r="DE21" s="130"/>
      <c r="DF21" s="130">
        <v>121185.01354166666</v>
      </c>
      <c r="DG21" s="128">
        <f>DA21-DC21-DD21-DE21-DF21</f>
        <v>-39232.971874999988</v>
      </c>
      <c r="DH21" s="169">
        <f>DG21/CY21</f>
        <v>-3.2955757013592893E-2</v>
      </c>
      <c r="DI21" s="204">
        <f>(BY21+CK21+CW21)/3</f>
        <v>10.333333333333334</v>
      </c>
      <c r="DJ21" s="202">
        <f>CA21+CM21+CY21</f>
        <v>4161462</v>
      </c>
      <c r="DK21" s="202">
        <f>CC21+CO21+DA21</f>
        <v>1110106</v>
      </c>
      <c r="DL21" s="119">
        <f>DK21/DJ21</f>
        <v>0.26675865356934653</v>
      </c>
      <c r="DM21" s="202">
        <f>CI21+CU21+DG21</f>
        <v>-149121.92232371788</v>
      </c>
      <c r="DN21" s="119">
        <f>DM21/DJ21</f>
        <v>-3.5834022351692238E-2</v>
      </c>
      <c r="DO21" s="607">
        <f t="shared" si="245"/>
        <v>1</v>
      </c>
      <c r="DP21" s="137">
        <f t="shared" si="245"/>
        <v>91881</v>
      </c>
      <c r="DQ21" s="137">
        <f t="shared" si="245"/>
        <v>204522</v>
      </c>
      <c r="DR21" s="137">
        <f>DA21-AK21</f>
        <v>89259</v>
      </c>
      <c r="DS21" s="135">
        <f>DO21/AG21</f>
        <v>0.14285714285714285</v>
      </c>
      <c r="DT21" s="135">
        <f>DP21/AI21</f>
        <v>9.3190135016714803E-2</v>
      </c>
      <c r="DU21" s="135">
        <f>DQ21/AK21</f>
        <v>0.85131304554138931</v>
      </c>
      <c r="DV21" s="151">
        <f>DR21/AQ21</f>
        <v>1.498606102511169</v>
      </c>
      <c r="DW21" s="607">
        <f>CW21-CK21</f>
        <v>-4</v>
      </c>
      <c r="DX21" s="608">
        <f>CY21-CM21</f>
        <v>-289344</v>
      </c>
      <c r="DY21" s="608">
        <f>DA21-CO21</f>
        <v>-25792</v>
      </c>
      <c r="DZ21" s="608">
        <f>DG21-CU21</f>
        <v>29761.82088141024</v>
      </c>
      <c r="EA21" s="135">
        <f>DW21/CK21</f>
        <v>-0.33333333333333331</v>
      </c>
      <c r="EB21" s="135">
        <f>DX21/CM21</f>
        <v>-0.19552674720810262</v>
      </c>
      <c r="EC21" s="135">
        <f>DY21/CO21</f>
        <v>-7.2593401520993875E-2</v>
      </c>
      <c r="ED21" s="151">
        <f>DZ21/CU21</f>
        <v>-0.43136329123396205</v>
      </c>
      <c r="EE21" s="129">
        <v>9</v>
      </c>
      <c r="EF21" s="130">
        <v>900670</v>
      </c>
      <c r="EG21" s="130">
        <v>1147343</v>
      </c>
      <c r="EH21" s="130">
        <v>0</v>
      </c>
      <c r="EI21" s="605">
        <f>EG21-(EF21+EH21)</f>
        <v>246673</v>
      </c>
      <c r="EJ21" s="114">
        <f>EI21/EG21</f>
        <v>0.21499499277896844</v>
      </c>
      <c r="EK21" s="138">
        <v>140305</v>
      </c>
      <c r="EL21" s="606">
        <v>0</v>
      </c>
      <c r="EM21" s="130">
        <v>0</v>
      </c>
      <c r="EN21" s="130">
        <v>96058.455729166672</v>
      </c>
      <c r="EO21" s="128">
        <f>EI21-EK21-EL21-EM21-EN21</f>
        <v>10309.544270833328</v>
      </c>
      <c r="EP21" s="114">
        <f>EO21/EG21</f>
        <v>8.9855817055870205E-3</v>
      </c>
      <c r="EQ21" s="129">
        <v>9</v>
      </c>
      <c r="ER21" s="595">
        <v>794519</v>
      </c>
      <c r="ES21" s="595">
        <v>1151414</v>
      </c>
      <c r="ET21" s="130">
        <v>15671</v>
      </c>
      <c r="EU21" s="134">
        <f>ES21-(ER21+ET21)</f>
        <v>341224</v>
      </c>
      <c r="EV21" s="114">
        <f>EU21/ES21</f>
        <v>0.2963521374588115</v>
      </c>
      <c r="EW21" s="138">
        <v>140305</v>
      </c>
      <c r="EX21" s="606">
        <v>0</v>
      </c>
      <c r="EY21" s="130">
        <v>0</v>
      </c>
      <c r="EZ21" s="128">
        <v>184967.74562500001</v>
      </c>
      <c r="FA21" s="128">
        <f>EU21-EW21-EX21-EY21-EZ21</f>
        <v>15951.25437499999</v>
      </c>
      <c r="FB21" s="114">
        <f>FA21/ES21</f>
        <v>1.3853622046457651E-2</v>
      </c>
      <c r="FC21" s="643">
        <f>EQ21-AG21</f>
        <v>2</v>
      </c>
      <c r="FD21" s="644">
        <f>ES21-AI21</f>
        <v>165462</v>
      </c>
      <c r="FE21" s="644">
        <f>EU21-AK21</f>
        <v>100981</v>
      </c>
      <c r="FF21" s="644">
        <f>FA21-AQ21</f>
        <v>-43610.093900862084</v>
      </c>
      <c r="FG21" s="74">
        <f>FC21/AG21</f>
        <v>0.2857142857142857</v>
      </c>
      <c r="FH21" s="74">
        <f>FD21/AI21</f>
        <v>0.1678195287397358</v>
      </c>
      <c r="FI21" s="74">
        <f>FE21/AK21</f>
        <v>0.42032858397539158</v>
      </c>
      <c r="FJ21" s="73">
        <f>FF21/AQ21</f>
        <v>-0.73218782252677073</v>
      </c>
      <c r="FK21" s="133">
        <v>9</v>
      </c>
      <c r="FL21" s="134">
        <v>901894</v>
      </c>
      <c r="FM21" s="134">
        <v>1247269</v>
      </c>
      <c r="FN21" s="134">
        <v>36300</v>
      </c>
      <c r="FO21" s="134">
        <f>FM21-(FL21+FN21)</f>
        <v>309075</v>
      </c>
      <c r="FP21" s="135">
        <f>FO21/FM21</f>
        <v>0.24780139649105365</v>
      </c>
      <c r="FQ21" s="133">
        <f>116667+140305</f>
        <v>256972</v>
      </c>
      <c r="FR21" s="134">
        <v>50000</v>
      </c>
      <c r="FS21" s="134"/>
      <c r="FT21" s="191">
        <f>FO21-SUM(FQ21:FS21)</f>
        <v>2103</v>
      </c>
      <c r="FU21" s="151">
        <f>FT21/FM21</f>
        <v>1.6860837557896493E-3</v>
      </c>
      <c r="FV21" s="190">
        <f t="shared" si="246"/>
        <v>2</v>
      </c>
      <c r="FW21" s="191">
        <f t="shared" si="246"/>
        <v>156185</v>
      </c>
      <c r="FX21" s="191">
        <f t="shared" si="246"/>
        <v>261317</v>
      </c>
      <c r="FY21" s="191">
        <f>FO21-AK21</f>
        <v>68832</v>
      </c>
      <c r="FZ21" s="191">
        <f>FT21-AQ21</f>
        <v>-57458.348275862074</v>
      </c>
      <c r="GA21" s="135">
        <f>FV21/AG21</f>
        <v>0.2857142857142857</v>
      </c>
      <c r="GB21" s="135">
        <f>FX21/AI21</f>
        <v>0.26504028593684076</v>
      </c>
      <c r="GC21" s="135">
        <f>FY21/AK21</f>
        <v>0.2865099087174236</v>
      </c>
      <c r="GD21" s="151">
        <f>FZ21/AQ21</f>
        <v>-0.96469186711053245</v>
      </c>
      <c r="GE21" s="187">
        <f>(EE21+EQ21+FK21)/3</f>
        <v>9</v>
      </c>
      <c r="GF21" s="155">
        <f>EG21+ES21+FM21</f>
        <v>3546026</v>
      </c>
      <c r="GG21" s="155">
        <f>EI21+EU21+FO21</f>
        <v>896972</v>
      </c>
      <c r="GH21" s="74">
        <f>GG21/GF21</f>
        <v>0.25295133199812975</v>
      </c>
      <c r="GI21" s="613">
        <f>EO21+FA21+FT21</f>
        <v>28363.798645833318</v>
      </c>
      <c r="GJ21" s="187">
        <f t="shared" si="247"/>
        <v>-1.3333333333333339</v>
      </c>
      <c r="GK21" s="155">
        <f t="shared" si="247"/>
        <v>-615436</v>
      </c>
      <c r="GL21" s="155">
        <f t="shared" si="247"/>
        <v>-213134</v>
      </c>
      <c r="GM21" s="613">
        <f>GI21-DM21</f>
        <v>177485.72096955118</v>
      </c>
      <c r="GN21" s="133">
        <v>8</v>
      </c>
      <c r="GO21" s="134">
        <v>647830</v>
      </c>
      <c r="GP21" s="134">
        <v>918850</v>
      </c>
      <c r="GQ21" s="134">
        <v>0</v>
      </c>
      <c r="GR21" s="134">
        <f>GP21-(GO21+GQ21)</f>
        <v>271020</v>
      </c>
      <c r="GS21" s="135">
        <f>GR21/GP21</f>
        <v>0.29495565108559613</v>
      </c>
      <c r="GT21" s="133">
        <v>130014</v>
      </c>
      <c r="GU21" s="134">
        <v>50000</v>
      </c>
      <c r="GV21" s="134">
        <v>0</v>
      </c>
      <c r="GW21" s="134">
        <v>50000</v>
      </c>
      <c r="GX21" s="190">
        <f>GR21-SUM(GT21:GW21)</f>
        <v>41006</v>
      </c>
      <c r="GY21" s="151">
        <f>GX21/GP21</f>
        <v>4.4627523534853351E-2</v>
      </c>
      <c r="GZ21" s="614">
        <v>7</v>
      </c>
      <c r="HA21" s="130">
        <v>752191</v>
      </c>
      <c r="HB21" s="130">
        <v>1031752</v>
      </c>
      <c r="HC21" s="130">
        <v>11640</v>
      </c>
      <c r="HD21" s="134">
        <f>HB21-(HA21+HC21)</f>
        <v>267921</v>
      </c>
      <c r="HE21" s="151">
        <f>HD21/HB21</f>
        <v>0.25967577479859499</v>
      </c>
      <c r="HF21" s="138">
        <v>161055</v>
      </c>
      <c r="HG21" s="130">
        <v>186946</v>
      </c>
      <c r="HH21" s="130"/>
      <c r="HI21" s="130">
        <v>100000</v>
      </c>
      <c r="HJ21" s="197">
        <f>HD21-SUM(HF21:HI21)</f>
        <v>-180080</v>
      </c>
      <c r="HK21" s="201">
        <f>HJ21/HB21</f>
        <v>-0.17453806728748769</v>
      </c>
      <c r="HL21" s="1365">
        <v>6</v>
      </c>
      <c r="HM21" s="657">
        <f>659915+23595</f>
        <v>683510</v>
      </c>
      <c r="HN21" s="148">
        <v>968836</v>
      </c>
      <c r="HO21" s="134">
        <v>3266</v>
      </c>
      <c r="HP21" s="615">
        <f>HN21-(HM21+HO21)</f>
        <v>282060</v>
      </c>
      <c r="HQ21" s="201">
        <f>HP21/HN21</f>
        <v>0.29113286459214976</v>
      </c>
      <c r="HR21" s="133">
        <v>70988</v>
      </c>
      <c r="HS21" s="134">
        <v>558495.74</v>
      </c>
      <c r="HT21" s="134"/>
      <c r="HU21" s="134">
        <v>100000</v>
      </c>
      <c r="HV21" s="191">
        <f>HP21-SUM(HR21:HU21)</f>
        <v>-447423.74</v>
      </c>
      <c r="HW21" s="151">
        <f>HV21/HN21</f>
        <v>-0.46181576654872442</v>
      </c>
      <c r="HX21" s="414">
        <v>6</v>
      </c>
      <c r="HY21" s="241">
        <f>HN21+HB21+GP21</f>
        <v>2919438</v>
      </c>
      <c r="HZ21" s="415">
        <f>HP21+HD21+GR21</f>
        <v>821001</v>
      </c>
      <c r="IA21" s="241"/>
      <c r="IB21" s="415">
        <f>HV21+HJ21+GX21</f>
        <v>-586497.74</v>
      </c>
      <c r="IC21" s="141"/>
      <c r="ID21" s="642">
        <v>6</v>
      </c>
      <c r="IE21" s="141">
        <f t="shared" si="248"/>
        <v>13171841</v>
      </c>
      <c r="IF21" s="141">
        <f t="shared" si="248"/>
        <v>3404157</v>
      </c>
      <c r="IG21" s="74">
        <f>IF21/IE21</f>
        <v>0.25844200518363381</v>
      </c>
      <c r="IH21" s="1507"/>
      <c r="II21" s="69"/>
      <c r="IJ21" s="133">
        <v>11</v>
      </c>
      <c r="IK21" s="656">
        <f>782008+23595</f>
        <v>805603</v>
      </c>
      <c r="IL21" s="134">
        <v>1098549</v>
      </c>
      <c r="IM21" s="134">
        <v>26156</v>
      </c>
      <c r="IN21" s="133">
        <f>IL21-(IK21+IM21)</f>
        <v>266790</v>
      </c>
      <c r="IO21" s="151">
        <f>IN21/IL21</f>
        <v>0.2428567137196429</v>
      </c>
      <c r="IP21" s="133">
        <f>47567+161198</f>
        <v>208765</v>
      </c>
      <c r="IQ21" s="134">
        <v>80000</v>
      </c>
      <c r="IR21" s="134">
        <v>0</v>
      </c>
      <c r="IS21" s="190">
        <f>IN21-SUM(IP21:IR21)</f>
        <v>-21975</v>
      </c>
      <c r="IT21" s="151">
        <f>IS21/IL21</f>
        <v>-2.0003659372499542E-2</v>
      </c>
      <c r="IU21" s="621">
        <v>11</v>
      </c>
      <c r="IV21" s="649">
        <f>786641+2030</f>
        <v>788671</v>
      </c>
      <c r="IW21" s="358">
        <v>1256839</v>
      </c>
      <c r="IX21" s="134">
        <v>9792</v>
      </c>
      <c r="IY21" s="133">
        <f>IW21-(IV21+IX21)</f>
        <v>458376</v>
      </c>
      <c r="IZ21" s="151">
        <f>IY21/IW21</f>
        <v>0.36470542368592956</v>
      </c>
      <c r="JA21" s="133">
        <v>252812</v>
      </c>
      <c r="JB21" s="134">
        <f>80000+50000</f>
        <v>130000</v>
      </c>
      <c r="JC21" s="134">
        <v>50000</v>
      </c>
      <c r="JD21" s="190">
        <f>IY21-SUM(JA21:JC21)</f>
        <v>25564</v>
      </c>
      <c r="JE21" s="151">
        <f>JD21/IW21</f>
        <v>2.033991625021184E-2</v>
      </c>
      <c r="JF21" s="621">
        <v>12</v>
      </c>
      <c r="JG21" s="649">
        <v>887254</v>
      </c>
      <c r="JH21" s="358">
        <v>1389545</v>
      </c>
      <c r="JI21" s="134">
        <v>0</v>
      </c>
      <c r="JJ21" s="133">
        <f>JH21-(JG21+JI21)</f>
        <v>502291</v>
      </c>
      <c r="JK21" s="151">
        <f>JJ21/JH21</f>
        <v>0.3614787574349877</v>
      </c>
      <c r="JL21" s="133">
        <f>225881+45000</f>
        <v>270881</v>
      </c>
      <c r="JM21" s="134">
        <f>100000+16598+45000</f>
        <v>161598</v>
      </c>
      <c r="JN21" s="134">
        <f>227690-79387</f>
        <v>148303</v>
      </c>
      <c r="JO21" s="190">
        <f>JJ21-SUM(JL21:JN21)</f>
        <v>-78491</v>
      </c>
      <c r="JP21" s="151">
        <f>JO21/JH21</f>
        <v>-5.6486835618853655E-2</v>
      </c>
      <c r="JQ21" s="621">
        <v>12</v>
      </c>
      <c r="JR21" s="191">
        <f t="shared" si="249"/>
        <v>3744933</v>
      </c>
      <c r="JS21" s="191">
        <f t="shared" si="250"/>
        <v>1227457</v>
      </c>
      <c r="JT21" s="151">
        <f>JS21/JR21</f>
        <v>0.32776474238657943</v>
      </c>
      <c r="JU21" s="621">
        <v>13</v>
      </c>
      <c r="JV21" s="649">
        <v>1041724</v>
      </c>
      <c r="JW21" s="358">
        <v>1678384</v>
      </c>
      <c r="JX21" s="134"/>
      <c r="JY21" s="133">
        <f>JW21-(JV21+JX21)</f>
        <v>636660</v>
      </c>
      <c r="JZ21" s="151">
        <f>JY21/JW21</f>
        <v>0.37932916424370111</v>
      </c>
      <c r="KA21" s="133">
        <f>117188+135531</f>
        <v>252719</v>
      </c>
      <c r="KB21" s="134">
        <v>100000</v>
      </c>
      <c r="KC21" s="134">
        <v>150000</v>
      </c>
      <c r="KD21" s="190">
        <f>JY21-SUM(KA21:KC21)</f>
        <v>133941</v>
      </c>
      <c r="KE21" s="151">
        <f>KD21/JW21</f>
        <v>7.9803549128209042E-2</v>
      </c>
      <c r="KF21" s="621">
        <v>18</v>
      </c>
      <c r="KG21" s="649">
        <v>1332390</v>
      </c>
      <c r="KH21" s="358">
        <v>2125205</v>
      </c>
      <c r="KI21" s="134"/>
      <c r="KJ21" s="133">
        <f>KH21-(KG21+KI21)</f>
        <v>792815</v>
      </c>
      <c r="KK21" s="151">
        <f>KJ21/KH21</f>
        <v>0.37305342308153799</v>
      </c>
      <c r="KL21" s="133">
        <v>216142</v>
      </c>
      <c r="KM21" s="134">
        <f>66426+100000+28663</f>
        <v>195089</v>
      </c>
      <c r="KN21" s="134">
        <v>300000</v>
      </c>
      <c r="KO21" s="190">
        <f>KJ21-SUM(KL21:KN21)</f>
        <v>81584</v>
      </c>
      <c r="KP21" s="151">
        <f>KO21/KH21</f>
        <v>3.8388767201281759E-2</v>
      </c>
      <c r="KQ21" s="621">
        <v>21</v>
      </c>
      <c r="KR21" s="649">
        <v>1611718</v>
      </c>
      <c r="KS21" s="358">
        <v>2218216</v>
      </c>
      <c r="KT21" s="134">
        <v>59205</v>
      </c>
      <c r="KU21" s="133">
        <f>KS21-(KR21+KT21)</f>
        <v>547293</v>
      </c>
      <c r="KV21" s="151">
        <f>KU21/KS21</f>
        <v>0.24672664880246109</v>
      </c>
      <c r="KW21" s="133">
        <v>252270</v>
      </c>
      <c r="KX21" s="134">
        <f>70500+82861</f>
        <v>153361</v>
      </c>
      <c r="KY21" s="134">
        <v>100000</v>
      </c>
      <c r="KZ21" s="190">
        <f>KU21-SUM(KW21:KY21)</f>
        <v>41662</v>
      </c>
      <c r="LA21" s="151">
        <f>KZ21/KS21</f>
        <v>1.8781759756488998E-2</v>
      </c>
      <c r="LB21" s="402">
        <v>21</v>
      </c>
      <c r="LC21" s="191">
        <f>KS21+KH21+JW21</f>
        <v>6021805</v>
      </c>
      <c r="LD21" s="191">
        <f>KU21+KJ21+JY21</f>
        <v>1976768</v>
      </c>
      <c r="LE21" s="151">
        <f>LD21/LC21</f>
        <v>0.3282683514328345</v>
      </c>
      <c r="LF21" s="226">
        <f t="shared" si="251"/>
        <v>9</v>
      </c>
      <c r="LG21" s="128">
        <f t="shared" si="251"/>
        <v>2276872</v>
      </c>
      <c r="LH21" s="139">
        <f t="shared" si="251"/>
        <v>749311</v>
      </c>
      <c r="LI21" s="442">
        <f t="shared" si="252"/>
        <v>0.75</v>
      </c>
      <c r="LJ21" s="442">
        <f t="shared" si="252"/>
        <v>0.60798737921345991</v>
      </c>
      <c r="LK21" s="106">
        <f t="shared" si="252"/>
        <v>0.61045804455879105</v>
      </c>
      <c r="LL21" s="621">
        <v>24</v>
      </c>
      <c r="LM21" s="649">
        <v>1894690</v>
      </c>
      <c r="LN21" s="358">
        <v>2505560</v>
      </c>
      <c r="LO21" s="134"/>
      <c r="LP21" s="133">
        <f>LN21-(LM21+LO21)</f>
        <v>610870</v>
      </c>
      <c r="LQ21" s="151">
        <f>LP21/LN21</f>
        <v>0.24380577595427769</v>
      </c>
      <c r="LR21" s="133">
        <v>242020</v>
      </c>
      <c r="LS21" s="134">
        <v>253000</v>
      </c>
      <c r="LT21" s="134">
        <v>100000</v>
      </c>
      <c r="LU21" s="190">
        <f>LP21-SUM(LR21:LT21)</f>
        <v>15850</v>
      </c>
      <c r="LV21" s="151">
        <f>LU21/LN21</f>
        <v>6.3259311291687286E-3</v>
      </c>
      <c r="LW21" s="134">
        <v>28</v>
      </c>
      <c r="LX21" s="134">
        <v>2120850</v>
      </c>
      <c r="LY21" s="134">
        <v>2914403</v>
      </c>
      <c r="LZ21" s="134"/>
      <c r="MA21" s="133">
        <f>LY21-(LX21+LZ21)</f>
        <v>793553</v>
      </c>
      <c r="MB21" s="151">
        <f>MA21/LY21</f>
        <v>0.27228663983670071</v>
      </c>
      <c r="MC21" s="134">
        <f>214777+60000</f>
        <v>274777</v>
      </c>
      <c r="MD21" s="134">
        <f>464115+74561</f>
        <v>538676</v>
      </c>
      <c r="ME21" s="134">
        <v>100000</v>
      </c>
      <c r="MF21" s="190">
        <f>MA21-SUM(MC21:ME21)</f>
        <v>-119900</v>
      </c>
      <c r="MG21" s="151">
        <f>MF21/LY21</f>
        <v>-4.114050115924256E-2</v>
      </c>
      <c r="MH21" s="134">
        <v>29</v>
      </c>
      <c r="MI21" s="134">
        <v>2199373</v>
      </c>
      <c r="MJ21" s="134">
        <v>2950000</v>
      </c>
      <c r="MK21" s="134">
        <v>9959</v>
      </c>
      <c r="ML21" s="133">
        <f>MJ21-(MI21+MK21)</f>
        <v>740668</v>
      </c>
      <c r="MM21" s="151">
        <f>ML21/MJ21</f>
        <v>0.25107389830508475</v>
      </c>
      <c r="MN21" s="134">
        <f>220021+191667</f>
        <v>411688</v>
      </c>
      <c r="MO21" s="134">
        <v>300000</v>
      </c>
      <c r="MP21" s="134">
        <v>100000</v>
      </c>
      <c r="MQ21" s="190">
        <f>ML21-SUM(MN21:MP21)</f>
        <v>-71020</v>
      </c>
      <c r="MR21" s="151">
        <f>MQ21/MJ21</f>
        <v>-2.4074576271186442E-2</v>
      </c>
      <c r="MS21" s="1472">
        <v>29</v>
      </c>
      <c r="MT21" s="118">
        <f>MJ21+LY21+LN21</f>
        <v>8369963</v>
      </c>
      <c r="MU21" s="118">
        <f>ML21+MA21+LP21</f>
        <v>2145091</v>
      </c>
      <c r="MV21" s="135">
        <f>MU21/MT21</f>
        <v>0.25628440651410289</v>
      </c>
      <c r="MW21" s="133">
        <f t="shared" si="253"/>
        <v>8</v>
      </c>
      <c r="MX21" s="134">
        <f t="shared" si="253"/>
        <v>2348158</v>
      </c>
      <c r="MY21" s="134">
        <f t="shared" si="253"/>
        <v>168323</v>
      </c>
      <c r="MZ21" s="135">
        <f t="shared" si="254"/>
        <v>0.38095238095238093</v>
      </c>
      <c r="NA21" s="135">
        <f t="shared" si="254"/>
        <v>0.38994255044791387</v>
      </c>
      <c r="NB21" s="151">
        <f t="shared" si="254"/>
        <v>8.515060947971638E-2</v>
      </c>
      <c r="NC21" s="134">
        <v>25</v>
      </c>
      <c r="ND21" s="134">
        <v>1744037</v>
      </c>
      <c r="NE21" s="134">
        <v>2444867</v>
      </c>
      <c r="NF21" s="134">
        <v>21644</v>
      </c>
      <c r="NG21" s="133">
        <f>NE21-(ND21+NF21)</f>
        <v>679186</v>
      </c>
      <c r="NH21" s="151">
        <f>NG21/NE21</f>
        <v>0.27780079652594597</v>
      </c>
      <c r="NI21" s="134">
        <v>220021</v>
      </c>
      <c r="NJ21" s="134">
        <f>250000+80800</f>
        <v>330800</v>
      </c>
      <c r="NK21" s="134">
        <v>100000</v>
      </c>
      <c r="NL21" s="190">
        <f>NG21-SUM(NI21:NK21)</f>
        <v>28365</v>
      </c>
      <c r="NM21" s="135">
        <f>NL21/NE21</f>
        <v>1.1601858096984417E-2</v>
      </c>
      <c r="NN21" s="1563">
        <v>28</v>
      </c>
      <c r="NO21" s="134">
        <v>2271364</v>
      </c>
      <c r="NP21" s="134">
        <v>3151787</v>
      </c>
      <c r="NQ21" s="134">
        <v>579</v>
      </c>
      <c r="NR21" s="133">
        <f>NP21-(NO21+NQ21)</f>
        <v>879844</v>
      </c>
      <c r="NS21" s="151">
        <f>NR21/NP21</f>
        <v>0.27915718923899363</v>
      </c>
      <c r="NT21" s="134">
        <v>221401</v>
      </c>
      <c r="NU21" s="134">
        <f>250000+80800+108007+112900</f>
        <v>551707</v>
      </c>
      <c r="NV21" s="134">
        <v>200000</v>
      </c>
      <c r="NW21" s="190">
        <f>NR21-SUM(NT21:NV21)</f>
        <v>-93264</v>
      </c>
      <c r="NX21" s="135">
        <f>NW21/NP21</f>
        <v>-2.9590832121586898E-2</v>
      </c>
      <c r="NY21" s="1563">
        <v>28</v>
      </c>
      <c r="NZ21" s="134">
        <v>1926563</v>
      </c>
      <c r="OA21" s="134">
        <v>2747817</v>
      </c>
      <c r="OB21" s="134">
        <v>0</v>
      </c>
      <c r="OC21" s="133">
        <f>OA21-(NZ21+OB21)</f>
        <v>821254</v>
      </c>
      <c r="OD21" s="151">
        <f>OC21/OA21</f>
        <v>0.29887507064698998</v>
      </c>
      <c r="OE21" s="134">
        <v>221401</v>
      </c>
      <c r="OF21" s="134">
        <f>250000+80800+108007+112900</f>
        <v>551707</v>
      </c>
      <c r="OG21" s="134">
        <v>200000</v>
      </c>
      <c r="OH21" s="190">
        <f>OC21-SUM(OE21:OG21)</f>
        <v>-151854</v>
      </c>
      <c r="OI21" s="5380">
        <f>OH21/OA21</f>
        <v>-5.5263505539124333E-2</v>
      </c>
      <c r="OJ21" s="69">
        <v>28</v>
      </c>
      <c r="OK21" s="155">
        <f>OA21+NP21+NE21+MJ21+LY21+LN21+KS21+KH21+JW21+JG21+IW21+IL21</f>
        <v>25978881</v>
      </c>
      <c r="OL21" s="155">
        <f>OC21+NR21+NG21+ML21+MA21+LP21+KU21+KJ21+JY21+JI21+IY21+IN21</f>
        <v>7227309</v>
      </c>
      <c r="OM21" s="74">
        <f>OL21/OK21</f>
        <v>0.27819939588622006</v>
      </c>
      <c r="ON21" s="155">
        <f>OH21+NW21+NL21+MQ21+MF21+LU21+KZ21+KO21+KD21+JN21+JD21+IS21</f>
        <v>17256</v>
      </c>
      <c r="OO21" s="70"/>
      <c r="OP21" s="69"/>
      <c r="OQ21" s="1563">
        <v>29</v>
      </c>
      <c r="OR21" s="134">
        <v>1977872</v>
      </c>
      <c r="OS21" s="134">
        <v>2780017</v>
      </c>
      <c r="OT21" s="134">
        <v>2625</v>
      </c>
      <c r="OU21" s="133">
        <f t="shared" si="255"/>
        <v>799520</v>
      </c>
      <c r="OV21" s="94">
        <f t="shared" si="256"/>
        <v>0.28759536362547422</v>
      </c>
      <c r="OW21" s="133">
        <v>199347</v>
      </c>
      <c r="OX21" s="134">
        <f>50000+123250+100000+50000</f>
        <v>323250</v>
      </c>
      <c r="OY21" s="134">
        <v>400000</v>
      </c>
      <c r="OZ21" s="190">
        <f t="shared" si="257"/>
        <v>-123077</v>
      </c>
      <c r="PA21" s="5361">
        <f t="shared" si="258"/>
        <v>-4.4272031430023631E-2</v>
      </c>
      <c r="PB21" s="5321">
        <v>27</v>
      </c>
      <c r="PC21" s="649">
        <v>2131793</v>
      </c>
      <c r="PD21" s="358">
        <v>2823817</v>
      </c>
      <c r="PE21" s="134"/>
      <c r="PF21" s="133">
        <f t="shared" si="259"/>
        <v>692024</v>
      </c>
      <c r="PG21" s="94">
        <f t="shared" si="260"/>
        <v>0.24506687225128257</v>
      </c>
      <c r="PH21" s="133">
        <v>204371</v>
      </c>
      <c r="PI21" s="134">
        <v>300000</v>
      </c>
      <c r="PJ21" s="134">
        <v>180000</v>
      </c>
      <c r="PK21" s="190">
        <f t="shared" si="261"/>
        <v>7653</v>
      </c>
      <c r="PL21" s="135">
        <f t="shared" si="262"/>
        <v>2.7101614587630857E-3</v>
      </c>
      <c r="PM21" s="3863">
        <v>45</v>
      </c>
      <c r="PN21" s="358">
        <v>3248040</v>
      </c>
      <c r="PO21" s="358">
        <v>4671340</v>
      </c>
      <c r="PP21" s="134"/>
      <c r="PQ21" s="6293">
        <f t="shared" si="263"/>
        <v>1423300</v>
      </c>
      <c r="PR21" s="6295">
        <f t="shared" si="264"/>
        <v>0.30468773414052497</v>
      </c>
      <c r="PS21" s="134">
        <v>173696</v>
      </c>
      <c r="PT21" s="3758">
        <f>300000+87000+127790</f>
        <v>514790</v>
      </c>
      <c r="PU21" s="134">
        <v>500000</v>
      </c>
      <c r="PV21" s="190">
        <f t="shared" si="265"/>
        <v>234814</v>
      </c>
      <c r="PW21" s="5380">
        <f t="shared" si="266"/>
        <v>5.0266946957404086E-2</v>
      </c>
      <c r="PX21" s="5321">
        <v>45</v>
      </c>
      <c r="PY21" s="191">
        <f t="shared" si="267"/>
        <v>10275174</v>
      </c>
      <c r="PZ21" s="191">
        <f t="shared" si="268"/>
        <v>2914844</v>
      </c>
      <c r="QA21" s="135">
        <f t="shared" si="269"/>
        <v>0.28367831045975472</v>
      </c>
      <c r="QB21" s="3863">
        <v>43</v>
      </c>
      <c r="QC21" s="358">
        <v>3111375</v>
      </c>
      <c r="QD21" s="358">
        <v>4580313</v>
      </c>
      <c r="QE21" s="134">
        <v>22720</v>
      </c>
      <c r="QF21" s="6293">
        <f t="shared" si="270"/>
        <v>1446218</v>
      </c>
      <c r="QG21" s="6295">
        <f t="shared" si="271"/>
        <v>0.3157465439588954</v>
      </c>
      <c r="QH21" s="134">
        <v>173696</v>
      </c>
      <c r="QI21" s="134">
        <f>70000+167000+10000+53190+26500</f>
        <v>326690</v>
      </c>
      <c r="QJ21" s="134">
        <v>500000</v>
      </c>
      <c r="QK21" s="190">
        <f t="shared" si="272"/>
        <v>445832</v>
      </c>
      <c r="QL21" s="5380">
        <f t="shared" si="273"/>
        <v>9.7336579399704776E-2</v>
      </c>
      <c r="QM21" s="3863">
        <v>46</v>
      </c>
      <c r="QN21" s="649">
        <v>3323249</v>
      </c>
      <c r="QO21" s="358">
        <v>4800000</v>
      </c>
      <c r="QP21" s="134">
        <v>9903</v>
      </c>
      <c r="QQ21" s="133">
        <f>QO21-(QN21+QP21)</f>
        <v>1466848</v>
      </c>
      <c r="QR21" s="151">
        <f t="shared" si="227"/>
        <v>0.30559333333333333</v>
      </c>
      <c r="QS21" s="133">
        <f>473696+15819</f>
        <v>489515</v>
      </c>
      <c r="QT21" s="134">
        <f>10000+167000+152000+50700</f>
        <v>379700</v>
      </c>
      <c r="QU21" s="134">
        <v>500000</v>
      </c>
      <c r="QV21" s="190">
        <f>QQ21-SUM(QS21:QU21)</f>
        <v>97633</v>
      </c>
      <c r="QW21" s="5380">
        <f>QV21/QO21</f>
        <v>2.0340208333333332E-2</v>
      </c>
      <c r="QX21" s="3863">
        <v>53</v>
      </c>
      <c r="QY21" s="622">
        <v>3986217</v>
      </c>
      <c r="QZ21" s="358">
        <v>5793475</v>
      </c>
      <c r="RA21" s="2437">
        <v>7821</v>
      </c>
      <c r="RB21" s="133">
        <f t="shared" si="274"/>
        <v>1799437</v>
      </c>
      <c r="RC21" s="151">
        <f t="shared" si="228"/>
        <v>0.31059718044869444</v>
      </c>
      <c r="RD21" s="133">
        <f>473696+15819</f>
        <v>489515</v>
      </c>
      <c r="RE21" s="134">
        <f>200000+352200</f>
        <v>552200</v>
      </c>
      <c r="RF21" s="134">
        <v>300000</v>
      </c>
      <c r="RG21" s="190">
        <f>RB21-SUM(RD21:RF21)</f>
        <v>457722</v>
      </c>
      <c r="RH21" s="5380">
        <f t="shared" si="229"/>
        <v>7.9006468483940981E-2</v>
      </c>
      <c r="RI21" s="5376"/>
      <c r="RJ21" s="191">
        <f t="shared" si="275"/>
        <v>15173788</v>
      </c>
      <c r="RK21" s="191">
        <f>RB21+QQ21+QF21</f>
        <v>4712503</v>
      </c>
      <c r="RL21" s="5380">
        <f t="shared" si="230"/>
        <v>0.3105686595858595</v>
      </c>
      <c r="RM21" s="1562">
        <f t="shared" si="276"/>
        <v>-45</v>
      </c>
      <c r="RN21" s="128">
        <f t="shared" si="277"/>
        <v>4898614</v>
      </c>
      <c r="RO21" s="139">
        <f t="shared" si="278"/>
        <v>1797659</v>
      </c>
      <c r="RP21" s="442">
        <f t="shared" si="279"/>
        <v>-1</v>
      </c>
      <c r="RQ21" s="442">
        <f t="shared" si="280"/>
        <v>0.4767426809511936</v>
      </c>
      <c r="RR21" s="6339">
        <f t="shared" si="281"/>
        <v>0.61672562922749896</v>
      </c>
      <c r="RS21" s="698">
        <v>53</v>
      </c>
      <c r="RT21" s="208">
        <f>4130762+7925</f>
        <v>4138687</v>
      </c>
      <c r="RU21" s="395">
        <v>6477251</v>
      </c>
      <c r="RV21" s="4269">
        <v>3848</v>
      </c>
      <c r="RW21" s="133">
        <f>RU21-(RT21+RV21)</f>
        <v>2334716</v>
      </c>
      <c r="RX21" s="151">
        <f t="shared" si="231"/>
        <v>0.36044859153983688</v>
      </c>
      <c r="RY21" s="133">
        <f>473696+15819</f>
        <v>489515</v>
      </c>
      <c r="RZ21" s="134">
        <f>200000+150000+51030</f>
        <v>401030</v>
      </c>
      <c r="SA21" s="134">
        <f>400000+71255</f>
        <v>471255</v>
      </c>
      <c r="SB21" s="188">
        <f t="shared" si="282"/>
        <v>972916</v>
      </c>
      <c r="SC21" s="5380">
        <f t="shared" si="232"/>
        <v>0.1502050792844063</v>
      </c>
      <c r="SD21" s="110">
        <v>55</v>
      </c>
      <c r="SE21" s="208">
        <f>4275704+7925</f>
        <v>4283629</v>
      </c>
      <c r="SF21" s="395">
        <v>6053350</v>
      </c>
      <c r="SG21" s="772"/>
      <c r="SH21" s="6375">
        <f t="shared" ref="SH21:SH26" si="287">SF21-(SE21+SG21)</f>
        <v>1769721</v>
      </c>
      <c r="SI21" s="6376">
        <f t="shared" ref="SI21:SI26" si="288">SH21/SF21</f>
        <v>0.29235398580951044</v>
      </c>
      <c r="SJ21" s="134">
        <f>473696+15819+127893</f>
        <v>617408</v>
      </c>
      <c r="SK21" s="134">
        <f>200000+150000+22670+150000+22250+11120</f>
        <v>556040</v>
      </c>
      <c r="SL21" s="134">
        <f>400000+71255</f>
        <v>471255</v>
      </c>
      <c r="SM21" s="188">
        <f t="shared" ref="SM21:SM56" si="289">SH21-SUM(SJ21:SL21)</f>
        <v>125018</v>
      </c>
      <c r="SN21" s="5389">
        <f t="shared" ref="SN21:SN56" si="290">SM21/SF21</f>
        <v>2.0652696440813766E-2</v>
      </c>
      <c r="SO21" s="134">
        <v>58</v>
      </c>
      <c r="SP21" s="134">
        <v>4596249</v>
      </c>
      <c r="SQ21" s="134">
        <v>6531667</v>
      </c>
      <c r="SR21" s="134">
        <v>1886</v>
      </c>
      <c r="SS21" s="6361">
        <f t="shared" si="283"/>
        <v>1933532</v>
      </c>
      <c r="ST21" s="6363">
        <f t="shared" si="233"/>
        <v>0.29602427680406856</v>
      </c>
      <c r="SU21" s="134">
        <v>159015</v>
      </c>
      <c r="SV21" s="134">
        <f>556040+150000</f>
        <v>706040</v>
      </c>
      <c r="SW21" s="134">
        <f>500000+71255</f>
        <v>571255</v>
      </c>
      <c r="SX21" s="190">
        <f>SS21-SUM(SU21:SW21)</f>
        <v>497222</v>
      </c>
      <c r="SY21" s="5380">
        <f t="shared" si="234"/>
        <v>7.6124823877273595E-2</v>
      </c>
      <c r="SZ21" s="6270"/>
      <c r="TA21" s="118">
        <f>SQ21+SF21+RU21</f>
        <v>19062268</v>
      </c>
      <c r="TB21" s="118">
        <f>SS21+SH21+RW21</f>
        <v>6037969</v>
      </c>
      <c r="TC21" s="5380">
        <f t="shared" si="235"/>
        <v>0.31674976975457486</v>
      </c>
      <c r="TD21" s="209">
        <v>56</v>
      </c>
      <c r="TE21" s="208">
        <v>4281092</v>
      </c>
      <c r="TF21" s="395">
        <v>6713217</v>
      </c>
      <c r="TG21" s="134">
        <v>1433</v>
      </c>
      <c r="TH21" s="133">
        <f>TF21-(TE21+TG21)</f>
        <v>2430692</v>
      </c>
      <c r="TI21" s="151">
        <f t="shared" si="236"/>
        <v>0.36207558909536219</v>
      </c>
      <c r="TJ21" s="134">
        <v>159015</v>
      </c>
      <c r="TK21" s="134">
        <f>556040+150000</f>
        <v>706040</v>
      </c>
      <c r="TL21" s="134">
        <f>600000</f>
        <v>600000</v>
      </c>
      <c r="TM21" s="190">
        <f>TH21-SUM(TJ21:TL21)</f>
        <v>965637</v>
      </c>
      <c r="TN21" s="5380">
        <f t="shared" si="237"/>
        <v>0.14384117182566869</v>
      </c>
      <c r="TO21" s="134"/>
      <c r="TP21" s="134"/>
      <c r="TQ21" s="134"/>
      <c r="TR21" s="134"/>
      <c r="TS21" s="133">
        <f>TQ21-(TP21+TR21)</f>
        <v>0</v>
      </c>
      <c r="TT21" s="151" t="e">
        <f t="shared" si="238"/>
        <v>#DIV/0!</v>
      </c>
      <c r="TU21" s="134"/>
      <c r="TV21" s="134"/>
      <c r="TW21" s="134"/>
      <c r="TX21" s="190">
        <f>TS21-SUM(TU21:TW21)</f>
        <v>0</v>
      </c>
      <c r="TY21" s="135" t="e">
        <f t="shared" si="239"/>
        <v>#DIV/0!</v>
      </c>
      <c r="TZ21" s="1563"/>
      <c r="UA21" s="134"/>
      <c r="UB21" s="134"/>
      <c r="UC21" s="134"/>
      <c r="UD21" s="133">
        <f>UB21-(UA21+UC21)</f>
        <v>0</v>
      </c>
      <c r="UE21" s="151" t="e">
        <f t="shared" si="240"/>
        <v>#DIV/0!</v>
      </c>
      <c r="UF21" s="134"/>
      <c r="UG21" s="134"/>
      <c r="UH21" s="134"/>
      <c r="UI21" s="190">
        <f>UD21-SUM(UF21:UH21)</f>
        <v>0</v>
      </c>
      <c r="UJ21" s="5380" t="e">
        <f t="shared" si="241"/>
        <v>#DIV/0!</v>
      </c>
      <c r="UK21" s="5376"/>
      <c r="UL21" s="191">
        <f t="shared" si="284"/>
        <v>51224447</v>
      </c>
      <c r="UM21" s="191">
        <f t="shared" si="285"/>
        <v>16096008</v>
      </c>
      <c r="UN21" s="135">
        <f>UM21/UL21</f>
        <v>0.31422511989246071</v>
      </c>
      <c r="UO21" s="191">
        <f t="shared" si="286"/>
        <v>3681370</v>
      </c>
      <c r="UP21" s="5380">
        <f t="shared" ref="UP21:UP42" si="291">UO21/UL21</f>
        <v>7.1867442512361338E-2</v>
      </c>
    </row>
    <row r="22" spans="1:567" x14ac:dyDescent="0.3">
      <c r="A22" s="5315">
        <v>3</v>
      </c>
      <c r="B22" s="5360" t="s">
        <v>106</v>
      </c>
      <c r="C22" s="578" t="s">
        <v>141</v>
      </c>
      <c r="D22" s="578" t="s">
        <v>140</v>
      </c>
      <c r="E22" s="6278" t="s">
        <v>254</v>
      </c>
      <c r="F22" s="579">
        <v>130</v>
      </c>
      <c r="G22" s="161">
        <v>18545021</v>
      </c>
      <c r="H22" s="161">
        <v>28042332</v>
      </c>
      <c r="I22" s="161">
        <v>8987457</v>
      </c>
      <c r="J22" s="351">
        <f>I22/H22</f>
        <v>0.32049606288093302</v>
      </c>
      <c r="K22" s="580">
        <v>140</v>
      </c>
      <c r="L22" s="161">
        <v>19810783</v>
      </c>
      <c r="M22" s="161">
        <v>30547813</v>
      </c>
      <c r="N22" s="161">
        <v>10190921</v>
      </c>
      <c r="O22" s="422"/>
      <c r="P22" s="580">
        <v>143.66666666666666</v>
      </c>
      <c r="Q22" s="161">
        <v>21752529</v>
      </c>
      <c r="R22" s="161">
        <v>32744481</v>
      </c>
      <c r="S22" s="161">
        <v>10598718</v>
      </c>
      <c r="T22" s="94"/>
      <c r="U22" s="136"/>
      <c r="V22" s="422"/>
      <c r="W22" s="422"/>
      <c r="X22" s="422"/>
      <c r="Y22" s="422"/>
      <c r="Z22" s="581"/>
      <c r="AA22" s="422"/>
      <c r="AB22" s="422"/>
      <c r="AC22" s="422"/>
      <c r="AD22" s="422"/>
      <c r="AE22" s="582">
        <f>AC22-(AB22+AD22)</f>
        <v>0</v>
      </c>
      <c r="AF22" s="422"/>
      <c r="AG22" s="113">
        <v>117</v>
      </c>
      <c r="AH22" s="616">
        <f>6072986+56230+120162</f>
        <v>6249378</v>
      </c>
      <c r="AI22" s="616">
        <v>8523554</v>
      </c>
      <c r="AJ22" s="616">
        <v>274492</v>
      </c>
      <c r="AK22" s="105">
        <f>AI22-(AH22+AJ22)</f>
        <v>1999684</v>
      </c>
      <c r="AL22" s="114">
        <f>AK22/AI22</f>
        <v>0.23460683184502615</v>
      </c>
      <c r="AM22" s="129">
        <v>460641</v>
      </c>
      <c r="AN22" s="130">
        <f>131298+131320+(131298*3)</f>
        <v>656512</v>
      </c>
      <c r="AO22" s="130"/>
      <c r="AP22" s="130">
        <f>49383.6517241379*2</f>
        <v>98767.303448275794</v>
      </c>
      <c r="AQ22" s="130">
        <f>AK22-AM22-AN22-AO22-AP22</f>
        <v>783763.69655172422</v>
      </c>
      <c r="AR22" s="114">
        <f>AQ22/AK22</f>
        <v>0.39194377539237413</v>
      </c>
      <c r="AS22" s="113">
        <v>117</v>
      </c>
      <c r="AT22" s="213">
        <v>19412641</v>
      </c>
      <c r="AU22" s="130">
        <v>28610547</v>
      </c>
      <c r="AV22" s="130">
        <v>8607891</v>
      </c>
      <c r="AW22" s="116">
        <f>AV22/AU22</f>
        <v>0.30086425820519963</v>
      </c>
      <c r="AX22" s="617">
        <v>117</v>
      </c>
      <c r="AY22" s="587">
        <f t="shared" si="244"/>
        <v>79520974</v>
      </c>
      <c r="AZ22" s="587">
        <f t="shared" si="244"/>
        <v>119945173</v>
      </c>
      <c r="BA22" s="587">
        <f t="shared" si="244"/>
        <v>38384987</v>
      </c>
      <c r="BB22" s="588">
        <f>BA22/AZ22</f>
        <v>0.32002110664344952</v>
      </c>
      <c r="BC22" s="215">
        <v>116</v>
      </c>
      <c r="BD22" s="417">
        <v>6000940</v>
      </c>
      <c r="BE22" s="417">
        <v>8444368</v>
      </c>
      <c r="BF22" s="582">
        <v>64370</v>
      </c>
      <c r="BG22" s="582">
        <f>BE22-(BD22+BF22)</f>
        <v>2379058</v>
      </c>
      <c r="BH22" s="618"/>
      <c r="BI22" s="636">
        <v>111</v>
      </c>
      <c r="BJ22" s="619">
        <v>5877084</v>
      </c>
      <c r="BK22" s="619">
        <v>9590618</v>
      </c>
      <c r="BL22" s="619">
        <f>103324+22638</f>
        <v>125962</v>
      </c>
      <c r="BM22" s="582">
        <f>BK22-(BJ22+BL22)</f>
        <v>3587572</v>
      </c>
      <c r="BN22" s="618"/>
      <c r="BO22" s="620">
        <v>99</v>
      </c>
      <c r="BP22" s="619">
        <v>5360796</v>
      </c>
      <c r="BQ22" s="619">
        <v>7376787</v>
      </c>
      <c r="BR22" s="582">
        <v>236273</v>
      </c>
      <c r="BS22" s="582">
        <f>BQ22-(BP22+BR22)</f>
        <v>1779718</v>
      </c>
      <c r="BT22" s="591">
        <f>BS22/BQ22</f>
        <v>0.24125923657549012</v>
      </c>
      <c r="BU22" s="620">
        <v>99</v>
      </c>
      <c r="BV22" s="592">
        <f>BQ22+BK22+BE22</f>
        <v>25411773</v>
      </c>
      <c r="BW22" s="592">
        <f>BS22+BM22+BG22</f>
        <v>7746348</v>
      </c>
      <c r="BX22" s="593">
        <f>BW22/BV22</f>
        <v>0.30483303939477185</v>
      </c>
      <c r="BY22" s="594">
        <v>92</v>
      </c>
      <c r="BZ22" s="595">
        <f>4882833+10615</f>
        <v>4893448</v>
      </c>
      <c r="CA22" s="595">
        <v>7643444</v>
      </c>
      <c r="CB22" s="595">
        <v>178540</v>
      </c>
      <c r="CC22" s="596">
        <f>CA22-(BZ22+CB22)</f>
        <v>2571456</v>
      </c>
      <c r="CD22" s="597">
        <f>CC22/CA22</f>
        <v>0.3364263544025442</v>
      </c>
      <c r="CE22" s="598">
        <v>492949</v>
      </c>
      <c r="CF22" s="599">
        <f>235306</f>
        <v>235306</v>
      </c>
      <c r="CG22" s="599"/>
      <c r="CH22" s="599">
        <f>74304.0576923077+200000</f>
        <v>274304.05769230769</v>
      </c>
      <c r="CI22" s="599">
        <f>CC22-CE22-CF22-CG22-CH22</f>
        <v>1568896.9423076923</v>
      </c>
      <c r="CJ22" s="597">
        <f>CI22/CA22</f>
        <v>0.20526047450700133</v>
      </c>
      <c r="CK22" s="600">
        <v>88</v>
      </c>
      <c r="CL22" s="601">
        <f>4707725+169273</f>
        <v>4876998</v>
      </c>
      <c r="CM22" s="601">
        <v>7704770</v>
      </c>
      <c r="CN22" s="601">
        <v>367449</v>
      </c>
      <c r="CO22" s="96">
        <f>CM22-(CL22+CN22)</f>
        <v>2460323</v>
      </c>
      <c r="CP22" s="602">
        <f>CO22/CM22</f>
        <v>0.31932465213108241</v>
      </c>
      <c r="CQ22" s="603">
        <v>331003</v>
      </c>
      <c r="CR22" s="603">
        <v>99224</v>
      </c>
      <c r="CS22" s="603"/>
      <c r="CT22" s="603">
        <v>147101.18634615382</v>
      </c>
      <c r="CU22" s="603">
        <f>CO22-CQ22-CR22-CS22-CT22</f>
        <v>1882994.8136538463</v>
      </c>
      <c r="CV22" s="604">
        <f>CU22/CM22</f>
        <v>0.24439338405349495</v>
      </c>
      <c r="CW22" s="129">
        <v>77</v>
      </c>
      <c r="CX22" s="130">
        <v>4329347</v>
      </c>
      <c r="CY22" s="130">
        <v>5900418</v>
      </c>
      <c r="CZ22" s="130">
        <v>230740</v>
      </c>
      <c r="DA22" s="605">
        <f>CY22-(CX22+CZ22)</f>
        <v>1340331</v>
      </c>
      <c r="DB22" s="114">
        <f>DA22/CY22</f>
        <v>0.22715865214972905</v>
      </c>
      <c r="DC22" s="138">
        <v>376137</v>
      </c>
      <c r="DD22" s="606">
        <v>113817.95833333333</v>
      </c>
      <c r="DE22" s="130"/>
      <c r="DF22" s="130">
        <v>121185.01354166666</v>
      </c>
      <c r="DG22" s="128">
        <f>DA22-DC22-DD22-DE22-DF22</f>
        <v>729191.02812499995</v>
      </c>
      <c r="DH22" s="169">
        <f>DG22/CY22</f>
        <v>0.12358294414480465</v>
      </c>
      <c r="DI22" s="204">
        <f>(BY22+CK22+CW22)/3</f>
        <v>85.666666666666671</v>
      </c>
      <c r="DJ22" s="202">
        <f>CA22+CM22+CY22</f>
        <v>21248632</v>
      </c>
      <c r="DK22" s="202">
        <f>CC22+CO22+DA22</f>
        <v>6372110</v>
      </c>
      <c r="DL22" s="119">
        <f>DK22/DJ22</f>
        <v>0.29988330542879182</v>
      </c>
      <c r="DM22" s="202">
        <f>CI22+CU22+DG22</f>
        <v>4181082.7840865385</v>
      </c>
      <c r="DN22" s="119">
        <f>DM22/DJ22</f>
        <v>0.19676950422439141</v>
      </c>
      <c r="DO22" s="607">
        <f t="shared" si="245"/>
        <v>-40</v>
      </c>
      <c r="DP22" s="137">
        <f t="shared" si="245"/>
        <v>-1920031</v>
      </c>
      <c r="DQ22" s="137">
        <f t="shared" si="245"/>
        <v>-2623136</v>
      </c>
      <c r="DR22" s="137">
        <f>DA22-AK22</f>
        <v>-659353</v>
      </c>
      <c r="DS22" s="135">
        <f>DO22/AG22</f>
        <v>-0.34188034188034189</v>
      </c>
      <c r="DT22" s="135">
        <f>DP22/AI22</f>
        <v>-0.22526178633936031</v>
      </c>
      <c r="DU22" s="135">
        <f>DQ22/AK22</f>
        <v>-1.3117752604911577</v>
      </c>
      <c r="DV22" s="151">
        <f>DR22/AQ22</f>
        <v>-0.84126504315128892</v>
      </c>
      <c r="DW22" s="607">
        <f>CW22-CK22</f>
        <v>-11</v>
      </c>
      <c r="DX22" s="608">
        <f>CY22-CM22</f>
        <v>-1804352</v>
      </c>
      <c r="DY22" s="608">
        <f>DA22-CO22</f>
        <v>-1119992</v>
      </c>
      <c r="DZ22" s="608">
        <f>DG22-CU22</f>
        <v>-1153803.7855288463</v>
      </c>
      <c r="EA22" s="135">
        <f>DW22/CK22</f>
        <v>-0.125</v>
      </c>
      <c r="EB22" s="135">
        <f>DX22/CM22</f>
        <v>-0.23418635468677196</v>
      </c>
      <c r="EC22" s="135">
        <f>DY22/CO22</f>
        <v>-0.45522152985603925</v>
      </c>
      <c r="ED22" s="151">
        <f>DZ22/CU22</f>
        <v>-0.61274931675990896</v>
      </c>
      <c r="EE22" s="129">
        <v>71</v>
      </c>
      <c r="EF22" s="130">
        <v>4313209</v>
      </c>
      <c r="EG22" s="130">
        <v>6786492</v>
      </c>
      <c r="EH22" s="130">
        <v>191556</v>
      </c>
      <c r="EI22" s="605">
        <f>EG22-(EF22+EH22)</f>
        <v>2281727</v>
      </c>
      <c r="EJ22" s="114">
        <f>EI22/EG22</f>
        <v>0.336215971373723</v>
      </c>
      <c r="EK22" s="138">
        <v>271082</v>
      </c>
      <c r="EL22" s="606">
        <f>322116.665*3</f>
        <v>966349.99499999988</v>
      </c>
      <c r="EM22" s="130">
        <v>0</v>
      </c>
      <c r="EN22" s="128">
        <f>96508*5</f>
        <v>482540</v>
      </c>
      <c r="EO22" s="128">
        <f>EI22-EK22-EL22-EM22-EN22</f>
        <v>561755.00500000012</v>
      </c>
      <c r="EP22" s="114">
        <f>EO22/EG22</f>
        <v>8.2775461166092898E-2</v>
      </c>
      <c r="EQ22" s="129">
        <v>71</v>
      </c>
      <c r="ER22" s="595">
        <v>4275369</v>
      </c>
      <c r="ES22" s="595">
        <v>5406697</v>
      </c>
      <c r="ET22" s="130">
        <v>98468</v>
      </c>
      <c r="EU22" s="134">
        <f>ES22-(ER22+ET22)</f>
        <v>1032860</v>
      </c>
      <c r="EV22" s="114">
        <f>EU22/ES22</f>
        <v>0.19103345351145071</v>
      </c>
      <c r="EW22" s="138">
        <v>296809</v>
      </c>
      <c r="EX22" s="606">
        <v>296085.04249999998</v>
      </c>
      <c r="EY22" s="130">
        <v>0</v>
      </c>
      <c r="EZ22" s="128">
        <v>184967.74562500001</v>
      </c>
      <c r="FA22" s="128">
        <f>EU22-EW22-EX22-EY22-EZ22</f>
        <v>254998.21187500001</v>
      </c>
      <c r="FB22" s="114">
        <f>FA22/ES22</f>
        <v>4.7163399738324528E-2</v>
      </c>
      <c r="FC22" s="609">
        <f>EQ22-AG22</f>
        <v>-46</v>
      </c>
      <c r="FD22" s="610">
        <f>ES22-AI22</f>
        <v>-3116857</v>
      </c>
      <c r="FE22" s="610">
        <f>EU22-AK22</f>
        <v>-966824</v>
      </c>
      <c r="FF22" s="610">
        <f>FA22-AQ22</f>
        <v>-528765.48467672418</v>
      </c>
      <c r="FG22" s="611">
        <f>FC22/AG22</f>
        <v>-0.39316239316239315</v>
      </c>
      <c r="FH22" s="611">
        <f>FD22/AI22</f>
        <v>-0.36567574981046641</v>
      </c>
      <c r="FI22" s="611">
        <f>FE22/AK22</f>
        <v>-0.48348839116580422</v>
      </c>
      <c r="FJ22" s="612">
        <f>FF22/AQ22</f>
        <v>-0.67464911554732676</v>
      </c>
      <c r="FK22" s="133">
        <v>67</v>
      </c>
      <c r="FL22" s="134">
        <v>4044819</v>
      </c>
      <c r="FM22" s="134">
        <v>5551160</v>
      </c>
      <c r="FN22" s="134">
        <v>225792</v>
      </c>
      <c r="FO22" s="134">
        <f>FM22-(FL22+FN22)</f>
        <v>1280549</v>
      </c>
      <c r="FP22" s="135">
        <f>FO22/FM22</f>
        <v>0.2306813350723092</v>
      </c>
      <c r="FQ22" s="133">
        <v>298775</v>
      </c>
      <c r="FR22" s="134">
        <f>695244+100000</f>
        <v>795244</v>
      </c>
      <c r="FS22" s="134">
        <v>430164.6</v>
      </c>
      <c r="FT22" s="191">
        <f>FO22-SUM(FQ22:FS22)</f>
        <v>-243634.60000000009</v>
      </c>
      <c r="FU22" s="151">
        <f>FT22/FM22</f>
        <v>-4.3888952939565802E-2</v>
      </c>
      <c r="FV22" s="190">
        <f t="shared" si="246"/>
        <v>-50</v>
      </c>
      <c r="FW22" s="191">
        <f t="shared" si="246"/>
        <v>-2204559</v>
      </c>
      <c r="FX22" s="191">
        <f t="shared" si="246"/>
        <v>-2972394</v>
      </c>
      <c r="FY22" s="191">
        <f>FO22-AK22</f>
        <v>-719135</v>
      </c>
      <c r="FZ22" s="191">
        <f>FT22-AQ22</f>
        <v>-1027398.2965517243</v>
      </c>
      <c r="GA22" s="135">
        <f>FV22/AG22</f>
        <v>-0.42735042735042733</v>
      </c>
      <c r="GB22" s="135">
        <f>FX22/AI22</f>
        <v>-0.34872706854441232</v>
      </c>
      <c r="GC22" s="135">
        <f>FY22/AK22</f>
        <v>-0.35962432064266153</v>
      </c>
      <c r="GD22" s="151">
        <f>FZ22/AQ22</f>
        <v>-1.3108521115125693</v>
      </c>
      <c r="GE22" s="187">
        <f>(EE22+EQ22+FK22)/3</f>
        <v>69.666666666666671</v>
      </c>
      <c r="GF22" s="155">
        <f>EG22+ES22+FM22</f>
        <v>17744349</v>
      </c>
      <c r="GG22" s="155">
        <f>EI22+EU22+FO22</f>
        <v>4595136</v>
      </c>
      <c r="GH22" s="74">
        <f>GG22/GF22</f>
        <v>0.25896334658431258</v>
      </c>
      <c r="GI22" s="613">
        <f>EO22+FA22+FT22</f>
        <v>573118.61687500007</v>
      </c>
      <c r="GJ22" s="187">
        <f t="shared" si="247"/>
        <v>-16</v>
      </c>
      <c r="GK22" s="155">
        <f t="shared" si="247"/>
        <v>-3504283</v>
      </c>
      <c r="GL22" s="155">
        <f t="shared" si="247"/>
        <v>-1776974</v>
      </c>
      <c r="GM22" s="613">
        <f>GI22-DM22</f>
        <v>-3607964.1672115382</v>
      </c>
      <c r="GN22" s="133">
        <v>66</v>
      </c>
      <c r="GO22" s="134">
        <v>3961452</v>
      </c>
      <c r="GP22" s="134">
        <v>6558121</v>
      </c>
      <c r="GQ22" s="134">
        <v>0</v>
      </c>
      <c r="GR22" s="134">
        <f>GP22-(GO22+GQ22)</f>
        <v>2596669</v>
      </c>
      <c r="GS22" s="135">
        <f>GR22/GP22</f>
        <v>0.39594710131148847</v>
      </c>
      <c r="GT22" s="133">
        <f>206554+266666+35363</f>
        <v>508583</v>
      </c>
      <c r="GU22" s="134">
        <f>424211*2+6960</f>
        <v>855382</v>
      </c>
      <c r="GV22" s="134">
        <v>0</v>
      </c>
      <c r="GW22" s="134">
        <f>230387.4*2</f>
        <v>460774.8</v>
      </c>
      <c r="GX22" s="190">
        <f>GR22-SUM(GT22:GW22)</f>
        <v>771929.2</v>
      </c>
      <c r="GY22" s="151">
        <f>GX22/GP22</f>
        <v>0.11770584897716892</v>
      </c>
      <c r="GZ22" s="614">
        <v>65</v>
      </c>
      <c r="HA22" s="130">
        <v>4006625</v>
      </c>
      <c r="HB22" s="130">
        <v>5696126</v>
      </c>
      <c r="HC22" s="130">
        <v>96856</v>
      </c>
      <c r="HD22" s="134">
        <f>HB22-(HA22+HC22)</f>
        <v>1592645</v>
      </c>
      <c r="HE22" s="151">
        <f>HD22/HB22</f>
        <v>0.27960143437838281</v>
      </c>
      <c r="HF22" s="138">
        <f>185538+11402+266666</f>
        <v>463606</v>
      </c>
      <c r="HG22" s="130">
        <f>44230+1195206+(186946)</f>
        <v>1426382</v>
      </c>
      <c r="HH22" s="130"/>
      <c r="HI22" s="130">
        <v>375313.25</v>
      </c>
      <c r="HJ22" s="197">
        <f>HD22-SUM(HF22:HI22)</f>
        <v>-672656.25</v>
      </c>
      <c r="HK22" s="201">
        <f>HJ22/HB22</f>
        <v>-0.11809012827314565</v>
      </c>
      <c r="HL22" s="1365">
        <v>62</v>
      </c>
      <c r="HM22" s="148">
        <v>3625250</v>
      </c>
      <c r="HN22" s="148">
        <v>4944360</v>
      </c>
      <c r="HO22" s="134">
        <v>100528</v>
      </c>
      <c r="HP22" s="615">
        <f>HN22-(HM22+HO22)</f>
        <v>1218582</v>
      </c>
      <c r="HQ22" s="201">
        <f>HP22/HN22</f>
        <v>0.2464589957041963</v>
      </c>
      <c r="HR22" s="133">
        <f>146587+166333</f>
        <v>312920</v>
      </c>
      <c r="HS22" s="134">
        <v>558495.74</v>
      </c>
      <c r="HT22" s="134"/>
      <c r="HU22" s="134">
        <v>349385.7</v>
      </c>
      <c r="HV22" s="191">
        <f>HP22-SUM(HR22:HU22)</f>
        <v>-2219.4399999999441</v>
      </c>
      <c r="HW22" s="151">
        <f>HV22/HN22</f>
        <v>-4.4888317193730718E-4</v>
      </c>
      <c r="HX22" s="414">
        <v>62</v>
      </c>
      <c r="HY22" s="241">
        <f>HN22+HB22+GP22</f>
        <v>17198607</v>
      </c>
      <c r="HZ22" s="415">
        <f>HP22+HD22+GR22</f>
        <v>5407896</v>
      </c>
      <c r="IA22" s="241"/>
      <c r="IB22" s="415">
        <f>HV22+HJ22+GX22</f>
        <v>97053.510000000009</v>
      </c>
      <c r="IC22" s="141"/>
      <c r="ID22" s="642">
        <v>62</v>
      </c>
      <c r="IE22" s="141">
        <f t="shared" si="248"/>
        <v>81603361</v>
      </c>
      <c r="IF22" s="141">
        <f t="shared" si="248"/>
        <v>24121490</v>
      </c>
      <c r="IG22" s="74">
        <f>IF22/IE22</f>
        <v>0.29559431994473856</v>
      </c>
      <c r="IH22" s="1507"/>
      <c r="II22" s="69"/>
      <c r="IJ22" s="133">
        <v>57</v>
      </c>
      <c r="IK22" s="134">
        <v>3447159</v>
      </c>
      <c r="IL22" s="134">
        <v>4895347</v>
      </c>
      <c r="IM22" s="134">
        <v>190659</v>
      </c>
      <c r="IN22" s="133">
        <f>IL22-(IK22+IM22)</f>
        <v>1257529</v>
      </c>
      <c r="IO22" s="151">
        <f>IN22/IL22</f>
        <v>0.25688250495827974</v>
      </c>
      <c r="IP22" s="133">
        <f>180826+266666+272733</f>
        <v>720225</v>
      </c>
      <c r="IQ22" s="134">
        <f>30776+42418+150000+42418-78807</f>
        <v>186805</v>
      </c>
      <c r="IR22" s="134">
        <v>200000</v>
      </c>
      <c r="IS22" s="190">
        <f>IN22-SUM(IP22:IR22)</f>
        <v>150499</v>
      </c>
      <c r="IT22" s="151">
        <f>IS22/IL22</f>
        <v>3.0743275195813494E-2</v>
      </c>
      <c r="IU22" s="621">
        <f>55+1</f>
        <v>56</v>
      </c>
      <c r="IV22" s="358">
        <f>3338650+182710</f>
        <v>3521360</v>
      </c>
      <c r="IW22" s="622">
        <f>5826262+302400</f>
        <v>6128662</v>
      </c>
      <c r="IX22" s="134">
        <v>21928</v>
      </c>
      <c r="IY22" s="133">
        <f>IW22-(IV22+IX22)</f>
        <v>2585374</v>
      </c>
      <c r="IZ22" s="151">
        <f>IY22/IW22</f>
        <v>0.4218496631075429</v>
      </c>
      <c r="JA22" s="133">
        <v>156782</v>
      </c>
      <c r="JB22" s="134">
        <f>172418+346073+346073-3925+42418</f>
        <v>903057</v>
      </c>
      <c r="JC22" s="134">
        <f>500000+46000+51000</f>
        <v>597000</v>
      </c>
      <c r="JD22" s="190">
        <f>IY22-SUM(JA22:JC22)</f>
        <v>928535</v>
      </c>
      <c r="JE22" s="151">
        <f>JD22/IW22</f>
        <v>0.15150696840517555</v>
      </c>
      <c r="JF22" s="621">
        <f>51+1</f>
        <v>52</v>
      </c>
      <c r="JG22" s="358">
        <f>3031027+192000</f>
        <v>3223027</v>
      </c>
      <c r="JH22" s="622">
        <f>4298037+273600</f>
        <v>4571637</v>
      </c>
      <c r="JI22" s="134">
        <v>189539</v>
      </c>
      <c r="JJ22" s="133">
        <f>JH22-(JG22+JI22)</f>
        <v>1159071</v>
      </c>
      <c r="JK22" s="151">
        <f>JJ22/JH22</f>
        <v>0.25353522162848885</v>
      </c>
      <c r="JL22" s="133">
        <f>335247+191667</f>
        <v>526914</v>
      </c>
      <c r="JM22" s="134">
        <f>337941+42418-72349</f>
        <v>308010</v>
      </c>
      <c r="JN22" s="134">
        <v>200000</v>
      </c>
      <c r="JO22" s="190">
        <f>JJ22-SUM(JL22:JN22)</f>
        <v>124147</v>
      </c>
      <c r="JP22" s="151">
        <f>JO22/JH22</f>
        <v>2.7155918109858679E-2</v>
      </c>
      <c r="JQ22" s="621">
        <v>51</v>
      </c>
      <c r="JR22" s="191">
        <f t="shared" si="249"/>
        <v>15595646</v>
      </c>
      <c r="JS22" s="191">
        <f t="shared" si="250"/>
        <v>5001974</v>
      </c>
      <c r="JT22" s="151">
        <f>JS22/JR22</f>
        <v>0.32072887522581622</v>
      </c>
      <c r="JU22" s="621">
        <f>49+1</f>
        <v>50</v>
      </c>
      <c r="JV22" s="358">
        <f>3135653+192000</f>
        <v>3327653</v>
      </c>
      <c r="JW22" s="622">
        <f>5146514+331200</f>
        <v>5477714</v>
      </c>
      <c r="JX22" s="134">
        <v>17522</v>
      </c>
      <c r="JY22" s="133">
        <f>JW22-(JV22+JX22)</f>
        <v>2132539</v>
      </c>
      <c r="JZ22" s="151">
        <f>JY22/JW22</f>
        <v>0.38931185527393364</v>
      </c>
      <c r="KA22" s="133">
        <f>376874+329301</f>
        <v>706175</v>
      </c>
      <c r="KB22" s="134">
        <f>500000+73570</f>
        <v>573570</v>
      </c>
      <c r="KC22" s="134">
        <v>600000</v>
      </c>
      <c r="KD22" s="190">
        <f>JY22-SUM(KA22:KC22)</f>
        <v>252794</v>
      </c>
      <c r="KE22" s="151">
        <f>KD22/JW22</f>
        <v>4.6149543404420165E-2</v>
      </c>
      <c r="KF22" s="621">
        <f>47+1</f>
        <v>48</v>
      </c>
      <c r="KG22" s="358">
        <f>2926070+192000</f>
        <v>3118070</v>
      </c>
      <c r="KH22" s="622">
        <f>3877678+273600</f>
        <v>4151278</v>
      </c>
      <c r="KI22" s="134">
        <v>82601</v>
      </c>
      <c r="KJ22" s="133">
        <f>KH22-(KG22+KI22)</f>
        <v>950607</v>
      </c>
      <c r="KK22" s="151">
        <f>KJ22/KH22</f>
        <v>0.22899140939248105</v>
      </c>
      <c r="KL22" s="133">
        <v>373019</v>
      </c>
      <c r="KM22" s="134">
        <v>424682.74687500001</v>
      </c>
      <c r="KN22" s="134">
        <v>100000</v>
      </c>
      <c r="KO22" s="190">
        <f>KJ22-SUM(KL22:KN22)</f>
        <v>52905.253125000047</v>
      </c>
      <c r="KP22" s="151">
        <f>KO22/KH22</f>
        <v>1.274432912587402E-2</v>
      </c>
      <c r="KQ22" s="621">
        <v>43</v>
      </c>
      <c r="KR22" s="623">
        <f>2636566+14665+205993</f>
        <v>2857224</v>
      </c>
      <c r="KS22" s="622">
        <v>3270960</v>
      </c>
      <c r="KT22" s="134">
        <v>44310</v>
      </c>
      <c r="KU22" s="133">
        <f>KS22-(KR22+KT22)</f>
        <v>369426</v>
      </c>
      <c r="KV22" s="151">
        <f>KU22/KS22</f>
        <v>0.11294115489030743</v>
      </c>
      <c r="KW22" s="133">
        <v>331357</v>
      </c>
      <c r="KX22" s="134">
        <v>100000</v>
      </c>
      <c r="KY22" s="134">
        <v>100000</v>
      </c>
      <c r="KZ22" s="190">
        <f>KU22-SUM(KW22:KY22)</f>
        <v>-161931</v>
      </c>
      <c r="LA22" s="151">
        <f>KZ22/KS22</f>
        <v>-4.9505649717514123E-2</v>
      </c>
      <c r="LB22" s="402">
        <v>43</v>
      </c>
      <c r="LC22" s="191">
        <f>KS22+KH22+JW22</f>
        <v>12899952</v>
      </c>
      <c r="LD22" s="191">
        <f>KU22+KJ22+JY22</f>
        <v>3452572</v>
      </c>
      <c r="LE22" s="151">
        <f>LD22/LC22</f>
        <v>0.26764223618816568</v>
      </c>
      <c r="LF22" s="226">
        <f t="shared" si="251"/>
        <v>-8</v>
      </c>
      <c r="LG22" s="128">
        <f t="shared" si="251"/>
        <v>-2695694</v>
      </c>
      <c r="LH22" s="139">
        <f t="shared" si="251"/>
        <v>-1549402</v>
      </c>
      <c r="LI22" s="442">
        <f t="shared" si="252"/>
        <v>-0.15686274509803921</v>
      </c>
      <c r="LJ22" s="442">
        <f t="shared" si="252"/>
        <v>-0.17284914007409505</v>
      </c>
      <c r="LK22" s="106">
        <f t="shared" si="252"/>
        <v>-0.30975810749915933</v>
      </c>
      <c r="LL22" s="621">
        <v>47</v>
      </c>
      <c r="LM22" s="623">
        <v>2560212</v>
      </c>
      <c r="LN22" s="622">
        <v>3827914</v>
      </c>
      <c r="LO22" s="134">
        <v>21771</v>
      </c>
      <c r="LP22" s="133">
        <f>LN22-(LM22+LO22)</f>
        <v>1245931</v>
      </c>
      <c r="LQ22" s="151">
        <f>LP22/LN22</f>
        <v>0.32548563003244063</v>
      </c>
      <c r="LR22" s="133">
        <f>328671+100000</f>
        <v>428671</v>
      </c>
      <c r="LS22" s="134">
        <v>400000</v>
      </c>
      <c r="LT22" s="134">
        <v>400000</v>
      </c>
      <c r="LU22" s="190">
        <f>LP22-SUM(LR22:LT22)</f>
        <v>17260</v>
      </c>
      <c r="LV22" s="151">
        <f>LU22/LN22</f>
        <v>4.5089832216711244E-3</v>
      </c>
      <c r="LW22" s="134">
        <v>39</v>
      </c>
      <c r="LX22" s="134">
        <v>2586986</v>
      </c>
      <c r="LY22" s="134">
        <v>3212720</v>
      </c>
      <c r="LZ22" s="134">
        <v>37518</v>
      </c>
      <c r="MA22" s="133">
        <f>LY22-(LX22+LZ22)</f>
        <v>588216</v>
      </c>
      <c r="MB22" s="151">
        <f>MA22/LY22</f>
        <v>0.18308971836948132</v>
      </c>
      <c r="MC22" s="134">
        <v>188738</v>
      </c>
      <c r="MD22" s="134">
        <v>100000</v>
      </c>
      <c r="ME22" s="134">
        <v>400000</v>
      </c>
      <c r="MF22" s="190">
        <f>MA22-SUM(MC22:ME22)</f>
        <v>-100522</v>
      </c>
      <c r="MG22" s="151">
        <f>MF22/LY22</f>
        <v>-3.1288752209965388E-2</v>
      </c>
      <c r="MH22" s="134">
        <v>38</v>
      </c>
      <c r="MI22" s="134">
        <v>2499296</v>
      </c>
      <c r="MJ22" s="134">
        <v>3196770</v>
      </c>
      <c r="MK22" s="134"/>
      <c r="ML22" s="133">
        <f>MJ22-(MI22+MK22)</f>
        <v>697474</v>
      </c>
      <c r="MM22" s="151">
        <f>ML22/MJ22</f>
        <v>0.21818085129677769</v>
      </c>
      <c r="MN22" s="134">
        <f>172135+50000</f>
        <v>222135</v>
      </c>
      <c r="MO22" s="134">
        <v>200000</v>
      </c>
      <c r="MP22" s="134">
        <v>400000</v>
      </c>
      <c r="MQ22" s="190">
        <f>ML22-SUM(MN22:MP22)</f>
        <v>-124661</v>
      </c>
      <c r="MR22" s="151">
        <f>MQ22/MJ22</f>
        <v>-3.8995924010798398E-2</v>
      </c>
      <c r="MS22" s="1472">
        <v>38</v>
      </c>
      <c r="MT22" s="118">
        <f>MJ22+LY22+LN22</f>
        <v>10237404</v>
      </c>
      <c r="MU22" s="118">
        <f>ML22+MA22+LP22</f>
        <v>2531621</v>
      </c>
      <c r="MV22" s="135">
        <f>MU22/MT22</f>
        <v>0.24729130549111863</v>
      </c>
      <c r="MW22" s="133">
        <f t="shared" si="253"/>
        <v>-5</v>
      </c>
      <c r="MX22" s="134">
        <f t="shared" si="253"/>
        <v>-2662548</v>
      </c>
      <c r="MY22" s="134">
        <f t="shared" si="253"/>
        <v>-920951</v>
      </c>
      <c r="MZ22" s="135">
        <f t="shared" si="254"/>
        <v>-0.11627906976744186</v>
      </c>
      <c r="NA22" s="135">
        <f t="shared" si="254"/>
        <v>-0.20639983776683821</v>
      </c>
      <c r="NB22" s="151">
        <f t="shared" si="254"/>
        <v>-0.26674345965848067</v>
      </c>
      <c r="NC22" s="134">
        <v>37</v>
      </c>
      <c r="ND22" s="134">
        <v>2344264</v>
      </c>
      <c r="NE22" s="134">
        <v>3379143</v>
      </c>
      <c r="NF22" s="134">
        <v>196261</v>
      </c>
      <c r="NG22" s="133">
        <f>NE22-(ND22+NF22)</f>
        <v>838618</v>
      </c>
      <c r="NH22" s="151">
        <f>NG22/NE22</f>
        <v>0.2481747591031217</v>
      </c>
      <c r="NI22" s="134">
        <v>360875</v>
      </c>
      <c r="NJ22" s="134">
        <v>25000</v>
      </c>
      <c r="NK22" s="134">
        <v>400000</v>
      </c>
      <c r="NL22" s="190">
        <f>NG22-SUM(NI22:NK22)</f>
        <v>52743</v>
      </c>
      <c r="NM22" s="135">
        <f>NL22/NE22</f>
        <v>1.5608395383089736E-2</v>
      </c>
      <c r="NN22" s="1563">
        <v>38</v>
      </c>
      <c r="NO22" s="134">
        <v>2356643</v>
      </c>
      <c r="NP22" s="134">
        <v>3197316</v>
      </c>
      <c r="NQ22" s="134">
        <v>96308</v>
      </c>
      <c r="NR22" s="133">
        <f>NP22-(NO22+NQ22)</f>
        <v>744365</v>
      </c>
      <c r="NS22" s="151">
        <f>NR22/NP22</f>
        <v>0.23280933132665022</v>
      </c>
      <c r="NT22" s="134">
        <v>289998</v>
      </c>
      <c r="NU22" s="134">
        <v>25000</v>
      </c>
      <c r="NV22" s="134">
        <v>400000</v>
      </c>
      <c r="NW22" s="190">
        <f>NR22-SUM(NT22:NV22)</f>
        <v>29367</v>
      </c>
      <c r="NX22" s="135">
        <f>NW22/NP22</f>
        <v>9.184891327601025E-3</v>
      </c>
      <c r="NY22" s="1563">
        <v>40</v>
      </c>
      <c r="NZ22" s="134">
        <v>2553370</v>
      </c>
      <c r="OA22" s="134">
        <v>3472865</v>
      </c>
      <c r="OB22" s="134">
        <v>0</v>
      </c>
      <c r="OC22" s="133">
        <f>OA22-(NZ22+OB22)</f>
        <v>919495</v>
      </c>
      <c r="OD22" s="151">
        <f>OC22/OA22</f>
        <v>0.26476554660201301</v>
      </c>
      <c r="OE22" s="134">
        <v>289998</v>
      </c>
      <c r="OF22" s="134">
        <v>25000</v>
      </c>
      <c r="OG22" s="134">
        <v>123122.60999999987</v>
      </c>
      <c r="OH22" s="190">
        <f>OC22-SUM(OE22:OG22)</f>
        <v>481374.39000000013</v>
      </c>
      <c r="OI22" s="5380">
        <f>OH22/OA22</f>
        <v>0.1386101648062911</v>
      </c>
      <c r="OJ22" s="69">
        <v>40</v>
      </c>
      <c r="OK22" s="155">
        <f>OA22+NP22+NE22+MJ22+LY22+LN22+KS22+KH22+JW22+JG22+IW22+IL22</f>
        <v>47433716</v>
      </c>
      <c r="OL22" s="155">
        <f>OC22+NR22+NG22+ML22+MA22+LP22+KU22+KJ22+JY22+JI22+IY22+IN22</f>
        <v>12519113</v>
      </c>
      <c r="OM22" s="74">
        <f>OL22/OK22</f>
        <v>0.26392857350665927</v>
      </c>
      <c r="ON22" s="155">
        <f>OH22+NW22+NL22+MQ22+MF22+LU22+KZ22+KO22+KD22+JN22+JD22+IS22</f>
        <v>1778363.6431250002</v>
      </c>
      <c r="OO22" s="70"/>
      <c r="OP22" s="69"/>
      <c r="OQ22" s="1563">
        <v>44</v>
      </c>
      <c r="OR22" s="134">
        <v>2727353.4474999998</v>
      </c>
      <c r="OS22" s="134">
        <v>3863793</v>
      </c>
      <c r="OT22" s="134"/>
      <c r="OU22" s="133">
        <f t="shared" si="255"/>
        <v>1136439.5525000002</v>
      </c>
      <c r="OV22" s="94">
        <f t="shared" si="256"/>
        <v>0.2941253717525758</v>
      </c>
      <c r="OW22" s="133">
        <f>271672</f>
        <v>271672</v>
      </c>
      <c r="OX22" s="134">
        <f>100000+49222</f>
        <v>149222</v>
      </c>
      <c r="OY22" s="134">
        <v>600000</v>
      </c>
      <c r="OZ22" s="190">
        <f t="shared" si="257"/>
        <v>115545.55250000022</v>
      </c>
      <c r="PA22" s="5361">
        <f t="shared" si="258"/>
        <v>2.9904695334351562E-2</v>
      </c>
      <c r="PB22" s="5321">
        <v>47</v>
      </c>
      <c r="PC22" s="358">
        <v>2865069.3675000002</v>
      </c>
      <c r="PD22" s="622">
        <v>3622049</v>
      </c>
      <c r="PE22" s="134"/>
      <c r="PF22" s="133">
        <f t="shared" si="259"/>
        <v>756979.63249999983</v>
      </c>
      <c r="PG22" s="94">
        <f t="shared" si="260"/>
        <v>0.20899210157013332</v>
      </c>
      <c r="PH22" s="133">
        <f>443055-52600</f>
        <v>390455</v>
      </c>
      <c r="PI22" s="134">
        <v>100000</v>
      </c>
      <c r="PJ22" s="134">
        <v>290000</v>
      </c>
      <c r="PK22" s="190">
        <f t="shared" si="261"/>
        <v>-23475.367500000168</v>
      </c>
      <c r="PL22" s="135">
        <f t="shared" si="262"/>
        <v>-6.4812396243121417E-3</v>
      </c>
      <c r="PM22" s="3863">
        <v>56</v>
      </c>
      <c r="PN22" s="358">
        <v>3370173.85</v>
      </c>
      <c r="PO22" s="622">
        <v>4065580</v>
      </c>
      <c r="PP22" s="134"/>
      <c r="PQ22" s="6293">
        <f t="shared" si="263"/>
        <v>695406.14999999991</v>
      </c>
      <c r="PR22" s="6295">
        <f t="shared" si="264"/>
        <v>0.17104721835506861</v>
      </c>
      <c r="PS22" s="134">
        <f>401168+73907</f>
        <v>475075</v>
      </c>
      <c r="PT22" s="134">
        <v>50000</v>
      </c>
      <c r="PU22" s="134">
        <v>150000</v>
      </c>
      <c r="PV22" s="190">
        <f t="shared" si="265"/>
        <v>20331.149999999907</v>
      </c>
      <c r="PW22" s="5380">
        <f t="shared" si="266"/>
        <v>5.0007993939363898E-3</v>
      </c>
      <c r="PX22" s="5321">
        <v>56</v>
      </c>
      <c r="PY22" s="191">
        <f t="shared" si="267"/>
        <v>11551422</v>
      </c>
      <c r="PZ22" s="191">
        <f t="shared" si="268"/>
        <v>2588825.335</v>
      </c>
      <c r="QA22" s="135">
        <f t="shared" si="269"/>
        <v>0.22411312953504772</v>
      </c>
      <c r="QB22" s="3863">
        <v>67</v>
      </c>
      <c r="QC22" s="358">
        <v>3791368.5449999999</v>
      </c>
      <c r="QD22" s="358">
        <v>6086206</v>
      </c>
      <c r="QE22" s="134">
        <v>205813</v>
      </c>
      <c r="QF22" s="6293">
        <f t="shared" si="270"/>
        <v>2089024.4550000001</v>
      </c>
      <c r="QG22" s="6295">
        <f t="shared" si="271"/>
        <v>0.34323919614288445</v>
      </c>
      <c r="QH22" s="134">
        <v>409264</v>
      </c>
      <c r="QI22" s="134">
        <v>902200</v>
      </c>
      <c r="QJ22" s="134">
        <v>250000</v>
      </c>
      <c r="QK22" s="190">
        <f t="shared" si="272"/>
        <v>527560.45500000007</v>
      </c>
      <c r="QL22" s="5380">
        <f t="shared" si="273"/>
        <v>8.6681333987052051E-2</v>
      </c>
      <c r="QM22" s="3863">
        <v>67</v>
      </c>
      <c r="QN22" s="358">
        <v>3956094.8574999999</v>
      </c>
      <c r="QO22" s="622">
        <v>5045981</v>
      </c>
      <c r="QP22" s="134">
        <v>0</v>
      </c>
      <c r="QQ22" s="133">
        <f>QO22-(QN22+QP22)</f>
        <v>1089886.1425000001</v>
      </c>
      <c r="QR22" s="151">
        <f t="shared" si="227"/>
        <v>0.21599093268484365</v>
      </c>
      <c r="QS22" s="133">
        <f>109264+151862</f>
        <v>261126</v>
      </c>
      <c r="QT22" s="134">
        <v>402200</v>
      </c>
      <c r="QU22" s="134">
        <v>250000</v>
      </c>
      <c r="QV22" s="190">
        <f>QQ22-SUM(QS22:QU22)</f>
        <v>176560.14250000007</v>
      </c>
      <c r="QW22" s="5380">
        <f>QV22/QO22</f>
        <v>3.4990251152352748E-2</v>
      </c>
      <c r="QX22" s="3863">
        <v>62</v>
      </c>
      <c r="QY22" s="622">
        <f>3418284+77625+305338+(6376732*0.75%)</f>
        <v>3849072.49</v>
      </c>
      <c r="QZ22" s="358">
        <v>6376732</v>
      </c>
      <c r="RA22" s="359"/>
      <c r="RB22" s="133">
        <f t="shared" si="274"/>
        <v>2527659.5099999998</v>
      </c>
      <c r="RC22" s="151">
        <f t="shared" si="228"/>
        <v>0.39638791625553649</v>
      </c>
      <c r="RD22" s="133">
        <f>109264+251862</f>
        <v>361126</v>
      </c>
      <c r="RE22" s="134">
        <v>400000</v>
      </c>
      <c r="RF22" s="134">
        <v>600000</v>
      </c>
      <c r="RG22" s="190">
        <f>RB22-SUM(RD22:RF22)</f>
        <v>1166533.5099999998</v>
      </c>
      <c r="RH22" s="5380">
        <f t="shared" si="229"/>
        <v>0.18293594744141667</v>
      </c>
      <c r="RI22" s="5376"/>
      <c r="RJ22" s="191">
        <f t="shared" si="275"/>
        <v>17508919</v>
      </c>
      <c r="RK22" s="191">
        <f>RB22+QQ22+QF22</f>
        <v>5706570.1074999999</v>
      </c>
      <c r="RL22" s="5380">
        <f t="shared" si="230"/>
        <v>0.32592361113213214</v>
      </c>
      <c r="RM22" s="1562">
        <f t="shared" si="276"/>
        <v>-56</v>
      </c>
      <c r="RN22" s="128">
        <f t="shared" si="277"/>
        <v>5957497</v>
      </c>
      <c r="RO22" s="139">
        <f t="shared" si="278"/>
        <v>3117744.7725</v>
      </c>
      <c r="RP22" s="442">
        <f t="shared" si="279"/>
        <v>-1</v>
      </c>
      <c r="RQ22" s="442">
        <f t="shared" si="280"/>
        <v>0.51573711011510093</v>
      </c>
      <c r="RR22" s="6339">
        <f t="shared" si="281"/>
        <v>1.2043086609008329</v>
      </c>
      <c r="RS22" s="698">
        <v>60</v>
      </c>
      <c r="RT22" s="395">
        <f>3308651+(4692645*0.75%)+347970+67304+4569</f>
        <v>3763688.8374999999</v>
      </c>
      <c r="RU22" s="208">
        <f>4692645</f>
        <v>4692645</v>
      </c>
      <c r="RV22" s="2563">
        <v>18707</v>
      </c>
      <c r="RW22" s="133">
        <f>RU22-(RT22+RV22)</f>
        <v>910249.16250000009</v>
      </c>
      <c r="RX22" s="151">
        <f t="shared" si="231"/>
        <v>0.19397358259574293</v>
      </c>
      <c r="RY22" s="133">
        <v>0</v>
      </c>
      <c r="RZ22" s="134">
        <v>400000</v>
      </c>
      <c r="SA22" s="134">
        <v>500000</v>
      </c>
      <c r="SB22" s="188">
        <f t="shared" si="282"/>
        <v>10249.162500000093</v>
      </c>
      <c r="SC22" s="5380">
        <f t="shared" si="232"/>
        <v>2.1840907420015991E-3</v>
      </c>
      <c r="SD22" s="110">
        <v>56</v>
      </c>
      <c r="SE22" s="208">
        <f>2826264+(3921299*0.75%)+65577+315455</f>
        <v>3236705.7425000002</v>
      </c>
      <c r="SF22" s="395">
        <v>3921299</v>
      </c>
      <c r="SG22" s="772">
        <f>50355+17397</f>
        <v>67752</v>
      </c>
      <c r="SH22" s="6375">
        <f t="shared" si="287"/>
        <v>616841.25749999983</v>
      </c>
      <c r="SI22" s="6376">
        <f t="shared" si="288"/>
        <v>0.15730533619088977</v>
      </c>
      <c r="SJ22" s="134">
        <v>0</v>
      </c>
      <c r="SK22" s="134">
        <v>400000</v>
      </c>
      <c r="SL22" s="134">
        <v>500000</v>
      </c>
      <c r="SM22" s="188">
        <f t="shared" si="289"/>
        <v>-283158.74250000017</v>
      </c>
      <c r="SN22" s="5389">
        <f t="shared" si="290"/>
        <v>-7.2210444166588714E-2</v>
      </c>
      <c r="SO22" s="134">
        <v>61</v>
      </c>
      <c r="SP22" s="134">
        <v>3668681.8174999999</v>
      </c>
      <c r="SQ22" s="6266">
        <v>5868109</v>
      </c>
      <c r="SR22" s="134">
        <v>0</v>
      </c>
      <c r="SS22" s="6361">
        <f t="shared" si="283"/>
        <v>2199427.1825000001</v>
      </c>
      <c r="ST22" s="6363">
        <f t="shared" si="233"/>
        <v>0.37481021271077275</v>
      </c>
      <c r="SU22" s="134">
        <v>381677</v>
      </c>
      <c r="SV22" s="134">
        <f>400000+46400</f>
        <v>446400</v>
      </c>
      <c r="SW22" s="134">
        <v>600000</v>
      </c>
      <c r="SX22" s="190">
        <f>SS22-SUM(SU22:SW22)</f>
        <v>771350.18250000011</v>
      </c>
      <c r="SY22" s="5380">
        <f t="shared" si="234"/>
        <v>0.13144782799706006</v>
      </c>
      <c r="SZ22" s="6270"/>
      <c r="TA22" s="118">
        <f>SQ22+SF22+RU22</f>
        <v>14482053</v>
      </c>
      <c r="TB22" s="118">
        <f>SS22+SH22+RW22</f>
        <v>3726517.6025</v>
      </c>
      <c r="TC22" s="5380">
        <f t="shared" si="235"/>
        <v>0.25731970477528288</v>
      </c>
      <c r="TD22" s="209">
        <v>63</v>
      </c>
      <c r="TE22" s="208">
        <f>3462787+61490+(4939405*0.75%)</f>
        <v>3561322.5375000001</v>
      </c>
      <c r="TF22" s="395">
        <v>4939405</v>
      </c>
      <c r="TG22" s="134"/>
      <c r="TH22" s="133">
        <f>TF22-(TE22+TG22)</f>
        <v>1378082.4624999999</v>
      </c>
      <c r="TI22" s="151">
        <f t="shared" si="236"/>
        <v>0.27899766520461472</v>
      </c>
      <c r="TJ22" s="134">
        <v>381677</v>
      </c>
      <c r="TK22" s="134">
        <f>400000+46400</f>
        <v>446400</v>
      </c>
      <c r="TL22" s="134">
        <v>300000</v>
      </c>
      <c r="TM22" s="190">
        <f>TH22-SUM(TJ22:TL22)</f>
        <v>250005.46249999991</v>
      </c>
      <c r="TN22" s="5380">
        <f t="shared" si="237"/>
        <v>5.0614489498229019E-2</v>
      </c>
      <c r="TO22" s="134"/>
      <c r="TP22" s="134"/>
      <c r="TQ22" s="134"/>
      <c r="TR22" s="134"/>
      <c r="TS22" s="133">
        <f>TQ22-(TP22+TR22)</f>
        <v>0</v>
      </c>
      <c r="TT22" s="151" t="e">
        <f t="shared" si="238"/>
        <v>#DIV/0!</v>
      </c>
      <c r="TU22" s="134"/>
      <c r="TV22" s="134"/>
      <c r="TW22" s="134"/>
      <c r="TX22" s="190">
        <f>TS22-SUM(TU22:TW22)</f>
        <v>0</v>
      </c>
      <c r="TY22" s="135" t="e">
        <f t="shared" si="239"/>
        <v>#DIV/0!</v>
      </c>
      <c r="TZ22" s="1563"/>
      <c r="UA22" s="134"/>
      <c r="UB22" s="134"/>
      <c r="UC22" s="134"/>
      <c r="UD22" s="133">
        <f>UB22-(UA22+UC22)</f>
        <v>0</v>
      </c>
      <c r="UE22" s="151" t="e">
        <f t="shared" si="240"/>
        <v>#DIV/0!</v>
      </c>
      <c r="UF22" s="134"/>
      <c r="UG22" s="134"/>
      <c r="UH22" s="134"/>
      <c r="UI22" s="190">
        <f>UD22-SUM(UF22:UH22)</f>
        <v>0</v>
      </c>
      <c r="UJ22" s="5380" t="e">
        <f t="shared" si="241"/>
        <v>#DIV/0!</v>
      </c>
      <c r="UK22" s="5376"/>
      <c r="UL22" s="191">
        <f t="shared" si="284"/>
        <v>48481799</v>
      </c>
      <c r="UM22" s="191">
        <f t="shared" si="285"/>
        <v>13399995.507500002</v>
      </c>
      <c r="UN22" s="135">
        <f>UM22/UL22</f>
        <v>0.27639229120808828</v>
      </c>
      <c r="UO22" s="191">
        <f t="shared" si="286"/>
        <v>2731501.5074999998</v>
      </c>
      <c r="UP22" s="5380">
        <f t="shared" si="291"/>
        <v>5.6340762179637759E-2</v>
      </c>
    </row>
    <row r="23" spans="1:567" x14ac:dyDescent="0.3">
      <c r="A23" s="5316">
        <v>4</v>
      </c>
      <c r="B23" s="5360" t="s">
        <v>917</v>
      </c>
      <c r="C23" s="578" t="s">
        <v>141</v>
      </c>
      <c r="D23" s="578" t="s">
        <v>140</v>
      </c>
      <c r="E23" s="6278" t="s">
        <v>254</v>
      </c>
      <c r="F23" s="626"/>
      <c r="G23" s="160"/>
      <c r="H23" s="160"/>
      <c r="I23" s="160"/>
      <c r="J23" s="351"/>
      <c r="K23" s="627"/>
      <c r="L23" s="160"/>
      <c r="M23" s="160"/>
      <c r="N23" s="160"/>
      <c r="O23" s="71"/>
      <c r="P23" s="627"/>
      <c r="Q23" s="160"/>
      <c r="R23" s="160"/>
      <c r="S23" s="160"/>
      <c r="T23" s="7"/>
      <c r="U23" s="628"/>
      <c r="V23" s="71"/>
      <c r="W23" s="71"/>
      <c r="X23" s="71"/>
      <c r="Y23" s="71"/>
      <c r="Z23" s="629"/>
      <c r="AA23" s="71"/>
      <c r="AB23" s="71"/>
      <c r="AC23" s="71"/>
      <c r="AD23" s="71"/>
      <c r="AE23" s="582"/>
      <c r="AF23" s="71"/>
      <c r="AG23" s="630"/>
      <c r="AH23" s="631"/>
      <c r="AI23" s="631"/>
      <c r="AJ23" s="631"/>
      <c r="AK23" s="105"/>
      <c r="AL23" s="632"/>
      <c r="AM23" s="129"/>
      <c r="AN23" s="130"/>
      <c r="AO23" s="130"/>
      <c r="AP23" s="130"/>
      <c r="AQ23" s="130"/>
      <c r="AR23" s="114"/>
      <c r="AS23" s="113"/>
      <c r="AT23" s="213"/>
      <c r="AU23" s="130"/>
      <c r="AV23" s="130"/>
      <c r="AW23" s="116"/>
      <c r="AX23" s="617"/>
      <c r="AY23" s="587"/>
      <c r="AZ23" s="587"/>
      <c r="BA23" s="587"/>
      <c r="BB23" s="588"/>
      <c r="BC23" s="3544"/>
      <c r="BD23" s="690"/>
      <c r="BE23" s="690"/>
      <c r="BF23" s="582"/>
      <c r="BG23" s="582"/>
      <c r="BH23" s="618"/>
      <c r="BI23" s="636"/>
      <c r="BJ23" s="619"/>
      <c r="BK23" s="619"/>
      <c r="BL23" s="619"/>
      <c r="BM23" s="582"/>
      <c r="BN23" s="618"/>
      <c r="BO23" s="620"/>
      <c r="BP23" s="619"/>
      <c r="BQ23" s="619"/>
      <c r="BR23" s="582"/>
      <c r="BS23" s="582"/>
      <c r="BT23" s="591"/>
      <c r="BU23" s="620"/>
      <c r="BV23" s="592"/>
      <c r="BW23" s="592"/>
      <c r="BX23" s="593"/>
      <c r="BY23" s="633"/>
      <c r="BZ23" s="634"/>
      <c r="CA23" s="634"/>
      <c r="CB23" s="634"/>
      <c r="CC23" s="596"/>
      <c r="CD23" s="635"/>
      <c r="CE23" s="636"/>
      <c r="CF23" s="637"/>
      <c r="CG23" s="637"/>
      <c r="CH23" s="637"/>
      <c r="CI23" s="637"/>
      <c r="CJ23" s="635"/>
      <c r="CK23" s="630"/>
      <c r="CL23" s="631"/>
      <c r="CM23" s="631"/>
      <c r="CN23" s="631"/>
      <c r="CO23" s="96"/>
      <c r="CP23" s="632"/>
      <c r="CQ23" s="109"/>
      <c r="CR23" s="109"/>
      <c r="CS23" s="109"/>
      <c r="CT23" s="109"/>
      <c r="CU23" s="109"/>
      <c r="CV23" s="74"/>
      <c r="CW23" s="638"/>
      <c r="CX23" s="639"/>
      <c r="CY23" s="639"/>
      <c r="CZ23" s="639"/>
      <c r="DA23" s="605"/>
      <c r="DB23" s="632"/>
      <c r="DC23" s="640"/>
      <c r="DD23" s="646"/>
      <c r="DE23" s="639"/>
      <c r="DF23" s="639"/>
      <c r="DG23" s="639"/>
      <c r="DH23" s="641"/>
      <c r="DI23" s="642"/>
      <c r="DJ23" s="141"/>
      <c r="DK23" s="141"/>
      <c r="DL23" s="74"/>
      <c r="DM23" s="141"/>
      <c r="DN23" s="74"/>
      <c r="DO23" s="643"/>
      <c r="DP23" s="644"/>
      <c r="DQ23" s="644"/>
      <c r="DR23" s="644"/>
      <c r="DS23" s="74"/>
      <c r="DT23" s="74"/>
      <c r="DU23" s="74"/>
      <c r="DV23" s="73"/>
      <c r="DW23" s="643"/>
      <c r="DX23" s="645"/>
      <c r="DY23" s="645"/>
      <c r="DZ23" s="645"/>
      <c r="EA23" s="74"/>
      <c r="EB23" s="74"/>
      <c r="EC23" s="74"/>
      <c r="ED23" s="73"/>
      <c r="EE23" s="638"/>
      <c r="EF23" s="639"/>
      <c r="EG23" s="639"/>
      <c r="EH23" s="639"/>
      <c r="EI23" s="605"/>
      <c r="EJ23" s="632"/>
      <c r="EK23" s="640"/>
      <c r="EL23" s="646"/>
      <c r="EM23" s="130"/>
      <c r="EN23" s="639"/>
      <c r="EO23" s="639"/>
      <c r="EP23" s="632"/>
      <c r="EQ23" s="638"/>
      <c r="ER23" s="634"/>
      <c r="ES23" s="634"/>
      <c r="ET23" s="639"/>
      <c r="EU23" s="134"/>
      <c r="EV23" s="632"/>
      <c r="EW23" s="640"/>
      <c r="EX23" s="646"/>
      <c r="EY23" s="130"/>
      <c r="EZ23" s="639"/>
      <c r="FA23" s="639"/>
      <c r="FB23" s="632"/>
      <c r="FC23" s="609"/>
      <c r="FD23" s="610"/>
      <c r="FE23" s="610"/>
      <c r="FF23" s="610"/>
      <c r="FG23" s="611"/>
      <c r="FH23" s="611"/>
      <c r="FI23" s="611"/>
      <c r="FJ23" s="612"/>
      <c r="FK23" s="165"/>
      <c r="FL23" s="109"/>
      <c r="FM23" s="109"/>
      <c r="FN23" s="109"/>
      <c r="FO23" s="134"/>
      <c r="FP23" s="74"/>
      <c r="FQ23" s="165"/>
      <c r="FR23" s="109"/>
      <c r="FS23" s="109"/>
      <c r="FT23" s="155"/>
      <c r="FU23" s="150"/>
      <c r="FV23" s="187"/>
      <c r="FW23" s="155"/>
      <c r="FX23" s="155"/>
      <c r="FY23" s="155"/>
      <c r="FZ23" s="155"/>
      <c r="GA23" s="74"/>
      <c r="GB23" s="74"/>
      <c r="GC23" s="74"/>
      <c r="GD23" s="73"/>
      <c r="GE23" s="187"/>
      <c r="GF23" s="155"/>
      <c r="GG23" s="155"/>
      <c r="GH23" s="74"/>
      <c r="GI23" s="613"/>
      <c r="GJ23" s="187"/>
      <c r="GK23" s="155"/>
      <c r="GL23" s="155"/>
      <c r="GM23" s="613"/>
      <c r="GN23" s="165"/>
      <c r="GO23" s="109"/>
      <c r="GP23" s="109"/>
      <c r="GQ23" s="109"/>
      <c r="GR23" s="134"/>
      <c r="GS23" s="74"/>
      <c r="GT23" s="165"/>
      <c r="GU23" s="109"/>
      <c r="GV23" s="109"/>
      <c r="GW23" s="109"/>
      <c r="GX23" s="187"/>
      <c r="GY23" s="150"/>
      <c r="GZ23" s="647"/>
      <c r="HA23" s="128"/>
      <c r="HB23" s="128"/>
      <c r="HC23" s="128"/>
      <c r="HD23" s="134"/>
      <c r="HE23" s="150"/>
      <c r="HF23" s="139"/>
      <c r="HG23" s="128"/>
      <c r="HH23" s="128"/>
      <c r="HI23" s="128"/>
      <c r="HJ23" s="155"/>
      <c r="HK23" s="73"/>
      <c r="HL23" s="1365"/>
      <c r="HM23" s="109"/>
      <c r="HN23" s="109"/>
      <c r="HO23" s="109"/>
      <c r="HP23" s="615"/>
      <c r="HQ23" s="73"/>
      <c r="HR23" s="109"/>
      <c r="HS23" s="109"/>
      <c r="HT23" s="109"/>
      <c r="HU23" s="109"/>
      <c r="HV23" s="155"/>
      <c r="HW23" s="73"/>
      <c r="HX23" s="414"/>
      <c r="HY23" s="241"/>
      <c r="HZ23" s="415"/>
      <c r="IA23" s="241"/>
      <c r="IB23" s="415"/>
      <c r="IC23" s="141"/>
      <c r="ID23" s="642"/>
      <c r="IE23" s="141"/>
      <c r="IF23" s="141"/>
      <c r="IG23" s="74"/>
      <c r="IH23" s="1507"/>
      <c r="II23" s="69"/>
      <c r="IJ23" s="226"/>
      <c r="IK23" s="134"/>
      <c r="IL23" s="118"/>
      <c r="IM23" s="118"/>
      <c r="IN23" s="133"/>
      <c r="IO23" s="150"/>
      <c r="IP23" s="118"/>
      <c r="IQ23" s="118"/>
      <c r="IR23" s="118"/>
      <c r="IS23" s="188"/>
      <c r="IT23" s="150"/>
      <c r="IU23" s="621"/>
      <c r="IV23" s="358"/>
      <c r="IW23" s="622"/>
      <c r="IX23" s="134"/>
      <c r="IY23" s="133"/>
      <c r="IZ23" s="150"/>
      <c r="JA23" s="133"/>
      <c r="JB23" s="134"/>
      <c r="JC23" s="134"/>
      <c r="JD23" s="190"/>
      <c r="JE23" s="150"/>
      <c r="JF23" s="621"/>
      <c r="JG23" s="358"/>
      <c r="JH23" s="622"/>
      <c r="JI23" s="134"/>
      <c r="JJ23" s="133"/>
      <c r="JK23" s="150"/>
      <c r="JL23" s="133"/>
      <c r="JM23" s="134"/>
      <c r="JN23" s="134"/>
      <c r="JO23" s="190"/>
      <c r="JP23" s="150"/>
      <c r="JQ23" s="621"/>
      <c r="JR23" s="191">
        <f t="shared" si="249"/>
        <v>0</v>
      </c>
      <c r="JS23" s="191">
        <f t="shared" si="250"/>
        <v>0</v>
      </c>
      <c r="JT23" s="151"/>
      <c r="JU23" s="621"/>
      <c r="JV23" s="358"/>
      <c r="JW23" s="622"/>
      <c r="JX23" s="134"/>
      <c r="JY23" s="133"/>
      <c r="JZ23" s="150"/>
      <c r="KA23" s="133"/>
      <c r="KB23" s="134"/>
      <c r="KC23" s="134"/>
      <c r="KD23" s="190"/>
      <c r="KE23" s="150"/>
      <c r="KF23" s="621"/>
      <c r="KG23" s="358"/>
      <c r="KH23" s="622"/>
      <c r="KI23" s="134"/>
      <c r="KJ23" s="133"/>
      <c r="KK23" s="150"/>
      <c r="KL23" s="133"/>
      <c r="KM23" s="134"/>
      <c r="KN23" s="134"/>
      <c r="KO23" s="190"/>
      <c r="KP23" s="150"/>
      <c r="KQ23" s="621"/>
      <c r="KR23" s="649"/>
      <c r="KS23" s="622"/>
      <c r="KT23" s="134"/>
      <c r="KU23" s="133"/>
      <c r="KV23" s="150"/>
      <c r="KW23" s="133"/>
      <c r="KX23" s="134"/>
      <c r="KY23" s="134"/>
      <c r="KZ23" s="190"/>
      <c r="LA23" s="150"/>
      <c r="LB23" s="402"/>
      <c r="LC23" s="191"/>
      <c r="LD23" s="191"/>
      <c r="LE23" s="151"/>
      <c r="LF23" s="226"/>
      <c r="LG23" s="128"/>
      <c r="LH23" s="139"/>
      <c r="LI23" s="442"/>
      <c r="LJ23" s="442"/>
      <c r="LK23" s="106"/>
      <c r="LL23" s="621"/>
      <c r="LM23" s="649"/>
      <c r="LN23" s="622"/>
      <c r="LO23" s="134"/>
      <c r="LP23" s="133"/>
      <c r="LQ23" s="150"/>
      <c r="LR23" s="133"/>
      <c r="LS23" s="134"/>
      <c r="LT23" s="134"/>
      <c r="LU23" s="190"/>
      <c r="LV23" s="150"/>
      <c r="LW23" s="118"/>
      <c r="LX23" s="118"/>
      <c r="LY23" s="118"/>
      <c r="LZ23" s="118"/>
      <c r="MA23" s="133"/>
      <c r="MB23" s="151"/>
      <c r="MC23" s="118"/>
      <c r="MD23" s="118"/>
      <c r="ME23" s="118"/>
      <c r="MF23" s="190"/>
      <c r="MG23" s="151"/>
      <c r="MH23" s="118"/>
      <c r="MI23" s="118"/>
      <c r="MJ23" s="118"/>
      <c r="MK23" s="118"/>
      <c r="ML23" s="133"/>
      <c r="MM23" s="151"/>
      <c r="MN23" s="118"/>
      <c r="MO23" s="118"/>
      <c r="MP23" s="118"/>
      <c r="MQ23" s="190"/>
      <c r="MR23" s="151"/>
      <c r="MS23" s="1472"/>
      <c r="MT23" s="118"/>
      <c r="MU23" s="118"/>
      <c r="MV23" s="135"/>
      <c r="MW23" s="133"/>
      <c r="MX23" s="134"/>
      <c r="MY23" s="134"/>
      <c r="MZ23" s="135"/>
      <c r="NA23" s="135"/>
      <c r="NB23" s="151"/>
      <c r="NC23" s="118"/>
      <c r="ND23" s="118"/>
      <c r="NE23" s="118"/>
      <c r="NF23" s="118"/>
      <c r="NG23" s="133"/>
      <c r="NH23" s="151"/>
      <c r="NI23" s="118"/>
      <c r="NJ23" s="118"/>
      <c r="NK23" s="118"/>
      <c r="NL23" s="190"/>
      <c r="NM23" s="135"/>
      <c r="NN23" s="1562"/>
      <c r="NO23" s="118"/>
      <c r="NP23" s="118"/>
      <c r="NQ23" s="118"/>
      <c r="NR23" s="133"/>
      <c r="NS23" s="151"/>
      <c r="NT23" s="118"/>
      <c r="NU23" s="118"/>
      <c r="NV23" s="118"/>
      <c r="NW23" s="190"/>
      <c r="NX23" s="135"/>
      <c r="NY23" s="1562"/>
      <c r="NZ23" s="118"/>
      <c r="OA23" s="118"/>
      <c r="OB23" s="118"/>
      <c r="OC23" s="133"/>
      <c r="OD23" s="151"/>
      <c r="OE23" s="118"/>
      <c r="OF23" s="118"/>
      <c r="OG23" s="118"/>
      <c r="OH23" s="190"/>
      <c r="OI23" s="5380"/>
      <c r="OJ23" s="69"/>
      <c r="OK23" s="155"/>
      <c r="OL23" s="155"/>
      <c r="OM23" s="74"/>
      <c r="ON23" s="155"/>
      <c r="OO23" s="70"/>
      <c r="OP23" s="69"/>
      <c r="OQ23" s="1562">
        <v>4</v>
      </c>
      <c r="OR23" s="134">
        <v>214147.1</v>
      </c>
      <c r="OS23" s="118">
        <v>256680</v>
      </c>
      <c r="OT23" s="118"/>
      <c r="OU23" s="133">
        <f t="shared" si="255"/>
        <v>42532.899999999994</v>
      </c>
      <c r="OV23" s="94">
        <f t="shared" si="256"/>
        <v>0.16570398940314787</v>
      </c>
      <c r="OW23" s="118">
        <v>0</v>
      </c>
      <c r="OX23" s="134">
        <v>25000</v>
      </c>
      <c r="OY23" s="118"/>
      <c r="OZ23" s="188">
        <f t="shared" si="257"/>
        <v>17532.899999999994</v>
      </c>
      <c r="PA23" s="5370">
        <f t="shared" si="258"/>
        <v>6.8306451612903205E-2</v>
      </c>
      <c r="PB23" s="5321">
        <v>5</v>
      </c>
      <c r="PC23" s="358">
        <v>302747.09999999998</v>
      </c>
      <c r="PD23" s="622">
        <v>368680</v>
      </c>
      <c r="PE23" s="134"/>
      <c r="PF23" s="133">
        <f t="shared" si="259"/>
        <v>65932.900000000023</v>
      </c>
      <c r="PG23" s="94">
        <f t="shared" si="260"/>
        <v>0.17883503309102752</v>
      </c>
      <c r="PH23" s="133">
        <v>52600</v>
      </c>
      <c r="PI23" s="134">
        <v>0</v>
      </c>
      <c r="PJ23" s="134">
        <v>61747</v>
      </c>
      <c r="PK23" s="190">
        <f t="shared" si="261"/>
        <v>-48414.099999999977</v>
      </c>
      <c r="PL23" s="135">
        <f t="shared" si="262"/>
        <v>-0.13131740262558309</v>
      </c>
      <c r="PM23" s="3863">
        <v>6</v>
      </c>
      <c r="PN23" s="358">
        <v>408175.0675</v>
      </c>
      <c r="PO23" s="622">
        <v>507609</v>
      </c>
      <c r="PP23" s="134"/>
      <c r="PQ23" s="6293">
        <f t="shared" si="263"/>
        <v>99433.932499999995</v>
      </c>
      <c r="PR23" s="6295">
        <f t="shared" si="264"/>
        <v>0.19588685878303969</v>
      </c>
      <c r="PS23" s="134">
        <f>72500+81250</f>
        <v>153750</v>
      </c>
      <c r="PT23" s="134">
        <v>0</v>
      </c>
      <c r="PU23" s="134">
        <v>100000</v>
      </c>
      <c r="PV23" s="190">
        <f t="shared" si="265"/>
        <v>-154316.0675</v>
      </c>
      <c r="PW23" s="5380">
        <f t="shared" si="266"/>
        <v>-0.30400577511431043</v>
      </c>
      <c r="PX23" s="5321">
        <v>6</v>
      </c>
      <c r="PY23" s="191">
        <f t="shared" si="267"/>
        <v>1132969</v>
      </c>
      <c r="PZ23" s="191">
        <f t="shared" si="268"/>
        <v>207899.73250000001</v>
      </c>
      <c r="QA23" s="135">
        <f t="shared" si="269"/>
        <v>0.18349993027170206</v>
      </c>
      <c r="QB23" s="3863">
        <v>6</v>
      </c>
      <c r="QC23" s="358">
        <v>431053.9425</v>
      </c>
      <c r="QD23" s="358">
        <v>775059</v>
      </c>
      <c r="QE23" s="134"/>
      <c r="QF23" s="6293">
        <f t="shared" si="270"/>
        <v>344005.0575</v>
      </c>
      <c r="QG23" s="6295">
        <f t="shared" si="271"/>
        <v>0.44384370415671581</v>
      </c>
      <c r="QH23" s="134">
        <f>72500+81250</f>
        <v>153750</v>
      </c>
      <c r="QI23" s="134">
        <v>60000</v>
      </c>
      <c r="QJ23" s="134">
        <v>100000</v>
      </c>
      <c r="QK23" s="190">
        <f t="shared" si="272"/>
        <v>30255.057499999995</v>
      </c>
      <c r="QL23" s="5380">
        <f t="shared" si="273"/>
        <v>3.9035812112368215E-2</v>
      </c>
      <c r="QM23" s="3863">
        <v>6</v>
      </c>
      <c r="QN23" s="358">
        <v>426544.94</v>
      </c>
      <c r="QO23" s="622">
        <v>499592</v>
      </c>
      <c r="QP23" s="134">
        <v>0</v>
      </c>
      <c r="QQ23" s="133">
        <f t="shared" ref="QQ23:QQ32" si="292">QO23-(QN23+QP23)</f>
        <v>73047.06</v>
      </c>
      <c r="QR23" s="151">
        <f t="shared" ref="QR23:QR32" si="293">QQ23/QO23</f>
        <v>0.14621343015900976</v>
      </c>
      <c r="QS23" s="133">
        <f>72500+81250</f>
        <v>153750</v>
      </c>
      <c r="QT23" s="134">
        <v>0</v>
      </c>
      <c r="QU23" s="134">
        <v>0</v>
      </c>
      <c r="QV23" s="190">
        <f t="shared" ref="QV23:QV28" si="294">QQ23-SUM(QS23:QU23)</f>
        <v>-80702.94</v>
      </c>
      <c r="QW23" s="5380">
        <f t="shared" ref="QW23:QW28" si="295">QV23/QO23</f>
        <v>-0.16153769475892329</v>
      </c>
      <c r="QX23" s="3863">
        <v>7</v>
      </c>
      <c r="QY23" s="622">
        <f>474330+25298+(836226*0.75%)</f>
        <v>505899.69500000001</v>
      </c>
      <c r="QZ23" s="358">
        <v>836226</v>
      </c>
      <c r="RA23" s="359"/>
      <c r="RB23" s="133">
        <f t="shared" si="274"/>
        <v>330326.30499999999</v>
      </c>
      <c r="RC23" s="151">
        <f t="shared" si="228"/>
        <v>0.39502037128718792</v>
      </c>
      <c r="RD23" s="133">
        <f>72500+81250</f>
        <v>153750</v>
      </c>
      <c r="RE23" s="134">
        <v>50000</v>
      </c>
      <c r="RF23" s="134">
        <v>50000</v>
      </c>
      <c r="RG23" s="190">
        <f t="shared" ref="RG23:RG37" si="296">RB23-SUM(RD23:RF23)</f>
        <v>76576.304999999993</v>
      </c>
      <c r="RH23" s="5380">
        <f t="shared" ref="RH23:RH32" si="297">RG23/QZ23</f>
        <v>9.1573695388567203E-2</v>
      </c>
      <c r="RI23" s="5376"/>
      <c r="RJ23" s="191">
        <f t="shared" si="275"/>
        <v>2110877</v>
      </c>
      <c r="RK23" s="191">
        <f t="shared" ref="RK23:RK28" si="298">RB23+QQ23+QF23</f>
        <v>747378.42249999999</v>
      </c>
      <c r="RL23" s="5380">
        <f t="shared" si="230"/>
        <v>0.35406062148576162</v>
      </c>
      <c r="RM23" s="1562">
        <f t="shared" si="276"/>
        <v>-6</v>
      </c>
      <c r="RN23" s="128">
        <f t="shared" si="277"/>
        <v>977908</v>
      </c>
      <c r="RO23" s="139">
        <f t="shared" si="278"/>
        <v>539478.68999999994</v>
      </c>
      <c r="RP23" s="442">
        <f t="shared" si="279"/>
        <v>-1</v>
      </c>
      <c r="RQ23" s="442">
        <f t="shared" si="280"/>
        <v>0.86313747331127333</v>
      </c>
      <c r="RR23" s="6339">
        <f t="shared" si="281"/>
        <v>2.5948984325893729</v>
      </c>
      <c r="RS23" s="698">
        <v>8</v>
      </c>
      <c r="RT23" s="208">
        <f>758968+(944584*0.75%)</f>
        <v>766052.38</v>
      </c>
      <c r="RU23" s="208">
        <v>944584</v>
      </c>
      <c r="RV23" s="2563">
        <v>0</v>
      </c>
      <c r="RW23" s="133">
        <f t="shared" ref="RW23:RW28" si="299">RU23-(RT23+RV23)</f>
        <v>178531.62</v>
      </c>
      <c r="RX23" s="151">
        <f t="shared" ref="RX23:RX28" si="300">RW23/RU23</f>
        <v>0.18900555165025026</v>
      </c>
      <c r="RY23" s="133">
        <v>80000</v>
      </c>
      <c r="RZ23" s="134">
        <v>72146</v>
      </c>
      <c r="SA23" s="134">
        <v>0</v>
      </c>
      <c r="SB23" s="188">
        <f t="shared" si="282"/>
        <v>26385.619999999995</v>
      </c>
      <c r="SC23" s="5380">
        <f t="shared" si="232"/>
        <v>2.7933587695747542E-2</v>
      </c>
      <c r="SD23" s="110">
        <v>8</v>
      </c>
      <c r="SE23" s="208">
        <f>758968+(900648*3%)</f>
        <v>785987.44</v>
      </c>
      <c r="SF23" s="395">
        <v>900648</v>
      </c>
      <c r="SG23" s="772"/>
      <c r="SH23" s="6375">
        <f t="shared" si="287"/>
        <v>114660.56000000006</v>
      </c>
      <c r="SI23" s="6376">
        <f t="shared" si="288"/>
        <v>0.12730895977118703</v>
      </c>
      <c r="SJ23" s="134">
        <v>0</v>
      </c>
      <c r="SK23" s="134">
        <v>39495</v>
      </c>
      <c r="SL23" s="134">
        <v>13733</v>
      </c>
      <c r="SM23" s="188">
        <f t="shared" si="289"/>
        <v>61432.560000000056</v>
      </c>
      <c r="SN23" s="5389">
        <f t="shared" si="290"/>
        <v>6.8209289311695648E-2</v>
      </c>
      <c r="SO23" s="118">
        <v>9</v>
      </c>
      <c r="SP23" s="118">
        <v>921695.62</v>
      </c>
      <c r="SQ23" s="118">
        <v>1283816</v>
      </c>
      <c r="SR23" s="118">
        <v>880</v>
      </c>
      <c r="SS23" s="6361">
        <f t="shared" si="283"/>
        <v>361240.38</v>
      </c>
      <c r="ST23" s="6363">
        <f t="shared" ref="ST23:ST35" si="301">SS23/SQ23</f>
        <v>0.281380182206796</v>
      </c>
      <c r="SU23" s="134">
        <v>50000</v>
      </c>
      <c r="SV23" s="118">
        <v>39495</v>
      </c>
      <c r="SW23" s="134">
        <v>13733</v>
      </c>
      <c r="SX23" s="190">
        <f t="shared" ref="SX23:SX33" si="302">SS23-SUM(SU23:SW23)</f>
        <v>258012.38</v>
      </c>
      <c r="SY23" s="5380">
        <f t="shared" ref="SY23:SY33" si="303">SX23/SQ23</f>
        <v>0.20097302105597686</v>
      </c>
      <c r="SZ23" s="6270"/>
      <c r="TA23" s="118"/>
      <c r="TB23" s="118"/>
      <c r="TC23" s="5380"/>
      <c r="TD23" s="209">
        <v>10</v>
      </c>
      <c r="TE23" s="208">
        <f>961713+(1047804*0.75%)</f>
        <v>969571.53</v>
      </c>
      <c r="TF23" s="395">
        <v>1047804</v>
      </c>
      <c r="TG23" s="118"/>
      <c r="TH23" s="133">
        <f t="shared" ref="TH23:TH26" si="304">TF23-(TE23+TG23)</f>
        <v>78232.469999999972</v>
      </c>
      <c r="TI23" s="151">
        <f t="shared" ref="TI23:TI26" si="305">TH23/TF23</f>
        <v>7.4663267175922185E-2</v>
      </c>
      <c r="TJ23" s="134">
        <v>50000</v>
      </c>
      <c r="TK23" s="118">
        <v>0</v>
      </c>
      <c r="TL23" s="134">
        <v>0</v>
      </c>
      <c r="TM23" s="190">
        <f t="shared" ref="TM23:TM29" si="306">TH23-SUM(TJ23:TL23)</f>
        <v>28232.469999999972</v>
      </c>
      <c r="TN23" s="5380">
        <f t="shared" ref="TN23:TN29" si="307">TM23/TF23</f>
        <v>2.6944418994392053E-2</v>
      </c>
      <c r="TO23" s="118"/>
      <c r="TP23" s="118"/>
      <c r="TQ23" s="118"/>
      <c r="TR23" s="118"/>
      <c r="TS23" s="133"/>
      <c r="TT23" s="151"/>
      <c r="TU23" s="118"/>
      <c r="TV23" s="118"/>
      <c r="TW23" s="118"/>
      <c r="TX23" s="190"/>
      <c r="TY23" s="135"/>
      <c r="TZ23" s="1562"/>
      <c r="UA23" s="118"/>
      <c r="UB23" s="118"/>
      <c r="UC23" s="118"/>
      <c r="UD23" s="133"/>
      <c r="UE23" s="151"/>
      <c r="UF23" s="118"/>
      <c r="UG23" s="118"/>
      <c r="UH23" s="118"/>
      <c r="UI23" s="190"/>
      <c r="UJ23" s="5380"/>
      <c r="UK23" s="5376"/>
      <c r="UL23" s="191">
        <f t="shared" si="284"/>
        <v>7420698</v>
      </c>
      <c r="UM23" s="191">
        <f t="shared" si="285"/>
        <v>1687943.1849999998</v>
      </c>
      <c r="UN23" s="135">
        <f>UM23/UL23</f>
        <v>0.22746420687110563</v>
      </c>
      <c r="UO23" s="191">
        <f t="shared" si="286"/>
        <v>214994.18500000003</v>
      </c>
      <c r="UP23" s="5380">
        <f t="shared" si="291"/>
        <v>2.8972232126950864E-2</v>
      </c>
    </row>
    <row r="24" spans="1:567" x14ac:dyDescent="0.3">
      <c r="A24" s="5315">
        <v>5</v>
      </c>
      <c r="B24" s="5371" t="s">
        <v>647</v>
      </c>
      <c r="C24" s="625" t="s">
        <v>141</v>
      </c>
      <c r="D24" s="578" t="s">
        <v>140</v>
      </c>
      <c r="E24" s="6278" t="s">
        <v>254</v>
      </c>
      <c r="F24" s="626">
        <v>149.33333333333334</v>
      </c>
      <c r="G24" s="160">
        <v>22263587</v>
      </c>
      <c r="H24" s="160">
        <v>33335850</v>
      </c>
      <c r="I24" s="160">
        <v>9591802</v>
      </c>
      <c r="J24" s="351">
        <f t="shared" ref="J24:J29" si="308">I24/H24</f>
        <v>0.28773233620861627</v>
      </c>
      <c r="K24" s="627">
        <v>169</v>
      </c>
      <c r="L24" s="160">
        <v>26295404</v>
      </c>
      <c r="M24" s="160">
        <v>39344553</v>
      </c>
      <c r="N24" s="160">
        <v>12453808</v>
      </c>
      <c r="O24" s="71"/>
      <c r="P24" s="627">
        <v>179</v>
      </c>
      <c r="Q24" s="160">
        <v>29983309</v>
      </c>
      <c r="R24" s="160">
        <v>43137399</v>
      </c>
      <c r="S24" s="160">
        <v>12300917</v>
      </c>
      <c r="T24" s="7"/>
      <c r="U24" s="628"/>
      <c r="V24" s="71"/>
      <c r="W24" s="71"/>
      <c r="X24" s="71"/>
      <c r="Y24" s="71"/>
      <c r="Z24" s="629"/>
      <c r="AA24" s="71"/>
      <c r="AB24" s="71"/>
      <c r="AC24" s="71"/>
      <c r="AD24" s="71"/>
      <c r="AE24" s="582">
        <f t="shared" ref="AE24:AE33" si="309">AC24-(AB24+AD24)</f>
        <v>0</v>
      </c>
      <c r="AF24" s="71"/>
      <c r="AG24" s="630">
        <v>180</v>
      </c>
      <c r="AH24" s="631">
        <f>11453355+47339</f>
        <v>11500694</v>
      </c>
      <c r="AI24" s="631">
        <v>16561093</v>
      </c>
      <c r="AJ24" s="631">
        <v>998793</v>
      </c>
      <c r="AK24" s="105">
        <f t="shared" ref="AK24:AK33" si="310">AI24-(AH24+AJ24)</f>
        <v>4061606</v>
      </c>
      <c r="AL24" s="632">
        <f t="shared" ref="AL24:AL29" si="311">AK24/AI24</f>
        <v>0.24524987571774398</v>
      </c>
      <c r="AM24" s="129">
        <v>440000</v>
      </c>
      <c r="AN24" s="130">
        <v>1007663.8625</v>
      </c>
      <c r="AO24" s="130"/>
      <c r="AP24" s="130">
        <v>49383.651724137926</v>
      </c>
      <c r="AQ24" s="130">
        <f t="shared" ref="AQ24:AQ29" si="312">AK24-AM24-AN24-AO24-AP24</f>
        <v>2564558.4857758624</v>
      </c>
      <c r="AR24" s="114">
        <f t="shared" ref="AR24:AR29" si="313">AQ24/AK24</f>
        <v>0.631414885091233</v>
      </c>
      <c r="AS24" s="113">
        <v>180</v>
      </c>
      <c r="AT24" s="213">
        <v>34883717</v>
      </c>
      <c r="AU24" s="130">
        <v>50536807</v>
      </c>
      <c r="AV24" s="130">
        <v>14912193</v>
      </c>
      <c r="AW24" s="116">
        <f t="shared" ref="AW24:AW29" si="314">AV24/AU24</f>
        <v>0.2950758839987655</v>
      </c>
      <c r="AX24" s="617">
        <v>180</v>
      </c>
      <c r="AY24" s="587">
        <f t="shared" ref="AY24:AY33" si="315">AT24+Q24+L24+G24</f>
        <v>113426017</v>
      </c>
      <c r="AZ24" s="587">
        <f t="shared" ref="AZ24:AZ33" si="316">AU24+R24+M24+H24</f>
        <v>166354609</v>
      </c>
      <c r="BA24" s="587">
        <f t="shared" ref="BA24:BA33" si="317">AV24+S24+N24+I24</f>
        <v>49258720</v>
      </c>
      <c r="BB24" s="588">
        <f t="shared" ref="BB24:BB29" si="318">BA24/AZ24</f>
        <v>0.29610673425946377</v>
      </c>
      <c r="BC24" s="1512">
        <v>173</v>
      </c>
      <c r="BD24" s="582">
        <v>11419234</v>
      </c>
      <c r="BE24" s="582">
        <v>16959600</v>
      </c>
      <c r="BF24" s="582">
        <f>329243+80112+27571</f>
        <v>436926</v>
      </c>
      <c r="BG24" s="582">
        <f t="shared" ref="BG24:BG33" si="319">BE24-(BD24+BF24)</f>
        <v>5103440</v>
      </c>
      <c r="BH24" s="618"/>
      <c r="BI24" s="636">
        <v>162</v>
      </c>
      <c r="BJ24" s="619">
        <v>10701092</v>
      </c>
      <c r="BK24" s="619">
        <v>15507470</v>
      </c>
      <c r="BL24" s="619">
        <f>284634+56458</f>
        <v>341092</v>
      </c>
      <c r="BM24" s="582">
        <f t="shared" ref="BM24:BM33" si="320">BK24-(BJ24+BL24)</f>
        <v>4465286</v>
      </c>
      <c r="BN24" s="618"/>
      <c r="BO24" s="620">
        <v>162</v>
      </c>
      <c r="BP24" s="619">
        <v>10828521</v>
      </c>
      <c r="BQ24" s="619">
        <v>15690817</v>
      </c>
      <c r="BR24" s="582">
        <v>61981</v>
      </c>
      <c r="BS24" s="582">
        <f t="shared" ref="BS24:BS33" si="321">BQ24-(BP24+BR24)</f>
        <v>4800315</v>
      </c>
      <c r="BT24" s="591">
        <f t="shared" ref="BT24:BT29" si="322">BS24/BQ24</f>
        <v>0.30593148846232798</v>
      </c>
      <c r="BU24" s="620">
        <v>162</v>
      </c>
      <c r="BV24" s="592">
        <f t="shared" ref="BV24:BV33" si="323">BQ24+BK24+BE24</f>
        <v>48157887</v>
      </c>
      <c r="BW24" s="592">
        <f t="shared" ref="BW24:BW33" si="324">BS24+BM24+BG24</f>
        <v>14369041</v>
      </c>
      <c r="BX24" s="593">
        <f t="shared" ref="BX24:BX29" si="325">BW24/BV24</f>
        <v>0.29837357689717575</v>
      </c>
      <c r="BY24" s="633">
        <v>158</v>
      </c>
      <c r="BZ24" s="634">
        <v>10603998</v>
      </c>
      <c r="CA24" s="634">
        <v>15465799</v>
      </c>
      <c r="CB24" s="634">
        <v>417099</v>
      </c>
      <c r="CC24" s="596">
        <f t="shared" ref="CC24:CC29" si="326">CA24-(BZ24+CB24)</f>
        <v>4444702</v>
      </c>
      <c r="CD24" s="635">
        <f t="shared" ref="CD24:CD29" si="327">CC24/CA24</f>
        <v>0.28738909641849086</v>
      </c>
      <c r="CE24" s="636">
        <v>255000</v>
      </c>
      <c r="CF24" s="637">
        <f>235306+1047153+235306</f>
        <v>1517765</v>
      </c>
      <c r="CG24" s="637"/>
      <c r="CH24" s="637">
        <f>74304.0576923077+445824-200000</f>
        <v>320128.05769230769</v>
      </c>
      <c r="CI24" s="637">
        <f t="shared" ref="CI24:CI29" si="328">CC24-CE24-CF24-CG24-CH24</f>
        <v>2351808.9423076925</v>
      </c>
      <c r="CJ24" s="635">
        <f t="shared" ref="CJ24:CJ29" si="329">CI24/CA24</f>
        <v>0.15206514337265681</v>
      </c>
      <c r="CK24" s="630">
        <v>149</v>
      </c>
      <c r="CL24" s="631">
        <v>10158386</v>
      </c>
      <c r="CM24" s="631">
        <v>14634451</v>
      </c>
      <c r="CN24" s="631">
        <v>528201</v>
      </c>
      <c r="CO24" s="96">
        <f t="shared" ref="CO24:CO33" si="330">CM24-(CL24+CN24)</f>
        <v>3947864</v>
      </c>
      <c r="CP24" s="632">
        <f t="shared" ref="CP24:CP29" si="331">CO24/CM24</f>
        <v>0.2697650906070887</v>
      </c>
      <c r="CQ24" s="109">
        <v>171000</v>
      </c>
      <c r="CR24" s="109">
        <f>1152911+99658</f>
        <v>1252569</v>
      </c>
      <c r="CS24" s="109"/>
      <c r="CT24" s="109">
        <v>147101.18634615382</v>
      </c>
      <c r="CU24" s="109">
        <f t="shared" ref="CU24:CU29" si="332">CO24-CQ24-CR24-CS24-CT24</f>
        <v>2377193.8136538463</v>
      </c>
      <c r="CV24" s="74">
        <f t="shared" ref="CV24:CV29" si="333">CU24/CM24</f>
        <v>0.16243819557384465</v>
      </c>
      <c r="CW24" s="638">
        <v>124</v>
      </c>
      <c r="CX24" s="639">
        <v>8826105</v>
      </c>
      <c r="CY24" s="639">
        <v>12610113</v>
      </c>
      <c r="CZ24" s="639">
        <v>791340</v>
      </c>
      <c r="DA24" s="605">
        <f t="shared" ref="DA24:DA33" si="334">CY24-(CX24+CZ24)</f>
        <v>2992668</v>
      </c>
      <c r="DB24" s="632">
        <f t="shared" ref="DB24:DB29" si="335">DA24/CY24</f>
        <v>0.23732285349068641</v>
      </c>
      <c r="DC24" s="640">
        <f>154996</f>
        <v>154996</v>
      </c>
      <c r="DD24" s="639">
        <f>1521430+113818</f>
        <v>1635248</v>
      </c>
      <c r="DE24" s="639"/>
      <c r="DF24" s="639">
        <f>121185.013541667*3</f>
        <v>363555.04062500095</v>
      </c>
      <c r="DG24" s="639">
        <f t="shared" ref="DG24:DG29" si="336">DA24-DC24-DD24-DE24-DF24</f>
        <v>838868.95937499905</v>
      </c>
      <c r="DH24" s="641">
        <f t="shared" ref="DH24:DH29" si="337">DG24/CY24</f>
        <v>6.6523508502659659E-2</v>
      </c>
      <c r="DI24" s="642">
        <f t="shared" ref="DI24:DI29" si="338">(BY24+CK24+CW24)/3</f>
        <v>143.66666666666666</v>
      </c>
      <c r="DJ24" s="141">
        <f t="shared" ref="DJ24:DJ29" si="339">CA24+CM24+CY24</f>
        <v>42710363</v>
      </c>
      <c r="DK24" s="141">
        <f t="shared" ref="DK24:DK29" si="340">CC24+CO24+DA24</f>
        <v>11385234</v>
      </c>
      <c r="DL24" s="74">
        <f t="shared" ref="DL24:DL29" si="341">DK24/DJ24</f>
        <v>0.26656842040888296</v>
      </c>
      <c r="DM24" s="141">
        <f t="shared" ref="DM24:DM29" si="342">CI24+CU24+DG24</f>
        <v>5567871.7153365379</v>
      </c>
      <c r="DN24" s="74">
        <f t="shared" ref="DN24:DN29" si="343">DM24/DJ24</f>
        <v>0.13036348380688167</v>
      </c>
      <c r="DO24" s="643">
        <f t="shared" ref="DO24:DQ29" si="344">CW24-AG24</f>
        <v>-56</v>
      </c>
      <c r="DP24" s="644">
        <f t="shared" si="344"/>
        <v>-2674589</v>
      </c>
      <c r="DQ24" s="644">
        <f t="shared" si="344"/>
        <v>-3950980</v>
      </c>
      <c r="DR24" s="644">
        <f t="shared" ref="DR24:DR29" si="345">DA24-AK24</f>
        <v>-1068938</v>
      </c>
      <c r="DS24" s="74">
        <f t="shared" ref="DS24:DS29" si="346">DO24/AG24</f>
        <v>-0.31111111111111112</v>
      </c>
      <c r="DT24" s="74">
        <f t="shared" ref="DT24:DT29" si="347">DP24/AI24</f>
        <v>-0.16149833830412039</v>
      </c>
      <c r="DU24" s="74">
        <f t="shared" ref="DU24:DU29" si="348">DQ24/AK24</f>
        <v>-0.97276299079723638</v>
      </c>
      <c r="DV24" s="73">
        <f t="shared" ref="DV24:DV29" si="349">DR24/AQ24</f>
        <v>-0.41681170693855768</v>
      </c>
      <c r="DW24" s="643">
        <f t="shared" ref="DW24:DW29" si="350">CW24-CK24</f>
        <v>-25</v>
      </c>
      <c r="DX24" s="645">
        <f t="shared" ref="DX24:DX29" si="351">CY24-CM24</f>
        <v>-2024338</v>
      </c>
      <c r="DY24" s="645">
        <f t="shared" ref="DY24:DY29" si="352">DA24-CO24</f>
        <v>-955196</v>
      </c>
      <c r="DZ24" s="645">
        <f t="shared" ref="DZ24:DZ29" si="353">DG24-CU24</f>
        <v>-1538324.8542788471</v>
      </c>
      <c r="EA24" s="74">
        <f t="shared" ref="EA24:EA29" si="354">DW24/CK24</f>
        <v>-0.16778523489932887</v>
      </c>
      <c r="EB24" s="74">
        <f t="shared" ref="EB24:EB29" si="355">DX24/CM24</f>
        <v>-0.13832688359816162</v>
      </c>
      <c r="EC24" s="74">
        <f t="shared" ref="EC24:EC29" si="356">DY24/CO24</f>
        <v>-0.24195261032294932</v>
      </c>
      <c r="ED24" s="73">
        <f t="shared" ref="ED24:ED29" si="357">DZ24/CU24</f>
        <v>-0.64711797811486704</v>
      </c>
      <c r="EE24" s="638">
        <v>117</v>
      </c>
      <c r="EF24" s="639">
        <v>8177609</v>
      </c>
      <c r="EG24" s="639">
        <v>11731815</v>
      </c>
      <c r="EH24" s="639">
        <v>31662</v>
      </c>
      <c r="EI24" s="605">
        <f t="shared" ref="EI24:EI33" si="358">EG24-(EF24+EH24)</f>
        <v>3522544</v>
      </c>
      <c r="EJ24" s="632">
        <f t="shared" ref="EJ24:EJ29" si="359">EI24/EG24</f>
        <v>0.3002556722894113</v>
      </c>
      <c r="EK24" s="640">
        <f>266666+153077+100000</f>
        <v>519743</v>
      </c>
      <c r="EL24" s="646">
        <f>322116.665*4</f>
        <v>1288466.6599999999</v>
      </c>
      <c r="EM24" s="130">
        <v>0</v>
      </c>
      <c r="EN24" s="639">
        <f>96508*6</f>
        <v>579048</v>
      </c>
      <c r="EO24" s="639">
        <f t="shared" ref="EO24:EO29" si="360">EI24-EK24-EL24-EM24-EN24</f>
        <v>1135286.3400000001</v>
      </c>
      <c r="EP24" s="632">
        <f t="shared" ref="EP24:EP29" si="361">EO24/EG24</f>
        <v>9.6769880875209852E-2</v>
      </c>
      <c r="EQ24" s="638">
        <v>113</v>
      </c>
      <c r="ER24" s="634">
        <v>8145932</v>
      </c>
      <c r="ES24" s="634">
        <v>11265688</v>
      </c>
      <c r="ET24" s="639">
        <v>144413</v>
      </c>
      <c r="EU24" s="134">
        <f t="shared" ref="EU24:EU33" si="362">ES24-(ER24+ET24)</f>
        <v>2975343</v>
      </c>
      <c r="EV24" s="632">
        <f t="shared" ref="EV24:EV29" si="363">EU24/ES24</f>
        <v>0.26410663955898656</v>
      </c>
      <c r="EW24" s="640">
        <v>521662</v>
      </c>
      <c r="EX24" s="646">
        <f>1260438+(296085)-75000</f>
        <v>1481523</v>
      </c>
      <c r="EY24" s="130">
        <v>0</v>
      </c>
      <c r="EZ24" s="639">
        <f>184967.745625*3</f>
        <v>554903.23687500006</v>
      </c>
      <c r="FA24" s="639">
        <f t="shared" ref="FA24:FA29" si="364">EU24-EW24-EX24-EY24-EZ24</f>
        <v>417254.76312499994</v>
      </c>
      <c r="FB24" s="632">
        <f t="shared" ref="FB24:FB29" si="365">FA24/ES24</f>
        <v>3.7037663667323285E-2</v>
      </c>
      <c r="FC24" s="609">
        <f t="shared" ref="FC24:FC29" si="366">EQ24-AG24</f>
        <v>-67</v>
      </c>
      <c r="FD24" s="610">
        <f t="shared" ref="FD24:FD29" si="367">ES24-AI24</f>
        <v>-5295405</v>
      </c>
      <c r="FE24" s="610">
        <f t="shared" ref="FE24:FE29" si="368">EU24-AK24</f>
        <v>-1086263</v>
      </c>
      <c r="FF24" s="610">
        <f t="shared" ref="FF24:FF29" si="369">FA24-AQ24</f>
        <v>-2147303.7226508623</v>
      </c>
      <c r="FG24" s="611">
        <f t="shared" ref="FG24:FG29" si="370">FC24/AG24</f>
        <v>-0.37222222222222223</v>
      </c>
      <c r="FH24" s="611">
        <f t="shared" ref="FH24:FH29" si="371">FD24/AI24</f>
        <v>-0.31974972907887178</v>
      </c>
      <c r="FI24" s="611">
        <f t="shared" ref="FI24:FI29" si="372">FE24/AK24</f>
        <v>-0.26744667011029627</v>
      </c>
      <c r="FJ24" s="612">
        <f t="shared" ref="FJ24:FJ29" si="373">FF24/AQ24</f>
        <v>-0.83729957205527838</v>
      </c>
      <c r="FK24" s="165">
        <v>68</v>
      </c>
      <c r="FL24" s="109">
        <v>5069468</v>
      </c>
      <c r="FM24" s="109">
        <v>6955587</v>
      </c>
      <c r="FN24" s="109">
        <v>1250457</v>
      </c>
      <c r="FO24" s="134">
        <f t="shared" ref="FO24:FO33" si="374">FM24-(FL24+FN24)</f>
        <v>635662</v>
      </c>
      <c r="FP24" s="74">
        <f t="shared" ref="FP24:FP29" si="375">FO24/FM24</f>
        <v>9.1388692284346387E-2</v>
      </c>
      <c r="FQ24" s="165">
        <v>153707</v>
      </c>
      <c r="FR24" s="109">
        <f>44318+223380</f>
        <v>267698</v>
      </c>
      <c r="FS24" s="109">
        <v>430164.6</v>
      </c>
      <c r="FT24" s="155">
        <f t="shared" ref="FT24:FT29" si="376">FO24-SUM(FQ24:FS24)</f>
        <v>-215907.59999999998</v>
      </c>
      <c r="FU24" s="150">
        <f t="shared" ref="FU24:FU29" si="377">FT24/FM24</f>
        <v>-3.1040888425376605E-2</v>
      </c>
      <c r="FV24" s="187">
        <f t="shared" ref="FV24:FX29" si="378">FK24-AG24</f>
        <v>-112</v>
      </c>
      <c r="FW24" s="155">
        <f t="shared" si="378"/>
        <v>-6431226</v>
      </c>
      <c r="FX24" s="155">
        <f t="shared" si="378"/>
        <v>-9605506</v>
      </c>
      <c r="FY24" s="155">
        <f t="shared" ref="FY24:FY29" si="379">FO24-AK24</f>
        <v>-3425944</v>
      </c>
      <c r="FZ24" s="155">
        <f t="shared" ref="FZ24:FZ29" si="380">FT24-AQ24</f>
        <v>-2780466.0857758624</v>
      </c>
      <c r="GA24" s="74">
        <f t="shared" ref="GA24:GA29" si="381">FV24/AG24</f>
        <v>-0.62222222222222223</v>
      </c>
      <c r="GB24" s="74">
        <f t="shared" ref="GB24:GB29" si="382">FX24/AI24</f>
        <v>-0.58000435116208815</v>
      </c>
      <c r="GC24" s="74">
        <f t="shared" ref="GC24:GC29" si="383">FY24/AK24</f>
        <v>-0.8434949130959527</v>
      </c>
      <c r="GD24" s="73">
        <f t="shared" ref="GD24:GD29" si="384">FZ24/AQ24</f>
        <v>-1.0841889944009917</v>
      </c>
      <c r="GE24" s="187">
        <f t="shared" ref="GE24:GE29" si="385">(EE24+EQ24+FK24)/3</f>
        <v>99.333333333333329</v>
      </c>
      <c r="GF24" s="155">
        <f t="shared" ref="GF24:GF29" si="386">EG24+ES24+FM24</f>
        <v>29953090</v>
      </c>
      <c r="GG24" s="155">
        <f t="shared" ref="GG24:GG29" si="387">EI24+EU24+FO24</f>
        <v>7133549</v>
      </c>
      <c r="GH24" s="74">
        <f t="shared" ref="GH24:GH29" si="388">GG24/GF24</f>
        <v>0.23815736540036436</v>
      </c>
      <c r="GI24" s="613">
        <f t="shared" ref="GI24:GI29" si="389">EO24+FA24+FT24</f>
        <v>1336633.5031249998</v>
      </c>
      <c r="GJ24" s="187">
        <f t="shared" ref="GJ24:GL29" si="390">GE24-DI24</f>
        <v>-44.333333333333329</v>
      </c>
      <c r="GK24" s="155">
        <f t="shared" si="390"/>
        <v>-12757273</v>
      </c>
      <c r="GL24" s="155">
        <f t="shared" si="390"/>
        <v>-4251685</v>
      </c>
      <c r="GM24" s="613">
        <f t="shared" ref="GM24:GM29" si="391">GI24-DM24</f>
        <v>-4231238.2122115381</v>
      </c>
      <c r="GN24" s="165">
        <v>63</v>
      </c>
      <c r="GO24" s="109">
        <v>4795563</v>
      </c>
      <c r="GP24" s="109">
        <v>6713764</v>
      </c>
      <c r="GQ24" s="109">
        <v>147088</v>
      </c>
      <c r="GR24" s="134">
        <f t="shared" ref="GR24:GR33" si="392">GP24-(GO24+GQ24)</f>
        <v>1771113</v>
      </c>
      <c r="GS24" s="74">
        <f t="shared" ref="GS24:GS29" si="393">GR24/GP24</f>
        <v>0.26380328531059477</v>
      </c>
      <c r="GT24" s="165">
        <v>152741</v>
      </c>
      <c r="GU24" s="109">
        <v>815485</v>
      </c>
      <c r="GV24" s="109">
        <v>0</v>
      </c>
      <c r="GW24" s="109">
        <f>230387.4</f>
        <v>230387.4</v>
      </c>
      <c r="GX24" s="187">
        <f t="shared" ref="GX24:GX29" si="394">GR24-SUM(GT24:GW24)</f>
        <v>572499.60000000009</v>
      </c>
      <c r="GY24" s="150">
        <f t="shared" ref="GY24:GY29" si="395">GX24/GP24</f>
        <v>8.5272523728865068E-2</v>
      </c>
      <c r="GZ24" s="647">
        <v>56</v>
      </c>
      <c r="HA24" s="128">
        <v>4592560</v>
      </c>
      <c r="HB24" s="128">
        <v>6455822</v>
      </c>
      <c r="HC24" s="128">
        <v>166366</v>
      </c>
      <c r="HD24" s="134">
        <f t="shared" ref="HD24:HD33" si="396">HB24-(HA24+HC24)</f>
        <v>1696896</v>
      </c>
      <c r="HE24" s="150">
        <f t="shared" ref="HE24:HE29" si="397">HD24/HB24</f>
        <v>0.26284739573055144</v>
      </c>
      <c r="HF24" s="139">
        <f>1550+154996+137500</f>
        <v>294046</v>
      </c>
      <c r="HG24" s="128">
        <f>532883+169951</f>
        <v>702834</v>
      </c>
      <c r="HH24" s="128"/>
      <c r="HI24" s="128">
        <v>281484.9375</v>
      </c>
      <c r="HJ24" s="155">
        <f>HD24-SUM(HF24:HI24)</f>
        <v>418531.0625</v>
      </c>
      <c r="HK24" s="73">
        <f>HJ24/HB24</f>
        <v>6.4830018934846717E-2</v>
      </c>
      <c r="HL24" s="1365">
        <v>49</v>
      </c>
      <c r="HM24" s="648">
        <f>4044696+329528</f>
        <v>4374224</v>
      </c>
      <c r="HN24" s="109">
        <v>5276061</v>
      </c>
      <c r="HO24" s="109">
        <v>600139</v>
      </c>
      <c r="HP24" s="615">
        <f>HN24-HM24-HO24</f>
        <v>301698</v>
      </c>
      <c r="HQ24" s="73">
        <f t="shared" ref="HQ24:HQ29" si="398">HP24/HN24</f>
        <v>5.7182432121235902E-2</v>
      </c>
      <c r="HR24" s="109">
        <v>154996</v>
      </c>
      <c r="HS24" s="109">
        <v>507723.4</v>
      </c>
      <c r="HT24" s="109"/>
      <c r="HU24" s="109">
        <v>262039.27499999999</v>
      </c>
      <c r="HV24" s="155">
        <f t="shared" ref="HV24:HV29" si="399">HP24-SUM(HR24:HU24)</f>
        <v>-623060.67500000005</v>
      </c>
      <c r="HW24" s="73">
        <f t="shared" ref="HW24:HW29" si="400">HV24/HN24</f>
        <v>-0.11809201504683135</v>
      </c>
      <c r="HX24" s="414">
        <v>49</v>
      </c>
      <c r="HY24" s="241">
        <f t="shared" ref="HY24:HY33" si="401">HN24+HB24+GP24</f>
        <v>18445647</v>
      </c>
      <c r="HZ24" s="415">
        <f t="shared" ref="HZ24:HZ33" si="402">HP24+HD24+GR24</f>
        <v>3769707</v>
      </c>
      <c r="IA24" s="241"/>
      <c r="IB24" s="415">
        <f t="shared" ref="IB24:IB33" si="403">HV24+HJ24+GX24</f>
        <v>367969.98750000005</v>
      </c>
      <c r="IC24" s="141"/>
      <c r="ID24" s="642">
        <v>49</v>
      </c>
      <c r="IE24" s="141">
        <f t="shared" ref="IE24:IE33" si="404">HY24+GF24+DJ24+BV24</f>
        <v>139266987</v>
      </c>
      <c r="IF24" s="141">
        <f t="shared" ref="IF24:IF33" si="405">HZ24+GG24+DK24+BW24</f>
        <v>36657531</v>
      </c>
      <c r="IG24" s="74">
        <f t="shared" ref="IG24:IG29" si="406">IF24/IE24</f>
        <v>0.26321766406851321</v>
      </c>
      <c r="IH24" s="1507"/>
      <c r="II24" s="69"/>
      <c r="IJ24" s="226">
        <v>48</v>
      </c>
      <c r="IK24" s="623">
        <f>3477024+320419+266022</f>
        <v>4063465</v>
      </c>
      <c r="IL24" s="118">
        <v>5141445</v>
      </c>
      <c r="IM24" s="118">
        <f>135512+11015</f>
        <v>146527</v>
      </c>
      <c r="IN24" s="133">
        <f t="shared" ref="IN24:IN29" si="407">IL24-(IK24+IM24)</f>
        <v>931453</v>
      </c>
      <c r="IO24" s="150">
        <f t="shared" ref="IO24:IO29" si="408">IN24/IL24</f>
        <v>0.18116560616713784</v>
      </c>
      <c r="IP24" s="118">
        <v>152404</v>
      </c>
      <c r="IQ24" s="118">
        <f>80000+38004+78822</f>
        <v>196826</v>
      </c>
      <c r="IR24" s="118">
        <f>200000+62374</f>
        <v>262374</v>
      </c>
      <c r="IS24" s="188">
        <f t="shared" ref="IS24:IS29" si="409">IN24-SUM(IP24:IR24)</f>
        <v>319849</v>
      </c>
      <c r="IT24" s="150">
        <f t="shared" ref="IT24:IT29" si="410">IS24/IL24</f>
        <v>6.2209942924605827E-2</v>
      </c>
      <c r="IU24" s="621">
        <v>40</v>
      </c>
      <c r="IV24" s="649">
        <f>3384579+238276</f>
        <v>3622855</v>
      </c>
      <c r="IW24" s="622">
        <v>4676516</v>
      </c>
      <c r="IX24" s="134">
        <v>60463</v>
      </c>
      <c r="IY24" s="133">
        <f t="shared" ref="IY24:IY33" si="411">IW24-(IV24+IX24)</f>
        <v>993198</v>
      </c>
      <c r="IZ24" s="150">
        <f t="shared" ref="IZ24:IZ33" si="412">IY24/IW24</f>
        <v>0.21237989990839334</v>
      </c>
      <c r="JA24" s="133">
        <f>191667+134998</f>
        <v>326665</v>
      </c>
      <c r="JB24" s="134">
        <v>100000</v>
      </c>
      <c r="JC24" s="134">
        <v>250000</v>
      </c>
      <c r="JD24" s="190">
        <f t="shared" ref="JD24:JD29" si="413">IY24-SUM(JA24:JC24)</f>
        <v>316533</v>
      </c>
      <c r="JE24" s="150">
        <f t="shared" ref="JE24:JE29" si="414">JD24/IW24</f>
        <v>6.7685644612356724E-2</v>
      </c>
      <c r="JF24" s="621">
        <v>36</v>
      </c>
      <c r="JG24" s="649">
        <v>3172084</v>
      </c>
      <c r="JH24" s="622">
        <v>3979600</v>
      </c>
      <c r="JI24" s="134">
        <v>240445</v>
      </c>
      <c r="JJ24" s="133">
        <f t="shared" ref="JJ24:JJ33" si="415">JH24-(JG24+JI24)</f>
        <v>567071</v>
      </c>
      <c r="JK24" s="150">
        <f t="shared" ref="JK24:JK33" si="416">JJ24/JH24</f>
        <v>0.14249447180621169</v>
      </c>
      <c r="JL24" s="133">
        <v>115000</v>
      </c>
      <c r="JM24" s="134">
        <v>200000</v>
      </c>
      <c r="JN24" s="134">
        <v>250000</v>
      </c>
      <c r="JO24" s="190">
        <f t="shared" ref="JO24:JO33" si="417">JJ24-SUM(JL24:JN24)</f>
        <v>2071</v>
      </c>
      <c r="JP24" s="150">
        <f t="shared" ref="JP24:JP33" si="418">JO24/JH24</f>
        <v>5.2040406070961911E-4</v>
      </c>
      <c r="JQ24" s="621">
        <v>36</v>
      </c>
      <c r="JR24" s="191">
        <f t="shared" si="249"/>
        <v>13797561</v>
      </c>
      <c r="JS24" s="191">
        <f t="shared" si="250"/>
        <v>2491722</v>
      </c>
      <c r="JT24" s="151">
        <f t="shared" ref="JT24:JT33" si="419">JS24/JR24</f>
        <v>0.18059148279902512</v>
      </c>
      <c r="JU24" s="621">
        <v>33</v>
      </c>
      <c r="JV24" s="649">
        <v>2866876</v>
      </c>
      <c r="JW24" s="622">
        <v>3633683</v>
      </c>
      <c r="JX24" s="134"/>
      <c r="JY24" s="133">
        <f t="shared" ref="JY24:JY33" si="420">JW24-(JV24+JX24)</f>
        <v>766807</v>
      </c>
      <c r="JZ24" s="150">
        <f t="shared" ref="JZ24:JZ33" si="421">JY24/JW24</f>
        <v>0.21102748918934316</v>
      </c>
      <c r="KA24" s="133">
        <f>161096+132903</f>
        <v>293999</v>
      </c>
      <c r="KB24" s="134">
        <v>200000</v>
      </c>
      <c r="KC24" s="134">
        <v>250000</v>
      </c>
      <c r="KD24" s="190">
        <f t="shared" ref="KD24:KD33" si="422">JY24-SUM(KA24:KC24)</f>
        <v>22808</v>
      </c>
      <c r="KE24" s="150">
        <f t="shared" ref="KE24:KE33" si="423">KD24/JW24</f>
        <v>6.2768271200322094E-3</v>
      </c>
      <c r="KF24" s="621">
        <v>32</v>
      </c>
      <c r="KG24" s="649">
        <v>2772554</v>
      </c>
      <c r="KH24" s="622">
        <v>3644812</v>
      </c>
      <c r="KI24" s="134">
        <v>134872</v>
      </c>
      <c r="KJ24" s="133">
        <f t="shared" ref="KJ24:KJ33" si="424">KH24-(KG24+KI24)</f>
        <v>737386</v>
      </c>
      <c r="KK24" s="150">
        <f t="shared" ref="KK24:KK33" si="425">KJ24/KH24</f>
        <v>0.20231112057357142</v>
      </c>
      <c r="KL24" s="133">
        <v>408334</v>
      </c>
      <c r="KM24" s="134">
        <v>200000</v>
      </c>
      <c r="KN24" s="134">
        <v>50000</v>
      </c>
      <c r="KO24" s="190">
        <f t="shared" ref="KO24:KO33" si="426">KJ24-SUM(KL24:KN24)</f>
        <v>79052</v>
      </c>
      <c r="KP24" s="150">
        <f t="shared" ref="KP24:KP33" si="427">KO24/KH24</f>
        <v>2.1688910155036802E-2</v>
      </c>
      <c r="KQ24" s="621">
        <v>29</v>
      </c>
      <c r="KR24" s="649">
        <v>2404934</v>
      </c>
      <c r="KS24" s="622">
        <v>3139573</v>
      </c>
      <c r="KT24" s="134">
        <v>92365</v>
      </c>
      <c r="KU24" s="133">
        <f t="shared" ref="KU24:KU33" si="428">KS24-(KR24+KT24)</f>
        <v>642274</v>
      </c>
      <c r="KV24" s="150">
        <f t="shared" ref="KV24:KV33" si="429">KU24/KS24</f>
        <v>0.20457367928696035</v>
      </c>
      <c r="KW24" s="133"/>
      <c r="KX24" s="134">
        <v>582860.92333333334</v>
      </c>
      <c r="KY24" s="134">
        <v>50000</v>
      </c>
      <c r="KZ24" s="190">
        <f t="shared" ref="KZ24:KZ33" si="430">KU24-SUM(KW24:KY24)</f>
        <v>9413.0766666666605</v>
      </c>
      <c r="LA24" s="150">
        <f t="shared" ref="LA24:LA33" si="431">KZ24/KS24</f>
        <v>2.9982028341646017E-3</v>
      </c>
      <c r="LB24" s="402">
        <v>29</v>
      </c>
      <c r="LC24" s="191">
        <f t="shared" ref="LC24:LC33" si="432">KS24+KH24+JW24</f>
        <v>10418068</v>
      </c>
      <c r="LD24" s="191">
        <f t="shared" ref="LD24:LD33" si="433">KU24+KJ24+JY24</f>
        <v>2146467</v>
      </c>
      <c r="LE24" s="151">
        <f t="shared" ref="LE24:LE33" si="434">LD24/LC24</f>
        <v>0.20603311477713526</v>
      </c>
      <c r="LF24" s="226">
        <f t="shared" ref="LF24:LF33" si="435">LB24-JQ24</f>
        <v>-7</v>
      </c>
      <c r="LG24" s="128">
        <f t="shared" ref="LG24:LG33" si="436">LC24-JR24</f>
        <v>-3379493</v>
      </c>
      <c r="LH24" s="139">
        <f t="shared" ref="LH24:LH33" si="437">LD24-JS24</f>
        <v>-345255</v>
      </c>
      <c r="LI24" s="442">
        <f t="shared" ref="LI24:LI33" si="438">LF24/JQ24</f>
        <v>-0.19444444444444445</v>
      </c>
      <c r="LJ24" s="442">
        <f t="shared" ref="LJ24:LJ33" si="439">LG24/JR24</f>
        <v>-0.24493408653891799</v>
      </c>
      <c r="LK24" s="106">
        <f t="shared" ref="LK24:LK33" si="440">LH24/JS24</f>
        <v>-0.13856080252933514</v>
      </c>
      <c r="LL24" s="621">
        <v>27</v>
      </c>
      <c r="LM24" s="649">
        <v>2308070</v>
      </c>
      <c r="LN24" s="622">
        <v>3052606</v>
      </c>
      <c r="LO24" s="134">
        <v>43411</v>
      </c>
      <c r="LP24" s="133">
        <f t="shared" ref="LP24:LP33" si="441">LN24-(LM24+LO24)</f>
        <v>701125</v>
      </c>
      <c r="LQ24" s="150">
        <f t="shared" ref="LQ24:LQ33" si="442">LP24/LN24</f>
        <v>0.22968080387708076</v>
      </c>
      <c r="LR24" s="133"/>
      <c r="LS24" s="134">
        <v>350000</v>
      </c>
      <c r="LT24" s="134">
        <v>350000</v>
      </c>
      <c r="LU24" s="190">
        <f t="shared" ref="LU24:LU33" si="443">LP24-SUM(LR24:LT24)</f>
        <v>1125</v>
      </c>
      <c r="LV24" s="150">
        <f t="shared" ref="LV24:LV33" si="444">LU24/LN24</f>
        <v>3.6853757084930055E-4</v>
      </c>
      <c r="LW24" s="118">
        <v>27</v>
      </c>
      <c r="LX24" s="118">
        <v>2291401</v>
      </c>
      <c r="LY24" s="118">
        <v>3245225</v>
      </c>
      <c r="LZ24" s="118">
        <v>50924</v>
      </c>
      <c r="MA24" s="133">
        <f t="shared" ref="MA24:MA33" si="445">LY24-(LX24+LZ24)</f>
        <v>902900</v>
      </c>
      <c r="MB24" s="151">
        <f t="shared" ref="MB24:MB33" si="446">MA24/LY24</f>
        <v>0.27822416011216478</v>
      </c>
      <c r="MC24" s="118">
        <f>134927+191667</f>
        <v>326594</v>
      </c>
      <c r="MD24" s="118">
        <v>325000</v>
      </c>
      <c r="ME24" s="118">
        <v>350000</v>
      </c>
      <c r="MF24" s="190">
        <f t="shared" ref="MF24:MF33" si="447">MA24-SUM(MC24:ME24)</f>
        <v>-98694</v>
      </c>
      <c r="MG24" s="151">
        <f t="shared" ref="MG24:MG33" si="448">MF24/LY24</f>
        <v>-3.0412066959918032E-2</v>
      </c>
      <c r="MH24" s="118">
        <v>28</v>
      </c>
      <c r="MI24" s="118">
        <v>2133543</v>
      </c>
      <c r="MJ24" s="118">
        <v>2854304</v>
      </c>
      <c r="MK24" s="118"/>
      <c r="ML24" s="133">
        <f t="shared" ref="ML24:ML33" si="449">MJ24-(MI24+MK24)</f>
        <v>720761</v>
      </c>
      <c r="MM24" s="151">
        <f t="shared" ref="MM24:MM33" si="450">ML24/MJ24</f>
        <v>0.25251725114073342</v>
      </c>
      <c r="MN24" s="118">
        <f>134937+57071</f>
        <v>192008</v>
      </c>
      <c r="MO24" s="118">
        <v>200000</v>
      </c>
      <c r="MP24" s="118">
        <v>350000</v>
      </c>
      <c r="MQ24" s="190">
        <f t="shared" ref="MQ24:MQ33" si="451">ML24-SUM(MN24:MP24)</f>
        <v>-21247</v>
      </c>
      <c r="MR24" s="151">
        <f t="shared" ref="MR24:MR33" si="452">MQ24/MJ24</f>
        <v>-7.4438462055898737E-3</v>
      </c>
      <c r="MS24" s="1472">
        <v>28</v>
      </c>
      <c r="MT24" s="118">
        <f t="shared" ref="MT24:MT33" si="453">MJ24+LY24+LN24</f>
        <v>9152135</v>
      </c>
      <c r="MU24" s="118">
        <f t="shared" ref="MU24:MU33" si="454">ML24+MA24+LP24</f>
        <v>2324786</v>
      </c>
      <c r="MV24" s="135">
        <f t="shared" ref="MV24:MV33" si="455">MU24/MT24</f>
        <v>0.25401570234704801</v>
      </c>
      <c r="MW24" s="133">
        <f t="shared" ref="MW24:MW33" si="456">MS24-LB24</f>
        <v>-1</v>
      </c>
      <c r="MX24" s="134">
        <f t="shared" ref="MX24:MX33" si="457">MT24-LC24</f>
        <v>-1265933</v>
      </c>
      <c r="MY24" s="134">
        <f t="shared" ref="MY24:MY33" si="458">MU24-LD24</f>
        <v>178319</v>
      </c>
      <c r="MZ24" s="135">
        <f t="shared" ref="MZ24:MZ33" si="459">MW24/LB24</f>
        <v>-3.4482758620689655E-2</v>
      </c>
      <c r="NA24" s="135">
        <f t="shared" ref="NA24:NA33" si="460">MX24/LC24</f>
        <v>-0.12151322106939598</v>
      </c>
      <c r="NB24" s="151">
        <f t="shared" ref="NB24:NB33" si="461">MY24/LD24</f>
        <v>8.307558420418297E-2</v>
      </c>
      <c r="NC24" s="118">
        <v>27</v>
      </c>
      <c r="ND24" s="118">
        <v>2208627</v>
      </c>
      <c r="NE24" s="118">
        <v>3204516</v>
      </c>
      <c r="NF24" s="118">
        <v>39222</v>
      </c>
      <c r="NG24" s="133">
        <f t="shared" ref="NG24:NG33" si="462">NE24-(ND24+NF24)</f>
        <v>956667</v>
      </c>
      <c r="NH24" s="151">
        <f t="shared" ref="NH24:NH33" si="463">NG24/NE24</f>
        <v>0.29853712697955009</v>
      </c>
      <c r="NI24" s="118">
        <f>27650+191667</f>
        <v>219317</v>
      </c>
      <c r="NJ24" s="118">
        <v>350000</v>
      </c>
      <c r="NK24" s="118">
        <v>350000</v>
      </c>
      <c r="NL24" s="190">
        <f t="shared" ref="NL24:NL33" si="464">NG24-SUM(NI24:NK24)</f>
        <v>37350</v>
      </c>
      <c r="NM24" s="135">
        <f t="shared" ref="NM24:NM33" si="465">NL24/NE24</f>
        <v>1.1655426279662826E-2</v>
      </c>
      <c r="NN24" s="1562">
        <v>26</v>
      </c>
      <c r="NO24" s="118">
        <v>1866389</v>
      </c>
      <c r="NP24" s="118">
        <v>2956689</v>
      </c>
      <c r="NQ24" s="118">
        <v>82898</v>
      </c>
      <c r="NR24" s="133">
        <f t="shared" ref="NR24:NR33" si="466">NP24-(NO24+NQ24)</f>
        <v>1007402</v>
      </c>
      <c r="NS24" s="151">
        <f t="shared" ref="NS24:NS33" si="467">NR24/NP24</f>
        <v>0.3407196360523545</v>
      </c>
      <c r="NT24" s="118">
        <f>79167+191667</f>
        <v>270834</v>
      </c>
      <c r="NU24" s="118">
        <f>350000+10000</f>
        <v>360000</v>
      </c>
      <c r="NV24" s="118">
        <f>350000+9488</f>
        <v>359488</v>
      </c>
      <c r="NW24" s="190">
        <f t="shared" ref="NW24:NW33" si="468">NR24-SUM(NT24:NV24)</f>
        <v>17080</v>
      </c>
      <c r="NX24" s="135">
        <f t="shared" ref="NX24:NX33" si="469">NW24/NP24</f>
        <v>5.7767320134109474E-3</v>
      </c>
      <c r="NY24" s="1562">
        <v>26</v>
      </c>
      <c r="NZ24" s="118">
        <v>1795421</v>
      </c>
      <c r="OA24" s="118">
        <v>2987188</v>
      </c>
      <c r="OB24" s="118">
        <v>0</v>
      </c>
      <c r="OC24" s="133">
        <f t="shared" ref="OC24:OC33" si="470">OA24-(NZ24+OB24)</f>
        <v>1191767</v>
      </c>
      <c r="OD24" s="151">
        <f t="shared" ref="OD24:OD33" si="471">OC24/OA24</f>
        <v>0.39895948966051015</v>
      </c>
      <c r="OE24" s="118">
        <f>79167+191667</f>
        <v>270834</v>
      </c>
      <c r="OF24" s="118">
        <f>350000+10000</f>
        <v>360000</v>
      </c>
      <c r="OG24" s="118">
        <v>300000</v>
      </c>
      <c r="OH24" s="190">
        <f t="shared" ref="OH24:OH33" si="472">OC24-SUM(OE24:OG24)</f>
        <v>260933</v>
      </c>
      <c r="OI24" s="5380">
        <f t="shared" ref="OI24:OI33" si="473">OH24/OA24</f>
        <v>8.735071244260488E-2</v>
      </c>
      <c r="OJ24" s="69">
        <v>26</v>
      </c>
      <c r="OK24" s="155">
        <f t="shared" ref="OK24:OK33" si="474">OA24+NP24+NE24+MJ24+LY24+LN24+KS24+KH24+JW24+JG24+IW24+IL24</f>
        <v>41708641</v>
      </c>
      <c r="OL24" s="155">
        <f t="shared" ref="OL24:OL33" si="475">OC24+NR24+NG24+ML24+MA24+LP24+KU24+KJ24+JY24+JI24+IY24+IN24</f>
        <v>9792185</v>
      </c>
      <c r="OM24" s="74">
        <f t="shared" ref="OM24:OM33" si="476">OL24/OK24</f>
        <v>0.23477593048404527</v>
      </c>
      <c r="ON24" s="155">
        <f t="shared" ref="ON24:ON33" si="477">OH24+NW24+NL24+MQ24+MF24+LU24+KZ24+KO24+KD24+JN24+JD24+IS24</f>
        <v>1194202.0766666667</v>
      </c>
      <c r="OO24" s="70"/>
      <c r="OP24" s="69"/>
      <c r="OQ24" s="1562">
        <v>25</v>
      </c>
      <c r="OR24" s="208">
        <v>1768662</v>
      </c>
      <c r="OS24" s="118">
        <v>2857863</v>
      </c>
      <c r="OT24" s="118">
        <v>18762</v>
      </c>
      <c r="OU24" s="133">
        <f t="shared" si="255"/>
        <v>1070439</v>
      </c>
      <c r="OV24" s="94">
        <f t="shared" si="256"/>
        <v>0.37455924234296745</v>
      </c>
      <c r="OW24" s="118">
        <f>191667</f>
        <v>191667</v>
      </c>
      <c r="OX24" s="134">
        <v>300000</v>
      </c>
      <c r="OY24" s="118">
        <v>500000</v>
      </c>
      <c r="OZ24" s="188">
        <f t="shared" si="257"/>
        <v>78772</v>
      </c>
      <c r="PA24" s="5370">
        <f t="shared" si="258"/>
        <v>2.7563252682161463E-2</v>
      </c>
      <c r="PB24" s="5321">
        <v>23</v>
      </c>
      <c r="PC24" s="649">
        <v>1614990</v>
      </c>
      <c r="PD24" s="622">
        <v>2596479</v>
      </c>
      <c r="PE24" s="134">
        <v>91506</v>
      </c>
      <c r="PF24" s="133">
        <f t="shared" si="259"/>
        <v>889983</v>
      </c>
      <c r="PG24" s="95">
        <f t="shared" si="260"/>
        <v>0.34276533721243269</v>
      </c>
      <c r="PH24" s="133">
        <f>84095+321260</f>
        <v>405355</v>
      </c>
      <c r="PI24" s="134">
        <v>100000</v>
      </c>
      <c r="PJ24" s="134">
        <v>380000</v>
      </c>
      <c r="PK24" s="190">
        <f t="shared" si="261"/>
        <v>4628</v>
      </c>
      <c r="PL24" s="135">
        <f t="shared" si="262"/>
        <v>1.7824137996109346E-3</v>
      </c>
      <c r="PM24" s="3863">
        <v>22</v>
      </c>
      <c r="PN24" s="649">
        <v>1534937</v>
      </c>
      <c r="PO24" s="622">
        <v>2281651</v>
      </c>
      <c r="PP24" s="134">
        <v>1962</v>
      </c>
      <c r="PQ24" s="6293">
        <f t="shared" si="263"/>
        <v>744752</v>
      </c>
      <c r="PR24" s="6295">
        <f t="shared" si="264"/>
        <v>0.3264092536500981</v>
      </c>
      <c r="PS24" s="134">
        <v>191667</v>
      </c>
      <c r="PT24" s="134">
        <v>200000</v>
      </c>
      <c r="PU24" s="134">
        <v>150000</v>
      </c>
      <c r="PV24" s="190">
        <f t="shared" si="265"/>
        <v>203085</v>
      </c>
      <c r="PW24" s="5380">
        <f t="shared" si="266"/>
        <v>8.900791575924627E-2</v>
      </c>
      <c r="PX24" s="5321">
        <v>22</v>
      </c>
      <c r="PY24" s="191">
        <f t="shared" si="267"/>
        <v>7735993</v>
      </c>
      <c r="PZ24" s="191">
        <f t="shared" si="268"/>
        <v>2705174</v>
      </c>
      <c r="QA24" s="135">
        <f t="shared" si="269"/>
        <v>0.34968671765861215</v>
      </c>
      <c r="QB24" s="3863">
        <v>19</v>
      </c>
      <c r="QC24" s="358">
        <v>1505214</v>
      </c>
      <c r="QD24" s="358">
        <v>2337481</v>
      </c>
      <c r="QE24" s="134">
        <v>146200</v>
      </c>
      <c r="QF24" s="6293">
        <f t="shared" si="270"/>
        <v>686067</v>
      </c>
      <c r="QG24" s="6295">
        <f t="shared" si="271"/>
        <v>0.29350698465570413</v>
      </c>
      <c r="QH24" s="134">
        <v>191667</v>
      </c>
      <c r="QI24" s="134">
        <v>300000</v>
      </c>
      <c r="QJ24" s="134">
        <v>150000</v>
      </c>
      <c r="QK24" s="190">
        <f t="shared" si="272"/>
        <v>44400</v>
      </c>
      <c r="QL24" s="5389">
        <f t="shared" si="273"/>
        <v>1.8994806802707702E-2</v>
      </c>
      <c r="QM24" s="3863">
        <v>17</v>
      </c>
      <c r="QN24" s="649">
        <v>1456125</v>
      </c>
      <c r="QO24" s="622">
        <v>2180405</v>
      </c>
      <c r="QP24" s="134">
        <v>19943</v>
      </c>
      <c r="QQ24" s="133">
        <f t="shared" si="292"/>
        <v>704337</v>
      </c>
      <c r="QR24" s="151">
        <f t="shared" si="293"/>
        <v>0.3230303544524985</v>
      </c>
      <c r="QS24" s="133">
        <v>191667</v>
      </c>
      <c r="QT24" s="134">
        <v>360000</v>
      </c>
      <c r="QU24" s="134">
        <v>150000</v>
      </c>
      <c r="QV24" s="190">
        <f t="shared" si="294"/>
        <v>2670</v>
      </c>
      <c r="QW24" s="5380">
        <f t="shared" si="295"/>
        <v>1.224543146800709E-3</v>
      </c>
      <c r="QX24" s="3863">
        <v>17</v>
      </c>
      <c r="QY24" s="622">
        <f>1158917+200000</f>
        <v>1358917</v>
      </c>
      <c r="QZ24" s="358">
        <v>2021376</v>
      </c>
      <c r="RA24" s="2437"/>
      <c r="RB24" s="133">
        <f t="shared" si="274"/>
        <v>662459</v>
      </c>
      <c r="RC24" s="151">
        <f t="shared" si="228"/>
        <v>0.32772675642730498</v>
      </c>
      <c r="RD24" s="133">
        <v>74154</v>
      </c>
      <c r="RE24" s="134">
        <v>100000</v>
      </c>
      <c r="RF24" s="134">
        <v>150000</v>
      </c>
      <c r="RG24" s="190">
        <f t="shared" si="296"/>
        <v>338305</v>
      </c>
      <c r="RH24" s="5380">
        <f t="shared" si="297"/>
        <v>0.16736371659701116</v>
      </c>
      <c r="RI24" s="5376"/>
      <c r="RJ24" s="191">
        <f t="shared" si="275"/>
        <v>6539262</v>
      </c>
      <c r="RK24" s="191">
        <f t="shared" si="298"/>
        <v>2052863</v>
      </c>
      <c r="RL24" s="5380">
        <f t="shared" si="230"/>
        <v>0.31392885007513083</v>
      </c>
      <c r="RM24" s="1562">
        <f t="shared" si="276"/>
        <v>-22</v>
      </c>
      <c r="RN24" s="128">
        <f t="shared" si="277"/>
        <v>-1196731</v>
      </c>
      <c r="RO24" s="139">
        <f t="shared" si="278"/>
        <v>-652311</v>
      </c>
      <c r="RP24" s="442">
        <f t="shared" si="279"/>
        <v>-1</v>
      </c>
      <c r="RQ24" s="442">
        <f t="shared" si="280"/>
        <v>-0.15469649468400501</v>
      </c>
      <c r="RR24" s="6339">
        <f t="shared" si="281"/>
        <v>-0.24113458136149468</v>
      </c>
      <c r="RS24" s="6289">
        <f>16+1</f>
        <v>17</v>
      </c>
      <c r="RT24" s="208">
        <f>1144280+200000+15852</f>
        <v>1360132</v>
      </c>
      <c r="RU24" s="395">
        <v>1981675</v>
      </c>
      <c r="RV24" s="4269">
        <v>28197</v>
      </c>
      <c r="RW24" s="133">
        <f t="shared" si="299"/>
        <v>593346</v>
      </c>
      <c r="RX24" s="151">
        <f t="shared" si="300"/>
        <v>0.29941640279056858</v>
      </c>
      <c r="RY24" s="133">
        <v>174154</v>
      </c>
      <c r="RZ24" s="134">
        <v>150000</v>
      </c>
      <c r="SA24" s="134">
        <v>150000</v>
      </c>
      <c r="SB24" s="188">
        <f t="shared" si="282"/>
        <v>119192</v>
      </c>
      <c r="SC24" s="5380">
        <f t="shared" si="232"/>
        <v>6.0147097783440774E-2</v>
      </c>
      <c r="SD24" s="110">
        <f>13+1</f>
        <v>14</v>
      </c>
      <c r="SE24" s="208">
        <f>895570+200000+15852</f>
        <v>1111422</v>
      </c>
      <c r="SF24" s="395">
        <v>1528442</v>
      </c>
      <c r="SG24" s="772">
        <v>45254</v>
      </c>
      <c r="SH24" s="6375">
        <f t="shared" si="287"/>
        <v>371766</v>
      </c>
      <c r="SI24" s="6376">
        <f t="shared" si="288"/>
        <v>0.24323199702703799</v>
      </c>
      <c r="SJ24" s="134">
        <v>50000</v>
      </c>
      <c r="SK24" s="134">
        <v>150000</v>
      </c>
      <c r="SL24" s="134">
        <v>150000</v>
      </c>
      <c r="SM24" s="188">
        <f t="shared" si="289"/>
        <v>21766</v>
      </c>
      <c r="SN24" s="5389">
        <f t="shared" si="290"/>
        <v>1.4240645049010693E-2</v>
      </c>
      <c r="SO24" s="118">
        <v>8</v>
      </c>
      <c r="SP24" s="118">
        <v>484327</v>
      </c>
      <c r="SQ24" s="118">
        <v>874364</v>
      </c>
      <c r="SR24" s="118">
        <v>29792</v>
      </c>
      <c r="SS24" s="6361">
        <f t="shared" si="283"/>
        <v>360245</v>
      </c>
      <c r="ST24" s="6363">
        <f t="shared" si="301"/>
        <v>0.41200804241711692</v>
      </c>
      <c r="SU24" s="134">
        <v>50000</v>
      </c>
      <c r="SV24" s="118">
        <v>50000</v>
      </c>
      <c r="SW24" s="134">
        <v>150000</v>
      </c>
      <c r="SX24" s="190">
        <f t="shared" si="302"/>
        <v>110245</v>
      </c>
      <c r="SY24" s="5380">
        <f t="shared" si="303"/>
        <v>0.12608593217470071</v>
      </c>
      <c r="SZ24" s="6270"/>
      <c r="TA24" s="118">
        <f t="shared" ref="TA24:TA33" si="478">SQ24+SF24+RU24</f>
        <v>4384481</v>
      </c>
      <c r="TB24" s="118">
        <f t="shared" ref="TB24:TB33" si="479">SS24+SH24+RW24</f>
        <v>1325357</v>
      </c>
      <c r="TC24" s="5380">
        <f t="shared" si="235"/>
        <v>0.30228366823804231</v>
      </c>
      <c r="TD24" s="209">
        <f>8+1</f>
        <v>9</v>
      </c>
      <c r="TE24" s="208">
        <f>468475+200000+7058</f>
        <v>675533</v>
      </c>
      <c r="TF24" s="208">
        <f>891109</f>
        <v>891109</v>
      </c>
      <c r="TG24" s="118">
        <v>81123</v>
      </c>
      <c r="TH24" s="133">
        <f t="shared" si="304"/>
        <v>134453</v>
      </c>
      <c r="TI24" s="151">
        <f t="shared" si="305"/>
        <v>0.15088277640558001</v>
      </c>
      <c r="TJ24" s="134">
        <v>50000</v>
      </c>
      <c r="TK24" s="118">
        <v>50000</v>
      </c>
      <c r="TL24" s="134">
        <v>1120</v>
      </c>
      <c r="TM24" s="190">
        <f t="shared" si="306"/>
        <v>33333</v>
      </c>
      <c r="TN24" s="5380">
        <f t="shared" si="307"/>
        <v>3.7406198343861413E-2</v>
      </c>
      <c r="TO24" s="118"/>
      <c r="TP24" s="118"/>
      <c r="TQ24" s="118"/>
      <c r="TR24" s="118"/>
      <c r="TS24" s="133">
        <f t="shared" ref="TS24:TS33" si="480">TQ24-(TP24+TR24)</f>
        <v>0</v>
      </c>
      <c r="TT24" s="151" t="e">
        <f t="shared" si="238"/>
        <v>#DIV/0!</v>
      </c>
      <c r="TU24" s="118"/>
      <c r="TV24" s="118"/>
      <c r="TW24" s="118"/>
      <c r="TX24" s="190">
        <f t="shared" ref="TX24:TX30" si="481">TS24-SUM(TU24:TW24)</f>
        <v>0</v>
      </c>
      <c r="TY24" s="135" t="e">
        <f t="shared" si="239"/>
        <v>#DIV/0!</v>
      </c>
      <c r="TZ24" s="1562"/>
      <c r="UA24" s="118"/>
      <c r="UB24" s="118"/>
      <c r="UC24" s="118"/>
      <c r="UD24" s="133">
        <f t="shared" ref="UD24:UD33" si="482">UB24-(UA24+UC24)</f>
        <v>0</v>
      </c>
      <c r="UE24" s="151" t="e">
        <f t="shared" si="240"/>
        <v>#DIV/0!</v>
      </c>
      <c r="UF24" s="118"/>
      <c r="UG24" s="118"/>
      <c r="UH24" s="118"/>
      <c r="UI24" s="190">
        <f t="shared" ref="UI24:UI30" si="483">UD24-SUM(UF24:UH24)</f>
        <v>0</v>
      </c>
      <c r="UJ24" s="5380" t="e">
        <f t="shared" si="241"/>
        <v>#DIV/0!</v>
      </c>
      <c r="UK24" s="5376"/>
      <c r="UL24" s="191">
        <f t="shared" si="284"/>
        <v>19550845</v>
      </c>
      <c r="UM24" s="191">
        <f t="shared" si="285"/>
        <v>6217847</v>
      </c>
      <c r="UN24" s="135">
        <f t="shared" ref="UN24:UN56" si="484">UM24/UL24</f>
        <v>0.31803469364111886</v>
      </c>
      <c r="UO24" s="191">
        <f t="shared" si="286"/>
        <v>956396</v>
      </c>
      <c r="UP24" s="5380">
        <f t="shared" si="291"/>
        <v>4.8918397133218536E-2</v>
      </c>
    </row>
    <row r="25" spans="1:567" x14ac:dyDescent="0.3">
      <c r="A25" s="5316">
        <v>6</v>
      </c>
      <c r="B25" s="5360" t="s">
        <v>648</v>
      </c>
      <c r="C25" s="578" t="s">
        <v>141</v>
      </c>
      <c r="D25" s="578" t="s">
        <v>140</v>
      </c>
      <c r="E25" s="6278" t="s">
        <v>254</v>
      </c>
      <c r="F25" s="579">
        <v>5.333333333333333</v>
      </c>
      <c r="G25" s="161">
        <v>766581</v>
      </c>
      <c r="H25" s="161">
        <v>1036675</v>
      </c>
      <c r="I25" s="161">
        <v>252328</v>
      </c>
      <c r="J25" s="351">
        <f t="shared" si="308"/>
        <v>0.2434012588323245</v>
      </c>
      <c r="K25" s="580">
        <v>6.333333333333333</v>
      </c>
      <c r="L25" s="161">
        <v>1115840</v>
      </c>
      <c r="M25" s="161">
        <v>1697065</v>
      </c>
      <c r="N25" s="161">
        <v>581225</v>
      </c>
      <c r="O25" s="422"/>
      <c r="P25" s="580">
        <v>3.6666666666666665</v>
      </c>
      <c r="Q25" s="161">
        <v>668585</v>
      </c>
      <c r="R25" s="161">
        <v>1026389</v>
      </c>
      <c r="S25" s="161">
        <v>353800</v>
      </c>
      <c r="T25" s="94"/>
      <c r="U25" s="136"/>
      <c r="V25" s="422"/>
      <c r="W25" s="422"/>
      <c r="X25" s="422"/>
      <c r="Y25" s="422"/>
      <c r="Z25" s="581"/>
      <c r="AA25" s="422"/>
      <c r="AB25" s="422"/>
      <c r="AC25" s="422"/>
      <c r="AD25" s="422"/>
      <c r="AE25" s="582">
        <f t="shared" si="309"/>
        <v>0</v>
      </c>
      <c r="AF25" s="422"/>
      <c r="AG25" s="113">
        <v>6</v>
      </c>
      <c r="AH25" s="616">
        <v>410568</v>
      </c>
      <c r="AI25" s="616">
        <v>533434</v>
      </c>
      <c r="AJ25" s="616"/>
      <c r="AK25" s="105">
        <f t="shared" si="310"/>
        <v>122866</v>
      </c>
      <c r="AL25" s="116">
        <f t="shared" si="311"/>
        <v>0.23033027516056345</v>
      </c>
      <c r="AM25" s="585">
        <v>60000</v>
      </c>
      <c r="AN25" s="417">
        <v>131298</v>
      </c>
      <c r="AO25" s="417"/>
      <c r="AP25" s="130">
        <v>49383.651724137926</v>
      </c>
      <c r="AQ25" s="417">
        <f t="shared" si="312"/>
        <v>-117815.65172413792</v>
      </c>
      <c r="AR25" s="116">
        <f t="shared" si="313"/>
        <v>-0.95889547738298564</v>
      </c>
      <c r="AS25" s="113">
        <v>6</v>
      </c>
      <c r="AT25" s="213">
        <v>1112658</v>
      </c>
      <c r="AU25" s="417">
        <v>1480737</v>
      </c>
      <c r="AV25" s="417">
        <v>368079</v>
      </c>
      <c r="AW25" s="116">
        <f t="shared" si="314"/>
        <v>0.24857824178095098</v>
      </c>
      <c r="AX25" s="586">
        <v>6</v>
      </c>
      <c r="AY25" s="587">
        <f t="shared" si="315"/>
        <v>3663664</v>
      </c>
      <c r="AZ25" s="587">
        <f t="shared" si="316"/>
        <v>5240866</v>
      </c>
      <c r="BA25" s="587">
        <f t="shared" si="317"/>
        <v>1555432</v>
      </c>
      <c r="BB25" s="588">
        <f t="shared" si="318"/>
        <v>0.29678911843958611</v>
      </c>
      <c r="BC25" s="1512">
        <v>5</v>
      </c>
      <c r="BD25" s="582">
        <v>341074</v>
      </c>
      <c r="BE25" s="582">
        <v>452200</v>
      </c>
      <c r="BF25" s="582">
        <v>31033</v>
      </c>
      <c r="BG25" s="582">
        <f t="shared" si="319"/>
        <v>80093</v>
      </c>
      <c r="BH25" s="589"/>
      <c r="BI25" s="1512">
        <v>4</v>
      </c>
      <c r="BJ25" s="582">
        <v>254193</v>
      </c>
      <c r="BK25" s="582">
        <v>316813</v>
      </c>
      <c r="BL25" s="582"/>
      <c r="BM25" s="582">
        <f t="shared" si="320"/>
        <v>62620</v>
      </c>
      <c r="BN25" s="589"/>
      <c r="BO25" s="590">
        <v>4</v>
      </c>
      <c r="BP25" s="582">
        <v>262553</v>
      </c>
      <c r="BQ25" s="582">
        <v>345200</v>
      </c>
      <c r="BR25" s="582"/>
      <c r="BS25" s="582">
        <f t="shared" si="321"/>
        <v>82647</v>
      </c>
      <c r="BT25" s="591">
        <f t="shared" si="322"/>
        <v>0.23941772885283893</v>
      </c>
      <c r="BU25" s="590">
        <v>4</v>
      </c>
      <c r="BV25" s="592">
        <f t="shared" si="323"/>
        <v>1114213</v>
      </c>
      <c r="BW25" s="592">
        <f t="shared" si="324"/>
        <v>225360</v>
      </c>
      <c r="BX25" s="593">
        <f t="shared" si="325"/>
        <v>0.20225935256544306</v>
      </c>
      <c r="BY25" s="654">
        <v>3</v>
      </c>
      <c r="BZ25" s="650">
        <v>186975</v>
      </c>
      <c r="CA25" s="650">
        <v>245200</v>
      </c>
      <c r="CB25" s="650">
        <v>11044</v>
      </c>
      <c r="CC25" s="596">
        <f t="shared" si="326"/>
        <v>47181</v>
      </c>
      <c r="CD25" s="597">
        <f t="shared" si="327"/>
        <v>0.1924184339314845</v>
      </c>
      <c r="CE25" s="598">
        <v>152225.04999999999</v>
      </c>
      <c r="CF25" s="599">
        <v>0</v>
      </c>
      <c r="CG25" s="599"/>
      <c r="CH25" s="599">
        <v>74304.057692307688</v>
      </c>
      <c r="CI25" s="599">
        <f t="shared" si="328"/>
        <v>-179348.10769230768</v>
      </c>
      <c r="CJ25" s="597">
        <f t="shared" si="329"/>
        <v>-0.73143600200778003</v>
      </c>
      <c r="CK25" s="600">
        <v>3</v>
      </c>
      <c r="CL25" s="601">
        <v>186975</v>
      </c>
      <c r="CM25" s="601">
        <v>225800</v>
      </c>
      <c r="CN25" s="601"/>
      <c r="CO25" s="360">
        <f t="shared" si="330"/>
        <v>38825</v>
      </c>
      <c r="CP25" s="602">
        <f t="shared" si="331"/>
        <v>0.17194419840566874</v>
      </c>
      <c r="CQ25" s="603">
        <v>0</v>
      </c>
      <c r="CR25" s="603">
        <v>99658.273076923069</v>
      </c>
      <c r="CS25" s="603"/>
      <c r="CT25" s="603">
        <v>147101.18634615382</v>
      </c>
      <c r="CU25" s="603">
        <f t="shared" si="332"/>
        <v>-207934.45942307689</v>
      </c>
      <c r="CV25" s="604">
        <f t="shared" si="333"/>
        <v>-0.92087891684267886</v>
      </c>
      <c r="CW25" s="129">
        <v>3</v>
      </c>
      <c r="CX25" s="130">
        <v>186975</v>
      </c>
      <c r="CY25" s="130">
        <v>242860</v>
      </c>
      <c r="CZ25" s="130"/>
      <c r="DA25" s="605">
        <f t="shared" si="334"/>
        <v>55885</v>
      </c>
      <c r="DB25" s="114">
        <f t="shared" si="335"/>
        <v>0.23011199868236845</v>
      </c>
      <c r="DC25" s="138">
        <v>25000</v>
      </c>
      <c r="DD25" s="606">
        <v>113817.95833333333</v>
      </c>
      <c r="DE25" s="130"/>
      <c r="DF25" s="130">
        <v>0</v>
      </c>
      <c r="DG25" s="128">
        <f t="shared" si="336"/>
        <v>-82932.958333333328</v>
      </c>
      <c r="DH25" s="169">
        <f t="shared" si="337"/>
        <v>-0.34148463449449612</v>
      </c>
      <c r="DI25" s="204">
        <f t="shared" si="338"/>
        <v>3</v>
      </c>
      <c r="DJ25" s="202">
        <f t="shared" si="339"/>
        <v>713860</v>
      </c>
      <c r="DK25" s="202">
        <f t="shared" si="340"/>
        <v>141891</v>
      </c>
      <c r="DL25" s="119">
        <f t="shared" si="341"/>
        <v>0.1987658644552153</v>
      </c>
      <c r="DM25" s="202">
        <f t="shared" si="342"/>
        <v>-470215.52544871788</v>
      </c>
      <c r="DN25" s="119">
        <f t="shared" si="343"/>
        <v>-0.65869431744140006</v>
      </c>
      <c r="DO25" s="607">
        <f t="shared" si="344"/>
        <v>-3</v>
      </c>
      <c r="DP25" s="137">
        <f t="shared" si="344"/>
        <v>-223593</v>
      </c>
      <c r="DQ25" s="137">
        <f t="shared" si="344"/>
        <v>-290574</v>
      </c>
      <c r="DR25" s="137">
        <f t="shared" si="345"/>
        <v>-66981</v>
      </c>
      <c r="DS25" s="135">
        <f t="shared" si="346"/>
        <v>-0.5</v>
      </c>
      <c r="DT25" s="135">
        <f t="shared" si="347"/>
        <v>-0.41915775897299384</v>
      </c>
      <c r="DU25" s="135">
        <f t="shared" si="348"/>
        <v>-2.3649667117021798</v>
      </c>
      <c r="DV25" s="151">
        <f t="shared" si="349"/>
        <v>0.56852378287423266</v>
      </c>
      <c r="DW25" s="607">
        <f t="shared" si="350"/>
        <v>0</v>
      </c>
      <c r="DX25" s="608">
        <f t="shared" si="351"/>
        <v>17060</v>
      </c>
      <c r="DY25" s="608">
        <f t="shared" si="352"/>
        <v>17060</v>
      </c>
      <c r="DZ25" s="608">
        <f t="shared" si="353"/>
        <v>125001.50108974356</v>
      </c>
      <c r="EA25" s="135">
        <f t="shared" si="354"/>
        <v>0</v>
      </c>
      <c r="EB25" s="135">
        <f t="shared" si="355"/>
        <v>7.5553587245349871E-2</v>
      </c>
      <c r="EC25" s="135">
        <f t="shared" si="356"/>
        <v>0.43940759819703801</v>
      </c>
      <c r="ED25" s="151">
        <f t="shared" si="357"/>
        <v>-0.60115817953679063</v>
      </c>
      <c r="EE25" s="129">
        <v>2</v>
      </c>
      <c r="EF25" s="130">
        <v>136725</v>
      </c>
      <c r="EG25" s="130">
        <v>172903</v>
      </c>
      <c r="EH25" s="130">
        <v>16100</v>
      </c>
      <c r="EI25" s="605">
        <f t="shared" si="358"/>
        <v>20078</v>
      </c>
      <c r="EJ25" s="114">
        <f t="shared" si="359"/>
        <v>0.11612291284708767</v>
      </c>
      <c r="EK25" s="138">
        <v>0</v>
      </c>
      <c r="EL25" s="606">
        <v>0</v>
      </c>
      <c r="EM25" s="130">
        <v>0</v>
      </c>
      <c r="EN25" s="130">
        <v>0</v>
      </c>
      <c r="EO25" s="128">
        <f t="shared" si="360"/>
        <v>20078</v>
      </c>
      <c r="EP25" s="114">
        <f t="shared" si="361"/>
        <v>0.11612291284708767</v>
      </c>
      <c r="EQ25" s="129">
        <v>2</v>
      </c>
      <c r="ER25" s="595">
        <v>136725</v>
      </c>
      <c r="ES25" s="595">
        <v>175000</v>
      </c>
      <c r="ET25" s="661"/>
      <c r="EU25" s="134">
        <f t="shared" si="362"/>
        <v>38275</v>
      </c>
      <c r="EV25" s="114">
        <f t="shared" si="363"/>
        <v>0.21871428571428572</v>
      </c>
      <c r="EW25" s="138">
        <v>0</v>
      </c>
      <c r="EX25" s="606">
        <v>0</v>
      </c>
      <c r="EY25" s="130">
        <v>0</v>
      </c>
      <c r="EZ25" s="128">
        <v>0</v>
      </c>
      <c r="FA25" s="128">
        <f t="shared" si="364"/>
        <v>38275</v>
      </c>
      <c r="FB25" s="114">
        <f t="shared" si="365"/>
        <v>0.21871428571428572</v>
      </c>
      <c r="FC25" s="643">
        <f t="shared" si="366"/>
        <v>-4</v>
      </c>
      <c r="FD25" s="644">
        <f t="shared" si="367"/>
        <v>-358434</v>
      </c>
      <c r="FE25" s="644">
        <f t="shared" si="368"/>
        <v>-84591</v>
      </c>
      <c r="FF25" s="644">
        <f t="shared" si="369"/>
        <v>156090.65172413792</v>
      </c>
      <c r="FG25" s="74">
        <f t="shared" si="370"/>
        <v>-0.66666666666666663</v>
      </c>
      <c r="FH25" s="74">
        <f t="shared" si="371"/>
        <v>-0.67193692190599019</v>
      </c>
      <c r="FI25" s="74">
        <f t="shared" si="372"/>
        <v>-0.68848176061725785</v>
      </c>
      <c r="FJ25" s="73">
        <f t="shared" si="373"/>
        <v>-1.324871945619075</v>
      </c>
      <c r="FK25" s="133">
        <v>1</v>
      </c>
      <c r="FL25" s="134">
        <v>48394</v>
      </c>
      <c r="FM25" s="134">
        <v>65000</v>
      </c>
      <c r="FN25" s="134">
        <v>12957</v>
      </c>
      <c r="FO25" s="134">
        <f t="shared" si="374"/>
        <v>3649</v>
      </c>
      <c r="FP25" s="135">
        <f t="shared" si="375"/>
        <v>5.613846153846154E-2</v>
      </c>
      <c r="FQ25" s="133"/>
      <c r="FR25" s="134"/>
      <c r="FS25" s="134"/>
      <c r="FT25" s="191">
        <f t="shared" si="376"/>
        <v>3649</v>
      </c>
      <c r="FU25" s="151">
        <f t="shared" si="377"/>
        <v>5.613846153846154E-2</v>
      </c>
      <c r="FV25" s="190">
        <f t="shared" si="378"/>
        <v>-5</v>
      </c>
      <c r="FW25" s="191">
        <f t="shared" si="378"/>
        <v>-362174</v>
      </c>
      <c r="FX25" s="191">
        <f t="shared" si="378"/>
        <v>-468434</v>
      </c>
      <c r="FY25" s="191">
        <f t="shared" si="379"/>
        <v>-119217</v>
      </c>
      <c r="FZ25" s="191">
        <f t="shared" si="380"/>
        <v>121464.65172413792</v>
      </c>
      <c r="GA25" s="135">
        <f t="shared" si="381"/>
        <v>-0.83333333333333337</v>
      </c>
      <c r="GB25" s="135">
        <f t="shared" si="382"/>
        <v>-0.87814799956508205</v>
      </c>
      <c r="GC25" s="135">
        <f t="shared" si="383"/>
        <v>-0.97030097830156425</v>
      </c>
      <c r="GD25" s="151">
        <f t="shared" si="384"/>
        <v>-1.0309721157299543</v>
      </c>
      <c r="GE25" s="187">
        <f t="shared" si="385"/>
        <v>1.6666666666666667</v>
      </c>
      <c r="GF25" s="155">
        <f t="shared" si="386"/>
        <v>412903</v>
      </c>
      <c r="GG25" s="155">
        <f t="shared" si="387"/>
        <v>62002</v>
      </c>
      <c r="GH25" s="74">
        <f t="shared" si="388"/>
        <v>0.15016117586939307</v>
      </c>
      <c r="GI25" s="613">
        <f t="shared" si="389"/>
        <v>62002</v>
      </c>
      <c r="GJ25" s="187">
        <f t="shared" si="390"/>
        <v>-1.3333333333333333</v>
      </c>
      <c r="GK25" s="155">
        <f t="shared" si="390"/>
        <v>-300957</v>
      </c>
      <c r="GL25" s="155">
        <f t="shared" si="390"/>
        <v>-79889</v>
      </c>
      <c r="GM25" s="613">
        <f t="shared" si="391"/>
        <v>532217.52544871788</v>
      </c>
      <c r="GN25" s="133">
        <v>1</v>
      </c>
      <c r="GO25" s="134">
        <v>48394</v>
      </c>
      <c r="GP25" s="134">
        <v>65000</v>
      </c>
      <c r="GQ25" s="134">
        <v>0</v>
      </c>
      <c r="GR25" s="134">
        <f t="shared" si="392"/>
        <v>16606</v>
      </c>
      <c r="GS25" s="135">
        <f t="shared" si="393"/>
        <v>0.2554769230769231</v>
      </c>
      <c r="GT25" s="133">
        <v>0</v>
      </c>
      <c r="GU25" s="134">
        <v>0</v>
      </c>
      <c r="GV25" s="134">
        <v>0</v>
      </c>
      <c r="GW25" s="134">
        <v>0</v>
      </c>
      <c r="GX25" s="190">
        <f t="shared" si="394"/>
        <v>16606</v>
      </c>
      <c r="GY25" s="151">
        <f t="shared" si="395"/>
        <v>0.2554769230769231</v>
      </c>
      <c r="GZ25" s="614">
        <v>1</v>
      </c>
      <c r="HA25" s="130">
        <v>48394</v>
      </c>
      <c r="HB25" s="130">
        <v>65000</v>
      </c>
      <c r="HC25" s="130"/>
      <c r="HD25" s="134">
        <f t="shared" si="396"/>
        <v>16606</v>
      </c>
      <c r="HE25" s="151">
        <f t="shared" si="397"/>
        <v>0.2554769230769231</v>
      </c>
      <c r="HF25" s="138">
        <v>0</v>
      </c>
      <c r="HG25" s="130"/>
      <c r="HH25" s="130"/>
      <c r="HI25" s="130"/>
      <c r="HJ25" s="237"/>
      <c r="HK25" s="114"/>
      <c r="HL25" s="617">
        <v>1</v>
      </c>
      <c r="HM25" s="134">
        <v>48394</v>
      </c>
      <c r="HN25" s="134">
        <v>65000</v>
      </c>
      <c r="HO25" s="134">
        <v>0</v>
      </c>
      <c r="HP25" s="615">
        <f t="shared" ref="HP25:HP33" si="485">HN25-(HM25+HO25)</f>
        <v>16606</v>
      </c>
      <c r="HQ25" s="201">
        <f t="shared" si="398"/>
        <v>0.2554769230769231</v>
      </c>
      <c r="HR25" s="133">
        <v>45866</v>
      </c>
      <c r="HS25" s="134">
        <v>100000</v>
      </c>
      <c r="HT25" s="134"/>
      <c r="HU25" s="134">
        <v>0</v>
      </c>
      <c r="HV25" s="191">
        <f t="shared" si="399"/>
        <v>-129260</v>
      </c>
      <c r="HW25" s="151">
        <f t="shared" si="400"/>
        <v>-1.9886153846153847</v>
      </c>
      <c r="HX25" s="414">
        <v>1</v>
      </c>
      <c r="HY25" s="241">
        <f t="shared" si="401"/>
        <v>195000</v>
      </c>
      <c r="HZ25" s="415">
        <f t="shared" si="402"/>
        <v>49818</v>
      </c>
      <c r="IA25" s="241"/>
      <c r="IB25" s="415">
        <f t="shared" si="403"/>
        <v>-112654</v>
      </c>
      <c r="IC25" s="141"/>
      <c r="ID25" s="642">
        <v>1</v>
      </c>
      <c r="IE25" s="141">
        <f t="shared" si="404"/>
        <v>2435976</v>
      </c>
      <c r="IF25" s="141">
        <f t="shared" si="405"/>
        <v>479071</v>
      </c>
      <c r="IG25" s="74">
        <f t="shared" si="406"/>
        <v>0.19666490967070283</v>
      </c>
      <c r="IH25" s="1507"/>
      <c r="II25" s="69"/>
      <c r="IJ25" s="133">
        <v>1</v>
      </c>
      <c r="IK25" s="134">
        <v>48394</v>
      </c>
      <c r="IL25" s="134">
        <v>65000</v>
      </c>
      <c r="IM25" s="134">
        <v>0</v>
      </c>
      <c r="IN25" s="133">
        <f t="shared" si="407"/>
        <v>16606</v>
      </c>
      <c r="IO25" s="151">
        <f t="shared" si="408"/>
        <v>0.2554769230769231</v>
      </c>
      <c r="IP25" s="133">
        <v>45409</v>
      </c>
      <c r="IQ25" s="134">
        <v>0</v>
      </c>
      <c r="IR25" s="134">
        <v>0</v>
      </c>
      <c r="IS25" s="190">
        <f t="shared" si="409"/>
        <v>-28803</v>
      </c>
      <c r="IT25" s="151">
        <f t="shared" si="410"/>
        <v>-0.4431230769230769</v>
      </c>
      <c r="IU25" s="621">
        <v>1</v>
      </c>
      <c r="IV25" s="358">
        <v>48394</v>
      </c>
      <c r="IW25" s="622">
        <v>65000</v>
      </c>
      <c r="IX25" s="134">
        <v>0</v>
      </c>
      <c r="IY25" s="133">
        <f t="shared" si="411"/>
        <v>16606</v>
      </c>
      <c r="IZ25" s="151">
        <f t="shared" si="412"/>
        <v>0.2554769230769231</v>
      </c>
      <c r="JA25" s="133">
        <v>32500</v>
      </c>
      <c r="JB25" s="134">
        <v>0</v>
      </c>
      <c r="JC25" s="134">
        <v>0</v>
      </c>
      <c r="JD25" s="190">
        <f t="shared" si="413"/>
        <v>-15894</v>
      </c>
      <c r="JE25" s="151">
        <f t="shared" si="414"/>
        <v>-0.24452307692307693</v>
      </c>
      <c r="JF25" s="621">
        <v>1</v>
      </c>
      <c r="JG25" s="358">
        <v>48394</v>
      </c>
      <c r="JH25" s="622">
        <v>65000</v>
      </c>
      <c r="JI25" s="134">
        <v>0</v>
      </c>
      <c r="JJ25" s="133">
        <f t="shared" si="415"/>
        <v>16606</v>
      </c>
      <c r="JK25" s="151">
        <f t="shared" si="416"/>
        <v>0.2554769230769231</v>
      </c>
      <c r="JL25" s="133">
        <v>0</v>
      </c>
      <c r="JM25" s="134">
        <v>0</v>
      </c>
      <c r="JN25" s="134">
        <v>0</v>
      </c>
      <c r="JO25" s="190">
        <f t="shared" si="417"/>
        <v>16606</v>
      </c>
      <c r="JP25" s="151">
        <f t="shared" si="418"/>
        <v>0.2554769230769231</v>
      </c>
      <c r="JQ25" s="621">
        <v>1</v>
      </c>
      <c r="JR25" s="191">
        <f t="shared" si="249"/>
        <v>195000</v>
      </c>
      <c r="JS25" s="191">
        <f t="shared" si="250"/>
        <v>49818</v>
      </c>
      <c r="JT25" s="151">
        <f t="shared" si="419"/>
        <v>0.2554769230769231</v>
      </c>
      <c r="JU25" s="621">
        <v>1</v>
      </c>
      <c r="JV25" s="358">
        <v>48394</v>
      </c>
      <c r="JW25" s="622">
        <v>65000</v>
      </c>
      <c r="JX25" s="134"/>
      <c r="JY25" s="133">
        <f t="shared" si="420"/>
        <v>16606</v>
      </c>
      <c r="JZ25" s="151">
        <f t="shared" si="421"/>
        <v>0.2554769230769231</v>
      </c>
      <c r="KA25" s="133">
        <v>32500</v>
      </c>
      <c r="KB25" s="148">
        <v>0</v>
      </c>
      <c r="KC25" s="134">
        <v>0</v>
      </c>
      <c r="KD25" s="190">
        <f t="shared" si="422"/>
        <v>-15894</v>
      </c>
      <c r="KE25" s="151">
        <f t="shared" si="423"/>
        <v>-0.24452307692307693</v>
      </c>
      <c r="KF25" s="621">
        <v>1</v>
      </c>
      <c r="KG25" s="358">
        <v>48394</v>
      </c>
      <c r="KH25" s="622">
        <v>73450</v>
      </c>
      <c r="KI25" s="134"/>
      <c r="KJ25" s="133">
        <f t="shared" si="424"/>
        <v>25056</v>
      </c>
      <c r="KK25" s="151">
        <f t="shared" si="425"/>
        <v>0.34113002042205581</v>
      </c>
      <c r="KL25" s="133">
        <v>32007</v>
      </c>
      <c r="KM25" s="134">
        <v>0</v>
      </c>
      <c r="KN25" s="134">
        <v>0</v>
      </c>
      <c r="KO25" s="190">
        <f t="shared" si="426"/>
        <v>-6951</v>
      </c>
      <c r="KP25" s="151">
        <f t="shared" si="427"/>
        <v>-9.46358066712049E-2</v>
      </c>
      <c r="KQ25" s="621">
        <v>1</v>
      </c>
      <c r="KR25" s="358">
        <v>63900</v>
      </c>
      <c r="KS25" s="622">
        <v>73450</v>
      </c>
      <c r="KT25" s="134">
        <v>0</v>
      </c>
      <c r="KU25" s="133">
        <f t="shared" si="428"/>
        <v>9550</v>
      </c>
      <c r="KV25" s="151">
        <f t="shared" si="429"/>
        <v>0.13002042205582029</v>
      </c>
      <c r="KW25" s="133">
        <v>32500</v>
      </c>
      <c r="KX25" s="134">
        <v>0</v>
      </c>
      <c r="KY25" s="134">
        <v>0</v>
      </c>
      <c r="KZ25" s="190">
        <f t="shared" si="430"/>
        <v>-22950</v>
      </c>
      <c r="LA25" s="151">
        <f t="shared" si="431"/>
        <v>-0.31245745405037439</v>
      </c>
      <c r="LB25" s="402">
        <v>1</v>
      </c>
      <c r="LC25" s="191">
        <f t="shared" si="432"/>
        <v>211900</v>
      </c>
      <c r="LD25" s="191">
        <f t="shared" si="433"/>
        <v>51212</v>
      </c>
      <c r="LE25" s="151">
        <f t="shared" si="434"/>
        <v>0.24168003775365737</v>
      </c>
      <c r="LF25" s="226">
        <f t="shared" si="435"/>
        <v>0</v>
      </c>
      <c r="LG25" s="128">
        <f t="shared" si="436"/>
        <v>16900</v>
      </c>
      <c r="LH25" s="139">
        <f t="shared" si="437"/>
        <v>1394</v>
      </c>
      <c r="LI25" s="660">
        <f t="shared" si="438"/>
        <v>0</v>
      </c>
      <c r="LJ25" s="442">
        <f t="shared" si="439"/>
        <v>8.666666666666667E-2</v>
      </c>
      <c r="LK25" s="106">
        <f t="shared" si="440"/>
        <v>2.7981853948372073E-2</v>
      </c>
      <c r="LL25" s="621">
        <v>2</v>
      </c>
      <c r="LM25" s="358">
        <v>61492</v>
      </c>
      <c r="LN25" s="622">
        <v>73450</v>
      </c>
      <c r="LO25" s="134"/>
      <c r="LP25" s="133">
        <f t="shared" si="441"/>
        <v>11958</v>
      </c>
      <c r="LQ25" s="151">
        <f t="shared" si="442"/>
        <v>0.16280462899931927</v>
      </c>
      <c r="LR25" s="133">
        <v>0</v>
      </c>
      <c r="LS25" s="134">
        <v>25000</v>
      </c>
      <c r="LT25" s="134">
        <v>0</v>
      </c>
      <c r="LU25" s="190">
        <f t="shared" si="443"/>
        <v>-13042</v>
      </c>
      <c r="LV25" s="151">
        <f t="shared" si="444"/>
        <v>-0.17756296800544588</v>
      </c>
      <c r="LW25" s="134">
        <v>3</v>
      </c>
      <c r="LX25" s="134">
        <v>311240</v>
      </c>
      <c r="LY25" s="134">
        <v>409947</v>
      </c>
      <c r="LZ25" s="134"/>
      <c r="MA25" s="133">
        <f t="shared" si="445"/>
        <v>98707</v>
      </c>
      <c r="MB25" s="151">
        <f t="shared" si="446"/>
        <v>0.24077990569512644</v>
      </c>
      <c r="MC25" s="134">
        <v>2231</v>
      </c>
      <c r="MD25" s="134">
        <v>90000</v>
      </c>
      <c r="ME25" s="134">
        <v>0</v>
      </c>
      <c r="MF25" s="190">
        <f t="shared" si="447"/>
        <v>6476</v>
      </c>
      <c r="MG25" s="151">
        <f t="shared" si="448"/>
        <v>1.579716402364208E-2</v>
      </c>
      <c r="MH25" s="134">
        <v>2</v>
      </c>
      <c r="MI25" s="134">
        <v>227867</v>
      </c>
      <c r="MJ25" s="134">
        <v>308400</v>
      </c>
      <c r="MK25" s="134"/>
      <c r="ML25" s="133">
        <f t="shared" si="449"/>
        <v>80533</v>
      </c>
      <c r="MM25" s="151">
        <f t="shared" si="450"/>
        <v>0.26113164721141374</v>
      </c>
      <c r="MN25" s="134">
        <v>88773</v>
      </c>
      <c r="MO25" s="134">
        <v>0</v>
      </c>
      <c r="MP25" s="134">
        <v>0</v>
      </c>
      <c r="MQ25" s="190">
        <f t="shared" si="451"/>
        <v>-8240</v>
      </c>
      <c r="MR25" s="151">
        <f t="shared" si="452"/>
        <v>-2.6718547341115433E-2</v>
      </c>
      <c r="MS25" s="1472">
        <v>2</v>
      </c>
      <c r="MT25" s="118">
        <f t="shared" si="453"/>
        <v>791797</v>
      </c>
      <c r="MU25" s="118">
        <f t="shared" si="454"/>
        <v>191198</v>
      </c>
      <c r="MV25" s="135">
        <f t="shared" si="455"/>
        <v>0.24147350899283529</v>
      </c>
      <c r="MW25" s="133">
        <f t="shared" si="456"/>
        <v>1</v>
      </c>
      <c r="MX25" s="134">
        <f t="shared" si="457"/>
        <v>579897</v>
      </c>
      <c r="MY25" s="134">
        <f t="shared" si="458"/>
        <v>139986</v>
      </c>
      <c r="MZ25" s="135">
        <f t="shared" si="459"/>
        <v>1</v>
      </c>
      <c r="NA25" s="135">
        <f t="shared" si="460"/>
        <v>2.7366540821142049</v>
      </c>
      <c r="NB25" s="151">
        <f t="shared" si="461"/>
        <v>2.7334609075997811</v>
      </c>
      <c r="NC25" s="134">
        <v>2</v>
      </c>
      <c r="ND25" s="134">
        <v>227867</v>
      </c>
      <c r="NE25" s="134">
        <v>322617</v>
      </c>
      <c r="NF25" s="134"/>
      <c r="NG25" s="133">
        <f t="shared" si="462"/>
        <v>94750</v>
      </c>
      <c r="NH25" s="151">
        <f t="shared" si="463"/>
        <v>0.29369190092276598</v>
      </c>
      <c r="NI25" s="134">
        <v>91667</v>
      </c>
      <c r="NJ25" s="134">
        <v>0</v>
      </c>
      <c r="NK25" s="134">
        <v>0</v>
      </c>
      <c r="NL25" s="190">
        <f t="shared" si="464"/>
        <v>3083</v>
      </c>
      <c r="NM25" s="135">
        <f t="shared" si="465"/>
        <v>9.5562230136663606E-3</v>
      </c>
      <c r="NN25" s="1563">
        <v>2</v>
      </c>
      <c r="NO25" s="134">
        <v>227867</v>
      </c>
      <c r="NP25" s="134">
        <v>322617</v>
      </c>
      <c r="NQ25" s="134">
        <v>0</v>
      </c>
      <c r="NR25" s="133">
        <f t="shared" si="466"/>
        <v>94750</v>
      </c>
      <c r="NS25" s="151">
        <f t="shared" si="467"/>
        <v>0.29369190092276598</v>
      </c>
      <c r="NT25" s="134">
        <f>91667+25000</f>
        <v>116667</v>
      </c>
      <c r="NU25" s="134">
        <v>0</v>
      </c>
      <c r="NV25" s="134">
        <v>50000</v>
      </c>
      <c r="NW25" s="190">
        <f t="shared" si="468"/>
        <v>-71917</v>
      </c>
      <c r="NX25" s="135">
        <f t="shared" si="469"/>
        <v>-0.22291757718905078</v>
      </c>
      <c r="NY25" s="1563">
        <v>2</v>
      </c>
      <c r="NZ25" s="134">
        <v>227867</v>
      </c>
      <c r="OA25" s="134">
        <v>322617</v>
      </c>
      <c r="OB25" s="134">
        <v>0</v>
      </c>
      <c r="OC25" s="133">
        <f t="shared" si="470"/>
        <v>94750</v>
      </c>
      <c r="OD25" s="151">
        <f t="shared" si="471"/>
        <v>0.29369190092276598</v>
      </c>
      <c r="OE25" s="134">
        <f>91667+25000-6560</f>
        <v>110107</v>
      </c>
      <c r="OF25" s="134">
        <v>0</v>
      </c>
      <c r="OG25" s="134">
        <v>50000</v>
      </c>
      <c r="OH25" s="190">
        <f t="shared" si="472"/>
        <v>-65357</v>
      </c>
      <c r="OI25" s="5380">
        <f t="shared" si="473"/>
        <v>-0.20258386879798645</v>
      </c>
      <c r="OJ25" s="69">
        <v>2</v>
      </c>
      <c r="OK25" s="155">
        <f t="shared" si="474"/>
        <v>2149942</v>
      </c>
      <c r="OL25" s="155">
        <f t="shared" si="475"/>
        <v>559872</v>
      </c>
      <c r="OM25" s="74">
        <f t="shared" si="476"/>
        <v>0.26041260647961667</v>
      </c>
      <c r="ON25" s="155">
        <f t="shared" si="477"/>
        <v>-239489</v>
      </c>
      <c r="OO25" s="70"/>
      <c r="OP25" s="69"/>
      <c r="OQ25" s="2008">
        <v>2</v>
      </c>
      <c r="OR25" s="208">
        <v>227867</v>
      </c>
      <c r="OS25" s="208">
        <v>320169</v>
      </c>
      <c r="OT25" s="134"/>
      <c r="OU25" s="133">
        <f t="shared" si="255"/>
        <v>92302</v>
      </c>
      <c r="OV25" s="94">
        <f t="shared" si="256"/>
        <v>0.28829149605364668</v>
      </c>
      <c r="OW25" s="133">
        <v>55780</v>
      </c>
      <c r="OX25" s="134">
        <v>50000</v>
      </c>
      <c r="OY25" s="134">
        <v>0</v>
      </c>
      <c r="OZ25" s="190">
        <f t="shared" si="257"/>
        <v>-13478</v>
      </c>
      <c r="PA25" s="5361">
        <f t="shared" si="258"/>
        <v>-4.2096517776549262E-2</v>
      </c>
      <c r="PB25" s="5321">
        <v>6</v>
      </c>
      <c r="PC25" s="358">
        <v>237831</v>
      </c>
      <c r="PD25" s="622">
        <v>335520</v>
      </c>
      <c r="PE25" s="134"/>
      <c r="PF25" s="133">
        <f t="shared" si="259"/>
        <v>97689</v>
      </c>
      <c r="PG25" s="94">
        <f t="shared" si="260"/>
        <v>0.29115701001430616</v>
      </c>
      <c r="PH25" s="134">
        <v>0</v>
      </c>
      <c r="PI25" s="134">
        <v>50000</v>
      </c>
      <c r="PJ25" s="134">
        <v>47000</v>
      </c>
      <c r="PK25" s="190">
        <f t="shared" si="261"/>
        <v>689</v>
      </c>
      <c r="PL25" s="135">
        <f t="shared" si="262"/>
        <v>2.0535288507391512E-3</v>
      </c>
      <c r="PM25" s="3863">
        <v>4</v>
      </c>
      <c r="PN25" s="358">
        <v>102515</v>
      </c>
      <c r="PO25" s="622">
        <v>133450</v>
      </c>
      <c r="PP25" s="134"/>
      <c r="PQ25" s="6293">
        <f t="shared" si="263"/>
        <v>30935</v>
      </c>
      <c r="PR25" s="6295">
        <f t="shared" si="264"/>
        <v>0.23180966654177595</v>
      </c>
      <c r="PS25" s="134">
        <v>0</v>
      </c>
      <c r="PT25" s="134">
        <v>25000</v>
      </c>
      <c r="PU25" s="134">
        <v>0</v>
      </c>
      <c r="PV25" s="190">
        <f t="shared" si="265"/>
        <v>5935</v>
      </c>
      <c r="PW25" s="5380">
        <f t="shared" si="266"/>
        <v>4.4473585612588983E-2</v>
      </c>
      <c r="PX25" s="5321">
        <v>4</v>
      </c>
      <c r="PY25" s="191">
        <f t="shared" si="267"/>
        <v>789139</v>
      </c>
      <c r="PZ25" s="191">
        <f t="shared" si="268"/>
        <v>220926</v>
      </c>
      <c r="QA25" s="135">
        <f t="shared" si="269"/>
        <v>0.27995828364838132</v>
      </c>
      <c r="QB25" s="3863">
        <v>2</v>
      </c>
      <c r="QC25" s="358">
        <v>70854</v>
      </c>
      <c r="QD25" s="358">
        <v>90113</v>
      </c>
      <c r="QE25" s="134"/>
      <c r="QF25" s="6293">
        <f t="shared" si="270"/>
        <v>19259</v>
      </c>
      <c r="QG25" s="6295">
        <f t="shared" si="271"/>
        <v>0.21372055086391531</v>
      </c>
      <c r="QH25" s="134">
        <v>0</v>
      </c>
      <c r="QI25" s="148"/>
      <c r="QJ25" s="134">
        <v>0</v>
      </c>
      <c r="QK25" s="190">
        <f t="shared" si="272"/>
        <v>19259</v>
      </c>
      <c r="QL25" s="5380">
        <f t="shared" si="273"/>
        <v>0.21372055086391531</v>
      </c>
      <c r="QM25" s="3863">
        <v>4</v>
      </c>
      <c r="QN25" s="358">
        <v>262718</v>
      </c>
      <c r="QO25" s="622">
        <v>358159</v>
      </c>
      <c r="QP25" s="134">
        <v>0</v>
      </c>
      <c r="QQ25" s="133">
        <f>QO25-(QN25+QP25)</f>
        <v>95441</v>
      </c>
      <c r="QR25" s="151">
        <f>QQ25/QO25</f>
        <v>0.26647662071873107</v>
      </c>
      <c r="QS25" s="133">
        <v>67500</v>
      </c>
      <c r="QT25" s="134">
        <v>0</v>
      </c>
      <c r="QU25" s="134">
        <v>0</v>
      </c>
      <c r="QV25" s="190">
        <f>QQ25-SUM(QS25:QU25)</f>
        <v>27941</v>
      </c>
      <c r="QW25" s="5380">
        <f>QV25/QO25</f>
        <v>7.8012837873681795E-2</v>
      </c>
      <c r="QX25" s="3863">
        <v>6</v>
      </c>
      <c r="QY25" s="358">
        <v>463171</v>
      </c>
      <c r="QZ25" s="358">
        <v>739162</v>
      </c>
      <c r="RA25" s="359"/>
      <c r="RB25" s="133">
        <f>QZ25-(QY25+RA25)</f>
        <v>275991</v>
      </c>
      <c r="RC25" s="151">
        <f>RB25/QZ25</f>
        <v>0.37338364255738254</v>
      </c>
      <c r="RD25" s="133">
        <v>67500</v>
      </c>
      <c r="RE25" s="134">
        <v>50000</v>
      </c>
      <c r="RF25" s="134">
        <v>0</v>
      </c>
      <c r="RG25" s="190">
        <f>RB25-SUM(RD25:RF25)</f>
        <v>158491</v>
      </c>
      <c r="RH25" s="5380">
        <f>RG25/QZ25</f>
        <v>0.2144198430114102</v>
      </c>
      <c r="RI25" s="5376"/>
      <c r="RJ25" s="191">
        <f t="shared" si="275"/>
        <v>1187434</v>
      </c>
      <c r="RK25" s="191">
        <f>RB25+QQ25+QF25</f>
        <v>390691</v>
      </c>
      <c r="RL25" s="5380">
        <f t="shared" ref="RL25:RL33" si="486">RK25/RJ25</f>
        <v>0.32902123402226985</v>
      </c>
      <c r="RM25" s="1562">
        <f t="shared" si="276"/>
        <v>-4</v>
      </c>
      <c r="RN25" s="128">
        <f t="shared" si="277"/>
        <v>398295</v>
      </c>
      <c r="RO25" s="139">
        <f t="shared" si="278"/>
        <v>169765</v>
      </c>
      <c r="RP25" s="660">
        <f t="shared" si="279"/>
        <v>-1</v>
      </c>
      <c r="RQ25" s="442">
        <f t="shared" si="280"/>
        <v>0.50472096804238542</v>
      </c>
      <c r="RR25" s="6339">
        <f t="shared" si="281"/>
        <v>0.76842472139992579</v>
      </c>
      <c r="RS25" s="698">
        <v>8</v>
      </c>
      <c r="RT25" s="208">
        <v>612537</v>
      </c>
      <c r="RU25" s="208">
        <v>971530</v>
      </c>
      <c r="RV25" s="4269">
        <v>0</v>
      </c>
      <c r="RW25" s="133">
        <f>RU25-(RT25+RV25)</f>
        <v>358993</v>
      </c>
      <c r="RX25" s="151">
        <f>RW25/RU25</f>
        <v>0.36951303613887376</v>
      </c>
      <c r="RY25" s="133">
        <v>306311</v>
      </c>
      <c r="RZ25" s="134">
        <v>50000</v>
      </c>
      <c r="SA25" s="134">
        <v>0</v>
      </c>
      <c r="SB25" s="188">
        <f t="shared" si="282"/>
        <v>2682</v>
      </c>
      <c r="SC25" s="5380">
        <f t="shared" si="232"/>
        <v>2.7605941144380514E-3</v>
      </c>
      <c r="SD25" s="110">
        <v>10</v>
      </c>
      <c r="SE25" s="208">
        <v>841137</v>
      </c>
      <c r="SF25" s="208">
        <v>1266948</v>
      </c>
      <c r="SG25" s="994"/>
      <c r="SH25" s="6375">
        <f t="shared" si="287"/>
        <v>425811</v>
      </c>
      <c r="SI25" s="6376">
        <f t="shared" si="288"/>
        <v>0.33609193116055275</v>
      </c>
      <c r="SJ25" s="134">
        <v>306311</v>
      </c>
      <c r="SK25" s="134">
        <v>50000</v>
      </c>
      <c r="SL25" s="134">
        <v>0</v>
      </c>
      <c r="SM25" s="188">
        <f t="shared" si="289"/>
        <v>69500</v>
      </c>
      <c r="SN25" s="5389">
        <f t="shared" si="290"/>
        <v>5.4856237193633833E-2</v>
      </c>
      <c r="SO25" s="134">
        <v>9</v>
      </c>
      <c r="SP25" s="134">
        <v>862341</v>
      </c>
      <c r="SQ25" s="134">
        <v>1296157</v>
      </c>
      <c r="SR25" s="134">
        <v>0</v>
      </c>
      <c r="SS25" s="6361">
        <f t="shared" si="283"/>
        <v>433816</v>
      </c>
      <c r="ST25" s="6363">
        <f t="shared" si="301"/>
        <v>0.3346940224062363</v>
      </c>
      <c r="SU25" s="134">
        <v>306311</v>
      </c>
      <c r="SV25" s="134">
        <v>9987</v>
      </c>
      <c r="SW25" s="134">
        <v>88211</v>
      </c>
      <c r="SX25" s="190">
        <f t="shared" si="302"/>
        <v>29307</v>
      </c>
      <c r="SY25" s="5380">
        <f t="shared" si="303"/>
        <v>2.2610686822661142E-2</v>
      </c>
      <c r="SZ25" s="6270"/>
      <c r="TA25" s="118">
        <f t="shared" si="478"/>
        <v>3534635</v>
      </c>
      <c r="TB25" s="118">
        <f t="shared" si="479"/>
        <v>1218620</v>
      </c>
      <c r="TC25" s="5380">
        <f t="shared" ref="TC25:TC33" si="487">TB25/TA25</f>
        <v>0.3447654425421578</v>
      </c>
      <c r="TD25" s="209">
        <v>10</v>
      </c>
      <c r="TE25" s="208">
        <v>1008990</v>
      </c>
      <c r="TF25" s="208">
        <v>1490296</v>
      </c>
      <c r="TG25" s="134"/>
      <c r="TH25" s="133">
        <f t="shared" si="304"/>
        <v>481306</v>
      </c>
      <c r="TI25" s="151">
        <f t="shared" si="305"/>
        <v>0.32296000257666935</v>
      </c>
      <c r="TJ25" s="134">
        <v>306311</v>
      </c>
      <c r="TK25" s="134">
        <v>9987</v>
      </c>
      <c r="TL25" s="134">
        <v>100000</v>
      </c>
      <c r="TM25" s="190">
        <f t="shared" si="306"/>
        <v>65008</v>
      </c>
      <c r="TN25" s="5380">
        <f t="shared" si="307"/>
        <v>4.3620864579922376E-2</v>
      </c>
      <c r="TO25" s="134"/>
      <c r="TP25" s="134"/>
      <c r="TQ25" s="134"/>
      <c r="TR25" s="134"/>
      <c r="TS25" s="133">
        <f t="shared" si="480"/>
        <v>0</v>
      </c>
      <c r="TT25" s="151" t="e">
        <f t="shared" ref="TT25:TT33" si="488">TS25/TQ25</f>
        <v>#DIV/0!</v>
      </c>
      <c r="TU25" s="134"/>
      <c r="TV25" s="134"/>
      <c r="TW25" s="134"/>
      <c r="TX25" s="190">
        <f t="shared" si="481"/>
        <v>0</v>
      </c>
      <c r="TY25" s="135" t="e">
        <f t="shared" ref="TY25:TY33" si="489">TX25/TQ25</f>
        <v>#DIV/0!</v>
      </c>
      <c r="TZ25" s="1563"/>
      <c r="UA25" s="134"/>
      <c r="UB25" s="134"/>
      <c r="UC25" s="134"/>
      <c r="UD25" s="133">
        <f t="shared" si="482"/>
        <v>0</v>
      </c>
      <c r="UE25" s="151" t="e">
        <f t="shared" ref="UE25:UE33" si="490">UD25/UB25</f>
        <v>#DIV/0!</v>
      </c>
      <c r="UF25" s="134"/>
      <c r="UG25" s="134"/>
      <c r="UH25" s="134"/>
      <c r="UI25" s="190">
        <f t="shared" si="483"/>
        <v>0</v>
      </c>
      <c r="UJ25" s="5380" t="e">
        <f t="shared" ref="UJ25:UJ33" si="491">UI25/UB25</f>
        <v>#DIV/0!</v>
      </c>
      <c r="UK25" s="5376"/>
      <c r="UL25" s="191">
        <f t="shared" si="284"/>
        <v>7001504</v>
      </c>
      <c r="UM25" s="191">
        <f t="shared" si="285"/>
        <v>2311543</v>
      </c>
      <c r="UN25" s="135">
        <f>UM25/UL25</f>
        <v>0.33014949359451912</v>
      </c>
      <c r="UO25" s="191">
        <f t="shared" si="286"/>
        <v>365334</v>
      </c>
      <c r="UP25" s="5380">
        <f t="shared" si="291"/>
        <v>5.2179360320296894E-2</v>
      </c>
    </row>
    <row r="26" spans="1:567" x14ac:dyDescent="0.3">
      <c r="A26" s="5315">
        <v>7</v>
      </c>
      <c r="B26" s="5360" t="s">
        <v>385</v>
      </c>
      <c r="C26" s="578" t="s">
        <v>141</v>
      </c>
      <c r="D26" s="578" t="s">
        <v>140</v>
      </c>
      <c r="E26" s="6278" t="s">
        <v>254</v>
      </c>
      <c r="F26" s="579">
        <v>11</v>
      </c>
      <c r="G26" s="161">
        <v>1792851</v>
      </c>
      <c r="H26" s="161">
        <v>2647226</v>
      </c>
      <c r="I26" s="161">
        <v>829731</v>
      </c>
      <c r="J26" s="351">
        <f t="shared" si="308"/>
        <v>0.31343413822620358</v>
      </c>
      <c r="K26" s="580">
        <v>13.333333333333334</v>
      </c>
      <c r="L26" s="161">
        <v>2739419</v>
      </c>
      <c r="M26" s="161">
        <v>3778017</v>
      </c>
      <c r="N26" s="161">
        <v>1026695</v>
      </c>
      <c r="O26" s="422"/>
      <c r="P26" s="580">
        <v>18.666666666666668</v>
      </c>
      <c r="Q26" s="161">
        <v>4267277</v>
      </c>
      <c r="R26" s="161">
        <v>5561196</v>
      </c>
      <c r="S26" s="161">
        <v>1245976</v>
      </c>
      <c r="T26" s="94"/>
      <c r="U26" s="136"/>
      <c r="V26" s="422"/>
      <c r="W26" s="422"/>
      <c r="X26" s="422"/>
      <c r="Y26" s="422"/>
      <c r="Z26" s="581"/>
      <c r="AA26" s="422"/>
      <c r="AB26" s="422"/>
      <c r="AC26" s="422"/>
      <c r="AD26" s="422"/>
      <c r="AE26" s="619">
        <f t="shared" si="309"/>
        <v>0</v>
      </c>
      <c r="AF26" s="422"/>
      <c r="AG26" s="113">
        <v>13</v>
      </c>
      <c r="AH26" s="616">
        <v>1178606</v>
      </c>
      <c r="AI26" s="616">
        <v>1757790</v>
      </c>
      <c r="AJ26" s="616"/>
      <c r="AK26" s="105">
        <f t="shared" si="310"/>
        <v>579184</v>
      </c>
      <c r="AL26" s="114">
        <f t="shared" si="311"/>
        <v>0.32949555976538719</v>
      </c>
      <c r="AM26" s="129">
        <v>170000</v>
      </c>
      <c r="AN26" s="130">
        <v>131298</v>
      </c>
      <c r="AO26" s="130"/>
      <c r="AP26" s="130">
        <v>49383.651724137926</v>
      </c>
      <c r="AQ26" s="130">
        <f t="shared" si="312"/>
        <v>228502.34827586208</v>
      </c>
      <c r="AR26" s="114">
        <f t="shared" si="313"/>
        <v>0.39452462132217408</v>
      </c>
      <c r="AS26" s="113">
        <v>13</v>
      </c>
      <c r="AT26" s="213">
        <v>3976000</v>
      </c>
      <c r="AU26" s="130">
        <v>5756812</v>
      </c>
      <c r="AV26" s="130">
        <v>1635261</v>
      </c>
      <c r="AW26" s="114">
        <f t="shared" si="314"/>
        <v>0.28405669665780298</v>
      </c>
      <c r="AX26" s="617">
        <v>13</v>
      </c>
      <c r="AY26" s="241">
        <f t="shared" si="315"/>
        <v>12775547</v>
      </c>
      <c r="AZ26" s="241">
        <f t="shared" si="316"/>
        <v>17743251</v>
      </c>
      <c r="BA26" s="241">
        <f t="shared" si="317"/>
        <v>4737663</v>
      </c>
      <c r="BB26" s="135">
        <f t="shared" si="318"/>
        <v>0.26701211632524391</v>
      </c>
      <c r="BC26" s="636">
        <v>15</v>
      </c>
      <c r="BD26" s="619">
        <v>1306261</v>
      </c>
      <c r="BE26" s="619">
        <v>1758917</v>
      </c>
      <c r="BF26" s="619">
        <v>0</v>
      </c>
      <c r="BG26" s="619">
        <f t="shared" si="319"/>
        <v>452656</v>
      </c>
      <c r="BH26" s="618"/>
      <c r="BI26" s="636">
        <v>15</v>
      </c>
      <c r="BJ26" s="619">
        <v>1365618</v>
      </c>
      <c r="BK26" s="619">
        <v>1890323</v>
      </c>
      <c r="BL26" s="619">
        <v>16592</v>
      </c>
      <c r="BM26" s="619">
        <f t="shared" si="320"/>
        <v>508113</v>
      </c>
      <c r="BN26" s="618"/>
      <c r="BO26" s="620">
        <v>15</v>
      </c>
      <c r="BP26" s="619">
        <v>1474256</v>
      </c>
      <c r="BQ26" s="619">
        <v>1989650</v>
      </c>
      <c r="BR26" s="619"/>
      <c r="BS26" s="619">
        <f t="shared" si="321"/>
        <v>515394</v>
      </c>
      <c r="BT26" s="1480">
        <f t="shared" si="322"/>
        <v>0.25903751916166162</v>
      </c>
      <c r="BU26" s="620">
        <v>15</v>
      </c>
      <c r="BV26" s="1481">
        <f t="shared" si="323"/>
        <v>5638890</v>
      </c>
      <c r="BW26" s="1481">
        <f t="shared" si="324"/>
        <v>1476163</v>
      </c>
      <c r="BX26" s="236">
        <f t="shared" si="325"/>
        <v>0.26178254940245332</v>
      </c>
      <c r="BY26" s="594">
        <f>12+1</f>
        <v>13</v>
      </c>
      <c r="BZ26" s="595">
        <f>1170464+215842</f>
        <v>1386306</v>
      </c>
      <c r="CA26" s="595">
        <v>1870903</v>
      </c>
      <c r="CB26" s="595">
        <v>5518</v>
      </c>
      <c r="CC26" s="596">
        <f t="shared" si="326"/>
        <v>479079</v>
      </c>
      <c r="CD26" s="597">
        <f t="shared" si="327"/>
        <v>0.2560683263643278</v>
      </c>
      <c r="CE26" s="598">
        <v>200000</v>
      </c>
      <c r="CF26" s="599">
        <v>0</v>
      </c>
      <c r="CG26" s="599"/>
      <c r="CH26" s="599">
        <v>74304.057692307688</v>
      </c>
      <c r="CI26" s="599">
        <f t="shared" si="328"/>
        <v>204774.94230769231</v>
      </c>
      <c r="CJ26" s="597">
        <f t="shared" si="329"/>
        <v>0.10945246349366713</v>
      </c>
      <c r="CK26" s="600">
        <f>11+1</f>
        <v>12</v>
      </c>
      <c r="CL26" s="601">
        <f>1033313+182917</f>
        <v>1216230</v>
      </c>
      <c r="CM26" s="601">
        <v>1632420</v>
      </c>
      <c r="CN26" s="601">
        <v>109592</v>
      </c>
      <c r="CO26" s="96">
        <f t="shared" si="330"/>
        <v>306598</v>
      </c>
      <c r="CP26" s="602">
        <f t="shared" si="331"/>
        <v>0.18781808603178105</v>
      </c>
      <c r="CQ26" s="603">
        <v>100000</v>
      </c>
      <c r="CR26" s="603">
        <v>99658.273076923069</v>
      </c>
      <c r="CS26" s="603"/>
      <c r="CT26" s="603">
        <v>147101.18634615382</v>
      </c>
      <c r="CU26" s="603">
        <f t="shared" si="332"/>
        <v>-40161.459423076885</v>
      </c>
      <c r="CV26" s="604">
        <f t="shared" si="333"/>
        <v>-2.46024058900754E-2</v>
      </c>
      <c r="CW26" s="129">
        <v>12</v>
      </c>
      <c r="CX26" s="130">
        <v>1309940</v>
      </c>
      <c r="CY26" s="130">
        <v>1723780</v>
      </c>
      <c r="CZ26" s="130">
        <v>38369</v>
      </c>
      <c r="DA26" s="605">
        <f t="shared" si="334"/>
        <v>375471</v>
      </c>
      <c r="DB26" s="114">
        <f t="shared" si="335"/>
        <v>0.21781839909965309</v>
      </c>
      <c r="DC26" s="138">
        <v>50000</v>
      </c>
      <c r="DD26" s="606">
        <v>113817.95833333333</v>
      </c>
      <c r="DE26" s="130"/>
      <c r="DF26" s="130">
        <v>121185.01354166666</v>
      </c>
      <c r="DG26" s="128">
        <f t="shared" si="336"/>
        <v>90468.028125000026</v>
      </c>
      <c r="DH26" s="169">
        <f t="shared" si="337"/>
        <v>5.2482351648702283E-2</v>
      </c>
      <c r="DI26" s="204">
        <f t="shared" si="338"/>
        <v>12.333333333333334</v>
      </c>
      <c r="DJ26" s="202">
        <f t="shared" si="339"/>
        <v>5227103</v>
      </c>
      <c r="DK26" s="202">
        <f t="shared" si="340"/>
        <v>1161148</v>
      </c>
      <c r="DL26" s="119">
        <f t="shared" si="341"/>
        <v>0.22213987365468024</v>
      </c>
      <c r="DM26" s="202">
        <f t="shared" si="342"/>
        <v>255081.51100961544</v>
      </c>
      <c r="DN26" s="119">
        <f t="shared" si="343"/>
        <v>4.8799786614041364E-2</v>
      </c>
      <c r="DO26" s="607">
        <f t="shared" si="344"/>
        <v>-1</v>
      </c>
      <c r="DP26" s="137">
        <f t="shared" si="344"/>
        <v>131334</v>
      </c>
      <c r="DQ26" s="137">
        <f t="shared" si="344"/>
        <v>-34010</v>
      </c>
      <c r="DR26" s="137">
        <f t="shared" si="345"/>
        <v>-203713</v>
      </c>
      <c r="DS26" s="135">
        <f t="shared" si="346"/>
        <v>-7.6923076923076927E-2</v>
      </c>
      <c r="DT26" s="135">
        <f t="shared" si="347"/>
        <v>7.471540969057737E-2</v>
      </c>
      <c r="DU26" s="135">
        <f t="shared" si="348"/>
        <v>-5.8720544766430009E-2</v>
      </c>
      <c r="DV26" s="151">
        <f t="shared" si="349"/>
        <v>-0.8915138139152301</v>
      </c>
      <c r="DW26" s="607">
        <f t="shared" si="350"/>
        <v>0</v>
      </c>
      <c r="DX26" s="608">
        <f t="shared" si="351"/>
        <v>91360</v>
      </c>
      <c r="DY26" s="608">
        <f t="shared" si="352"/>
        <v>68873</v>
      </c>
      <c r="DZ26" s="608">
        <f t="shared" si="353"/>
        <v>130629.48754807691</v>
      </c>
      <c r="EA26" s="135">
        <f t="shared" si="354"/>
        <v>0</v>
      </c>
      <c r="EB26" s="135">
        <f t="shared" si="355"/>
        <v>5.5965989144950441E-2</v>
      </c>
      <c r="EC26" s="135">
        <f t="shared" si="356"/>
        <v>0.224636168533389</v>
      </c>
      <c r="ED26" s="151">
        <f t="shared" si="357"/>
        <v>-3.2526080830871611</v>
      </c>
      <c r="EE26" s="129">
        <v>13</v>
      </c>
      <c r="EF26" s="130">
        <v>1253364</v>
      </c>
      <c r="EG26" s="130">
        <v>1616274</v>
      </c>
      <c r="EH26" s="130">
        <v>22509</v>
      </c>
      <c r="EI26" s="605">
        <f t="shared" si="358"/>
        <v>340401</v>
      </c>
      <c r="EJ26" s="114">
        <f t="shared" si="359"/>
        <v>0.21060847356326959</v>
      </c>
      <c r="EK26" s="138">
        <f>116667+51000</f>
        <v>167667</v>
      </c>
      <c r="EL26" s="606">
        <v>0</v>
      </c>
      <c r="EM26" s="130">
        <v>0</v>
      </c>
      <c r="EN26" s="130">
        <v>96058.455729166672</v>
      </c>
      <c r="EO26" s="128">
        <f t="shared" si="360"/>
        <v>76675.544270833328</v>
      </c>
      <c r="EP26" s="114">
        <f t="shared" si="361"/>
        <v>4.7439694179844089E-2</v>
      </c>
      <c r="EQ26" s="129">
        <v>15</v>
      </c>
      <c r="ER26" s="595">
        <v>1409321</v>
      </c>
      <c r="ES26" s="595">
        <v>1869555</v>
      </c>
      <c r="ET26" s="130">
        <v>0</v>
      </c>
      <c r="EU26" s="134">
        <f t="shared" si="362"/>
        <v>460234</v>
      </c>
      <c r="EV26" s="114">
        <f t="shared" si="363"/>
        <v>0.24617301978278253</v>
      </c>
      <c r="EW26" s="138">
        <v>247813</v>
      </c>
      <c r="EX26" s="606">
        <v>0</v>
      </c>
      <c r="EY26" s="130">
        <v>0</v>
      </c>
      <c r="EZ26" s="128">
        <v>184967.74562500001</v>
      </c>
      <c r="FA26" s="128">
        <f t="shared" si="364"/>
        <v>27453.25437499999</v>
      </c>
      <c r="FB26" s="114">
        <f t="shared" si="365"/>
        <v>1.4684379103583467E-2</v>
      </c>
      <c r="FC26" s="609">
        <f t="shared" si="366"/>
        <v>2</v>
      </c>
      <c r="FD26" s="610">
        <f t="shared" si="367"/>
        <v>111765</v>
      </c>
      <c r="FE26" s="610">
        <f t="shared" si="368"/>
        <v>-118950</v>
      </c>
      <c r="FF26" s="610">
        <f t="shared" si="369"/>
        <v>-201049.09390086209</v>
      </c>
      <c r="FG26" s="611">
        <f t="shared" si="370"/>
        <v>0.15384615384615385</v>
      </c>
      <c r="FH26" s="611">
        <f t="shared" si="371"/>
        <v>6.3582680524977384E-2</v>
      </c>
      <c r="FI26" s="611">
        <f t="shared" si="372"/>
        <v>-0.20537514848476476</v>
      </c>
      <c r="FJ26" s="612">
        <f t="shared" si="373"/>
        <v>-0.87985570134335456</v>
      </c>
      <c r="FK26" s="133">
        <v>19</v>
      </c>
      <c r="FL26" s="134">
        <v>1565898</v>
      </c>
      <c r="FM26" s="134">
        <v>2016460</v>
      </c>
      <c r="FN26" s="134"/>
      <c r="FO26" s="134">
        <f t="shared" si="374"/>
        <v>450562</v>
      </c>
      <c r="FP26" s="135">
        <f t="shared" si="375"/>
        <v>0.22344207174950159</v>
      </c>
      <c r="FQ26" s="133">
        <v>131000</v>
      </c>
      <c r="FR26" s="134">
        <v>150000</v>
      </c>
      <c r="FS26" s="134">
        <v>150000</v>
      </c>
      <c r="FT26" s="191">
        <f t="shared" si="376"/>
        <v>19562</v>
      </c>
      <c r="FU26" s="151">
        <f t="shared" si="377"/>
        <v>9.7011594576634306E-3</v>
      </c>
      <c r="FV26" s="190">
        <f t="shared" si="378"/>
        <v>6</v>
      </c>
      <c r="FW26" s="191">
        <f t="shared" si="378"/>
        <v>387292</v>
      </c>
      <c r="FX26" s="191">
        <f t="shared" si="378"/>
        <v>258670</v>
      </c>
      <c r="FY26" s="191">
        <f t="shared" si="379"/>
        <v>-128622</v>
      </c>
      <c r="FZ26" s="191">
        <f t="shared" si="380"/>
        <v>-208940.34827586208</v>
      </c>
      <c r="GA26" s="135">
        <f t="shared" si="381"/>
        <v>0.46153846153846156</v>
      </c>
      <c r="GB26" s="135">
        <f t="shared" si="382"/>
        <v>0.14715637249045677</v>
      </c>
      <c r="GC26" s="135">
        <f t="shared" si="383"/>
        <v>-0.22207450482057514</v>
      </c>
      <c r="GD26" s="151">
        <f t="shared" si="384"/>
        <v>-0.91439037652084187</v>
      </c>
      <c r="GE26" s="187">
        <f t="shared" si="385"/>
        <v>15.666666666666666</v>
      </c>
      <c r="GF26" s="155">
        <f t="shared" si="386"/>
        <v>5502289</v>
      </c>
      <c r="GG26" s="155">
        <f t="shared" si="387"/>
        <v>1251197</v>
      </c>
      <c r="GH26" s="74">
        <f t="shared" si="388"/>
        <v>0.22739572566980759</v>
      </c>
      <c r="GI26" s="613">
        <f t="shared" si="389"/>
        <v>123690.79864583332</v>
      </c>
      <c r="GJ26" s="187">
        <f t="shared" si="390"/>
        <v>3.3333333333333321</v>
      </c>
      <c r="GK26" s="155">
        <f t="shared" si="390"/>
        <v>275186</v>
      </c>
      <c r="GL26" s="155">
        <f t="shared" si="390"/>
        <v>90049</v>
      </c>
      <c r="GM26" s="613">
        <f t="shared" si="391"/>
        <v>-131390.71236378211</v>
      </c>
      <c r="GN26" s="133">
        <v>21</v>
      </c>
      <c r="GO26" s="134">
        <v>1748945</v>
      </c>
      <c r="GP26" s="134">
        <v>2386723</v>
      </c>
      <c r="GQ26" s="134">
        <v>0</v>
      </c>
      <c r="GR26" s="134">
        <f t="shared" si="392"/>
        <v>637778</v>
      </c>
      <c r="GS26" s="135">
        <f t="shared" si="393"/>
        <v>0.2672191117276701</v>
      </c>
      <c r="GT26" s="133">
        <v>278669</v>
      </c>
      <c r="GU26" s="134">
        <v>100000</v>
      </c>
      <c r="GV26" s="134">
        <v>0</v>
      </c>
      <c r="GW26" s="134">
        <v>230387.4</v>
      </c>
      <c r="GX26" s="190">
        <f t="shared" si="394"/>
        <v>28721.599999999977</v>
      </c>
      <c r="GY26" s="151">
        <f t="shared" si="395"/>
        <v>1.2033905903617628E-2</v>
      </c>
      <c r="GZ26" s="647">
        <v>31</v>
      </c>
      <c r="HA26" s="128">
        <v>1757357</v>
      </c>
      <c r="HB26" s="128">
        <v>2525203</v>
      </c>
      <c r="HC26" s="128">
        <v>0</v>
      </c>
      <c r="HD26" s="134">
        <f t="shared" si="396"/>
        <v>767846</v>
      </c>
      <c r="HE26" s="151">
        <f t="shared" si="397"/>
        <v>0.30407297947927353</v>
      </c>
      <c r="HF26" s="139">
        <v>110833</v>
      </c>
      <c r="HG26" s="128">
        <v>169951</v>
      </c>
      <c r="HH26" s="128"/>
      <c r="HI26" s="130">
        <v>281484.9375</v>
      </c>
      <c r="HJ26" s="197">
        <f>HD26-SUM(HF26:HI26)</f>
        <v>205577.0625</v>
      </c>
      <c r="HK26" s="201">
        <f>HJ26/HB26</f>
        <v>8.1410113365143311E-2</v>
      </c>
      <c r="HL26" s="1365">
        <v>21</v>
      </c>
      <c r="HM26" s="148">
        <v>1790819</v>
      </c>
      <c r="HN26" s="148">
        <v>2505110</v>
      </c>
      <c r="HO26" s="148">
        <v>0</v>
      </c>
      <c r="HP26" s="615">
        <f t="shared" si="485"/>
        <v>714291</v>
      </c>
      <c r="HQ26" s="201">
        <f t="shared" si="398"/>
        <v>0.28513358694827773</v>
      </c>
      <c r="HR26" s="148">
        <v>55000</v>
      </c>
      <c r="HS26" s="148">
        <v>507723.4</v>
      </c>
      <c r="HT26" s="148"/>
      <c r="HU26" s="148">
        <v>262039.27499999999</v>
      </c>
      <c r="HV26" s="197">
        <f t="shared" si="399"/>
        <v>-110471.67500000005</v>
      </c>
      <c r="HW26" s="201">
        <f t="shared" si="400"/>
        <v>-4.4098532599366913E-2</v>
      </c>
      <c r="HX26" s="414">
        <v>21</v>
      </c>
      <c r="HY26" s="241">
        <f t="shared" si="401"/>
        <v>7417036</v>
      </c>
      <c r="HZ26" s="415">
        <f t="shared" si="402"/>
        <v>2119915</v>
      </c>
      <c r="IA26" s="241"/>
      <c r="IB26" s="415">
        <f t="shared" si="403"/>
        <v>123826.98749999993</v>
      </c>
      <c r="IC26" s="141"/>
      <c r="ID26" s="642">
        <v>21</v>
      </c>
      <c r="IE26" s="141">
        <f t="shared" si="404"/>
        <v>23785318</v>
      </c>
      <c r="IF26" s="141">
        <f t="shared" si="405"/>
        <v>6008423</v>
      </c>
      <c r="IG26" s="74">
        <f t="shared" si="406"/>
        <v>0.25261058103154221</v>
      </c>
      <c r="IH26" s="1507"/>
      <c r="II26" s="69"/>
      <c r="IJ26" s="133">
        <v>23</v>
      </c>
      <c r="IK26" s="208">
        <f>1602308+446994+28260</f>
        <v>2077562</v>
      </c>
      <c r="IL26" s="134">
        <v>2705367</v>
      </c>
      <c r="IM26" s="134">
        <v>0</v>
      </c>
      <c r="IN26" s="133">
        <f t="shared" si="407"/>
        <v>627805</v>
      </c>
      <c r="IO26" s="151">
        <f t="shared" si="408"/>
        <v>0.23205908847117601</v>
      </c>
      <c r="IP26" s="134">
        <v>99211</v>
      </c>
      <c r="IQ26" s="134">
        <f>200000+46410</f>
        <v>246410</v>
      </c>
      <c r="IR26" s="134">
        <v>250000</v>
      </c>
      <c r="IS26" s="190">
        <f t="shared" si="409"/>
        <v>32184</v>
      </c>
      <c r="IT26" s="151">
        <f t="shared" si="410"/>
        <v>1.1896352694477311E-2</v>
      </c>
      <c r="IU26" s="621">
        <f>20+4+1</f>
        <v>25</v>
      </c>
      <c r="IV26" s="358">
        <f>1697178+440796+182917+27348</f>
        <v>2348239</v>
      </c>
      <c r="IW26" s="358">
        <v>3176860</v>
      </c>
      <c r="IX26" s="134">
        <v>0</v>
      </c>
      <c r="IY26" s="133">
        <f t="shared" si="411"/>
        <v>828621</v>
      </c>
      <c r="IZ26" s="151">
        <f t="shared" si="412"/>
        <v>0.26083019081734793</v>
      </c>
      <c r="JA26" s="133">
        <f>35833+64209+74493</f>
        <v>174535</v>
      </c>
      <c r="JB26" s="134">
        <v>100000</v>
      </c>
      <c r="JC26" s="134">
        <v>200000</v>
      </c>
      <c r="JD26" s="190">
        <f t="shared" si="413"/>
        <v>354086</v>
      </c>
      <c r="JE26" s="151">
        <f t="shared" si="414"/>
        <v>0.11145785461115693</v>
      </c>
      <c r="JF26" s="621">
        <v>22</v>
      </c>
      <c r="JG26" s="358">
        <v>2175015</v>
      </c>
      <c r="JH26" s="358">
        <v>2731639</v>
      </c>
      <c r="JI26" s="134">
        <v>0</v>
      </c>
      <c r="JJ26" s="133">
        <f t="shared" si="415"/>
        <v>556624</v>
      </c>
      <c r="JK26" s="151">
        <f t="shared" si="416"/>
        <v>0.20376923890748375</v>
      </c>
      <c r="JL26" s="133">
        <v>166000</v>
      </c>
      <c r="JM26" s="134">
        <v>100000</v>
      </c>
      <c r="JN26" s="134">
        <v>200000</v>
      </c>
      <c r="JO26" s="190">
        <f t="shared" si="417"/>
        <v>90624</v>
      </c>
      <c r="JP26" s="151">
        <f t="shared" si="418"/>
        <v>3.3175686831239413E-2</v>
      </c>
      <c r="JQ26" s="621">
        <v>22</v>
      </c>
      <c r="JR26" s="191">
        <f t="shared" si="249"/>
        <v>8613866</v>
      </c>
      <c r="JS26" s="191">
        <f t="shared" si="250"/>
        <v>2013050</v>
      </c>
      <c r="JT26" s="151">
        <f t="shared" si="419"/>
        <v>0.23369878286938756</v>
      </c>
      <c r="JU26" s="621">
        <v>21</v>
      </c>
      <c r="JV26" s="358">
        <v>2180025</v>
      </c>
      <c r="JW26" s="358">
        <v>2885190</v>
      </c>
      <c r="JX26" s="134"/>
      <c r="JY26" s="133">
        <f t="shared" si="420"/>
        <v>705165</v>
      </c>
      <c r="JZ26" s="151">
        <f t="shared" si="421"/>
        <v>0.24440851382404624</v>
      </c>
      <c r="KA26" s="133">
        <v>182650</v>
      </c>
      <c r="KB26" s="134">
        <v>200000</v>
      </c>
      <c r="KC26" s="134">
        <v>200000</v>
      </c>
      <c r="KD26" s="190">
        <f t="shared" si="422"/>
        <v>122515</v>
      </c>
      <c r="KE26" s="151">
        <f t="shared" si="423"/>
        <v>4.246340795580187E-2</v>
      </c>
      <c r="KF26" s="621">
        <v>21</v>
      </c>
      <c r="KG26" s="358">
        <v>2096717</v>
      </c>
      <c r="KH26" s="358">
        <v>2688958</v>
      </c>
      <c r="KI26" s="134">
        <v>0</v>
      </c>
      <c r="KJ26" s="133">
        <f t="shared" si="424"/>
        <v>592241</v>
      </c>
      <c r="KK26" s="151">
        <f t="shared" si="425"/>
        <v>0.22024925640340981</v>
      </c>
      <c r="KL26" s="133">
        <f>45971+116450+140218</f>
        <v>302639</v>
      </c>
      <c r="KM26" s="134">
        <v>100000</v>
      </c>
      <c r="KN26" s="134">
        <v>100000</v>
      </c>
      <c r="KO26" s="190">
        <f t="shared" si="426"/>
        <v>89602</v>
      </c>
      <c r="KP26" s="151">
        <f t="shared" si="427"/>
        <v>3.3322201388046965E-2</v>
      </c>
      <c r="KQ26" s="621">
        <v>21</v>
      </c>
      <c r="KR26" s="358">
        <v>2072363</v>
      </c>
      <c r="KS26" s="358">
        <v>2678843</v>
      </c>
      <c r="KT26" s="134">
        <v>0</v>
      </c>
      <c r="KU26" s="133">
        <f t="shared" si="428"/>
        <v>606480</v>
      </c>
      <c r="KV26" s="151">
        <f t="shared" si="429"/>
        <v>0.22639624643922768</v>
      </c>
      <c r="KW26" s="133">
        <f>26000+191667</f>
        <v>217667</v>
      </c>
      <c r="KX26" s="134">
        <v>582860.92333333334</v>
      </c>
      <c r="KY26" s="134">
        <v>0</v>
      </c>
      <c r="KZ26" s="190">
        <f t="shared" si="430"/>
        <v>-194047.92333333334</v>
      </c>
      <c r="LA26" s="151">
        <f t="shared" si="431"/>
        <v>-7.2437213876786866E-2</v>
      </c>
      <c r="LB26" s="402">
        <v>21</v>
      </c>
      <c r="LC26" s="191">
        <f t="shared" si="432"/>
        <v>8252991</v>
      </c>
      <c r="LD26" s="191">
        <f t="shared" si="433"/>
        <v>1903886</v>
      </c>
      <c r="LE26" s="151">
        <f t="shared" si="434"/>
        <v>0.23069042484112728</v>
      </c>
      <c r="LF26" s="226">
        <f t="shared" si="435"/>
        <v>-1</v>
      </c>
      <c r="LG26" s="128">
        <f t="shared" si="436"/>
        <v>-360875</v>
      </c>
      <c r="LH26" s="139">
        <f t="shared" si="437"/>
        <v>-109164</v>
      </c>
      <c r="LI26" s="442">
        <f t="shared" si="438"/>
        <v>-4.5454545454545456E-2</v>
      </c>
      <c r="LJ26" s="442">
        <f t="shared" si="439"/>
        <v>-4.1894661467916962E-2</v>
      </c>
      <c r="LK26" s="106">
        <f t="shared" si="440"/>
        <v>-5.4228161247857731E-2</v>
      </c>
      <c r="LL26" s="621">
        <v>18</v>
      </c>
      <c r="LM26" s="358">
        <v>1866550</v>
      </c>
      <c r="LN26" s="358">
        <v>2402869</v>
      </c>
      <c r="LO26" s="134">
        <v>46379</v>
      </c>
      <c r="LP26" s="133">
        <f t="shared" si="441"/>
        <v>489940</v>
      </c>
      <c r="LQ26" s="151">
        <f t="shared" si="442"/>
        <v>0.20389792369038845</v>
      </c>
      <c r="LR26" s="133">
        <v>197695</v>
      </c>
      <c r="LS26" s="134">
        <v>187500</v>
      </c>
      <c r="LT26" s="134">
        <v>100000</v>
      </c>
      <c r="LU26" s="190">
        <f t="shared" si="443"/>
        <v>4745</v>
      </c>
      <c r="LV26" s="151">
        <f t="shared" si="444"/>
        <v>1.9747227168855231E-3</v>
      </c>
      <c r="LW26" s="134">
        <v>18</v>
      </c>
      <c r="LX26" s="134">
        <v>1897288</v>
      </c>
      <c r="LY26" s="134">
        <v>2370749</v>
      </c>
      <c r="LZ26" s="134"/>
      <c r="MA26" s="133">
        <f t="shared" si="445"/>
        <v>473461</v>
      </c>
      <c r="MB26" s="151">
        <f t="shared" si="446"/>
        <v>0.19970945890939951</v>
      </c>
      <c r="MC26" s="134">
        <f>165450+62160+121321</f>
        <v>348931</v>
      </c>
      <c r="MD26" s="134">
        <v>20000</v>
      </c>
      <c r="ME26" s="134">
        <v>100000</v>
      </c>
      <c r="MF26" s="190">
        <f t="shared" si="447"/>
        <v>4530</v>
      </c>
      <c r="MG26" s="151">
        <f t="shared" si="448"/>
        <v>1.9107885313881816E-3</v>
      </c>
      <c r="MH26" s="134">
        <v>22</v>
      </c>
      <c r="MI26" s="134">
        <v>1910070</v>
      </c>
      <c r="MJ26" s="134">
        <v>2225091</v>
      </c>
      <c r="MK26" s="134"/>
      <c r="ML26" s="133">
        <f t="shared" si="449"/>
        <v>315021</v>
      </c>
      <c r="MM26" s="151">
        <f t="shared" si="450"/>
        <v>0.14157668158291054</v>
      </c>
      <c r="MN26" s="134">
        <v>224998</v>
      </c>
      <c r="MO26" s="134">
        <v>149551</v>
      </c>
      <c r="MP26" s="134">
        <v>100000</v>
      </c>
      <c r="MQ26" s="190">
        <f t="shared" si="451"/>
        <v>-159528</v>
      </c>
      <c r="MR26" s="151">
        <f t="shared" si="452"/>
        <v>-7.1695045281294112E-2</v>
      </c>
      <c r="MS26" s="1472">
        <v>22</v>
      </c>
      <c r="MT26" s="118">
        <f t="shared" si="453"/>
        <v>6998709</v>
      </c>
      <c r="MU26" s="118">
        <f t="shared" si="454"/>
        <v>1278422</v>
      </c>
      <c r="MV26" s="135">
        <f t="shared" si="455"/>
        <v>0.18266540300503992</v>
      </c>
      <c r="MW26" s="133">
        <f t="shared" si="456"/>
        <v>1</v>
      </c>
      <c r="MX26" s="134">
        <f t="shared" si="457"/>
        <v>-1254282</v>
      </c>
      <c r="MY26" s="134">
        <f t="shared" si="458"/>
        <v>-625464</v>
      </c>
      <c r="MZ26" s="135">
        <f t="shared" si="459"/>
        <v>4.7619047619047616E-2</v>
      </c>
      <c r="NA26" s="135">
        <f t="shared" si="460"/>
        <v>-0.15197908249263811</v>
      </c>
      <c r="NB26" s="151">
        <f t="shared" si="461"/>
        <v>-0.3285196697701438</v>
      </c>
      <c r="NC26" s="134">
        <v>18</v>
      </c>
      <c r="ND26" s="134">
        <v>1863593</v>
      </c>
      <c r="NE26" s="134">
        <v>2420028</v>
      </c>
      <c r="NF26" s="134"/>
      <c r="NG26" s="133">
        <f t="shared" si="462"/>
        <v>556435</v>
      </c>
      <c r="NH26" s="151">
        <f t="shared" si="463"/>
        <v>0.2299291578444547</v>
      </c>
      <c r="NI26" s="134">
        <f>195314+18328</f>
        <v>213642</v>
      </c>
      <c r="NJ26" s="134">
        <v>150000</v>
      </c>
      <c r="NK26" s="134">
        <v>100000</v>
      </c>
      <c r="NL26" s="190">
        <f t="shared" si="464"/>
        <v>92793</v>
      </c>
      <c r="NM26" s="135">
        <f t="shared" si="465"/>
        <v>3.8343771229093215E-2</v>
      </c>
      <c r="NN26" s="1563">
        <v>20</v>
      </c>
      <c r="NO26" s="134">
        <v>2296666</v>
      </c>
      <c r="NP26" s="134">
        <v>2771545</v>
      </c>
      <c r="NQ26" s="134">
        <v>0</v>
      </c>
      <c r="NR26" s="133">
        <f t="shared" si="466"/>
        <v>474879</v>
      </c>
      <c r="NS26" s="151">
        <f t="shared" si="467"/>
        <v>0.17134089469952679</v>
      </c>
      <c r="NT26" s="134">
        <f>164283+57369-25000</f>
        <v>196652</v>
      </c>
      <c r="NU26" s="134">
        <v>150000</v>
      </c>
      <c r="NV26" s="134">
        <v>100000</v>
      </c>
      <c r="NW26" s="190">
        <f t="shared" si="468"/>
        <v>28227</v>
      </c>
      <c r="NX26" s="135">
        <f t="shared" si="469"/>
        <v>1.0184572142974406E-2</v>
      </c>
      <c r="NY26" s="1563">
        <v>19</v>
      </c>
      <c r="NZ26" s="134">
        <v>2135070</v>
      </c>
      <c r="OA26" s="134">
        <v>2647127</v>
      </c>
      <c r="OB26" s="134">
        <v>0</v>
      </c>
      <c r="OC26" s="133">
        <f t="shared" si="470"/>
        <v>512057</v>
      </c>
      <c r="OD26" s="151">
        <f t="shared" si="471"/>
        <v>0.19343877343247981</v>
      </c>
      <c r="OE26" s="134">
        <f>164283+57369-25000</f>
        <v>196652</v>
      </c>
      <c r="OF26" s="134">
        <v>150000</v>
      </c>
      <c r="OG26" s="134">
        <v>100000</v>
      </c>
      <c r="OH26" s="190">
        <f t="shared" si="472"/>
        <v>65405</v>
      </c>
      <c r="OI26" s="5380">
        <f t="shared" si="473"/>
        <v>2.4707919189370212E-2</v>
      </c>
      <c r="OJ26" s="69">
        <v>19</v>
      </c>
      <c r="OK26" s="155">
        <f t="shared" si="474"/>
        <v>31147642</v>
      </c>
      <c r="OL26" s="155">
        <f t="shared" si="475"/>
        <v>6182105</v>
      </c>
      <c r="OM26" s="74">
        <f t="shared" si="476"/>
        <v>0.19847746420098189</v>
      </c>
      <c r="ON26" s="155">
        <f t="shared" si="477"/>
        <v>640511.07666666666</v>
      </c>
      <c r="OO26" s="70"/>
      <c r="OP26" s="69"/>
      <c r="OQ26" s="1563">
        <v>19</v>
      </c>
      <c r="OR26" s="208">
        <v>2186188.4</v>
      </c>
      <c r="OS26" s="134">
        <v>2568380</v>
      </c>
      <c r="OT26" s="134"/>
      <c r="OU26" s="133">
        <f t="shared" si="255"/>
        <v>382191.60000000009</v>
      </c>
      <c r="OV26" s="94">
        <f t="shared" si="256"/>
        <v>0.14880648502168686</v>
      </c>
      <c r="OW26" s="134">
        <f>181080-49220</f>
        <v>131860</v>
      </c>
      <c r="OX26" s="134">
        <v>250000</v>
      </c>
      <c r="OY26" s="134">
        <v>50000</v>
      </c>
      <c r="OZ26" s="190">
        <f t="shared" si="257"/>
        <v>-49668.399999999907</v>
      </c>
      <c r="PA26" s="5361">
        <f t="shared" si="258"/>
        <v>-1.9338415655004285E-2</v>
      </c>
      <c r="PB26" s="5321">
        <v>18</v>
      </c>
      <c r="PC26" s="358">
        <v>2270305.96</v>
      </c>
      <c r="PD26" s="358">
        <v>2688032</v>
      </c>
      <c r="PE26" s="134"/>
      <c r="PF26" s="133">
        <f t="shared" si="259"/>
        <v>417726.04000000004</v>
      </c>
      <c r="PG26" s="94">
        <f t="shared" si="260"/>
        <v>0.15540218271211059</v>
      </c>
      <c r="PH26" s="133">
        <v>138684</v>
      </c>
      <c r="PI26" s="134">
        <f>140000-4694</f>
        <v>135306</v>
      </c>
      <c r="PJ26" s="134">
        <v>220000</v>
      </c>
      <c r="PK26" s="190">
        <f t="shared" si="261"/>
        <v>-76263.959999999963</v>
      </c>
      <c r="PL26" s="135">
        <f t="shared" si="262"/>
        <v>-2.837167117058129E-2</v>
      </c>
      <c r="PM26" s="3863">
        <v>17</v>
      </c>
      <c r="PN26" s="358">
        <v>1946670.65</v>
      </c>
      <c r="PO26" s="358">
        <v>2344555</v>
      </c>
      <c r="PP26" s="134">
        <v>26451</v>
      </c>
      <c r="PQ26" s="6293">
        <f t="shared" si="263"/>
        <v>371433.35000000009</v>
      </c>
      <c r="PR26" s="6295">
        <f t="shared" si="264"/>
        <v>0.15842381603331979</v>
      </c>
      <c r="PS26" s="134">
        <v>253993</v>
      </c>
      <c r="PT26" s="134">
        <v>30000</v>
      </c>
      <c r="PU26" s="134">
        <v>150000</v>
      </c>
      <c r="PV26" s="190">
        <f t="shared" si="265"/>
        <v>-62559.649999999907</v>
      </c>
      <c r="PW26" s="5380">
        <f t="shared" si="266"/>
        <v>-2.6682952628537145E-2</v>
      </c>
      <c r="PX26" s="5321">
        <v>17</v>
      </c>
      <c r="PY26" s="191">
        <f t="shared" si="267"/>
        <v>7600967</v>
      </c>
      <c r="PZ26" s="191">
        <f t="shared" si="268"/>
        <v>1171350.9900000002</v>
      </c>
      <c r="QA26" s="135">
        <f t="shared" si="269"/>
        <v>0.15410552236314146</v>
      </c>
      <c r="QB26" s="3863">
        <v>17</v>
      </c>
      <c r="QC26" s="358">
        <v>2019839.6</v>
      </c>
      <c r="QD26" s="358">
        <v>2385620</v>
      </c>
      <c r="QE26" s="134"/>
      <c r="QF26" s="6293">
        <f t="shared" si="270"/>
        <v>365780.39999999991</v>
      </c>
      <c r="QG26" s="6295">
        <f t="shared" si="271"/>
        <v>0.1533271853857697</v>
      </c>
      <c r="QH26" s="134">
        <v>253993</v>
      </c>
      <c r="QI26" s="134"/>
      <c r="QJ26" s="134">
        <v>150000</v>
      </c>
      <c r="QK26" s="190">
        <f t="shared" si="272"/>
        <v>-38212.600000000093</v>
      </c>
      <c r="QL26" s="5380">
        <f t="shared" si="273"/>
        <v>-1.6017890527410105E-2</v>
      </c>
      <c r="QM26" s="3863">
        <v>12</v>
      </c>
      <c r="QN26" s="358">
        <v>1496096.02</v>
      </c>
      <c r="QO26" s="358">
        <v>1831234</v>
      </c>
      <c r="QP26" s="134">
        <v>44449</v>
      </c>
      <c r="QQ26" s="133">
        <f t="shared" si="292"/>
        <v>290688.98</v>
      </c>
      <c r="QR26" s="151">
        <f t="shared" si="293"/>
        <v>0.15873939649438573</v>
      </c>
      <c r="QS26" s="133">
        <v>253993</v>
      </c>
      <c r="QT26" s="134">
        <v>0</v>
      </c>
      <c r="QU26" s="134">
        <v>0</v>
      </c>
      <c r="QV26" s="190">
        <f t="shared" si="294"/>
        <v>36695.979999999981</v>
      </c>
      <c r="QW26" s="5380">
        <f t="shared" si="295"/>
        <v>2.0038935493770858E-2</v>
      </c>
      <c r="QX26" s="3863">
        <v>15</v>
      </c>
      <c r="QY26" s="358">
        <v>1631145</v>
      </c>
      <c r="QZ26" s="358">
        <v>1987300</v>
      </c>
      <c r="RA26" s="134">
        <v>4401</v>
      </c>
      <c r="RB26" s="133">
        <f t="shared" si="274"/>
        <v>351754</v>
      </c>
      <c r="RC26" s="151">
        <f t="shared" si="228"/>
        <v>0.17700095607105118</v>
      </c>
      <c r="RD26" s="133">
        <v>253993</v>
      </c>
      <c r="RE26" s="134">
        <v>10753</v>
      </c>
      <c r="RF26" s="134">
        <v>26699</v>
      </c>
      <c r="RG26" s="190">
        <f t="shared" si="296"/>
        <v>60309</v>
      </c>
      <c r="RH26" s="5380">
        <f t="shared" si="297"/>
        <v>3.0347204750163538E-2</v>
      </c>
      <c r="RI26" s="5376"/>
      <c r="RJ26" s="191">
        <f t="shared" si="275"/>
        <v>6204154</v>
      </c>
      <c r="RK26" s="191">
        <f t="shared" si="298"/>
        <v>1008223.3799999999</v>
      </c>
      <c r="RL26" s="5380">
        <f t="shared" si="486"/>
        <v>0.16250779397158741</v>
      </c>
      <c r="RM26" s="1562">
        <f t="shared" si="276"/>
        <v>-17</v>
      </c>
      <c r="RN26" s="128">
        <f t="shared" si="277"/>
        <v>-1396813</v>
      </c>
      <c r="RO26" s="139">
        <f t="shared" si="278"/>
        <v>-163127.61000000034</v>
      </c>
      <c r="RP26" s="442">
        <f t="shared" si="279"/>
        <v>-1</v>
      </c>
      <c r="RQ26" s="442">
        <f t="shared" si="280"/>
        <v>-0.18376780217569685</v>
      </c>
      <c r="RR26" s="6339">
        <f t="shared" si="281"/>
        <v>-0.13926450004537094</v>
      </c>
      <c r="RS26" s="698">
        <v>13</v>
      </c>
      <c r="RT26" s="208">
        <f>944308+391334+20800+407917+(2105474*3%)</f>
        <v>1827523.22</v>
      </c>
      <c r="RU26" s="208">
        <v>2105474</v>
      </c>
      <c r="RV26" s="2563">
        <v>0</v>
      </c>
      <c r="RW26" s="133">
        <f t="shared" si="299"/>
        <v>277950.78000000003</v>
      </c>
      <c r="RX26" s="151">
        <f t="shared" si="300"/>
        <v>0.13201339935805431</v>
      </c>
      <c r="RY26" s="4138">
        <v>179000</v>
      </c>
      <c r="RZ26" s="134">
        <v>10753</v>
      </c>
      <c r="SA26" s="134">
        <v>56699</v>
      </c>
      <c r="SB26" s="188">
        <f t="shared" si="282"/>
        <v>31498.780000000028</v>
      </c>
      <c r="SC26" s="5380">
        <f t="shared" si="232"/>
        <v>1.496042221371531E-2</v>
      </c>
      <c r="SD26" s="110">
        <f>9+3+2</f>
        <v>14</v>
      </c>
      <c r="SE26" s="208">
        <f>900156+391334+407917+(1927133*3%)</f>
        <v>1757220.99</v>
      </c>
      <c r="SF26" s="208">
        <v>1927133</v>
      </c>
      <c r="SG26" s="994">
        <v>3030</v>
      </c>
      <c r="SH26" s="6375">
        <f t="shared" si="287"/>
        <v>166882.01</v>
      </c>
      <c r="SI26" s="6376">
        <f t="shared" si="288"/>
        <v>8.6596000379838861E-2</v>
      </c>
      <c r="SJ26" s="6358">
        <v>250380</v>
      </c>
      <c r="SK26" s="134">
        <v>0</v>
      </c>
      <c r="SL26" s="134">
        <v>56699</v>
      </c>
      <c r="SM26" s="188">
        <f t="shared" si="289"/>
        <v>-140196.99</v>
      </c>
      <c r="SN26" s="5389">
        <f t="shared" si="290"/>
        <v>-7.2748995528590918E-2</v>
      </c>
      <c r="SO26" s="134">
        <v>11</v>
      </c>
      <c r="SP26" s="134">
        <v>1635991.62</v>
      </c>
      <c r="SQ26" s="134">
        <v>1884554</v>
      </c>
      <c r="SR26" s="134">
        <v>15801</v>
      </c>
      <c r="SS26" s="6361">
        <f t="shared" si="283"/>
        <v>232761.37999999989</v>
      </c>
      <c r="ST26" s="6363">
        <f t="shared" si="301"/>
        <v>0.12351006126648527</v>
      </c>
      <c r="SU26" s="6358">
        <v>93599</v>
      </c>
      <c r="SV26" s="134">
        <v>0</v>
      </c>
      <c r="SW26" s="134">
        <v>56699</v>
      </c>
      <c r="SX26" s="190">
        <f t="shared" si="302"/>
        <v>82463.379999999888</v>
      </c>
      <c r="SY26" s="5380">
        <f t="shared" si="303"/>
        <v>4.3757504428103354E-2</v>
      </c>
      <c r="SZ26" s="6270"/>
      <c r="TA26" s="118">
        <f t="shared" si="478"/>
        <v>5917161</v>
      </c>
      <c r="TB26" s="118">
        <f t="shared" si="479"/>
        <v>677594.16999999993</v>
      </c>
      <c r="TC26" s="5380">
        <f t="shared" si="487"/>
        <v>0.11451339079670131</v>
      </c>
      <c r="TD26" s="209">
        <f>7+3+2</f>
        <v>12</v>
      </c>
      <c r="TE26" s="208">
        <f>783272+391334+407917+(1904485*3%)</f>
        <v>1639657.55</v>
      </c>
      <c r="TF26" s="208">
        <v>1904485</v>
      </c>
      <c r="TG26" s="134"/>
      <c r="TH26" s="133">
        <f t="shared" si="304"/>
        <v>264827.44999999995</v>
      </c>
      <c r="TI26" s="151">
        <f t="shared" si="305"/>
        <v>0.13905462631630069</v>
      </c>
      <c r="TJ26" s="134">
        <v>100000</v>
      </c>
      <c r="TK26" s="134">
        <v>0</v>
      </c>
      <c r="TL26" s="134">
        <v>100000</v>
      </c>
      <c r="TM26" s="190">
        <f t="shared" si="306"/>
        <v>64827.449999999953</v>
      </c>
      <c r="TN26" s="5380">
        <f t="shared" si="307"/>
        <v>3.403935972191955E-2</v>
      </c>
      <c r="TO26" s="134"/>
      <c r="TP26" s="134"/>
      <c r="TQ26" s="134"/>
      <c r="TR26" s="134"/>
      <c r="TS26" s="133">
        <f t="shared" si="480"/>
        <v>0</v>
      </c>
      <c r="TT26" s="151" t="e">
        <f t="shared" si="488"/>
        <v>#DIV/0!</v>
      </c>
      <c r="TU26" s="134"/>
      <c r="TV26" s="134"/>
      <c r="TW26" s="134"/>
      <c r="TX26" s="190">
        <f t="shared" si="481"/>
        <v>0</v>
      </c>
      <c r="TY26" s="135" t="e">
        <f t="shared" si="489"/>
        <v>#DIV/0!</v>
      </c>
      <c r="TZ26" s="1563"/>
      <c r="UA26" s="134"/>
      <c r="UB26" s="134"/>
      <c r="UC26" s="134"/>
      <c r="UD26" s="133">
        <f t="shared" si="482"/>
        <v>0</v>
      </c>
      <c r="UE26" s="151" t="e">
        <f t="shared" si="490"/>
        <v>#DIV/0!</v>
      </c>
      <c r="UF26" s="134"/>
      <c r="UG26" s="134"/>
      <c r="UH26" s="134"/>
      <c r="UI26" s="190">
        <f t="shared" si="483"/>
        <v>0</v>
      </c>
      <c r="UJ26" s="5380" t="e">
        <f t="shared" si="491"/>
        <v>#DIV/0!</v>
      </c>
      <c r="UK26" s="5376"/>
      <c r="UL26" s="191">
        <f t="shared" si="284"/>
        <v>21626767</v>
      </c>
      <c r="UM26" s="191">
        <f t="shared" si="285"/>
        <v>3121995.99</v>
      </c>
      <c r="UN26" s="135">
        <f t="shared" si="484"/>
        <v>0.14435796113214705</v>
      </c>
      <c r="UO26" s="191">
        <f t="shared" si="286"/>
        <v>-91107.010000000009</v>
      </c>
      <c r="UP26" s="5380">
        <f t="shared" si="291"/>
        <v>-4.2126967012683873E-3</v>
      </c>
    </row>
    <row r="27" spans="1:567" x14ac:dyDescent="0.3">
      <c r="A27" s="5316">
        <v>8</v>
      </c>
      <c r="B27" s="5360" t="s">
        <v>381</v>
      </c>
      <c r="C27" s="578" t="s">
        <v>382</v>
      </c>
      <c r="D27" s="578" t="s">
        <v>140</v>
      </c>
      <c r="E27" s="6278" t="s">
        <v>254</v>
      </c>
      <c r="F27" s="579">
        <v>29.666666666666668</v>
      </c>
      <c r="G27" s="161">
        <v>3416086</v>
      </c>
      <c r="H27" s="161">
        <v>4495262</v>
      </c>
      <c r="I27" s="161">
        <v>981448</v>
      </c>
      <c r="J27" s="351">
        <f t="shared" si="308"/>
        <v>0.21832943218882458</v>
      </c>
      <c r="K27" s="580">
        <v>26.666666666666668</v>
      </c>
      <c r="L27" s="161">
        <v>3199076</v>
      </c>
      <c r="M27" s="161">
        <v>4274853</v>
      </c>
      <c r="N27" s="161">
        <v>983147</v>
      </c>
      <c r="O27" s="422"/>
      <c r="P27" s="580">
        <v>18.333333333333332</v>
      </c>
      <c r="Q27" s="161">
        <v>2548397</v>
      </c>
      <c r="R27" s="161">
        <v>3274404</v>
      </c>
      <c r="S27" s="161">
        <v>587673</v>
      </c>
      <c r="T27" s="94"/>
      <c r="U27" s="136"/>
      <c r="V27" s="422"/>
      <c r="W27" s="422"/>
      <c r="X27" s="422"/>
      <c r="Y27" s="422"/>
      <c r="Z27" s="581"/>
      <c r="AA27" s="422"/>
      <c r="AB27" s="422"/>
      <c r="AC27" s="422"/>
      <c r="AD27" s="422"/>
      <c r="AE27" s="619">
        <f t="shared" si="309"/>
        <v>0</v>
      </c>
      <c r="AF27" s="422"/>
      <c r="AG27" s="113">
        <v>12</v>
      </c>
      <c r="AH27" s="616">
        <f>469786+156100</f>
        <v>625886</v>
      </c>
      <c r="AI27" s="616">
        <v>779689</v>
      </c>
      <c r="AJ27" s="616">
        <v>49925</v>
      </c>
      <c r="AK27" s="105">
        <f t="shared" si="310"/>
        <v>103878</v>
      </c>
      <c r="AL27" s="114">
        <f t="shared" si="311"/>
        <v>0.13323004428688875</v>
      </c>
      <c r="AM27" s="129">
        <v>30000</v>
      </c>
      <c r="AN27" s="130">
        <v>131298</v>
      </c>
      <c r="AO27" s="130"/>
      <c r="AP27" s="130">
        <v>49383.651724137926</v>
      </c>
      <c r="AQ27" s="130">
        <f t="shared" si="312"/>
        <v>-106803.65172413792</v>
      </c>
      <c r="AR27" s="114">
        <f t="shared" si="313"/>
        <v>-1.0281643054750564</v>
      </c>
      <c r="AS27" s="113">
        <v>12</v>
      </c>
      <c r="AT27" s="213">
        <v>2218191</v>
      </c>
      <c r="AU27" s="130">
        <v>2774461</v>
      </c>
      <c r="AV27" s="130">
        <v>439965</v>
      </c>
      <c r="AW27" s="114">
        <f t="shared" si="314"/>
        <v>0.15857674697896276</v>
      </c>
      <c r="AX27" s="617">
        <v>12</v>
      </c>
      <c r="AY27" s="241">
        <f t="shared" si="315"/>
        <v>11381750</v>
      </c>
      <c r="AZ27" s="241">
        <f t="shared" si="316"/>
        <v>14818980</v>
      </c>
      <c r="BA27" s="241">
        <f t="shared" si="317"/>
        <v>2992233</v>
      </c>
      <c r="BB27" s="135">
        <f t="shared" si="318"/>
        <v>0.20191895798496254</v>
      </c>
      <c r="BC27" s="636">
        <v>12</v>
      </c>
      <c r="BD27" s="619">
        <v>661644</v>
      </c>
      <c r="BE27" s="619">
        <v>816106</v>
      </c>
      <c r="BF27" s="619">
        <v>0</v>
      </c>
      <c r="BG27" s="619">
        <f t="shared" si="319"/>
        <v>154462</v>
      </c>
      <c r="BH27" s="618"/>
      <c r="BI27" s="636">
        <v>12</v>
      </c>
      <c r="BJ27" s="619">
        <v>657653</v>
      </c>
      <c r="BK27" s="619">
        <v>818012</v>
      </c>
      <c r="BL27" s="619"/>
      <c r="BM27" s="619">
        <f t="shared" si="320"/>
        <v>160359</v>
      </c>
      <c r="BN27" s="618"/>
      <c r="BO27" s="620">
        <v>11</v>
      </c>
      <c r="BP27" s="619">
        <v>594558</v>
      </c>
      <c r="BQ27" s="619">
        <v>758946</v>
      </c>
      <c r="BR27" s="619">
        <v>11785</v>
      </c>
      <c r="BS27" s="619">
        <f t="shared" si="321"/>
        <v>152603</v>
      </c>
      <c r="BT27" s="1480">
        <f t="shared" si="322"/>
        <v>0.20107227655195495</v>
      </c>
      <c r="BU27" s="620">
        <v>11</v>
      </c>
      <c r="BV27" s="1481">
        <f t="shared" si="323"/>
        <v>2393064</v>
      </c>
      <c r="BW27" s="1481">
        <f t="shared" si="324"/>
        <v>467424</v>
      </c>
      <c r="BX27" s="236">
        <f t="shared" si="325"/>
        <v>0.1953244877696543</v>
      </c>
      <c r="BY27" s="594">
        <f>9+2</f>
        <v>11</v>
      </c>
      <c r="BZ27" s="595">
        <f>451248+140110</f>
        <v>591358</v>
      </c>
      <c r="CA27" s="595">
        <v>765428</v>
      </c>
      <c r="CB27" s="595">
        <v>0</v>
      </c>
      <c r="CC27" s="596">
        <f t="shared" si="326"/>
        <v>174070</v>
      </c>
      <c r="CD27" s="597">
        <f t="shared" si="327"/>
        <v>0.22741525003004856</v>
      </c>
      <c r="CE27" s="598">
        <v>100000</v>
      </c>
      <c r="CF27" s="599">
        <v>235306</v>
      </c>
      <c r="CG27" s="599"/>
      <c r="CH27" s="599">
        <v>74304.057692307688</v>
      </c>
      <c r="CI27" s="599">
        <f t="shared" si="328"/>
        <v>-235540.05769230769</v>
      </c>
      <c r="CJ27" s="597">
        <f t="shared" si="329"/>
        <v>-0.30772333608426616</v>
      </c>
      <c r="CK27" s="600">
        <f>9+2</f>
        <v>11</v>
      </c>
      <c r="CL27" s="601">
        <f>447747+156100</f>
        <v>603847</v>
      </c>
      <c r="CM27" s="601">
        <v>755044</v>
      </c>
      <c r="CN27" s="601"/>
      <c r="CO27" s="96">
        <f t="shared" si="330"/>
        <v>151197</v>
      </c>
      <c r="CP27" s="602">
        <f t="shared" si="331"/>
        <v>0.20024925699694324</v>
      </c>
      <c r="CQ27" s="603">
        <v>0</v>
      </c>
      <c r="CR27" s="603">
        <v>99658.273076923069</v>
      </c>
      <c r="CS27" s="603"/>
      <c r="CT27" s="603">
        <v>147101.18634615382</v>
      </c>
      <c r="CU27" s="603">
        <f t="shared" si="332"/>
        <v>-95562.459423076885</v>
      </c>
      <c r="CV27" s="604">
        <f t="shared" si="333"/>
        <v>-0.12656541793998347</v>
      </c>
      <c r="CW27" s="129">
        <v>11</v>
      </c>
      <c r="CX27" s="130">
        <v>612555</v>
      </c>
      <c r="CY27" s="130">
        <v>754255</v>
      </c>
      <c r="CZ27" s="130"/>
      <c r="DA27" s="605">
        <f t="shared" si="334"/>
        <v>141700</v>
      </c>
      <c r="DB27" s="114">
        <f t="shared" si="335"/>
        <v>0.18786749839245348</v>
      </c>
      <c r="DC27" s="138">
        <v>81000</v>
      </c>
      <c r="DD27" s="606">
        <v>113817.95833333333</v>
      </c>
      <c r="DE27" s="130"/>
      <c r="DF27" s="130">
        <v>121185.01354166666</v>
      </c>
      <c r="DG27" s="128">
        <f t="shared" si="336"/>
        <v>-174302.97187499999</v>
      </c>
      <c r="DH27" s="169">
        <f t="shared" si="337"/>
        <v>-0.2310928954730164</v>
      </c>
      <c r="DI27" s="204">
        <f t="shared" si="338"/>
        <v>11</v>
      </c>
      <c r="DJ27" s="202">
        <f t="shared" si="339"/>
        <v>2274727</v>
      </c>
      <c r="DK27" s="202">
        <f t="shared" si="340"/>
        <v>466967</v>
      </c>
      <c r="DL27" s="119">
        <f t="shared" si="341"/>
        <v>0.2052848539626953</v>
      </c>
      <c r="DM27" s="202">
        <f t="shared" si="342"/>
        <v>-505405.48899038456</v>
      </c>
      <c r="DN27" s="119">
        <f t="shared" si="343"/>
        <v>-0.22218292084737401</v>
      </c>
      <c r="DO27" s="607">
        <f t="shared" si="344"/>
        <v>-1</v>
      </c>
      <c r="DP27" s="137">
        <f t="shared" si="344"/>
        <v>-13331</v>
      </c>
      <c r="DQ27" s="137">
        <f t="shared" si="344"/>
        <v>-25434</v>
      </c>
      <c r="DR27" s="137">
        <f t="shared" si="345"/>
        <v>37822</v>
      </c>
      <c r="DS27" s="135">
        <f t="shared" si="346"/>
        <v>-8.3333333333333329E-2</v>
      </c>
      <c r="DT27" s="135">
        <f t="shared" si="347"/>
        <v>-1.7097842857857429E-2</v>
      </c>
      <c r="DU27" s="135">
        <f t="shared" si="348"/>
        <v>-0.24484491422630394</v>
      </c>
      <c r="DV27" s="151">
        <f t="shared" si="349"/>
        <v>-0.35412646842534995</v>
      </c>
      <c r="DW27" s="607">
        <f t="shared" si="350"/>
        <v>0</v>
      </c>
      <c r="DX27" s="608">
        <f t="shared" si="351"/>
        <v>-789</v>
      </c>
      <c r="DY27" s="608">
        <f t="shared" si="352"/>
        <v>-9497</v>
      </c>
      <c r="DZ27" s="608">
        <f t="shared" si="353"/>
        <v>-78740.512451923103</v>
      </c>
      <c r="EA27" s="135">
        <f t="shared" si="354"/>
        <v>0</v>
      </c>
      <c r="EB27" s="135">
        <f t="shared" si="355"/>
        <v>-1.0449722135398732E-3</v>
      </c>
      <c r="EC27" s="135">
        <f t="shared" si="356"/>
        <v>-6.281209283252974E-2</v>
      </c>
      <c r="ED27" s="151">
        <f t="shared" si="357"/>
        <v>0.82396908710062422</v>
      </c>
      <c r="EE27" s="129">
        <v>11</v>
      </c>
      <c r="EF27" s="130">
        <v>583424</v>
      </c>
      <c r="EG27" s="130">
        <v>718743</v>
      </c>
      <c r="EH27" s="130">
        <v>0</v>
      </c>
      <c r="EI27" s="605">
        <f t="shared" si="358"/>
        <v>135319</v>
      </c>
      <c r="EJ27" s="114">
        <f t="shared" si="359"/>
        <v>0.18827174664657603</v>
      </c>
      <c r="EK27" s="138">
        <v>51140</v>
      </c>
      <c r="EL27" s="606">
        <v>0</v>
      </c>
      <c r="EM27" s="130">
        <v>0</v>
      </c>
      <c r="EN27" s="130">
        <v>0</v>
      </c>
      <c r="EO27" s="128">
        <f t="shared" si="360"/>
        <v>84179</v>
      </c>
      <c r="EP27" s="114">
        <f t="shared" si="361"/>
        <v>0.11711974934016749</v>
      </c>
      <c r="EQ27" s="129">
        <v>9</v>
      </c>
      <c r="ER27" s="595">
        <v>562868</v>
      </c>
      <c r="ES27" s="595">
        <v>662173</v>
      </c>
      <c r="ET27" s="130">
        <v>0</v>
      </c>
      <c r="EU27" s="134">
        <f t="shared" si="362"/>
        <v>99305</v>
      </c>
      <c r="EV27" s="114">
        <f t="shared" si="363"/>
        <v>0.14996836174232414</v>
      </c>
      <c r="EW27" s="138">
        <v>0</v>
      </c>
      <c r="EX27" s="606">
        <v>0</v>
      </c>
      <c r="EY27" s="130">
        <v>0</v>
      </c>
      <c r="EZ27" s="128">
        <v>50000</v>
      </c>
      <c r="FA27" s="128">
        <f t="shared" si="364"/>
        <v>49305</v>
      </c>
      <c r="FB27" s="114">
        <f t="shared" si="365"/>
        <v>7.4459393542171001E-2</v>
      </c>
      <c r="FC27" s="609">
        <f t="shared" si="366"/>
        <v>-3</v>
      </c>
      <c r="FD27" s="610">
        <f t="shared" si="367"/>
        <v>-117516</v>
      </c>
      <c r="FE27" s="610">
        <f t="shared" si="368"/>
        <v>-4573</v>
      </c>
      <c r="FF27" s="610">
        <f t="shared" si="369"/>
        <v>156108.65172413792</v>
      </c>
      <c r="FG27" s="611">
        <f t="shared" si="370"/>
        <v>-0.25</v>
      </c>
      <c r="FH27" s="611">
        <f t="shared" si="371"/>
        <v>-0.1507216338822274</v>
      </c>
      <c r="FI27" s="611">
        <f t="shared" si="372"/>
        <v>-4.4022795972198159E-2</v>
      </c>
      <c r="FJ27" s="612">
        <f t="shared" si="373"/>
        <v>-1.4616415188438443</v>
      </c>
      <c r="FK27" s="133">
        <v>10</v>
      </c>
      <c r="FL27" s="134">
        <v>646202</v>
      </c>
      <c r="FM27" s="134">
        <v>783362</v>
      </c>
      <c r="FN27" s="134">
        <v>15737</v>
      </c>
      <c r="FO27" s="134">
        <f t="shared" si="374"/>
        <v>121423</v>
      </c>
      <c r="FP27" s="135">
        <f t="shared" si="375"/>
        <v>0.15500241267766371</v>
      </c>
      <c r="FQ27" s="133"/>
      <c r="FR27" s="134">
        <v>50000</v>
      </c>
      <c r="FS27" s="134">
        <v>50000</v>
      </c>
      <c r="FT27" s="191">
        <f t="shared" si="376"/>
        <v>21423</v>
      </c>
      <c r="FU27" s="151">
        <f t="shared" si="377"/>
        <v>2.7347509835810264E-2</v>
      </c>
      <c r="FV27" s="190">
        <f t="shared" si="378"/>
        <v>-2</v>
      </c>
      <c r="FW27" s="191">
        <f t="shared" si="378"/>
        <v>20316</v>
      </c>
      <c r="FX27" s="191">
        <f t="shared" si="378"/>
        <v>3673</v>
      </c>
      <c r="FY27" s="191">
        <f t="shared" si="379"/>
        <v>17545</v>
      </c>
      <c r="FZ27" s="191">
        <f t="shared" si="380"/>
        <v>128226.65172413792</v>
      </c>
      <c r="GA27" s="135">
        <f t="shared" si="381"/>
        <v>-0.16666666666666666</v>
      </c>
      <c r="GB27" s="135">
        <f t="shared" si="382"/>
        <v>4.7108526604838592E-3</v>
      </c>
      <c r="GC27" s="135">
        <f t="shared" si="383"/>
        <v>0.1689000558347292</v>
      </c>
      <c r="GD27" s="151">
        <f t="shared" si="384"/>
        <v>-1.2005830292706963</v>
      </c>
      <c r="GE27" s="187">
        <f t="shared" si="385"/>
        <v>10</v>
      </c>
      <c r="GF27" s="155">
        <f t="shared" si="386"/>
        <v>2164278</v>
      </c>
      <c r="GG27" s="155">
        <f t="shared" si="387"/>
        <v>356047</v>
      </c>
      <c r="GH27" s="74">
        <f t="shared" si="388"/>
        <v>0.1645107513914571</v>
      </c>
      <c r="GI27" s="613">
        <f t="shared" si="389"/>
        <v>154907</v>
      </c>
      <c r="GJ27" s="187">
        <f t="shared" si="390"/>
        <v>-1</v>
      </c>
      <c r="GK27" s="155">
        <f t="shared" si="390"/>
        <v>-110449</v>
      </c>
      <c r="GL27" s="155">
        <f t="shared" si="390"/>
        <v>-110920</v>
      </c>
      <c r="GM27" s="613">
        <f t="shared" si="391"/>
        <v>660312.48899038462</v>
      </c>
      <c r="GN27" s="133">
        <v>11</v>
      </c>
      <c r="GO27" s="134">
        <v>658558</v>
      </c>
      <c r="GP27" s="134">
        <v>773408</v>
      </c>
      <c r="GQ27" s="134">
        <v>0</v>
      </c>
      <c r="GR27" s="134">
        <f t="shared" si="392"/>
        <v>114850</v>
      </c>
      <c r="GS27" s="135">
        <f t="shared" si="393"/>
        <v>0.14849859323927345</v>
      </c>
      <c r="GT27" s="133">
        <v>16000</v>
      </c>
      <c r="GU27" s="134">
        <v>25000</v>
      </c>
      <c r="GV27" s="134">
        <v>0</v>
      </c>
      <c r="GW27" s="134">
        <v>50000</v>
      </c>
      <c r="GX27" s="190">
        <f t="shared" si="394"/>
        <v>23850</v>
      </c>
      <c r="GY27" s="151">
        <f t="shared" si="395"/>
        <v>3.0837539823741156E-2</v>
      </c>
      <c r="GZ27" s="614">
        <v>9</v>
      </c>
      <c r="HA27" s="130">
        <v>543609</v>
      </c>
      <c r="HB27" s="130">
        <v>688287</v>
      </c>
      <c r="HC27" s="130"/>
      <c r="HD27" s="134">
        <f t="shared" si="396"/>
        <v>144678</v>
      </c>
      <c r="HE27" s="151">
        <f t="shared" si="397"/>
        <v>0.21020010547925502</v>
      </c>
      <c r="HF27" s="138">
        <v>108333</v>
      </c>
      <c r="HG27" s="130"/>
      <c r="HH27" s="130"/>
      <c r="HI27" s="130">
        <v>100000</v>
      </c>
      <c r="HJ27" s="197">
        <f>HD27-SUM(HF27:HI27)</f>
        <v>-63655</v>
      </c>
      <c r="HK27" s="201">
        <f>HJ27/HB27</f>
        <v>-9.2483222841634377E-2</v>
      </c>
      <c r="HL27" s="1365">
        <v>9</v>
      </c>
      <c r="HM27" s="148">
        <v>540228</v>
      </c>
      <c r="HN27" s="148">
        <v>694475</v>
      </c>
      <c r="HO27" s="134">
        <v>0</v>
      </c>
      <c r="HP27" s="615">
        <f t="shared" si="485"/>
        <v>154247</v>
      </c>
      <c r="HQ27" s="201">
        <f t="shared" si="398"/>
        <v>0.22210590734007704</v>
      </c>
      <c r="HR27" s="133">
        <v>84312</v>
      </c>
      <c r="HS27" s="134">
        <v>200000</v>
      </c>
      <c r="HT27" s="134"/>
      <c r="HU27" s="134">
        <v>0</v>
      </c>
      <c r="HV27" s="191">
        <f t="shared" si="399"/>
        <v>-130065</v>
      </c>
      <c r="HW27" s="151">
        <f t="shared" si="400"/>
        <v>-0.18728535944418445</v>
      </c>
      <c r="HX27" s="414">
        <v>9</v>
      </c>
      <c r="HY27" s="241">
        <f t="shared" si="401"/>
        <v>2156170</v>
      </c>
      <c r="HZ27" s="415">
        <f t="shared" si="402"/>
        <v>413775</v>
      </c>
      <c r="IA27" s="241"/>
      <c r="IB27" s="415">
        <f t="shared" si="403"/>
        <v>-169870</v>
      </c>
      <c r="IC27" s="141"/>
      <c r="ID27" s="642">
        <v>9</v>
      </c>
      <c r="IE27" s="141">
        <f t="shared" si="404"/>
        <v>8988239</v>
      </c>
      <c r="IF27" s="141">
        <f t="shared" si="405"/>
        <v>1704213</v>
      </c>
      <c r="IG27" s="74">
        <f t="shared" si="406"/>
        <v>0.1896047713016977</v>
      </c>
      <c r="IH27" s="1507"/>
      <c r="II27" s="69"/>
      <c r="IJ27" s="133">
        <v>11</v>
      </c>
      <c r="IK27" s="134">
        <v>710183</v>
      </c>
      <c r="IL27" s="134">
        <v>961760</v>
      </c>
      <c r="IM27" s="134">
        <v>0</v>
      </c>
      <c r="IN27" s="133">
        <f t="shared" si="407"/>
        <v>251577</v>
      </c>
      <c r="IO27" s="151">
        <f t="shared" si="408"/>
        <v>0.26157981201131258</v>
      </c>
      <c r="IP27" s="133">
        <v>0</v>
      </c>
      <c r="IQ27" s="134">
        <v>50000</v>
      </c>
      <c r="IR27" s="134">
        <v>200000</v>
      </c>
      <c r="IS27" s="190">
        <f t="shared" si="409"/>
        <v>1577</v>
      </c>
      <c r="IT27" s="151">
        <f t="shared" si="410"/>
        <v>1.6397022126102146E-3</v>
      </c>
      <c r="IU27" s="390">
        <v>10</v>
      </c>
      <c r="IV27" s="134">
        <v>587499</v>
      </c>
      <c r="IW27" s="134">
        <v>753539</v>
      </c>
      <c r="IX27" s="134">
        <v>29313</v>
      </c>
      <c r="IY27" s="133">
        <f t="shared" si="411"/>
        <v>136727</v>
      </c>
      <c r="IZ27" s="151">
        <f t="shared" si="412"/>
        <v>0.18144648120402526</v>
      </c>
      <c r="JA27" s="133">
        <v>33333</v>
      </c>
      <c r="JB27" s="134">
        <v>0</v>
      </c>
      <c r="JC27" s="134">
        <v>50000</v>
      </c>
      <c r="JD27" s="190">
        <f t="shared" si="413"/>
        <v>53394</v>
      </c>
      <c r="JE27" s="151">
        <f t="shared" si="414"/>
        <v>7.0857646385920306E-2</v>
      </c>
      <c r="JF27" s="390">
        <v>10</v>
      </c>
      <c r="JG27" s="134">
        <v>592680</v>
      </c>
      <c r="JH27" s="134">
        <v>775549</v>
      </c>
      <c r="JI27" s="134">
        <v>0</v>
      </c>
      <c r="JJ27" s="133">
        <f t="shared" si="415"/>
        <v>182869</v>
      </c>
      <c r="JK27" s="151">
        <f t="shared" si="416"/>
        <v>0.23579296730445143</v>
      </c>
      <c r="JL27" s="133">
        <v>64032</v>
      </c>
      <c r="JM27" s="134">
        <v>50000</v>
      </c>
      <c r="JN27" s="134">
        <v>50000</v>
      </c>
      <c r="JO27" s="190">
        <f t="shared" si="417"/>
        <v>18837</v>
      </c>
      <c r="JP27" s="151">
        <f t="shared" si="418"/>
        <v>2.4288600720263967E-2</v>
      </c>
      <c r="JQ27" s="390">
        <v>10</v>
      </c>
      <c r="JR27" s="191">
        <f t="shared" si="249"/>
        <v>2490848</v>
      </c>
      <c r="JS27" s="191">
        <f t="shared" si="250"/>
        <v>571173</v>
      </c>
      <c r="JT27" s="151">
        <f t="shared" si="419"/>
        <v>0.22930865311733192</v>
      </c>
      <c r="JU27" s="390">
        <v>10</v>
      </c>
      <c r="JV27" s="134">
        <v>598392</v>
      </c>
      <c r="JW27" s="134">
        <v>770248</v>
      </c>
      <c r="JX27" s="134"/>
      <c r="JY27" s="133">
        <f t="shared" si="420"/>
        <v>171856</v>
      </c>
      <c r="JZ27" s="151">
        <f t="shared" si="421"/>
        <v>0.22311774908860524</v>
      </c>
      <c r="KA27" s="133">
        <v>17997</v>
      </c>
      <c r="KB27" s="134">
        <v>50000</v>
      </c>
      <c r="KC27" s="134">
        <v>50000</v>
      </c>
      <c r="KD27" s="190">
        <f t="shared" si="422"/>
        <v>53859</v>
      </c>
      <c r="KE27" s="151">
        <f t="shared" si="423"/>
        <v>6.9924232195344882E-2</v>
      </c>
      <c r="KF27" s="390">
        <v>10</v>
      </c>
      <c r="KG27" s="134">
        <v>593876</v>
      </c>
      <c r="KH27" s="134">
        <v>770384</v>
      </c>
      <c r="KI27" s="134">
        <v>0</v>
      </c>
      <c r="KJ27" s="133">
        <f t="shared" si="424"/>
        <v>176508</v>
      </c>
      <c r="KK27" s="151">
        <f t="shared" si="425"/>
        <v>0.22911690793162889</v>
      </c>
      <c r="KL27" s="133">
        <f>27650+14130</f>
        <v>41780</v>
      </c>
      <c r="KM27" s="134">
        <v>50000</v>
      </c>
      <c r="KN27" s="134">
        <v>50000</v>
      </c>
      <c r="KO27" s="190">
        <f t="shared" si="426"/>
        <v>34728</v>
      </c>
      <c r="KP27" s="151">
        <f t="shared" si="427"/>
        <v>4.5078817836299821E-2</v>
      </c>
      <c r="KQ27" s="390">
        <v>10</v>
      </c>
      <c r="KR27" s="134">
        <v>583672</v>
      </c>
      <c r="KS27" s="134">
        <v>755352</v>
      </c>
      <c r="KT27" s="134"/>
      <c r="KU27" s="133">
        <f t="shared" si="428"/>
        <v>171680</v>
      </c>
      <c r="KV27" s="151">
        <f t="shared" si="429"/>
        <v>0.22728476260074773</v>
      </c>
      <c r="KW27" s="133"/>
      <c r="KX27" s="134">
        <v>50000</v>
      </c>
      <c r="KY27" s="134">
        <v>100000</v>
      </c>
      <c r="KZ27" s="190">
        <f t="shared" si="430"/>
        <v>21680</v>
      </c>
      <c r="LA27" s="151">
        <f t="shared" si="431"/>
        <v>2.8701850263188552E-2</v>
      </c>
      <c r="LB27" s="402">
        <v>10</v>
      </c>
      <c r="LC27" s="191">
        <f t="shared" si="432"/>
        <v>2295984</v>
      </c>
      <c r="LD27" s="191">
        <f t="shared" si="433"/>
        <v>520044</v>
      </c>
      <c r="LE27" s="151">
        <f t="shared" si="434"/>
        <v>0.22650157840821192</v>
      </c>
      <c r="LF27" s="226">
        <f t="shared" si="435"/>
        <v>0</v>
      </c>
      <c r="LG27" s="128">
        <f t="shared" si="436"/>
        <v>-194864</v>
      </c>
      <c r="LH27" s="139">
        <f t="shared" si="437"/>
        <v>-51129</v>
      </c>
      <c r="LI27" s="442">
        <f t="shared" si="438"/>
        <v>0</v>
      </c>
      <c r="LJ27" s="442">
        <f t="shared" si="439"/>
        <v>-7.8231991675124291E-2</v>
      </c>
      <c r="LK27" s="106">
        <f t="shared" si="440"/>
        <v>-8.9515785935259551E-2</v>
      </c>
      <c r="LL27" s="390">
        <v>9</v>
      </c>
      <c r="LM27" s="134">
        <v>458482</v>
      </c>
      <c r="LN27" s="134">
        <v>554571</v>
      </c>
      <c r="LO27" s="134">
        <v>123726</v>
      </c>
      <c r="LP27" s="133">
        <f t="shared" si="441"/>
        <v>-27637</v>
      </c>
      <c r="LQ27" s="151">
        <f t="shared" si="442"/>
        <v>-4.9834917440688388E-2</v>
      </c>
      <c r="LR27" s="133"/>
      <c r="LS27" s="134">
        <v>25000</v>
      </c>
      <c r="LT27" s="134">
        <v>0</v>
      </c>
      <c r="LU27" s="190">
        <f t="shared" si="443"/>
        <v>-52637</v>
      </c>
      <c r="LV27" s="151">
        <f t="shared" si="444"/>
        <v>-9.4914808022777963E-2</v>
      </c>
      <c r="LW27" s="134">
        <v>9</v>
      </c>
      <c r="LX27" s="134">
        <v>470685</v>
      </c>
      <c r="LY27" s="134">
        <v>559149</v>
      </c>
      <c r="LZ27" s="134"/>
      <c r="MA27" s="133">
        <f t="shared" si="445"/>
        <v>88464</v>
      </c>
      <c r="MB27" s="151">
        <f t="shared" si="446"/>
        <v>0.15821185408540478</v>
      </c>
      <c r="MC27" s="134"/>
      <c r="MD27" s="134">
        <v>80000</v>
      </c>
      <c r="ME27" s="134">
        <v>0</v>
      </c>
      <c r="MF27" s="190">
        <f t="shared" si="447"/>
        <v>8464</v>
      </c>
      <c r="MG27" s="151">
        <f t="shared" si="448"/>
        <v>1.5137288987371881E-2</v>
      </c>
      <c r="MH27" s="134">
        <v>10</v>
      </c>
      <c r="MI27" s="134">
        <v>474509</v>
      </c>
      <c r="MJ27" s="134">
        <v>539297</v>
      </c>
      <c r="MK27" s="134"/>
      <c r="ML27" s="133">
        <f t="shared" si="449"/>
        <v>64788</v>
      </c>
      <c r="MM27" s="151">
        <f t="shared" si="450"/>
        <v>0.12013417467554983</v>
      </c>
      <c r="MN27" s="134">
        <v>0</v>
      </c>
      <c r="MO27" s="134">
        <v>50000</v>
      </c>
      <c r="MP27" s="134">
        <v>0</v>
      </c>
      <c r="MQ27" s="190">
        <f t="shared" si="451"/>
        <v>14788</v>
      </c>
      <c r="MR27" s="151">
        <f t="shared" si="452"/>
        <v>2.7420883112644796E-2</v>
      </c>
      <c r="MS27" s="1472">
        <v>10</v>
      </c>
      <c r="MT27" s="118">
        <f t="shared" si="453"/>
        <v>1653017</v>
      </c>
      <c r="MU27" s="118">
        <f t="shared" si="454"/>
        <v>125615</v>
      </c>
      <c r="MV27" s="135">
        <f t="shared" si="455"/>
        <v>7.5991353990914792E-2</v>
      </c>
      <c r="MW27" s="133">
        <f t="shared" si="456"/>
        <v>0</v>
      </c>
      <c r="MX27" s="134">
        <f t="shared" si="457"/>
        <v>-642967</v>
      </c>
      <c r="MY27" s="134">
        <f t="shared" si="458"/>
        <v>-394429</v>
      </c>
      <c r="MZ27" s="135">
        <f t="shared" si="459"/>
        <v>0</v>
      </c>
      <c r="NA27" s="135">
        <f t="shared" si="460"/>
        <v>-0.28003984348322986</v>
      </c>
      <c r="NB27" s="151">
        <f t="shared" si="461"/>
        <v>-0.75845313088892474</v>
      </c>
      <c r="NC27" s="134">
        <v>9</v>
      </c>
      <c r="ND27" s="134">
        <v>477231</v>
      </c>
      <c r="NE27" s="134">
        <v>570068</v>
      </c>
      <c r="NF27" s="134"/>
      <c r="NG27" s="133">
        <f t="shared" si="462"/>
        <v>92837</v>
      </c>
      <c r="NH27" s="151">
        <f t="shared" si="463"/>
        <v>0.162852501806802</v>
      </c>
      <c r="NI27" s="134">
        <v>55160</v>
      </c>
      <c r="NJ27" s="134">
        <v>20000</v>
      </c>
      <c r="NK27" s="134">
        <v>0</v>
      </c>
      <c r="NL27" s="190">
        <f t="shared" si="464"/>
        <v>17677</v>
      </c>
      <c r="NM27" s="135">
        <f t="shared" si="465"/>
        <v>3.1008581432390523E-2</v>
      </c>
      <c r="NN27" s="1563">
        <v>9</v>
      </c>
      <c r="NO27" s="134">
        <v>479225</v>
      </c>
      <c r="NP27" s="134">
        <v>566030</v>
      </c>
      <c r="NQ27" s="134">
        <v>0</v>
      </c>
      <c r="NR27" s="133">
        <f t="shared" si="466"/>
        <v>86805</v>
      </c>
      <c r="NS27" s="151">
        <f t="shared" si="467"/>
        <v>0.15335759588714379</v>
      </c>
      <c r="NT27" s="134">
        <f>32000+25000</f>
        <v>57000</v>
      </c>
      <c r="NU27" s="134">
        <v>20000</v>
      </c>
      <c r="NV27" s="134">
        <v>50000</v>
      </c>
      <c r="NW27" s="190">
        <f t="shared" si="468"/>
        <v>-40195</v>
      </c>
      <c r="NX27" s="135">
        <f t="shared" si="469"/>
        <v>-7.1012137165874595E-2</v>
      </c>
      <c r="NY27" s="1563">
        <v>9</v>
      </c>
      <c r="NZ27" s="134">
        <v>433663</v>
      </c>
      <c r="OA27" s="134">
        <v>491678</v>
      </c>
      <c r="OB27" s="134">
        <v>0</v>
      </c>
      <c r="OC27" s="133">
        <f t="shared" si="470"/>
        <v>58015</v>
      </c>
      <c r="OD27" s="151">
        <f t="shared" si="471"/>
        <v>0.11799389031032505</v>
      </c>
      <c r="OE27" s="134">
        <f>32000+25000</f>
        <v>57000</v>
      </c>
      <c r="OF27" s="134">
        <v>20000</v>
      </c>
      <c r="OG27" s="134">
        <v>50000</v>
      </c>
      <c r="OH27" s="190">
        <f t="shared" si="472"/>
        <v>-68985</v>
      </c>
      <c r="OI27" s="5380">
        <f t="shared" si="473"/>
        <v>-0.14030524042157672</v>
      </c>
      <c r="OJ27" s="69">
        <v>9</v>
      </c>
      <c r="OK27" s="155">
        <f t="shared" si="474"/>
        <v>7884756</v>
      </c>
      <c r="OL27" s="155">
        <f t="shared" si="475"/>
        <v>1271620</v>
      </c>
      <c r="OM27" s="74">
        <f t="shared" si="476"/>
        <v>0.1612757579308732</v>
      </c>
      <c r="ON27" s="155">
        <f t="shared" si="477"/>
        <v>94350</v>
      </c>
      <c r="OO27" s="70"/>
      <c r="OP27" s="69"/>
      <c r="OQ27" s="1563">
        <v>7</v>
      </c>
      <c r="OR27" s="134">
        <v>321626.43</v>
      </c>
      <c r="OS27" s="134">
        <v>381381</v>
      </c>
      <c r="OT27" s="134"/>
      <c r="OU27" s="133">
        <f t="shared" si="255"/>
        <v>59754.570000000007</v>
      </c>
      <c r="OV27" s="94">
        <f t="shared" si="256"/>
        <v>0.15667946227001348</v>
      </c>
      <c r="OW27" s="133"/>
      <c r="OX27" s="134">
        <v>25000</v>
      </c>
      <c r="OY27" s="134">
        <v>32379.5</v>
      </c>
      <c r="OZ27" s="190">
        <f t="shared" si="257"/>
        <v>2375.070000000007</v>
      </c>
      <c r="PA27" s="5361">
        <f t="shared" si="258"/>
        <v>6.2275519755834903E-3</v>
      </c>
      <c r="PB27" s="5320">
        <v>6</v>
      </c>
      <c r="PC27" s="134">
        <v>319717.05</v>
      </c>
      <c r="PD27" s="134">
        <v>371021</v>
      </c>
      <c r="PE27" s="134"/>
      <c r="PF27" s="133">
        <f t="shared" si="259"/>
        <v>51303.950000000012</v>
      </c>
      <c r="PG27" s="94">
        <f t="shared" si="260"/>
        <v>0.13827775247223206</v>
      </c>
      <c r="PH27" s="133">
        <v>0</v>
      </c>
      <c r="PI27" s="134">
        <v>0</v>
      </c>
      <c r="PJ27" s="134">
        <v>60000</v>
      </c>
      <c r="PK27" s="190">
        <f t="shared" si="261"/>
        <v>-8696.0499999999884</v>
      </c>
      <c r="PL27" s="135">
        <f t="shared" si="262"/>
        <v>-2.3438161182251109E-2</v>
      </c>
      <c r="PM27" s="5379">
        <v>6</v>
      </c>
      <c r="PN27" s="134">
        <v>257116.62</v>
      </c>
      <c r="PO27" s="134">
        <v>311254</v>
      </c>
      <c r="PP27" s="134">
        <v>2650</v>
      </c>
      <c r="PQ27" s="6293">
        <f t="shared" si="263"/>
        <v>51487.380000000005</v>
      </c>
      <c r="PR27" s="6295">
        <f t="shared" si="264"/>
        <v>0.16541917533589931</v>
      </c>
      <c r="PS27" s="134">
        <v>0</v>
      </c>
      <c r="PT27" s="134">
        <v>0</v>
      </c>
      <c r="PU27" s="134">
        <v>100000</v>
      </c>
      <c r="PV27" s="190">
        <f t="shared" si="265"/>
        <v>-48512.619999999995</v>
      </c>
      <c r="PW27" s="5380">
        <f t="shared" si="266"/>
        <v>-0.15586183631375017</v>
      </c>
      <c r="PX27" s="5320">
        <v>6</v>
      </c>
      <c r="PY27" s="191">
        <f t="shared" si="267"/>
        <v>1063656</v>
      </c>
      <c r="PZ27" s="191">
        <f t="shared" si="268"/>
        <v>162545.90000000002</v>
      </c>
      <c r="QA27" s="135">
        <f t="shared" si="269"/>
        <v>0.1528181103665095</v>
      </c>
      <c r="QB27" s="5379">
        <v>9</v>
      </c>
      <c r="QC27" s="134">
        <v>461503.15</v>
      </c>
      <c r="QD27" s="134">
        <v>559805</v>
      </c>
      <c r="QE27" s="134">
        <v>14703</v>
      </c>
      <c r="QF27" s="6293">
        <f t="shared" si="270"/>
        <v>83598.849999999977</v>
      </c>
      <c r="QG27" s="6295">
        <f t="shared" si="271"/>
        <v>0.14933566152499528</v>
      </c>
      <c r="QH27" s="134">
        <v>0</v>
      </c>
      <c r="QI27" s="134"/>
      <c r="QJ27" s="134">
        <v>100000</v>
      </c>
      <c r="QK27" s="190">
        <f t="shared" si="272"/>
        <v>-16401.150000000023</v>
      </c>
      <c r="QL27" s="5380">
        <f t="shared" si="273"/>
        <v>-2.9297969828779705E-2</v>
      </c>
      <c r="QM27" s="5379">
        <v>7</v>
      </c>
      <c r="QN27" s="134">
        <v>347268.61</v>
      </c>
      <c r="QO27" s="134">
        <v>414487</v>
      </c>
      <c r="QP27" s="134">
        <v>0</v>
      </c>
      <c r="QQ27" s="133">
        <f t="shared" si="292"/>
        <v>67218.390000000014</v>
      </c>
      <c r="QR27" s="151">
        <f t="shared" si="293"/>
        <v>0.16217249274404266</v>
      </c>
      <c r="QS27" s="4138">
        <v>335829</v>
      </c>
      <c r="QT27" s="134">
        <v>0</v>
      </c>
      <c r="QU27" s="134">
        <v>0</v>
      </c>
      <c r="QV27" s="190">
        <f t="shared" si="294"/>
        <v>-268610.61</v>
      </c>
      <c r="QW27" s="5380">
        <f t="shared" si="295"/>
        <v>-0.64805557230986732</v>
      </c>
      <c r="QX27" s="5379">
        <v>8</v>
      </c>
      <c r="QY27" s="358">
        <f>374396+(478483*3%)</f>
        <v>388750.49</v>
      </c>
      <c r="QZ27" s="358">
        <v>478483</v>
      </c>
      <c r="RA27" s="359"/>
      <c r="RB27" s="133">
        <f t="shared" si="274"/>
        <v>89732.510000000009</v>
      </c>
      <c r="RC27" s="151">
        <f t="shared" ref="RC27:RC35" si="492">RB27/QZ27</f>
        <v>0.18753541923119527</v>
      </c>
      <c r="RD27" s="4138">
        <v>322500</v>
      </c>
      <c r="RE27" s="134">
        <v>0</v>
      </c>
      <c r="RF27" s="134">
        <v>0</v>
      </c>
      <c r="RG27" s="190">
        <f t="shared" si="296"/>
        <v>-232767.49</v>
      </c>
      <c r="RH27" s="5380">
        <f t="shared" si="297"/>
        <v>-0.48646971783741533</v>
      </c>
      <c r="RI27" s="5376"/>
      <c r="RJ27" s="191">
        <f t="shared" si="275"/>
        <v>1452775</v>
      </c>
      <c r="RK27" s="191">
        <f t="shared" si="298"/>
        <v>240549.75</v>
      </c>
      <c r="RL27" s="5380">
        <f t="shared" si="486"/>
        <v>0.16557949441585931</v>
      </c>
      <c r="RM27" s="1562">
        <f t="shared" si="276"/>
        <v>-6</v>
      </c>
      <c r="RN27" s="128">
        <f t="shared" si="277"/>
        <v>389119</v>
      </c>
      <c r="RO27" s="139">
        <f t="shared" si="278"/>
        <v>78003.849999999977</v>
      </c>
      <c r="RP27" s="442">
        <f t="shared" si="279"/>
        <v>-1</v>
      </c>
      <c r="RQ27" s="442">
        <f t="shared" si="280"/>
        <v>0.36583162225381138</v>
      </c>
      <c r="RR27" s="6339">
        <f t="shared" si="281"/>
        <v>0.47988814236471034</v>
      </c>
      <c r="RS27" s="698">
        <v>12</v>
      </c>
      <c r="RT27" s="208">
        <f>707835+(879547*3%)</f>
        <v>734221.41</v>
      </c>
      <c r="RU27" s="208">
        <v>879547</v>
      </c>
      <c r="RV27" s="2563">
        <v>0</v>
      </c>
      <c r="RW27" s="133">
        <f t="shared" si="299"/>
        <v>145325.58999999997</v>
      </c>
      <c r="RX27" s="151">
        <f t="shared" si="300"/>
        <v>0.16522777065921432</v>
      </c>
      <c r="RY27" s="133">
        <v>125002</v>
      </c>
      <c r="RZ27" s="134">
        <v>0</v>
      </c>
      <c r="SA27" s="134">
        <v>0</v>
      </c>
      <c r="SB27" s="188">
        <f t="shared" si="282"/>
        <v>20323.589999999967</v>
      </c>
      <c r="SC27" s="5380">
        <f t="shared" si="232"/>
        <v>2.3106883429765513E-2</v>
      </c>
      <c r="SD27" s="110">
        <v>12</v>
      </c>
      <c r="SE27" s="208">
        <f>1090474+(1375638*3%)+10721</f>
        <v>1142464.1399999999</v>
      </c>
      <c r="SF27" s="208">
        <v>1375638</v>
      </c>
      <c r="SG27" s="994">
        <v>0</v>
      </c>
      <c r="SH27" s="6361">
        <f t="shared" ref="SH27:SH37" si="493">SF27-(SE27+SG27)</f>
        <v>233173.8600000001</v>
      </c>
      <c r="SI27" s="6363">
        <f t="shared" ref="SI27:SI35" si="494">SH27/SF27</f>
        <v>0.16950234000514677</v>
      </c>
      <c r="SJ27" s="134">
        <v>125002</v>
      </c>
      <c r="SK27" s="134">
        <v>0</v>
      </c>
      <c r="SL27" s="134">
        <v>0</v>
      </c>
      <c r="SM27" s="188">
        <f t="shared" si="289"/>
        <v>108171.8600000001</v>
      </c>
      <c r="SN27" s="5389">
        <f t="shared" si="290"/>
        <v>7.8633957480092942E-2</v>
      </c>
      <c r="SO27" s="134">
        <v>13</v>
      </c>
      <c r="SP27" s="134">
        <v>1151586.22</v>
      </c>
      <c r="SQ27" s="134">
        <v>1374974</v>
      </c>
      <c r="SR27" s="134">
        <v>0</v>
      </c>
      <c r="SS27" s="6361">
        <f t="shared" si="283"/>
        <v>223387.78000000003</v>
      </c>
      <c r="ST27" s="6363">
        <f t="shared" si="301"/>
        <v>0.16246691210161066</v>
      </c>
      <c r="SU27" s="134">
        <v>125002</v>
      </c>
      <c r="SV27" s="134"/>
      <c r="SW27" s="134">
        <v>0</v>
      </c>
      <c r="SX27" s="190">
        <f t="shared" si="302"/>
        <v>98385.780000000028</v>
      </c>
      <c r="SY27" s="5380">
        <f t="shared" si="303"/>
        <v>7.1554647578790598E-2</v>
      </c>
      <c r="SZ27" s="6270"/>
      <c r="TA27" s="118">
        <f t="shared" si="478"/>
        <v>3630159</v>
      </c>
      <c r="TB27" s="118">
        <f t="shared" si="479"/>
        <v>601887.2300000001</v>
      </c>
      <c r="TC27" s="5380">
        <f t="shared" si="487"/>
        <v>0.16580189187305572</v>
      </c>
      <c r="TD27" s="209">
        <v>11</v>
      </c>
      <c r="TE27" s="208">
        <f>1087424+(137421*3%)</f>
        <v>1091546.6299999999</v>
      </c>
      <c r="TF27" s="208">
        <v>1374221</v>
      </c>
      <c r="TG27" s="134">
        <v>27280</v>
      </c>
      <c r="TH27" s="133">
        <f t="shared" ref="TH27:TH35" si="495">TF27-(TE27+TG27)</f>
        <v>255394.37000000011</v>
      </c>
      <c r="TI27" s="151">
        <f t="shared" ref="TI27:TI33" si="496">TH27/TF27</f>
        <v>0.18584665057512592</v>
      </c>
      <c r="TJ27" s="134">
        <v>125002</v>
      </c>
      <c r="TK27" s="134">
        <v>0</v>
      </c>
      <c r="TL27" s="134">
        <v>80000</v>
      </c>
      <c r="TM27" s="190">
        <f t="shared" si="306"/>
        <v>50392.370000000112</v>
      </c>
      <c r="TN27" s="5380">
        <f t="shared" si="307"/>
        <v>3.6669771455974047E-2</v>
      </c>
      <c r="TO27" s="134"/>
      <c r="TP27" s="134"/>
      <c r="TQ27" s="134"/>
      <c r="TR27" s="134"/>
      <c r="TS27" s="133">
        <f t="shared" si="480"/>
        <v>0</v>
      </c>
      <c r="TT27" s="151" t="e">
        <f t="shared" si="488"/>
        <v>#DIV/0!</v>
      </c>
      <c r="TU27" s="134"/>
      <c r="TV27" s="134"/>
      <c r="TW27" s="134"/>
      <c r="TX27" s="190">
        <f t="shared" si="481"/>
        <v>0</v>
      </c>
      <c r="TY27" s="135" t="e">
        <f t="shared" si="489"/>
        <v>#DIV/0!</v>
      </c>
      <c r="TZ27" s="1563"/>
      <c r="UA27" s="134"/>
      <c r="UB27" s="134"/>
      <c r="UC27" s="134"/>
      <c r="UD27" s="133">
        <f t="shared" si="482"/>
        <v>0</v>
      </c>
      <c r="UE27" s="151" t="e">
        <f t="shared" si="490"/>
        <v>#DIV/0!</v>
      </c>
      <c r="UF27" s="134"/>
      <c r="UG27" s="134"/>
      <c r="UH27" s="134"/>
      <c r="UI27" s="190">
        <f t="shared" si="483"/>
        <v>0</v>
      </c>
      <c r="UJ27" s="5380" t="e">
        <f t="shared" si="491"/>
        <v>#DIV/0!</v>
      </c>
      <c r="UK27" s="5376"/>
      <c r="UL27" s="191">
        <f t="shared" si="284"/>
        <v>7520811</v>
      </c>
      <c r="UM27" s="191">
        <f t="shared" si="285"/>
        <v>1260377.2500000002</v>
      </c>
      <c r="UN27" s="135">
        <f t="shared" si="484"/>
        <v>0.1675852843529774</v>
      </c>
      <c r="UO27" s="191">
        <f t="shared" si="286"/>
        <v>-295339.24999999977</v>
      </c>
      <c r="UP27" s="5380">
        <f t="shared" si="291"/>
        <v>-3.9269601376766383E-2</v>
      </c>
      <c r="UR27" s="410"/>
    </row>
    <row r="28" spans="1:567" x14ac:dyDescent="0.3">
      <c r="A28" s="5315">
        <v>9</v>
      </c>
      <c r="B28" s="5360" t="s">
        <v>383</v>
      </c>
      <c r="C28" s="578" t="s">
        <v>141</v>
      </c>
      <c r="D28" s="578" t="s">
        <v>140</v>
      </c>
      <c r="E28" s="6278" t="s">
        <v>254</v>
      </c>
      <c r="F28" s="579">
        <v>16</v>
      </c>
      <c r="G28" s="161">
        <v>4011987</v>
      </c>
      <c r="H28" s="161">
        <v>5410067</v>
      </c>
      <c r="I28" s="161">
        <v>1374026.3</v>
      </c>
      <c r="J28" s="351">
        <f t="shared" si="308"/>
        <v>0.25397583800718182</v>
      </c>
      <c r="K28" s="580">
        <v>14</v>
      </c>
      <c r="L28" s="161">
        <v>3333507</v>
      </c>
      <c r="M28" s="161">
        <v>4488033</v>
      </c>
      <c r="N28" s="161">
        <v>1131974</v>
      </c>
      <c r="O28" s="422"/>
      <c r="P28" s="580">
        <v>8.3333333333333339</v>
      </c>
      <c r="Q28" s="161">
        <v>1684429</v>
      </c>
      <c r="R28" s="161">
        <v>2368279</v>
      </c>
      <c r="S28" s="161">
        <v>-466430</v>
      </c>
      <c r="T28" s="94"/>
      <c r="U28" s="136"/>
      <c r="V28" s="422"/>
      <c r="W28" s="422"/>
      <c r="X28" s="422"/>
      <c r="Y28" s="422"/>
      <c r="Z28" s="581"/>
      <c r="AA28" s="422"/>
      <c r="AB28" s="422"/>
      <c r="AC28" s="422"/>
      <c r="AD28" s="422"/>
      <c r="AE28" s="619">
        <f t="shared" si="309"/>
        <v>0</v>
      </c>
      <c r="AF28" s="422"/>
      <c r="AG28" s="113">
        <v>7</v>
      </c>
      <c r="AH28" s="616">
        <f>569536</f>
        <v>569536</v>
      </c>
      <c r="AI28" s="616">
        <v>737438</v>
      </c>
      <c r="AJ28" s="616">
        <v>24053.7</v>
      </c>
      <c r="AK28" s="105">
        <f t="shared" si="310"/>
        <v>143848.30000000005</v>
      </c>
      <c r="AL28" s="114">
        <f t="shared" si="311"/>
        <v>0.19506494105267161</v>
      </c>
      <c r="AM28" s="129">
        <v>30000</v>
      </c>
      <c r="AN28" s="130">
        <v>131298</v>
      </c>
      <c r="AO28" s="130"/>
      <c r="AP28" s="130">
        <v>49383.651724137926</v>
      </c>
      <c r="AQ28" s="130">
        <f t="shared" si="312"/>
        <v>-66833.351724137872</v>
      </c>
      <c r="AR28" s="114">
        <f t="shared" si="313"/>
        <v>-0.46460995176264058</v>
      </c>
      <c r="AS28" s="113">
        <v>7</v>
      </c>
      <c r="AT28" s="213">
        <v>1700626</v>
      </c>
      <c r="AU28" s="130">
        <v>2229430</v>
      </c>
      <c r="AV28" s="130">
        <v>488774</v>
      </c>
      <c r="AW28" s="114">
        <f t="shared" si="314"/>
        <v>0.2192372041284095</v>
      </c>
      <c r="AX28" s="617">
        <v>7</v>
      </c>
      <c r="AY28" s="241">
        <f t="shared" si="315"/>
        <v>10730549</v>
      </c>
      <c r="AZ28" s="241">
        <f t="shared" si="316"/>
        <v>14495809</v>
      </c>
      <c r="BA28" s="241">
        <f t="shared" si="317"/>
        <v>2528344.2999999998</v>
      </c>
      <c r="BB28" s="135">
        <f t="shared" si="318"/>
        <v>0.17441898551505472</v>
      </c>
      <c r="BC28" s="636">
        <v>7</v>
      </c>
      <c r="BD28" s="619">
        <v>569327</v>
      </c>
      <c r="BE28" s="619">
        <v>747073</v>
      </c>
      <c r="BF28" s="619">
        <v>0</v>
      </c>
      <c r="BG28" s="619">
        <f t="shared" si="319"/>
        <v>177746</v>
      </c>
      <c r="BH28" s="618"/>
      <c r="BI28" s="636">
        <v>8</v>
      </c>
      <c r="BJ28" s="619">
        <v>597662</v>
      </c>
      <c r="BK28" s="619">
        <v>764266</v>
      </c>
      <c r="BL28" s="619"/>
      <c r="BM28" s="619">
        <f t="shared" si="320"/>
        <v>166604</v>
      </c>
      <c r="BN28" s="618"/>
      <c r="BO28" s="620">
        <v>8</v>
      </c>
      <c r="BP28" s="619">
        <v>580623</v>
      </c>
      <c r="BQ28" s="619">
        <v>755373</v>
      </c>
      <c r="BR28" s="619"/>
      <c r="BS28" s="619">
        <f t="shared" si="321"/>
        <v>174750</v>
      </c>
      <c r="BT28" s="1480">
        <f t="shared" si="322"/>
        <v>0.23134266117533986</v>
      </c>
      <c r="BU28" s="620">
        <v>8</v>
      </c>
      <c r="BV28" s="1481">
        <f t="shared" si="323"/>
        <v>2266712</v>
      </c>
      <c r="BW28" s="1481">
        <f t="shared" si="324"/>
        <v>519100</v>
      </c>
      <c r="BX28" s="236">
        <f t="shared" si="325"/>
        <v>0.22901012567983933</v>
      </c>
      <c r="BY28" s="594">
        <v>9</v>
      </c>
      <c r="BZ28" s="595">
        <v>614043</v>
      </c>
      <c r="CA28" s="595">
        <v>803291</v>
      </c>
      <c r="CB28" s="595">
        <v>0</v>
      </c>
      <c r="CC28" s="596">
        <f t="shared" si="326"/>
        <v>189248</v>
      </c>
      <c r="CD28" s="597">
        <f t="shared" si="327"/>
        <v>0.23559083818939835</v>
      </c>
      <c r="CE28" s="598">
        <v>50000</v>
      </c>
      <c r="CF28" s="599">
        <v>0</v>
      </c>
      <c r="CG28" s="599"/>
      <c r="CH28" s="599">
        <v>74304.057692307688</v>
      </c>
      <c r="CI28" s="599">
        <f t="shared" si="328"/>
        <v>64943.942307692312</v>
      </c>
      <c r="CJ28" s="597">
        <f t="shared" si="329"/>
        <v>8.0847342130924302E-2</v>
      </c>
      <c r="CK28" s="600">
        <v>8</v>
      </c>
      <c r="CL28" s="601">
        <v>541881</v>
      </c>
      <c r="CM28" s="601">
        <v>722665</v>
      </c>
      <c r="CN28" s="601"/>
      <c r="CO28" s="96">
        <f t="shared" si="330"/>
        <v>180784</v>
      </c>
      <c r="CP28" s="602">
        <f t="shared" si="331"/>
        <v>0.25016293856766275</v>
      </c>
      <c r="CQ28" s="603">
        <v>0</v>
      </c>
      <c r="CR28" s="603">
        <v>99658.273076923069</v>
      </c>
      <c r="CS28" s="603"/>
      <c r="CT28" s="603">
        <v>147101.18634615382</v>
      </c>
      <c r="CU28" s="603">
        <f t="shared" si="332"/>
        <v>-65975.459423076885</v>
      </c>
      <c r="CV28" s="604">
        <f t="shared" si="333"/>
        <v>-9.1294665471659597E-2</v>
      </c>
      <c r="CW28" s="129">
        <v>4</v>
      </c>
      <c r="CX28" s="130">
        <v>318646</v>
      </c>
      <c r="CY28" s="130">
        <v>388020</v>
      </c>
      <c r="CZ28" s="130"/>
      <c r="DA28" s="605">
        <f t="shared" si="334"/>
        <v>69374</v>
      </c>
      <c r="DB28" s="114">
        <f t="shared" si="335"/>
        <v>0.17878975310551001</v>
      </c>
      <c r="DC28" s="138"/>
      <c r="DD28" s="606">
        <v>113817.95833333333</v>
      </c>
      <c r="DE28" s="130"/>
      <c r="DF28" s="130">
        <v>121185.01354166666</v>
      </c>
      <c r="DG28" s="128">
        <f t="shared" si="336"/>
        <v>-165628.97187499999</v>
      </c>
      <c r="DH28" s="169">
        <f t="shared" si="337"/>
        <v>-0.42685679056491932</v>
      </c>
      <c r="DI28" s="204">
        <f t="shared" si="338"/>
        <v>7</v>
      </c>
      <c r="DJ28" s="202">
        <f t="shared" si="339"/>
        <v>1913976</v>
      </c>
      <c r="DK28" s="202">
        <f t="shared" si="340"/>
        <v>439406</v>
      </c>
      <c r="DL28" s="119">
        <f t="shared" si="341"/>
        <v>0.22957759135955727</v>
      </c>
      <c r="DM28" s="202">
        <f t="shared" si="342"/>
        <v>-166660.48899038456</v>
      </c>
      <c r="DN28" s="119">
        <f t="shared" si="343"/>
        <v>-8.7075537514777909E-2</v>
      </c>
      <c r="DO28" s="607">
        <f t="shared" si="344"/>
        <v>-3</v>
      </c>
      <c r="DP28" s="137">
        <f t="shared" si="344"/>
        <v>-250890</v>
      </c>
      <c r="DQ28" s="137">
        <f t="shared" si="344"/>
        <v>-349418</v>
      </c>
      <c r="DR28" s="137">
        <f t="shared" si="345"/>
        <v>-74474.300000000047</v>
      </c>
      <c r="DS28" s="135">
        <f t="shared" si="346"/>
        <v>-0.42857142857142855</v>
      </c>
      <c r="DT28" s="135">
        <f t="shared" si="347"/>
        <v>-0.34021843192241247</v>
      </c>
      <c r="DU28" s="135">
        <f t="shared" si="348"/>
        <v>-2.4290728496617611</v>
      </c>
      <c r="DV28" s="151">
        <f t="shared" si="349"/>
        <v>1.1143283716698968</v>
      </c>
      <c r="DW28" s="607">
        <f t="shared" si="350"/>
        <v>-4</v>
      </c>
      <c r="DX28" s="608">
        <f t="shared" si="351"/>
        <v>-334645</v>
      </c>
      <c r="DY28" s="608">
        <f t="shared" si="352"/>
        <v>-111410</v>
      </c>
      <c r="DZ28" s="608">
        <f t="shared" si="353"/>
        <v>-99653.512451923103</v>
      </c>
      <c r="EA28" s="135">
        <f t="shared" si="354"/>
        <v>-0.5</v>
      </c>
      <c r="EB28" s="135">
        <f t="shared" si="355"/>
        <v>-0.46307071741401618</v>
      </c>
      <c r="EC28" s="135">
        <f t="shared" si="356"/>
        <v>-0.61626028852110804</v>
      </c>
      <c r="ED28" s="151">
        <f t="shared" si="357"/>
        <v>1.5104633347511986</v>
      </c>
      <c r="EE28" s="129">
        <v>4</v>
      </c>
      <c r="EF28" s="130">
        <v>466072</v>
      </c>
      <c r="EG28" s="130">
        <v>555326</v>
      </c>
      <c r="EH28" s="130">
        <v>82416</v>
      </c>
      <c r="EI28" s="605">
        <f t="shared" si="358"/>
        <v>6838</v>
      </c>
      <c r="EJ28" s="114">
        <f t="shared" si="359"/>
        <v>1.2313487933214004E-2</v>
      </c>
      <c r="EK28" s="138">
        <v>0</v>
      </c>
      <c r="EL28" s="606">
        <v>0</v>
      </c>
      <c r="EM28" s="130">
        <v>0</v>
      </c>
      <c r="EN28" s="128">
        <v>0</v>
      </c>
      <c r="EO28" s="128">
        <f t="shared" si="360"/>
        <v>6838</v>
      </c>
      <c r="EP28" s="114">
        <f t="shared" si="361"/>
        <v>1.2313487933214004E-2</v>
      </c>
      <c r="EQ28" s="129">
        <v>4</v>
      </c>
      <c r="ER28" s="595">
        <v>476333</v>
      </c>
      <c r="ES28" s="595">
        <v>562484</v>
      </c>
      <c r="ET28" s="130">
        <v>0</v>
      </c>
      <c r="EU28" s="134">
        <f t="shared" si="362"/>
        <v>86151</v>
      </c>
      <c r="EV28" s="114">
        <f t="shared" si="363"/>
        <v>0.15316168993251364</v>
      </c>
      <c r="EW28" s="138">
        <v>0</v>
      </c>
      <c r="EX28" s="606">
        <v>0</v>
      </c>
      <c r="EY28" s="130">
        <v>0</v>
      </c>
      <c r="EZ28" s="128">
        <v>50000</v>
      </c>
      <c r="FA28" s="128">
        <f t="shared" si="364"/>
        <v>36151</v>
      </c>
      <c r="FB28" s="114">
        <f t="shared" si="365"/>
        <v>6.4270272576642182E-2</v>
      </c>
      <c r="FC28" s="609">
        <f t="shared" si="366"/>
        <v>-3</v>
      </c>
      <c r="FD28" s="610">
        <f t="shared" si="367"/>
        <v>-174954</v>
      </c>
      <c r="FE28" s="610">
        <f t="shared" si="368"/>
        <v>-57697.300000000047</v>
      </c>
      <c r="FF28" s="610">
        <f t="shared" si="369"/>
        <v>102984.35172413787</v>
      </c>
      <c r="FG28" s="611">
        <f t="shared" si="370"/>
        <v>-0.42857142857142855</v>
      </c>
      <c r="FH28" s="611">
        <f t="shared" si="371"/>
        <v>-0.23724570743574375</v>
      </c>
      <c r="FI28" s="611">
        <f t="shared" si="372"/>
        <v>-0.40109824029898183</v>
      </c>
      <c r="FJ28" s="612">
        <f t="shared" si="373"/>
        <v>-1.5409125693593415</v>
      </c>
      <c r="FK28" s="133">
        <v>3</v>
      </c>
      <c r="FL28" s="134">
        <v>461345</v>
      </c>
      <c r="FM28" s="134">
        <v>516171</v>
      </c>
      <c r="FN28" s="134"/>
      <c r="FO28" s="134">
        <f t="shared" si="374"/>
        <v>54826</v>
      </c>
      <c r="FP28" s="135">
        <f t="shared" si="375"/>
        <v>0.10621673825147093</v>
      </c>
      <c r="FQ28" s="133"/>
      <c r="FR28" s="134">
        <v>50000</v>
      </c>
      <c r="FS28" s="134"/>
      <c r="FT28" s="191">
        <f t="shared" si="376"/>
        <v>4826</v>
      </c>
      <c r="FU28" s="151">
        <f t="shared" si="377"/>
        <v>9.3496147594498719E-3</v>
      </c>
      <c r="FV28" s="190">
        <f t="shared" si="378"/>
        <v>-4</v>
      </c>
      <c r="FW28" s="191">
        <f t="shared" si="378"/>
        <v>-108191</v>
      </c>
      <c r="FX28" s="191">
        <f t="shared" si="378"/>
        <v>-221267</v>
      </c>
      <c r="FY28" s="191">
        <f t="shared" si="379"/>
        <v>-89022.300000000047</v>
      </c>
      <c r="FZ28" s="191">
        <f t="shared" si="380"/>
        <v>71659.351724137872</v>
      </c>
      <c r="GA28" s="135">
        <f t="shared" si="381"/>
        <v>-0.5714285714285714</v>
      </c>
      <c r="GB28" s="135">
        <f t="shared" si="382"/>
        <v>-0.30004827524483413</v>
      </c>
      <c r="GC28" s="135">
        <f t="shared" si="383"/>
        <v>-0.61886237098387686</v>
      </c>
      <c r="GD28" s="151">
        <f t="shared" si="384"/>
        <v>-1.0722094564390523</v>
      </c>
      <c r="GE28" s="187">
        <f t="shared" si="385"/>
        <v>3.6666666666666665</v>
      </c>
      <c r="GF28" s="155">
        <f t="shared" si="386"/>
        <v>1633981</v>
      </c>
      <c r="GG28" s="155">
        <f t="shared" si="387"/>
        <v>147815</v>
      </c>
      <c r="GH28" s="74">
        <f t="shared" si="388"/>
        <v>9.0463108200156545E-2</v>
      </c>
      <c r="GI28" s="613">
        <f t="shared" si="389"/>
        <v>47815</v>
      </c>
      <c r="GJ28" s="187">
        <f t="shared" si="390"/>
        <v>-3.3333333333333335</v>
      </c>
      <c r="GK28" s="155">
        <f t="shared" si="390"/>
        <v>-279995</v>
      </c>
      <c r="GL28" s="155">
        <f t="shared" si="390"/>
        <v>-291591</v>
      </c>
      <c r="GM28" s="613">
        <f t="shared" si="391"/>
        <v>214475.48899038456</v>
      </c>
      <c r="GN28" s="133">
        <v>2</v>
      </c>
      <c r="GO28" s="134">
        <v>371415</v>
      </c>
      <c r="GP28" s="134">
        <v>421982</v>
      </c>
      <c r="GQ28" s="134">
        <v>0</v>
      </c>
      <c r="GR28" s="134">
        <f t="shared" si="392"/>
        <v>50567</v>
      </c>
      <c r="GS28" s="135">
        <f t="shared" si="393"/>
        <v>0.11983212554089985</v>
      </c>
      <c r="GT28" s="133"/>
      <c r="GU28" s="134"/>
      <c r="GV28" s="134">
        <v>0</v>
      </c>
      <c r="GW28" s="134">
        <v>0</v>
      </c>
      <c r="GX28" s="190">
        <f t="shared" si="394"/>
        <v>50567</v>
      </c>
      <c r="GY28" s="151">
        <f t="shared" si="395"/>
        <v>0.11983212554089985</v>
      </c>
      <c r="GZ28" s="614">
        <v>2</v>
      </c>
      <c r="HA28" s="130">
        <v>371415</v>
      </c>
      <c r="HB28" s="130">
        <v>434934</v>
      </c>
      <c r="HC28" s="130">
        <v>23891</v>
      </c>
      <c r="HD28" s="134">
        <f t="shared" si="396"/>
        <v>39628</v>
      </c>
      <c r="HE28" s="151">
        <f t="shared" si="397"/>
        <v>9.1112674566715873E-2</v>
      </c>
      <c r="HF28" s="138">
        <v>16000</v>
      </c>
      <c r="HG28" s="130"/>
      <c r="HH28" s="130"/>
      <c r="HI28" s="130">
        <v>100000</v>
      </c>
      <c r="HJ28" s="197">
        <f>HD28-SUM(HF28:HI28)</f>
        <v>-76372</v>
      </c>
      <c r="HK28" s="201">
        <f>HJ28/HB28</f>
        <v>-0.17559445800972101</v>
      </c>
      <c r="HL28" s="1365">
        <v>2</v>
      </c>
      <c r="HM28" s="148">
        <v>371415</v>
      </c>
      <c r="HN28" s="148">
        <v>434934</v>
      </c>
      <c r="HO28" s="134">
        <v>0</v>
      </c>
      <c r="HP28" s="615">
        <f t="shared" si="485"/>
        <v>63519</v>
      </c>
      <c r="HQ28" s="201">
        <f t="shared" si="398"/>
        <v>0.14604284788036806</v>
      </c>
      <c r="HR28" s="133">
        <v>4571</v>
      </c>
      <c r="HS28" s="134">
        <v>200000</v>
      </c>
      <c r="HT28" s="134"/>
      <c r="HU28" s="134">
        <v>100000</v>
      </c>
      <c r="HV28" s="191">
        <f t="shared" si="399"/>
        <v>-241052</v>
      </c>
      <c r="HW28" s="151">
        <f t="shared" si="400"/>
        <v>-0.55422661829151088</v>
      </c>
      <c r="HX28" s="414">
        <v>2</v>
      </c>
      <c r="HY28" s="241">
        <f t="shared" si="401"/>
        <v>1291850</v>
      </c>
      <c r="HZ28" s="415">
        <f t="shared" si="402"/>
        <v>153714</v>
      </c>
      <c r="IA28" s="241"/>
      <c r="IB28" s="415">
        <f t="shared" si="403"/>
        <v>-266857</v>
      </c>
      <c r="IC28" s="141"/>
      <c r="ID28" s="642">
        <v>2</v>
      </c>
      <c r="IE28" s="141">
        <f t="shared" si="404"/>
        <v>7106519</v>
      </c>
      <c r="IF28" s="141">
        <f t="shared" si="405"/>
        <v>1260035</v>
      </c>
      <c r="IG28" s="74">
        <f t="shared" si="406"/>
        <v>0.17730692058939124</v>
      </c>
      <c r="IH28" s="1507"/>
      <c r="II28" s="69"/>
      <c r="IJ28" s="133">
        <v>2</v>
      </c>
      <c r="IK28" s="134">
        <v>371415</v>
      </c>
      <c r="IL28" s="134">
        <v>434934</v>
      </c>
      <c r="IM28" s="134">
        <v>0</v>
      </c>
      <c r="IN28" s="133">
        <f t="shared" si="407"/>
        <v>63519</v>
      </c>
      <c r="IO28" s="151">
        <f t="shared" si="408"/>
        <v>0.14604284788036806</v>
      </c>
      <c r="IP28" s="133">
        <v>0</v>
      </c>
      <c r="IQ28" s="134"/>
      <c r="IR28" s="134">
        <v>50000</v>
      </c>
      <c r="IS28" s="190">
        <f t="shared" si="409"/>
        <v>13519</v>
      </c>
      <c r="IT28" s="151">
        <f t="shared" si="410"/>
        <v>3.1082876942248708E-2</v>
      </c>
      <c r="IU28" s="390">
        <v>2</v>
      </c>
      <c r="IV28" s="134">
        <v>371415</v>
      </c>
      <c r="IW28" s="134">
        <v>434934</v>
      </c>
      <c r="IX28" s="134">
        <v>0</v>
      </c>
      <c r="IY28" s="133">
        <f t="shared" si="411"/>
        <v>63519</v>
      </c>
      <c r="IZ28" s="151">
        <f t="shared" si="412"/>
        <v>0.14604284788036806</v>
      </c>
      <c r="JA28" s="133">
        <v>29000</v>
      </c>
      <c r="JB28" s="134">
        <v>0</v>
      </c>
      <c r="JC28" s="134">
        <v>0</v>
      </c>
      <c r="JD28" s="190">
        <f t="shared" si="413"/>
        <v>34519</v>
      </c>
      <c r="JE28" s="151">
        <f t="shared" si="414"/>
        <v>7.9366064736258832E-2</v>
      </c>
      <c r="JF28" s="390">
        <v>1</v>
      </c>
      <c r="JG28" s="134">
        <v>167030</v>
      </c>
      <c r="JH28" s="134">
        <v>201600</v>
      </c>
      <c r="JI28" s="134">
        <v>25548</v>
      </c>
      <c r="JJ28" s="133">
        <f t="shared" si="415"/>
        <v>9022</v>
      </c>
      <c r="JK28" s="151">
        <f t="shared" si="416"/>
        <v>4.4751984126984126E-2</v>
      </c>
      <c r="JL28" s="133">
        <v>0</v>
      </c>
      <c r="JM28" s="134">
        <v>0</v>
      </c>
      <c r="JN28" s="134">
        <v>0</v>
      </c>
      <c r="JO28" s="190">
        <f t="shared" si="417"/>
        <v>9022</v>
      </c>
      <c r="JP28" s="151">
        <f t="shared" si="418"/>
        <v>4.4751984126984126E-2</v>
      </c>
      <c r="JQ28" s="390">
        <v>1</v>
      </c>
      <c r="JR28" s="191">
        <f t="shared" si="249"/>
        <v>1071468</v>
      </c>
      <c r="JS28" s="191">
        <f t="shared" si="250"/>
        <v>136060</v>
      </c>
      <c r="JT28" s="151">
        <f t="shared" si="419"/>
        <v>0.12698466029783437</v>
      </c>
      <c r="JU28" s="390">
        <v>1</v>
      </c>
      <c r="JV28" s="134">
        <v>150865</v>
      </c>
      <c r="JW28" s="134">
        <v>169083.87</v>
      </c>
      <c r="JX28" s="134"/>
      <c r="JY28" s="133">
        <f t="shared" si="420"/>
        <v>18218.869999999995</v>
      </c>
      <c r="JZ28" s="151">
        <f t="shared" si="421"/>
        <v>0.1077504909250066</v>
      </c>
      <c r="KA28" s="133">
        <v>0</v>
      </c>
      <c r="KB28" s="134">
        <v>0</v>
      </c>
      <c r="KC28" s="134">
        <v>0</v>
      </c>
      <c r="KD28" s="190">
        <f t="shared" si="422"/>
        <v>18218.869999999995</v>
      </c>
      <c r="KE28" s="151">
        <f t="shared" si="423"/>
        <v>0.1077504909250066</v>
      </c>
      <c r="KF28" s="390">
        <v>1</v>
      </c>
      <c r="KG28" s="134">
        <v>167030</v>
      </c>
      <c r="KH28" s="134">
        <v>201600</v>
      </c>
      <c r="KI28" s="134">
        <v>0</v>
      </c>
      <c r="KJ28" s="133">
        <f t="shared" si="424"/>
        <v>34570</v>
      </c>
      <c r="KK28" s="151">
        <f t="shared" si="425"/>
        <v>0.1714781746031746</v>
      </c>
      <c r="KL28" s="133">
        <v>0</v>
      </c>
      <c r="KM28" s="134">
        <v>0</v>
      </c>
      <c r="KN28" s="134">
        <v>0</v>
      </c>
      <c r="KO28" s="190">
        <f t="shared" si="426"/>
        <v>34570</v>
      </c>
      <c r="KP28" s="151">
        <f t="shared" si="427"/>
        <v>0.1714781746031746</v>
      </c>
      <c r="KQ28" s="390">
        <v>1</v>
      </c>
      <c r="KR28" s="134">
        <v>167030</v>
      </c>
      <c r="KS28" s="134">
        <v>201600</v>
      </c>
      <c r="KT28" s="134">
        <v>0</v>
      </c>
      <c r="KU28" s="133">
        <f t="shared" si="428"/>
        <v>34570</v>
      </c>
      <c r="KV28" s="151">
        <f t="shared" si="429"/>
        <v>0.1714781746031746</v>
      </c>
      <c r="KW28" s="133"/>
      <c r="KX28" s="134">
        <v>0</v>
      </c>
      <c r="KY28" s="134">
        <v>0</v>
      </c>
      <c r="KZ28" s="190">
        <f t="shared" si="430"/>
        <v>34570</v>
      </c>
      <c r="LA28" s="151">
        <f t="shared" si="431"/>
        <v>0.1714781746031746</v>
      </c>
      <c r="LB28" s="402">
        <v>1</v>
      </c>
      <c r="LC28" s="191">
        <f t="shared" si="432"/>
        <v>572283.87</v>
      </c>
      <c r="LD28" s="191">
        <f t="shared" si="433"/>
        <v>87358.87</v>
      </c>
      <c r="LE28" s="151">
        <f t="shared" si="434"/>
        <v>0.1526495408650955</v>
      </c>
      <c r="LF28" s="226">
        <f t="shared" si="435"/>
        <v>0</v>
      </c>
      <c r="LG28" s="128">
        <f t="shared" si="436"/>
        <v>-499184.13</v>
      </c>
      <c r="LH28" s="139">
        <f t="shared" si="437"/>
        <v>-48701.130000000005</v>
      </c>
      <c r="LI28" s="442">
        <f t="shared" si="438"/>
        <v>0</v>
      </c>
      <c r="LJ28" s="442">
        <f t="shared" si="439"/>
        <v>-0.46588804332000583</v>
      </c>
      <c r="LK28" s="106">
        <f t="shared" si="440"/>
        <v>-0.35793863001616938</v>
      </c>
      <c r="LL28" s="390">
        <v>1</v>
      </c>
      <c r="LM28" s="134">
        <v>167030</v>
      </c>
      <c r="LN28" s="134">
        <v>201600</v>
      </c>
      <c r="LO28" s="134"/>
      <c r="LP28" s="133">
        <f t="shared" si="441"/>
        <v>34570</v>
      </c>
      <c r="LQ28" s="151">
        <f t="shared" si="442"/>
        <v>0.1714781746031746</v>
      </c>
      <c r="LR28" s="133"/>
      <c r="LS28" s="134">
        <v>25000</v>
      </c>
      <c r="LT28" s="134">
        <v>30000</v>
      </c>
      <c r="LU28" s="190">
        <f t="shared" si="443"/>
        <v>-20430</v>
      </c>
      <c r="LV28" s="151">
        <f t="shared" si="444"/>
        <v>-0.10133928571428572</v>
      </c>
      <c r="LW28" s="134">
        <v>1</v>
      </c>
      <c r="LX28" s="134">
        <v>167030</v>
      </c>
      <c r="LY28" s="134">
        <v>201630</v>
      </c>
      <c r="LZ28" s="134"/>
      <c r="MA28" s="133">
        <f t="shared" si="445"/>
        <v>34600</v>
      </c>
      <c r="MB28" s="151">
        <f t="shared" si="446"/>
        <v>0.17160144819719289</v>
      </c>
      <c r="MC28" s="134"/>
      <c r="MD28" s="134">
        <v>25000</v>
      </c>
      <c r="ME28" s="134">
        <v>30000</v>
      </c>
      <c r="MF28" s="190">
        <f t="shared" si="447"/>
        <v>-20400</v>
      </c>
      <c r="MG28" s="151">
        <f t="shared" si="448"/>
        <v>-0.10117542032435649</v>
      </c>
      <c r="MH28" s="134">
        <v>1</v>
      </c>
      <c r="MI28" s="134">
        <v>167030</v>
      </c>
      <c r="MJ28" s="134">
        <v>201600</v>
      </c>
      <c r="MK28" s="134"/>
      <c r="ML28" s="133">
        <f t="shared" si="449"/>
        <v>34570</v>
      </c>
      <c r="MM28" s="151">
        <f t="shared" si="450"/>
        <v>0.1714781746031746</v>
      </c>
      <c r="MN28" s="134">
        <v>0</v>
      </c>
      <c r="MO28" s="134">
        <v>0</v>
      </c>
      <c r="MP28" s="134">
        <v>30000</v>
      </c>
      <c r="MQ28" s="190">
        <f t="shared" si="451"/>
        <v>4570</v>
      </c>
      <c r="MR28" s="151">
        <f t="shared" si="452"/>
        <v>2.2668650793650793E-2</v>
      </c>
      <c r="MS28" s="1472">
        <v>1</v>
      </c>
      <c r="MT28" s="118">
        <f t="shared" si="453"/>
        <v>604830</v>
      </c>
      <c r="MU28" s="118">
        <f t="shared" si="454"/>
        <v>103740</v>
      </c>
      <c r="MV28" s="135">
        <f t="shared" si="455"/>
        <v>0.17151926987748622</v>
      </c>
      <c r="MW28" s="133">
        <f t="shared" si="456"/>
        <v>0</v>
      </c>
      <c r="MX28" s="134">
        <f t="shared" si="457"/>
        <v>32546.130000000005</v>
      </c>
      <c r="MY28" s="134">
        <f t="shared" si="458"/>
        <v>16381.130000000005</v>
      </c>
      <c r="MZ28" s="135">
        <f t="shared" si="459"/>
        <v>0</v>
      </c>
      <c r="NA28" s="135">
        <f t="shared" si="460"/>
        <v>5.6870605142164861E-2</v>
      </c>
      <c r="NB28" s="151">
        <f t="shared" si="461"/>
        <v>0.18751536048943862</v>
      </c>
      <c r="NC28" s="134">
        <v>1</v>
      </c>
      <c r="ND28" s="134">
        <v>167030</v>
      </c>
      <c r="NE28" s="134">
        <v>201600</v>
      </c>
      <c r="NF28" s="134"/>
      <c r="NG28" s="133">
        <f t="shared" si="462"/>
        <v>34570</v>
      </c>
      <c r="NH28" s="151">
        <f t="shared" si="463"/>
        <v>0.1714781746031746</v>
      </c>
      <c r="NI28" s="134"/>
      <c r="NJ28" s="134">
        <v>0</v>
      </c>
      <c r="NK28" s="134">
        <v>30000</v>
      </c>
      <c r="NL28" s="190">
        <f t="shared" si="464"/>
        <v>4570</v>
      </c>
      <c r="NM28" s="135">
        <f t="shared" si="465"/>
        <v>2.2668650793650793E-2</v>
      </c>
      <c r="NN28" s="1563">
        <v>1</v>
      </c>
      <c r="NO28" s="134">
        <v>176625</v>
      </c>
      <c r="NP28" s="134">
        <v>201600</v>
      </c>
      <c r="NQ28" s="134">
        <v>0</v>
      </c>
      <c r="NR28" s="133">
        <f t="shared" si="466"/>
        <v>24975</v>
      </c>
      <c r="NS28" s="151">
        <f t="shared" si="467"/>
        <v>0.12388392857142858</v>
      </c>
      <c r="NT28" s="134">
        <v>0</v>
      </c>
      <c r="NU28" s="134">
        <v>0</v>
      </c>
      <c r="NV28" s="134">
        <v>30000</v>
      </c>
      <c r="NW28" s="190">
        <f t="shared" si="468"/>
        <v>-5025</v>
      </c>
      <c r="NX28" s="135">
        <f t="shared" si="469"/>
        <v>-2.492559523809524E-2</v>
      </c>
      <c r="NY28" s="1563">
        <v>1</v>
      </c>
      <c r="NZ28" s="134">
        <v>176625</v>
      </c>
      <c r="OA28" s="134">
        <v>201600</v>
      </c>
      <c r="OB28" s="134">
        <v>0</v>
      </c>
      <c r="OC28" s="133">
        <f t="shared" si="470"/>
        <v>24975</v>
      </c>
      <c r="OD28" s="151">
        <f t="shared" si="471"/>
        <v>0.12388392857142858</v>
      </c>
      <c r="OE28" s="134">
        <v>0</v>
      </c>
      <c r="OF28" s="134">
        <v>0</v>
      </c>
      <c r="OG28" s="134">
        <v>30000</v>
      </c>
      <c r="OH28" s="190">
        <f t="shared" si="472"/>
        <v>-5025</v>
      </c>
      <c r="OI28" s="5380">
        <f t="shared" si="473"/>
        <v>-2.492559523809524E-2</v>
      </c>
      <c r="OJ28" s="69">
        <v>1</v>
      </c>
      <c r="OK28" s="155">
        <f t="shared" si="474"/>
        <v>2818811.87</v>
      </c>
      <c r="OL28" s="155">
        <f t="shared" si="475"/>
        <v>428204.87</v>
      </c>
      <c r="OM28" s="74">
        <f t="shared" si="476"/>
        <v>0.15190970158643471</v>
      </c>
      <c r="ON28" s="155">
        <f t="shared" si="477"/>
        <v>93656.87</v>
      </c>
      <c r="OO28" s="70"/>
      <c r="OP28" s="69"/>
      <c r="OQ28" s="1563">
        <v>1</v>
      </c>
      <c r="OR28" s="134">
        <v>182673</v>
      </c>
      <c r="OS28" s="134">
        <v>201600</v>
      </c>
      <c r="OT28" s="134"/>
      <c r="OU28" s="133">
        <f t="shared" si="255"/>
        <v>18927</v>
      </c>
      <c r="OV28" s="94">
        <f t="shared" si="256"/>
        <v>9.3883928571428577E-2</v>
      </c>
      <c r="OW28" s="133"/>
      <c r="OX28" s="134">
        <v>0</v>
      </c>
      <c r="OY28" s="134">
        <v>0</v>
      </c>
      <c r="OZ28" s="190">
        <f t="shared" si="257"/>
        <v>18927</v>
      </c>
      <c r="PA28" s="5361">
        <f t="shared" si="258"/>
        <v>9.3883928571428577E-2</v>
      </c>
      <c r="PB28" s="5320">
        <v>1</v>
      </c>
      <c r="PC28" s="134">
        <v>186705</v>
      </c>
      <c r="PD28" s="134">
        <v>201600</v>
      </c>
      <c r="PE28" s="134"/>
      <c r="PF28" s="133">
        <f t="shared" si="259"/>
        <v>14895</v>
      </c>
      <c r="PG28" s="94">
        <f t="shared" si="260"/>
        <v>7.3883928571428573E-2</v>
      </c>
      <c r="PH28" s="134">
        <v>0</v>
      </c>
      <c r="PI28" s="134">
        <v>0</v>
      </c>
      <c r="PJ28" s="134">
        <v>24000</v>
      </c>
      <c r="PK28" s="190">
        <f t="shared" si="261"/>
        <v>-9105</v>
      </c>
      <c r="PL28" s="135">
        <f t="shared" si="262"/>
        <v>-4.5163690476190475E-2</v>
      </c>
      <c r="PM28" s="5379">
        <v>1</v>
      </c>
      <c r="PN28" s="134">
        <v>182673</v>
      </c>
      <c r="PO28" s="134">
        <v>201600</v>
      </c>
      <c r="PP28" s="134"/>
      <c r="PQ28" s="6293">
        <f t="shared" si="263"/>
        <v>18927</v>
      </c>
      <c r="PR28" s="6295">
        <f t="shared" si="264"/>
        <v>9.3883928571428577E-2</v>
      </c>
      <c r="PS28" s="134">
        <v>0</v>
      </c>
      <c r="PT28" s="134">
        <v>0</v>
      </c>
      <c r="PU28" s="134">
        <v>0</v>
      </c>
      <c r="PV28" s="190">
        <f t="shared" si="265"/>
        <v>18927</v>
      </c>
      <c r="PW28" s="5380">
        <f t="shared" si="266"/>
        <v>9.3883928571428577E-2</v>
      </c>
      <c r="PX28" s="5320">
        <v>1</v>
      </c>
      <c r="PY28" s="191">
        <f t="shared" si="267"/>
        <v>604800</v>
      </c>
      <c r="PZ28" s="191">
        <f t="shared" si="268"/>
        <v>52749</v>
      </c>
      <c r="QA28" s="135">
        <f t="shared" si="269"/>
        <v>8.7217261904761909E-2</v>
      </c>
      <c r="QB28" s="5379">
        <v>1</v>
      </c>
      <c r="QC28" s="134">
        <v>182673</v>
      </c>
      <c r="QD28" s="134">
        <v>201600</v>
      </c>
      <c r="QE28" s="134"/>
      <c r="QF28" s="6293">
        <f t="shared" si="270"/>
        <v>18927</v>
      </c>
      <c r="QG28" s="6295">
        <f t="shared" si="271"/>
        <v>9.3883928571428577E-2</v>
      </c>
      <c r="QH28" s="134">
        <v>0</v>
      </c>
      <c r="QI28" s="134"/>
      <c r="QJ28" s="134">
        <v>0</v>
      </c>
      <c r="QK28" s="190">
        <f t="shared" si="272"/>
        <v>18927</v>
      </c>
      <c r="QL28" s="5380">
        <f t="shared" si="273"/>
        <v>9.3883928571428577E-2</v>
      </c>
      <c r="QM28" s="5379">
        <v>1</v>
      </c>
      <c r="QN28" s="134">
        <v>182673</v>
      </c>
      <c r="QO28" s="134">
        <v>201600</v>
      </c>
      <c r="QP28" s="134">
        <v>0</v>
      </c>
      <c r="QQ28" s="133">
        <f t="shared" si="292"/>
        <v>18927</v>
      </c>
      <c r="QR28" s="151">
        <f t="shared" si="293"/>
        <v>9.3883928571428577E-2</v>
      </c>
      <c r="QS28" s="133">
        <v>0</v>
      </c>
      <c r="QT28" s="134">
        <v>0</v>
      </c>
      <c r="QU28" s="134">
        <v>0</v>
      </c>
      <c r="QV28" s="190">
        <f t="shared" si="294"/>
        <v>18927</v>
      </c>
      <c r="QW28" s="5380">
        <f t="shared" si="295"/>
        <v>9.3883928571428577E-2</v>
      </c>
      <c r="QX28" s="5379">
        <v>1</v>
      </c>
      <c r="QY28" s="358">
        <f>164980+(201600*0.75%)</f>
        <v>166492</v>
      </c>
      <c r="QZ28" s="358">
        <v>201600</v>
      </c>
      <c r="RA28" s="359"/>
      <c r="RB28" s="133">
        <f t="shared" si="274"/>
        <v>35108</v>
      </c>
      <c r="RC28" s="151">
        <f t="shared" si="492"/>
        <v>0.17414682539682538</v>
      </c>
      <c r="RD28" s="133">
        <v>0</v>
      </c>
      <c r="RE28" s="134">
        <v>0</v>
      </c>
      <c r="RF28" s="134">
        <v>0</v>
      </c>
      <c r="RG28" s="190">
        <f t="shared" si="296"/>
        <v>35108</v>
      </c>
      <c r="RH28" s="5380">
        <f t="shared" si="297"/>
        <v>0.17414682539682538</v>
      </c>
      <c r="RI28" s="5376"/>
      <c r="RJ28" s="191">
        <f t="shared" si="275"/>
        <v>604800</v>
      </c>
      <c r="RK28" s="191">
        <f t="shared" si="298"/>
        <v>72962</v>
      </c>
      <c r="RL28" s="5380">
        <f t="shared" si="486"/>
        <v>0.12063822751322752</v>
      </c>
      <c r="RM28" s="1562">
        <f t="shared" si="276"/>
        <v>-1</v>
      </c>
      <c r="RN28" s="128">
        <f t="shared" si="277"/>
        <v>0</v>
      </c>
      <c r="RO28" s="139">
        <f t="shared" si="278"/>
        <v>20213</v>
      </c>
      <c r="RP28" s="442">
        <f t="shared" si="279"/>
        <v>-1</v>
      </c>
      <c r="RQ28" s="442">
        <f t="shared" si="280"/>
        <v>0</v>
      </c>
      <c r="RR28" s="6339">
        <f t="shared" si="281"/>
        <v>0.38319209842840624</v>
      </c>
      <c r="RS28" s="698">
        <v>1</v>
      </c>
      <c r="RT28" s="208">
        <f>176625+(201600*3%)</f>
        <v>182673</v>
      </c>
      <c r="RU28" s="208">
        <v>201600</v>
      </c>
      <c r="RV28" s="2563">
        <v>0</v>
      </c>
      <c r="RW28" s="133">
        <f t="shared" si="299"/>
        <v>18927</v>
      </c>
      <c r="RX28" s="151">
        <f t="shared" si="300"/>
        <v>9.3883928571428577E-2</v>
      </c>
      <c r="RY28" s="133">
        <v>0</v>
      </c>
      <c r="RZ28" s="134">
        <v>0</v>
      </c>
      <c r="SA28" s="134">
        <v>0</v>
      </c>
      <c r="SB28" s="188">
        <f t="shared" si="282"/>
        <v>18927</v>
      </c>
      <c r="SC28" s="5380">
        <f t="shared" si="232"/>
        <v>9.3883928571428577E-2</v>
      </c>
      <c r="SD28" s="110">
        <v>1</v>
      </c>
      <c r="SE28" s="208">
        <f>176625+(168000*3%)</f>
        <v>181665</v>
      </c>
      <c r="SF28" s="208">
        <f>168000+0</f>
        <v>168000</v>
      </c>
      <c r="SG28" s="994">
        <v>0</v>
      </c>
      <c r="SH28" s="6361">
        <f t="shared" si="493"/>
        <v>-13665</v>
      </c>
      <c r="SI28" s="6363">
        <f t="shared" si="494"/>
        <v>-8.1339285714285711E-2</v>
      </c>
      <c r="SJ28" s="134">
        <v>0</v>
      </c>
      <c r="SK28" s="134">
        <v>0</v>
      </c>
      <c r="SL28" s="134">
        <v>0</v>
      </c>
      <c r="SM28" s="188">
        <f t="shared" si="289"/>
        <v>-13665</v>
      </c>
      <c r="SN28" s="5389">
        <f t="shared" si="290"/>
        <v>-8.1339285714285711E-2</v>
      </c>
      <c r="SO28" s="134">
        <v>1</v>
      </c>
      <c r="SP28" s="134">
        <v>182477.91</v>
      </c>
      <c r="SQ28" s="134">
        <v>195096.77</v>
      </c>
      <c r="SR28" s="134">
        <v>0</v>
      </c>
      <c r="SS28" s="6361">
        <f t="shared" si="283"/>
        <v>12618.859999999986</v>
      </c>
      <c r="ST28" s="6363">
        <f t="shared" si="301"/>
        <v>6.4680004697156124E-2</v>
      </c>
      <c r="SU28" s="134">
        <v>0</v>
      </c>
      <c r="SV28" s="134"/>
      <c r="SW28" s="134">
        <v>0</v>
      </c>
      <c r="SX28" s="190">
        <f t="shared" si="302"/>
        <v>12618.859999999986</v>
      </c>
      <c r="SY28" s="5380">
        <f t="shared" si="303"/>
        <v>6.4680004697156124E-2</v>
      </c>
      <c r="SZ28" s="6270"/>
      <c r="TA28" s="118">
        <f t="shared" si="478"/>
        <v>564696.77</v>
      </c>
      <c r="TB28" s="118">
        <f t="shared" si="479"/>
        <v>17880.859999999986</v>
      </c>
      <c r="TC28" s="5380">
        <f t="shared" si="487"/>
        <v>3.1664533870098079E-2</v>
      </c>
      <c r="TD28" s="209">
        <v>1</v>
      </c>
      <c r="TE28" s="208">
        <f>176625+(195097*3%)</f>
        <v>182477.91</v>
      </c>
      <c r="TF28" s="395">
        <v>195096.77</v>
      </c>
      <c r="TG28" s="134"/>
      <c r="TH28" s="133">
        <f t="shared" si="495"/>
        <v>12618.859999999986</v>
      </c>
      <c r="TI28" s="151">
        <f t="shared" si="496"/>
        <v>6.4680004697156124E-2</v>
      </c>
      <c r="TJ28" s="134">
        <v>0</v>
      </c>
      <c r="TK28" s="134">
        <v>0</v>
      </c>
      <c r="TL28" s="134">
        <v>0</v>
      </c>
      <c r="TM28" s="190">
        <f t="shared" si="306"/>
        <v>12618.859999999986</v>
      </c>
      <c r="TN28" s="5380">
        <f t="shared" si="307"/>
        <v>6.4680004697156124E-2</v>
      </c>
      <c r="TO28" s="134"/>
      <c r="TP28" s="134"/>
      <c r="TQ28" s="134"/>
      <c r="TR28" s="134"/>
      <c r="TS28" s="133">
        <f t="shared" si="480"/>
        <v>0</v>
      </c>
      <c r="TT28" s="151" t="e">
        <f t="shared" si="488"/>
        <v>#DIV/0!</v>
      </c>
      <c r="TU28" s="134"/>
      <c r="TV28" s="134"/>
      <c r="TW28" s="134"/>
      <c r="TX28" s="190">
        <f t="shared" si="481"/>
        <v>0</v>
      </c>
      <c r="TY28" s="135" t="e">
        <f t="shared" si="489"/>
        <v>#DIV/0!</v>
      </c>
      <c r="TZ28" s="1563"/>
      <c r="UA28" s="134"/>
      <c r="UB28" s="134"/>
      <c r="UC28" s="134"/>
      <c r="UD28" s="133">
        <f t="shared" si="482"/>
        <v>0</v>
      </c>
      <c r="UE28" s="151" t="e">
        <f t="shared" si="490"/>
        <v>#DIV/0!</v>
      </c>
      <c r="UF28" s="134"/>
      <c r="UG28" s="134"/>
      <c r="UH28" s="134"/>
      <c r="UI28" s="190">
        <f t="shared" si="483"/>
        <v>0</v>
      </c>
      <c r="UJ28" s="5380" t="e">
        <f t="shared" si="491"/>
        <v>#DIV/0!</v>
      </c>
      <c r="UK28" s="5376"/>
      <c r="UL28" s="191">
        <f t="shared" si="284"/>
        <v>1969393.54</v>
      </c>
      <c r="UM28" s="191">
        <f t="shared" si="285"/>
        <v>156210.71999999997</v>
      </c>
      <c r="UN28" s="135">
        <f t="shared" si="484"/>
        <v>7.9319199960410133E-2</v>
      </c>
      <c r="UO28" s="191">
        <f t="shared" si="286"/>
        <v>132210.71999999997</v>
      </c>
      <c r="UP28" s="5380">
        <f t="shared" si="291"/>
        <v>6.7132707259718122E-2</v>
      </c>
    </row>
    <row r="29" spans="1:567" x14ac:dyDescent="0.3">
      <c r="A29" s="5316">
        <v>10</v>
      </c>
      <c r="B29" s="5360" t="s">
        <v>386</v>
      </c>
      <c r="C29" s="578" t="s">
        <v>141</v>
      </c>
      <c r="D29" s="578" t="s">
        <v>140</v>
      </c>
      <c r="E29" s="6278" t="s">
        <v>254</v>
      </c>
      <c r="F29" s="579">
        <v>29</v>
      </c>
      <c r="G29" s="161">
        <v>3942602</v>
      </c>
      <c r="H29" s="161">
        <v>4871093</v>
      </c>
      <c r="I29" s="161">
        <v>745419</v>
      </c>
      <c r="J29" s="351">
        <f t="shared" si="308"/>
        <v>0.15302910455620536</v>
      </c>
      <c r="K29" s="580">
        <v>40.333333333333336</v>
      </c>
      <c r="L29" s="161">
        <v>6114766</v>
      </c>
      <c r="M29" s="161">
        <v>7285560</v>
      </c>
      <c r="N29" s="161">
        <v>1011733</v>
      </c>
      <c r="O29" s="422"/>
      <c r="P29" s="580">
        <v>58</v>
      </c>
      <c r="Q29" s="161">
        <v>8883309</v>
      </c>
      <c r="R29" s="161">
        <v>10651379</v>
      </c>
      <c r="S29" s="161">
        <v>1633056</v>
      </c>
      <c r="T29" s="94"/>
      <c r="U29" s="136"/>
      <c r="V29" s="422"/>
      <c r="W29" s="422"/>
      <c r="X29" s="422"/>
      <c r="Y29" s="422"/>
      <c r="Z29" s="581"/>
      <c r="AA29" s="422"/>
      <c r="AB29" s="422"/>
      <c r="AC29" s="422"/>
      <c r="AD29" s="422"/>
      <c r="AE29" s="582">
        <f t="shared" si="309"/>
        <v>0</v>
      </c>
      <c r="AF29" s="422"/>
      <c r="AG29" s="583">
        <v>51</v>
      </c>
      <c r="AH29" s="584">
        <v>2951824</v>
      </c>
      <c r="AI29" s="584">
        <v>3686661</v>
      </c>
      <c r="AJ29" s="584">
        <v>45229</v>
      </c>
      <c r="AK29" s="105">
        <f t="shared" si="310"/>
        <v>689608</v>
      </c>
      <c r="AL29" s="116">
        <f t="shared" si="311"/>
        <v>0.18705489872814451</v>
      </c>
      <c r="AM29" s="585">
        <v>360617</v>
      </c>
      <c r="AN29" s="417">
        <v>131298</v>
      </c>
      <c r="AO29" s="417"/>
      <c r="AP29" s="130">
        <v>49383.651724137926</v>
      </c>
      <c r="AQ29" s="417">
        <f t="shared" si="312"/>
        <v>148309.34827586208</v>
      </c>
      <c r="AR29" s="116">
        <f t="shared" si="313"/>
        <v>0.2150632653273484</v>
      </c>
      <c r="AS29" s="583">
        <v>51</v>
      </c>
      <c r="AT29" s="216">
        <v>9118805</v>
      </c>
      <c r="AU29" s="417">
        <v>11589533</v>
      </c>
      <c r="AV29" s="417">
        <v>2352430</v>
      </c>
      <c r="AW29" s="116">
        <f t="shared" si="314"/>
        <v>0.20297884306468605</v>
      </c>
      <c r="AX29" s="586">
        <v>51</v>
      </c>
      <c r="AY29" s="587">
        <f t="shared" si="315"/>
        <v>28059482</v>
      </c>
      <c r="AZ29" s="587">
        <f t="shared" si="316"/>
        <v>34397565</v>
      </c>
      <c r="BA29" s="587">
        <f t="shared" si="317"/>
        <v>5742638</v>
      </c>
      <c r="BB29" s="588">
        <f t="shared" si="318"/>
        <v>0.16694896862612224</v>
      </c>
      <c r="BC29" s="1512">
        <v>54</v>
      </c>
      <c r="BD29" s="582">
        <v>3042927</v>
      </c>
      <c r="BE29" s="582">
        <v>3711623</v>
      </c>
      <c r="BF29" s="582">
        <v>16318</v>
      </c>
      <c r="BG29" s="582">
        <f t="shared" si="319"/>
        <v>652378</v>
      </c>
      <c r="BH29" s="589"/>
      <c r="BI29" s="1512">
        <v>50</v>
      </c>
      <c r="BJ29" s="582">
        <v>2803174</v>
      </c>
      <c r="BK29" s="582">
        <v>3354156</v>
      </c>
      <c r="BL29" s="582">
        <v>36047</v>
      </c>
      <c r="BM29" s="582">
        <f t="shared" si="320"/>
        <v>514935</v>
      </c>
      <c r="BN29" s="589"/>
      <c r="BO29" s="590">
        <v>53</v>
      </c>
      <c r="BP29" s="582">
        <v>3114894</v>
      </c>
      <c r="BQ29" s="582">
        <v>3665118</v>
      </c>
      <c r="BR29" s="582">
        <v>40121</v>
      </c>
      <c r="BS29" s="582">
        <f t="shared" si="321"/>
        <v>510103</v>
      </c>
      <c r="BT29" s="591">
        <f t="shared" si="322"/>
        <v>0.13917778363479702</v>
      </c>
      <c r="BU29" s="590">
        <v>53</v>
      </c>
      <c r="BV29" s="592">
        <f t="shared" si="323"/>
        <v>10730897</v>
      </c>
      <c r="BW29" s="592">
        <f t="shared" si="324"/>
        <v>1677416</v>
      </c>
      <c r="BX29" s="593">
        <f t="shared" si="325"/>
        <v>0.15631647568698126</v>
      </c>
      <c r="BY29" s="654">
        <v>53</v>
      </c>
      <c r="BZ29" s="650">
        <v>3103667</v>
      </c>
      <c r="CA29" s="650">
        <v>3833491</v>
      </c>
      <c r="CB29" s="650">
        <v>28021</v>
      </c>
      <c r="CC29" s="596">
        <f t="shared" si="326"/>
        <v>701803</v>
      </c>
      <c r="CD29" s="655">
        <f t="shared" si="327"/>
        <v>0.18307151366730742</v>
      </c>
      <c r="CE29" s="598">
        <v>355936</v>
      </c>
      <c r="CF29" s="599">
        <v>235306</v>
      </c>
      <c r="CG29" s="599"/>
      <c r="CH29" s="599">
        <v>74304.057692307688</v>
      </c>
      <c r="CI29" s="599">
        <f t="shared" si="328"/>
        <v>36256.942307692312</v>
      </c>
      <c r="CJ29" s="597">
        <f t="shared" si="329"/>
        <v>9.4579437665804639E-3</v>
      </c>
      <c r="CK29" s="600">
        <v>53</v>
      </c>
      <c r="CL29" s="601">
        <v>2964119</v>
      </c>
      <c r="CM29" s="601">
        <f>3998653-250000</f>
        <v>3748653</v>
      </c>
      <c r="CN29" s="601">
        <v>29275</v>
      </c>
      <c r="CO29" s="96">
        <f t="shared" si="330"/>
        <v>755259</v>
      </c>
      <c r="CP29" s="602">
        <f t="shared" si="331"/>
        <v>0.20147476973728964</v>
      </c>
      <c r="CQ29" s="603">
        <v>299143</v>
      </c>
      <c r="CR29" s="603">
        <v>99658.273076923069</v>
      </c>
      <c r="CS29" s="603"/>
      <c r="CT29" s="603">
        <v>147101.18634615382</v>
      </c>
      <c r="CU29" s="603">
        <f t="shared" si="332"/>
        <v>209356.54057692309</v>
      </c>
      <c r="CV29" s="604">
        <f t="shared" si="333"/>
        <v>5.5848471591508492E-2</v>
      </c>
      <c r="CW29" s="129">
        <v>53</v>
      </c>
      <c r="CX29" s="130">
        <v>3042930</v>
      </c>
      <c r="CY29" s="130">
        <v>3799464</v>
      </c>
      <c r="CZ29" s="130">
        <v>20979</v>
      </c>
      <c r="DA29" s="605">
        <f t="shared" si="334"/>
        <v>735555</v>
      </c>
      <c r="DB29" s="114">
        <f t="shared" si="335"/>
        <v>0.19359441226446678</v>
      </c>
      <c r="DC29" s="138">
        <f>284120+26250+10250</f>
        <v>320620</v>
      </c>
      <c r="DD29" s="606">
        <v>113817.95833333333</v>
      </c>
      <c r="DE29" s="130"/>
      <c r="DF29" s="130">
        <v>121185.01354166666</v>
      </c>
      <c r="DG29" s="128">
        <f t="shared" si="336"/>
        <v>179932.02812500001</v>
      </c>
      <c r="DH29" s="169">
        <f t="shared" si="337"/>
        <v>4.7357213576704506E-2</v>
      </c>
      <c r="DI29" s="204">
        <f t="shared" si="338"/>
        <v>53</v>
      </c>
      <c r="DJ29" s="202">
        <f t="shared" si="339"/>
        <v>11381608</v>
      </c>
      <c r="DK29" s="202">
        <f t="shared" si="340"/>
        <v>2192617</v>
      </c>
      <c r="DL29" s="119">
        <f t="shared" si="341"/>
        <v>0.19264562617162706</v>
      </c>
      <c r="DM29" s="202">
        <f t="shared" si="342"/>
        <v>425545.51100961538</v>
      </c>
      <c r="DN29" s="119">
        <f t="shared" si="343"/>
        <v>3.7388874314562177E-2</v>
      </c>
      <c r="DO29" s="607">
        <f t="shared" si="344"/>
        <v>2</v>
      </c>
      <c r="DP29" s="137">
        <f t="shared" si="344"/>
        <v>91106</v>
      </c>
      <c r="DQ29" s="137">
        <f t="shared" si="344"/>
        <v>112803</v>
      </c>
      <c r="DR29" s="137">
        <f t="shared" si="345"/>
        <v>45947</v>
      </c>
      <c r="DS29" s="135">
        <f t="shared" si="346"/>
        <v>3.9215686274509803E-2</v>
      </c>
      <c r="DT29" s="135">
        <f t="shared" si="347"/>
        <v>2.4712334548796323E-2</v>
      </c>
      <c r="DU29" s="135">
        <f t="shared" si="348"/>
        <v>0.16357553856683796</v>
      </c>
      <c r="DV29" s="151">
        <f t="shared" si="349"/>
        <v>0.30980515074839726</v>
      </c>
      <c r="DW29" s="607">
        <f t="shared" si="350"/>
        <v>0</v>
      </c>
      <c r="DX29" s="608">
        <f t="shared" si="351"/>
        <v>50811</v>
      </c>
      <c r="DY29" s="608">
        <f t="shared" si="352"/>
        <v>-19704</v>
      </c>
      <c r="DZ29" s="608">
        <f t="shared" si="353"/>
        <v>-29424.512451923074</v>
      </c>
      <c r="EA29" s="135">
        <f t="shared" si="354"/>
        <v>0</v>
      </c>
      <c r="EB29" s="135">
        <f t="shared" si="355"/>
        <v>1.3554468765180452E-2</v>
      </c>
      <c r="EC29" s="135">
        <f t="shared" si="356"/>
        <v>-2.6089063486830346E-2</v>
      </c>
      <c r="ED29" s="151">
        <f t="shared" si="357"/>
        <v>-0.1405473761213194</v>
      </c>
      <c r="EE29" s="129">
        <v>47</v>
      </c>
      <c r="EF29" s="130">
        <v>2584701</v>
      </c>
      <c r="EG29" s="130">
        <v>3386967</v>
      </c>
      <c r="EH29" s="130">
        <v>29375</v>
      </c>
      <c r="EI29" s="605">
        <f t="shared" si="358"/>
        <v>772891</v>
      </c>
      <c r="EJ29" s="114">
        <f t="shared" si="359"/>
        <v>0.22819560981845999</v>
      </c>
      <c r="EK29" s="138">
        <f>251084+55000</f>
        <v>306084</v>
      </c>
      <c r="EL29" s="606">
        <v>322116.66499999998</v>
      </c>
      <c r="EM29" s="130">
        <v>0</v>
      </c>
      <c r="EN29" s="130">
        <v>96058.455729166672</v>
      </c>
      <c r="EO29" s="128">
        <f t="shared" si="360"/>
        <v>48631.879270833349</v>
      </c>
      <c r="EP29" s="114">
        <f t="shared" si="361"/>
        <v>1.4358533540726363E-2</v>
      </c>
      <c r="EQ29" s="129">
        <v>45</v>
      </c>
      <c r="ER29" s="595">
        <v>2410395</v>
      </c>
      <c r="ES29" s="595">
        <v>3084939</v>
      </c>
      <c r="ET29" s="130">
        <v>80362</v>
      </c>
      <c r="EU29" s="134">
        <f t="shared" si="362"/>
        <v>594182</v>
      </c>
      <c r="EV29" s="114">
        <f t="shared" si="363"/>
        <v>0.19260737408422013</v>
      </c>
      <c r="EW29" s="138">
        <v>172891</v>
      </c>
      <c r="EX29" s="606">
        <v>296085.04249999998</v>
      </c>
      <c r="EY29" s="130">
        <v>0</v>
      </c>
      <c r="EZ29" s="128">
        <v>50000</v>
      </c>
      <c r="FA29" s="128">
        <f t="shared" si="364"/>
        <v>75205.957500000019</v>
      </c>
      <c r="FB29" s="114">
        <f t="shared" si="365"/>
        <v>2.4378426121229632E-2</v>
      </c>
      <c r="FC29" s="609">
        <f t="shared" si="366"/>
        <v>-6</v>
      </c>
      <c r="FD29" s="610">
        <f t="shared" si="367"/>
        <v>-601722</v>
      </c>
      <c r="FE29" s="610">
        <f t="shared" si="368"/>
        <v>-95426</v>
      </c>
      <c r="FF29" s="610">
        <f t="shared" si="369"/>
        <v>-73103.390775862063</v>
      </c>
      <c r="FG29" s="611">
        <f t="shared" si="370"/>
        <v>-0.11764705882352941</v>
      </c>
      <c r="FH29" s="611">
        <f t="shared" si="371"/>
        <v>-0.16321598324337389</v>
      </c>
      <c r="FI29" s="611">
        <f t="shared" si="372"/>
        <v>-0.13837716499808586</v>
      </c>
      <c r="FJ29" s="612">
        <f t="shared" si="373"/>
        <v>-0.49291155025431344</v>
      </c>
      <c r="FK29" s="133">
        <v>43</v>
      </c>
      <c r="FL29" s="134">
        <v>2321864</v>
      </c>
      <c r="FM29" s="134">
        <v>2907020</v>
      </c>
      <c r="FN29" s="134">
        <v>72958</v>
      </c>
      <c r="FO29" s="134">
        <f t="shared" si="374"/>
        <v>512198</v>
      </c>
      <c r="FP29" s="135">
        <f t="shared" si="375"/>
        <v>0.17619349024086522</v>
      </c>
      <c r="FQ29" s="133">
        <v>172891</v>
      </c>
      <c r="FR29" s="134">
        <v>150000</v>
      </c>
      <c r="FS29" s="134">
        <v>150000</v>
      </c>
      <c r="FT29" s="191">
        <f t="shared" si="376"/>
        <v>39307</v>
      </c>
      <c r="FU29" s="151">
        <f t="shared" si="377"/>
        <v>1.3521406801466794E-2</v>
      </c>
      <c r="FV29" s="190">
        <f t="shared" si="378"/>
        <v>-8</v>
      </c>
      <c r="FW29" s="191">
        <f t="shared" si="378"/>
        <v>-629960</v>
      </c>
      <c r="FX29" s="191">
        <f t="shared" si="378"/>
        <v>-779641</v>
      </c>
      <c r="FY29" s="191">
        <f t="shared" si="379"/>
        <v>-177410</v>
      </c>
      <c r="FZ29" s="191">
        <f t="shared" si="380"/>
        <v>-109002.34827586208</v>
      </c>
      <c r="GA29" s="135">
        <f t="shared" si="381"/>
        <v>-0.15686274509803921</v>
      </c>
      <c r="GB29" s="135">
        <f t="shared" si="382"/>
        <v>-0.21147618400498447</v>
      </c>
      <c r="GC29" s="135">
        <f t="shared" si="383"/>
        <v>-0.25726209672741618</v>
      </c>
      <c r="GD29" s="151">
        <f t="shared" si="384"/>
        <v>-0.73496613357853069</v>
      </c>
      <c r="GE29" s="187">
        <f t="shared" si="385"/>
        <v>45</v>
      </c>
      <c r="GF29" s="155">
        <f t="shared" si="386"/>
        <v>9378926</v>
      </c>
      <c r="GG29" s="155">
        <f t="shared" si="387"/>
        <v>1879271</v>
      </c>
      <c r="GH29" s="74">
        <f t="shared" si="388"/>
        <v>0.2003716630241032</v>
      </c>
      <c r="GI29" s="613">
        <f t="shared" si="389"/>
        <v>163144.83677083335</v>
      </c>
      <c r="GJ29" s="187">
        <f t="shared" si="390"/>
        <v>-8</v>
      </c>
      <c r="GK29" s="155">
        <f t="shared" si="390"/>
        <v>-2002682</v>
      </c>
      <c r="GL29" s="155">
        <f t="shared" si="390"/>
        <v>-313346</v>
      </c>
      <c r="GM29" s="613">
        <f t="shared" si="391"/>
        <v>-262400.67423878203</v>
      </c>
      <c r="GN29" s="133">
        <v>44</v>
      </c>
      <c r="GO29" s="134">
        <v>2375846</v>
      </c>
      <c r="GP29" s="134">
        <v>2928090</v>
      </c>
      <c r="GQ29" s="134">
        <v>5940</v>
      </c>
      <c r="GR29" s="134">
        <f t="shared" si="392"/>
        <v>546304</v>
      </c>
      <c r="GS29" s="135">
        <f t="shared" si="393"/>
        <v>0.18657350013148502</v>
      </c>
      <c r="GT29" s="133">
        <v>100000</v>
      </c>
      <c r="GU29" s="134">
        <v>100000</v>
      </c>
      <c r="GV29" s="134">
        <v>0</v>
      </c>
      <c r="GW29" s="134">
        <v>230387.4</v>
      </c>
      <c r="GX29" s="190">
        <f t="shared" si="394"/>
        <v>115916.59999999998</v>
      </c>
      <c r="GY29" s="151">
        <f t="shared" si="395"/>
        <v>3.9587785894559246E-2</v>
      </c>
      <c r="GZ29" s="614">
        <v>44</v>
      </c>
      <c r="HA29" s="130">
        <v>2449600</v>
      </c>
      <c r="HB29" s="130">
        <v>2899758</v>
      </c>
      <c r="HC29" s="130">
        <v>8638</v>
      </c>
      <c r="HD29" s="134">
        <f t="shared" si="396"/>
        <v>441520</v>
      </c>
      <c r="HE29" s="151">
        <f t="shared" si="397"/>
        <v>0.15226098177847944</v>
      </c>
      <c r="HF29" s="138">
        <f>82471+100000</f>
        <v>182471</v>
      </c>
      <c r="HG29" s="130">
        <v>186946</v>
      </c>
      <c r="HH29" s="130"/>
      <c r="HI29" s="130">
        <v>100000</v>
      </c>
      <c r="HJ29" s="197">
        <f>HD29-SUM(HF29:HI29)</f>
        <v>-27897</v>
      </c>
      <c r="HK29" s="201">
        <f>HJ29/HB29</f>
        <v>-9.6204579830454825E-3</v>
      </c>
      <c r="HL29" s="1365">
        <v>39</v>
      </c>
      <c r="HM29" s="148">
        <v>2296120</v>
      </c>
      <c r="HN29" s="148">
        <v>2668400</v>
      </c>
      <c r="HO29" s="134">
        <v>60972</v>
      </c>
      <c r="HP29" s="615">
        <f t="shared" si="485"/>
        <v>311308</v>
      </c>
      <c r="HQ29" s="201">
        <f t="shared" si="398"/>
        <v>0.11666466796582221</v>
      </c>
      <c r="HR29" s="133">
        <v>182471</v>
      </c>
      <c r="HS29" s="134">
        <v>200000</v>
      </c>
      <c r="HT29" s="134"/>
      <c r="HU29" s="134">
        <v>100000</v>
      </c>
      <c r="HV29" s="191">
        <f t="shared" si="399"/>
        <v>-171163</v>
      </c>
      <c r="HW29" s="151">
        <f t="shared" si="400"/>
        <v>-6.4144431119772152E-2</v>
      </c>
      <c r="HX29" s="414">
        <v>39</v>
      </c>
      <c r="HY29" s="241">
        <f t="shared" si="401"/>
        <v>8496248</v>
      </c>
      <c r="HZ29" s="415">
        <f t="shared" si="402"/>
        <v>1299132</v>
      </c>
      <c r="IA29" s="241"/>
      <c r="IB29" s="415">
        <f t="shared" si="403"/>
        <v>-83143.400000000023</v>
      </c>
      <c r="IC29" s="141"/>
      <c r="ID29" s="642">
        <v>39</v>
      </c>
      <c r="IE29" s="141">
        <f t="shared" si="404"/>
        <v>39987679</v>
      </c>
      <c r="IF29" s="141">
        <f t="shared" si="405"/>
        <v>7048436</v>
      </c>
      <c r="IG29" s="74">
        <f t="shared" si="406"/>
        <v>0.17626519408640848</v>
      </c>
      <c r="IH29" s="1507"/>
      <c r="II29" s="69"/>
      <c r="IJ29" s="133">
        <v>35</v>
      </c>
      <c r="IK29" s="134">
        <v>1952071</v>
      </c>
      <c r="IL29" s="134">
        <v>2221352</v>
      </c>
      <c r="IM29" s="134">
        <v>0</v>
      </c>
      <c r="IN29" s="133">
        <f t="shared" si="407"/>
        <v>269281</v>
      </c>
      <c r="IO29" s="151">
        <f t="shared" si="408"/>
        <v>0.12122392128757621</v>
      </c>
      <c r="IP29" s="133">
        <v>148655</v>
      </c>
      <c r="IQ29" s="134">
        <v>100000</v>
      </c>
      <c r="IR29" s="134">
        <v>0</v>
      </c>
      <c r="IS29" s="190">
        <f t="shared" si="409"/>
        <v>20626</v>
      </c>
      <c r="IT29" s="151">
        <f t="shared" si="410"/>
        <v>9.2853361376314964E-3</v>
      </c>
      <c r="IU29" s="621">
        <v>37</v>
      </c>
      <c r="IV29" s="358">
        <v>2223982</v>
      </c>
      <c r="IW29" s="622">
        <v>2715212</v>
      </c>
      <c r="IX29" s="134">
        <v>9731</v>
      </c>
      <c r="IY29" s="133">
        <f t="shared" si="411"/>
        <v>481499</v>
      </c>
      <c r="IZ29" s="151">
        <f t="shared" si="412"/>
        <v>0.17733385091108908</v>
      </c>
      <c r="JA29" s="133">
        <v>272731</v>
      </c>
      <c r="JB29" s="656">
        <v>2696490</v>
      </c>
      <c r="JC29" s="134">
        <v>0</v>
      </c>
      <c r="JD29" s="190">
        <f t="shared" si="413"/>
        <v>-2487722</v>
      </c>
      <c r="JE29" s="151">
        <f t="shared" si="414"/>
        <v>-0.91621648696308056</v>
      </c>
      <c r="JF29" s="621">
        <v>34</v>
      </c>
      <c r="JG29" s="358">
        <v>2190636</v>
      </c>
      <c r="JH29" s="622">
        <v>2568491</v>
      </c>
      <c r="JI29" s="134">
        <v>19675</v>
      </c>
      <c r="JJ29" s="133">
        <f t="shared" si="415"/>
        <v>358180</v>
      </c>
      <c r="JK29" s="151">
        <f t="shared" si="416"/>
        <v>0.13945153010074787</v>
      </c>
      <c r="JL29" s="133">
        <v>222047</v>
      </c>
      <c r="JM29" s="134">
        <v>100000</v>
      </c>
      <c r="JN29" s="134">
        <v>50000</v>
      </c>
      <c r="JO29" s="190">
        <f t="shared" si="417"/>
        <v>-13867</v>
      </c>
      <c r="JP29" s="151">
        <f t="shared" si="418"/>
        <v>-5.3988898540037709E-3</v>
      </c>
      <c r="JQ29" s="621">
        <v>34</v>
      </c>
      <c r="JR29" s="191">
        <f t="shared" si="249"/>
        <v>7505055</v>
      </c>
      <c r="JS29" s="191">
        <f t="shared" si="250"/>
        <v>1108960</v>
      </c>
      <c r="JT29" s="151">
        <f t="shared" si="419"/>
        <v>0.14776174191927974</v>
      </c>
      <c r="JU29" s="621">
        <v>36</v>
      </c>
      <c r="JV29" s="358">
        <v>2429414</v>
      </c>
      <c r="JW29" s="622">
        <v>2741637</v>
      </c>
      <c r="JX29" s="134">
        <v>46311</v>
      </c>
      <c r="JY29" s="133">
        <f t="shared" si="420"/>
        <v>265912</v>
      </c>
      <c r="JZ29" s="151">
        <f t="shared" si="421"/>
        <v>9.6990228830439618E-2</v>
      </c>
      <c r="KA29" s="133">
        <v>249236</v>
      </c>
      <c r="KB29" s="134">
        <v>0</v>
      </c>
      <c r="KC29" s="134">
        <v>0</v>
      </c>
      <c r="KD29" s="190">
        <f t="shared" si="422"/>
        <v>16676</v>
      </c>
      <c r="KE29" s="151">
        <f t="shared" si="423"/>
        <v>6.08249742763174E-3</v>
      </c>
      <c r="KF29" s="621">
        <v>31</v>
      </c>
      <c r="KG29" s="358">
        <v>2199065</v>
      </c>
      <c r="KH29" s="622">
        <v>2565043</v>
      </c>
      <c r="KI29" s="134">
        <v>31167</v>
      </c>
      <c r="KJ29" s="133">
        <f t="shared" si="424"/>
        <v>334811</v>
      </c>
      <c r="KK29" s="151">
        <f t="shared" si="425"/>
        <v>0.13052841609282964</v>
      </c>
      <c r="KL29" s="133">
        <v>270603</v>
      </c>
      <c r="KM29" s="134">
        <v>0</v>
      </c>
      <c r="KN29" s="134">
        <v>50000</v>
      </c>
      <c r="KO29" s="190">
        <f t="shared" si="426"/>
        <v>14208</v>
      </c>
      <c r="KP29" s="151">
        <f t="shared" si="427"/>
        <v>5.5390884285370654E-3</v>
      </c>
      <c r="KQ29" s="621">
        <v>36</v>
      </c>
      <c r="KR29" s="358">
        <v>1935659</v>
      </c>
      <c r="KS29" s="622">
        <v>2175041</v>
      </c>
      <c r="KT29" s="134">
        <v>46971</v>
      </c>
      <c r="KU29" s="133">
        <f t="shared" si="428"/>
        <v>192411</v>
      </c>
      <c r="KV29" s="151">
        <f t="shared" si="429"/>
        <v>8.8463160004799909E-2</v>
      </c>
      <c r="KW29" s="133">
        <v>216760</v>
      </c>
      <c r="KX29" s="134">
        <v>0</v>
      </c>
      <c r="KY29" s="134">
        <v>0</v>
      </c>
      <c r="KZ29" s="190">
        <f t="shared" si="430"/>
        <v>-24349</v>
      </c>
      <c r="LA29" s="151">
        <f t="shared" si="431"/>
        <v>-1.1194731501613073E-2</v>
      </c>
      <c r="LB29" s="402">
        <v>36</v>
      </c>
      <c r="LC29" s="191">
        <f t="shared" si="432"/>
        <v>7481721</v>
      </c>
      <c r="LD29" s="191">
        <f t="shared" si="433"/>
        <v>793134</v>
      </c>
      <c r="LE29" s="151">
        <f t="shared" si="434"/>
        <v>0.10600956651551161</v>
      </c>
      <c r="LF29" s="226">
        <f t="shared" si="435"/>
        <v>2</v>
      </c>
      <c r="LG29" s="128">
        <f t="shared" si="436"/>
        <v>-23334</v>
      </c>
      <c r="LH29" s="139">
        <f t="shared" si="437"/>
        <v>-315826</v>
      </c>
      <c r="LI29" s="442">
        <f t="shared" si="438"/>
        <v>5.8823529411764705E-2</v>
      </c>
      <c r="LJ29" s="442">
        <f t="shared" si="439"/>
        <v>-3.1091044635915394E-3</v>
      </c>
      <c r="LK29" s="106">
        <f t="shared" si="440"/>
        <v>-0.28479476266051074</v>
      </c>
      <c r="LL29" s="621">
        <v>35</v>
      </c>
      <c r="LM29" s="358">
        <v>1955149</v>
      </c>
      <c r="LN29" s="622">
        <v>2200638</v>
      </c>
      <c r="LO29" s="134"/>
      <c r="LP29" s="133">
        <f t="shared" si="441"/>
        <v>245489</v>
      </c>
      <c r="LQ29" s="151">
        <f t="shared" si="442"/>
        <v>0.111553558558927</v>
      </c>
      <c r="LR29" s="133">
        <v>56265</v>
      </c>
      <c r="LS29" s="134">
        <v>168000</v>
      </c>
      <c r="LT29" s="134">
        <v>20000</v>
      </c>
      <c r="LU29" s="190">
        <f t="shared" si="443"/>
        <v>1224</v>
      </c>
      <c r="LV29" s="151">
        <f t="shared" si="444"/>
        <v>5.5620233768570752E-4</v>
      </c>
      <c r="LW29" s="134">
        <v>31</v>
      </c>
      <c r="LX29" s="134">
        <v>1776112</v>
      </c>
      <c r="LY29" s="134">
        <v>1981855</v>
      </c>
      <c r="LZ29" s="134">
        <v>39918</v>
      </c>
      <c r="MA29" s="133">
        <f t="shared" si="445"/>
        <v>165825</v>
      </c>
      <c r="MB29" s="151">
        <f t="shared" si="446"/>
        <v>8.367161068796658E-2</v>
      </c>
      <c r="MC29" s="134">
        <v>58850</v>
      </c>
      <c r="MD29" s="134">
        <v>80000</v>
      </c>
      <c r="ME29" s="134">
        <v>20000</v>
      </c>
      <c r="MF29" s="190">
        <f t="shared" si="447"/>
        <v>6975</v>
      </c>
      <c r="MG29" s="151">
        <f t="shared" si="448"/>
        <v>3.519430028937536E-3</v>
      </c>
      <c r="MH29" s="134">
        <v>31</v>
      </c>
      <c r="MI29" s="134">
        <v>1828013</v>
      </c>
      <c r="MJ29" s="134">
        <v>2016142</v>
      </c>
      <c r="MK29" s="134"/>
      <c r="ML29" s="133">
        <f t="shared" si="449"/>
        <v>188129</v>
      </c>
      <c r="MM29" s="151">
        <f t="shared" si="450"/>
        <v>9.3311383821179261E-2</v>
      </c>
      <c r="MN29" s="134">
        <v>116670</v>
      </c>
      <c r="MO29" s="134">
        <v>100000</v>
      </c>
      <c r="MP29" s="134">
        <v>20000</v>
      </c>
      <c r="MQ29" s="190">
        <f t="shared" si="451"/>
        <v>-48541</v>
      </c>
      <c r="MR29" s="151">
        <f t="shared" si="452"/>
        <v>-2.4076181142002894E-2</v>
      </c>
      <c r="MS29" s="1472">
        <v>31</v>
      </c>
      <c r="MT29" s="118">
        <f t="shared" si="453"/>
        <v>6198635</v>
      </c>
      <c r="MU29" s="118">
        <f t="shared" si="454"/>
        <v>599443</v>
      </c>
      <c r="MV29" s="135">
        <f t="shared" si="455"/>
        <v>9.6705645678443725E-2</v>
      </c>
      <c r="MW29" s="133">
        <f t="shared" si="456"/>
        <v>-5</v>
      </c>
      <c r="MX29" s="134">
        <f t="shared" si="457"/>
        <v>-1283086</v>
      </c>
      <c r="MY29" s="134">
        <f t="shared" si="458"/>
        <v>-193691</v>
      </c>
      <c r="MZ29" s="135">
        <f t="shared" si="459"/>
        <v>-0.1388888888888889</v>
      </c>
      <c r="NA29" s="135">
        <f t="shared" si="460"/>
        <v>-0.1714961036371177</v>
      </c>
      <c r="NB29" s="151">
        <f t="shared" si="461"/>
        <v>-0.24420967957495202</v>
      </c>
      <c r="NC29" s="134">
        <v>31</v>
      </c>
      <c r="ND29" s="134">
        <v>1991079</v>
      </c>
      <c r="NE29" s="134">
        <v>2386976</v>
      </c>
      <c r="NF29" s="134">
        <v>4296</v>
      </c>
      <c r="NG29" s="133">
        <f t="shared" si="462"/>
        <v>391601</v>
      </c>
      <c r="NH29" s="151">
        <f t="shared" si="463"/>
        <v>0.16405736798359094</v>
      </c>
      <c r="NI29" s="134">
        <f>115578+58850</f>
        <v>174428</v>
      </c>
      <c r="NJ29" s="134">
        <v>100000</v>
      </c>
      <c r="NK29" s="134">
        <v>20000</v>
      </c>
      <c r="NL29" s="190">
        <f t="shared" si="464"/>
        <v>97173</v>
      </c>
      <c r="NM29" s="135">
        <f t="shared" si="465"/>
        <v>4.0709667797246392E-2</v>
      </c>
      <c r="NN29" s="1563">
        <v>25</v>
      </c>
      <c r="NO29" s="134">
        <v>1512591</v>
      </c>
      <c r="NP29" s="134">
        <v>1761634</v>
      </c>
      <c r="NQ29" s="134">
        <v>1982</v>
      </c>
      <c r="NR29" s="133">
        <f t="shared" si="466"/>
        <v>247061</v>
      </c>
      <c r="NS29" s="151">
        <f t="shared" si="467"/>
        <v>0.1402453631117474</v>
      </c>
      <c r="NT29" s="134">
        <v>147920</v>
      </c>
      <c r="NU29" s="134">
        <v>100000</v>
      </c>
      <c r="NV29" s="134">
        <v>20000</v>
      </c>
      <c r="NW29" s="190">
        <f t="shared" si="468"/>
        <v>-20859</v>
      </c>
      <c r="NX29" s="135">
        <f t="shared" si="469"/>
        <v>-1.1840711521235399E-2</v>
      </c>
      <c r="NY29" s="1563">
        <v>19</v>
      </c>
      <c r="NZ29" s="134">
        <v>1073279</v>
      </c>
      <c r="OA29" s="134">
        <v>1235560</v>
      </c>
      <c r="OB29" s="134">
        <v>144214</v>
      </c>
      <c r="OC29" s="133">
        <f t="shared" si="470"/>
        <v>18067</v>
      </c>
      <c r="OD29" s="151">
        <f t="shared" si="471"/>
        <v>1.46225193434556E-2</v>
      </c>
      <c r="OE29" s="134">
        <v>147920</v>
      </c>
      <c r="OF29" s="134">
        <v>100000</v>
      </c>
      <c r="OG29" s="134">
        <v>20000</v>
      </c>
      <c r="OH29" s="190">
        <f t="shared" si="472"/>
        <v>-249853</v>
      </c>
      <c r="OI29" s="5380">
        <f t="shared" si="473"/>
        <v>-0.20221842727184436</v>
      </c>
      <c r="OJ29" s="69">
        <v>19</v>
      </c>
      <c r="OK29" s="155">
        <f t="shared" si="474"/>
        <v>26191726</v>
      </c>
      <c r="OL29" s="155">
        <f t="shared" si="475"/>
        <v>2819761</v>
      </c>
      <c r="OM29" s="74">
        <f t="shared" si="476"/>
        <v>0.10765846435626274</v>
      </c>
      <c r="ON29" s="155">
        <f t="shared" si="477"/>
        <v>-2624442</v>
      </c>
      <c r="OO29" s="70"/>
      <c r="OP29" s="69"/>
      <c r="OQ29" s="1563">
        <v>21</v>
      </c>
      <c r="OR29" s="134">
        <v>1284356.3</v>
      </c>
      <c r="OS29" s="134">
        <v>1503186</v>
      </c>
      <c r="OT29" s="134"/>
      <c r="OU29" s="133">
        <f t="shared" si="255"/>
        <v>218829.69999999995</v>
      </c>
      <c r="OV29" s="94">
        <f t="shared" si="256"/>
        <v>0.1455772605652261</v>
      </c>
      <c r="OW29" s="133">
        <v>58850</v>
      </c>
      <c r="OX29" s="134">
        <v>200000</v>
      </c>
      <c r="OY29" s="134">
        <v>0</v>
      </c>
      <c r="OZ29" s="190">
        <f t="shared" si="257"/>
        <v>-40020.300000000047</v>
      </c>
      <c r="PA29" s="5361">
        <f t="shared" si="258"/>
        <v>-2.662365136450183E-2</v>
      </c>
      <c r="PB29" s="5321">
        <v>21</v>
      </c>
      <c r="PC29" s="358">
        <v>1480215.85</v>
      </c>
      <c r="PD29" s="622">
        <v>1692857</v>
      </c>
      <c r="PE29" s="134"/>
      <c r="PF29" s="133">
        <f t="shared" si="259"/>
        <v>212641.14999999991</v>
      </c>
      <c r="PG29" s="94">
        <f t="shared" si="260"/>
        <v>0.12561081650724185</v>
      </c>
      <c r="PH29" s="133">
        <v>184940</v>
      </c>
      <c r="PI29" s="134">
        <v>80000</v>
      </c>
      <c r="PJ29" s="134">
        <v>30000</v>
      </c>
      <c r="PK29" s="190">
        <f t="shared" si="261"/>
        <v>-82298.850000000093</v>
      </c>
      <c r="PL29" s="135">
        <f t="shared" si="262"/>
        <v>-4.8615358532941702E-2</v>
      </c>
      <c r="PM29" s="3863">
        <v>17</v>
      </c>
      <c r="PN29" s="358">
        <v>1540704.4</v>
      </c>
      <c r="PO29" s="622">
        <v>1628468</v>
      </c>
      <c r="PP29" s="134">
        <v>24808</v>
      </c>
      <c r="PQ29" s="6293">
        <f t="shared" si="263"/>
        <v>62955.600000000093</v>
      </c>
      <c r="PR29" s="6295">
        <f t="shared" si="264"/>
        <v>3.865940257960248E-2</v>
      </c>
      <c r="PS29" s="134">
        <v>185783</v>
      </c>
      <c r="PT29" s="134">
        <v>0</v>
      </c>
      <c r="PU29" s="134">
        <v>100000</v>
      </c>
      <c r="PV29" s="190">
        <f t="shared" si="265"/>
        <v>-222827.39999999991</v>
      </c>
      <c r="PW29" s="5380">
        <f t="shared" si="266"/>
        <v>-0.13683253217134136</v>
      </c>
      <c r="PX29" s="5321">
        <v>17</v>
      </c>
      <c r="PY29" s="191">
        <f t="shared" si="267"/>
        <v>4824511</v>
      </c>
      <c r="PZ29" s="191">
        <f t="shared" si="268"/>
        <v>494426.44999999995</v>
      </c>
      <c r="QA29" s="135">
        <f t="shared" si="269"/>
        <v>0.10248218938665493</v>
      </c>
      <c r="QB29" s="3863">
        <v>17</v>
      </c>
      <c r="QC29" s="358">
        <v>1254312.2</v>
      </c>
      <c r="QD29" s="358">
        <v>1575524</v>
      </c>
      <c r="QE29" s="134">
        <v>11011</v>
      </c>
      <c r="QF29" s="6293">
        <f t="shared" si="270"/>
        <v>310200.80000000005</v>
      </c>
      <c r="QG29" s="6295">
        <f t="shared" si="271"/>
        <v>0.1968873847684961</v>
      </c>
      <c r="QH29" s="134">
        <v>232257</v>
      </c>
      <c r="QI29" s="134">
        <v>32000</v>
      </c>
      <c r="QJ29" s="134">
        <v>100000</v>
      </c>
      <c r="QK29" s="190">
        <f t="shared" si="272"/>
        <v>-54056.199999999953</v>
      </c>
      <c r="QL29" s="5380">
        <f t="shared" si="273"/>
        <v>-3.43099819488627E-2</v>
      </c>
      <c r="QM29" s="3863">
        <v>20</v>
      </c>
      <c r="QN29" s="358">
        <v>1022014</v>
      </c>
      <c r="QO29" s="622">
        <v>1156860</v>
      </c>
      <c r="QP29" s="134">
        <v>38408</v>
      </c>
      <c r="QQ29" s="133">
        <f>QO29-(QN29+QP29)</f>
        <v>96438</v>
      </c>
      <c r="QR29" s="151">
        <f>QQ29/QO29</f>
        <v>8.3361858824749752E-2</v>
      </c>
      <c r="QS29" s="133">
        <f>232257-67500</f>
        <v>164757</v>
      </c>
      <c r="QT29" s="134">
        <v>0</v>
      </c>
      <c r="QU29" s="134">
        <v>0</v>
      </c>
      <c r="QV29" s="190">
        <f t="shared" ref="QV29:QV35" si="497">QQ29-SUM(QS29:QU29)</f>
        <v>-68319</v>
      </c>
      <c r="QW29" s="5380">
        <f>QV29/QO29</f>
        <v>-5.9055546911467249E-2</v>
      </c>
      <c r="QX29" s="3863">
        <v>34</v>
      </c>
      <c r="QY29" s="358">
        <f>1237156+1364+(1682258*5%)+1751803</f>
        <v>3074435.9</v>
      </c>
      <c r="QZ29" s="358">
        <v>1682258</v>
      </c>
      <c r="RA29" s="134">
        <v>2313</v>
      </c>
      <c r="RB29" s="133">
        <f>QZ29-(QY29+RA29)</f>
        <v>-1394490.9</v>
      </c>
      <c r="RC29" s="151">
        <f t="shared" si="492"/>
        <v>-0.82893997234669115</v>
      </c>
      <c r="RD29" s="133">
        <v>0</v>
      </c>
      <c r="RE29" s="134">
        <v>0</v>
      </c>
      <c r="RF29" s="134">
        <v>0</v>
      </c>
      <c r="RG29" s="190">
        <f>RB29-SUM(RD29:RF29)</f>
        <v>-1394490.9</v>
      </c>
      <c r="RH29" s="5380">
        <f>RG29/QZ29</f>
        <v>-0.82893997234669115</v>
      </c>
      <c r="RI29" s="5376"/>
      <c r="RJ29" s="191">
        <f t="shared" si="275"/>
        <v>4414642</v>
      </c>
      <c r="RK29" s="191">
        <f>RB29+QQ29+QF29</f>
        <v>-987852.09999999986</v>
      </c>
      <c r="RL29" s="5380">
        <f t="shared" si="486"/>
        <v>-0.2237672046793375</v>
      </c>
      <c r="RM29" s="1562">
        <f t="shared" si="276"/>
        <v>-17</v>
      </c>
      <c r="RN29" s="128">
        <f t="shared" si="277"/>
        <v>-409869</v>
      </c>
      <c r="RO29" s="139">
        <f t="shared" si="278"/>
        <v>-1482278.5499999998</v>
      </c>
      <c r="RP29" s="442">
        <f t="shared" si="279"/>
        <v>-1</v>
      </c>
      <c r="RQ29" s="442">
        <f t="shared" si="280"/>
        <v>-8.4955553008377427E-2</v>
      </c>
      <c r="RR29" s="6339">
        <f t="shared" si="281"/>
        <v>-2.9979758364464519</v>
      </c>
      <c r="RS29" s="698">
        <v>34</v>
      </c>
      <c r="RT29" s="208">
        <f>1221783+(1355165*5%)</f>
        <v>1289541.25</v>
      </c>
      <c r="RU29" s="395">
        <v>1355165</v>
      </c>
      <c r="RV29" s="4269">
        <v>0</v>
      </c>
      <c r="RW29" s="133">
        <f t="shared" ref="RW29:RW37" si="498">RU29-(RT29+RV29)</f>
        <v>65623.75</v>
      </c>
      <c r="RX29" s="151">
        <f t="shared" ref="RX29:RX35" si="499">RW29/RU29</f>
        <v>4.8424915047245172E-2</v>
      </c>
      <c r="RY29" s="133">
        <v>50000</v>
      </c>
      <c r="RZ29" s="134">
        <v>0</v>
      </c>
      <c r="SA29" s="134">
        <v>0</v>
      </c>
      <c r="SB29" s="188">
        <f t="shared" si="282"/>
        <v>15623.75</v>
      </c>
      <c r="SC29" s="5380">
        <f t="shared" si="232"/>
        <v>1.1529038899322223E-2</v>
      </c>
      <c r="SD29" s="110">
        <v>33</v>
      </c>
      <c r="SE29" s="208">
        <f>1180539+(1330869*5%)</f>
        <v>1247082.45</v>
      </c>
      <c r="SF29" s="208">
        <v>1330869</v>
      </c>
      <c r="SG29" s="772">
        <v>0</v>
      </c>
      <c r="SH29" s="6361">
        <f t="shared" si="493"/>
        <v>83786.550000000047</v>
      </c>
      <c r="SI29" s="6363">
        <f t="shared" si="494"/>
        <v>6.2956271428668067E-2</v>
      </c>
      <c r="SJ29" s="134">
        <v>50000</v>
      </c>
      <c r="SK29" s="134">
        <v>0</v>
      </c>
      <c r="SL29" s="134">
        <v>0</v>
      </c>
      <c r="SM29" s="188">
        <f t="shared" si="289"/>
        <v>33786.550000000047</v>
      </c>
      <c r="SN29" s="5389">
        <f t="shared" si="290"/>
        <v>2.5386833715414552E-2</v>
      </c>
      <c r="SO29" s="134">
        <v>27</v>
      </c>
      <c r="SP29" s="134">
        <v>1142471.7</v>
      </c>
      <c r="SQ29" s="134">
        <v>1350499</v>
      </c>
      <c r="SR29" s="134">
        <v>3194</v>
      </c>
      <c r="SS29" s="6361">
        <f t="shared" si="283"/>
        <v>204833.30000000005</v>
      </c>
      <c r="ST29" s="6363">
        <f t="shared" si="301"/>
        <v>0.15167230779141638</v>
      </c>
      <c r="SU29" s="134">
        <v>50000</v>
      </c>
      <c r="SV29" s="134"/>
      <c r="SW29" s="134">
        <v>0</v>
      </c>
      <c r="SX29" s="190">
        <f t="shared" si="302"/>
        <v>154833.30000000005</v>
      </c>
      <c r="SY29" s="5380">
        <f t="shared" si="303"/>
        <v>0.1146489556823071</v>
      </c>
      <c r="SZ29" s="6270"/>
      <c r="TA29" s="118">
        <f t="shared" si="478"/>
        <v>4036533</v>
      </c>
      <c r="TB29" s="118">
        <f t="shared" si="479"/>
        <v>354243.60000000009</v>
      </c>
      <c r="TC29" s="5380">
        <f t="shared" si="487"/>
        <v>8.7759371718254278E-2</v>
      </c>
      <c r="TD29" s="209">
        <v>23</v>
      </c>
      <c r="TE29" s="208">
        <f>1081325+(1242573*5%)</f>
        <v>1143453.6499999999</v>
      </c>
      <c r="TF29" s="395">
        <v>1302573</v>
      </c>
      <c r="TG29" s="134">
        <v>859</v>
      </c>
      <c r="TH29" s="133">
        <f t="shared" si="495"/>
        <v>158260.35000000009</v>
      </c>
      <c r="TI29" s="151">
        <f t="shared" si="496"/>
        <v>0.12149825767922419</v>
      </c>
      <c r="TJ29" s="134">
        <v>50000</v>
      </c>
      <c r="TK29" s="134">
        <v>0</v>
      </c>
      <c r="TL29" s="134">
        <v>50000</v>
      </c>
      <c r="TM29" s="190">
        <f t="shared" si="306"/>
        <v>58260.350000000093</v>
      </c>
      <c r="TN29" s="5380">
        <f t="shared" si="307"/>
        <v>4.4727128537133884E-2</v>
      </c>
      <c r="TO29" s="134"/>
      <c r="TP29" s="134"/>
      <c r="TQ29" s="134"/>
      <c r="TR29" s="134"/>
      <c r="TS29" s="133">
        <f t="shared" si="480"/>
        <v>0</v>
      </c>
      <c r="TT29" s="151" t="e">
        <f t="shared" si="488"/>
        <v>#DIV/0!</v>
      </c>
      <c r="TU29" s="134"/>
      <c r="TV29" s="134"/>
      <c r="TW29" s="134"/>
      <c r="TX29" s="190">
        <f t="shared" si="481"/>
        <v>0</v>
      </c>
      <c r="TY29" s="135" t="e">
        <f t="shared" si="489"/>
        <v>#DIV/0!</v>
      </c>
      <c r="TZ29" s="1563"/>
      <c r="UA29" s="134"/>
      <c r="UB29" s="134"/>
      <c r="UC29" s="134"/>
      <c r="UD29" s="133">
        <f t="shared" si="482"/>
        <v>0</v>
      </c>
      <c r="UE29" s="151" t="e">
        <f t="shared" si="490"/>
        <v>#DIV/0!</v>
      </c>
      <c r="UF29" s="134"/>
      <c r="UG29" s="134"/>
      <c r="UH29" s="134"/>
      <c r="UI29" s="190">
        <f t="shared" si="483"/>
        <v>0</v>
      </c>
      <c r="UJ29" s="5380" t="e">
        <f t="shared" si="491"/>
        <v>#DIV/0!</v>
      </c>
      <c r="UK29" s="5376"/>
      <c r="UL29" s="191">
        <f t="shared" si="284"/>
        <v>14578259</v>
      </c>
      <c r="UM29" s="191">
        <f t="shared" si="285"/>
        <v>19078.300000000279</v>
      </c>
      <c r="UN29" s="135">
        <f>UM29/UL29</f>
        <v>1.3086816471020496E-3</v>
      </c>
      <c r="UO29" s="191">
        <f t="shared" si="286"/>
        <v>-1599508.6999999997</v>
      </c>
      <c r="UP29" s="5380">
        <f t="shared" si="291"/>
        <v>-0.10971877368895694</v>
      </c>
    </row>
    <row r="30" spans="1:567" x14ac:dyDescent="0.3">
      <c r="A30" s="5315">
        <v>11</v>
      </c>
      <c r="B30" s="5358" t="s">
        <v>394</v>
      </c>
      <c r="C30" s="578" t="s">
        <v>141</v>
      </c>
      <c r="D30" s="578" t="s">
        <v>140</v>
      </c>
      <c r="E30" s="6278" t="s">
        <v>254</v>
      </c>
      <c r="F30" s="672"/>
      <c r="G30" s="350"/>
      <c r="H30" s="350"/>
      <c r="I30" s="350">
        <v>0</v>
      </c>
      <c r="J30" s="351"/>
      <c r="K30" s="673"/>
      <c r="L30" s="350"/>
      <c r="M30" s="350"/>
      <c r="N30" s="350"/>
      <c r="O30" s="672"/>
      <c r="P30" s="674"/>
      <c r="Q30" s="350"/>
      <c r="R30" s="350"/>
      <c r="S30" s="350"/>
      <c r="T30" s="95"/>
      <c r="U30" s="673"/>
      <c r="V30" s="672"/>
      <c r="W30" s="672"/>
      <c r="X30" s="672"/>
      <c r="Y30" s="672"/>
      <c r="Z30" s="675"/>
      <c r="AA30" s="672"/>
      <c r="AB30" s="672"/>
      <c r="AC30" s="672"/>
      <c r="AD30" s="672"/>
      <c r="AE30" s="582">
        <f t="shared" si="309"/>
        <v>0</v>
      </c>
      <c r="AF30" s="672"/>
      <c r="AG30" s="676"/>
      <c r="AH30" s="677"/>
      <c r="AI30" s="677"/>
      <c r="AJ30" s="677"/>
      <c r="AK30" s="105">
        <f t="shared" si="310"/>
        <v>0</v>
      </c>
      <c r="AL30" s="106"/>
      <c r="AM30" s="129"/>
      <c r="AN30" s="417"/>
      <c r="AO30" s="130"/>
      <c r="AP30" s="417"/>
      <c r="AQ30" s="417"/>
      <c r="AR30" s="116"/>
      <c r="AS30" s="113"/>
      <c r="AT30" s="213"/>
      <c r="AU30" s="417"/>
      <c r="AV30" s="417"/>
      <c r="AW30" s="116"/>
      <c r="AX30" s="669"/>
      <c r="AY30" s="587">
        <f t="shared" si="315"/>
        <v>0</v>
      </c>
      <c r="AZ30" s="587">
        <f t="shared" si="316"/>
        <v>0</v>
      </c>
      <c r="BA30" s="587">
        <f t="shared" si="317"/>
        <v>0</v>
      </c>
      <c r="BB30" s="588"/>
      <c r="BC30" s="694"/>
      <c r="BD30" s="690"/>
      <c r="BE30" s="690"/>
      <c r="BF30" s="690"/>
      <c r="BG30" s="582">
        <f t="shared" si="319"/>
        <v>0</v>
      </c>
      <c r="BH30" s="589"/>
      <c r="BI30" s="694"/>
      <c r="BJ30" s="690"/>
      <c r="BK30" s="690"/>
      <c r="BL30" s="690"/>
      <c r="BM30" s="582">
        <f t="shared" si="320"/>
        <v>0</v>
      </c>
      <c r="BN30" s="589"/>
      <c r="BO30" s="689"/>
      <c r="BP30" s="690"/>
      <c r="BQ30" s="690"/>
      <c r="BR30" s="690"/>
      <c r="BS30" s="582">
        <f t="shared" si="321"/>
        <v>0</v>
      </c>
      <c r="BT30" s="591"/>
      <c r="BU30" s="689"/>
      <c r="BV30" s="592">
        <f t="shared" si="323"/>
        <v>0</v>
      </c>
      <c r="BW30" s="592">
        <f t="shared" si="324"/>
        <v>0</v>
      </c>
      <c r="BX30" s="593"/>
      <c r="BY30" s="691"/>
      <c r="BZ30" s="692"/>
      <c r="CA30" s="692"/>
      <c r="CB30" s="692"/>
      <c r="CC30" s="682"/>
      <c r="CD30" s="693"/>
      <c r="CE30" s="694"/>
      <c r="CF30" s="690"/>
      <c r="CG30" s="690"/>
      <c r="CH30" s="690"/>
      <c r="CI30" s="109"/>
      <c r="CJ30" s="695"/>
      <c r="CK30" s="630"/>
      <c r="CL30" s="631"/>
      <c r="CM30" s="631"/>
      <c r="CN30" s="631"/>
      <c r="CO30" s="360">
        <f t="shared" si="330"/>
        <v>0</v>
      </c>
      <c r="CP30" s="632"/>
      <c r="CQ30" s="109"/>
      <c r="CR30" s="644"/>
      <c r="CS30" s="644"/>
      <c r="CT30" s="109"/>
      <c r="CU30" s="109"/>
      <c r="CV30" s="74"/>
      <c r="CW30" s="127"/>
      <c r="CX30" s="128"/>
      <c r="CY30" s="128"/>
      <c r="CZ30" s="128"/>
      <c r="DA30" s="605">
        <f t="shared" si="334"/>
        <v>0</v>
      </c>
      <c r="DB30" s="106"/>
      <c r="DC30" s="139"/>
      <c r="DD30" s="128"/>
      <c r="DE30" s="128"/>
      <c r="DF30" s="128"/>
      <c r="DG30" s="128"/>
      <c r="DH30" s="119"/>
      <c r="DI30" s="204"/>
      <c r="DJ30" s="202"/>
      <c r="DK30" s="202"/>
      <c r="DL30" s="119"/>
      <c r="DM30" s="202"/>
      <c r="DN30" s="119"/>
      <c r="DO30" s="686"/>
      <c r="DP30" s="146"/>
      <c r="DQ30" s="146"/>
      <c r="DR30" s="146"/>
      <c r="DS30" s="119"/>
      <c r="DT30" s="119"/>
      <c r="DU30" s="119"/>
      <c r="DV30" s="150"/>
      <c r="DW30" s="686"/>
      <c r="DX30" s="687"/>
      <c r="DY30" s="687"/>
      <c r="DZ30" s="687"/>
      <c r="EA30" s="119"/>
      <c r="EB30" s="119"/>
      <c r="EC30" s="119"/>
      <c r="ED30" s="150"/>
      <c r="EE30" s="127"/>
      <c r="EF30" s="128"/>
      <c r="EG30" s="128"/>
      <c r="EH30" s="128"/>
      <c r="EI30" s="605">
        <f t="shared" si="358"/>
        <v>0</v>
      </c>
      <c r="EJ30" s="106"/>
      <c r="EK30" s="139"/>
      <c r="EL30" s="696"/>
      <c r="EM30" s="130">
        <v>0</v>
      </c>
      <c r="EN30" s="128"/>
      <c r="EO30" s="128"/>
      <c r="EP30" s="119"/>
      <c r="EQ30" s="127"/>
      <c r="ER30" s="109"/>
      <c r="ES30" s="109"/>
      <c r="ET30" s="109"/>
      <c r="EU30" s="134">
        <f t="shared" si="362"/>
        <v>0</v>
      </c>
      <c r="EV30" s="106"/>
      <c r="EW30" s="139"/>
      <c r="EX30" s="696"/>
      <c r="EY30" s="130">
        <v>0</v>
      </c>
      <c r="EZ30" s="128"/>
      <c r="FA30" s="128"/>
      <c r="FB30" s="119"/>
      <c r="FC30" s="643"/>
      <c r="FD30" s="644"/>
      <c r="FE30" s="644"/>
      <c r="FF30" s="644"/>
      <c r="FG30" s="74"/>
      <c r="FH30" s="74"/>
      <c r="FI30" s="74"/>
      <c r="FJ30" s="73"/>
      <c r="FK30" s="226"/>
      <c r="FL30" s="118"/>
      <c r="FM30" s="118"/>
      <c r="FN30" s="118"/>
      <c r="FO30" s="134">
        <f t="shared" si="374"/>
        <v>0</v>
      </c>
      <c r="FP30" s="119"/>
      <c r="FQ30" s="226"/>
      <c r="FR30" s="118"/>
      <c r="FS30" s="118"/>
      <c r="FT30" s="189"/>
      <c r="FU30" s="119"/>
      <c r="FV30" s="188"/>
      <c r="FW30" s="189"/>
      <c r="FX30" s="189"/>
      <c r="FY30" s="189"/>
      <c r="FZ30" s="189"/>
      <c r="GA30" s="119"/>
      <c r="GB30" s="119"/>
      <c r="GC30" s="119"/>
      <c r="GD30" s="150"/>
      <c r="GE30" s="187"/>
      <c r="GF30" s="155"/>
      <c r="GG30" s="155"/>
      <c r="GH30" s="74"/>
      <c r="GI30" s="155"/>
      <c r="GJ30" s="187"/>
      <c r="GK30" s="155"/>
      <c r="GL30" s="155"/>
      <c r="GM30" s="155"/>
      <c r="GN30" s="226"/>
      <c r="GO30" s="118"/>
      <c r="GP30" s="118"/>
      <c r="GQ30" s="118"/>
      <c r="GR30" s="134">
        <f t="shared" si="392"/>
        <v>0</v>
      </c>
      <c r="GS30" s="119"/>
      <c r="GT30" s="226"/>
      <c r="GU30" s="118"/>
      <c r="GV30" s="118"/>
      <c r="GW30" s="118"/>
      <c r="GX30" s="188"/>
      <c r="GY30" s="150"/>
      <c r="GZ30" s="688"/>
      <c r="HA30" s="688"/>
      <c r="HB30" s="688"/>
      <c r="HC30" s="130"/>
      <c r="HD30" s="134">
        <f t="shared" si="396"/>
        <v>0</v>
      </c>
      <c r="HE30" s="150"/>
      <c r="HF30" s="138"/>
      <c r="HG30" s="130"/>
      <c r="HH30" s="130"/>
      <c r="HI30" s="130"/>
      <c r="HJ30" s="197"/>
      <c r="HK30" s="201"/>
      <c r="HL30" s="147"/>
      <c r="HM30" s="148"/>
      <c r="HN30" s="148"/>
      <c r="HO30" s="148"/>
      <c r="HP30" s="615">
        <f t="shared" si="485"/>
        <v>0</v>
      </c>
      <c r="HQ30" s="201"/>
      <c r="HR30" s="148"/>
      <c r="HS30" s="148"/>
      <c r="HT30" s="148"/>
      <c r="HU30" s="148"/>
      <c r="HV30" s="197"/>
      <c r="HW30" s="201"/>
      <c r="HX30" s="697"/>
      <c r="HY30" s="241">
        <f t="shared" si="401"/>
        <v>0</v>
      </c>
      <c r="HZ30" s="415">
        <f t="shared" si="402"/>
        <v>0</v>
      </c>
      <c r="IA30" s="241"/>
      <c r="IB30" s="415">
        <f t="shared" si="403"/>
        <v>0</v>
      </c>
      <c r="IC30" s="141"/>
      <c r="ID30" s="642"/>
      <c r="IE30" s="141">
        <f t="shared" si="404"/>
        <v>0</v>
      </c>
      <c r="IF30" s="141">
        <f t="shared" si="405"/>
        <v>0</v>
      </c>
      <c r="IG30" s="74"/>
      <c r="IH30" s="1507"/>
      <c r="II30" s="69"/>
      <c r="IJ30" s="133"/>
      <c r="IK30" s="134"/>
      <c r="IL30" s="134"/>
      <c r="IM30" s="134"/>
      <c r="IN30" s="133"/>
      <c r="IO30" s="151"/>
      <c r="IP30" s="134"/>
      <c r="IQ30" s="134"/>
      <c r="IR30" s="134"/>
      <c r="IS30" s="190"/>
      <c r="IT30" s="151"/>
      <c r="IU30" s="583">
        <v>1</v>
      </c>
      <c r="IV30" s="395">
        <v>95040</v>
      </c>
      <c r="IW30" s="395">
        <v>133637</v>
      </c>
      <c r="IX30" s="134"/>
      <c r="IY30" s="133">
        <f t="shared" si="411"/>
        <v>38597</v>
      </c>
      <c r="IZ30" s="151">
        <f t="shared" si="412"/>
        <v>0.28881971310340698</v>
      </c>
      <c r="JA30" s="133"/>
      <c r="JB30" s="134"/>
      <c r="JC30" s="134"/>
      <c r="JD30" s="190"/>
      <c r="JE30" s="151"/>
      <c r="JF30" s="698">
        <v>1</v>
      </c>
      <c r="JG30" s="208">
        <v>98142</v>
      </c>
      <c r="JH30" s="395">
        <v>133333.32999999999</v>
      </c>
      <c r="JI30" s="134">
        <v>0</v>
      </c>
      <c r="JJ30" s="133">
        <f t="shared" si="415"/>
        <v>35191.329999999987</v>
      </c>
      <c r="JK30" s="151">
        <f t="shared" si="416"/>
        <v>0.26393498159837447</v>
      </c>
      <c r="JL30" s="133">
        <v>29000</v>
      </c>
      <c r="JM30" s="134">
        <v>0</v>
      </c>
      <c r="JN30" s="134">
        <v>0</v>
      </c>
      <c r="JO30" s="190">
        <f t="shared" si="417"/>
        <v>6191.3299999999872</v>
      </c>
      <c r="JP30" s="151">
        <f t="shared" si="418"/>
        <v>4.643497616087431E-2</v>
      </c>
      <c r="JQ30" s="113">
        <v>1</v>
      </c>
      <c r="JR30" s="191">
        <f t="shared" si="249"/>
        <v>266970.32999999996</v>
      </c>
      <c r="JS30" s="191">
        <f t="shared" si="250"/>
        <v>73788.329999999987</v>
      </c>
      <c r="JT30" s="151">
        <f t="shared" si="419"/>
        <v>0.27639150013411601</v>
      </c>
      <c r="JU30" s="698">
        <v>1</v>
      </c>
      <c r="JV30" s="208">
        <v>82627</v>
      </c>
      <c r="JW30" s="395">
        <v>100000</v>
      </c>
      <c r="JX30" s="134"/>
      <c r="JY30" s="133">
        <f t="shared" si="420"/>
        <v>17373</v>
      </c>
      <c r="JZ30" s="151">
        <f t="shared" si="421"/>
        <v>0.17373</v>
      </c>
      <c r="KA30" s="133">
        <v>18252</v>
      </c>
      <c r="KB30" s="148">
        <v>0</v>
      </c>
      <c r="KC30" s="134">
        <v>0</v>
      </c>
      <c r="KD30" s="190">
        <f t="shared" si="422"/>
        <v>-879</v>
      </c>
      <c r="KE30" s="151">
        <f t="shared" si="423"/>
        <v>-8.7899999999999992E-3</v>
      </c>
      <c r="KF30" s="113">
        <v>1</v>
      </c>
      <c r="KG30" s="208">
        <v>95040</v>
      </c>
      <c r="KH30" s="395">
        <v>127273</v>
      </c>
      <c r="KI30" s="134"/>
      <c r="KJ30" s="133">
        <f t="shared" si="424"/>
        <v>32233</v>
      </c>
      <c r="KK30" s="151">
        <f t="shared" si="425"/>
        <v>0.25325874301697926</v>
      </c>
      <c r="KL30" s="133"/>
      <c r="KM30" s="148">
        <v>0</v>
      </c>
      <c r="KN30" s="134">
        <v>0</v>
      </c>
      <c r="KO30" s="190">
        <f t="shared" si="426"/>
        <v>32233</v>
      </c>
      <c r="KP30" s="151">
        <f t="shared" si="427"/>
        <v>0.25325874301697926</v>
      </c>
      <c r="KQ30" s="113">
        <v>2</v>
      </c>
      <c r="KR30" s="208">
        <v>155082</v>
      </c>
      <c r="KS30" s="395">
        <v>190933</v>
      </c>
      <c r="KT30" s="134">
        <v>0</v>
      </c>
      <c r="KU30" s="133">
        <f t="shared" si="428"/>
        <v>35851</v>
      </c>
      <c r="KV30" s="151">
        <f t="shared" si="429"/>
        <v>0.18776743674482671</v>
      </c>
      <c r="KW30" s="133"/>
      <c r="KX30" s="148">
        <v>0</v>
      </c>
      <c r="KY30" s="134">
        <v>25000</v>
      </c>
      <c r="KZ30" s="190">
        <f t="shared" si="430"/>
        <v>10851</v>
      </c>
      <c r="LA30" s="151">
        <f t="shared" si="431"/>
        <v>5.6831453965527176E-2</v>
      </c>
      <c r="LB30" s="402">
        <v>2</v>
      </c>
      <c r="LC30" s="191">
        <f t="shared" si="432"/>
        <v>418206</v>
      </c>
      <c r="LD30" s="191">
        <f t="shared" si="433"/>
        <v>85457</v>
      </c>
      <c r="LE30" s="151">
        <f t="shared" si="434"/>
        <v>0.20434187936088913</v>
      </c>
      <c r="LF30" s="226">
        <f t="shared" si="435"/>
        <v>1</v>
      </c>
      <c r="LG30" s="128">
        <f t="shared" si="436"/>
        <v>151235.67000000004</v>
      </c>
      <c r="LH30" s="139">
        <f t="shared" si="437"/>
        <v>11668.670000000013</v>
      </c>
      <c r="LI30" s="442">
        <f t="shared" si="438"/>
        <v>1</v>
      </c>
      <c r="LJ30" s="442">
        <f t="shared" si="439"/>
        <v>0.56648868059607993</v>
      </c>
      <c r="LK30" s="106">
        <f t="shared" si="440"/>
        <v>0.15813706584767556</v>
      </c>
      <c r="LL30" s="113">
        <v>1</v>
      </c>
      <c r="LM30" s="208">
        <v>94054</v>
      </c>
      <c r="LN30" s="395">
        <v>113628</v>
      </c>
      <c r="LO30" s="134"/>
      <c r="LP30" s="133">
        <f t="shared" si="441"/>
        <v>19574</v>
      </c>
      <c r="LQ30" s="151">
        <f t="shared" si="442"/>
        <v>0.17226387862146653</v>
      </c>
      <c r="LR30" s="133"/>
      <c r="LS30" s="148">
        <v>0</v>
      </c>
      <c r="LT30" s="134">
        <v>25000</v>
      </c>
      <c r="LU30" s="190">
        <f t="shared" si="443"/>
        <v>-5426</v>
      </c>
      <c r="LV30" s="151">
        <f t="shared" si="444"/>
        <v>-4.775231457035238E-2</v>
      </c>
      <c r="LW30" s="134">
        <v>2</v>
      </c>
      <c r="LX30" s="134">
        <v>193196</v>
      </c>
      <c r="LY30" s="134">
        <v>260052</v>
      </c>
      <c r="LZ30" s="134"/>
      <c r="MA30" s="133">
        <f t="shared" si="445"/>
        <v>66856</v>
      </c>
      <c r="MB30" s="151">
        <f t="shared" si="446"/>
        <v>0.25708704412963562</v>
      </c>
      <c r="MC30" s="134">
        <v>61012</v>
      </c>
      <c r="MD30" s="134">
        <v>25000</v>
      </c>
      <c r="ME30" s="134">
        <v>25000</v>
      </c>
      <c r="MF30" s="190">
        <f t="shared" si="447"/>
        <v>-44156</v>
      </c>
      <c r="MG30" s="151">
        <f t="shared" si="448"/>
        <v>-0.16979680986879547</v>
      </c>
      <c r="MH30" s="134">
        <v>2</v>
      </c>
      <c r="MI30" s="134">
        <v>212634</v>
      </c>
      <c r="MJ30" s="134">
        <v>275480</v>
      </c>
      <c r="MK30" s="134"/>
      <c r="ML30" s="133">
        <f t="shared" si="449"/>
        <v>62846</v>
      </c>
      <c r="MM30" s="151">
        <f t="shared" si="450"/>
        <v>0.22813271380862493</v>
      </c>
      <c r="MN30" s="134">
        <v>49350</v>
      </c>
      <c r="MO30" s="134">
        <v>0</v>
      </c>
      <c r="MP30" s="134">
        <v>25000</v>
      </c>
      <c r="MQ30" s="190">
        <f t="shared" si="451"/>
        <v>-11504</v>
      </c>
      <c r="MR30" s="151">
        <f t="shared" si="452"/>
        <v>-4.1759837374764047E-2</v>
      </c>
      <c r="MS30" s="1472">
        <v>2</v>
      </c>
      <c r="MT30" s="118">
        <f t="shared" si="453"/>
        <v>649160</v>
      </c>
      <c r="MU30" s="118">
        <f t="shared" si="454"/>
        <v>149276</v>
      </c>
      <c r="MV30" s="135">
        <f t="shared" si="455"/>
        <v>0.22995255406987491</v>
      </c>
      <c r="MW30" s="133">
        <f t="shared" si="456"/>
        <v>0</v>
      </c>
      <c r="MX30" s="134">
        <f t="shared" si="457"/>
        <v>230954</v>
      </c>
      <c r="MY30" s="134">
        <f t="shared" si="458"/>
        <v>63819</v>
      </c>
      <c r="MZ30" s="135">
        <f t="shared" si="459"/>
        <v>0</v>
      </c>
      <c r="NA30" s="135">
        <f t="shared" si="460"/>
        <v>0.55224936992773899</v>
      </c>
      <c r="NB30" s="151">
        <f t="shared" si="461"/>
        <v>0.74679663456475187</v>
      </c>
      <c r="NC30" s="134">
        <v>2</v>
      </c>
      <c r="ND30" s="134">
        <v>201347</v>
      </c>
      <c r="NE30" s="134">
        <v>251318</v>
      </c>
      <c r="NF30" s="134"/>
      <c r="NG30" s="133">
        <f t="shared" si="462"/>
        <v>49971</v>
      </c>
      <c r="NH30" s="151">
        <f t="shared" si="463"/>
        <v>0.1988357379893203</v>
      </c>
      <c r="NI30" s="134"/>
      <c r="NJ30" s="134">
        <v>10000</v>
      </c>
      <c r="NK30" s="134">
        <v>25000</v>
      </c>
      <c r="NL30" s="190">
        <f t="shared" si="464"/>
        <v>14971</v>
      </c>
      <c r="NM30" s="135">
        <f t="shared" si="465"/>
        <v>5.956994723816042E-2</v>
      </c>
      <c r="NN30" s="1563">
        <v>2</v>
      </c>
      <c r="NO30" s="134">
        <v>212634</v>
      </c>
      <c r="NP30" s="134">
        <v>265595</v>
      </c>
      <c r="NQ30" s="134">
        <v>0</v>
      </c>
      <c r="NR30" s="133">
        <f t="shared" si="466"/>
        <v>52961</v>
      </c>
      <c r="NS30" s="151">
        <f t="shared" si="467"/>
        <v>0.19940510928293079</v>
      </c>
      <c r="NT30" s="134">
        <v>25000</v>
      </c>
      <c r="NU30" s="134">
        <v>10000</v>
      </c>
      <c r="NV30" s="134">
        <v>25000</v>
      </c>
      <c r="NW30" s="190">
        <f t="shared" si="468"/>
        <v>-7039</v>
      </c>
      <c r="NX30" s="135">
        <f t="shared" si="469"/>
        <v>-2.6502757958545908E-2</v>
      </c>
      <c r="NY30" s="1563">
        <v>2</v>
      </c>
      <c r="NZ30" s="134">
        <v>211148</v>
      </c>
      <c r="OA30" s="134">
        <v>262361</v>
      </c>
      <c r="OB30" s="134">
        <v>0</v>
      </c>
      <c r="OC30" s="133">
        <f t="shared" si="470"/>
        <v>51213</v>
      </c>
      <c r="OD30" s="151">
        <f t="shared" si="471"/>
        <v>0.19520050617279244</v>
      </c>
      <c r="OE30" s="134">
        <v>25000</v>
      </c>
      <c r="OF30" s="134">
        <v>10000</v>
      </c>
      <c r="OG30" s="134">
        <v>25000</v>
      </c>
      <c r="OH30" s="190">
        <f t="shared" si="472"/>
        <v>-8787</v>
      </c>
      <c r="OI30" s="5380">
        <f t="shared" si="473"/>
        <v>-3.3492020536588896E-2</v>
      </c>
      <c r="OJ30" s="69">
        <v>2</v>
      </c>
      <c r="OK30" s="155">
        <f t="shared" si="474"/>
        <v>2078419</v>
      </c>
      <c r="OL30" s="155">
        <f t="shared" si="475"/>
        <v>427475</v>
      </c>
      <c r="OM30" s="74">
        <f t="shared" si="476"/>
        <v>0.20567315829964988</v>
      </c>
      <c r="ON30" s="155">
        <f t="shared" si="477"/>
        <v>-19736</v>
      </c>
      <c r="OO30" s="70"/>
      <c r="OP30" s="69"/>
      <c r="OQ30" s="2915">
        <v>1</v>
      </c>
      <c r="OR30" s="208">
        <v>67958</v>
      </c>
      <c r="OS30" s="395">
        <v>58200</v>
      </c>
      <c r="OT30" s="134"/>
      <c r="OU30" s="133">
        <f t="shared" si="255"/>
        <v>-9758</v>
      </c>
      <c r="OV30" s="94">
        <f t="shared" si="256"/>
        <v>-0.16766323024054983</v>
      </c>
      <c r="OW30" s="134"/>
      <c r="OX30" s="134">
        <v>0</v>
      </c>
      <c r="OY30" s="134"/>
      <c r="OZ30" s="190">
        <f t="shared" si="257"/>
        <v>-9758</v>
      </c>
      <c r="PA30" s="5361">
        <f t="shared" si="258"/>
        <v>-0.16766323024054983</v>
      </c>
      <c r="PB30" s="422">
        <v>1</v>
      </c>
      <c r="PC30" s="358">
        <v>94054</v>
      </c>
      <c r="PD30" s="359">
        <v>116400</v>
      </c>
      <c r="PE30" s="134"/>
      <c r="PF30" s="133">
        <f t="shared" si="259"/>
        <v>22346</v>
      </c>
      <c r="PG30" s="94">
        <f t="shared" si="260"/>
        <v>0.19197594501718213</v>
      </c>
      <c r="PH30" s="134">
        <v>0</v>
      </c>
      <c r="PI30" s="134">
        <v>0</v>
      </c>
      <c r="PJ30" s="134">
        <v>0</v>
      </c>
      <c r="PK30" s="190"/>
      <c r="PL30" s="135"/>
      <c r="PM30" s="110">
        <v>1</v>
      </c>
      <c r="PN30" s="208">
        <v>94054</v>
      </c>
      <c r="PO30" s="395">
        <v>113490</v>
      </c>
      <c r="PP30" s="134"/>
      <c r="PQ30" s="6293">
        <f t="shared" si="263"/>
        <v>19436</v>
      </c>
      <c r="PR30" s="6295">
        <f t="shared" si="264"/>
        <v>0.17125737950480219</v>
      </c>
      <c r="PS30" s="134">
        <v>0</v>
      </c>
      <c r="PT30" s="134">
        <v>10236</v>
      </c>
      <c r="PU30" s="134">
        <v>0</v>
      </c>
      <c r="PV30" s="190">
        <f t="shared" si="265"/>
        <v>9200</v>
      </c>
      <c r="PW30" s="5380">
        <f t="shared" si="266"/>
        <v>8.1064410961318181E-2</v>
      </c>
      <c r="PX30" s="698">
        <v>1</v>
      </c>
      <c r="PY30" s="191">
        <f t="shared" si="267"/>
        <v>288090</v>
      </c>
      <c r="PZ30" s="191">
        <f t="shared" si="268"/>
        <v>32024</v>
      </c>
      <c r="QA30" s="135">
        <f t="shared" si="269"/>
        <v>0.11115970703599569</v>
      </c>
      <c r="QB30" s="110">
        <v>1</v>
      </c>
      <c r="QC30" s="208">
        <v>94054</v>
      </c>
      <c r="QD30" s="208">
        <v>111339</v>
      </c>
      <c r="QE30" s="134"/>
      <c r="QF30" s="6293">
        <f t="shared" si="270"/>
        <v>17285</v>
      </c>
      <c r="QG30" s="6295">
        <f t="shared" si="271"/>
        <v>0.15524658924545756</v>
      </c>
      <c r="QH30" s="134">
        <v>0</v>
      </c>
      <c r="QI30" s="148"/>
      <c r="QJ30" s="134">
        <v>0</v>
      </c>
      <c r="QK30" s="190">
        <f t="shared" si="272"/>
        <v>17285</v>
      </c>
      <c r="QL30" s="5380">
        <f t="shared" si="273"/>
        <v>0.15524658924545756</v>
      </c>
      <c r="QM30" s="110">
        <v>1</v>
      </c>
      <c r="QN30" s="208">
        <v>94054</v>
      </c>
      <c r="QO30" s="395">
        <v>148041</v>
      </c>
      <c r="QP30" s="134">
        <v>0</v>
      </c>
      <c r="QQ30" s="133">
        <f t="shared" si="292"/>
        <v>53987</v>
      </c>
      <c r="QR30" s="151">
        <f t="shared" si="293"/>
        <v>0.36467600191838745</v>
      </c>
      <c r="QS30" s="133">
        <v>0</v>
      </c>
      <c r="QT30" s="134">
        <v>10000</v>
      </c>
      <c r="QU30" s="134">
        <v>12032</v>
      </c>
      <c r="QV30" s="190">
        <f t="shared" si="497"/>
        <v>31955</v>
      </c>
      <c r="QW30" s="5380">
        <f>QV30/QO30</f>
        <v>0.21585236522314763</v>
      </c>
      <c r="QX30" s="5316">
        <v>1</v>
      </c>
      <c r="QY30" s="622">
        <v>130843</v>
      </c>
      <c r="QZ30" s="358">
        <v>198622</v>
      </c>
      <c r="RA30" s="359">
        <v>1535</v>
      </c>
      <c r="RB30" s="133">
        <f t="shared" si="274"/>
        <v>66244</v>
      </c>
      <c r="RC30" s="151">
        <f t="shared" si="492"/>
        <v>0.33351793859693285</v>
      </c>
      <c r="RD30" s="133">
        <v>0</v>
      </c>
      <c r="RE30" s="134">
        <v>10000</v>
      </c>
      <c r="RF30" s="134">
        <v>12032</v>
      </c>
      <c r="RG30" s="190">
        <f t="shared" si="296"/>
        <v>44212</v>
      </c>
      <c r="RH30" s="5380">
        <f t="shared" si="297"/>
        <v>0.22259367038898006</v>
      </c>
      <c r="RI30" s="5376"/>
      <c r="RJ30" s="191">
        <f t="shared" si="275"/>
        <v>458002</v>
      </c>
      <c r="RK30" s="191">
        <f>RB30+QQ30+QF30</f>
        <v>137516</v>
      </c>
      <c r="RL30" s="5380">
        <f t="shared" si="486"/>
        <v>0.30025196396522286</v>
      </c>
      <c r="RM30" s="1562">
        <f t="shared" si="276"/>
        <v>-1</v>
      </c>
      <c r="RN30" s="128">
        <f t="shared" si="277"/>
        <v>169912</v>
      </c>
      <c r="RO30" s="139">
        <f t="shared" si="278"/>
        <v>105492</v>
      </c>
      <c r="RP30" s="442">
        <f t="shared" si="279"/>
        <v>-1</v>
      </c>
      <c r="RQ30" s="442">
        <f t="shared" si="280"/>
        <v>0.58978791349925375</v>
      </c>
      <c r="RR30" s="6339">
        <f t="shared" si="281"/>
        <v>3.2941543842118413</v>
      </c>
      <c r="RS30" s="698">
        <v>1</v>
      </c>
      <c r="RT30" s="208">
        <v>130843</v>
      </c>
      <c r="RU30" s="395">
        <v>170908.18</v>
      </c>
      <c r="RV30" s="4269">
        <v>0</v>
      </c>
      <c r="RW30" s="133">
        <f t="shared" si="498"/>
        <v>40065.179999999993</v>
      </c>
      <c r="RX30" s="151">
        <f t="shared" si="499"/>
        <v>0.23442517496821974</v>
      </c>
      <c r="RY30" s="133">
        <v>0</v>
      </c>
      <c r="RZ30" s="134">
        <v>0</v>
      </c>
      <c r="SA30" s="134">
        <v>30000</v>
      </c>
      <c r="SB30" s="188">
        <f t="shared" si="282"/>
        <v>10065.179999999993</v>
      </c>
      <c r="SC30" s="5380">
        <f t="shared" si="232"/>
        <v>5.8892324521857255E-2</v>
      </c>
      <c r="SD30" s="110">
        <v>1</v>
      </c>
      <c r="SE30" s="208">
        <v>122250</v>
      </c>
      <c r="SF30" s="395">
        <v>152532</v>
      </c>
      <c r="SG30" s="772">
        <v>0</v>
      </c>
      <c r="SH30" s="6361">
        <f t="shared" si="493"/>
        <v>30282</v>
      </c>
      <c r="SI30" s="6363">
        <f t="shared" si="494"/>
        <v>0.19852883329399731</v>
      </c>
      <c r="SJ30" s="134">
        <v>0</v>
      </c>
      <c r="SK30" s="134">
        <v>0</v>
      </c>
      <c r="SL30" s="134">
        <v>0</v>
      </c>
      <c r="SM30" s="188">
        <f t="shared" si="289"/>
        <v>30282</v>
      </c>
      <c r="SN30" s="5389">
        <f t="shared" si="290"/>
        <v>0.19852883329399731</v>
      </c>
      <c r="SO30" s="134">
        <v>1</v>
      </c>
      <c r="SP30" s="134">
        <v>130843</v>
      </c>
      <c r="SQ30" s="134">
        <v>170904.76</v>
      </c>
      <c r="SR30" s="134">
        <v>0</v>
      </c>
      <c r="SS30" s="6361">
        <f t="shared" si="283"/>
        <v>40061.760000000009</v>
      </c>
      <c r="ST30" s="6363">
        <f t="shared" si="301"/>
        <v>0.23440985493909008</v>
      </c>
      <c r="SU30" s="134">
        <v>0</v>
      </c>
      <c r="SV30" s="134"/>
      <c r="SW30" s="134">
        <v>0</v>
      </c>
      <c r="SX30" s="190">
        <f t="shared" si="302"/>
        <v>40061.760000000009</v>
      </c>
      <c r="SY30" s="5380">
        <f t="shared" si="303"/>
        <v>0.23440985493909008</v>
      </c>
      <c r="SZ30" s="6270"/>
      <c r="TA30" s="118">
        <f t="shared" si="478"/>
        <v>494344.94</v>
      </c>
      <c r="TB30" s="118">
        <f t="shared" si="479"/>
        <v>110408.94</v>
      </c>
      <c r="TC30" s="5380">
        <f t="shared" si="487"/>
        <v>0.22334392661124436</v>
      </c>
      <c r="TD30" s="1563">
        <v>1</v>
      </c>
      <c r="TE30" s="134">
        <v>130843</v>
      </c>
      <c r="TF30" s="134">
        <v>179450</v>
      </c>
      <c r="TG30" s="134"/>
      <c r="TH30" s="133">
        <f t="shared" si="495"/>
        <v>48607</v>
      </c>
      <c r="TI30" s="151">
        <f t="shared" si="496"/>
        <v>0.27086653663973254</v>
      </c>
      <c r="TJ30" s="134">
        <v>0</v>
      </c>
      <c r="TK30" s="134">
        <v>0</v>
      </c>
      <c r="TL30" s="134">
        <v>0</v>
      </c>
      <c r="TM30" s="190">
        <f t="shared" ref="TM30:TM36" si="500">TH30-SUM(TJ30:TL30)</f>
        <v>48607</v>
      </c>
      <c r="TN30" s="5380">
        <f t="shared" ref="TN30:TN36" si="501">TM30/TF30</f>
        <v>0.27086653663973254</v>
      </c>
      <c r="TO30" s="134"/>
      <c r="TP30" s="134"/>
      <c r="TQ30" s="134"/>
      <c r="TR30" s="134"/>
      <c r="TS30" s="133">
        <f t="shared" si="480"/>
        <v>0</v>
      </c>
      <c r="TT30" s="151" t="e">
        <f t="shared" si="488"/>
        <v>#DIV/0!</v>
      </c>
      <c r="TU30" s="134"/>
      <c r="TV30" s="134"/>
      <c r="TW30" s="134"/>
      <c r="TX30" s="190">
        <f t="shared" si="481"/>
        <v>0</v>
      </c>
      <c r="TY30" s="135" t="e">
        <f t="shared" si="489"/>
        <v>#DIV/0!</v>
      </c>
      <c r="TZ30" s="1563"/>
      <c r="UA30" s="134"/>
      <c r="UB30" s="134"/>
      <c r="UC30" s="134"/>
      <c r="UD30" s="133">
        <f t="shared" si="482"/>
        <v>0</v>
      </c>
      <c r="UE30" s="151" t="e">
        <f t="shared" si="490"/>
        <v>#DIV/0!</v>
      </c>
      <c r="UF30" s="134"/>
      <c r="UG30" s="134"/>
      <c r="UH30" s="134"/>
      <c r="UI30" s="190">
        <f t="shared" si="483"/>
        <v>0</v>
      </c>
      <c r="UJ30" s="5380" t="e">
        <f t="shared" si="491"/>
        <v>#DIV/0!</v>
      </c>
      <c r="UK30" s="5376"/>
      <c r="UL30" s="191">
        <f t="shared" si="284"/>
        <v>1419886.94</v>
      </c>
      <c r="UM30" s="191">
        <f t="shared" si="285"/>
        <v>328555.94</v>
      </c>
      <c r="UN30" s="135">
        <f t="shared" si="484"/>
        <v>0.23139584620730438</v>
      </c>
      <c r="UO30" s="191">
        <f t="shared" si="286"/>
        <v>221909.94</v>
      </c>
      <c r="UP30" s="5380">
        <f t="shared" si="291"/>
        <v>0.15628704916463279</v>
      </c>
    </row>
    <row r="31" spans="1:567" x14ac:dyDescent="0.3">
      <c r="A31" s="5316">
        <v>12</v>
      </c>
      <c r="B31" s="5360" t="s">
        <v>379</v>
      </c>
      <c r="C31" s="578" t="s">
        <v>141</v>
      </c>
      <c r="D31" s="578" t="s">
        <v>140</v>
      </c>
      <c r="E31" s="6278" t="s">
        <v>254</v>
      </c>
      <c r="F31" s="579">
        <v>22</v>
      </c>
      <c r="G31" s="161">
        <v>5898718</v>
      </c>
      <c r="H31" s="161">
        <v>7238737</v>
      </c>
      <c r="I31" s="161">
        <v>1340019</v>
      </c>
      <c r="J31" s="351">
        <f>I31/H31</f>
        <v>0.18511779057589742</v>
      </c>
      <c r="K31" s="580">
        <v>17.666666666666668</v>
      </c>
      <c r="L31" s="161">
        <v>5033744</v>
      </c>
      <c r="M31" s="161">
        <v>6304367</v>
      </c>
      <c r="N31" s="161">
        <v>1270623</v>
      </c>
      <c r="O31" s="422"/>
      <c r="P31" s="580">
        <v>12.666666666666666</v>
      </c>
      <c r="Q31" s="161">
        <v>3717618</v>
      </c>
      <c r="R31" s="161">
        <v>4493486</v>
      </c>
      <c r="S31" s="161">
        <v>775868</v>
      </c>
      <c r="T31" s="94"/>
      <c r="U31" s="136"/>
      <c r="V31" s="422"/>
      <c r="W31" s="422"/>
      <c r="X31" s="422"/>
      <c r="Y31" s="422"/>
      <c r="Z31" s="581"/>
      <c r="AA31" s="422"/>
      <c r="AB31" s="422"/>
      <c r="AC31" s="422"/>
      <c r="AD31" s="422"/>
      <c r="AE31" s="582">
        <f t="shared" si="309"/>
        <v>0</v>
      </c>
      <c r="AF31" s="422"/>
      <c r="AG31" s="113">
        <v>10</v>
      </c>
      <c r="AH31" s="616">
        <v>1029940</v>
      </c>
      <c r="AI31" s="616">
        <v>1271670</v>
      </c>
      <c r="AJ31" s="616"/>
      <c r="AK31" s="105">
        <f t="shared" si="310"/>
        <v>241730</v>
      </c>
      <c r="AL31" s="116">
        <f>AK31/AI31</f>
        <v>0.19008862362090795</v>
      </c>
      <c r="AM31" s="585">
        <v>0</v>
      </c>
      <c r="AN31" s="417">
        <v>131298</v>
      </c>
      <c r="AO31" s="417"/>
      <c r="AP31" s="130">
        <v>49383.651724137926</v>
      </c>
      <c r="AQ31" s="417">
        <f>AK31-AM31-AN31-AO31-AP31</f>
        <v>61048.348275862074</v>
      </c>
      <c r="AR31" s="116">
        <f>AQ31/AK31</f>
        <v>0.25254767002797368</v>
      </c>
      <c r="AS31" s="113">
        <v>10</v>
      </c>
      <c r="AT31" s="213">
        <v>3070198</v>
      </c>
      <c r="AU31" s="417">
        <v>3887329</v>
      </c>
      <c r="AV31" s="417">
        <v>817131</v>
      </c>
      <c r="AW31" s="116">
        <f>AV31/AU31</f>
        <v>0.21020371571328283</v>
      </c>
      <c r="AX31" s="586">
        <v>10</v>
      </c>
      <c r="AY31" s="587">
        <f t="shared" si="315"/>
        <v>17720278</v>
      </c>
      <c r="AZ31" s="587">
        <f t="shared" si="316"/>
        <v>21923919</v>
      </c>
      <c r="BA31" s="587">
        <f t="shared" si="317"/>
        <v>4203641</v>
      </c>
      <c r="BB31" s="588">
        <f>BA31/AZ31</f>
        <v>0.19173766332561254</v>
      </c>
      <c r="BC31" s="1512">
        <v>10</v>
      </c>
      <c r="BD31" s="582">
        <v>1029940</v>
      </c>
      <c r="BE31" s="582">
        <v>1287296</v>
      </c>
      <c r="BF31" s="582">
        <v>0</v>
      </c>
      <c r="BG31" s="582">
        <f t="shared" si="319"/>
        <v>257356</v>
      </c>
      <c r="BH31" s="589"/>
      <c r="BI31" s="1512">
        <v>10</v>
      </c>
      <c r="BJ31" s="582">
        <v>1029940</v>
      </c>
      <c r="BK31" s="582">
        <v>1269691</v>
      </c>
      <c r="BL31" s="582"/>
      <c r="BM31" s="582">
        <f t="shared" si="320"/>
        <v>239751</v>
      </c>
      <c r="BN31" s="589"/>
      <c r="BO31" s="590">
        <v>10</v>
      </c>
      <c r="BP31" s="582">
        <v>1029940</v>
      </c>
      <c r="BQ31" s="582">
        <v>1284705</v>
      </c>
      <c r="BR31" s="582"/>
      <c r="BS31" s="582">
        <f t="shared" si="321"/>
        <v>254765</v>
      </c>
      <c r="BT31" s="591">
        <f>BS31/BQ31</f>
        <v>0.19830622594292074</v>
      </c>
      <c r="BU31" s="590">
        <v>10</v>
      </c>
      <c r="BV31" s="592">
        <f t="shared" si="323"/>
        <v>3841692</v>
      </c>
      <c r="BW31" s="592">
        <f t="shared" si="324"/>
        <v>751872</v>
      </c>
      <c r="BX31" s="593">
        <f>BW31/BV31</f>
        <v>0.19571376362290366</v>
      </c>
      <c r="BY31" s="594">
        <v>10</v>
      </c>
      <c r="BZ31" s="650">
        <v>1029940</v>
      </c>
      <c r="CA31" s="650">
        <v>1260380</v>
      </c>
      <c r="CB31" s="650">
        <v>0</v>
      </c>
      <c r="CC31" s="596">
        <f>CA31-(BZ31+CB31)</f>
        <v>230440</v>
      </c>
      <c r="CD31" s="597">
        <f>CC31/CA31</f>
        <v>0.182833748552024</v>
      </c>
      <c r="CE31" s="598">
        <v>0</v>
      </c>
      <c r="CF31" s="599">
        <v>235306</v>
      </c>
      <c r="CG31" s="599"/>
      <c r="CH31" s="599">
        <v>74304.057692307688</v>
      </c>
      <c r="CI31" s="599">
        <f>CC31-CE31-CF31-CG31-CH31</f>
        <v>-79170.057692307688</v>
      </c>
      <c r="CJ31" s="597">
        <f>CI31/CA31</f>
        <v>-6.281443508490113E-2</v>
      </c>
      <c r="CK31" s="651">
        <v>10</v>
      </c>
      <c r="CL31" s="652">
        <v>1029940</v>
      </c>
      <c r="CM31" s="652">
        <v>1241008</v>
      </c>
      <c r="CN31" s="652"/>
      <c r="CO31" s="96">
        <f t="shared" si="330"/>
        <v>211068</v>
      </c>
      <c r="CP31" s="602">
        <f>CO31/CM31</f>
        <v>0.17007787218132356</v>
      </c>
      <c r="CQ31" s="653">
        <v>78000</v>
      </c>
      <c r="CR31" s="603">
        <v>99658.273076923069</v>
      </c>
      <c r="CS31" s="603"/>
      <c r="CT31" s="603">
        <v>147101.18634615382</v>
      </c>
      <c r="CU31" s="603">
        <f>CO31-CQ31-CR31-CS31-CT31</f>
        <v>-113691.45942307689</v>
      </c>
      <c r="CV31" s="604">
        <f>CU31/CM31</f>
        <v>-9.1612188981116061E-2</v>
      </c>
      <c r="CW31" s="129">
        <v>10</v>
      </c>
      <c r="CX31" s="130">
        <v>1029940</v>
      </c>
      <c r="CY31" s="130">
        <v>1287296</v>
      </c>
      <c r="CZ31" s="130"/>
      <c r="DA31" s="605">
        <f t="shared" si="334"/>
        <v>257356</v>
      </c>
      <c r="DB31" s="114">
        <f>DA31/CY31</f>
        <v>0.1999198319578403</v>
      </c>
      <c r="DC31" s="138"/>
      <c r="DD31" s="606">
        <v>113817.95833333333</v>
      </c>
      <c r="DE31" s="130"/>
      <c r="DF31" s="130">
        <v>121185.01354166666</v>
      </c>
      <c r="DG31" s="128">
        <f>DA31-DC31-DD31-DE31-DF31</f>
        <v>22353.028125000026</v>
      </c>
      <c r="DH31" s="169">
        <f>DG31/CY31</f>
        <v>1.7364326561257106E-2</v>
      </c>
      <c r="DI31" s="204">
        <f>(BY31+CK31+CW31)/3</f>
        <v>10</v>
      </c>
      <c r="DJ31" s="202">
        <f>CA31+CM31+CY31</f>
        <v>3788684</v>
      </c>
      <c r="DK31" s="202">
        <f>CC31+CO31+DA31</f>
        <v>698864</v>
      </c>
      <c r="DL31" s="119">
        <f>DK31/DJ31</f>
        <v>0.18446088404311364</v>
      </c>
      <c r="DM31" s="202">
        <f>CI31+CU31+DG31</f>
        <v>-170508.48899038456</v>
      </c>
      <c r="DN31" s="119">
        <f>DM31/DJ31</f>
        <v>-4.5004674179843072E-2</v>
      </c>
      <c r="DO31" s="607">
        <f>CW31-AG31</f>
        <v>0</v>
      </c>
      <c r="DP31" s="137">
        <f>CX31-AH31</f>
        <v>0</v>
      </c>
      <c r="DQ31" s="137">
        <f>CY31-AI31</f>
        <v>15626</v>
      </c>
      <c r="DR31" s="137">
        <f>DA31-AK31</f>
        <v>15626</v>
      </c>
      <c r="DS31" s="135">
        <f>DO31/AG31</f>
        <v>0</v>
      </c>
      <c r="DT31" s="135">
        <f>DP31/AI31</f>
        <v>0</v>
      </c>
      <c r="DU31" s="135">
        <f>DQ31/AK31</f>
        <v>6.4642369585901624E-2</v>
      </c>
      <c r="DV31" s="151">
        <f>DR31/AQ31</f>
        <v>0.2559610610493514</v>
      </c>
      <c r="DW31" s="607">
        <f>CW31-CK31</f>
        <v>0</v>
      </c>
      <c r="DX31" s="608">
        <f>CY31-CM31</f>
        <v>46288</v>
      </c>
      <c r="DY31" s="608">
        <f>DA31-CO31</f>
        <v>46288</v>
      </c>
      <c r="DZ31" s="608">
        <f>DG31-CU31</f>
        <v>136044.4875480769</v>
      </c>
      <c r="EA31" s="135">
        <f>DW31/CK31</f>
        <v>0</v>
      </c>
      <c r="EB31" s="135">
        <f>DX31/CM31</f>
        <v>3.7298712014749304E-2</v>
      </c>
      <c r="EC31" s="135">
        <f>DY31/CO31</f>
        <v>0.21930373149885346</v>
      </c>
      <c r="ED31" s="151">
        <f>DZ31/CU31</f>
        <v>-1.196611321891984</v>
      </c>
      <c r="EE31" s="129">
        <v>8</v>
      </c>
      <c r="EF31" s="130">
        <v>868092</v>
      </c>
      <c r="EG31" s="130">
        <v>1000524</v>
      </c>
      <c r="EH31" s="130">
        <v>47272</v>
      </c>
      <c r="EI31" s="605">
        <f t="shared" si="358"/>
        <v>85160</v>
      </c>
      <c r="EJ31" s="114">
        <f>EI31/EG31</f>
        <v>8.5115399530645938E-2</v>
      </c>
      <c r="EK31" s="138">
        <v>0</v>
      </c>
      <c r="EL31" s="606">
        <v>0</v>
      </c>
      <c r="EM31" s="130">
        <v>0</v>
      </c>
      <c r="EN31" s="130">
        <v>0</v>
      </c>
      <c r="EO31" s="128">
        <f>EI31-EK31-EL31-EM31-EN31</f>
        <v>85160</v>
      </c>
      <c r="EP31" s="114">
        <f>EO31/EG31</f>
        <v>8.5115399530645938E-2</v>
      </c>
      <c r="EQ31" s="129">
        <v>8</v>
      </c>
      <c r="ER31" s="595">
        <v>872407</v>
      </c>
      <c r="ES31" s="595">
        <v>997756</v>
      </c>
      <c r="ET31" s="130">
        <v>0</v>
      </c>
      <c r="EU31" s="134">
        <f t="shared" si="362"/>
        <v>125349</v>
      </c>
      <c r="EV31" s="114">
        <f>EU31/ES31</f>
        <v>0.1256309157749991</v>
      </c>
      <c r="EW31" s="138">
        <v>0</v>
      </c>
      <c r="EX31" s="606">
        <v>0</v>
      </c>
      <c r="EY31" s="130">
        <v>0</v>
      </c>
      <c r="EZ31" s="128">
        <v>0</v>
      </c>
      <c r="FA31" s="128">
        <f>EU31-EW31-EX31-EY31-EZ31</f>
        <v>125349</v>
      </c>
      <c r="FB31" s="114">
        <f>FA31/ES31</f>
        <v>0.1256309157749991</v>
      </c>
      <c r="FC31" s="609">
        <f>EQ31-AG31</f>
        <v>-2</v>
      </c>
      <c r="FD31" s="610">
        <f>ES31-AI31</f>
        <v>-273914</v>
      </c>
      <c r="FE31" s="610">
        <f>EU31-AK31</f>
        <v>-116381</v>
      </c>
      <c r="FF31" s="610">
        <f>FA31-AQ31</f>
        <v>64300.651724137926</v>
      </c>
      <c r="FG31" s="611">
        <f>FC31/AG31</f>
        <v>-0.2</v>
      </c>
      <c r="FH31" s="611">
        <f>FD31/AI31</f>
        <v>-0.21539707628551433</v>
      </c>
      <c r="FI31" s="611">
        <f>FE31/AK31</f>
        <v>-0.48145037852149092</v>
      </c>
      <c r="FJ31" s="612">
        <f>FF31/AQ31</f>
        <v>1.053274225104003</v>
      </c>
      <c r="FK31" s="133">
        <v>4</v>
      </c>
      <c r="FL31" s="134">
        <v>402764</v>
      </c>
      <c r="FM31" s="134">
        <v>407229</v>
      </c>
      <c r="FN31" s="134">
        <v>156615</v>
      </c>
      <c r="FO31" s="134">
        <f t="shared" si="374"/>
        <v>-152150</v>
      </c>
      <c r="FP31" s="135">
        <f>FO31/FM31</f>
        <v>-0.37362270368760575</v>
      </c>
      <c r="FQ31" s="133"/>
      <c r="FR31" s="134"/>
      <c r="FS31" s="134"/>
      <c r="FT31" s="191">
        <f>FO31-SUM(FQ31:FS31)</f>
        <v>-152150</v>
      </c>
      <c r="FU31" s="151">
        <f>FT31/FM31</f>
        <v>-0.37362270368760575</v>
      </c>
      <c r="FV31" s="190">
        <f t="shared" ref="FV31:FX33" si="502">FK31-AG31</f>
        <v>-6</v>
      </c>
      <c r="FW31" s="191">
        <f t="shared" si="502"/>
        <v>-627176</v>
      </c>
      <c r="FX31" s="191">
        <f t="shared" si="502"/>
        <v>-864441</v>
      </c>
      <c r="FY31" s="191">
        <f>FO31-AK31</f>
        <v>-393880</v>
      </c>
      <c r="FZ31" s="191">
        <f>FT31-AQ31</f>
        <v>-213198.34827586208</v>
      </c>
      <c r="GA31" s="135">
        <f>FV31/AG31</f>
        <v>-0.6</v>
      </c>
      <c r="GB31" s="135">
        <f>FX31/AI31</f>
        <v>-0.67976833612493803</v>
      </c>
      <c r="GC31" s="135">
        <f>FY31/AK31</f>
        <v>-1.6294212551193481</v>
      </c>
      <c r="GD31" s="151">
        <f>FZ31/AQ31</f>
        <v>-3.4922869217111749</v>
      </c>
      <c r="GE31" s="187">
        <f>(EE31+EQ31+FK31)/3</f>
        <v>6.666666666666667</v>
      </c>
      <c r="GF31" s="155">
        <f>EG31+ES31+FM31</f>
        <v>2405509</v>
      </c>
      <c r="GG31" s="155">
        <f>EI31+EU31+FO31</f>
        <v>58359</v>
      </c>
      <c r="GH31" s="74">
        <f>GG31/GF31</f>
        <v>2.4260561901867754E-2</v>
      </c>
      <c r="GI31" s="613">
        <f>EO31+FA31+FT31</f>
        <v>58359</v>
      </c>
      <c r="GJ31" s="187">
        <f t="shared" ref="GJ31:GL33" si="503">GE31-DI31</f>
        <v>-3.333333333333333</v>
      </c>
      <c r="GK31" s="155">
        <f t="shared" si="503"/>
        <v>-1383175</v>
      </c>
      <c r="GL31" s="155">
        <f t="shared" si="503"/>
        <v>-640505</v>
      </c>
      <c r="GM31" s="613">
        <f>GI31-DM31</f>
        <v>228867.48899038456</v>
      </c>
      <c r="GN31" s="133">
        <v>3</v>
      </c>
      <c r="GO31" s="134">
        <v>245034</v>
      </c>
      <c r="GP31" s="134">
        <v>296157</v>
      </c>
      <c r="GQ31" s="134">
        <v>50218</v>
      </c>
      <c r="GR31" s="134">
        <f t="shared" si="392"/>
        <v>905</v>
      </c>
      <c r="GS31" s="135">
        <f>GR31/GP31</f>
        <v>3.0558116134347659E-3</v>
      </c>
      <c r="GT31" s="133">
        <v>0</v>
      </c>
      <c r="GU31" s="134"/>
      <c r="GV31" s="134">
        <v>0</v>
      </c>
      <c r="GW31" s="134"/>
      <c r="GX31" s="190">
        <f>GR31-SUM(GT31:GW31)</f>
        <v>905</v>
      </c>
      <c r="GY31" s="151">
        <f>GX31/GP31</f>
        <v>3.0558116134347659E-3</v>
      </c>
      <c r="GZ31" s="614">
        <v>2</v>
      </c>
      <c r="HA31" s="130">
        <v>242642</v>
      </c>
      <c r="HB31" s="130">
        <v>300816</v>
      </c>
      <c r="HC31" s="130"/>
      <c r="HD31" s="134">
        <f t="shared" si="396"/>
        <v>58174</v>
      </c>
      <c r="HE31" s="151">
        <f>HD31/HB31</f>
        <v>0.19338731982341364</v>
      </c>
      <c r="HF31" s="138">
        <v>0</v>
      </c>
      <c r="HG31" s="130"/>
      <c r="HH31" s="130"/>
      <c r="HI31" s="130"/>
      <c r="HJ31" s="197">
        <f>HD31-SUM(HF31:HI31)</f>
        <v>58174</v>
      </c>
      <c r="HK31" s="201">
        <f>HJ31/HB31</f>
        <v>0.19338731982341364</v>
      </c>
      <c r="HL31" s="1365">
        <v>1</v>
      </c>
      <c r="HM31" s="148">
        <v>173135</v>
      </c>
      <c r="HN31" s="148">
        <v>223364</v>
      </c>
      <c r="HO31" s="134"/>
      <c r="HP31" s="615">
        <f t="shared" si="485"/>
        <v>50229</v>
      </c>
      <c r="HQ31" s="201">
        <f>HP31/HN31</f>
        <v>0.22487509177844237</v>
      </c>
      <c r="HR31" s="133">
        <v>153215</v>
      </c>
      <c r="HS31" s="134">
        <v>200000</v>
      </c>
      <c r="HT31" s="134"/>
      <c r="HU31" s="134">
        <v>48772</v>
      </c>
      <c r="HV31" s="191">
        <f>HP31-SUM(HR31:HU31)</f>
        <v>-351758</v>
      </c>
      <c r="HW31" s="151">
        <f>HV31/HN31</f>
        <v>-1.5748195770133055</v>
      </c>
      <c r="HX31" s="414">
        <v>1</v>
      </c>
      <c r="HY31" s="241">
        <f t="shared" si="401"/>
        <v>820337</v>
      </c>
      <c r="HZ31" s="415">
        <f t="shared" si="402"/>
        <v>109308</v>
      </c>
      <c r="IA31" s="241"/>
      <c r="IB31" s="415">
        <f t="shared" si="403"/>
        <v>-292679</v>
      </c>
      <c r="IC31" s="141"/>
      <c r="ID31" s="642">
        <v>1</v>
      </c>
      <c r="IE31" s="141">
        <f t="shared" si="404"/>
        <v>10856222</v>
      </c>
      <c r="IF31" s="141">
        <f t="shared" si="405"/>
        <v>1618403</v>
      </c>
      <c r="IG31" s="74">
        <f>IF31/IE31</f>
        <v>0.14907607821579183</v>
      </c>
      <c r="IH31" s="1507"/>
      <c r="II31" s="69"/>
      <c r="IJ31" s="133">
        <v>1</v>
      </c>
      <c r="IK31" s="134">
        <v>173135</v>
      </c>
      <c r="IL31" s="134">
        <v>223364</v>
      </c>
      <c r="IM31" s="134">
        <v>0</v>
      </c>
      <c r="IN31" s="133">
        <f>IL31-(IK31+IM31)</f>
        <v>50229</v>
      </c>
      <c r="IO31" s="151">
        <f>IN31/IL31</f>
        <v>0.22487509177844237</v>
      </c>
      <c r="IP31" s="133">
        <v>0</v>
      </c>
      <c r="IQ31" s="134">
        <v>0</v>
      </c>
      <c r="IR31" s="134">
        <v>50000</v>
      </c>
      <c r="IS31" s="190">
        <f>IN31-SUM(IP31:IR31)</f>
        <v>229</v>
      </c>
      <c r="IT31" s="151">
        <f>IS31/IL31</f>
        <v>1.0252323561540802E-3</v>
      </c>
      <c r="IU31" s="621">
        <v>1</v>
      </c>
      <c r="IV31" s="358">
        <v>173135</v>
      </c>
      <c r="IW31" s="358">
        <v>223364</v>
      </c>
      <c r="IX31" s="134">
        <v>26633</v>
      </c>
      <c r="IY31" s="133">
        <f t="shared" si="411"/>
        <v>23596</v>
      </c>
      <c r="IZ31" s="151">
        <f t="shared" si="412"/>
        <v>0.10563922565856629</v>
      </c>
      <c r="JA31" s="133">
        <v>0</v>
      </c>
      <c r="JB31" s="134">
        <v>0</v>
      </c>
      <c r="JC31" s="134">
        <v>0</v>
      </c>
      <c r="JD31" s="190">
        <f>IY31-SUM(JA31:JC31)</f>
        <v>23596</v>
      </c>
      <c r="JE31" s="151">
        <f>JD31/IW31</f>
        <v>0.10563922565856629</v>
      </c>
      <c r="JF31" s="621">
        <v>1</v>
      </c>
      <c r="JG31" s="358">
        <v>173135</v>
      </c>
      <c r="JH31" s="358">
        <v>223364</v>
      </c>
      <c r="JI31" s="134"/>
      <c r="JJ31" s="133">
        <f t="shared" si="415"/>
        <v>50229</v>
      </c>
      <c r="JK31" s="151">
        <f t="shared" si="416"/>
        <v>0.22487509177844237</v>
      </c>
      <c r="JL31" s="133">
        <v>0</v>
      </c>
      <c r="JM31" s="134">
        <v>0</v>
      </c>
      <c r="JN31" s="134">
        <v>0</v>
      </c>
      <c r="JO31" s="190">
        <f t="shared" si="417"/>
        <v>50229</v>
      </c>
      <c r="JP31" s="151">
        <f t="shared" si="418"/>
        <v>0.22487509177844237</v>
      </c>
      <c r="JQ31" s="621">
        <v>1</v>
      </c>
      <c r="JR31" s="191">
        <f t="shared" si="249"/>
        <v>670092</v>
      </c>
      <c r="JS31" s="191">
        <f t="shared" si="250"/>
        <v>124054</v>
      </c>
      <c r="JT31" s="151">
        <f t="shared" si="419"/>
        <v>0.18512980307181701</v>
      </c>
      <c r="JU31" s="621">
        <v>1</v>
      </c>
      <c r="JV31" s="358">
        <v>173135</v>
      </c>
      <c r="JW31" s="358">
        <v>223364</v>
      </c>
      <c r="JX31" s="134"/>
      <c r="JY31" s="133">
        <f t="shared" si="420"/>
        <v>50229</v>
      </c>
      <c r="JZ31" s="151">
        <f t="shared" si="421"/>
        <v>0.22487509177844237</v>
      </c>
      <c r="KA31" s="133">
        <v>0</v>
      </c>
      <c r="KB31" s="134">
        <v>25000</v>
      </c>
      <c r="KC31" s="134">
        <v>0</v>
      </c>
      <c r="KD31" s="190">
        <f t="shared" si="422"/>
        <v>25229</v>
      </c>
      <c r="KE31" s="151">
        <f t="shared" si="423"/>
        <v>0.11295016206729822</v>
      </c>
      <c r="KF31" s="621">
        <v>1</v>
      </c>
      <c r="KG31" s="358">
        <v>173135</v>
      </c>
      <c r="KH31" s="358">
        <v>216663.08</v>
      </c>
      <c r="KI31" s="134">
        <v>0</v>
      </c>
      <c r="KJ31" s="133">
        <f t="shared" si="424"/>
        <v>43528.079999999987</v>
      </c>
      <c r="KK31" s="151">
        <f t="shared" si="425"/>
        <v>0.20090215647262094</v>
      </c>
      <c r="KL31" s="133"/>
      <c r="KM31" s="134">
        <v>0</v>
      </c>
      <c r="KN31" s="134">
        <v>25000</v>
      </c>
      <c r="KO31" s="190">
        <f t="shared" si="426"/>
        <v>18528.079999999987</v>
      </c>
      <c r="KP31" s="151">
        <f t="shared" si="427"/>
        <v>8.5515630997214612E-2</v>
      </c>
      <c r="KQ31" s="621">
        <v>1</v>
      </c>
      <c r="KR31" s="358">
        <v>173135</v>
      </c>
      <c r="KS31" s="358">
        <v>216663.08</v>
      </c>
      <c r="KT31" s="134"/>
      <c r="KU31" s="133">
        <f t="shared" si="428"/>
        <v>43528.079999999987</v>
      </c>
      <c r="KV31" s="151">
        <f t="shared" si="429"/>
        <v>0.20090215647262094</v>
      </c>
      <c r="KW31" s="133"/>
      <c r="KX31" s="134">
        <v>0</v>
      </c>
      <c r="KY31" s="134">
        <v>25000</v>
      </c>
      <c r="KZ31" s="190">
        <f t="shared" si="430"/>
        <v>18528.079999999987</v>
      </c>
      <c r="LA31" s="151">
        <f t="shared" si="431"/>
        <v>8.5515630997214612E-2</v>
      </c>
      <c r="LB31" s="402">
        <v>1</v>
      </c>
      <c r="LC31" s="191">
        <f t="shared" si="432"/>
        <v>656690.15999999992</v>
      </c>
      <c r="LD31" s="191">
        <f t="shared" si="433"/>
        <v>137285.15999999997</v>
      </c>
      <c r="LE31" s="151">
        <f t="shared" si="434"/>
        <v>0.20905621610045139</v>
      </c>
      <c r="LF31" s="226">
        <f t="shared" si="435"/>
        <v>0</v>
      </c>
      <c r="LG31" s="128">
        <f t="shared" si="436"/>
        <v>-13401.840000000084</v>
      </c>
      <c r="LH31" s="139">
        <f t="shared" si="437"/>
        <v>13231.159999999974</v>
      </c>
      <c r="LI31" s="442">
        <f t="shared" si="438"/>
        <v>0</v>
      </c>
      <c r="LJ31" s="442">
        <f t="shared" si="439"/>
        <v>-2.0000000000000125E-2</v>
      </c>
      <c r="LK31" s="106">
        <f t="shared" si="440"/>
        <v>0.10665645605945777</v>
      </c>
      <c r="LL31" s="621">
        <v>1</v>
      </c>
      <c r="LM31" s="358">
        <v>173135</v>
      </c>
      <c r="LN31" s="358">
        <v>209962.16</v>
      </c>
      <c r="LO31" s="134"/>
      <c r="LP31" s="133">
        <f t="shared" si="441"/>
        <v>36827.160000000003</v>
      </c>
      <c r="LQ31" s="151">
        <f t="shared" si="442"/>
        <v>0.17539903380685359</v>
      </c>
      <c r="LR31" s="133"/>
      <c r="LS31" s="134">
        <v>25000</v>
      </c>
      <c r="LT31" s="134">
        <v>25000</v>
      </c>
      <c r="LU31" s="190">
        <f t="shared" si="443"/>
        <v>-13172.839999999997</v>
      </c>
      <c r="LV31" s="151">
        <f t="shared" si="444"/>
        <v>-6.2739114514729688E-2</v>
      </c>
      <c r="LW31" s="134">
        <v>1</v>
      </c>
      <c r="LX31" s="134">
        <v>173135</v>
      </c>
      <c r="LY31" s="134">
        <v>216663.08</v>
      </c>
      <c r="LZ31" s="134"/>
      <c r="MA31" s="133">
        <f t="shared" si="445"/>
        <v>43528.079999999987</v>
      </c>
      <c r="MB31" s="151">
        <f t="shared" si="446"/>
        <v>0.20090215647262094</v>
      </c>
      <c r="MC31" s="134"/>
      <c r="MD31" s="134">
        <v>25000</v>
      </c>
      <c r="ME31" s="134">
        <v>25000</v>
      </c>
      <c r="MF31" s="190">
        <f t="shared" si="447"/>
        <v>-6471.9200000000128</v>
      </c>
      <c r="MG31" s="151">
        <f t="shared" si="448"/>
        <v>-2.9870894478191731E-2</v>
      </c>
      <c r="MH31" s="134">
        <v>1</v>
      </c>
      <c r="MI31" s="134">
        <v>173135</v>
      </c>
      <c r="MJ31" s="134">
        <v>209962.16</v>
      </c>
      <c r="MK31" s="134"/>
      <c r="ML31" s="133">
        <f t="shared" si="449"/>
        <v>36827.160000000003</v>
      </c>
      <c r="MM31" s="151">
        <f t="shared" si="450"/>
        <v>0.17539903380685359</v>
      </c>
      <c r="MN31" s="134">
        <v>0</v>
      </c>
      <c r="MO31" s="134">
        <v>0</v>
      </c>
      <c r="MP31" s="134">
        <v>25000</v>
      </c>
      <c r="MQ31" s="190">
        <f t="shared" si="451"/>
        <v>11827.160000000003</v>
      </c>
      <c r="MR31" s="151">
        <f t="shared" si="452"/>
        <v>5.6329959646061953E-2</v>
      </c>
      <c r="MS31" s="1472">
        <v>1</v>
      </c>
      <c r="MT31" s="118">
        <f t="shared" si="453"/>
        <v>636587.4</v>
      </c>
      <c r="MU31" s="118">
        <f t="shared" si="454"/>
        <v>117182.39999999999</v>
      </c>
      <c r="MV31" s="135">
        <f t="shared" si="455"/>
        <v>0.18407904397730773</v>
      </c>
      <c r="MW31" s="133">
        <f t="shared" si="456"/>
        <v>0</v>
      </c>
      <c r="MX31" s="134">
        <f t="shared" si="457"/>
        <v>-20102.759999999893</v>
      </c>
      <c r="MY31" s="134">
        <f t="shared" si="458"/>
        <v>-20102.75999999998</v>
      </c>
      <c r="MZ31" s="135">
        <f t="shared" si="459"/>
        <v>0</v>
      </c>
      <c r="NA31" s="135">
        <f t="shared" si="460"/>
        <v>-3.0612244897959023E-2</v>
      </c>
      <c r="NB31" s="151">
        <f t="shared" si="461"/>
        <v>-0.14643068486062139</v>
      </c>
      <c r="NC31" s="134">
        <v>1</v>
      </c>
      <c r="ND31" s="134">
        <v>199099</v>
      </c>
      <c r="NE31" s="134">
        <v>241455</v>
      </c>
      <c r="NF31" s="134"/>
      <c r="NG31" s="133">
        <f t="shared" si="462"/>
        <v>42356</v>
      </c>
      <c r="NH31" s="151">
        <f t="shared" si="463"/>
        <v>0.17541985048973929</v>
      </c>
      <c r="NI31" s="134">
        <v>0</v>
      </c>
      <c r="NJ31" s="134">
        <v>10000</v>
      </c>
      <c r="NK31" s="134">
        <v>25000</v>
      </c>
      <c r="NL31" s="190">
        <f t="shared" si="464"/>
        <v>7356</v>
      </c>
      <c r="NM31" s="135">
        <f t="shared" si="465"/>
        <v>3.0465304093930546E-2</v>
      </c>
      <c r="NN31" s="1563">
        <v>1</v>
      </c>
      <c r="NO31" s="134">
        <v>199099</v>
      </c>
      <c r="NP31" s="134">
        <v>238886.31</v>
      </c>
      <c r="NQ31" s="134">
        <v>0</v>
      </c>
      <c r="NR31" s="133">
        <f t="shared" si="466"/>
        <v>39787.31</v>
      </c>
      <c r="NS31" s="151">
        <f t="shared" si="467"/>
        <v>0.16655332823383642</v>
      </c>
      <c r="NT31" s="134">
        <v>0</v>
      </c>
      <c r="NU31" s="134">
        <v>10000</v>
      </c>
      <c r="NV31" s="134">
        <v>25000</v>
      </c>
      <c r="NW31" s="190">
        <f t="shared" si="468"/>
        <v>4787.3099999999977</v>
      </c>
      <c r="NX31" s="135">
        <f t="shared" si="469"/>
        <v>2.0040118665653122E-2</v>
      </c>
      <c r="NY31" s="1563">
        <v>1</v>
      </c>
      <c r="NZ31" s="134">
        <v>199099</v>
      </c>
      <c r="OA31" s="134">
        <v>238886.31</v>
      </c>
      <c r="OB31" s="134">
        <v>0</v>
      </c>
      <c r="OC31" s="133">
        <f t="shared" si="470"/>
        <v>39787.31</v>
      </c>
      <c r="OD31" s="151">
        <f t="shared" si="471"/>
        <v>0.16655332823383642</v>
      </c>
      <c r="OE31" s="134">
        <v>0</v>
      </c>
      <c r="OF31" s="134">
        <v>10000</v>
      </c>
      <c r="OG31" s="134">
        <v>25000</v>
      </c>
      <c r="OH31" s="190">
        <f t="shared" si="472"/>
        <v>4787.3099999999977</v>
      </c>
      <c r="OI31" s="5380">
        <f t="shared" si="473"/>
        <v>2.0040118665653122E-2</v>
      </c>
      <c r="OJ31" s="69">
        <v>1</v>
      </c>
      <c r="OK31" s="155">
        <f t="shared" si="474"/>
        <v>2632368.1800000002</v>
      </c>
      <c r="OL31" s="155">
        <f t="shared" si="475"/>
        <v>450223.17999999993</v>
      </c>
      <c r="OM31" s="74">
        <f t="shared" si="476"/>
        <v>0.17103351401246611</v>
      </c>
      <c r="ON31" s="155">
        <f t="shared" si="477"/>
        <v>95223.179999999964</v>
      </c>
      <c r="OO31" s="70"/>
      <c r="OP31" s="69"/>
      <c r="OQ31" s="2008">
        <v>1</v>
      </c>
      <c r="OR31" s="208">
        <v>199099</v>
      </c>
      <c r="OS31" s="208">
        <v>256867</v>
      </c>
      <c r="OT31" s="134"/>
      <c r="OU31" s="133">
        <f t="shared" si="255"/>
        <v>57768</v>
      </c>
      <c r="OV31" s="94">
        <f t="shared" si="256"/>
        <v>0.22489459525746788</v>
      </c>
      <c r="OW31" s="133">
        <v>0</v>
      </c>
      <c r="OX31" s="134">
        <v>0</v>
      </c>
      <c r="OY31" s="134">
        <v>50000</v>
      </c>
      <c r="OZ31" s="190">
        <f t="shared" si="257"/>
        <v>7768</v>
      </c>
      <c r="PA31" s="5361">
        <f t="shared" si="258"/>
        <v>3.0241331116881497E-2</v>
      </c>
      <c r="PB31" s="5321"/>
      <c r="PC31" s="358"/>
      <c r="PD31" s="358"/>
      <c r="PE31" s="134"/>
      <c r="PF31" s="133">
        <f t="shared" si="259"/>
        <v>0</v>
      </c>
      <c r="PG31" s="94">
        <v>0</v>
      </c>
      <c r="PH31" s="134">
        <v>0</v>
      </c>
      <c r="PI31" s="134">
        <v>0</v>
      </c>
      <c r="PJ31" s="134">
        <v>0</v>
      </c>
      <c r="PK31" s="190">
        <f>PF31-SUM(PH31:PJ31)</f>
        <v>0</v>
      </c>
      <c r="PL31" s="135">
        <v>0</v>
      </c>
      <c r="PM31" s="3863">
        <v>1</v>
      </c>
      <c r="PN31" s="358">
        <v>199099</v>
      </c>
      <c r="PO31" s="358">
        <v>256867</v>
      </c>
      <c r="PP31" s="134"/>
      <c r="PQ31" s="6293">
        <f t="shared" si="263"/>
        <v>57768</v>
      </c>
      <c r="PR31" s="6295">
        <f t="shared" si="264"/>
        <v>0.22489459525746788</v>
      </c>
      <c r="PS31" s="134">
        <v>0</v>
      </c>
      <c r="PT31" s="134">
        <v>50000</v>
      </c>
      <c r="PU31" s="134">
        <v>0</v>
      </c>
      <c r="PV31" s="190">
        <f t="shared" si="265"/>
        <v>7768</v>
      </c>
      <c r="PW31" s="5380">
        <f t="shared" si="266"/>
        <v>3.0241331116881497E-2</v>
      </c>
      <c r="PX31" s="5321">
        <v>1</v>
      </c>
      <c r="PY31" s="191">
        <f t="shared" si="267"/>
        <v>513734</v>
      </c>
      <c r="PZ31" s="191">
        <f t="shared" si="268"/>
        <v>115536</v>
      </c>
      <c r="QA31" s="135">
        <f t="shared" si="269"/>
        <v>0.22489459525746788</v>
      </c>
      <c r="QB31" s="3863">
        <v>1</v>
      </c>
      <c r="QC31" s="358">
        <v>199099</v>
      </c>
      <c r="QD31" s="358">
        <v>256867</v>
      </c>
      <c r="QE31" s="134"/>
      <c r="QF31" s="6293">
        <f t="shared" si="270"/>
        <v>57768</v>
      </c>
      <c r="QG31" s="6295">
        <f t="shared" si="271"/>
        <v>0.22489459525746788</v>
      </c>
      <c r="QH31" s="134">
        <v>0</v>
      </c>
      <c r="QI31" s="134"/>
      <c r="QJ31" s="134">
        <v>0</v>
      </c>
      <c r="QK31" s="190">
        <f t="shared" si="272"/>
        <v>57768</v>
      </c>
      <c r="QL31" s="5380">
        <f t="shared" si="273"/>
        <v>0.22489459525746788</v>
      </c>
      <c r="QM31" s="3863">
        <v>1</v>
      </c>
      <c r="QN31" s="358">
        <v>199099</v>
      </c>
      <c r="QO31" s="358">
        <v>256867</v>
      </c>
      <c r="QP31" s="134">
        <v>0</v>
      </c>
      <c r="QQ31" s="133">
        <f t="shared" si="292"/>
        <v>57768</v>
      </c>
      <c r="QR31" s="151">
        <f t="shared" si="293"/>
        <v>0.22489459525746788</v>
      </c>
      <c r="QS31" s="133">
        <v>0</v>
      </c>
      <c r="QT31" s="134">
        <v>53190</v>
      </c>
      <c r="QU31" s="134">
        <v>0</v>
      </c>
      <c r="QV31" s="190">
        <f t="shared" si="497"/>
        <v>4578</v>
      </c>
      <c r="QW31" s="5380">
        <f t="shared" ref="QW31:QW37" si="504">QV31/QO31</f>
        <v>1.7822452864712089E-2</v>
      </c>
      <c r="QX31" s="3863">
        <v>1</v>
      </c>
      <c r="QY31" s="622">
        <f>199099+(256867*0.75%)</f>
        <v>201025.5025</v>
      </c>
      <c r="QZ31" s="358">
        <v>256867</v>
      </c>
      <c r="RA31" s="2437"/>
      <c r="RB31" s="133">
        <f t="shared" si="274"/>
        <v>55841.497499999998</v>
      </c>
      <c r="RC31" s="151">
        <f t="shared" si="492"/>
        <v>0.21739459525746788</v>
      </c>
      <c r="RD31" s="133">
        <v>0</v>
      </c>
      <c r="RE31" s="134">
        <v>0</v>
      </c>
      <c r="RF31" s="134">
        <v>0</v>
      </c>
      <c r="RG31" s="190">
        <f t="shared" si="296"/>
        <v>55841.497499999998</v>
      </c>
      <c r="RH31" s="5380">
        <f t="shared" si="297"/>
        <v>0.21739459525746788</v>
      </c>
      <c r="RI31" s="5376"/>
      <c r="RJ31" s="191">
        <f t="shared" si="275"/>
        <v>770601</v>
      </c>
      <c r="RK31" s="191">
        <f>RB31+QQ31+QF31</f>
        <v>171377.4975</v>
      </c>
      <c r="RL31" s="5380">
        <f t="shared" si="486"/>
        <v>0.22239459525746788</v>
      </c>
      <c r="RM31" s="1562">
        <f t="shared" si="276"/>
        <v>-1</v>
      </c>
      <c r="RN31" s="128">
        <f t="shared" si="277"/>
        <v>256867</v>
      </c>
      <c r="RO31" s="139">
        <f t="shared" si="278"/>
        <v>55841.497499999998</v>
      </c>
      <c r="RP31" s="442">
        <f t="shared" si="279"/>
        <v>-1</v>
      </c>
      <c r="RQ31" s="442">
        <f t="shared" si="280"/>
        <v>0.5</v>
      </c>
      <c r="RR31" s="6339">
        <f t="shared" si="281"/>
        <v>0.48332552191524719</v>
      </c>
      <c r="RS31" s="698">
        <v>1</v>
      </c>
      <c r="RT31" s="208">
        <v>199099</v>
      </c>
      <c r="RU31" s="395">
        <v>256867</v>
      </c>
      <c r="RV31" s="4269">
        <v>0</v>
      </c>
      <c r="RW31" s="133">
        <f t="shared" si="498"/>
        <v>57768</v>
      </c>
      <c r="RX31" s="151">
        <f t="shared" si="499"/>
        <v>0.22489459525746788</v>
      </c>
      <c r="RY31" s="133">
        <v>0</v>
      </c>
      <c r="RZ31" s="134">
        <v>0</v>
      </c>
      <c r="SA31" s="134">
        <v>30000</v>
      </c>
      <c r="SB31" s="188">
        <f t="shared" si="282"/>
        <v>27768</v>
      </c>
      <c r="SC31" s="5380">
        <f t="shared" si="232"/>
        <v>0.10810263677311605</v>
      </c>
      <c r="SD31" s="110">
        <v>1</v>
      </c>
      <c r="SE31" s="208">
        <v>199099</v>
      </c>
      <c r="SF31" s="395">
        <v>223474</v>
      </c>
      <c r="SG31" s="772">
        <v>0</v>
      </c>
      <c r="SH31" s="6361">
        <f t="shared" si="493"/>
        <v>24375</v>
      </c>
      <c r="SI31" s="6363">
        <f t="shared" si="494"/>
        <v>0.10907309127683758</v>
      </c>
      <c r="SJ31" s="134">
        <v>0</v>
      </c>
      <c r="SK31" s="134">
        <v>0</v>
      </c>
      <c r="SL31" s="134">
        <v>0</v>
      </c>
      <c r="SM31" s="188">
        <f t="shared" si="289"/>
        <v>24375</v>
      </c>
      <c r="SN31" s="5389">
        <f t="shared" si="290"/>
        <v>0.10907309127683758</v>
      </c>
      <c r="SO31" s="134">
        <v>1</v>
      </c>
      <c r="SP31" s="134">
        <v>199099</v>
      </c>
      <c r="SQ31" s="134">
        <v>223474</v>
      </c>
      <c r="SR31" s="134">
        <v>48630</v>
      </c>
      <c r="SS31" s="6361">
        <f t="shared" si="283"/>
        <v>-24255</v>
      </c>
      <c r="ST31" s="6363">
        <f t="shared" si="301"/>
        <v>-0.10853611605824391</v>
      </c>
      <c r="SU31" s="134">
        <v>0</v>
      </c>
      <c r="SV31" s="134"/>
      <c r="SW31" s="134">
        <v>0</v>
      </c>
      <c r="SX31" s="190">
        <f t="shared" si="302"/>
        <v>-24255</v>
      </c>
      <c r="SY31" s="5380">
        <f t="shared" si="303"/>
        <v>-0.10853611605824391</v>
      </c>
      <c r="SZ31" s="6270"/>
      <c r="TA31" s="118">
        <f t="shared" si="478"/>
        <v>703815</v>
      </c>
      <c r="TB31" s="118">
        <f t="shared" si="479"/>
        <v>57888</v>
      </c>
      <c r="TC31" s="5380">
        <f t="shared" si="487"/>
        <v>8.2248886426120507E-2</v>
      </c>
      <c r="TD31" s="1563"/>
      <c r="TE31" s="134">
        <v>0</v>
      </c>
      <c r="TF31" s="134">
        <v>0</v>
      </c>
      <c r="TG31" s="134"/>
      <c r="TH31" s="133">
        <f t="shared" si="495"/>
        <v>0</v>
      </c>
      <c r="TI31" s="151">
        <v>0</v>
      </c>
      <c r="TJ31" s="134">
        <v>0</v>
      </c>
      <c r="TK31" s="134">
        <v>0</v>
      </c>
      <c r="TL31" s="134">
        <v>0</v>
      </c>
      <c r="TM31" s="190">
        <f t="shared" si="500"/>
        <v>0</v>
      </c>
      <c r="TN31" s="5380">
        <v>0</v>
      </c>
      <c r="TO31" s="134"/>
      <c r="TP31" s="134"/>
      <c r="TQ31" s="134"/>
      <c r="TR31" s="134"/>
      <c r="TS31" s="133">
        <f t="shared" si="480"/>
        <v>0</v>
      </c>
      <c r="TT31" s="151" t="e">
        <f t="shared" si="488"/>
        <v>#DIV/0!</v>
      </c>
      <c r="TU31" s="134"/>
      <c r="TV31" s="134"/>
      <c r="TW31" s="134"/>
      <c r="TX31" s="190">
        <f t="shared" ref="TX31:TX40" si="505">TS31-SUM(TU31:TW31)</f>
        <v>0</v>
      </c>
      <c r="TY31" s="135" t="e">
        <f t="shared" si="489"/>
        <v>#DIV/0!</v>
      </c>
      <c r="TZ31" s="1563"/>
      <c r="UA31" s="134"/>
      <c r="UB31" s="134"/>
      <c r="UC31" s="134"/>
      <c r="UD31" s="133">
        <f t="shared" si="482"/>
        <v>0</v>
      </c>
      <c r="UE31" s="151" t="e">
        <f t="shared" si="490"/>
        <v>#DIV/0!</v>
      </c>
      <c r="UF31" s="134"/>
      <c r="UG31" s="134"/>
      <c r="UH31" s="134"/>
      <c r="UI31" s="190">
        <f t="shared" ref="UI31:UI40" si="506">UD31-SUM(UF31:UH31)</f>
        <v>0</v>
      </c>
      <c r="UJ31" s="5380" t="e">
        <f t="shared" si="491"/>
        <v>#DIV/0!</v>
      </c>
      <c r="UK31" s="5376"/>
      <c r="UL31" s="191">
        <f t="shared" si="284"/>
        <v>1988150</v>
      </c>
      <c r="UM31" s="191">
        <f t="shared" si="285"/>
        <v>344801.4975</v>
      </c>
      <c r="UN31" s="135">
        <f t="shared" si="484"/>
        <v>0.1734283114956115</v>
      </c>
      <c r="UO31" s="191">
        <f t="shared" si="286"/>
        <v>161611.4975</v>
      </c>
      <c r="UP31" s="5380">
        <f t="shared" si="291"/>
        <v>8.1287376455498828E-2</v>
      </c>
    </row>
    <row r="32" spans="1:567" x14ac:dyDescent="0.3">
      <c r="A32" s="5315">
        <v>13</v>
      </c>
      <c r="B32" s="5362" t="s">
        <v>392</v>
      </c>
      <c r="C32" s="578" t="s">
        <v>141</v>
      </c>
      <c r="D32" s="578" t="s">
        <v>140</v>
      </c>
      <c r="E32" s="6278" t="s">
        <v>254</v>
      </c>
      <c r="F32" s="663"/>
      <c r="G32" s="380"/>
      <c r="H32" s="380"/>
      <c r="I32" s="380">
        <v>0</v>
      </c>
      <c r="J32" s="351"/>
      <c r="K32" s="664"/>
      <c r="L32" s="380"/>
      <c r="M32" s="380"/>
      <c r="N32" s="380"/>
      <c r="O32" s="663"/>
      <c r="P32" s="665"/>
      <c r="Q32" s="380"/>
      <c r="R32" s="380"/>
      <c r="S32" s="380"/>
      <c r="T32" s="225"/>
      <c r="U32" s="664"/>
      <c r="V32" s="663"/>
      <c r="W32" s="663"/>
      <c r="X32" s="663"/>
      <c r="Y32" s="663"/>
      <c r="Z32" s="666"/>
      <c r="AA32" s="663"/>
      <c r="AB32" s="663"/>
      <c r="AC32" s="663"/>
      <c r="AD32" s="663"/>
      <c r="AE32" s="582">
        <f t="shared" si="309"/>
        <v>0</v>
      </c>
      <c r="AF32" s="663"/>
      <c r="AG32" s="667"/>
      <c r="AH32" s="668"/>
      <c r="AI32" s="668"/>
      <c r="AJ32" s="668"/>
      <c r="AK32" s="105">
        <f t="shared" si="310"/>
        <v>0</v>
      </c>
      <c r="AL32" s="117"/>
      <c r="AM32" s="129"/>
      <c r="AN32" s="417"/>
      <c r="AO32" s="130"/>
      <c r="AP32" s="130"/>
      <c r="AQ32" s="417"/>
      <c r="AR32" s="116"/>
      <c r="AS32" s="113"/>
      <c r="AT32" s="213"/>
      <c r="AU32" s="417"/>
      <c r="AV32" s="417"/>
      <c r="AW32" s="116"/>
      <c r="AX32" s="669"/>
      <c r="AY32" s="587">
        <f t="shared" si="315"/>
        <v>0</v>
      </c>
      <c r="AZ32" s="587">
        <f t="shared" si="316"/>
        <v>0</v>
      </c>
      <c r="BA32" s="587">
        <f t="shared" si="317"/>
        <v>0</v>
      </c>
      <c r="BB32" s="588"/>
      <c r="BC32" s="1512"/>
      <c r="BD32" s="582"/>
      <c r="BE32" s="582"/>
      <c r="BF32" s="582"/>
      <c r="BG32" s="582">
        <f t="shared" si="319"/>
        <v>0</v>
      </c>
      <c r="BH32" s="589"/>
      <c r="BI32" s="1512"/>
      <c r="BJ32" s="582"/>
      <c r="BK32" s="582"/>
      <c r="BL32" s="582"/>
      <c r="BM32" s="582">
        <f t="shared" si="320"/>
        <v>0</v>
      </c>
      <c r="BN32" s="589"/>
      <c r="BO32" s="590"/>
      <c r="BP32" s="582"/>
      <c r="BQ32" s="582"/>
      <c r="BR32" s="582"/>
      <c r="BS32" s="582">
        <f t="shared" si="321"/>
        <v>0</v>
      </c>
      <c r="BT32" s="591"/>
      <c r="BU32" s="590"/>
      <c r="BV32" s="592">
        <f t="shared" si="323"/>
        <v>0</v>
      </c>
      <c r="BW32" s="592">
        <f t="shared" si="324"/>
        <v>0</v>
      </c>
      <c r="BX32" s="593"/>
      <c r="BY32" s="654"/>
      <c r="BZ32" s="650"/>
      <c r="CA32" s="650"/>
      <c r="CB32" s="650"/>
      <c r="CC32" s="650"/>
      <c r="CD32" s="655"/>
      <c r="CE32" s="670"/>
      <c r="CF32" s="599"/>
      <c r="CG32" s="671"/>
      <c r="CH32" s="599"/>
      <c r="CI32" s="599"/>
      <c r="CJ32" s="597"/>
      <c r="CK32" s="600"/>
      <c r="CL32" s="601"/>
      <c r="CM32" s="601"/>
      <c r="CN32" s="601"/>
      <c r="CO32" s="360">
        <f t="shared" si="330"/>
        <v>0</v>
      </c>
      <c r="CP32" s="602"/>
      <c r="CQ32" s="603"/>
      <c r="CR32" s="603"/>
      <c r="CS32" s="603"/>
      <c r="CT32" s="603"/>
      <c r="CU32" s="603"/>
      <c r="CV32" s="604"/>
      <c r="CW32" s="129"/>
      <c r="CX32" s="130"/>
      <c r="CY32" s="130"/>
      <c r="CZ32" s="130"/>
      <c r="DA32" s="605">
        <f t="shared" si="334"/>
        <v>0</v>
      </c>
      <c r="DB32" s="114"/>
      <c r="DC32" s="138"/>
      <c r="DD32" s="130"/>
      <c r="DE32" s="130"/>
      <c r="DF32" s="130"/>
      <c r="DG32" s="128"/>
      <c r="DH32" s="169"/>
      <c r="DI32" s="204">
        <f>(BY32+CK32+CW32)/3</f>
        <v>0</v>
      </c>
      <c r="DJ32" s="202">
        <f>CA32+CM32+CY32</f>
        <v>0</v>
      </c>
      <c r="DK32" s="202">
        <f>CC32+CO32+DA32</f>
        <v>0</v>
      </c>
      <c r="DL32" s="119"/>
      <c r="DM32" s="202">
        <f>CI32+CU32+DG32</f>
        <v>0</v>
      </c>
      <c r="DN32" s="119"/>
      <c r="DO32" s="607"/>
      <c r="DP32" s="137"/>
      <c r="DQ32" s="137"/>
      <c r="DR32" s="137"/>
      <c r="DS32" s="135"/>
      <c r="DT32" s="135"/>
      <c r="DU32" s="135"/>
      <c r="DV32" s="151"/>
      <c r="DW32" s="607"/>
      <c r="DX32" s="608"/>
      <c r="DY32" s="608"/>
      <c r="DZ32" s="608"/>
      <c r="EA32" s="135"/>
      <c r="EB32" s="135"/>
      <c r="EC32" s="135"/>
      <c r="ED32" s="151"/>
      <c r="EE32" s="129">
        <v>1</v>
      </c>
      <c r="EF32" s="130">
        <v>6878</v>
      </c>
      <c r="EG32" s="130">
        <v>9744</v>
      </c>
      <c r="EH32" s="130"/>
      <c r="EI32" s="605">
        <f t="shared" si="358"/>
        <v>2866</v>
      </c>
      <c r="EJ32" s="114">
        <f>EI32/EG32</f>
        <v>0.2941297208538588</v>
      </c>
      <c r="EK32" s="138"/>
      <c r="EL32" s="606"/>
      <c r="EM32" s="130">
        <v>0</v>
      </c>
      <c r="EN32" s="130"/>
      <c r="EO32" s="128"/>
      <c r="EP32" s="114"/>
      <c r="EQ32" s="129">
        <v>2</v>
      </c>
      <c r="ER32" s="595">
        <v>50506</v>
      </c>
      <c r="ES32" s="595">
        <v>61333</v>
      </c>
      <c r="ET32" s="661"/>
      <c r="EU32" s="134">
        <f t="shared" si="362"/>
        <v>10827</v>
      </c>
      <c r="EV32" s="114">
        <f>EU32/ES32</f>
        <v>0.1765281333050723</v>
      </c>
      <c r="EW32" s="138"/>
      <c r="EX32" s="606"/>
      <c r="EY32" s="130">
        <v>0</v>
      </c>
      <c r="EZ32" s="130"/>
      <c r="FA32" s="128">
        <f>EU32-EW32-EX32-EY32-EZ32</f>
        <v>10827</v>
      </c>
      <c r="FB32" s="114">
        <f>FA32/ES32</f>
        <v>0.1765281333050723</v>
      </c>
      <c r="FC32" s="643">
        <f>EQ32-AG32</f>
        <v>2</v>
      </c>
      <c r="FD32" s="644">
        <f>ES32-AI32</f>
        <v>61333</v>
      </c>
      <c r="FE32" s="644">
        <f>EU32-AK32</f>
        <v>10827</v>
      </c>
      <c r="FF32" s="644">
        <f>FA32-AQ32</f>
        <v>10827</v>
      </c>
      <c r="FG32" s="74">
        <v>1</v>
      </c>
      <c r="FH32" s="74">
        <v>1</v>
      </c>
      <c r="FI32" s="74">
        <v>1</v>
      </c>
      <c r="FJ32" s="73">
        <v>1</v>
      </c>
      <c r="FK32" s="133">
        <v>2</v>
      </c>
      <c r="FL32" s="134">
        <v>50506</v>
      </c>
      <c r="FM32" s="134">
        <v>61333</v>
      </c>
      <c r="FN32" s="134"/>
      <c r="FO32" s="134">
        <f t="shared" si="374"/>
        <v>10827</v>
      </c>
      <c r="FP32" s="135">
        <f>FO32/FM32</f>
        <v>0.1765281333050723</v>
      </c>
      <c r="FQ32" s="133"/>
      <c r="FR32" s="134"/>
      <c r="FS32" s="134"/>
      <c r="FT32" s="191">
        <f>FO32-SUM(FQ32:FS32)</f>
        <v>10827</v>
      </c>
      <c r="FU32" s="151">
        <f>FT32/FM32</f>
        <v>0.1765281333050723</v>
      </c>
      <c r="FV32" s="190">
        <f t="shared" si="502"/>
        <v>2</v>
      </c>
      <c r="FW32" s="191">
        <f t="shared" si="502"/>
        <v>50506</v>
      </c>
      <c r="FX32" s="191">
        <f t="shared" si="502"/>
        <v>61333</v>
      </c>
      <c r="FY32" s="191">
        <f>FO32-AK32</f>
        <v>10827</v>
      </c>
      <c r="FZ32" s="191">
        <f>FT32-AQ32</f>
        <v>10827</v>
      </c>
      <c r="GA32" s="135">
        <v>0</v>
      </c>
      <c r="GB32" s="135">
        <v>0</v>
      </c>
      <c r="GC32" s="135">
        <v>0</v>
      </c>
      <c r="GD32" s="151">
        <v>1</v>
      </c>
      <c r="GE32" s="187">
        <f>(EE32+EQ32+FK32)/3</f>
        <v>1.6666666666666667</v>
      </c>
      <c r="GF32" s="155">
        <f>EG32+ES32+FM32</f>
        <v>132410</v>
      </c>
      <c r="GG32" s="155">
        <f>EI32+EU32+FO32</f>
        <v>24520</v>
      </c>
      <c r="GH32" s="74">
        <f>GG32/GF32</f>
        <v>0.18518238803715731</v>
      </c>
      <c r="GI32" s="613">
        <f>EO32+FA32+FT32</f>
        <v>21654</v>
      </c>
      <c r="GJ32" s="187">
        <f t="shared" si="503"/>
        <v>1.6666666666666667</v>
      </c>
      <c r="GK32" s="155">
        <f t="shared" si="503"/>
        <v>132410</v>
      </c>
      <c r="GL32" s="155">
        <f t="shared" si="503"/>
        <v>24520</v>
      </c>
      <c r="GM32" s="613">
        <f>GI32-DM32</f>
        <v>21654</v>
      </c>
      <c r="GN32" s="133">
        <v>2</v>
      </c>
      <c r="GO32" s="134">
        <v>50506</v>
      </c>
      <c r="GP32" s="134">
        <v>61333</v>
      </c>
      <c r="GQ32" s="134">
        <v>0</v>
      </c>
      <c r="GR32" s="134">
        <f t="shared" si="392"/>
        <v>10827</v>
      </c>
      <c r="GS32" s="135">
        <f>GR32/GP32</f>
        <v>0.1765281333050723</v>
      </c>
      <c r="GT32" s="133">
        <v>0</v>
      </c>
      <c r="GU32" s="134">
        <v>0</v>
      </c>
      <c r="GV32" s="134">
        <v>0</v>
      </c>
      <c r="GW32" s="134">
        <v>0</v>
      </c>
      <c r="GX32" s="190">
        <f>GR32-SUM(GT32:GW32)</f>
        <v>10827</v>
      </c>
      <c r="GY32" s="151">
        <f>GX32/GP32</f>
        <v>0.1765281333050723</v>
      </c>
      <c r="GZ32" s="614">
        <v>2</v>
      </c>
      <c r="HA32" s="130">
        <v>50506</v>
      </c>
      <c r="HB32" s="130">
        <v>61333</v>
      </c>
      <c r="HC32" s="130"/>
      <c r="HD32" s="134">
        <f t="shared" si="396"/>
        <v>10827</v>
      </c>
      <c r="HE32" s="151">
        <f>HD32/HB32</f>
        <v>0.1765281333050723</v>
      </c>
      <c r="HF32" s="138">
        <v>0</v>
      </c>
      <c r="HG32" s="130"/>
      <c r="HH32" s="130"/>
      <c r="HI32" s="130"/>
      <c r="HJ32" s="197">
        <f>HD32-SUM(HF32:HI32)</f>
        <v>10827</v>
      </c>
      <c r="HK32" s="201">
        <f>HJ32/HB32</f>
        <v>0.1765281333050723</v>
      </c>
      <c r="HL32" s="617">
        <v>2</v>
      </c>
      <c r="HM32" s="148">
        <v>50506</v>
      </c>
      <c r="HN32" s="148">
        <v>59355</v>
      </c>
      <c r="HO32" s="148">
        <v>0</v>
      </c>
      <c r="HP32" s="615">
        <f t="shared" si="485"/>
        <v>8849</v>
      </c>
      <c r="HQ32" s="201">
        <f>HP32/HN32</f>
        <v>0.14908600791845675</v>
      </c>
      <c r="HR32" s="148">
        <v>0</v>
      </c>
      <c r="HS32" s="148">
        <v>0</v>
      </c>
      <c r="HT32" s="148"/>
      <c r="HU32" s="148">
        <v>0</v>
      </c>
      <c r="HV32" s="197">
        <f>HP32-SUM(HR32:HU32)</f>
        <v>8849</v>
      </c>
      <c r="HW32" s="201">
        <f>HV32/HN32</f>
        <v>0.14908600791845675</v>
      </c>
      <c r="HX32" s="414">
        <v>2</v>
      </c>
      <c r="HY32" s="241">
        <f t="shared" si="401"/>
        <v>182021</v>
      </c>
      <c r="HZ32" s="415">
        <f t="shared" si="402"/>
        <v>30503</v>
      </c>
      <c r="IA32" s="241"/>
      <c r="IB32" s="415">
        <f t="shared" si="403"/>
        <v>30503</v>
      </c>
      <c r="IC32" s="141"/>
      <c r="ID32" s="642">
        <v>2</v>
      </c>
      <c r="IE32" s="141">
        <f t="shared" si="404"/>
        <v>314431</v>
      </c>
      <c r="IF32" s="141">
        <f t="shared" si="405"/>
        <v>55023</v>
      </c>
      <c r="IG32" s="74">
        <f>IF32/IE32</f>
        <v>0.17499228765611533</v>
      </c>
      <c r="IH32" s="1507"/>
      <c r="II32" s="69"/>
      <c r="IJ32" s="133">
        <v>2</v>
      </c>
      <c r="IK32" s="134">
        <v>50506</v>
      </c>
      <c r="IL32" s="134">
        <v>60622</v>
      </c>
      <c r="IM32" s="134">
        <v>0</v>
      </c>
      <c r="IN32" s="133">
        <f>IL32-(IK32+IM32)</f>
        <v>10116</v>
      </c>
      <c r="IO32" s="151">
        <f>IN32/IL32</f>
        <v>0.16687011316023886</v>
      </c>
      <c r="IP32" s="134">
        <v>0</v>
      </c>
      <c r="IQ32" s="134">
        <v>0</v>
      </c>
      <c r="IR32" s="134">
        <v>0</v>
      </c>
      <c r="IS32" s="190">
        <f>IN32-SUM(IP32:IR32)</f>
        <v>10116</v>
      </c>
      <c r="IT32" s="151">
        <f>IS32/IL32</f>
        <v>0.16687011316023886</v>
      </c>
      <c r="IU32" s="390">
        <v>1</v>
      </c>
      <c r="IV32" s="134">
        <v>32738</v>
      </c>
      <c r="IW32" s="134">
        <v>38709.68</v>
      </c>
      <c r="IX32" s="134">
        <v>0</v>
      </c>
      <c r="IY32" s="133">
        <f t="shared" si="411"/>
        <v>5971.68</v>
      </c>
      <c r="IZ32" s="151">
        <f t="shared" si="412"/>
        <v>0.15426838971544068</v>
      </c>
      <c r="JA32" s="133">
        <v>0</v>
      </c>
      <c r="JB32" s="134">
        <v>0</v>
      </c>
      <c r="JC32" s="134">
        <v>0</v>
      </c>
      <c r="JD32" s="190">
        <f>IY32-SUM(JA32:JC32)</f>
        <v>5971.68</v>
      </c>
      <c r="JE32" s="151">
        <f>JD32/IW32</f>
        <v>0.15426838971544068</v>
      </c>
      <c r="JF32" s="390">
        <v>1</v>
      </c>
      <c r="JG32" s="134">
        <v>32738</v>
      </c>
      <c r="JH32" s="134">
        <v>40000</v>
      </c>
      <c r="JI32" s="134">
        <v>0</v>
      </c>
      <c r="JJ32" s="133">
        <f t="shared" si="415"/>
        <v>7262</v>
      </c>
      <c r="JK32" s="151">
        <f t="shared" si="416"/>
        <v>0.18154999999999999</v>
      </c>
      <c r="JL32" s="133">
        <v>0</v>
      </c>
      <c r="JM32" s="134">
        <v>0</v>
      </c>
      <c r="JN32" s="134">
        <v>0</v>
      </c>
      <c r="JO32" s="190">
        <f t="shared" si="417"/>
        <v>7262</v>
      </c>
      <c r="JP32" s="151">
        <f t="shared" si="418"/>
        <v>0.18154999999999999</v>
      </c>
      <c r="JQ32" s="390">
        <v>1</v>
      </c>
      <c r="JR32" s="191">
        <f t="shared" si="249"/>
        <v>139331.68</v>
      </c>
      <c r="JS32" s="191">
        <f t="shared" si="250"/>
        <v>23349.68</v>
      </c>
      <c r="JT32" s="151">
        <f t="shared" si="419"/>
        <v>0.16758342395641826</v>
      </c>
      <c r="JU32" s="390">
        <v>1</v>
      </c>
      <c r="JV32" s="134">
        <v>32738</v>
      </c>
      <c r="JW32" s="134">
        <v>38710</v>
      </c>
      <c r="JX32" s="134"/>
      <c r="JY32" s="133">
        <f t="shared" si="420"/>
        <v>5972</v>
      </c>
      <c r="JZ32" s="151">
        <f t="shared" si="421"/>
        <v>0.15427538103849134</v>
      </c>
      <c r="KA32" s="133">
        <v>0</v>
      </c>
      <c r="KB32" s="148">
        <v>0</v>
      </c>
      <c r="KC32" s="134">
        <v>0</v>
      </c>
      <c r="KD32" s="190">
        <f t="shared" si="422"/>
        <v>5972</v>
      </c>
      <c r="KE32" s="151">
        <f t="shared" si="423"/>
        <v>0.15427538103849134</v>
      </c>
      <c r="KF32" s="390">
        <v>2</v>
      </c>
      <c r="KG32" s="134">
        <v>47603</v>
      </c>
      <c r="KH32" s="134">
        <v>57742</v>
      </c>
      <c r="KI32" s="134"/>
      <c r="KJ32" s="133">
        <f t="shared" si="424"/>
        <v>10139</v>
      </c>
      <c r="KK32" s="151">
        <f t="shared" si="425"/>
        <v>0.17559142392019675</v>
      </c>
      <c r="KL32" s="133"/>
      <c r="KM32" s="148">
        <v>0</v>
      </c>
      <c r="KN32" s="134">
        <v>0</v>
      </c>
      <c r="KO32" s="190">
        <f t="shared" si="426"/>
        <v>10139</v>
      </c>
      <c r="KP32" s="151">
        <f t="shared" si="427"/>
        <v>0.17559142392019675</v>
      </c>
      <c r="KQ32" s="390">
        <v>2</v>
      </c>
      <c r="KR32" s="134">
        <v>53687</v>
      </c>
      <c r="KS32" s="134">
        <v>62833</v>
      </c>
      <c r="KT32" s="134">
        <v>0</v>
      </c>
      <c r="KU32" s="133">
        <f t="shared" si="428"/>
        <v>9146</v>
      </c>
      <c r="KV32" s="151">
        <f t="shared" si="429"/>
        <v>0.14556045390161221</v>
      </c>
      <c r="KW32" s="133"/>
      <c r="KX32" s="148">
        <v>0</v>
      </c>
      <c r="KY32" s="134">
        <v>0</v>
      </c>
      <c r="KZ32" s="190">
        <f t="shared" si="430"/>
        <v>9146</v>
      </c>
      <c r="LA32" s="151">
        <f t="shared" si="431"/>
        <v>0.14556045390161221</v>
      </c>
      <c r="LB32" s="402">
        <v>2</v>
      </c>
      <c r="LC32" s="191">
        <f t="shared" si="432"/>
        <v>159285</v>
      </c>
      <c r="LD32" s="191">
        <f t="shared" si="433"/>
        <v>25257</v>
      </c>
      <c r="LE32" s="151">
        <f t="shared" si="434"/>
        <v>0.15856483661361709</v>
      </c>
      <c r="LF32" s="226">
        <f t="shared" si="435"/>
        <v>1</v>
      </c>
      <c r="LG32" s="128">
        <f t="shared" si="436"/>
        <v>19953.320000000007</v>
      </c>
      <c r="LH32" s="139">
        <f t="shared" si="437"/>
        <v>1907.3199999999997</v>
      </c>
      <c r="LI32" s="442">
        <f t="shared" si="438"/>
        <v>1</v>
      </c>
      <c r="LJ32" s="442">
        <f t="shared" si="439"/>
        <v>0.1432073452354842</v>
      </c>
      <c r="LK32" s="106">
        <f t="shared" si="440"/>
        <v>8.1685059495462023E-2</v>
      </c>
      <c r="LL32" s="390">
        <v>2</v>
      </c>
      <c r="LM32" s="134">
        <v>53687</v>
      </c>
      <c r="LN32" s="134">
        <v>62903</v>
      </c>
      <c r="LO32" s="134"/>
      <c r="LP32" s="133">
        <f t="shared" si="441"/>
        <v>9216</v>
      </c>
      <c r="LQ32" s="151">
        <f t="shared" si="442"/>
        <v>0.14651129516875189</v>
      </c>
      <c r="LR32" s="133"/>
      <c r="LS32" s="148">
        <v>25000</v>
      </c>
      <c r="LT32" s="134">
        <v>0</v>
      </c>
      <c r="LU32" s="190">
        <f t="shared" si="443"/>
        <v>-15784</v>
      </c>
      <c r="LV32" s="151">
        <f t="shared" si="444"/>
        <v>-0.2509260289652322</v>
      </c>
      <c r="LW32" s="134">
        <v>2</v>
      </c>
      <c r="LX32" s="134">
        <v>53687</v>
      </c>
      <c r="LY32" s="134">
        <v>62833</v>
      </c>
      <c r="LZ32" s="134"/>
      <c r="MA32" s="133">
        <f t="shared" si="445"/>
        <v>9146</v>
      </c>
      <c r="MB32" s="151">
        <f t="shared" si="446"/>
        <v>0.14556045390161221</v>
      </c>
      <c r="MC32" s="134"/>
      <c r="MD32" s="134">
        <v>25000</v>
      </c>
      <c r="ME32" s="134">
        <v>0</v>
      </c>
      <c r="MF32" s="190">
        <f t="shared" si="447"/>
        <v>-15854</v>
      </c>
      <c r="MG32" s="151">
        <f t="shared" si="448"/>
        <v>-0.25231964095300241</v>
      </c>
      <c r="MH32" s="134">
        <v>3</v>
      </c>
      <c r="MI32" s="134">
        <v>67284</v>
      </c>
      <c r="MJ32" s="134">
        <v>79194</v>
      </c>
      <c r="MK32" s="134"/>
      <c r="ML32" s="133">
        <f t="shared" si="449"/>
        <v>11910</v>
      </c>
      <c r="MM32" s="151">
        <f t="shared" si="450"/>
        <v>0.15039018107432381</v>
      </c>
      <c r="MN32" s="134">
        <f>262217+408334</f>
        <v>670551</v>
      </c>
      <c r="MO32" s="134">
        <v>0</v>
      </c>
      <c r="MP32" s="134">
        <v>0</v>
      </c>
      <c r="MQ32" s="190">
        <f t="shared" si="451"/>
        <v>-658641</v>
      </c>
      <c r="MR32" s="151">
        <f t="shared" si="452"/>
        <v>-8.3168043033563155</v>
      </c>
      <c r="MS32" s="1472">
        <v>3</v>
      </c>
      <c r="MT32" s="118">
        <f t="shared" si="453"/>
        <v>204930</v>
      </c>
      <c r="MU32" s="118">
        <f t="shared" si="454"/>
        <v>30272</v>
      </c>
      <c r="MV32" s="135">
        <f t="shared" si="455"/>
        <v>0.14771873322597961</v>
      </c>
      <c r="MW32" s="133">
        <f t="shared" si="456"/>
        <v>1</v>
      </c>
      <c r="MX32" s="134">
        <f t="shared" si="457"/>
        <v>45645</v>
      </c>
      <c r="MY32" s="134">
        <f t="shared" si="458"/>
        <v>5015</v>
      </c>
      <c r="MZ32" s="135">
        <f t="shared" si="459"/>
        <v>0.5</v>
      </c>
      <c r="NA32" s="135">
        <f t="shared" si="460"/>
        <v>0.28656182314718898</v>
      </c>
      <c r="NB32" s="151">
        <f t="shared" si="461"/>
        <v>0.19855881537791503</v>
      </c>
      <c r="NC32" s="134">
        <v>3</v>
      </c>
      <c r="ND32" s="134">
        <v>94368</v>
      </c>
      <c r="NE32" s="134">
        <v>120000</v>
      </c>
      <c r="NF32" s="134"/>
      <c r="NG32" s="133">
        <f t="shared" si="462"/>
        <v>25632</v>
      </c>
      <c r="NH32" s="151">
        <f t="shared" si="463"/>
        <v>0.21360000000000001</v>
      </c>
      <c r="NI32" s="134">
        <f>161506+388150</f>
        <v>549656</v>
      </c>
      <c r="NJ32" s="134">
        <v>0</v>
      </c>
      <c r="NK32" s="134">
        <v>0</v>
      </c>
      <c r="NL32" s="190">
        <f t="shared" si="464"/>
        <v>-524024</v>
      </c>
      <c r="NM32" s="135">
        <f t="shared" si="465"/>
        <v>-4.3668666666666667</v>
      </c>
      <c r="NN32" s="1563">
        <v>3</v>
      </c>
      <c r="NO32" s="134">
        <v>94368</v>
      </c>
      <c r="NP32" s="134">
        <v>117758</v>
      </c>
      <c r="NQ32" s="134">
        <v>0</v>
      </c>
      <c r="NR32" s="133">
        <f t="shared" si="466"/>
        <v>23390</v>
      </c>
      <c r="NS32" s="151">
        <f t="shared" si="467"/>
        <v>0.19862769408447833</v>
      </c>
      <c r="NT32" s="134">
        <v>0</v>
      </c>
      <c r="NU32" s="134">
        <v>0</v>
      </c>
      <c r="NV32" s="134">
        <v>25000</v>
      </c>
      <c r="NW32" s="190">
        <f t="shared" si="468"/>
        <v>-1610</v>
      </c>
      <c r="NX32" s="135">
        <f t="shared" si="469"/>
        <v>-1.3672107202907659E-2</v>
      </c>
      <c r="NY32" s="1563">
        <v>3</v>
      </c>
      <c r="NZ32" s="134">
        <v>94368</v>
      </c>
      <c r="OA32" s="134">
        <v>117098</v>
      </c>
      <c r="OB32" s="134">
        <v>0</v>
      </c>
      <c r="OC32" s="133">
        <f t="shared" si="470"/>
        <v>22730</v>
      </c>
      <c r="OD32" s="151">
        <f t="shared" si="471"/>
        <v>0.19411091564330732</v>
      </c>
      <c r="OE32" s="134">
        <v>0</v>
      </c>
      <c r="OF32" s="134">
        <v>0</v>
      </c>
      <c r="OG32" s="134">
        <v>25000</v>
      </c>
      <c r="OH32" s="190">
        <f t="shared" si="472"/>
        <v>-2270</v>
      </c>
      <c r="OI32" s="5380">
        <f t="shared" si="473"/>
        <v>-1.9385471997813798E-2</v>
      </c>
      <c r="OJ32" s="69">
        <v>3</v>
      </c>
      <c r="OK32" s="155">
        <f t="shared" si="474"/>
        <v>851140.68</v>
      </c>
      <c r="OL32" s="155">
        <f t="shared" si="475"/>
        <v>143368.68</v>
      </c>
      <c r="OM32" s="74">
        <f t="shared" si="476"/>
        <v>0.16844298876655736</v>
      </c>
      <c r="ON32" s="155">
        <f t="shared" si="477"/>
        <v>-1176838.32</v>
      </c>
      <c r="OO32" s="70"/>
      <c r="OP32" s="69"/>
      <c r="OQ32" s="2008">
        <v>3</v>
      </c>
      <c r="OR32" s="208">
        <v>96309</v>
      </c>
      <c r="OS32" s="208">
        <v>117333</v>
      </c>
      <c r="OT32" s="134"/>
      <c r="OU32" s="133">
        <f t="shared" si="255"/>
        <v>21024</v>
      </c>
      <c r="OV32" s="94">
        <f t="shared" si="256"/>
        <v>0.17918232722252053</v>
      </c>
      <c r="OW32" s="134">
        <v>0</v>
      </c>
      <c r="OX32" s="134">
        <v>0</v>
      </c>
      <c r="OY32" s="134">
        <v>0</v>
      </c>
      <c r="OZ32" s="190">
        <f t="shared" si="257"/>
        <v>21024</v>
      </c>
      <c r="PA32" s="5361">
        <f t="shared" si="258"/>
        <v>0.17918232722252053</v>
      </c>
      <c r="PB32" s="5320">
        <v>3</v>
      </c>
      <c r="PC32" s="134">
        <v>94209</v>
      </c>
      <c r="PD32" s="134">
        <v>118709</v>
      </c>
      <c r="PE32" s="134"/>
      <c r="PF32" s="133">
        <f t="shared" si="259"/>
        <v>24500</v>
      </c>
      <c r="PG32" s="94">
        <f>PF32/PD32</f>
        <v>0.20638704731738958</v>
      </c>
      <c r="PH32" s="134">
        <v>0</v>
      </c>
      <c r="PI32" s="134">
        <v>0</v>
      </c>
      <c r="PJ32" s="134">
        <v>24000</v>
      </c>
      <c r="PK32" s="190">
        <f>PF32-SUM(PH32:PJ32)</f>
        <v>500</v>
      </c>
      <c r="PL32" s="135">
        <f>PK32/PD32</f>
        <v>4.2119805574977465E-3</v>
      </c>
      <c r="PM32" s="5316">
        <v>4</v>
      </c>
      <c r="PN32" s="358">
        <v>151701</v>
      </c>
      <c r="PO32" s="358">
        <v>183333</v>
      </c>
      <c r="PP32" s="622"/>
      <c r="PQ32" s="6293">
        <f t="shared" si="263"/>
        <v>31632</v>
      </c>
      <c r="PR32" s="6295">
        <f t="shared" si="264"/>
        <v>0.17253849552453732</v>
      </c>
      <c r="PS32" s="134">
        <v>0</v>
      </c>
      <c r="PT32" s="134">
        <v>30000</v>
      </c>
      <c r="PU32" s="134">
        <v>0</v>
      </c>
      <c r="PV32" s="190">
        <f t="shared" si="265"/>
        <v>1632</v>
      </c>
      <c r="PW32" s="5380">
        <f t="shared" si="266"/>
        <v>8.9018343669715755E-3</v>
      </c>
      <c r="PX32" s="5320">
        <v>4</v>
      </c>
      <c r="PY32" s="191">
        <f t="shared" si="267"/>
        <v>419375</v>
      </c>
      <c r="PZ32" s="191">
        <f t="shared" si="268"/>
        <v>77156</v>
      </c>
      <c r="QA32" s="135">
        <f t="shared" si="269"/>
        <v>0.1839785394932936</v>
      </c>
      <c r="QB32" s="5379">
        <v>3</v>
      </c>
      <c r="QC32" s="134">
        <v>155165</v>
      </c>
      <c r="QD32" s="134">
        <v>190000</v>
      </c>
      <c r="QE32" s="134">
        <v>618</v>
      </c>
      <c r="QF32" s="6293">
        <f t="shared" si="270"/>
        <v>34217</v>
      </c>
      <c r="QG32" s="6295">
        <f t="shared" si="271"/>
        <v>0.18008947368421052</v>
      </c>
      <c r="QH32" s="134">
        <v>0</v>
      </c>
      <c r="QI32" s="148"/>
      <c r="QJ32" s="134">
        <v>0</v>
      </c>
      <c r="QK32" s="190">
        <f t="shared" si="272"/>
        <v>34217</v>
      </c>
      <c r="QL32" s="5380">
        <f t="shared" si="273"/>
        <v>0.18008947368421052</v>
      </c>
      <c r="QM32" s="5379">
        <v>4</v>
      </c>
      <c r="QN32" s="134">
        <v>160978</v>
      </c>
      <c r="QO32" s="134">
        <v>200093</v>
      </c>
      <c r="QP32" s="134">
        <v>0</v>
      </c>
      <c r="QQ32" s="133">
        <f t="shared" si="292"/>
        <v>39115</v>
      </c>
      <c r="QR32" s="151">
        <f t="shared" si="293"/>
        <v>0.19548409989354951</v>
      </c>
      <c r="QS32" s="133">
        <v>0</v>
      </c>
      <c r="QT32" s="134">
        <v>0</v>
      </c>
      <c r="QU32" s="134">
        <v>50000</v>
      </c>
      <c r="QV32" s="190">
        <f t="shared" si="497"/>
        <v>-10885</v>
      </c>
      <c r="QW32" s="5380">
        <f t="shared" si="504"/>
        <v>-5.4399704137576027E-2</v>
      </c>
      <c r="QX32" s="5379">
        <v>5</v>
      </c>
      <c r="QY32" s="358">
        <f>193809+1939</f>
        <v>195748</v>
      </c>
      <c r="QZ32" s="358">
        <v>236170</v>
      </c>
      <c r="RA32" s="359"/>
      <c r="RB32" s="133">
        <f t="shared" si="274"/>
        <v>40422</v>
      </c>
      <c r="RC32" s="151">
        <f t="shared" si="492"/>
        <v>0.17115637041114451</v>
      </c>
      <c r="RD32" s="133">
        <v>0</v>
      </c>
      <c r="RE32" s="134">
        <v>0</v>
      </c>
      <c r="RF32" s="134">
        <v>50000</v>
      </c>
      <c r="RG32" s="190">
        <f t="shared" si="296"/>
        <v>-9578</v>
      </c>
      <c r="RH32" s="5380">
        <f t="shared" si="297"/>
        <v>-4.0555532032010837E-2</v>
      </c>
      <c r="RI32" s="5376"/>
      <c r="RJ32" s="191">
        <f t="shared" si="275"/>
        <v>626263</v>
      </c>
      <c r="RK32" s="191">
        <f>RB32+QQ32+QF32</f>
        <v>113754</v>
      </c>
      <c r="RL32" s="5380">
        <f t="shared" si="486"/>
        <v>0.18163934321523068</v>
      </c>
      <c r="RM32" s="1562">
        <f t="shared" si="276"/>
        <v>-4</v>
      </c>
      <c r="RN32" s="128">
        <f t="shared" si="277"/>
        <v>206888</v>
      </c>
      <c r="RO32" s="139">
        <f t="shared" si="278"/>
        <v>36598</v>
      </c>
      <c r="RP32" s="442">
        <f t="shared" si="279"/>
        <v>-1</v>
      </c>
      <c r="RQ32" s="442">
        <f t="shared" si="280"/>
        <v>0.49332459016393443</v>
      </c>
      <c r="RR32" s="6339">
        <f t="shared" si="281"/>
        <v>0.47433770542796411</v>
      </c>
      <c r="RS32" s="698">
        <v>7</v>
      </c>
      <c r="RT32" s="208">
        <v>383950</v>
      </c>
      <c r="RU32" s="395">
        <v>464264</v>
      </c>
      <c r="RV32" s="4269">
        <v>0</v>
      </c>
      <c r="RW32" s="133">
        <f t="shared" si="498"/>
        <v>80314</v>
      </c>
      <c r="RX32" s="151">
        <f t="shared" si="499"/>
        <v>0.17299209070701152</v>
      </c>
      <c r="RY32" s="133">
        <v>0</v>
      </c>
      <c r="RZ32" s="134">
        <v>0</v>
      </c>
      <c r="SA32" s="134">
        <v>50000</v>
      </c>
      <c r="SB32" s="188">
        <f t="shared" si="282"/>
        <v>30314</v>
      </c>
      <c r="SC32" s="5380">
        <f t="shared" si="232"/>
        <v>6.5294746092740344E-2</v>
      </c>
      <c r="SD32" s="110">
        <v>7</v>
      </c>
      <c r="SE32" s="208">
        <v>375204</v>
      </c>
      <c r="SF32" s="208">
        <v>444150</v>
      </c>
      <c r="SG32" s="772">
        <v>0</v>
      </c>
      <c r="SH32" s="6361">
        <f t="shared" si="493"/>
        <v>68946</v>
      </c>
      <c r="SI32" s="6363">
        <f t="shared" si="494"/>
        <v>0.15523134076325565</v>
      </c>
      <c r="SJ32" s="134">
        <v>0</v>
      </c>
      <c r="SK32" s="134">
        <v>0</v>
      </c>
      <c r="SL32" s="134">
        <v>50000</v>
      </c>
      <c r="SM32" s="188">
        <f t="shared" si="289"/>
        <v>18946</v>
      </c>
      <c r="SN32" s="5389">
        <f t="shared" si="290"/>
        <v>4.2656760103568614E-2</v>
      </c>
      <c r="SO32" s="134">
        <v>3</v>
      </c>
      <c r="SP32" s="134">
        <v>235151</v>
      </c>
      <c r="SQ32" s="134">
        <v>281527</v>
      </c>
      <c r="SR32" s="134">
        <v>5580</v>
      </c>
      <c r="SS32" s="6361">
        <f t="shared" si="283"/>
        <v>40796</v>
      </c>
      <c r="ST32" s="6363">
        <f t="shared" si="301"/>
        <v>0.14490972446692502</v>
      </c>
      <c r="SU32" s="134">
        <v>26575</v>
      </c>
      <c r="SV32" s="134"/>
      <c r="SW32" s="134">
        <v>50000</v>
      </c>
      <c r="SX32" s="190">
        <f t="shared" si="302"/>
        <v>-35779</v>
      </c>
      <c r="SY32" s="5380">
        <f t="shared" si="303"/>
        <v>-0.12708905362540715</v>
      </c>
      <c r="SZ32" s="6270"/>
      <c r="TA32" s="118">
        <f t="shared" si="478"/>
        <v>1189941</v>
      </c>
      <c r="TB32" s="118">
        <f t="shared" si="479"/>
        <v>190056</v>
      </c>
      <c r="TC32" s="5380">
        <f t="shared" si="487"/>
        <v>0.15971884320315041</v>
      </c>
      <c r="TD32" s="1563">
        <v>2</v>
      </c>
      <c r="TE32" s="134">
        <v>185879</v>
      </c>
      <c r="TF32" s="134">
        <v>220073</v>
      </c>
      <c r="TG32" s="134"/>
      <c r="TH32" s="133">
        <f t="shared" si="495"/>
        <v>34194</v>
      </c>
      <c r="TI32" s="151">
        <f t="shared" si="496"/>
        <v>0.15537571623961141</v>
      </c>
      <c r="TJ32" s="134">
        <v>26575</v>
      </c>
      <c r="TK32" s="134">
        <v>0</v>
      </c>
      <c r="TL32" s="134">
        <v>0</v>
      </c>
      <c r="TM32" s="190">
        <f t="shared" si="500"/>
        <v>7619</v>
      </c>
      <c r="TN32" s="5380">
        <f t="shared" si="501"/>
        <v>3.4620330526688871E-2</v>
      </c>
      <c r="TO32" s="134"/>
      <c r="TP32" s="134"/>
      <c r="TQ32" s="134"/>
      <c r="TR32" s="134"/>
      <c r="TS32" s="133">
        <f t="shared" si="480"/>
        <v>0</v>
      </c>
      <c r="TT32" s="151" t="e">
        <f t="shared" si="488"/>
        <v>#DIV/0!</v>
      </c>
      <c r="TU32" s="134">
        <v>0</v>
      </c>
      <c r="TV32" s="134"/>
      <c r="TW32" s="134"/>
      <c r="TX32" s="190">
        <f t="shared" si="505"/>
        <v>0</v>
      </c>
      <c r="TY32" s="135" t="e">
        <f t="shared" si="489"/>
        <v>#DIV/0!</v>
      </c>
      <c r="TZ32" s="1563"/>
      <c r="UA32" s="134"/>
      <c r="UB32" s="134"/>
      <c r="UC32" s="134"/>
      <c r="UD32" s="133">
        <f t="shared" si="482"/>
        <v>0</v>
      </c>
      <c r="UE32" s="151" t="e">
        <f t="shared" si="490"/>
        <v>#DIV/0!</v>
      </c>
      <c r="UF32" s="134"/>
      <c r="UG32" s="134"/>
      <c r="UH32" s="134"/>
      <c r="UI32" s="190">
        <f t="shared" si="506"/>
        <v>0</v>
      </c>
      <c r="UJ32" s="5380" t="e">
        <f t="shared" si="491"/>
        <v>#DIV/0!</v>
      </c>
      <c r="UK32" s="5376"/>
      <c r="UL32" s="191">
        <f t="shared" si="284"/>
        <v>2455652</v>
      </c>
      <c r="UM32" s="191">
        <f t="shared" si="285"/>
        <v>415160</v>
      </c>
      <c r="UN32" s="135">
        <f t="shared" si="484"/>
        <v>0.16906304313477644</v>
      </c>
      <c r="UO32" s="191">
        <f t="shared" si="286"/>
        <v>58010</v>
      </c>
      <c r="UP32" s="5380">
        <f t="shared" si="291"/>
        <v>2.3623054080952839E-2</v>
      </c>
    </row>
    <row r="33" spans="1:562" x14ac:dyDescent="0.3">
      <c r="A33" s="5316">
        <v>14</v>
      </c>
      <c r="B33" s="5360" t="s">
        <v>390</v>
      </c>
      <c r="C33" s="578" t="s">
        <v>141</v>
      </c>
      <c r="D33" s="578" t="s">
        <v>140</v>
      </c>
      <c r="E33" s="6278" t="s">
        <v>254</v>
      </c>
      <c r="F33" s="579">
        <v>15.666666666666666</v>
      </c>
      <c r="G33" s="161">
        <v>1290797</v>
      </c>
      <c r="H33" s="161">
        <v>1540481</v>
      </c>
      <c r="I33" s="161">
        <v>155555</v>
      </c>
      <c r="J33" s="351">
        <f>I33/H33</f>
        <v>0.10097820096450394</v>
      </c>
      <c r="K33" s="580">
        <v>11.666666666666666</v>
      </c>
      <c r="L33" s="161">
        <v>933042</v>
      </c>
      <c r="M33" s="161">
        <v>1029838</v>
      </c>
      <c r="N33" s="161">
        <v>21720</v>
      </c>
      <c r="O33" s="422"/>
      <c r="P33" s="580">
        <v>10</v>
      </c>
      <c r="Q33" s="161">
        <v>879964</v>
      </c>
      <c r="R33" s="161">
        <v>1013535</v>
      </c>
      <c r="S33" s="161">
        <v>108508</v>
      </c>
      <c r="T33" s="94"/>
      <c r="U33" s="136"/>
      <c r="V33" s="422"/>
      <c r="W33" s="422"/>
      <c r="X33" s="422"/>
      <c r="Y33" s="422"/>
      <c r="Z33" s="581"/>
      <c r="AA33" s="422"/>
      <c r="AB33" s="422"/>
      <c r="AC33" s="422"/>
      <c r="AD33" s="422"/>
      <c r="AE33" s="582">
        <f t="shared" si="309"/>
        <v>0</v>
      </c>
      <c r="AF33" s="422"/>
      <c r="AG33" s="583">
        <v>9</v>
      </c>
      <c r="AH33" s="584">
        <v>250727</v>
      </c>
      <c r="AI33" s="584">
        <v>290700</v>
      </c>
      <c r="AJ33" s="584"/>
      <c r="AK33" s="105">
        <f t="shared" si="310"/>
        <v>39973</v>
      </c>
      <c r="AL33" s="116">
        <f>AK33/AI33</f>
        <v>0.13750601995184039</v>
      </c>
      <c r="AM33" s="585">
        <v>30000</v>
      </c>
      <c r="AN33" s="417">
        <v>0</v>
      </c>
      <c r="AO33" s="417"/>
      <c r="AP33" s="130">
        <v>49383.651724137926</v>
      </c>
      <c r="AQ33" s="417">
        <f>AK33-AM33-AN33-AO33-AP33</f>
        <v>-39410.651724137926</v>
      </c>
      <c r="AR33" s="116">
        <f>AQ33/AK33</f>
        <v>-0.98593179706646805</v>
      </c>
      <c r="AS33" s="583">
        <v>9</v>
      </c>
      <c r="AT33" s="216">
        <v>829672</v>
      </c>
      <c r="AU33" s="417">
        <v>1140406</v>
      </c>
      <c r="AV33" s="417">
        <v>280145</v>
      </c>
      <c r="AW33" s="116">
        <f>AV33/AU33</f>
        <v>0.24565374086071101</v>
      </c>
      <c r="AX33" s="586">
        <v>9</v>
      </c>
      <c r="AY33" s="587">
        <f t="shared" si="315"/>
        <v>3933475</v>
      </c>
      <c r="AZ33" s="587">
        <f t="shared" si="316"/>
        <v>4724260</v>
      </c>
      <c r="BA33" s="587">
        <f t="shared" si="317"/>
        <v>565928</v>
      </c>
      <c r="BB33" s="588">
        <f>BA33/AZ33</f>
        <v>0.11979188274989098</v>
      </c>
      <c r="BC33" s="1512">
        <v>11</v>
      </c>
      <c r="BD33" s="582">
        <v>323078</v>
      </c>
      <c r="BE33" s="582">
        <v>364690</v>
      </c>
      <c r="BF33" s="582">
        <v>15522</v>
      </c>
      <c r="BG33" s="582">
        <f t="shared" si="319"/>
        <v>26090</v>
      </c>
      <c r="BH33" s="589"/>
      <c r="BI33" s="1512">
        <v>11</v>
      </c>
      <c r="BJ33" s="582">
        <v>329423</v>
      </c>
      <c r="BK33" s="582">
        <v>377523</v>
      </c>
      <c r="BL33" s="582">
        <v>6824</v>
      </c>
      <c r="BM33" s="582">
        <f t="shared" si="320"/>
        <v>41276</v>
      </c>
      <c r="BN33" s="589"/>
      <c r="BO33" s="590">
        <v>10</v>
      </c>
      <c r="BP33" s="582">
        <v>307410</v>
      </c>
      <c r="BQ33" s="582">
        <v>350890</v>
      </c>
      <c r="BR33" s="582"/>
      <c r="BS33" s="582">
        <f t="shared" si="321"/>
        <v>43480</v>
      </c>
      <c r="BT33" s="591">
        <f>BS33/BQ33</f>
        <v>0.12391347715808373</v>
      </c>
      <c r="BU33" s="590">
        <v>10</v>
      </c>
      <c r="BV33" s="592">
        <f t="shared" si="323"/>
        <v>1093103</v>
      </c>
      <c r="BW33" s="592">
        <f t="shared" si="324"/>
        <v>110846</v>
      </c>
      <c r="BX33" s="593">
        <f>BW33/BV33</f>
        <v>0.10140489962976956</v>
      </c>
      <c r="BY33" s="654">
        <v>10</v>
      </c>
      <c r="BZ33" s="650">
        <v>313032</v>
      </c>
      <c r="CA33" s="650">
        <v>397941</v>
      </c>
      <c r="CB33" s="650">
        <v>23356</v>
      </c>
      <c r="CC33" s="596">
        <f>CA33-(BZ33+CB33)</f>
        <v>61553</v>
      </c>
      <c r="CD33" s="655">
        <f>CC33/CA33</f>
        <v>0.15467870865279024</v>
      </c>
      <c r="CE33" s="598">
        <v>50000</v>
      </c>
      <c r="CF33" s="599">
        <v>235306</v>
      </c>
      <c r="CG33" s="599"/>
      <c r="CH33" s="599">
        <v>74304.057692307688</v>
      </c>
      <c r="CI33" s="599">
        <f>CC33-CE33-CF33-CG33-CH33</f>
        <v>-298057.05769230769</v>
      </c>
      <c r="CJ33" s="597">
        <f>CI33/CA33</f>
        <v>-0.74899811201235278</v>
      </c>
      <c r="CK33" s="651">
        <v>12</v>
      </c>
      <c r="CL33" s="652">
        <v>421298</v>
      </c>
      <c r="CM33" s="652">
        <v>549336</v>
      </c>
      <c r="CN33" s="652">
        <v>11564</v>
      </c>
      <c r="CO33" s="96">
        <f t="shared" si="330"/>
        <v>116474</v>
      </c>
      <c r="CP33" s="659">
        <f>CO33/CM33</f>
        <v>0.21202688336464387</v>
      </c>
      <c r="CQ33" s="603">
        <v>0</v>
      </c>
      <c r="CR33" s="603">
        <v>99658.273076923069</v>
      </c>
      <c r="CS33" s="603"/>
      <c r="CT33" s="603">
        <v>147101.18634615382</v>
      </c>
      <c r="CU33" s="603">
        <f>CO33-CQ33-CR33-CS33-CT33</f>
        <v>-130285.45942307689</v>
      </c>
      <c r="CV33" s="604">
        <f>CU33/CM33</f>
        <v>-0.23716898113918783</v>
      </c>
      <c r="CW33" s="129"/>
      <c r="CX33" s="130"/>
      <c r="CY33" s="130"/>
      <c r="CZ33" s="130"/>
      <c r="DA33" s="605">
        <f t="shared" si="334"/>
        <v>0</v>
      </c>
      <c r="DB33" s="114"/>
      <c r="DC33" s="138"/>
      <c r="DD33" s="606"/>
      <c r="DE33" s="130"/>
      <c r="DF33" s="130"/>
      <c r="DG33" s="128">
        <f>DA33-DC33-DD33-DE33-DF33</f>
        <v>0</v>
      </c>
      <c r="DH33" s="169"/>
      <c r="DI33" s="204">
        <f>(BY33+CK33+CW33)/3</f>
        <v>7.333333333333333</v>
      </c>
      <c r="DJ33" s="202">
        <f>CA33+CM33+CY33</f>
        <v>947277</v>
      </c>
      <c r="DK33" s="202">
        <f>CC33+CO33+DA33</f>
        <v>178027</v>
      </c>
      <c r="DL33" s="119">
        <f>DK33/DJ33</f>
        <v>0.18793552466701927</v>
      </c>
      <c r="DM33" s="202">
        <f>CI33+CU33+DG33</f>
        <v>-428342.51711538457</v>
      </c>
      <c r="DN33" s="119">
        <f>DM33/DJ33</f>
        <v>-0.45218295927736507</v>
      </c>
      <c r="DO33" s="607">
        <f>CW33-AG33</f>
        <v>-9</v>
      </c>
      <c r="DP33" s="137">
        <f>CX33-AH33</f>
        <v>-250727</v>
      </c>
      <c r="DQ33" s="137">
        <f>CY33-AI33</f>
        <v>-290700</v>
      </c>
      <c r="DR33" s="137">
        <f>DA33-AK33</f>
        <v>-39973</v>
      </c>
      <c r="DS33" s="135">
        <f>DO33/AG33</f>
        <v>-1</v>
      </c>
      <c r="DT33" s="135">
        <f>DP33/AI33</f>
        <v>-0.86249398004815958</v>
      </c>
      <c r="DU33" s="135">
        <f>DQ33/AK33</f>
        <v>-7.2724088759912942</v>
      </c>
      <c r="DV33" s="151">
        <f>DR33/AQ33</f>
        <v>1.0142689412953212</v>
      </c>
      <c r="DW33" s="607">
        <f>CW33-CK33</f>
        <v>-12</v>
      </c>
      <c r="DX33" s="608">
        <f>CY33-CM33</f>
        <v>-549336</v>
      </c>
      <c r="DY33" s="608">
        <f>DA33-CO33</f>
        <v>-116474</v>
      </c>
      <c r="DZ33" s="608">
        <f>DG33-CU33</f>
        <v>130285.45942307689</v>
      </c>
      <c r="EA33" s="135">
        <f>DW33/CK33</f>
        <v>-1</v>
      </c>
      <c r="EB33" s="135">
        <f>DX33/CM33</f>
        <v>-1</v>
      </c>
      <c r="EC33" s="135">
        <f>DY33/CO33</f>
        <v>-1</v>
      </c>
      <c r="ED33" s="151">
        <f>DZ33/CU33</f>
        <v>-1</v>
      </c>
      <c r="EE33" s="129">
        <v>9</v>
      </c>
      <c r="EF33" s="130">
        <v>313362</v>
      </c>
      <c r="EG33" s="130">
        <v>392228</v>
      </c>
      <c r="EH33" s="130">
        <v>12056</v>
      </c>
      <c r="EI33" s="605">
        <f t="shared" si="358"/>
        <v>66810</v>
      </c>
      <c r="EJ33" s="114">
        <f>EI33/EG33</f>
        <v>0.17033460130332359</v>
      </c>
      <c r="EK33" s="138">
        <v>0</v>
      </c>
      <c r="EL33" s="606">
        <v>0</v>
      </c>
      <c r="EM33" s="130">
        <v>0</v>
      </c>
      <c r="EN33" s="128">
        <v>0</v>
      </c>
      <c r="EO33" s="128">
        <f>EI33-EK33-EL33-EM33-EN33</f>
        <v>66810</v>
      </c>
      <c r="EP33" s="114"/>
      <c r="EQ33" s="129">
        <v>10</v>
      </c>
      <c r="ER33" s="595">
        <v>354174</v>
      </c>
      <c r="ES33" s="595">
        <v>461692</v>
      </c>
      <c r="ET33" s="130">
        <v>0</v>
      </c>
      <c r="EU33" s="134">
        <f t="shared" si="362"/>
        <v>107518</v>
      </c>
      <c r="EV33" s="114">
        <f>EU33/ES33</f>
        <v>0.23287819585351274</v>
      </c>
      <c r="EW33" s="138">
        <v>0</v>
      </c>
      <c r="EX33" s="606">
        <v>0</v>
      </c>
      <c r="EY33" s="130">
        <v>0</v>
      </c>
      <c r="EZ33" s="128">
        <v>0</v>
      </c>
      <c r="FA33" s="128">
        <f>EU33-EW33-EX33-EY33-EZ33</f>
        <v>107518</v>
      </c>
      <c r="FB33" s="114"/>
      <c r="FC33" s="643">
        <f>EQ33-AG33</f>
        <v>1</v>
      </c>
      <c r="FD33" s="644">
        <f>ES33-AI33</f>
        <v>170992</v>
      </c>
      <c r="FE33" s="644">
        <f>EU33-AK33</f>
        <v>67545</v>
      </c>
      <c r="FF33" s="644">
        <f>FA33-AQ33</f>
        <v>146928.65172413792</v>
      </c>
      <c r="FG33" s="74">
        <f>FC33/AG33</f>
        <v>0.1111111111111111</v>
      </c>
      <c r="FH33" s="74">
        <f>FD33/AI33</f>
        <v>0.58820777433780524</v>
      </c>
      <c r="FI33" s="74">
        <f>FE33/AK33</f>
        <v>1.6897655917744479</v>
      </c>
      <c r="FJ33" s="73">
        <f>FF33/AQ33</f>
        <v>-3.7281456991016522</v>
      </c>
      <c r="FK33" s="133">
        <v>11</v>
      </c>
      <c r="FL33" s="134">
        <v>384773</v>
      </c>
      <c r="FM33" s="134">
        <v>473114</v>
      </c>
      <c r="FN33" s="134">
        <v>3927</v>
      </c>
      <c r="FO33" s="134">
        <f t="shared" si="374"/>
        <v>84414</v>
      </c>
      <c r="FP33" s="135">
        <f>FO33/FM33</f>
        <v>0.17842211390912127</v>
      </c>
      <c r="FQ33" s="133"/>
      <c r="FR33" s="134">
        <v>50000</v>
      </c>
      <c r="FS33" s="134">
        <v>50000</v>
      </c>
      <c r="FT33" s="191">
        <f>FO33-SUM(FQ33:FS33)</f>
        <v>-15586</v>
      </c>
      <c r="FU33" s="151">
        <f>FT33/FM33</f>
        <v>-3.2943434351974367E-2</v>
      </c>
      <c r="FV33" s="190">
        <f t="shared" si="502"/>
        <v>2</v>
      </c>
      <c r="FW33" s="191">
        <f t="shared" si="502"/>
        <v>134046</v>
      </c>
      <c r="FX33" s="191">
        <f t="shared" si="502"/>
        <v>182414</v>
      </c>
      <c r="FY33" s="191">
        <f>FO33-AK33</f>
        <v>44441</v>
      </c>
      <c r="FZ33" s="191">
        <f>FT33-AQ33</f>
        <v>23824.651724137926</v>
      </c>
      <c r="GA33" s="135">
        <f>FV33/AG33</f>
        <v>0.22222222222222221</v>
      </c>
      <c r="GB33" s="135">
        <f>FX33/AI33</f>
        <v>0.6274991400068799</v>
      </c>
      <c r="GC33" s="135">
        <f>FY33/AK33</f>
        <v>1.1117754484276887</v>
      </c>
      <c r="GD33" s="151">
        <f>FZ33/AQ33</f>
        <v>-0.60452316015738428</v>
      </c>
      <c r="GE33" s="187">
        <f>(EE33+EQ33+FK33)/3</f>
        <v>10</v>
      </c>
      <c r="GF33" s="155">
        <f>EG33+ES33+FM33</f>
        <v>1327034</v>
      </c>
      <c r="GG33" s="155">
        <f>EI33+EU33+FO33</f>
        <v>258742</v>
      </c>
      <c r="GH33" s="74">
        <f>GG33/GF33</f>
        <v>0.19497767201141794</v>
      </c>
      <c r="GI33" s="613">
        <f>EO33+FA33+FT33</f>
        <v>158742</v>
      </c>
      <c r="GJ33" s="187">
        <f t="shared" si="503"/>
        <v>2.666666666666667</v>
      </c>
      <c r="GK33" s="155">
        <f t="shared" si="503"/>
        <v>379757</v>
      </c>
      <c r="GL33" s="155">
        <f t="shared" si="503"/>
        <v>80715</v>
      </c>
      <c r="GM33" s="613">
        <f>GI33-DM33</f>
        <v>587084.51711538457</v>
      </c>
      <c r="GN33" s="133">
        <v>11</v>
      </c>
      <c r="GO33" s="134">
        <v>386727</v>
      </c>
      <c r="GP33" s="134">
        <v>487185</v>
      </c>
      <c r="GQ33" s="134">
        <v>8402</v>
      </c>
      <c r="GR33" s="134">
        <f t="shared" si="392"/>
        <v>92056</v>
      </c>
      <c r="GS33" s="135">
        <f>GR33/GP33</f>
        <v>0.18895491445754692</v>
      </c>
      <c r="GT33" s="133">
        <v>0</v>
      </c>
      <c r="GU33" s="134">
        <v>25000</v>
      </c>
      <c r="GV33" s="134">
        <v>0</v>
      </c>
      <c r="GW33" s="134">
        <v>30387</v>
      </c>
      <c r="GX33" s="190">
        <f>GR33-SUM(GT33:GW33)</f>
        <v>36669</v>
      </c>
      <c r="GY33" s="151">
        <f>GX33/GP33</f>
        <v>7.526709566181225E-2</v>
      </c>
      <c r="GZ33" s="614">
        <v>10</v>
      </c>
      <c r="HA33" s="130">
        <v>406061</v>
      </c>
      <c r="HB33" s="130">
        <v>460525</v>
      </c>
      <c r="HC33" s="130"/>
      <c r="HD33" s="134">
        <f t="shared" si="396"/>
        <v>54464</v>
      </c>
      <c r="HE33" s="151">
        <f>HD33/HB33</f>
        <v>0.11826502361435319</v>
      </c>
      <c r="HF33" s="138">
        <v>0</v>
      </c>
      <c r="HG33" s="130"/>
      <c r="HH33" s="130"/>
      <c r="HI33" s="130">
        <v>100000</v>
      </c>
      <c r="HJ33" s="197">
        <f>HD33-SUM(HF33:HI33)</f>
        <v>-45536</v>
      </c>
      <c r="HK33" s="201">
        <f>HJ33/HB33</f>
        <v>-9.8878453938439831E-2</v>
      </c>
      <c r="HL33" s="1365">
        <v>10</v>
      </c>
      <c r="HM33" s="148">
        <v>385638</v>
      </c>
      <c r="HN33" s="148">
        <v>447425</v>
      </c>
      <c r="HO33" s="134">
        <v>0</v>
      </c>
      <c r="HP33" s="615">
        <f t="shared" si="485"/>
        <v>61787</v>
      </c>
      <c r="HQ33" s="201">
        <f>HP33/HN33</f>
        <v>0.13809465273509527</v>
      </c>
      <c r="HR33" s="133">
        <v>0</v>
      </c>
      <c r="HS33" s="134">
        <v>100000</v>
      </c>
      <c r="HT33" s="134"/>
      <c r="HU33" s="134">
        <v>0</v>
      </c>
      <c r="HV33" s="191">
        <f>HP33-SUM(HR33:HU33)</f>
        <v>-38213</v>
      </c>
      <c r="HW33" s="151">
        <f>HV33/HN33</f>
        <v>-8.5406492708275134E-2</v>
      </c>
      <c r="HX33" s="414">
        <v>10</v>
      </c>
      <c r="HY33" s="241">
        <f t="shared" si="401"/>
        <v>1395135</v>
      </c>
      <c r="HZ33" s="415">
        <f t="shared" si="402"/>
        <v>208307</v>
      </c>
      <c r="IA33" s="241"/>
      <c r="IB33" s="415">
        <f t="shared" si="403"/>
        <v>-47080</v>
      </c>
      <c r="IC33" s="141"/>
      <c r="ID33" s="642">
        <v>10</v>
      </c>
      <c r="IE33" s="141">
        <f t="shared" si="404"/>
        <v>4762549</v>
      </c>
      <c r="IF33" s="141">
        <f t="shared" si="405"/>
        <v>755922</v>
      </c>
      <c r="IG33" s="74">
        <f>IF33/IE33</f>
        <v>0.1587221464808026</v>
      </c>
      <c r="IH33" s="1507"/>
      <c r="II33" s="69"/>
      <c r="IJ33" s="133">
        <v>10</v>
      </c>
      <c r="IK33" s="134">
        <v>340743</v>
      </c>
      <c r="IL33" s="134">
        <v>443889</v>
      </c>
      <c r="IM33" s="134">
        <v>4663</v>
      </c>
      <c r="IN33" s="133">
        <f>IL33-(IK33+IM33)</f>
        <v>98483</v>
      </c>
      <c r="IO33" s="151">
        <f>IN33/IL33</f>
        <v>0.22186402456469972</v>
      </c>
      <c r="IP33" s="133">
        <v>0</v>
      </c>
      <c r="IQ33" s="134">
        <v>50000</v>
      </c>
      <c r="IR33" s="134">
        <v>50000</v>
      </c>
      <c r="IS33" s="190">
        <f>IN33-SUM(IP33:IR33)</f>
        <v>-1517</v>
      </c>
      <c r="IT33" s="151">
        <f>IS33/IL33</f>
        <v>-3.4175210469283989E-3</v>
      </c>
      <c r="IU33" s="621">
        <v>10</v>
      </c>
      <c r="IV33" s="358">
        <v>348518</v>
      </c>
      <c r="IW33" s="358">
        <v>385295</v>
      </c>
      <c r="IX33" s="134">
        <v>0</v>
      </c>
      <c r="IY33" s="133">
        <f t="shared" si="411"/>
        <v>36777</v>
      </c>
      <c r="IZ33" s="151">
        <f t="shared" si="412"/>
        <v>9.545153713388442E-2</v>
      </c>
      <c r="JA33" s="133">
        <v>0</v>
      </c>
      <c r="JB33" s="134">
        <v>0</v>
      </c>
      <c r="JC33" s="134">
        <v>0</v>
      </c>
      <c r="JD33" s="190">
        <f>IY33-SUM(JA33:JC33)</f>
        <v>36777</v>
      </c>
      <c r="JE33" s="151">
        <f>JD33/IW33</f>
        <v>9.545153713388442E-2</v>
      </c>
      <c r="JF33" s="621">
        <v>5</v>
      </c>
      <c r="JG33" s="358">
        <v>208981</v>
      </c>
      <c r="JH33" s="358">
        <v>261160</v>
      </c>
      <c r="JI33" s="134">
        <v>0</v>
      </c>
      <c r="JJ33" s="133">
        <f t="shared" si="415"/>
        <v>52179</v>
      </c>
      <c r="JK33" s="151">
        <f t="shared" si="416"/>
        <v>0.19979705927400826</v>
      </c>
      <c r="JL33" s="133">
        <v>0</v>
      </c>
      <c r="JM33" s="134">
        <v>24492</v>
      </c>
      <c r="JN33" s="134">
        <v>0</v>
      </c>
      <c r="JO33" s="190">
        <f t="shared" si="417"/>
        <v>27687</v>
      </c>
      <c r="JP33" s="151">
        <f t="shared" si="418"/>
        <v>0.10601546944401899</v>
      </c>
      <c r="JQ33" s="621">
        <v>5</v>
      </c>
      <c r="JR33" s="191">
        <f t="shared" si="249"/>
        <v>1090344</v>
      </c>
      <c r="JS33" s="191">
        <f t="shared" si="250"/>
        <v>187439</v>
      </c>
      <c r="JT33" s="151">
        <f t="shared" si="419"/>
        <v>0.17190813174557754</v>
      </c>
      <c r="JU33" s="621">
        <v>5</v>
      </c>
      <c r="JV33" s="358">
        <v>188886</v>
      </c>
      <c r="JW33" s="358">
        <v>272422</v>
      </c>
      <c r="JX33" s="134"/>
      <c r="JY33" s="133">
        <f t="shared" si="420"/>
        <v>83536</v>
      </c>
      <c r="JZ33" s="151">
        <f t="shared" si="421"/>
        <v>0.30664190116804074</v>
      </c>
      <c r="KA33" s="133">
        <v>27650</v>
      </c>
      <c r="KB33" s="148">
        <v>25000</v>
      </c>
      <c r="KC33" s="134">
        <v>0</v>
      </c>
      <c r="KD33" s="190">
        <f t="shared" si="422"/>
        <v>30886</v>
      </c>
      <c r="KE33" s="151">
        <f t="shared" si="423"/>
        <v>0.11337557172328226</v>
      </c>
      <c r="KF33" s="621">
        <v>5</v>
      </c>
      <c r="KG33" s="358">
        <v>188806</v>
      </c>
      <c r="KH33" s="358">
        <v>262873</v>
      </c>
      <c r="KI33" s="134"/>
      <c r="KJ33" s="133">
        <f t="shared" si="424"/>
        <v>74067</v>
      </c>
      <c r="KK33" s="151">
        <f t="shared" si="425"/>
        <v>0.28175963297866269</v>
      </c>
      <c r="KL33" s="133"/>
      <c r="KM33" s="134">
        <v>0</v>
      </c>
      <c r="KN33" s="134">
        <v>50000</v>
      </c>
      <c r="KO33" s="190">
        <f t="shared" si="426"/>
        <v>24067</v>
      </c>
      <c r="KP33" s="151">
        <f t="shared" si="427"/>
        <v>9.1553716052998974E-2</v>
      </c>
      <c r="KQ33" s="621">
        <v>5</v>
      </c>
      <c r="KR33" s="358">
        <v>188806</v>
      </c>
      <c r="KS33" s="358">
        <v>257588</v>
      </c>
      <c r="KT33" s="134">
        <v>38355</v>
      </c>
      <c r="KU33" s="133">
        <f t="shared" si="428"/>
        <v>30427</v>
      </c>
      <c r="KV33" s="151">
        <f t="shared" si="429"/>
        <v>0.11812273863689303</v>
      </c>
      <c r="KW33" s="133"/>
      <c r="KX33" s="134">
        <v>0</v>
      </c>
      <c r="KY33" s="134">
        <v>0</v>
      </c>
      <c r="KZ33" s="190">
        <f t="shared" si="430"/>
        <v>30427</v>
      </c>
      <c r="LA33" s="151">
        <f t="shared" si="431"/>
        <v>0.11812273863689303</v>
      </c>
      <c r="LB33" s="402">
        <v>5</v>
      </c>
      <c r="LC33" s="191">
        <f t="shared" si="432"/>
        <v>792883</v>
      </c>
      <c r="LD33" s="191">
        <f t="shared" si="433"/>
        <v>188030</v>
      </c>
      <c r="LE33" s="151">
        <f t="shared" si="434"/>
        <v>0.2371472209645055</v>
      </c>
      <c r="LF33" s="226">
        <f t="shared" si="435"/>
        <v>0</v>
      </c>
      <c r="LG33" s="128">
        <f t="shared" si="436"/>
        <v>-297461</v>
      </c>
      <c r="LH33" s="139">
        <f t="shared" si="437"/>
        <v>591</v>
      </c>
      <c r="LI33" s="660">
        <f t="shared" si="438"/>
        <v>0</v>
      </c>
      <c r="LJ33" s="442">
        <f t="shared" si="439"/>
        <v>-0.27281390093401714</v>
      </c>
      <c r="LK33" s="106">
        <f t="shared" si="440"/>
        <v>3.153025784388521E-3</v>
      </c>
      <c r="LL33" s="621">
        <v>5</v>
      </c>
      <c r="LM33" s="358">
        <v>188806</v>
      </c>
      <c r="LN33" s="358">
        <v>242068</v>
      </c>
      <c r="LO33" s="134"/>
      <c r="LP33" s="133">
        <f t="shared" si="441"/>
        <v>53262</v>
      </c>
      <c r="LQ33" s="151">
        <f t="shared" si="442"/>
        <v>0.22002908273708213</v>
      </c>
      <c r="LR33" s="133"/>
      <c r="LS33" s="134">
        <v>25000</v>
      </c>
      <c r="LT33" s="134">
        <v>50000</v>
      </c>
      <c r="LU33" s="190">
        <f t="shared" si="443"/>
        <v>-21738</v>
      </c>
      <c r="LV33" s="151">
        <f t="shared" si="444"/>
        <v>-8.9801212882330589E-2</v>
      </c>
      <c r="LW33" s="134">
        <v>5</v>
      </c>
      <c r="LX33" s="134">
        <v>188886</v>
      </c>
      <c r="LY33" s="134">
        <v>247929</v>
      </c>
      <c r="LZ33" s="134"/>
      <c r="MA33" s="133">
        <f t="shared" si="445"/>
        <v>59043</v>
      </c>
      <c r="MB33" s="151">
        <f t="shared" si="446"/>
        <v>0.23814479145239162</v>
      </c>
      <c r="MC33" s="134"/>
      <c r="MD33" s="134">
        <v>25000</v>
      </c>
      <c r="ME33" s="134">
        <v>50000</v>
      </c>
      <c r="MF33" s="190">
        <f t="shared" si="447"/>
        <v>-15957</v>
      </c>
      <c r="MG33" s="151">
        <f t="shared" si="448"/>
        <v>-6.4361167915007927E-2</v>
      </c>
      <c r="MH33" s="134">
        <v>5</v>
      </c>
      <c r="MI33" s="134">
        <v>188886</v>
      </c>
      <c r="MJ33" s="134">
        <v>243245</v>
      </c>
      <c r="MK33" s="134"/>
      <c r="ML33" s="133">
        <f t="shared" si="449"/>
        <v>54359</v>
      </c>
      <c r="MM33" s="151">
        <f t="shared" si="450"/>
        <v>0.22347427490801455</v>
      </c>
      <c r="MN33" s="134">
        <v>0</v>
      </c>
      <c r="MO33" s="134">
        <v>0</v>
      </c>
      <c r="MP33" s="134">
        <v>50000</v>
      </c>
      <c r="MQ33" s="190">
        <f t="shared" si="451"/>
        <v>4359</v>
      </c>
      <c r="MR33" s="151">
        <f t="shared" si="452"/>
        <v>1.792020390963843E-2</v>
      </c>
      <c r="MS33" s="1472">
        <v>5</v>
      </c>
      <c r="MT33" s="118">
        <f t="shared" si="453"/>
        <v>733242</v>
      </c>
      <c r="MU33" s="118">
        <f t="shared" si="454"/>
        <v>166664</v>
      </c>
      <c r="MV33" s="135">
        <f t="shared" si="455"/>
        <v>0.2272973997670619</v>
      </c>
      <c r="MW33" s="133">
        <f t="shared" si="456"/>
        <v>0</v>
      </c>
      <c r="MX33" s="134">
        <f t="shared" si="457"/>
        <v>-59641</v>
      </c>
      <c r="MY33" s="134">
        <f t="shared" si="458"/>
        <v>-21366</v>
      </c>
      <c r="MZ33" s="135">
        <f t="shared" si="459"/>
        <v>0</v>
      </c>
      <c r="NA33" s="135">
        <f t="shared" si="460"/>
        <v>-7.5220429748146952E-2</v>
      </c>
      <c r="NB33" s="151">
        <f t="shared" si="461"/>
        <v>-0.11363080359517098</v>
      </c>
      <c r="NC33" s="134">
        <v>6</v>
      </c>
      <c r="ND33" s="134">
        <v>162816</v>
      </c>
      <c r="NE33" s="134">
        <v>242207</v>
      </c>
      <c r="NF33" s="134"/>
      <c r="NG33" s="133">
        <f t="shared" si="462"/>
        <v>79391</v>
      </c>
      <c r="NH33" s="151">
        <f t="shared" si="463"/>
        <v>0.32778160829373221</v>
      </c>
      <c r="NI33" s="134"/>
      <c r="NJ33" s="134">
        <v>0</v>
      </c>
      <c r="NK33" s="134">
        <v>50000</v>
      </c>
      <c r="NL33" s="190">
        <f t="shared" si="464"/>
        <v>29391</v>
      </c>
      <c r="NM33" s="135">
        <f t="shared" si="465"/>
        <v>0.12134661673692337</v>
      </c>
      <c r="NN33" s="1563">
        <v>5</v>
      </c>
      <c r="NO33" s="134">
        <v>159980</v>
      </c>
      <c r="NP33" s="134">
        <v>229596</v>
      </c>
      <c r="NQ33" s="134">
        <v>0</v>
      </c>
      <c r="NR33" s="133">
        <f t="shared" si="466"/>
        <v>69616</v>
      </c>
      <c r="NS33" s="151">
        <f t="shared" si="467"/>
        <v>0.30321085733200925</v>
      </c>
      <c r="NT33" s="134">
        <v>0</v>
      </c>
      <c r="NU33" s="134">
        <v>0</v>
      </c>
      <c r="NV33" s="134">
        <v>50000</v>
      </c>
      <c r="NW33" s="190">
        <f t="shared" si="468"/>
        <v>19616</v>
      </c>
      <c r="NX33" s="135">
        <f t="shared" si="469"/>
        <v>8.5437028519660618E-2</v>
      </c>
      <c r="NY33" s="1563">
        <v>5</v>
      </c>
      <c r="NZ33" s="134">
        <v>159980</v>
      </c>
      <c r="OA33" s="134">
        <v>232366</v>
      </c>
      <c r="OB33" s="134">
        <v>10370</v>
      </c>
      <c r="OC33" s="133">
        <f t="shared" si="470"/>
        <v>62016</v>
      </c>
      <c r="OD33" s="151">
        <f t="shared" si="471"/>
        <v>0.26688930394291766</v>
      </c>
      <c r="OE33" s="134">
        <v>0</v>
      </c>
      <c r="OF33" s="134">
        <v>0</v>
      </c>
      <c r="OG33" s="134">
        <v>50000</v>
      </c>
      <c r="OH33" s="190">
        <f t="shared" si="472"/>
        <v>12016</v>
      </c>
      <c r="OI33" s="5380">
        <f t="shared" si="473"/>
        <v>5.1711524061179348E-2</v>
      </c>
      <c r="OJ33" s="69">
        <v>5</v>
      </c>
      <c r="OK33" s="155">
        <f t="shared" si="474"/>
        <v>3268459</v>
      </c>
      <c r="OL33" s="155">
        <f t="shared" si="475"/>
        <v>700977</v>
      </c>
      <c r="OM33" s="74">
        <f t="shared" si="476"/>
        <v>0.21446712349764829</v>
      </c>
      <c r="ON33" s="155">
        <f t="shared" si="477"/>
        <v>148327</v>
      </c>
      <c r="OO33" s="70"/>
      <c r="OP33" s="69"/>
      <c r="OQ33" s="2915">
        <v>5</v>
      </c>
      <c r="OR33" s="208">
        <v>159880</v>
      </c>
      <c r="OS33" s="395">
        <v>224030</v>
      </c>
      <c r="OT33" s="134">
        <v>16755</v>
      </c>
      <c r="OU33" s="133">
        <f t="shared" si="255"/>
        <v>47395</v>
      </c>
      <c r="OV33" s="94">
        <f t="shared" si="256"/>
        <v>0.21155648797036111</v>
      </c>
      <c r="OW33" s="133"/>
      <c r="OX33" s="134">
        <v>29860</v>
      </c>
      <c r="OY33" s="134">
        <v>0</v>
      </c>
      <c r="OZ33" s="190">
        <f t="shared" si="257"/>
        <v>17535</v>
      </c>
      <c r="PA33" s="5361">
        <f t="shared" si="258"/>
        <v>7.8270767307949823E-2</v>
      </c>
      <c r="PB33" s="5321">
        <v>4</v>
      </c>
      <c r="PC33" s="358">
        <v>127390</v>
      </c>
      <c r="PD33" s="358">
        <v>182961</v>
      </c>
      <c r="PE33" s="134"/>
      <c r="PF33" s="133">
        <f t="shared" si="259"/>
        <v>55571</v>
      </c>
      <c r="PG33" s="94">
        <f>PF33/PD33</f>
        <v>0.30373139630850293</v>
      </c>
      <c r="PH33" s="134">
        <v>0</v>
      </c>
      <c r="PI33" s="134">
        <v>50000</v>
      </c>
      <c r="PJ33" s="134">
        <v>5000</v>
      </c>
      <c r="PK33" s="190">
        <f>PF33-SUM(PH33:PJ33)</f>
        <v>571</v>
      </c>
      <c r="PL33" s="135">
        <f>PK33/PD33</f>
        <v>3.1208836855941978E-3</v>
      </c>
      <c r="PM33" s="3863">
        <v>3</v>
      </c>
      <c r="PN33" s="358">
        <v>95240</v>
      </c>
      <c r="PO33" s="358">
        <v>146716</v>
      </c>
      <c r="PP33" s="134"/>
      <c r="PQ33" s="6293">
        <f t="shared" si="263"/>
        <v>51476</v>
      </c>
      <c r="PR33" s="6295">
        <f t="shared" si="264"/>
        <v>0.35085471250579353</v>
      </c>
      <c r="PS33" s="134">
        <v>0</v>
      </c>
      <c r="PT33" s="134">
        <v>50000</v>
      </c>
      <c r="PU33" s="134">
        <v>0</v>
      </c>
      <c r="PV33" s="190">
        <f t="shared" si="265"/>
        <v>1476</v>
      </c>
      <c r="PW33" s="5380">
        <f t="shared" si="266"/>
        <v>1.0060252460536002E-2</v>
      </c>
      <c r="PX33" s="5321">
        <v>3</v>
      </c>
      <c r="PY33" s="191">
        <f t="shared" si="267"/>
        <v>553707</v>
      </c>
      <c r="PZ33" s="191">
        <f t="shared" si="268"/>
        <v>154442</v>
      </c>
      <c r="QA33" s="135">
        <f t="shared" si="269"/>
        <v>0.27892369068839656</v>
      </c>
      <c r="QB33" s="3863">
        <v>3</v>
      </c>
      <c r="QC33" s="358">
        <v>78641</v>
      </c>
      <c r="QD33" s="358">
        <v>128335</v>
      </c>
      <c r="QE33" s="134"/>
      <c r="QF33" s="6293">
        <f t="shared" si="270"/>
        <v>49694</v>
      </c>
      <c r="QG33" s="6295">
        <f t="shared" si="271"/>
        <v>0.38722094518253009</v>
      </c>
      <c r="QH33" s="134">
        <v>0</v>
      </c>
      <c r="QI33" s="148"/>
      <c r="QJ33" s="134">
        <v>0</v>
      </c>
      <c r="QK33" s="190">
        <f t="shared" ref="QK33:QK39" si="507">QF33-SUM(QH33:QJ33)</f>
        <v>49694</v>
      </c>
      <c r="QL33" s="5380">
        <f t="shared" si="273"/>
        <v>0.38722094518253009</v>
      </c>
      <c r="QM33" s="3863">
        <v>3</v>
      </c>
      <c r="QN33" s="358">
        <v>78641</v>
      </c>
      <c r="QO33" s="358">
        <v>136181</v>
      </c>
      <c r="QP33" s="134">
        <v>6040</v>
      </c>
      <c r="QQ33" s="133">
        <f t="shared" ref="QQ33:QQ40" si="508">QO33-(QN33+QP33)</f>
        <v>51500</v>
      </c>
      <c r="QR33" s="151">
        <f>QQ33/QO33</f>
        <v>0.37817316659445882</v>
      </c>
      <c r="QS33" s="133">
        <v>0</v>
      </c>
      <c r="QT33" s="134">
        <v>26500</v>
      </c>
      <c r="QU33" s="134">
        <v>500000</v>
      </c>
      <c r="QV33" s="190">
        <f t="shared" si="497"/>
        <v>-475000</v>
      </c>
      <c r="QW33" s="5380">
        <f t="shared" si="504"/>
        <v>-3.4880049346090862</v>
      </c>
      <c r="QX33" s="3863">
        <v>2</v>
      </c>
      <c r="QY33" s="358">
        <v>49491</v>
      </c>
      <c r="QZ33" s="358">
        <v>63290</v>
      </c>
      <c r="RA33" s="2437"/>
      <c r="RB33" s="133">
        <f>QZ33-(QY33+RA33)</f>
        <v>13799</v>
      </c>
      <c r="RC33" s="151">
        <f t="shared" si="492"/>
        <v>0.21802812450624112</v>
      </c>
      <c r="RD33" s="133">
        <v>0</v>
      </c>
      <c r="RE33" s="134">
        <v>26500</v>
      </c>
      <c r="RF33" s="134">
        <v>0</v>
      </c>
      <c r="RG33" s="190">
        <f>RB33-SUM(RD33:RF33)</f>
        <v>-12701</v>
      </c>
      <c r="RH33" s="5380">
        <f>RG33/QZ33</f>
        <v>-0.20067941222942012</v>
      </c>
      <c r="RI33" s="5376"/>
      <c r="RJ33" s="191">
        <f t="shared" si="275"/>
        <v>327806</v>
      </c>
      <c r="RK33" s="191">
        <f>RB33+QQ33+QF33</f>
        <v>114993</v>
      </c>
      <c r="RL33" s="5380">
        <f t="shared" si="486"/>
        <v>0.35079589757356483</v>
      </c>
      <c r="RM33" s="1562">
        <f t="shared" si="276"/>
        <v>-3</v>
      </c>
      <c r="RN33" s="128">
        <f t="shared" si="277"/>
        <v>-225901</v>
      </c>
      <c r="RO33" s="139">
        <f t="shared" si="278"/>
        <v>-39449</v>
      </c>
      <c r="RP33" s="660">
        <f t="shared" si="279"/>
        <v>-1</v>
      </c>
      <c r="RQ33" s="442">
        <f t="shared" si="280"/>
        <v>-0.4079793103572828</v>
      </c>
      <c r="RR33" s="6339">
        <f t="shared" si="281"/>
        <v>-0.25542922262078971</v>
      </c>
      <c r="RS33" s="6289">
        <v>1</v>
      </c>
      <c r="RT33" s="395">
        <v>17001</v>
      </c>
      <c r="RU33" s="395">
        <v>22000</v>
      </c>
      <c r="RV33" s="4269">
        <v>0</v>
      </c>
      <c r="RW33" s="133">
        <f t="shared" si="498"/>
        <v>4999</v>
      </c>
      <c r="RX33" s="151">
        <f t="shared" si="499"/>
        <v>0.22722727272727272</v>
      </c>
      <c r="RY33" s="133">
        <v>0</v>
      </c>
      <c r="RZ33" s="134">
        <v>0</v>
      </c>
      <c r="SA33" s="134">
        <v>0</v>
      </c>
      <c r="SB33" s="188">
        <f t="shared" si="282"/>
        <v>4999</v>
      </c>
      <c r="SC33" s="5380">
        <f t="shared" si="232"/>
        <v>0.22722727272727272</v>
      </c>
      <c r="SD33" s="110">
        <v>1</v>
      </c>
      <c r="SE33" s="208">
        <v>17001</v>
      </c>
      <c r="SF33" s="208">
        <v>22000</v>
      </c>
      <c r="SG33" s="772">
        <v>0</v>
      </c>
      <c r="SH33" s="6361">
        <f t="shared" si="493"/>
        <v>4999</v>
      </c>
      <c r="SI33" s="6363">
        <f t="shared" si="494"/>
        <v>0.22722727272727272</v>
      </c>
      <c r="SJ33" s="134"/>
      <c r="SK33" s="134"/>
      <c r="SL33" s="134"/>
      <c r="SM33" s="188">
        <f t="shared" si="289"/>
        <v>4999</v>
      </c>
      <c r="SN33" s="5389">
        <f t="shared" si="290"/>
        <v>0.22722727272727272</v>
      </c>
      <c r="SO33" s="134">
        <v>1</v>
      </c>
      <c r="SP33" s="134">
        <v>17001</v>
      </c>
      <c r="SQ33" s="134">
        <v>22000</v>
      </c>
      <c r="SR33" s="134">
        <v>0</v>
      </c>
      <c r="SS33" s="6361">
        <f t="shared" si="283"/>
        <v>4999</v>
      </c>
      <c r="ST33" s="6363">
        <f t="shared" si="301"/>
        <v>0.22722727272727272</v>
      </c>
      <c r="SU33" s="134">
        <v>0</v>
      </c>
      <c r="SV33" s="134"/>
      <c r="SW33" s="134">
        <v>0</v>
      </c>
      <c r="SX33" s="190">
        <f t="shared" si="302"/>
        <v>4999</v>
      </c>
      <c r="SY33" s="5380">
        <f t="shared" si="303"/>
        <v>0.22722727272727272</v>
      </c>
      <c r="SZ33" s="6270"/>
      <c r="TA33" s="118">
        <f t="shared" si="478"/>
        <v>66000</v>
      </c>
      <c r="TB33" s="118">
        <f t="shared" si="479"/>
        <v>14997</v>
      </c>
      <c r="TC33" s="5380">
        <f t="shared" si="487"/>
        <v>0.22722727272727272</v>
      </c>
      <c r="TD33" s="1563">
        <v>1</v>
      </c>
      <c r="TE33" s="134">
        <v>17001</v>
      </c>
      <c r="TF33" s="134">
        <v>22000</v>
      </c>
      <c r="TG33" s="134"/>
      <c r="TH33" s="133">
        <f t="shared" si="495"/>
        <v>4999</v>
      </c>
      <c r="TI33" s="151">
        <f t="shared" si="496"/>
        <v>0.22722727272727272</v>
      </c>
      <c r="TJ33" s="134">
        <v>0</v>
      </c>
      <c r="TK33" s="134">
        <v>0</v>
      </c>
      <c r="TL33" s="134">
        <v>0</v>
      </c>
      <c r="TM33" s="190">
        <f t="shared" si="500"/>
        <v>4999</v>
      </c>
      <c r="TN33" s="5380">
        <f t="shared" si="501"/>
        <v>0.22722727272727272</v>
      </c>
      <c r="TO33" s="134"/>
      <c r="TP33" s="134"/>
      <c r="TQ33" s="134"/>
      <c r="TR33" s="134"/>
      <c r="TS33" s="133">
        <f t="shared" si="480"/>
        <v>0</v>
      </c>
      <c r="TT33" s="151" t="e">
        <f t="shared" si="488"/>
        <v>#DIV/0!</v>
      </c>
      <c r="TU33" s="134"/>
      <c r="TV33" s="134"/>
      <c r="TW33" s="134"/>
      <c r="TX33" s="190">
        <f>TS33-SUM(TU33:TW33)</f>
        <v>0</v>
      </c>
      <c r="TY33" s="135" t="e">
        <f t="shared" si="489"/>
        <v>#DIV/0!</v>
      </c>
      <c r="TZ33" s="1563"/>
      <c r="UA33" s="134"/>
      <c r="UB33" s="134"/>
      <c r="UC33" s="134"/>
      <c r="UD33" s="133">
        <f t="shared" si="482"/>
        <v>0</v>
      </c>
      <c r="UE33" s="151" t="e">
        <f t="shared" si="490"/>
        <v>#DIV/0!</v>
      </c>
      <c r="UF33" s="134"/>
      <c r="UG33" s="134"/>
      <c r="UH33" s="134"/>
      <c r="UI33" s="190">
        <f>UD33-SUM(UF33:UH33)</f>
        <v>0</v>
      </c>
      <c r="UJ33" s="5380" t="e">
        <f t="shared" si="491"/>
        <v>#DIV/0!</v>
      </c>
      <c r="UK33" s="5376"/>
      <c r="UL33" s="191">
        <f t="shared" si="284"/>
        <v>969513</v>
      </c>
      <c r="UM33" s="191">
        <f t="shared" si="285"/>
        <v>289431</v>
      </c>
      <c r="UN33" s="135">
        <f>UM33/UL33</f>
        <v>0.29853235593540262</v>
      </c>
      <c r="UO33" s="191">
        <f t="shared" si="286"/>
        <v>-398429</v>
      </c>
      <c r="UP33" s="5380">
        <f t="shared" si="291"/>
        <v>-0.41095787266390443</v>
      </c>
    </row>
    <row r="34" spans="1:562" x14ac:dyDescent="0.3">
      <c r="A34" s="5316">
        <v>15</v>
      </c>
      <c r="B34" s="5360" t="s">
        <v>1076</v>
      </c>
      <c r="C34" s="578" t="s">
        <v>141</v>
      </c>
      <c r="D34" s="578" t="s">
        <v>140</v>
      </c>
      <c r="E34" s="6278" t="s">
        <v>254</v>
      </c>
      <c r="F34" s="1436"/>
      <c r="G34" s="350"/>
      <c r="H34" s="350"/>
      <c r="I34" s="350"/>
      <c r="J34" s="351"/>
      <c r="K34" s="674"/>
      <c r="L34" s="350"/>
      <c r="M34" s="350"/>
      <c r="N34" s="350"/>
      <c r="O34" s="672"/>
      <c r="P34" s="674"/>
      <c r="Q34" s="350"/>
      <c r="R34" s="350"/>
      <c r="S34" s="350"/>
      <c r="T34" s="94"/>
      <c r="U34" s="136"/>
      <c r="V34" s="422"/>
      <c r="W34" s="422"/>
      <c r="X34" s="422"/>
      <c r="Y34" s="422"/>
      <c r="Z34" s="581"/>
      <c r="AA34" s="422"/>
      <c r="AB34" s="422"/>
      <c r="AC34" s="422"/>
      <c r="AD34" s="422"/>
      <c r="AE34" s="582"/>
      <c r="AF34" s="422"/>
      <c r="AG34" s="583"/>
      <c r="AH34" s="584"/>
      <c r="AI34" s="584"/>
      <c r="AJ34" s="584"/>
      <c r="AK34" s="105"/>
      <c r="AL34" s="116"/>
      <c r="AM34" s="585"/>
      <c r="AN34" s="417"/>
      <c r="AO34" s="417"/>
      <c r="AP34" s="130"/>
      <c r="AQ34" s="417"/>
      <c r="AR34" s="116"/>
      <c r="AS34" s="583"/>
      <c r="AT34" s="361"/>
      <c r="AU34" s="759"/>
      <c r="AV34" s="759"/>
      <c r="AW34" s="116"/>
      <c r="AX34" s="586"/>
      <c r="AY34" s="587"/>
      <c r="AZ34" s="587"/>
      <c r="BA34" s="587"/>
      <c r="BB34" s="588"/>
      <c r="BC34" s="694"/>
      <c r="BD34" s="690"/>
      <c r="BE34" s="690"/>
      <c r="BF34" s="582"/>
      <c r="BG34" s="582"/>
      <c r="BH34" s="589"/>
      <c r="BI34" s="694"/>
      <c r="BJ34" s="690"/>
      <c r="BK34" s="690"/>
      <c r="BL34" s="582"/>
      <c r="BM34" s="582"/>
      <c r="BN34" s="589"/>
      <c r="BO34" s="590"/>
      <c r="BP34" s="582"/>
      <c r="BQ34" s="582"/>
      <c r="BR34" s="582"/>
      <c r="BS34" s="582"/>
      <c r="BT34" s="591"/>
      <c r="BU34" s="590"/>
      <c r="BV34" s="592"/>
      <c r="BW34" s="592"/>
      <c r="BX34" s="593"/>
      <c r="BY34" s="654"/>
      <c r="BZ34" s="650"/>
      <c r="CA34" s="650"/>
      <c r="CB34" s="650"/>
      <c r="CC34" s="596"/>
      <c r="CD34" s="655"/>
      <c r="CE34" s="598"/>
      <c r="CF34" s="599"/>
      <c r="CG34" s="599"/>
      <c r="CH34" s="599"/>
      <c r="CI34" s="599"/>
      <c r="CJ34" s="597"/>
      <c r="CK34" s="651"/>
      <c r="CL34" s="652"/>
      <c r="CM34" s="652"/>
      <c r="CN34" s="652"/>
      <c r="CO34" s="2146"/>
      <c r="CP34" s="659"/>
      <c r="CQ34" s="603"/>
      <c r="CR34" s="603"/>
      <c r="CS34" s="603"/>
      <c r="CT34" s="603"/>
      <c r="CU34" s="603"/>
      <c r="CV34" s="604"/>
      <c r="CW34" s="129"/>
      <c r="CX34" s="130"/>
      <c r="CY34" s="130"/>
      <c r="CZ34" s="130"/>
      <c r="DA34" s="605"/>
      <c r="DB34" s="114"/>
      <c r="DC34" s="138"/>
      <c r="DD34" s="606"/>
      <c r="DE34" s="130"/>
      <c r="DF34" s="130"/>
      <c r="DG34" s="128"/>
      <c r="DH34" s="169"/>
      <c r="DI34" s="204"/>
      <c r="DJ34" s="202"/>
      <c r="DK34" s="202"/>
      <c r="DL34" s="119"/>
      <c r="DM34" s="202"/>
      <c r="DN34" s="119"/>
      <c r="DO34" s="607"/>
      <c r="DP34" s="137"/>
      <c r="DQ34" s="137"/>
      <c r="DR34" s="137"/>
      <c r="DS34" s="135"/>
      <c r="DT34" s="135"/>
      <c r="DU34" s="135"/>
      <c r="DV34" s="151"/>
      <c r="DW34" s="607"/>
      <c r="DX34" s="608"/>
      <c r="DY34" s="608"/>
      <c r="DZ34" s="608"/>
      <c r="EA34" s="135"/>
      <c r="EB34" s="135"/>
      <c r="EC34" s="135"/>
      <c r="ED34" s="151"/>
      <c r="EE34" s="129"/>
      <c r="EF34" s="130"/>
      <c r="EG34" s="130"/>
      <c r="EH34" s="130"/>
      <c r="EI34" s="605"/>
      <c r="EJ34" s="114"/>
      <c r="EK34" s="138"/>
      <c r="EL34" s="606"/>
      <c r="EM34" s="130"/>
      <c r="EN34" s="128"/>
      <c r="EO34" s="128"/>
      <c r="EP34" s="114"/>
      <c r="EQ34" s="129"/>
      <c r="ER34" s="595"/>
      <c r="ES34" s="595"/>
      <c r="ET34" s="109"/>
      <c r="EU34" s="134"/>
      <c r="EV34" s="114"/>
      <c r="EW34" s="138"/>
      <c r="EX34" s="606"/>
      <c r="EY34" s="130"/>
      <c r="EZ34" s="128"/>
      <c r="FA34" s="128"/>
      <c r="FB34" s="114"/>
      <c r="FC34" s="643"/>
      <c r="FD34" s="644"/>
      <c r="FE34" s="644"/>
      <c r="FF34" s="644"/>
      <c r="FG34" s="74"/>
      <c r="FH34" s="74"/>
      <c r="FI34" s="74"/>
      <c r="FJ34" s="73"/>
      <c r="FK34" s="133"/>
      <c r="FL34" s="134"/>
      <c r="FM34" s="134"/>
      <c r="FN34" s="134"/>
      <c r="FO34" s="134"/>
      <c r="FP34" s="135"/>
      <c r="FQ34" s="133"/>
      <c r="FR34" s="134"/>
      <c r="FS34" s="134"/>
      <c r="FT34" s="191"/>
      <c r="FU34" s="151"/>
      <c r="FV34" s="190"/>
      <c r="FW34" s="191"/>
      <c r="FX34" s="191"/>
      <c r="FY34" s="191"/>
      <c r="FZ34" s="191"/>
      <c r="GA34" s="135"/>
      <c r="GB34" s="135"/>
      <c r="GC34" s="135"/>
      <c r="GD34" s="151"/>
      <c r="GE34" s="187"/>
      <c r="GF34" s="155"/>
      <c r="GG34" s="155"/>
      <c r="GH34" s="74"/>
      <c r="GI34" s="613"/>
      <c r="GJ34" s="187"/>
      <c r="GK34" s="155"/>
      <c r="GL34" s="155"/>
      <c r="GM34" s="613"/>
      <c r="GN34" s="133"/>
      <c r="GO34" s="134"/>
      <c r="GP34" s="134"/>
      <c r="GQ34" s="134"/>
      <c r="GR34" s="134"/>
      <c r="GS34" s="135"/>
      <c r="GT34" s="133"/>
      <c r="GU34" s="134"/>
      <c r="GV34" s="134"/>
      <c r="GW34" s="134"/>
      <c r="GX34" s="190"/>
      <c r="GY34" s="151"/>
      <c r="GZ34" s="614"/>
      <c r="HA34" s="130"/>
      <c r="HB34" s="130"/>
      <c r="HC34" s="130"/>
      <c r="HD34" s="134"/>
      <c r="HE34" s="151"/>
      <c r="HF34" s="138"/>
      <c r="HG34" s="130"/>
      <c r="HH34" s="130"/>
      <c r="HI34" s="130"/>
      <c r="HJ34" s="197"/>
      <c r="HK34" s="201"/>
      <c r="HL34" s="1365"/>
      <c r="HM34" s="148"/>
      <c r="HN34" s="148"/>
      <c r="HO34" s="148"/>
      <c r="HP34" s="615"/>
      <c r="HQ34" s="201"/>
      <c r="HR34" s="148"/>
      <c r="HS34" s="148"/>
      <c r="HT34" s="148"/>
      <c r="HU34" s="148"/>
      <c r="HV34" s="197"/>
      <c r="HW34" s="201"/>
      <c r="HX34" s="414"/>
      <c r="HY34" s="241"/>
      <c r="HZ34" s="415"/>
      <c r="IA34" s="241"/>
      <c r="IB34" s="415"/>
      <c r="IC34" s="141"/>
      <c r="ID34" s="642"/>
      <c r="IE34" s="141"/>
      <c r="IF34" s="141"/>
      <c r="IG34" s="74"/>
      <c r="IH34" s="1507"/>
      <c r="II34" s="69"/>
      <c r="IJ34" s="133"/>
      <c r="IK34" s="134"/>
      <c r="IL34" s="134"/>
      <c r="IM34" s="134"/>
      <c r="IN34" s="133"/>
      <c r="IO34" s="151"/>
      <c r="IP34" s="134"/>
      <c r="IQ34" s="134"/>
      <c r="IR34" s="134"/>
      <c r="IS34" s="190"/>
      <c r="IT34" s="151"/>
      <c r="IU34" s="621"/>
      <c r="IV34" s="358"/>
      <c r="IW34" s="358"/>
      <c r="IX34" s="134"/>
      <c r="IY34" s="133"/>
      <c r="IZ34" s="151"/>
      <c r="JA34" s="134"/>
      <c r="JB34" s="134"/>
      <c r="JC34" s="134"/>
      <c r="JD34" s="190"/>
      <c r="JE34" s="151"/>
      <c r="JF34" s="621"/>
      <c r="JG34" s="358"/>
      <c r="JH34" s="358"/>
      <c r="JI34" s="134"/>
      <c r="JJ34" s="133"/>
      <c r="JK34" s="151"/>
      <c r="JL34" s="134"/>
      <c r="JM34" s="134"/>
      <c r="JN34" s="134"/>
      <c r="JO34" s="190"/>
      <c r="JP34" s="151"/>
      <c r="JQ34" s="621"/>
      <c r="JR34" s="191"/>
      <c r="JS34" s="191"/>
      <c r="JT34" s="151"/>
      <c r="JU34" s="621"/>
      <c r="JV34" s="358"/>
      <c r="JW34" s="358"/>
      <c r="JX34" s="134"/>
      <c r="JY34" s="133"/>
      <c r="JZ34" s="151"/>
      <c r="KA34" s="133"/>
      <c r="KB34" s="148"/>
      <c r="KC34" s="134"/>
      <c r="KD34" s="190"/>
      <c r="KE34" s="151"/>
      <c r="KF34" s="621"/>
      <c r="KG34" s="358"/>
      <c r="KH34" s="358"/>
      <c r="KI34" s="134"/>
      <c r="KJ34" s="133"/>
      <c r="KK34" s="151"/>
      <c r="KL34" s="133"/>
      <c r="KM34" s="148"/>
      <c r="KN34" s="134"/>
      <c r="KO34" s="190"/>
      <c r="KP34" s="151"/>
      <c r="KQ34" s="621"/>
      <c r="KR34" s="358"/>
      <c r="KS34" s="358"/>
      <c r="KT34" s="134"/>
      <c r="KU34" s="133"/>
      <c r="KV34" s="151"/>
      <c r="KW34" s="133"/>
      <c r="KX34" s="148"/>
      <c r="KY34" s="134"/>
      <c r="KZ34" s="190"/>
      <c r="LA34" s="151"/>
      <c r="LB34" s="402"/>
      <c r="LC34" s="191"/>
      <c r="LD34" s="191"/>
      <c r="LE34" s="151"/>
      <c r="LF34" s="226"/>
      <c r="LG34" s="128"/>
      <c r="LH34" s="139"/>
      <c r="LI34" s="660"/>
      <c r="LJ34" s="442"/>
      <c r="LK34" s="106"/>
      <c r="LL34" s="621"/>
      <c r="LM34" s="358"/>
      <c r="LN34" s="358"/>
      <c r="LO34" s="134"/>
      <c r="LP34" s="133"/>
      <c r="LQ34" s="151"/>
      <c r="LR34" s="133"/>
      <c r="LS34" s="148"/>
      <c r="LT34" s="134"/>
      <c r="LU34" s="190"/>
      <c r="LV34" s="151"/>
      <c r="LW34" s="134"/>
      <c r="LX34" s="134"/>
      <c r="LY34" s="134"/>
      <c r="LZ34" s="134"/>
      <c r="MA34" s="133"/>
      <c r="MB34" s="151"/>
      <c r="MC34" s="134"/>
      <c r="MD34" s="134"/>
      <c r="ME34" s="134"/>
      <c r="MF34" s="190"/>
      <c r="MG34" s="151"/>
      <c r="MH34" s="134"/>
      <c r="MI34" s="134"/>
      <c r="MJ34" s="134"/>
      <c r="MK34" s="134"/>
      <c r="ML34" s="133"/>
      <c r="MM34" s="151"/>
      <c r="MN34" s="134"/>
      <c r="MO34" s="134"/>
      <c r="MP34" s="134"/>
      <c r="MQ34" s="190"/>
      <c r="MR34" s="151"/>
      <c r="MS34" s="1472"/>
      <c r="MT34" s="118"/>
      <c r="MU34" s="118"/>
      <c r="MV34" s="135"/>
      <c r="MW34" s="133"/>
      <c r="MX34" s="134"/>
      <c r="MY34" s="134"/>
      <c r="MZ34" s="135"/>
      <c r="NA34" s="135"/>
      <c r="NB34" s="151"/>
      <c r="NC34" s="134"/>
      <c r="ND34" s="134"/>
      <c r="NE34" s="134"/>
      <c r="NF34" s="134"/>
      <c r="NG34" s="133"/>
      <c r="NH34" s="151"/>
      <c r="NI34" s="134"/>
      <c r="NJ34" s="134"/>
      <c r="NK34" s="134"/>
      <c r="NL34" s="190"/>
      <c r="NM34" s="135"/>
      <c r="NN34" s="1563"/>
      <c r="NO34" s="134"/>
      <c r="NP34" s="134"/>
      <c r="NQ34" s="134"/>
      <c r="NR34" s="133"/>
      <c r="NS34" s="151"/>
      <c r="NT34" s="134"/>
      <c r="NU34" s="134"/>
      <c r="NV34" s="134"/>
      <c r="NW34" s="190"/>
      <c r="NX34" s="135"/>
      <c r="NY34" s="1563"/>
      <c r="NZ34" s="134"/>
      <c r="OA34" s="134"/>
      <c r="OB34" s="134"/>
      <c r="OC34" s="133"/>
      <c r="OD34" s="151"/>
      <c r="OE34" s="134"/>
      <c r="OF34" s="134"/>
      <c r="OG34" s="134"/>
      <c r="OH34" s="190"/>
      <c r="OI34" s="5380"/>
      <c r="OJ34" s="69"/>
      <c r="OK34" s="155"/>
      <c r="OL34" s="155"/>
      <c r="OM34" s="74"/>
      <c r="ON34" s="155"/>
      <c r="OO34" s="70"/>
      <c r="OP34" s="69"/>
      <c r="OQ34" s="2915"/>
      <c r="OR34" s="208"/>
      <c r="OS34" s="395"/>
      <c r="OT34" s="134"/>
      <c r="OU34" s="133"/>
      <c r="OV34" s="94"/>
      <c r="OW34" s="134"/>
      <c r="OX34" s="134"/>
      <c r="OY34" s="134"/>
      <c r="OZ34" s="190"/>
      <c r="PA34" s="5361"/>
      <c r="PB34" s="5321"/>
      <c r="PC34" s="358"/>
      <c r="PD34" s="358"/>
      <c r="PE34" s="134"/>
      <c r="PF34" s="133"/>
      <c r="PG34" s="94"/>
      <c r="PH34" s="134"/>
      <c r="PI34" s="134"/>
      <c r="PJ34" s="134"/>
      <c r="PK34" s="190"/>
      <c r="PL34" s="135"/>
      <c r="PM34" s="3863"/>
      <c r="PN34" s="358"/>
      <c r="PO34" s="358"/>
      <c r="PP34" s="134"/>
      <c r="PQ34" s="6293"/>
      <c r="PR34" s="6295"/>
      <c r="PS34" s="134"/>
      <c r="PT34" s="134"/>
      <c r="PU34" s="134"/>
      <c r="PV34" s="190"/>
      <c r="PW34" s="5380"/>
      <c r="PX34" s="5321"/>
      <c r="PY34" s="191"/>
      <c r="PZ34" s="191"/>
      <c r="QA34" s="135"/>
      <c r="QB34" s="3863"/>
      <c r="QC34" s="358"/>
      <c r="QD34" s="358"/>
      <c r="QE34" s="134"/>
      <c r="QF34" s="6293"/>
      <c r="QG34" s="6295"/>
      <c r="QH34" s="134"/>
      <c r="QI34" s="148"/>
      <c r="QJ34" s="134"/>
      <c r="QK34" s="190"/>
      <c r="QL34" s="5380"/>
      <c r="QM34" s="3863"/>
      <c r="QN34" s="358"/>
      <c r="QO34" s="358"/>
      <c r="QP34" s="134"/>
      <c r="QQ34" s="133"/>
      <c r="QR34" s="151"/>
      <c r="QS34" s="133"/>
      <c r="QT34" s="134"/>
      <c r="QU34" s="134"/>
      <c r="QV34" s="190"/>
      <c r="QW34" s="5380"/>
      <c r="QX34" s="3863"/>
      <c r="QY34" s="358"/>
      <c r="QZ34" s="358"/>
      <c r="RA34" s="622"/>
      <c r="RB34" s="133"/>
      <c r="RC34" s="151"/>
      <c r="RD34" s="133"/>
      <c r="RE34" s="134"/>
      <c r="RF34" s="134"/>
      <c r="RG34" s="190"/>
      <c r="RH34" s="5380"/>
      <c r="RI34" s="5376"/>
      <c r="RJ34" s="191"/>
      <c r="RK34" s="191"/>
      <c r="RL34" s="5380"/>
      <c r="RM34" s="1562"/>
      <c r="RN34" s="128"/>
      <c r="RO34" s="139"/>
      <c r="RP34" s="660"/>
      <c r="RQ34" s="442"/>
      <c r="RR34" s="6339"/>
      <c r="RS34" s="6289"/>
      <c r="RT34" s="395"/>
      <c r="RU34" s="395"/>
      <c r="RV34" s="4269"/>
      <c r="RW34" s="133"/>
      <c r="RX34" s="151"/>
      <c r="RY34" s="133"/>
      <c r="RZ34" s="134"/>
      <c r="SA34" s="134"/>
      <c r="SB34" s="188"/>
      <c r="SC34" s="5380"/>
      <c r="SD34" s="110"/>
      <c r="SE34" s="208"/>
      <c r="SF34" s="208"/>
      <c r="SG34" s="772"/>
      <c r="SH34" s="6361"/>
      <c r="SI34" s="6363"/>
      <c r="SJ34" s="134"/>
      <c r="SK34" s="134"/>
      <c r="SL34" s="134"/>
      <c r="SM34" s="188"/>
      <c r="SN34" s="5389"/>
      <c r="SO34" s="134"/>
      <c r="SP34" s="134"/>
      <c r="SQ34" s="134"/>
      <c r="SR34" s="134"/>
      <c r="SS34" s="6361"/>
      <c r="ST34" s="6363"/>
      <c r="SU34" s="134">
        <v>0</v>
      </c>
      <c r="SV34" s="134"/>
      <c r="SW34" s="134">
        <v>0</v>
      </c>
      <c r="SX34" s="190">
        <f t="shared" ref="SX34" si="509">SS34-SUM(SU34:SW34)</f>
        <v>0</v>
      </c>
      <c r="SY34" s="5380">
        <v>0</v>
      </c>
      <c r="SZ34" s="6270"/>
      <c r="TA34" s="118"/>
      <c r="TB34" s="118"/>
      <c r="TC34" s="5380"/>
      <c r="TD34" s="1563">
        <v>2</v>
      </c>
      <c r="TE34" s="134">
        <v>71181</v>
      </c>
      <c r="TF34" s="134">
        <v>107307</v>
      </c>
      <c r="TG34" s="134"/>
      <c r="TH34" s="133">
        <f t="shared" si="495"/>
        <v>36126</v>
      </c>
      <c r="TI34" s="196">
        <v>0</v>
      </c>
      <c r="TJ34" s="134">
        <v>0</v>
      </c>
      <c r="TK34" s="134">
        <v>0</v>
      </c>
      <c r="TL34" s="134">
        <v>0</v>
      </c>
      <c r="TM34" s="190">
        <f t="shared" si="500"/>
        <v>36126</v>
      </c>
      <c r="TN34" s="5380">
        <f t="shared" si="501"/>
        <v>0.33666023651765498</v>
      </c>
      <c r="TO34" s="134"/>
      <c r="TP34" s="134"/>
      <c r="TQ34" s="134"/>
      <c r="TR34" s="134"/>
      <c r="TS34" s="133"/>
      <c r="TT34" s="151"/>
      <c r="TU34" s="134"/>
      <c r="TV34" s="134"/>
      <c r="TW34" s="134"/>
      <c r="TX34" s="190"/>
      <c r="TY34" s="135"/>
      <c r="TZ34" s="1563"/>
      <c r="UA34" s="134"/>
      <c r="UB34" s="134"/>
      <c r="UC34" s="134"/>
      <c r="UD34" s="133"/>
      <c r="UE34" s="151"/>
      <c r="UF34" s="134"/>
      <c r="UG34" s="134"/>
      <c r="UH34" s="134"/>
      <c r="UI34" s="190"/>
      <c r="UJ34" s="5380"/>
      <c r="UK34" s="5376"/>
      <c r="UL34" s="191"/>
      <c r="UM34" s="191"/>
      <c r="UN34" s="135"/>
      <c r="UO34" s="191"/>
      <c r="UP34" s="5380"/>
    </row>
    <row r="35" spans="1:562" x14ac:dyDescent="0.3">
      <c r="A35" s="5316">
        <v>16</v>
      </c>
      <c r="B35" s="5360" t="s">
        <v>1036</v>
      </c>
      <c r="C35" s="578" t="s">
        <v>141</v>
      </c>
      <c r="D35" s="578" t="s">
        <v>140</v>
      </c>
      <c r="E35" s="6278" t="s">
        <v>254</v>
      </c>
      <c r="F35" s="1436"/>
      <c r="G35" s="350"/>
      <c r="H35" s="350"/>
      <c r="I35" s="350"/>
      <c r="J35" s="351"/>
      <c r="K35" s="674"/>
      <c r="L35" s="350"/>
      <c r="M35" s="350"/>
      <c r="N35" s="350"/>
      <c r="O35" s="672"/>
      <c r="P35" s="674"/>
      <c r="Q35" s="350"/>
      <c r="R35" s="350"/>
      <c r="S35" s="350"/>
      <c r="T35" s="94"/>
      <c r="U35" s="136"/>
      <c r="V35" s="422"/>
      <c r="W35" s="422"/>
      <c r="X35" s="422"/>
      <c r="Y35" s="422"/>
      <c r="Z35" s="581"/>
      <c r="AA35" s="422"/>
      <c r="AB35" s="422"/>
      <c r="AC35" s="422"/>
      <c r="AD35" s="422"/>
      <c r="AE35" s="582"/>
      <c r="AF35" s="422"/>
      <c r="AG35" s="583"/>
      <c r="AH35" s="584"/>
      <c r="AI35" s="584"/>
      <c r="AJ35" s="584"/>
      <c r="AK35" s="105"/>
      <c r="AL35" s="116"/>
      <c r="AM35" s="585"/>
      <c r="AN35" s="417"/>
      <c r="AO35" s="417"/>
      <c r="AP35" s="130"/>
      <c r="AQ35" s="417"/>
      <c r="AR35" s="116"/>
      <c r="AS35" s="583"/>
      <c r="AT35" s="361"/>
      <c r="AU35" s="759"/>
      <c r="AV35" s="759"/>
      <c r="AW35" s="116"/>
      <c r="AX35" s="586"/>
      <c r="AY35" s="587"/>
      <c r="AZ35" s="587"/>
      <c r="BA35" s="587"/>
      <c r="BB35" s="588"/>
      <c r="BC35" s="694"/>
      <c r="BD35" s="690"/>
      <c r="BE35" s="690"/>
      <c r="BF35" s="582"/>
      <c r="BG35" s="582"/>
      <c r="BH35" s="589"/>
      <c r="BI35" s="694"/>
      <c r="BJ35" s="690"/>
      <c r="BK35" s="690"/>
      <c r="BL35" s="582"/>
      <c r="BM35" s="582"/>
      <c r="BN35" s="589"/>
      <c r="BO35" s="590"/>
      <c r="BP35" s="582"/>
      <c r="BQ35" s="582"/>
      <c r="BR35" s="582"/>
      <c r="BS35" s="582"/>
      <c r="BT35" s="591"/>
      <c r="BU35" s="590"/>
      <c r="BV35" s="592"/>
      <c r="BW35" s="592"/>
      <c r="BX35" s="593"/>
      <c r="BY35" s="654"/>
      <c r="BZ35" s="650"/>
      <c r="CA35" s="650"/>
      <c r="CB35" s="650"/>
      <c r="CC35" s="596"/>
      <c r="CD35" s="655"/>
      <c r="CE35" s="598"/>
      <c r="CF35" s="599"/>
      <c r="CG35" s="599"/>
      <c r="CH35" s="599"/>
      <c r="CI35" s="599"/>
      <c r="CJ35" s="597"/>
      <c r="CK35" s="651"/>
      <c r="CL35" s="652"/>
      <c r="CM35" s="652"/>
      <c r="CN35" s="652"/>
      <c r="CO35" s="2146"/>
      <c r="CP35" s="659"/>
      <c r="CQ35" s="603"/>
      <c r="CR35" s="603"/>
      <c r="CS35" s="603"/>
      <c r="CT35" s="603"/>
      <c r="CU35" s="603"/>
      <c r="CV35" s="604"/>
      <c r="CW35" s="129"/>
      <c r="CX35" s="130"/>
      <c r="CY35" s="130"/>
      <c r="CZ35" s="130"/>
      <c r="DA35" s="605"/>
      <c r="DB35" s="114"/>
      <c r="DC35" s="138"/>
      <c r="DD35" s="606"/>
      <c r="DE35" s="130"/>
      <c r="DF35" s="130"/>
      <c r="DG35" s="128"/>
      <c r="DH35" s="169"/>
      <c r="DI35" s="204"/>
      <c r="DJ35" s="202"/>
      <c r="DK35" s="202"/>
      <c r="DL35" s="119"/>
      <c r="DM35" s="202"/>
      <c r="DN35" s="119"/>
      <c r="DO35" s="607"/>
      <c r="DP35" s="137"/>
      <c r="DQ35" s="137"/>
      <c r="DR35" s="137"/>
      <c r="DS35" s="135"/>
      <c r="DT35" s="135"/>
      <c r="DU35" s="135"/>
      <c r="DV35" s="151"/>
      <c r="DW35" s="607"/>
      <c r="DX35" s="608"/>
      <c r="DY35" s="608"/>
      <c r="DZ35" s="608"/>
      <c r="EA35" s="135"/>
      <c r="EB35" s="135"/>
      <c r="EC35" s="135"/>
      <c r="ED35" s="151"/>
      <c r="EE35" s="129"/>
      <c r="EF35" s="130"/>
      <c r="EG35" s="130"/>
      <c r="EH35" s="130"/>
      <c r="EI35" s="605"/>
      <c r="EJ35" s="114"/>
      <c r="EK35" s="138"/>
      <c r="EL35" s="606"/>
      <c r="EM35" s="130"/>
      <c r="EN35" s="128"/>
      <c r="EO35" s="128"/>
      <c r="EP35" s="114"/>
      <c r="EQ35" s="129"/>
      <c r="ER35" s="595"/>
      <c r="ES35" s="595"/>
      <c r="ET35" s="109"/>
      <c r="EU35" s="134"/>
      <c r="EV35" s="114"/>
      <c r="EW35" s="138"/>
      <c r="EX35" s="606"/>
      <c r="EY35" s="130"/>
      <c r="EZ35" s="128"/>
      <c r="FA35" s="128"/>
      <c r="FB35" s="114"/>
      <c r="FC35" s="643"/>
      <c r="FD35" s="644"/>
      <c r="FE35" s="644"/>
      <c r="FF35" s="644"/>
      <c r="FG35" s="74"/>
      <c r="FH35" s="74"/>
      <c r="FI35" s="74"/>
      <c r="FJ35" s="73"/>
      <c r="FK35" s="133"/>
      <c r="FL35" s="134"/>
      <c r="FM35" s="134"/>
      <c r="FN35" s="134"/>
      <c r="FO35" s="134"/>
      <c r="FP35" s="135"/>
      <c r="FQ35" s="133"/>
      <c r="FR35" s="134"/>
      <c r="FS35" s="134"/>
      <c r="FT35" s="191"/>
      <c r="FU35" s="151"/>
      <c r="FV35" s="190"/>
      <c r="FW35" s="191"/>
      <c r="FX35" s="191"/>
      <c r="FY35" s="191"/>
      <c r="FZ35" s="191"/>
      <c r="GA35" s="135"/>
      <c r="GB35" s="135"/>
      <c r="GC35" s="135"/>
      <c r="GD35" s="151"/>
      <c r="GE35" s="187"/>
      <c r="GF35" s="155"/>
      <c r="GG35" s="155"/>
      <c r="GH35" s="74"/>
      <c r="GI35" s="613"/>
      <c r="GJ35" s="187"/>
      <c r="GK35" s="155"/>
      <c r="GL35" s="155"/>
      <c r="GM35" s="613"/>
      <c r="GN35" s="133"/>
      <c r="GO35" s="134"/>
      <c r="GP35" s="134"/>
      <c r="GQ35" s="134"/>
      <c r="GR35" s="134"/>
      <c r="GS35" s="135"/>
      <c r="GT35" s="133"/>
      <c r="GU35" s="134"/>
      <c r="GV35" s="134"/>
      <c r="GW35" s="134"/>
      <c r="GX35" s="190"/>
      <c r="GY35" s="151"/>
      <c r="GZ35" s="614"/>
      <c r="HA35" s="130"/>
      <c r="HB35" s="130"/>
      <c r="HC35" s="130"/>
      <c r="HD35" s="134"/>
      <c r="HE35" s="151"/>
      <c r="HF35" s="138"/>
      <c r="HG35" s="130"/>
      <c r="HH35" s="130"/>
      <c r="HI35" s="130"/>
      <c r="HJ35" s="197"/>
      <c r="HK35" s="201"/>
      <c r="HL35" s="1365"/>
      <c r="HM35" s="148"/>
      <c r="HN35" s="148"/>
      <c r="HO35" s="148"/>
      <c r="HP35" s="615"/>
      <c r="HQ35" s="201"/>
      <c r="HR35" s="148"/>
      <c r="HS35" s="148"/>
      <c r="HT35" s="148"/>
      <c r="HU35" s="148"/>
      <c r="HV35" s="197"/>
      <c r="HW35" s="201"/>
      <c r="HX35" s="414"/>
      <c r="HY35" s="241"/>
      <c r="HZ35" s="415"/>
      <c r="IA35" s="241"/>
      <c r="IB35" s="415"/>
      <c r="IC35" s="141"/>
      <c r="ID35" s="642"/>
      <c r="IE35" s="141"/>
      <c r="IF35" s="141"/>
      <c r="IG35" s="74"/>
      <c r="IH35" s="1507"/>
      <c r="II35" s="69"/>
      <c r="IJ35" s="133"/>
      <c r="IK35" s="134"/>
      <c r="IL35" s="134"/>
      <c r="IM35" s="134"/>
      <c r="IN35" s="133"/>
      <c r="IO35" s="151"/>
      <c r="IP35" s="134"/>
      <c r="IQ35" s="134"/>
      <c r="IR35" s="134"/>
      <c r="IS35" s="190"/>
      <c r="IT35" s="151"/>
      <c r="IU35" s="621"/>
      <c r="IV35" s="358"/>
      <c r="IW35" s="358"/>
      <c r="IX35" s="134"/>
      <c r="IY35" s="133"/>
      <c r="IZ35" s="151"/>
      <c r="JA35" s="134"/>
      <c r="JB35" s="134"/>
      <c r="JC35" s="134"/>
      <c r="JD35" s="190"/>
      <c r="JE35" s="151"/>
      <c r="JF35" s="621"/>
      <c r="JG35" s="358"/>
      <c r="JH35" s="358"/>
      <c r="JI35" s="134"/>
      <c r="JJ35" s="133"/>
      <c r="JK35" s="151"/>
      <c r="JL35" s="134"/>
      <c r="JM35" s="134"/>
      <c r="JN35" s="134"/>
      <c r="JO35" s="190"/>
      <c r="JP35" s="151"/>
      <c r="JQ35" s="621"/>
      <c r="JR35" s="191"/>
      <c r="JS35" s="191"/>
      <c r="JT35" s="151"/>
      <c r="JU35" s="621"/>
      <c r="JV35" s="358"/>
      <c r="JW35" s="358"/>
      <c r="JX35" s="134"/>
      <c r="JY35" s="133"/>
      <c r="JZ35" s="151"/>
      <c r="KA35" s="133"/>
      <c r="KB35" s="148"/>
      <c r="KC35" s="134"/>
      <c r="KD35" s="190"/>
      <c r="KE35" s="151"/>
      <c r="KF35" s="621"/>
      <c r="KG35" s="358"/>
      <c r="KH35" s="358"/>
      <c r="KI35" s="134"/>
      <c r="KJ35" s="133"/>
      <c r="KK35" s="151"/>
      <c r="KL35" s="133"/>
      <c r="KM35" s="148"/>
      <c r="KN35" s="134"/>
      <c r="KO35" s="190"/>
      <c r="KP35" s="151"/>
      <c r="KQ35" s="621"/>
      <c r="KR35" s="358"/>
      <c r="KS35" s="358"/>
      <c r="KT35" s="134"/>
      <c r="KU35" s="133"/>
      <c r="KV35" s="151"/>
      <c r="KW35" s="133"/>
      <c r="KX35" s="148"/>
      <c r="KY35" s="134"/>
      <c r="KZ35" s="190"/>
      <c r="LA35" s="151"/>
      <c r="LB35" s="402"/>
      <c r="LC35" s="191"/>
      <c r="LD35" s="191"/>
      <c r="LE35" s="151"/>
      <c r="LF35" s="226"/>
      <c r="LG35" s="128"/>
      <c r="LH35" s="139"/>
      <c r="LI35" s="660"/>
      <c r="LJ35" s="442"/>
      <c r="LK35" s="106"/>
      <c r="LL35" s="621"/>
      <c r="LM35" s="358"/>
      <c r="LN35" s="358"/>
      <c r="LO35" s="134"/>
      <c r="LP35" s="133"/>
      <c r="LQ35" s="151"/>
      <c r="LR35" s="133"/>
      <c r="LS35" s="148"/>
      <c r="LT35" s="134"/>
      <c r="LU35" s="190"/>
      <c r="LV35" s="151"/>
      <c r="LW35" s="134"/>
      <c r="LX35" s="134"/>
      <c r="LY35" s="134"/>
      <c r="LZ35" s="134"/>
      <c r="MA35" s="133"/>
      <c r="MB35" s="151"/>
      <c r="MC35" s="134"/>
      <c r="MD35" s="134"/>
      <c r="ME35" s="134"/>
      <c r="MF35" s="190"/>
      <c r="MG35" s="151"/>
      <c r="MH35" s="134"/>
      <c r="MI35" s="134"/>
      <c r="MJ35" s="134"/>
      <c r="MK35" s="134"/>
      <c r="ML35" s="133"/>
      <c r="MM35" s="151"/>
      <c r="MN35" s="134"/>
      <c r="MO35" s="134"/>
      <c r="MP35" s="134"/>
      <c r="MQ35" s="190"/>
      <c r="MR35" s="151"/>
      <c r="MS35" s="1472"/>
      <c r="MT35" s="118"/>
      <c r="MU35" s="118"/>
      <c r="MV35" s="135"/>
      <c r="MW35" s="133"/>
      <c r="MX35" s="134"/>
      <c r="MY35" s="134"/>
      <c r="MZ35" s="135"/>
      <c r="NA35" s="135"/>
      <c r="NB35" s="151"/>
      <c r="NC35" s="134"/>
      <c r="ND35" s="134"/>
      <c r="NE35" s="134"/>
      <c r="NF35" s="134"/>
      <c r="NG35" s="133"/>
      <c r="NH35" s="151"/>
      <c r="NI35" s="134"/>
      <c r="NJ35" s="134"/>
      <c r="NK35" s="134"/>
      <c r="NL35" s="190"/>
      <c r="NM35" s="135"/>
      <c r="NN35" s="1563"/>
      <c r="NO35" s="134"/>
      <c r="NP35" s="134"/>
      <c r="NQ35" s="134"/>
      <c r="NR35" s="133"/>
      <c r="NS35" s="151"/>
      <c r="NT35" s="134"/>
      <c r="NU35" s="134"/>
      <c r="NV35" s="134"/>
      <c r="NW35" s="190"/>
      <c r="NX35" s="135"/>
      <c r="NY35" s="1563"/>
      <c r="NZ35" s="134"/>
      <c r="OA35" s="134"/>
      <c r="OB35" s="134"/>
      <c r="OC35" s="133"/>
      <c r="OD35" s="151"/>
      <c r="OE35" s="134"/>
      <c r="OF35" s="134"/>
      <c r="OG35" s="134"/>
      <c r="OH35" s="190"/>
      <c r="OI35" s="5380"/>
      <c r="OJ35" s="69"/>
      <c r="OK35" s="155"/>
      <c r="OL35" s="155"/>
      <c r="OM35" s="74"/>
      <c r="ON35" s="155"/>
      <c r="OO35" s="70"/>
      <c r="OP35" s="69"/>
      <c r="OQ35" s="2915"/>
      <c r="OR35" s="208"/>
      <c r="OS35" s="395"/>
      <c r="OT35" s="134"/>
      <c r="OU35" s="133"/>
      <c r="OV35" s="94"/>
      <c r="OW35" s="134"/>
      <c r="OX35" s="134"/>
      <c r="OY35" s="134"/>
      <c r="OZ35" s="190"/>
      <c r="PA35" s="5361"/>
      <c r="PB35" s="5321"/>
      <c r="PC35" s="358"/>
      <c r="PD35" s="358"/>
      <c r="PE35" s="134"/>
      <c r="PF35" s="133"/>
      <c r="PG35" s="94"/>
      <c r="PH35" s="134"/>
      <c r="PI35" s="134"/>
      <c r="PJ35" s="134"/>
      <c r="PK35" s="190"/>
      <c r="PL35" s="135"/>
      <c r="PM35" s="5390">
        <v>3</v>
      </c>
      <c r="PN35" s="395">
        <v>104003</v>
      </c>
      <c r="PO35" s="395">
        <v>123491</v>
      </c>
      <c r="PP35" s="134"/>
      <c r="PQ35" s="6293">
        <f t="shared" si="263"/>
        <v>19488</v>
      </c>
      <c r="PR35" s="6295">
        <f t="shared" si="264"/>
        <v>0.15780907110639641</v>
      </c>
      <c r="PS35" s="134">
        <v>0</v>
      </c>
      <c r="PT35" s="134">
        <v>50000</v>
      </c>
      <c r="PU35" s="134">
        <v>0</v>
      </c>
      <c r="PV35" s="190">
        <f t="shared" si="265"/>
        <v>-30512</v>
      </c>
      <c r="PW35" s="5380">
        <f t="shared" si="266"/>
        <v>-0.24707873448267484</v>
      </c>
      <c r="PX35" s="5321"/>
      <c r="PY35" s="191"/>
      <c r="PZ35" s="191"/>
      <c r="QA35" s="135"/>
      <c r="QB35" s="110">
        <v>3</v>
      </c>
      <c r="QC35" s="208">
        <v>136413</v>
      </c>
      <c r="QD35" s="208">
        <v>162720</v>
      </c>
      <c r="QE35" s="134"/>
      <c r="QF35" s="6293">
        <f t="shared" si="270"/>
        <v>26307</v>
      </c>
      <c r="QG35" s="6295">
        <f t="shared" si="271"/>
        <v>0.1616703539823009</v>
      </c>
      <c r="QH35" s="134">
        <v>0</v>
      </c>
      <c r="QI35" s="148"/>
      <c r="QJ35" s="134">
        <v>0</v>
      </c>
      <c r="QK35" s="190">
        <f t="shared" si="507"/>
        <v>26307</v>
      </c>
      <c r="QL35" s="5380">
        <f t="shared" si="273"/>
        <v>0.1616703539823009</v>
      </c>
      <c r="QM35" s="5396">
        <v>3</v>
      </c>
      <c r="QN35" s="208">
        <v>136413</v>
      </c>
      <c r="QO35" s="208">
        <v>162720</v>
      </c>
      <c r="QP35" s="134"/>
      <c r="QQ35" s="133">
        <f>QO35-(QN35+QP35)</f>
        <v>26307</v>
      </c>
      <c r="QR35" s="151">
        <f>QQ35/QO35</f>
        <v>0.1616703539823009</v>
      </c>
      <c r="QS35" s="133">
        <v>0</v>
      </c>
      <c r="QT35" s="134">
        <v>26500</v>
      </c>
      <c r="QU35" s="134">
        <v>500000</v>
      </c>
      <c r="QV35" s="190">
        <f t="shared" si="497"/>
        <v>-500193</v>
      </c>
      <c r="QW35" s="5380">
        <f t="shared" si="504"/>
        <v>-3.0739491150442477</v>
      </c>
      <c r="QX35" s="5396">
        <v>3</v>
      </c>
      <c r="QY35" s="208">
        <v>106559</v>
      </c>
      <c r="QZ35" s="208">
        <v>123863</v>
      </c>
      <c r="RA35" s="622"/>
      <c r="RB35" s="133">
        <f>QZ35-(QY35+RA35)</f>
        <v>17304</v>
      </c>
      <c r="RC35" s="151">
        <f t="shared" si="492"/>
        <v>0.13970273608745146</v>
      </c>
      <c r="RD35" s="133"/>
      <c r="RE35" s="134"/>
      <c r="RF35" s="134"/>
      <c r="RG35" s="190">
        <f>RB35-SUM(RD35:RF35)</f>
        <v>17304</v>
      </c>
      <c r="RH35" s="5380">
        <f>RG35/QZ35</f>
        <v>0.13970273608745146</v>
      </c>
      <c r="RI35" s="5376"/>
      <c r="RJ35" s="191"/>
      <c r="RK35" s="191"/>
      <c r="RL35" s="5380"/>
      <c r="RM35" s="1562"/>
      <c r="RN35" s="128"/>
      <c r="RO35" s="139"/>
      <c r="RP35" s="660"/>
      <c r="RQ35" s="442"/>
      <c r="RR35" s="6339"/>
      <c r="RS35" s="698">
        <v>3</v>
      </c>
      <c r="RT35" s="208">
        <v>135992</v>
      </c>
      <c r="RU35" s="208">
        <v>158301</v>
      </c>
      <c r="RV35" s="2563">
        <v>0</v>
      </c>
      <c r="RW35" s="133">
        <f t="shared" si="498"/>
        <v>22309</v>
      </c>
      <c r="RX35" s="151">
        <f t="shared" si="499"/>
        <v>0.14092772629357994</v>
      </c>
      <c r="RY35" s="133"/>
      <c r="RZ35" s="134"/>
      <c r="SA35" s="134"/>
      <c r="SB35" s="188"/>
      <c r="SC35" s="5380"/>
      <c r="SD35" s="110">
        <v>6</v>
      </c>
      <c r="SE35" s="208">
        <v>235530</v>
      </c>
      <c r="SF35" s="208">
        <v>269000</v>
      </c>
      <c r="SG35" s="772">
        <v>0</v>
      </c>
      <c r="SH35" s="6361">
        <f t="shared" si="493"/>
        <v>33470</v>
      </c>
      <c r="SI35" s="6363">
        <f t="shared" si="494"/>
        <v>0.12442379182156134</v>
      </c>
      <c r="SJ35" s="134"/>
      <c r="SK35" s="134"/>
      <c r="SL35" s="134"/>
      <c r="SM35" s="188">
        <f>SH35-SUM(SJ35:SL35)</f>
        <v>33470</v>
      </c>
      <c r="SN35" s="5389">
        <f>SM35/SF35</f>
        <v>0.12442379182156134</v>
      </c>
      <c r="SO35" s="134">
        <v>6</v>
      </c>
      <c r="SP35" s="134">
        <v>297910</v>
      </c>
      <c r="SQ35" s="134">
        <v>344979</v>
      </c>
      <c r="SR35" s="134">
        <v>0</v>
      </c>
      <c r="SS35" s="6361">
        <f t="shared" ref="SS35:SS43" si="510">SQ35-(SP35+SR35)</f>
        <v>47069</v>
      </c>
      <c r="ST35" s="6363">
        <f t="shared" si="301"/>
        <v>0.13644018911296049</v>
      </c>
      <c r="SU35" s="134">
        <v>0</v>
      </c>
      <c r="SV35" s="134"/>
      <c r="SW35" s="134">
        <v>0</v>
      </c>
      <c r="SX35" s="190">
        <f t="shared" ref="SX35:SX43" si="511">SS35-SUM(SU35:SW35)</f>
        <v>47069</v>
      </c>
      <c r="SY35" s="5380">
        <f>SX35/SQ35</f>
        <v>0.13644018911296049</v>
      </c>
      <c r="SZ35" s="6270"/>
      <c r="TA35" s="118"/>
      <c r="TB35" s="118"/>
      <c r="TC35" s="5381">
        <v>0</v>
      </c>
      <c r="TD35" s="1563">
        <v>8</v>
      </c>
      <c r="TE35" s="134">
        <v>291217</v>
      </c>
      <c r="TF35" s="134">
        <v>331921</v>
      </c>
      <c r="TG35" s="134"/>
      <c r="TH35" s="133">
        <f t="shared" si="495"/>
        <v>40704</v>
      </c>
      <c r="TI35" s="196">
        <v>0</v>
      </c>
      <c r="TJ35" s="134">
        <v>0</v>
      </c>
      <c r="TK35" s="134">
        <v>0</v>
      </c>
      <c r="TL35" s="134">
        <v>0</v>
      </c>
      <c r="TM35" s="190">
        <f t="shared" si="500"/>
        <v>40704</v>
      </c>
      <c r="TN35" s="5380">
        <f t="shared" si="501"/>
        <v>0.12263159004702927</v>
      </c>
      <c r="TO35" s="134"/>
      <c r="TP35" s="134"/>
      <c r="TQ35" s="134"/>
      <c r="TR35" s="134"/>
      <c r="TS35" s="133"/>
      <c r="TT35" s="151"/>
      <c r="TU35" s="134"/>
      <c r="TV35" s="134"/>
      <c r="TW35" s="134"/>
      <c r="TX35" s="190"/>
      <c r="TY35" s="135"/>
      <c r="TZ35" s="1563"/>
      <c r="UA35" s="134"/>
      <c r="UB35" s="134"/>
      <c r="UC35" s="134"/>
      <c r="UD35" s="133"/>
      <c r="UE35" s="151"/>
      <c r="UF35" s="134"/>
      <c r="UG35" s="134"/>
      <c r="UH35" s="134"/>
      <c r="UI35" s="190"/>
      <c r="UJ35" s="5380"/>
      <c r="UK35" s="5376"/>
      <c r="UL35" s="191">
        <f t="shared" si="284"/>
        <v>1676995</v>
      </c>
      <c r="UM35" s="191">
        <f t="shared" si="285"/>
        <v>232958</v>
      </c>
      <c r="UN35" s="135">
        <f>UM35/UL35</f>
        <v>0.1389139502502989</v>
      </c>
      <c r="UO35" s="191">
        <f t="shared" si="286"/>
        <v>-365851</v>
      </c>
      <c r="UP35" s="5380">
        <f>UO35/UL35</f>
        <v>-0.21815867071756326</v>
      </c>
    </row>
    <row r="36" spans="1:562" x14ac:dyDescent="0.3">
      <c r="A36" s="5316">
        <v>17</v>
      </c>
      <c r="B36" s="5362" t="s">
        <v>590</v>
      </c>
      <c r="C36" s="578" t="s">
        <v>141</v>
      </c>
      <c r="D36" s="578" t="s">
        <v>140</v>
      </c>
      <c r="E36" s="6278" t="s">
        <v>254</v>
      </c>
      <c r="F36" s="71"/>
      <c r="G36" s="160"/>
      <c r="H36" s="160"/>
      <c r="I36" s="160"/>
      <c r="J36" s="71"/>
      <c r="K36" s="628"/>
      <c r="L36" s="160"/>
      <c r="M36" s="160"/>
      <c r="N36" s="160"/>
      <c r="O36" s="71"/>
      <c r="P36" s="628"/>
      <c r="Q36" s="160"/>
      <c r="R36" s="160"/>
      <c r="S36" s="160"/>
      <c r="T36" s="7"/>
      <c r="U36" s="628"/>
      <c r="V36" s="71"/>
      <c r="W36" s="71"/>
      <c r="X36" s="71"/>
      <c r="Y36" s="71"/>
      <c r="Z36" s="629"/>
      <c r="AA36" s="71"/>
      <c r="AB36" s="71"/>
      <c r="AC36" s="71"/>
      <c r="AD36" s="71"/>
      <c r="AE36" s="690"/>
      <c r="AF36" s="71"/>
      <c r="AG36" s="630"/>
      <c r="AH36" s="631"/>
      <c r="AI36" s="631"/>
      <c r="AJ36" s="631"/>
      <c r="AK36" s="700"/>
      <c r="AL36" s="632"/>
      <c r="AM36" s="131"/>
      <c r="AN36" s="429"/>
      <c r="AO36" s="132"/>
      <c r="AP36" s="429"/>
      <c r="AQ36" s="429"/>
      <c r="AR36" s="701"/>
      <c r="AS36" s="667"/>
      <c r="AT36" s="380"/>
      <c r="AU36" s="380"/>
      <c r="AV36" s="380"/>
      <c r="AW36" s="116"/>
      <c r="AX36" s="702"/>
      <c r="AY36" s="703"/>
      <c r="AZ36" s="703"/>
      <c r="BA36" s="703"/>
      <c r="BB36" s="704"/>
      <c r="BC36" s="694"/>
      <c r="BD36" s="690"/>
      <c r="BE36" s="690"/>
      <c r="BF36" s="690"/>
      <c r="BG36" s="690"/>
      <c r="BH36" s="589"/>
      <c r="BI36" s="694"/>
      <c r="BJ36" s="690"/>
      <c r="BK36" s="690"/>
      <c r="BL36" s="690"/>
      <c r="BM36" s="690"/>
      <c r="BN36" s="589"/>
      <c r="BO36" s="689"/>
      <c r="BP36" s="690"/>
      <c r="BQ36" s="690"/>
      <c r="BR36" s="690"/>
      <c r="BS36" s="690"/>
      <c r="BT36" s="705"/>
      <c r="BU36" s="689"/>
      <c r="BV36" s="592"/>
      <c r="BW36" s="592"/>
      <c r="BX36" s="593"/>
      <c r="BY36" s="691"/>
      <c r="BZ36" s="692"/>
      <c r="CA36" s="692"/>
      <c r="CB36" s="692"/>
      <c r="CC36" s="692"/>
      <c r="CD36" s="693"/>
      <c r="CE36" s="694"/>
      <c r="CF36" s="690"/>
      <c r="CG36" s="690"/>
      <c r="CH36" s="690"/>
      <c r="CI36" s="109"/>
      <c r="CJ36" s="695"/>
      <c r="CK36" s="630"/>
      <c r="CL36" s="631"/>
      <c r="CM36" s="631"/>
      <c r="CN36" s="631"/>
      <c r="CO36" s="700"/>
      <c r="CP36" s="632"/>
      <c r="CQ36" s="109"/>
      <c r="CR36" s="644"/>
      <c r="CS36" s="644"/>
      <c r="CT36" s="109"/>
      <c r="CU36" s="109"/>
      <c r="CV36" s="74"/>
      <c r="CW36" s="638"/>
      <c r="CX36" s="639"/>
      <c r="CY36" s="639"/>
      <c r="CZ36" s="639"/>
      <c r="DA36" s="605"/>
      <c r="DB36" s="632"/>
      <c r="DC36" s="640"/>
      <c r="DD36" s="639"/>
      <c r="DE36" s="639"/>
      <c r="DF36" s="639"/>
      <c r="DG36" s="639"/>
      <c r="DH36" s="74"/>
      <c r="DI36" s="642"/>
      <c r="DJ36" s="141"/>
      <c r="DK36" s="141"/>
      <c r="DL36" s="74"/>
      <c r="DM36" s="141"/>
      <c r="DN36" s="74"/>
      <c r="DO36" s="643"/>
      <c r="DP36" s="644"/>
      <c r="DQ36" s="644"/>
      <c r="DR36" s="644"/>
      <c r="DS36" s="74"/>
      <c r="DT36" s="74"/>
      <c r="DU36" s="74"/>
      <c r="DV36" s="73"/>
      <c r="DW36" s="643"/>
      <c r="DX36" s="706"/>
      <c r="DY36" s="706"/>
      <c r="DZ36" s="706"/>
      <c r="EA36" s="74"/>
      <c r="EB36" s="74"/>
      <c r="EC36" s="74"/>
      <c r="ED36" s="73"/>
      <c r="EE36" s="638"/>
      <c r="EF36" s="639"/>
      <c r="EG36" s="639"/>
      <c r="EH36" s="639"/>
      <c r="EI36" s="707"/>
      <c r="EJ36" s="632"/>
      <c r="EK36" s="640"/>
      <c r="EL36" s="646"/>
      <c r="EM36" s="639"/>
      <c r="EN36" s="639"/>
      <c r="EO36" s="639"/>
      <c r="EP36" s="74"/>
      <c r="EQ36" s="638"/>
      <c r="ER36" s="109"/>
      <c r="ES36" s="109"/>
      <c r="ET36" s="109"/>
      <c r="EU36" s="134"/>
      <c r="EV36" s="632"/>
      <c r="EW36" s="640"/>
      <c r="EX36" s="646"/>
      <c r="EY36" s="639"/>
      <c r="EZ36" s="639"/>
      <c r="FA36" s="639"/>
      <c r="FB36" s="74"/>
      <c r="FC36" s="643"/>
      <c r="FD36" s="644"/>
      <c r="FE36" s="644"/>
      <c r="FF36" s="644"/>
      <c r="FG36" s="74"/>
      <c r="FH36" s="74"/>
      <c r="FI36" s="74"/>
      <c r="FJ36" s="73"/>
      <c r="FK36" s="165"/>
      <c r="FL36" s="109"/>
      <c r="FM36" s="109"/>
      <c r="FN36" s="109"/>
      <c r="FO36" s="109"/>
      <c r="FP36" s="74"/>
      <c r="FQ36" s="165"/>
      <c r="FR36" s="109"/>
      <c r="FS36" s="109"/>
      <c r="FT36" s="155"/>
      <c r="FU36" s="74"/>
      <c r="FV36" s="187"/>
      <c r="FW36" s="155"/>
      <c r="FX36" s="155"/>
      <c r="FY36" s="155"/>
      <c r="FZ36" s="155"/>
      <c r="GA36" s="74"/>
      <c r="GB36" s="74"/>
      <c r="GC36" s="74"/>
      <c r="GD36" s="73"/>
      <c r="GE36" s="187"/>
      <c r="GF36" s="155"/>
      <c r="GG36" s="155"/>
      <c r="GH36" s="74"/>
      <c r="GI36" s="155"/>
      <c r="GJ36" s="187"/>
      <c r="GK36" s="155"/>
      <c r="GL36" s="155"/>
      <c r="GM36" s="155"/>
      <c r="GN36" s="165"/>
      <c r="GO36" s="109"/>
      <c r="GP36" s="109"/>
      <c r="GQ36" s="109"/>
      <c r="GR36" s="134"/>
      <c r="GS36" s="74"/>
      <c r="GT36" s="165"/>
      <c r="GU36" s="109"/>
      <c r="GV36" s="109"/>
      <c r="GW36" s="109"/>
      <c r="GX36" s="187"/>
      <c r="GY36" s="73"/>
      <c r="GZ36" s="708"/>
      <c r="HA36" s="708"/>
      <c r="HB36" s="708"/>
      <c r="HC36" s="130"/>
      <c r="HD36" s="134"/>
      <c r="HE36" s="73"/>
      <c r="HF36" s="138"/>
      <c r="HG36" s="130"/>
      <c r="HH36" s="130"/>
      <c r="HI36" s="130"/>
      <c r="HJ36" s="197"/>
      <c r="HK36" s="201"/>
      <c r="HL36" s="147"/>
      <c r="HM36" s="148"/>
      <c r="HN36" s="148"/>
      <c r="HO36" s="148"/>
      <c r="HP36" s="615"/>
      <c r="HQ36" s="201"/>
      <c r="HR36" s="148"/>
      <c r="HS36" s="148"/>
      <c r="HT36" s="148"/>
      <c r="HU36" s="148"/>
      <c r="HV36" s="709"/>
      <c r="HW36" s="712"/>
      <c r="HX36" s="710"/>
      <c r="HY36" s="711"/>
      <c r="HZ36" s="1510"/>
      <c r="IA36" s="711"/>
      <c r="IB36" s="712"/>
      <c r="IC36" s="618"/>
      <c r="ID36" s="745"/>
      <c r="IE36" s="141">
        <f>HY36+GF36+DJ36+BV36</f>
        <v>0</v>
      </c>
      <c r="IF36" s="141">
        <f>HZ36+GG36+DK36+BW36</f>
        <v>0</v>
      </c>
      <c r="IG36" s="74"/>
      <c r="IH36" s="1509"/>
      <c r="II36" s="69"/>
      <c r="IJ36" s="147"/>
      <c r="IK36" s="148"/>
      <c r="IL36" s="148"/>
      <c r="IM36" s="148"/>
      <c r="IN36" s="133"/>
      <c r="IO36" s="201"/>
      <c r="IP36" s="148"/>
      <c r="IQ36" s="148"/>
      <c r="IR36" s="148"/>
      <c r="IS36" s="710"/>
      <c r="IT36" s="712"/>
      <c r="IU36" s="390"/>
      <c r="IV36" s="148"/>
      <c r="IW36" s="148"/>
      <c r="IX36" s="148"/>
      <c r="IY36" s="147"/>
      <c r="IZ36" s="201"/>
      <c r="JA36" s="148"/>
      <c r="JB36" s="148"/>
      <c r="JC36" s="148"/>
      <c r="JD36" s="190"/>
      <c r="JE36" s="196"/>
      <c r="JF36" s="713"/>
      <c r="JG36" s="148"/>
      <c r="JH36" s="148"/>
      <c r="JI36" s="148"/>
      <c r="JJ36" s="133"/>
      <c r="JK36" s="201"/>
      <c r="JL36" s="148"/>
      <c r="JM36" s="148"/>
      <c r="JN36" s="134"/>
      <c r="JO36" s="190"/>
      <c r="JP36" s="151"/>
      <c r="JQ36" s="713"/>
      <c r="JR36" s="191"/>
      <c r="JS36" s="191"/>
      <c r="JT36" s="201"/>
      <c r="JU36" s="713"/>
      <c r="JV36" s="715"/>
      <c r="JW36" s="134"/>
      <c r="JX36" s="148"/>
      <c r="JY36" s="133"/>
      <c r="JZ36" s="151"/>
      <c r="KA36" s="133">
        <v>0</v>
      </c>
      <c r="KB36" s="148">
        <v>0</v>
      </c>
      <c r="KC36" s="134"/>
      <c r="KD36" s="190">
        <f>JY36-SUM(KA36:KC36)</f>
        <v>0</v>
      </c>
      <c r="KE36" s="196">
        <v>0</v>
      </c>
      <c r="KF36" s="713"/>
      <c r="KG36" s="715"/>
      <c r="KH36" s="134"/>
      <c r="KI36" s="148"/>
      <c r="KJ36" s="133"/>
      <c r="KK36" s="151"/>
      <c r="KL36" s="133"/>
      <c r="KM36" s="148">
        <v>0</v>
      </c>
      <c r="KN36" s="134"/>
      <c r="KO36" s="190">
        <f>KJ36-SUM(KL36:KN36)</f>
        <v>0</v>
      </c>
      <c r="KP36" s="196">
        <v>0</v>
      </c>
      <c r="KQ36" s="713"/>
      <c r="KR36" s="134"/>
      <c r="KS36" s="134"/>
      <c r="KT36" s="148"/>
      <c r="KU36" s="133">
        <v>0</v>
      </c>
      <c r="KV36" s="151"/>
      <c r="KW36" s="133"/>
      <c r="KX36" s="148">
        <v>0</v>
      </c>
      <c r="KY36" s="134"/>
      <c r="KZ36" s="190">
        <f>KU36-SUM(KW36:KY36)</f>
        <v>0</v>
      </c>
      <c r="LA36" s="196">
        <v>0</v>
      </c>
      <c r="LB36" s="402"/>
      <c r="LC36" s="191">
        <f>KS36+KH36+JW36</f>
        <v>0</v>
      </c>
      <c r="LD36" s="191">
        <f>KU36+KJ36+JY36</f>
        <v>0</v>
      </c>
      <c r="LE36" s="151"/>
      <c r="LF36" s="226">
        <f>LB36-JQ36</f>
        <v>0</v>
      </c>
      <c r="LG36" s="128">
        <f>LC36-JR36</f>
        <v>0</v>
      </c>
      <c r="LH36" s="139">
        <f>LD36-JS36</f>
        <v>0</v>
      </c>
      <c r="LI36" s="442"/>
      <c r="LJ36" s="442"/>
      <c r="LK36" s="106"/>
      <c r="LL36" s="713"/>
      <c r="LM36" s="134"/>
      <c r="LN36" s="134"/>
      <c r="LO36" s="148"/>
      <c r="LP36" s="133">
        <f>LN36-(LM36+LO36)</f>
        <v>0</v>
      </c>
      <c r="LQ36" s="151"/>
      <c r="LR36" s="133"/>
      <c r="LS36" s="148">
        <v>0</v>
      </c>
      <c r="LT36" s="134"/>
      <c r="LU36" s="190">
        <f>LP36-SUM(LR36:LT36)</f>
        <v>0</v>
      </c>
      <c r="LV36" s="196">
        <v>0</v>
      </c>
      <c r="LW36" s="134"/>
      <c r="LX36" s="134"/>
      <c r="LY36" s="134"/>
      <c r="LZ36" s="134"/>
      <c r="MA36" s="133">
        <f>LY36-(LX36+LZ36)</f>
        <v>0</v>
      </c>
      <c r="MB36" s="151"/>
      <c r="MC36" s="134"/>
      <c r="MD36" s="134">
        <v>0</v>
      </c>
      <c r="ME36" s="134"/>
      <c r="MF36" s="190">
        <f>MA36-SUM(MC36:ME36)</f>
        <v>0</v>
      </c>
      <c r="MG36" s="151"/>
      <c r="MH36" s="134">
        <v>1</v>
      </c>
      <c r="MI36" s="134">
        <v>219469</v>
      </c>
      <c r="MJ36" s="134">
        <v>328666</v>
      </c>
      <c r="MK36" s="134"/>
      <c r="ML36" s="133">
        <f>MJ36-(MI36+MK36)</f>
        <v>109197</v>
      </c>
      <c r="MM36" s="196">
        <v>0</v>
      </c>
      <c r="MN36" s="134">
        <v>0</v>
      </c>
      <c r="MO36" s="134">
        <v>0</v>
      </c>
      <c r="MP36" s="134"/>
      <c r="MQ36" s="190">
        <f>ML36-SUM(MN36:MP36)</f>
        <v>109197</v>
      </c>
      <c r="MR36" s="196">
        <v>0</v>
      </c>
      <c r="MS36" s="1473"/>
      <c r="MT36" s="118">
        <f>MJ36+LY36+LN36</f>
        <v>328666</v>
      </c>
      <c r="MU36" s="118">
        <f>ML36+MA36+LP36</f>
        <v>109197</v>
      </c>
      <c r="MV36" s="135"/>
      <c r="MW36" s="133">
        <f>MS36-LB36</f>
        <v>0</v>
      </c>
      <c r="MX36" s="134">
        <f>MT36-LC36</f>
        <v>328666</v>
      </c>
      <c r="MY36" s="134">
        <f>MU36-LD36</f>
        <v>109197</v>
      </c>
      <c r="MZ36" s="135"/>
      <c r="NA36" s="135"/>
      <c r="NB36" s="151"/>
      <c r="NC36" s="134">
        <v>2</v>
      </c>
      <c r="ND36" s="134">
        <v>443107</v>
      </c>
      <c r="NE36" s="134">
        <v>715806</v>
      </c>
      <c r="NF36" s="134"/>
      <c r="NG36" s="133">
        <f>NE36-(ND36+NF36)</f>
        <v>272699</v>
      </c>
      <c r="NH36" s="151">
        <f>NG36/NE36</f>
        <v>0.38096774824463614</v>
      </c>
      <c r="NI36" s="134">
        <v>0</v>
      </c>
      <c r="NJ36" s="134">
        <v>0</v>
      </c>
      <c r="NK36" s="134"/>
      <c r="NL36" s="190">
        <f>NG36-SUM(NI36:NK36)</f>
        <v>272699</v>
      </c>
      <c r="NM36" s="152">
        <v>0</v>
      </c>
      <c r="NN36" s="1563">
        <v>2</v>
      </c>
      <c r="NO36" s="134">
        <v>380228</v>
      </c>
      <c r="NP36" s="134">
        <v>565000</v>
      </c>
      <c r="NQ36" s="134">
        <v>0</v>
      </c>
      <c r="NR36" s="133">
        <f>NP36-(NO36+NQ36)</f>
        <v>184772</v>
      </c>
      <c r="NS36" s="151">
        <f>NR36/NP36</f>
        <v>0.32703008849557524</v>
      </c>
      <c r="NT36" s="134">
        <v>0</v>
      </c>
      <c r="NU36" s="134">
        <v>0</v>
      </c>
      <c r="NV36" s="134">
        <v>150000</v>
      </c>
      <c r="NW36" s="190">
        <f>NR36-SUM(NT36:NV36)</f>
        <v>34772</v>
      </c>
      <c r="NX36" s="152">
        <v>0</v>
      </c>
      <c r="NY36" s="1563">
        <v>2</v>
      </c>
      <c r="NZ36" s="134">
        <v>380228</v>
      </c>
      <c r="OA36" s="134">
        <v>556129</v>
      </c>
      <c r="OB36" s="134">
        <v>0</v>
      </c>
      <c r="OC36" s="133">
        <f>OA36-(NZ36+OB36)</f>
        <v>175901</v>
      </c>
      <c r="OD36" s="151">
        <f>OC36/OA36</f>
        <v>0.31629531997072624</v>
      </c>
      <c r="OE36" s="134">
        <v>0</v>
      </c>
      <c r="OF36" s="134">
        <v>3042474.9699999997</v>
      </c>
      <c r="OG36" s="134">
        <v>0</v>
      </c>
      <c r="OH36" s="190">
        <f>OC36-SUM(OE36:OG36)</f>
        <v>-2866573.9699999997</v>
      </c>
      <c r="OI36" s="5381">
        <v>0</v>
      </c>
      <c r="OJ36" s="69">
        <v>2</v>
      </c>
      <c r="OK36" s="155">
        <f>OA36+NP36+NE36+MJ36+LY36+LN36+KS36+KH36+JW36+JG36+IW36+IL36</f>
        <v>2165601</v>
      </c>
      <c r="OL36" s="155">
        <f>OC36+NR36+NG36+ML36+MA36+LP36+KU36+KJ36+JY36+JI36+IY36+IN36</f>
        <v>742569</v>
      </c>
      <c r="OM36" s="74">
        <f>OL36/OK36</f>
        <v>0.34289280435315644</v>
      </c>
      <c r="ON36" s="155">
        <f>OH36+NW36+NL36+MQ36+MF36+LU36+KZ36+KO36+KD36+JN36+JD36+IS36</f>
        <v>-2449905.9699999997</v>
      </c>
      <c r="OO36" s="70"/>
      <c r="OP36" s="69"/>
      <c r="OQ36" s="2008">
        <v>2</v>
      </c>
      <c r="OR36" s="208">
        <v>380228</v>
      </c>
      <c r="OS36" s="208">
        <v>555833</v>
      </c>
      <c r="OT36" s="148"/>
      <c r="OU36" s="133">
        <f>OS36-(OR36+OT36)</f>
        <v>175605</v>
      </c>
      <c r="OV36" s="94">
        <f>OU36/OS36</f>
        <v>0.31593122394676099</v>
      </c>
      <c r="OW36" s="148"/>
      <c r="OX36" s="134">
        <v>0</v>
      </c>
      <c r="OY36" s="148"/>
      <c r="OZ36" s="190">
        <f>OU36-SUM(OW36:OY36)</f>
        <v>175605</v>
      </c>
      <c r="PA36" s="5361">
        <f>OZ36/OS36</f>
        <v>0.31593122394676099</v>
      </c>
      <c r="PB36" s="5320">
        <v>2</v>
      </c>
      <c r="PC36" s="134">
        <v>380228</v>
      </c>
      <c r="PD36" s="134">
        <v>556129</v>
      </c>
      <c r="PE36" s="134"/>
      <c r="PF36" s="133">
        <f>PD36-(PC36+PE36)</f>
        <v>175901</v>
      </c>
      <c r="PG36" s="94">
        <f>PF36/PD36</f>
        <v>0.31629531997072624</v>
      </c>
      <c r="PH36" s="134">
        <v>0</v>
      </c>
      <c r="PI36" s="134">
        <v>0</v>
      </c>
      <c r="PJ36" s="134">
        <v>0</v>
      </c>
      <c r="PK36" s="190">
        <f>PF36-SUM(PH36:PJ36)</f>
        <v>175901</v>
      </c>
      <c r="PL36" s="135">
        <f>PK36/PD36</f>
        <v>0.31629531997072624</v>
      </c>
      <c r="PM36" s="5391">
        <v>2</v>
      </c>
      <c r="PN36" s="358">
        <v>380228</v>
      </c>
      <c r="PO36" s="358">
        <v>546167</v>
      </c>
      <c r="PP36" s="622"/>
      <c r="PQ36" s="6293">
        <f>PO36-(PN36+PP36)</f>
        <v>165939</v>
      </c>
      <c r="PR36" s="6295">
        <f>PQ36/PO36</f>
        <v>0.30382465436395828</v>
      </c>
      <c r="PS36" s="134">
        <v>0</v>
      </c>
      <c r="PT36" s="134">
        <v>50000</v>
      </c>
      <c r="PU36" s="134">
        <f>100000-585</f>
        <v>99415</v>
      </c>
      <c r="PV36" s="190">
        <f>PQ36-SUM(PS36:PU36)</f>
        <v>16524</v>
      </c>
      <c r="PW36" s="5380">
        <f>PV36/PO36</f>
        <v>3.0254482603306314E-2</v>
      </c>
      <c r="PX36" s="5322">
        <v>2</v>
      </c>
      <c r="PY36" s="191"/>
      <c r="PZ36" s="191"/>
      <c r="QA36" s="198"/>
      <c r="QB36" s="5382">
        <v>2</v>
      </c>
      <c r="QC36" s="134">
        <v>210170</v>
      </c>
      <c r="QD36" s="134">
        <v>306946</v>
      </c>
      <c r="QE36" s="134"/>
      <c r="QF36" s="6293">
        <f>QD36-(QC36+QE36)</f>
        <v>96776</v>
      </c>
      <c r="QG36" s="6295">
        <f>QF36/QD36</f>
        <v>0.31528672795866375</v>
      </c>
      <c r="QH36" s="134">
        <v>0</v>
      </c>
      <c r="QI36" s="148"/>
      <c r="QJ36" s="134">
        <v>46339</v>
      </c>
      <c r="QK36" s="190">
        <f>QF36-SUM(QH36:QJ36)</f>
        <v>50437</v>
      </c>
      <c r="QL36" s="5380">
        <f>QK36/QD36</f>
        <v>0.16431880526216339</v>
      </c>
      <c r="QM36" s="5382">
        <v>1</v>
      </c>
      <c r="QN36" s="715">
        <v>134986</v>
      </c>
      <c r="QO36" s="134">
        <v>205806</v>
      </c>
      <c r="QP36" s="148">
        <v>0</v>
      </c>
      <c r="QQ36" s="133">
        <f>QO36-(QN36+QP36)</f>
        <v>70820</v>
      </c>
      <c r="QR36" s="151">
        <f>QQ36/QO36</f>
        <v>0.34411047296968988</v>
      </c>
      <c r="QS36" s="133">
        <v>0</v>
      </c>
      <c r="QT36" s="134">
        <v>0</v>
      </c>
      <c r="QU36" s="134">
        <v>46339</v>
      </c>
      <c r="QV36" s="190">
        <f>QQ36-SUM(QS36:QU36)</f>
        <v>24481</v>
      </c>
      <c r="QW36" s="5380">
        <f>QV36/QO36</f>
        <v>0.11895182842094011</v>
      </c>
      <c r="QX36" s="5382"/>
      <c r="QY36" s="134">
        <v>0</v>
      </c>
      <c r="QZ36" s="134">
        <v>0</v>
      </c>
      <c r="RA36" s="148">
        <v>0</v>
      </c>
      <c r="RB36" s="133">
        <f>QZ36-(QY36+RA36)</f>
        <v>0</v>
      </c>
      <c r="RC36" s="151"/>
      <c r="RD36" s="133">
        <v>0</v>
      </c>
      <c r="RE36" s="134">
        <v>0</v>
      </c>
      <c r="RF36" s="134">
        <v>46339</v>
      </c>
      <c r="RG36" s="190">
        <f>RB36-SUM(RD36:RF36)</f>
        <v>-46339</v>
      </c>
      <c r="RH36" s="5381">
        <v>0</v>
      </c>
      <c r="RI36" s="5376"/>
      <c r="RJ36" s="191">
        <f>QZ36+QO36+QD36</f>
        <v>512752</v>
      </c>
      <c r="RK36" s="191">
        <f>RB36+QQ36+QF36</f>
        <v>167596</v>
      </c>
      <c r="RL36" s="5380">
        <f>RK36/RJ36</f>
        <v>0.32685586794395732</v>
      </c>
      <c r="RM36" s="1562">
        <f>RI36-PX36</f>
        <v>-2</v>
      </c>
      <c r="RN36" s="128">
        <f>RJ36-PY36</f>
        <v>512752</v>
      </c>
      <c r="RO36" s="139">
        <f>RK36-PZ36</f>
        <v>167596</v>
      </c>
      <c r="RP36" s="442"/>
      <c r="RQ36" s="442"/>
      <c r="RR36" s="6339"/>
      <c r="RS36" s="6329"/>
      <c r="RT36" s="130">
        <v>0</v>
      </c>
      <c r="RU36" s="130">
        <v>0</v>
      </c>
      <c r="RV36" s="3546">
        <v>0</v>
      </c>
      <c r="RW36" s="133">
        <f>RU36-(RT36+RV36)</f>
        <v>0</v>
      </c>
      <c r="RX36" s="151"/>
      <c r="RY36" s="133">
        <v>0</v>
      </c>
      <c r="RZ36" s="134">
        <v>0</v>
      </c>
      <c r="SA36" s="134">
        <v>0</v>
      </c>
      <c r="SB36" s="190">
        <f>RW36-SUM(RY36:SA36)</f>
        <v>0</v>
      </c>
      <c r="SC36" s="5381"/>
      <c r="SD36" s="5405"/>
      <c r="SE36" s="130"/>
      <c r="SF36" s="130"/>
      <c r="SG36" s="606"/>
      <c r="SH36" s="6361">
        <f>SF36-(SE36+SG36)</f>
        <v>0</v>
      </c>
      <c r="SI36" s="6377">
        <v>0</v>
      </c>
      <c r="SJ36" s="134"/>
      <c r="SK36" s="134"/>
      <c r="SL36" s="134"/>
      <c r="SM36" s="188">
        <f>SH36-SUM(SJ36:SL36)</f>
        <v>0</v>
      </c>
      <c r="SN36" s="5389"/>
      <c r="SO36" s="134"/>
      <c r="SP36" s="134"/>
      <c r="SQ36" s="134"/>
      <c r="SR36" s="134"/>
      <c r="SS36" s="6361">
        <f>SQ36-(SP36+SR36)</f>
        <v>0</v>
      </c>
      <c r="ST36" s="6363"/>
      <c r="SU36" s="134">
        <v>0</v>
      </c>
      <c r="SV36" s="134"/>
      <c r="SW36" s="134">
        <v>0</v>
      </c>
      <c r="SX36" s="190">
        <f>SS36-SUM(SU36:SW36)</f>
        <v>0</v>
      </c>
      <c r="SY36" s="5380"/>
      <c r="SZ36" s="6273"/>
      <c r="TA36" s="118">
        <f>SQ36+SF36+RU36</f>
        <v>0</v>
      </c>
      <c r="TB36" s="118">
        <f>SS36+SH36+RW36</f>
        <v>0</v>
      </c>
      <c r="TC36" s="5381">
        <v>0</v>
      </c>
      <c r="TD36" s="1563">
        <v>3</v>
      </c>
      <c r="TE36" s="134">
        <v>400866</v>
      </c>
      <c r="TF36" s="134">
        <v>743870.97</v>
      </c>
      <c r="TG36" s="134"/>
      <c r="TH36" s="133">
        <f>TF36-(TE36+TG36)</f>
        <v>343004.97</v>
      </c>
      <c r="TI36" s="151">
        <f>TH36/TF36</f>
        <v>0.4611081542811114</v>
      </c>
      <c r="TJ36" s="134">
        <v>109398</v>
      </c>
      <c r="TK36" s="134">
        <v>0</v>
      </c>
      <c r="TL36" s="134">
        <v>150000</v>
      </c>
      <c r="TM36" s="190">
        <f t="shared" si="500"/>
        <v>83606.969999999972</v>
      </c>
      <c r="TN36" s="5380">
        <f t="shared" si="501"/>
        <v>0.11239445195717206</v>
      </c>
      <c r="TO36" s="134"/>
      <c r="TP36" s="134"/>
      <c r="TQ36" s="134"/>
      <c r="TR36" s="134"/>
      <c r="TS36" s="133">
        <f>TQ36-(TP36+TR36)</f>
        <v>0</v>
      </c>
      <c r="TT36" s="151" t="e">
        <f>TS36/TQ36</f>
        <v>#DIV/0!</v>
      </c>
      <c r="TU36" s="134">
        <v>0</v>
      </c>
      <c r="TV36" s="134"/>
      <c r="TW36" s="134"/>
      <c r="TX36" s="190">
        <f>TS36-SUM(TU36:TW36)</f>
        <v>0</v>
      </c>
      <c r="TY36" s="152">
        <v>0</v>
      </c>
      <c r="TZ36" s="1563"/>
      <c r="UA36" s="134"/>
      <c r="UB36" s="134"/>
      <c r="UC36" s="134"/>
      <c r="UD36" s="133">
        <f>UB36-(UA36+UC36)</f>
        <v>0</v>
      </c>
      <c r="UE36" s="151" t="e">
        <f>UD36/UB36</f>
        <v>#DIV/0!</v>
      </c>
      <c r="UF36" s="134"/>
      <c r="UG36" s="134"/>
      <c r="UH36" s="134"/>
      <c r="UI36" s="190">
        <f>UD36-SUM(UF36:UH36)</f>
        <v>0</v>
      </c>
      <c r="UJ36" s="5381">
        <v>0</v>
      </c>
      <c r="UK36" s="5376"/>
      <c r="UL36" s="191">
        <f>OS36+PD36+PO36+QD36+QO36+QZ36+RU36+SF36+SQ36+TF36+TQ36+UB36</f>
        <v>2914751.9699999997</v>
      </c>
      <c r="UM36" s="191">
        <f>OU36+PF36+PQ36+QF36+QQ36+RB36+RW36+SH36+SS36+TH36+TS36+UD36</f>
        <v>1028045.97</v>
      </c>
      <c r="UN36" s="135">
        <f>UM36/UL36</f>
        <v>0.35270444297872799</v>
      </c>
      <c r="UO36" s="191">
        <f>OZ36+PK36+PV36+QK36+QV36+RG36+SB36+SM36+SX36+TM36+TX36+UI36</f>
        <v>480215.97</v>
      </c>
      <c r="UP36" s="5380">
        <f>UO36/UL36</f>
        <v>0.16475363082094427</v>
      </c>
    </row>
    <row r="37" spans="1:562" x14ac:dyDescent="0.3">
      <c r="A37" s="5315"/>
      <c r="B37" s="5360" t="s">
        <v>395</v>
      </c>
      <c r="C37" s="578" t="s">
        <v>141</v>
      </c>
      <c r="D37" s="578" t="s">
        <v>142</v>
      </c>
      <c r="E37" s="6278" t="s">
        <v>254</v>
      </c>
      <c r="F37" s="672">
        <v>1</v>
      </c>
      <c r="G37" s="350">
        <v>127510</v>
      </c>
      <c r="H37" s="350">
        <v>195000</v>
      </c>
      <c r="I37" s="350">
        <v>67490</v>
      </c>
      <c r="J37" s="351">
        <f>I37/H37</f>
        <v>0.34610256410256413</v>
      </c>
      <c r="K37" s="673">
        <v>1</v>
      </c>
      <c r="L37" s="350">
        <v>128016</v>
      </c>
      <c r="M37" s="350">
        <v>190664.5</v>
      </c>
      <c r="N37" s="350">
        <v>62648.5</v>
      </c>
      <c r="O37" s="672"/>
      <c r="P37" s="673">
        <v>1</v>
      </c>
      <c r="Q37" s="350">
        <v>177958</v>
      </c>
      <c r="R37" s="350">
        <v>283429</v>
      </c>
      <c r="S37" s="350">
        <v>105471</v>
      </c>
      <c r="T37" s="94"/>
      <c r="U37" s="136"/>
      <c r="V37" s="422"/>
      <c r="W37" s="422"/>
      <c r="X37" s="422"/>
      <c r="Y37" s="422"/>
      <c r="Z37" s="581"/>
      <c r="AA37" s="422"/>
      <c r="AB37" s="422"/>
      <c r="AC37" s="422"/>
      <c r="AD37" s="422"/>
      <c r="AE37" s="582">
        <f>AC37-(AB37+AD37)</f>
        <v>0</v>
      </c>
      <c r="AF37" s="422"/>
      <c r="AG37" s="113">
        <v>1</v>
      </c>
      <c r="AH37" s="616">
        <v>51542</v>
      </c>
      <c r="AI37" s="616">
        <v>87096.77</v>
      </c>
      <c r="AJ37" s="616"/>
      <c r="AK37" s="96">
        <f>AI37-AH37</f>
        <v>35554.770000000004</v>
      </c>
      <c r="AL37" s="114">
        <f>AK37/AI37</f>
        <v>0.40822145298844037</v>
      </c>
      <c r="AM37" s="129">
        <v>0</v>
      </c>
      <c r="AN37" s="417">
        <v>0</v>
      </c>
      <c r="AO37" s="130"/>
      <c r="AP37" s="130">
        <v>49383.651724137926</v>
      </c>
      <c r="AQ37" s="417">
        <f>AK37-AM37-AN37-AO37-AP37</f>
        <v>-13828.881724137922</v>
      </c>
      <c r="AR37" s="116">
        <f>AQ37/AK37</f>
        <v>-0.3889458917646752</v>
      </c>
      <c r="AS37" s="113">
        <v>1</v>
      </c>
      <c r="AT37" s="161">
        <v>197298</v>
      </c>
      <c r="AU37" s="161">
        <v>378525.77</v>
      </c>
      <c r="AV37" s="161">
        <v>181227.77000000002</v>
      </c>
      <c r="AW37" s="116">
        <f>AV37/AU37</f>
        <v>0.47877260774081515</v>
      </c>
      <c r="AX37" s="586">
        <v>1</v>
      </c>
      <c r="AY37" s="587">
        <f>AT37+Q37+L37+G37</f>
        <v>630782</v>
      </c>
      <c r="AZ37" s="587">
        <f>AU37+R37+M37+H37</f>
        <v>1047619.27</v>
      </c>
      <c r="BA37" s="587">
        <f>AV37+S37+N37+I37</f>
        <v>416837.27</v>
      </c>
      <c r="BB37" s="588">
        <f>BA37/AZ37</f>
        <v>0.39789003690243308</v>
      </c>
      <c r="BC37" s="212">
        <v>1</v>
      </c>
      <c r="BD37" s="130">
        <v>51542</v>
      </c>
      <c r="BE37" s="130">
        <v>81000</v>
      </c>
      <c r="BF37" s="582"/>
      <c r="BG37" s="582">
        <f>BE37-(BD37+BF37)</f>
        <v>29458</v>
      </c>
      <c r="BH37" s="589"/>
      <c r="BI37" s="212">
        <v>1</v>
      </c>
      <c r="BJ37" s="130">
        <v>51542</v>
      </c>
      <c r="BK37" s="130">
        <v>84193.55</v>
      </c>
      <c r="BL37" s="582">
        <v>47848</v>
      </c>
      <c r="BM37" s="582">
        <f>BK37-(BJ37+BL37)</f>
        <v>-15196.449999999997</v>
      </c>
      <c r="BN37" s="589"/>
      <c r="BO37" s="590">
        <v>1</v>
      </c>
      <c r="BP37" s="582">
        <v>51542</v>
      </c>
      <c r="BQ37" s="582">
        <v>81000</v>
      </c>
      <c r="BR37" s="582"/>
      <c r="BS37" s="582">
        <f>BQ37-(BP37+BR37)</f>
        <v>29458</v>
      </c>
      <c r="BT37" s="591">
        <f>BS37/BQ37</f>
        <v>0.36367901234567901</v>
      </c>
      <c r="BU37" s="590">
        <v>1</v>
      </c>
      <c r="BV37" s="592">
        <f>BQ37+BK37+BE37</f>
        <v>246193.55</v>
      </c>
      <c r="BW37" s="592">
        <f>BS37+BM37+BG37</f>
        <v>43719.55</v>
      </c>
      <c r="BX37" s="593">
        <f>BW37/BV37</f>
        <v>0.17758202844875506</v>
      </c>
      <c r="BY37" s="594">
        <v>1</v>
      </c>
      <c r="BZ37" s="595">
        <v>51542</v>
      </c>
      <c r="CA37" s="595">
        <v>84193.55</v>
      </c>
      <c r="CB37" s="595"/>
      <c r="CC37" s="596">
        <f>CA37-(BZ37+CB37)</f>
        <v>32651.550000000003</v>
      </c>
      <c r="CD37" s="597">
        <f>CC37/CA37</f>
        <v>0.38781533739817364</v>
      </c>
      <c r="CE37" s="598"/>
      <c r="CF37" s="599"/>
      <c r="CG37" s="599"/>
      <c r="CH37" s="599"/>
      <c r="CI37" s="599">
        <f>CC37-CE37-CF37-CG37-CH37</f>
        <v>32651.550000000003</v>
      </c>
      <c r="CJ37" s="597">
        <f>CI37/CA37</f>
        <v>0.38781533739817364</v>
      </c>
      <c r="CK37" s="600">
        <v>1</v>
      </c>
      <c r="CL37" s="601">
        <v>51542</v>
      </c>
      <c r="CM37" s="601">
        <v>90000</v>
      </c>
      <c r="CN37" s="601"/>
      <c r="CO37" s="360">
        <f>CM37-(CL37+CN37)</f>
        <v>38458</v>
      </c>
      <c r="CP37" s="602">
        <f>CO37/CM37</f>
        <v>0.42731111111111109</v>
      </c>
      <c r="CQ37" s="603">
        <v>0</v>
      </c>
      <c r="CR37" s="603">
        <v>99658.273076923069</v>
      </c>
      <c r="CS37" s="603"/>
      <c r="CT37" s="603">
        <v>147101.18634615382</v>
      </c>
      <c r="CU37" s="603">
        <f>CO37-CQ37-CR37-CS37-CT37</f>
        <v>-208301.45942307689</v>
      </c>
      <c r="CV37" s="604">
        <f>CU37/CM37</f>
        <v>-2.31446066025641</v>
      </c>
      <c r="CW37" s="129">
        <v>1</v>
      </c>
      <c r="CX37" s="130">
        <v>14612</v>
      </c>
      <c r="CY37" s="130">
        <v>0</v>
      </c>
      <c r="CZ37" s="130"/>
      <c r="DA37" s="605">
        <f>CY37-(CX37+CZ37)</f>
        <v>-14612</v>
      </c>
      <c r="DB37" s="114"/>
      <c r="DC37" s="138">
        <v>0</v>
      </c>
      <c r="DD37" s="130"/>
      <c r="DE37" s="130"/>
      <c r="DF37" s="130"/>
      <c r="DG37" s="128">
        <f>DA37-DC37-DD37-DE37-DF37</f>
        <v>-14612</v>
      </c>
      <c r="DH37" s="169"/>
      <c r="DI37" s="204">
        <f>(BY37+CK37+CW37)/3</f>
        <v>1</v>
      </c>
      <c r="DJ37" s="202">
        <f>CA37+CM37+CY37</f>
        <v>174193.55</v>
      </c>
      <c r="DK37" s="202">
        <f>CC37+CO37+DA37</f>
        <v>56497.55</v>
      </c>
      <c r="DL37" s="119">
        <f>DK37/DJ37</f>
        <v>0.32433778403390945</v>
      </c>
      <c r="DM37" s="202">
        <f>CI37+CU37+DG37</f>
        <v>-190261.9094230769</v>
      </c>
      <c r="DN37" s="119">
        <f>DM37/DJ37</f>
        <v>-1.0922442847228093</v>
      </c>
      <c r="DO37" s="607">
        <f>CW37-AG37</f>
        <v>0</v>
      </c>
      <c r="DP37" s="137">
        <f>CX37-AH37</f>
        <v>-36930</v>
      </c>
      <c r="DQ37" s="137">
        <f>CY37-AI37</f>
        <v>-87096.77</v>
      </c>
      <c r="DR37" s="137">
        <f>DA37-AK37</f>
        <v>-50166.770000000004</v>
      </c>
      <c r="DS37" s="135">
        <f>DO37/AG37</f>
        <v>0</v>
      </c>
      <c r="DT37" s="135">
        <f>DP37/AI37</f>
        <v>-0.42401113152646186</v>
      </c>
      <c r="DU37" s="135">
        <f>DQ37/AK37</f>
        <v>-2.4496507782218813</v>
      </c>
      <c r="DV37" s="151">
        <f>DR37/AQ37</f>
        <v>3.6276808928400426</v>
      </c>
      <c r="DW37" s="607">
        <f>CW37-CK37</f>
        <v>0</v>
      </c>
      <c r="DX37" s="608">
        <f>CY37-CM37</f>
        <v>-90000</v>
      </c>
      <c r="DY37" s="608">
        <f>DA37-CO37</f>
        <v>-53070</v>
      </c>
      <c r="DZ37" s="608">
        <f>DG37-CU37</f>
        <v>193689.45942307689</v>
      </c>
      <c r="EA37" s="135">
        <f>DW37/CK37</f>
        <v>0</v>
      </c>
      <c r="EB37" s="135">
        <f>DX37/CM37</f>
        <v>-1</v>
      </c>
      <c r="EC37" s="135">
        <f>DY37/CO37</f>
        <v>-1.3799469551198711</v>
      </c>
      <c r="ED37" s="151">
        <f>DZ37/CU37</f>
        <v>-0.9298516676720836</v>
      </c>
      <c r="EE37" s="129">
        <v>1</v>
      </c>
      <c r="EF37" s="130">
        <v>51542</v>
      </c>
      <c r="EG37" s="130">
        <v>0</v>
      </c>
      <c r="EH37" s="130"/>
      <c r="EI37" s="605">
        <f>EG37-(EF37+EH37)</f>
        <v>-51542</v>
      </c>
      <c r="EJ37" s="114"/>
      <c r="EK37" s="138">
        <v>0</v>
      </c>
      <c r="EL37" s="606">
        <v>0</v>
      </c>
      <c r="EM37" s="130"/>
      <c r="EN37" s="130"/>
      <c r="EO37" s="128">
        <f>EI37-EK37-EL37-EM37-EN37</f>
        <v>-51542</v>
      </c>
      <c r="EP37" s="114"/>
      <c r="EQ37" s="129">
        <v>0</v>
      </c>
      <c r="ER37" s="595">
        <v>0</v>
      </c>
      <c r="ES37" s="595">
        <v>0</v>
      </c>
      <c r="ET37" s="661"/>
      <c r="EU37" s="134">
        <f>ES37-(ER37+ET37)</f>
        <v>0</v>
      </c>
      <c r="EV37" s="699">
        <v>0</v>
      </c>
      <c r="EW37" s="138">
        <v>0</v>
      </c>
      <c r="EX37" s="606">
        <v>0</v>
      </c>
      <c r="EY37" s="130">
        <v>0</v>
      </c>
      <c r="EZ37" s="128">
        <v>0</v>
      </c>
      <c r="FA37" s="128">
        <f>EU37-EW37-EX37-EY37-EZ37</f>
        <v>0</v>
      </c>
      <c r="FB37" s="114"/>
      <c r="FC37" s="643">
        <f>EQ37-AG37</f>
        <v>-1</v>
      </c>
      <c r="FD37" s="644">
        <f>ES37-AI37</f>
        <v>-87096.77</v>
      </c>
      <c r="FE37" s="644">
        <f>EU37-AK37</f>
        <v>-35554.770000000004</v>
      </c>
      <c r="FF37" s="644">
        <f>FA37-AQ37</f>
        <v>13828.881724137922</v>
      </c>
      <c r="FG37" s="74">
        <f>FC37/AG37</f>
        <v>-1</v>
      </c>
      <c r="FH37" s="74">
        <f>FD37/AI37</f>
        <v>-1</v>
      </c>
      <c r="FI37" s="74">
        <f>FE37/AK37</f>
        <v>-1</v>
      </c>
      <c r="FJ37" s="73">
        <f>FF37/AQ37</f>
        <v>-1</v>
      </c>
      <c r="FK37" s="133">
        <v>0</v>
      </c>
      <c r="FL37" s="134">
        <v>0</v>
      </c>
      <c r="FM37" s="134">
        <v>0</v>
      </c>
      <c r="FN37" s="134"/>
      <c r="FO37" s="134">
        <f>FM37-(FL37+FN37)</f>
        <v>0</v>
      </c>
      <c r="FP37" s="135">
        <v>0</v>
      </c>
      <c r="FQ37" s="133"/>
      <c r="FR37" s="134"/>
      <c r="FS37" s="134"/>
      <c r="FT37" s="191">
        <f>FO37-SUM(FQ37:FS37)</f>
        <v>0</v>
      </c>
      <c r="FU37" s="151"/>
      <c r="FV37" s="190">
        <f>FK37-AG37</f>
        <v>-1</v>
      </c>
      <c r="FW37" s="191">
        <f>FL37-AH37</f>
        <v>-51542</v>
      </c>
      <c r="FX37" s="191">
        <f>FM37-AI37</f>
        <v>-87096.77</v>
      </c>
      <c r="FY37" s="191">
        <f>FO37-AK37</f>
        <v>-35554.770000000004</v>
      </c>
      <c r="FZ37" s="191">
        <f>FT37-AQ37</f>
        <v>13828.881724137922</v>
      </c>
      <c r="GA37" s="135">
        <f>FV37/AG37</f>
        <v>-1</v>
      </c>
      <c r="GB37" s="135">
        <f>FX37/AI37</f>
        <v>-1</v>
      </c>
      <c r="GC37" s="135">
        <f>FY37/AK37</f>
        <v>-1</v>
      </c>
      <c r="GD37" s="151">
        <f>FZ37/AQ37</f>
        <v>-1</v>
      </c>
      <c r="GE37" s="187">
        <f>(EE37+EQ37+FK37)/3</f>
        <v>0.33333333333333331</v>
      </c>
      <c r="GF37" s="155">
        <f>EG37+ES37+FM37</f>
        <v>0</v>
      </c>
      <c r="GG37" s="155">
        <f>EI37+EU37+FO37</f>
        <v>-51542</v>
      </c>
      <c r="GH37" s="74"/>
      <c r="GI37" s="613">
        <f>EO37+FA37+FT37</f>
        <v>-51542</v>
      </c>
      <c r="GJ37" s="187">
        <f>GE37-DI37</f>
        <v>-0.66666666666666674</v>
      </c>
      <c r="GK37" s="155">
        <f>GF37-DJ37</f>
        <v>-174193.55</v>
      </c>
      <c r="GL37" s="155">
        <f>GG37-DK37</f>
        <v>-108039.55</v>
      </c>
      <c r="GM37" s="613">
        <f>GI37-DM37</f>
        <v>138719.9094230769</v>
      </c>
      <c r="GN37" s="133">
        <v>1</v>
      </c>
      <c r="GO37" s="134">
        <v>51542</v>
      </c>
      <c r="GP37" s="134">
        <v>0</v>
      </c>
      <c r="GQ37" s="134">
        <v>0</v>
      </c>
      <c r="GR37" s="134">
        <f>GP37-(GO37+GQ37)</f>
        <v>-51542</v>
      </c>
      <c r="GS37" s="152">
        <v>0</v>
      </c>
      <c r="GT37" s="133">
        <v>0</v>
      </c>
      <c r="GU37" s="134">
        <v>0</v>
      </c>
      <c r="GV37" s="134">
        <v>0</v>
      </c>
      <c r="GW37" s="134">
        <v>0</v>
      </c>
      <c r="GX37" s="190">
        <f>GR37-SUM(GT37:GW37)</f>
        <v>-51542</v>
      </c>
      <c r="GY37" s="151">
        <v>0</v>
      </c>
      <c r="GZ37" s="614">
        <v>1</v>
      </c>
      <c r="HA37" s="130">
        <v>51542</v>
      </c>
      <c r="HB37" s="130">
        <v>0</v>
      </c>
      <c r="HC37" s="130"/>
      <c r="HD37" s="134">
        <f>HB37-(HA37+HC37)</f>
        <v>-51542</v>
      </c>
      <c r="HE37" s="196">
        <v>0</v>
      </c>
      <c r="HF37" s="138">
        <v>0</v>
      </c>
      <c r="HG37" s="130"/>
      <c r="HH37" s="130"/>
      <c r="HI37" s="130"/>
      <c r="HJ37" s="197">
        <f>HD37-SUM(HF37:HI37)</f>
        <v>-51542</v>
      </c>
      <c r="HK37" s="201">
        <v>0</v>
      </c>
      <c r="HL37" s="617">
        <v>1</v>
      </c>
      <c r="HM37" s="148">
        <v>38744</v>
      </c>
      <c r="HN37" s="148">
        <v>0</v>
      </c>
      <c r="HO37" s="148">
        <v>0</v>
      </c>
      <c r="HP37" s="615">
        <f>HN37-(HM37+HO37)</f>
        <v>-38744</v>
      </c>
      <c r="HQ37" s="201">
        <v>0</v>
      </c>
      <c r="HR37" s="148">
        <v>0</v>
      </c>
      <c r="HS37" s="148">
        <v>0</v>
      </c>
      <c r="HT37" s="148"/>
      <c r="HU37" s="148">
        <v>0</v>
      </c>
      <c r="HV37" s="197">
        <f>HP37-SUM(HR37:HU37)</f>
        <v>-38744</v>
      </c>
      <c r="HW37" s="201">
        <v>0</v>
      </c>
      <c r="HX37" s="697"/>
      <c r="HY37" s="241">
        <f>HN37+HB37+GP37</f>
        <v>0</v>
      </c>
      <c r="HZ37" s="415">
        <f>HP37+HD37+GR37</f>
        <v>-141828</v>
      </c>
      <c r="IA37" s="241"/>
      <c r="IB37" s="415">
        <f>HV37+HJ37+GX37</f>
        <v>-141828</v>
      </c>
      <c r="IC37" s="141"/>
      <c r="ID37" s="642">
        <v>1</v>
      </c>
      <c r="IE37" s="141">
        <f t="shared" ref="IE37:IE57" si="512">HY37+GF37+DJ37+BV37</f>
        <v>420387.1</v>
      </c>
      <c r="IF37" s="141">
        <f t="shared" ref="IF37:IF57" si="513">HZ37+GG37+DK37+BW37</f>
        <v>-93152.900000000009</v>
      </c>
      <c r="IG37" s="74">
        <f>IF37/IE37</f>
        <v>-0.22158838841629538</v>
      </c>
      <c r="IH37" s="1507"/>
      <c r="II37" s="69"/>
      <c r="IJ37" s="133"/>
      <c r="IK37" s="134"/>
      <c r="IL37" s="134">
        <v>0</v>
      </c>
      <c r="IM37" s="134">
        <v>0</v>
      </c>
      <c r="IN37" s="133">
        <f>IL37-(IK37+IM37)</f>
        <v>0</v>
      </c>
      <c r="IO37" s="151">
        <v>0</v>
      </c>
      <c r="IP37" s="134">
        <v>0</v>
      </c>
      <c r="IQ37" s="134">
        <v>0</v>
      </c>
      <c r="IR37" s="134">
        <v>0</v>
      </c>
      <c r="IS37" s="190">
        <f>IN37-SUM(IP37:IR37)</f>
        <v>0</v>
      </c>
      <c r="IT37" s="151"/>
      <c r="IU37" s="390"/>
      <c r="IV37" s="134"/>
      <c r="IW37" s="134"/>
      <c r="IX37" s="134">
        <v>0</v>
      </c>
      <c r="IY37" s="133">
        <f>IW37-IV37</f>
        <v>0</v>
      </c>
      <c r="IZ37" s="196">
        <v>0</v>
      </c>
      <c r="JA37" s="134">
        <v>0</v>
      </c>
      <c r="JB37" s="134">
        <v>0</v>
      </c>
      <c r="JC37" s="134">
        <v>0</v>
      </c>
      <c r="JD37" s="190">
        <f>IY37-SUM(JA37:JC37)</f>
        <v>0</v>
      </c>
      <c r="JE37" s="196">
        <v>0</v>
      </c>
      <c r="JF37" s="390"/>
      <c r="JG37" s="134"/>
      <c r="JH37" s="134"/>
      <c r="JI37" s="134"/>
      <c r="JJ37" s="133">
        <f>JH37-(JG37+JI37)</f>
        <v>0</v>
      </c>
      <c r="JK37" s="196">
        <v>0</v>
      </c>
      <c r="JL37" s="134">
        <v>0</v>
      </c>
      <c r="JM37" s="134">
        <v>0</v>
      </c>
      <c r="JN37" s="134">
        <v>0</v>
      </c>
      <c r="JO37" s="190">
        <f>JJ37-SUM(JL37:JN37)</f>
        <v>0</v>
      </c>
      <c r="JP37" s="196">
        <v>0</v>
      </c>
      <c r="JQ37" s="390"/>
      <c r="JR37" s="191">
        <f>JH37+IW37+IL37</f>
        <v>0</v>
      </c>
      <c r="JS37" s="191">
        <f>JJ37+IY37+IN37</f>
        <v>0</v>
      </c>
      <c r="JT37" s="151"/>
      <c r="JU37" s="390">
        <v>1</v>
      </c>
      <c r="JV37" s="134">
        <v>84287</v>
      </c>
      <c r="JW37" s="134">
        <v>140001</v>
      </c>
      <c r="JX37" s="134"/>
      <c r="JY37" s="133">
        <f>JW37-(JV37+JX37)</f>
        <v>55714</v>
      </c>
      <c r="JZ37" s="151">
        <f>JY37/JW37</f>
        <v>0.39795430032642626</v>
      </c>
      <c r="KA37" s="133">
        <v>26450</v>
      </c>
      <c r="KB37" s="148">
        <v>0</v>
      </c>
      <c r="KC37" s="134">
        <v>28153.400000000373</v>
      </c>
      <c r="KD37" s="190">
        <f t="shared" ref="KD37:KD51" si="514">JY37-SUM(KA37:KC37)</f>
        <v>1110.5999999996275</v>
      </c>
      <c r="KE37" s="151">
        <f>KD37/JW37</f>
        <v>7.9328004799939112E-3</v>
      </c>
      <c r="KF37" s="390">
        <v>2</v>
      </c>
      <c r="KG37" s="134">
        <v>115572</v>
      </c>
      <c r="KH37" s="134">
        <v>176290</v>
      </c>
      <c r="KI37" s="134"/>
      <c r="KJ37" s="133">
        <f>KH37-(KG37+KI37)</f>
        <v>60718</v>
      </c>
      <c r="KK37" s="151">
        <f>KJ37/KH37</f>
        <v>0.34442112428385047</v>
      </c>
      <c r="KL37" s="133">
        <v>29000</v>
      </c>
      <c r="KM37" s="148">
        <v>0</v>
      </c>
      <c r="KN37" s="134">
        <v>33333</v>
      </c>
      <c r="KO37" s="190">
        <f t="shared" ref="KO37:KO51" si="515">KJ37-SUM(KL37:KN37)</f>
        <v>-1615</v>
      </c>
      <c r="KP37" s="151">
        <f>KO37/KH37</f>
        <v>-9.1610414657666353E-3</v>
      </c>
      <c r="KQ37" s="390">
        <v>4</v>
      </c>
      <c r="KR37" s="134">
        <v>184202</v>
      </c>
      <c r="KS37" s="134">
        <v>279400</v>
      </c>
      <c r="KT37" s="134">
        <v>0</v>
      </c>
      <c r="KU37" s="133">
        <f>KS37-(KR37+KT37)</f>
        <v>95198</v>
      </c>
      <c r="KV37" s="151">
        <f>KU37/KS37</f>
        <v>0.34072297780959199</v>
      </c>
      <c r="KW37" s="133">
        <v>27650</v>
      </c>
      <c r="KX37" s="148">
        <v>0</v>
      </c>
      <c r="KY37" s="134">
        <v>50000</v>
      </c>
      <c r="KZ37" s="190">
        <f t="shared" ref="KZ37:KZ51" si="516">KU37-SUM(KW37:KY37)</f>
        <v>17548</v>
      </c>
      <c r="LA37" s="151">
        <f>KZ37/KS37</f>
        <v>6.2806012884753043E-2</v>
      </c>
      <c r="LB37" s="402">
        <v>4</v>
      </c>
      <c r="LC37" s="191">
        <f t="shared" ref="LC37:LC57" si="517">KS37+KH37+JW37</f>
        <v>595691</v>
      </c>
      <c r="LD37" s="191">
        <f t="shared" ref="LD37:LD57" si="518">KU37+KJ37+JY37</f>
        <v>211630</v>
      </c>
      <c r="LE37" s="151">
        <f>LD37/LC37</f>
        <v>0.3552680836205348</v>
      </c>
      <c r="LF37" s="226">
        <f t="shared" ref="LF37:LF57" si="519">LB37-JQ37</f>
        <v>4</v>
      </c>
      <c r="LG37" s="128">
        <f t="shared" ref="LG37:LG57" si="520">LC37-JR37</f>
        <v>595691</v>
      </c>
      <c r="LH37" s="139">
        <f t="shared" ref="LH37:LH57" si="521">LD37-JS37</f>
        <v>211630</v>
      </c>
      <c r="LI37" s="442">
        <v>1</v>
      </c>
      <c r="LJ37" s="442">
        <v>1</v>
      </c>
      <c r="LK37" s="106">
        <v>1</v>
      </c>
      <c r="LL37" s="390">
        <v>3</v>
      </c>
      <c r="LM37" s="134">
        <v>160960</v>
      </c>
      <c r="LN37" s="134">
        <v>213000</v>
      </c>
      <c r="LO37" s="134"/>
      <c r="LP37" s="133">
        <f t="shared" ref="LP37:LP53" si="522">LN37-(LM37+LO37)</f>
        <v>52040</v>
      </c>
      <c r="LQ37" s="151">
        <f>LP37/LN37</f>
        <v>0.24431924882629108</v>
      </c>
      <c r="LR37" s="133">
        <v>27650</v>
      </c>
      <c r="LS37" s="148">
        <v>16366.172500000335</v>
      </c>
      <c r="LT37" s="134">
        <v>0</v>
      </c>
      <c r="LU37" s="190">
        <f t="shared" ref="LU37:LU51" si="523">LP37-SUM(LR37:LT37)</f>
        <v>8023.8274999996647</v>
      </c>
      <c r="LV37" s="151">
        <f>LU37/LN37</f>
        <v>3.7670551643190914E-2</v>
      </c>
      <c r="LW37" s="134">
        <v>2</v>
      </c>
      <c r="LX37" s="134">
        <v>77534</v>
      </c>
      <c r="LY37" s="134">
        <v>108000</v>
      </c>
      <c r="LZ37" s="134"/>
      <c r="MA37" s="133">
        <f t="shared" ref="MA37:MA57" si="524">LY37-(LX37+LZ37)</f>
        <v>30466</v>
      </c>
      <c r="MB37" s="151">
        <f>MA37/LY37</f>
        <v>0.28209259259259262</v>
      </c>
      <c r="MC37" s="134"/>
      <c r="MD37" s="134">
        <v>25000</v>
      </c>
      <c r="ME37" s="134">
        <v>0</v>
      </c>
      <c r="MF37" s="190">
        <f t="shared" ref="MF37:MF56" si="525">MA37-SUM(MC37:ME37)</f>
        <v>5466</v>
      </c>
      <c r="MG37" s="151">
        <f>MF37/LY37</f>
        <v>5.0611111111111114E-2</v>
      </c>
      <c r="MH37" s="134">
        <v>4</v>
      </c>
      <c r="MI37" s="134">
        <v>215451</v>
      </c>
      <c r="MJ37" s="134">
        <v>309193</v>
      </c>
      <c r="MK37" s="134"/>
      <c r="ML37" s="133">
        <f t="shared" ref="ML37:ML56" si="526">MJ37-(MI37+MK37)</f>
        <v>93742</v>
      </c>
      <c r="MM37" s="151">
        <f>ML37/MJ37</f>
        <v>0.30318280168050377</v>
      </c>
      <c r="MN37" s="134">
        <v>0</v>
      </c>
      <c r="MO37" s="134">
        <v>90000</v>
      </c>
      <c r="MP37" s="134">
        <v>0</v>
      </c>
      <c r="MQ37" s="190">
        <f t="shared" ref="MQ37:MQ56" si="527">ML37-SUM(MN37:MP37)</f>
        <v>3742</v>
      </c>
      <c r="MR37" s="151">
        <f>MQ37/MJ37</f>
        <v>1.2102473212524216E-2</v>
      </c>
      <c r="MS37" s="1472">
        <v>4</v>
      </c>
      <c r="MT37" s="118">
        <f t="shared" ref="MT37:MT57" si="528">MJ37+LY37+LN37</f>
        <v>630193</v>
      </c>
      <c r="MU37" s="118">
        <f t="shared" ref="MU37:MU57" si="529">ML37+MA37+LP37</f>
        <v>176248</v>
      </c>
      <c r="MV37" s="135">
        <f>MU37/MT37</f>
        <v>0.27967305254104696</v>
      </c>
      <c r="MW37" s="133">
        <f t="shared" ref="MW37:MW58" si="530">MS37-LB37</f>
        <v>0</v>
      </c>
      <c r="MX37" s="134">
        <f t="shared" ref="MX37:MX58" si="531">MT37-LC37</f>
        <v>34502</v>
      </c>
      <c r="MY37" s="134">
        <f t="shared" ref="MY37:MY58" si="532">MU37-LD37</f>
        <v>-35382</v>
      </c>
      <c r="MZ37" s="135">
        <f t="shared" ref="MZ37:NB38" si="533">MW37/LB37</f>
        <v>0</v>
      </c>
      <c r="NA37" s="135">
        <f t="shared" si="533"/>
        <v>5.7919290370343011E-2</v>
      </c>
      <c r="NB37" s="151">
        <f t="shared" si="533"/>
        <v>-0.16718801682181164</v>
      </c>
      <c r="NC37" s="134">
        <v>4</v>
      </c>
      <c r="ND37" s="134">
        <v>257466</v>
      </c>
      <c r="NE37" s="134">
        <v>373000</v>
      </c>
      <c r="NF37" s="134"/>
      <c r="NG37" s="133">
        <f t="shared" ref="NG37:NG56" si="534">NE37-(ND37+NF37)</f>
        <v>115534</v>
      </c>
      <c r="NH37" s="151">
        <f>NG37/NE37</f>
        <v>0.30974262734584451</v>
      </c>
      <c r="NI37" s="134"/>
      <c r="NJ37" s="134">
        <v>80000</v>
      </c>
      <c r="NK37" s="134">
        <v>0</v>
      </c>
      <c r="NL37" s="190">
        <f t="shared" ref="NL37:NL56" si="535">NG37-SUM(NI37:NK37)</f>
        <v>35534</v>
      </c>
      <c r="NM37" s="135">
        <f>NL37/NE37</f>
        <v>9.5265415549597859E-2</v>
      </c>
      <c r="NN37" s="1563">
        <v>3</v>
      </c>
      <c r="NO37" s="134">
        <v>200202</v>
      </c>
      <c r="NP37" s="134">
        <v>257655</v>
      </c>
      <c r="NQ37" s="134">
        <v>0</v>
      </c>
      <c r="NR37" s="133">
        <f t="shared" ref="NR37:NR56" si="536">NP37-(NO37+NQ37)</f>
        <v>57453</v>
      </c>
      <c r="NS37" s="151">
        <f>NR37/NP37</f>
        <v>0.22298422308901439</v>
      </c>
      <c r="NT37" s="134">
        <v>31929</v>
      </c>
      <c r="NU37" s="134">
        <v>80000</v>
      </c>
      <c r="NV37" s="134">
        <v>50000</v>
      </c>
      <c r="NW37" s="190">
        <f t="shared" ref="NW37:NW56" si="537">NR37-SUM(NT37:NV37)</f>
        <v>-104476</v>
      </c>
      <c r="NX37" s="135">
        <f>NW37/NP37</f>
        <v>-0.40548795870446913</v>
      </c>
      <c r="NY37" s="1563">
        <v>3</v>
      </c>
      <c r="NZ37" s="134">
        <v>200202</v>
      </c>
      <c r="OA37" s="134">
        <v>263000</v>
      </c>
      <c r="OB37" s="134">
        <v>0</v>
      </c>
      <c r="OC37" s="133">
        <f t="shared" ref="OC37:OC56" si="538">OA37-(NZ37+OB37)</f>
        <v>62798</v>
      </c>
      <c r="OD37" s="151">
        <f>OC37/OA37</f>
        <v>0.23877566539923956</v>
      </c>
      <c r="OE37" s="134">
        <v>0</v>
      </c>
      <c r="OF37" s="134">
        <v>80000</v>
      </c>
      <c r="OG37" s="134">
        <v>50000</v>
      </c>
      <c r="OH37" s="190">
        <f t="shared" ref="OH37:OH56" si="539">OC37-SUM(OE37:OG37)</f>
        <v>-67202</v>
      </c>
      <c r="OI37" s="5380">
        <f>OH37/OA37</f>
        <v>-0.25552091254752851</v>
      </c>
      <c r="OJ37" s="69">
        <v>3</v>
      </c>
      <c r="OK37" s="155">
        <f t="shared" ref="OK37:OK64" si="540">OA37+NP37+NE37+MJ37+LY37+LN37+KS37+KH37+JW37+JG37+IW37+IL37</f>
        <v>2119539</v>
      </c>
      <c r="OL37" s="155">
        <f t="shared" ref="OL37:OL64" si="541">OC37+NR37+NG37+ML37+MA37+LP37+KU37+KJ37+JY37+JI37+IY37+IN37</f>
        <v>623663</v>
      </c>
      <c r="OM37" s="74">
        <f t="shared" ref="OM37:OM56" si="542">OL37/OK37</f>
        <v>0.29424464470811812</v>
      </c>
      <c r="ON37" s="155">
        <f t="shared" ref="ON37:ON64" si="543">OH37+NW37+NL37+MQ37+MF37+LU37+KZ37+KO37+KD37+JN37+JD37+IS37</f>
        <v>-101868.57250000071</v>
      </c>
      <c r="OO37" s="70"/>
      <c r="OP37" s="69"/>
      <c r="OQ37" s="2008">
        <v>3</v>
      </c>
      <c r="OR37" s="208">
        <v>200134</v>
      </c>
      <c r="OS37" s="208">
        <v>261333</v>
      </c>
      <c r="OT37" s="134"/>
      <c r="OU37" s="133">
        <f t="shared" ref="OU37:OU51" si="544">OS37-(OR37+OT37)</f>
        <v>61199</v>
      </c>
      <c r="OV37" s="94">
        <f>OU37/OS37</f>
        <v>0.23418014563794087</v>
      </c>
      <c r="OW37" s="134">
        <v>0</v>
      </c>
      <c r="OX37" s="134">
        <v>0</v>
      </c>
      <c r="OY37" s="134">
        <v>0</v>
      </c>
      <c r="OZ37" s="190">
        <f t="shared" ref="OZ37:OZ56" si="545">OU37-SUM(OW37:OY37)</f>
        <v>61199</v>
      </c>
      <c r="PA37" s="5361">
        <f>OZ37/OS37</f>
        <v>0.23418014563794087</v>
      </c>
      <c r="PB37" s="5320">
        <v>2</v>
      </c>
      <c r="PC37" s="134">
        <v>77466</v>
      </c>
      <c r="PD37" s="134">
        <v>108000</v>
      </c>
      <c r="PE37" s="134"/>
      <c r="PF37" s="133">
        <f>PD37-PC37</f>
        <v>30534</v>
      </c>
      <c r="PG37" s="4271">
        <v>0</v>
      </c>
      <c r="PH37" s="134">
        <v>0</v>
      </c>
      <c r="PI37" s="134">
        <v>0</v>
      </c>
      <c r="PJ37" s="134">
        <v>30000</v>
      </c>
      <c r="PK37" s="190">
        <f t="shared" ref="PK37:PK49" si="546">PF37-SUM(PH37:PJ37)</f>
        <v>534</v>
      </c>
      <c r="PL37" s="135">
        <f>PK37/PD37</f>
        <v>4.944444444444444E-3</v>
      </c>
      <c r="PM37" s="5379">
        <v>2</v>
      </c>
      <c r="PN37" s="134">
        <v>77466</v>
      </c>
      <c r="PO37" s="134">
        <v>102200</v>
      </c>
      <c r="PP37" s="134"/>
      <c r="PQ37" s="6293">
        <f t="shared" si="263"/>
        <v>24734</v>
      </c>
      <c r="PR37" s="6295">
        <f t="shared" si="264"/>
        <v>0.24201565557729943</v>
      </c>
      <c r="PS37" s="134">
        <v>0</v>
      </c>
      <c r="PT37" s="134">
        <v>20000</v>
      </c>
      <c r="PU37" s="134">
        <v>0</v>
      </c>
      <c r="PV37" s="190">
        <f t="shared" si="265"/>
        <v>4734</v>
      </c>
      <c r="PW37" s="5380">
        <f t="shared" si="266"/>
        <v>4.6320939334637962E-2</v>
      </c>
      <c r="PX37" s="5320">
        <v>2</v>
      </c>
      <c r="PY37" s="191">
        <f>PO37+PD37+OS37</f>
        <v>471533</v>
      </c>
      <c r="PZ37" s="191">
        <f>PQ37+PF37+OU37</f>
        <v>116467</v>
      </c>
      <c r="QA37" s="135"/>
      <c r="QB37" s="5379">
        <v>2</v>
      </c>
      <c r="QC37" s="134">
        <v>77466</v>
      </c>
      <c r="QD37" s="134">
        <v>108000</v>
      </c>
      <c r="QE37" s="134"/>
      <c r="QF37" s="6293">
        <f t="shared" si="270"/>
        <v>30534</v>
      </c>
      <c r="QG37" s="6295">
        <f t="shared" si="271"/>
        <v>0.28272222222222221</v>
      </c>
      <c r="QH37" s="134">
        <v>0</v>
      </c>
      <c r="QI37" s="148">
        <v>0</v>
      </c>
      <c r="QJ37" s="134">
        <v>0</v>
      </c>
      <c r="QK37" s="190">
        <f t="shared" si="507"/>
        <v>30534</v>
      </c>
      <c r="QL37" s="5380">
        <f t="shared" si="273"/>
        <v>0.28272222222222221</v>
      </c>
      <c r="QM37" s="5379">
        <v>2</v>
      </c>
      <c r="QN37" s="134">
        <v>77466</v>
      </c>
      <c r="QO37" s="134">
        <v>108000</v>
      </c>
      <c r="QP37" s="134">
        <v>0</v>
      </c>
      <c r="QQ37" s="133">
        <f t="shared" si="508"/>
        <v>30534</v>
      </c>
      <c r="QR37" s="151">
        <f>QQ37/QO37</f>
        <v>0.28272222222222221</v>
      </c>
      <c r="QS37" s="133">
        <v>0</v>
      </c>
      <c r="QT37" s="134">
        <v>0</v>
      </c>
      <c r="QU37" s="134">
        <v>50000</v>
      </c>
      <c r="QV37" s="190">
        <f t="shared" ref="QV37:QV43" si="547">QQ37-SUM(QS37:QU37)</f>
        <v>-19466</v>
      </c>
      <c r="QW37" s="5380">
        <f t="shared" si="504"/>
        <v>-0.18024074074074073</v>
      </c>
      <c r="QX37" s="5379"/>
      <c r="QY37" s="134">
        <v>0</v>
      </c>
      <c r="QZ37" s="134">
        <v>0</v>
      </c>
      <c r="RA37" s="134">
        <v>7351</v>
      </c>
      <c r="RB37" s="133">
        <f t="shared" si="274"/>
        <v>-7351</v>
      </c>
      <c r="RC37" s="151"/>
      <c r="RD37" s="133">
        <v>0</v>
      </c>
      <c r="RE37" s="134">
        <v>0</v>
      </c>
      <c r="RF37" s="134">
        <v>0</v>
      </c>
      <c r="RG37" s="190">
        <f t="shared" si="296"/>
        <v>-7351</v>
      </c>
      <c r="RH37" s="5381">
        <v>0</v>
      </c>
      <c r="RI37" s="5376"/>
      <c r="RJ37" s="191">
        <f t="shared" ref="RJ37:RJ57" si="548">QZ37+QO37+QD37</f>
        <v>216000</v>
      </c>
      <c r="RK37" s="191">
        <f t="shared" ref="RK37:RK43" si="549">RB37+QQ37+QF37</f>
        <v>53717</v>
      </c>
      <c r="RL37" s="5380">
        <f>RK37/RJ37</f>
        <v>0.24868981481481481</v>
      </c>
      <c r="RM37" s="1562">
        <f t="shared" ref="RM37:RM57" si="550">RI37-PX37</f>
        <v>-2</v>
      </c>
      <c r="RN37" s="128">
        <f t="shared" ref="RN37:RN57" si="551">RJ37-PY37</f>
        <v>-255533</v>
      </c>
      <c r="RO37" s="139">
        <f t="shared" ref="RO37:RO57" si="552">RK37-PZ37</f>
        <v>-62750</v>
      </c>
      <c r="RP37" s="442">
        <v>1</v>
      </c>
      <c r="RQ37" s="442">
        <v>1</v>
      </c>
      <c r="RR37" s="6339">
        <v>1</v>
      </c>
      <c r="RS37" s="6327"/>
      <c r="RT37" s="208">
        <v>0</v>
      </c>
      <c r="RU37" s="130">
        <v>0</v>
      </c>
      <c r="RV37" s="3546">
        <v>0</v>
      </c>
      <c r="RW37" s="133">
        <f t="shared" si="498"/>
        <v>0</v>
      </c>
      <c r="RX37" s="151"/>
      <c r="RY37" s="133">
        <v>0</v>
      </c>
      <c r="RZ37" s="134">
        <v>0</v>
      </c>
      <c r="SA37" s="134">
        <v>0</v>
      </c>
      <c r="SB37" s="190">
        <f t="shared" ref="SB37:SB43" si="553">RW37-SUM(RY37:SA37)</f>
        <v>0</v>
      </c>
      <c r="SC37" s="5380"/>
      <c r="SD37" s="5405"/>
      <c r="SE37" s="130"/>
      <c r="SF37" s="130"/>
      <c r="SG37" s="606"/>
      <c r="SH37" s="6361">
        <f t="shared" si="493"/>
        <v>0</v>
      </c>
      <c r="SI37" s="6377">
        <v>0</v>
      </c>
      <c r="SJ37" s="134"/>
      <c r="SK37" s="134"/>
      <c r="SL37" s="134"/>
      <c r="SM37" s="188">
        <f>SH37-SUM(SJ37:SL37)</f>
        <v>0</v>
      </c>
      <c r="SN37" s="5389"/>
      <c r="SO37" s="134"/>
      <c r="SP37" s="134"/>
      <c r="SQ37" s="134"/>
      <c r="SR37" s="134"/>
      <c r="SS37" s="6361">
        <f t="shared" si="510"/>
        <v>0</v>
      </c>
      <c r="ST37" s="6363"/>
      <c r="SU37" s="134">
        <v>0</v>
      </c>
      <c r="SV37" s="134"/>
      <c r="SW37" s="134">
        <v>0</v>
      </c>
      <c r="SX37" s="190">
        <f t="shared" si="511"/>
        <v>0</v>
      </c>
      <c r="SY37" s="5380"/>
      <c r="SZ37" s="6270"/>
      <c r="TA37" s="118">
        <f t="shared" ref="TA37:TA43" si="554">SQ37+SF37+RU37</f>
        <v>0</v>
      </c>
      <c r="TB37" s="118">
        <f t="shared" ref="TB37:TB43" si="555">SS37+SH37+RW37</f>
        <v>0</v>
      </c>
      <c r="TC37" s="5381">
        <v>0</v>
      </c>
      <c r="TD37" s="1563"/>
      <c r="TE37" s="134"/>
      <c r="TF37" s="134"/>
      <c r="TG37" s="134"/>
      <c r="TH37" s="133">
        <f t="shared" ref="TH37:TH43" si="556">TF37-(TE37+TG37)</f>
        <v>0</v>
      </c>
      <c r="TI37" s="196">
        <v>0</v>
      </c>
      <c r="TJ37" s="134">
        <v>0</v>
      </c>
      <c r="TK37" s="134">
        <v>0</v>
      </c>
      <c r="TL37" s="134">
        <v>0</v>
      </c>
      <c r="TM37" s="190">
        <f t="shared" ref="TM37:TM40" si="557">TH37-SUM(TJ37:TL37)</f>
        <v>0</v>
      </c>
      <c r="TN37" s="5381">
        <v>0</v>
      </c>
      <c r="TO37" s="134"/>
      <c r="TP37" s="134"/>
      <c r="TQ37" s="134"/>
      <c r="TR37" s="134"/>
      <c r="TS37" s="133">
        <f t="shared" ref="TS37:TS43" si="558">TQ37-(TP37+TR37)</f>
        <v>0</v>
      </c>
      <c r="TT37" s="151" t="e">
        <f>TS37/TQ37</f>
        <v>#DIV/0!</v>
      </c>
      <c r="TU37" s="134"/>
      <c r="TV37" s="134"/>
      <c r="TW37" s="134"/>
      <c r="TX37" s="190">
        <f t="shared" si="505"/>
        <v>0</v>
      </c>
      <c r="TY37" s="135" t="e">
        <f>TX37/TQ37</f>
        <v>#DIV/0!</v>
      </c>
      <c r="TZ37" s="1563"/>
      <c r="UA37" s="134"/>
      <c r="UB37" s="134"/>
      <c r="UC37" s="134"/>
      <c r="UD37" s="133">
        <f t="shared" ref="UD37:UD43" si="559">UB37-(UA37+UC37)</f>
        <v>0</v>
      </c>
      <c r="UE37" s="151" t="e">
        <f>UD37/UB37</f>
        <v>#DIV/0!</v>
      </c>
      <c r="UF37" s="134"/>
      <c r="UG37" s="134"/>
      <c r="UH37" s="134"/>
      <c r="UI37" s="190">
        <f t="shared" si="506"/>
        <v>0</v>
      </c>
      <c r="UJ37" s="5380" t="e">
        <f>UI37/UB37</f>
        <v>#DIV/0!</v>
      </c>
      <c r="UK37" s="5376"/>
      <c r="UL37" s="191">
        <f t="shared" si="284"/>
        <v>687533</v>
      </c>
      <c r="UM37" s="191">
        <f t="shared" si="285"/>
        <v>170184</v>
      </c>
      <c r="UN37" s="135">
        <f>UM37/UL37</f>
        <v>0.2475284822692147</v>
      </c>
      <c r="UO37" s="191">
        <f t="shared" si="286"/>
        <v>70184</v>
      </c>
      <c r="UP37" s="5380">
        <f>UO37/UL37</f>
        <v>0.10208091829773989</v>
      </c>
    </row>
    <row r="38" spans="1:562" x14ac:dyDescent="0.3">
      <c r="A38" s="5316"/>
      <c r="B38" s="5362" t="s">
        <v>396</v>
      </c>
      <c r="C38" s="578" t="s">
        <v>141</v>
      </c>
      <c r="D38" s="578" t="s">
        <v>140</v>
      </c>
      <c r="E38" s="6278" t="s">
        <v>254</v>
      </c>
      <c r="F38" s="71"/>
      <c r="G38" s="160"/>
      <c r="H38" s="160"/>
      <c r="I38" s="160"/>
      <c r="J38" s="71"/>
      <c r="K38" s="628"/>
      <c r="L38" s="160"/>
      <c r="M38" s="160"/>
      <c r="N38" s="160"/>
      <c r="O38" s="71"/>
      <c r="P38" s="628"/>
      <c r="Q38" s="160"/>
      <c r="R38" s="160"/>
      <c r="S38" s="160"/>
      <c r="T38" s="7"/>
      <c r="U38" s="628"/>
      <c r="V38" s="71"/>
      <c r="W38" s="71"/>
      <c r="X38" s="71"/>
      <c r="Y38" s="71"/>
      <c r="Z38" s="629"/>
      <c r="AA38" s="71"/>
      <c r="AB38" s="71"/>
      <c r="AC38" s="71"/>
      <c r="AD38" s="71"/>
      <c r="AE38" s="690"/>
      <c r="AF38" s="71"/>
      <c r="AG38" s="630"/>
      <c r="AH38" s="631"/>
      <c r="AI38" s="631"/>
      <c r="AJ38" s="631"/>
      <c r="AK38" s="700"/>
      <c r="AL38" s="632"/>
      <c r="AM38" s="131"/>
      <c r="AN38" s="429"/>
      <c r="AO38" s="132"/>
      <c r="AP38" s="429"/>
      <c r="AQ38" s="429"/>
      <c r="AR38" s="701"/>
      <c r="AS38" s="667"/>
      <c r="AT38" s="380"/>
      <c r="AU38" s="380"/>
      <c r="AV38" s="380"/>
      <c r="AW38" s="116"/>
      <c r="AX38" s="702"/>
      <c r="AY38" s="703"/>
      <c r="AZ38" s="703"/>
      <c r="BA38" s="703"/>
      <c r="BB38" s="704"/>
      <c r="BC38" s="694"/>
      <c r="BD38" s="690"/>
      <c r="BE38" s="690"/>
      <c r="BF38" s="690"/>
      <c r="BG38" s="690"/>
      <c r="BH38" s="589"/>
      <c r="BI38" s="694"/>
      <c r="BJ38" s="690"/>
      <c r="BK38" s="690"/>
      <c r="BL38" s="690"/>
      <c r="BM38" s="690"/>
      <c r="BN38" s="589"/>
      <c r="BO38" s="689"/>
      <c r="BP38" s="690"/>
      <c r="BQ38" s="690"/>
      <c r="BR38" s="690"/>
      <c r="BS38" s="690"/>
      <c r="BT38" s="705"/>
      <c r="BU38" s="689"/>
      <c r="BV38" s="592"/>
      <c r="BW38" s="592"/>
      <c r="BX38" s="593"/>
      <c r="BY38" s="691"/>
      <c r="BZ38" s="692"/>
      <c r="CA38" s="692"/>
      <c r="CB38" s="692"/>
      <c r="CC38" s="692"/>
      <c r="CD38" s="693"/>
      <c r="CE38" s="694"/>
      <c r="CF38" s="690"/>
      <c r="CG38" s="690"/>
      <c r="CH38" s="690"/>
      <c r="CI38" s="109"/>
      <c r="CJ38" s="695"/>
      <c r="CK38" s="630"/>
      <c r="CL38" s="631"/>
      <c r="CM38" s="631"/>
      <c r="CN38" s="631"/>
      <c r="CO38" s="700"/>
      <c r="CP38" s="632"/>
      <c r="CQ38" s="165"/>
      <c r="CR38" s="644"/>
      <c r="CS38" s="644"/>
      <c r="CT38" s="109"/>
      <c r="CU38" s="109"/>
      <c r="CV38" s="74"/>
      <c r="CW38" s="638"/>
      <c r="CX38" s="639"/>
      <c r="CY38" s="639"/>
      <c r="CZ38" s="639"/>
      <c r="DA38" s="605"/>
      <c r="DB38" s="632"/>
      <c r="DC38" s="638"/>
      <c r="DD38" s="639"/>
      <c r="DE38" s="639"/>
      <c r="DF38" s="639"/>
      <c r="DG38" s="639"/>
      <c r="DH38" s="74"/>
      <c r="DI38" s="642"/>
      <c r="DJ38" s="141"/>
      <c r="DK38" s="141"/>
      <c r="DL38" s="74"/>
      <c r="DM38" s="141"/>
      <c r="DN38" s="74"/>
      <c r="DO38" s="643"/>
      <c r="DP38" s="644"/>
      <c r="DQ38" s="644"/>
      <c r="DR38" s="644"/>
      <c r="DS38" s="74"/>
      <c r="DT38" s="74"/>
      <c r="DU38" s="74"/>
      <c r="DV38" s="73"/>
      <c r="DW38" s="643"/>
      <c r="DX38" s="706"/>
      <c r="DY38" s="706"/>
      <c r="DZ38" s="706"/>
      <c r="EA38" s="74"/>
      <c r="EB38" s="74"/>
      <c r="EC38" s="74"/>
      <c r="ED38" s="73"/>
      <c r="EE38" s="638"/>
      <c r="EF38" s="639"/>
      <c r="EG38" s="639"/>
      <c r="EH38" s="639"/>
      <c r="EI38" s="707"/>
      <c r="EJ38" s="632"/>
      <c r="EK38" s="638"/>
      <c r="EL38" s="639"/>
      <c r="EM38" s="639"/>
      <c r="EN38" s="639"/>
      <c r="EO38" s="639"/>
      <c r="EP38" s="74"/>
      <c r="EQ38" s="638"/>
      <c r="ER38" s="639"/>
      <c r="ES38" s="639"/>
      <c r="ET38" s="639"/>
      <c r="EU38" s="134"/>
      <c r="EV38" s="632"/>
      <c r="EW38" s="638"/>
      <c r="EX38" s="639"/>
      <c r="EY38" s="639"/>
      <c r="EZ38" s="639"/>
      <c r="FA38" s="639"/>
      <c r="FB38" s="74"/>
      <c r="FC38" s="643"/>
      <c r="FD38" s="644"/>
      <c r="FE38" s="644"/>
      <c r="FF38" s="644"/>
      <c r="FG38" s="74"/>
      <c r="FH38" s="74"/>
      <c r="FI38" s="74"/>
      <c r="FJ38" s="73"/>
      <c r="FK38" s="165"/>
      <c r="FL38" s="109"/>
      <c r="FM38" s="109"/>
      <c r="FN38" s="109"/>
      <c r="FO38" s="109"/>
      <c r="FP38" s="74"/>
      <c r="FQ38" s="165"/>
      <c r="FR38" s="109"/>
      <c r="FS38" s="109"/>
      <c r="FT38" s="155"/>
      <c r="FU38" s="74"/>
      <c r="FV38" s="187"/>
      <c r="FW38" s="155"/>
      <c r="FX38" s="155"/>
      <c r="FY38" s="155"/>
      <c r="FZ38" s="155"/>
      <c r="GA38" s="74"/>
      <c r="GB38" s="74"/>
      <c r="GC38" s="74"/>
      <c r="GD38" s="73"/>
      <c r="GE38" s="187"/>
      <c r="GF38" s="155"/>
      <c r="GG38" s="155"/>
      <c r="GH38" s="74"/>
      <c r="GI38" s="155"/>
      <c r="GJ38" s="187"/>
      <c r="GK38" s="155"/>
      <c r="GL38" s="155"/>
      <c r="GM38" s="155"/>
      <c r="GN38" s="165"/>
      <c r="GO38" s="109"/>
      <c r="GP38" s="109"/>
      <c r="GQ38" s="109"/>
      <c r="GR38" s="134"/>
      <c r="GS38" s="74"/>
      <c r="GT38" s="165"/>
      <c r="GU38" s="109"/>
      <c r="GV38" s="109"/>
      <c r="GW38" s="109"/>
      <c r="GX38" s="187"/>
      <c r="GY38" s="73"/>
      <c r="GZ38" s="708"/>
      <c r="HA38" s="708"/>
      <c r="HB38" s="708"/>
      <c r="HC38" s="130"/>
      <c r="HD38" s="134"/>
      <c r="HE38" s="73"/>
      <c r="HF38" s="138"/>
      <c r="HG38" s="130"/>
      <c r="HH38" s="130"/>
      <c r="HI38" s="130"/>
      <c r="HJ38" s="197"/>
      <c r="HK38" s="201"/>
      <c r="HL38" s="147"/>
      <c r="HM38" s="148"/>
      <c r="HN38" s="148"/>
      <c r="HO38" s="148"/>
      <c r="HP38" s="615"/>
      <c r="HQ38" s="201"/>
      <c r="HR38" s="148"/>
      <c r="HS38" s="148"/>
      <c r="HT38" s="148"/>
      <c r="HU38" s="148"/>
      <c r="HV38" s="709"/>
      <c r="HW38" s="712"/>
      <c r="HX38" s="710"/>
      <c r="HY38" s="711"/>
      <c r="HZ38" s="1510"/>
      <c r="IA38" s="711"/>
      <c r="IB38" s="712"/>
      <c r="IC38" s="618"/>
      <c r="ID38" s="745"/>
      <c r="IE38" s="141">
        <f t="shared" si="512"/>
        <v>0</v>
      </c>
      <c r="IF38" s="141">
        <f t="shared" si="513"/>
        <v>0</v>
      </c>
      <c r="IG38" s="74"/>
      <c r="IH38" s="1509"/>
      <c r="II38" s="69"/>
      <c r="IJ38" s="147"/>
      <c r="IK38" s="148"/>
      <c r="IL38" s="148"/>
      <c r="IM38" s="148"/>
      <c r="IN38" s="133"/>
      <c r="IO38" s="201"/>
      <c r="IP38" s="148"/>
      <c r="IQ38" s="148"/>
      <c r="IR38" s="148"/>
      <c r="IS38" s="710"/>
      <c r="IT38" s="712"/>
      <c r="IU38" s="390"/>
      <c r="IV38" s="148"/>
      <c r="IW38" s="148"/>
      <c r="IX38" s="148"/>
      <c r="IY38" s="147"/>
      <c r="IZ38" s="201"/>
      <c r="JA38" s="148"/>
      <c r="JB38" s="148"/>
      <c r="JC38" s="148"/>
      <c r="JD38" s="190"/>
      <c r="JE38" s="196"/>
      <c r="JF38" s="713"/>
      <c r="JG38" s="148"/>
      <c r="JH38" s="148"/>
      <c r="JI38" s="148"/>
      <c r="JJ38" s="133"/>
      <c r="JK38" s="201"/>
      <c r="JL38" s="148"/>
      <c r="JM38" s="148"/>
      <c r="JN38" s="134"/>
      <c r="JO38" s="190"/>
      <c r="JP38" s="196"/>
      <c r="JQ38" s="713"/>
      <c r="JR38" s="191"/>
      <c r="JS38" s="191"/>
      <c r="JT38" s="201"/>
      <c r="JU38" s="713">
        <v>1</v>
      </c>
      <c r="JV38" s="148">
        <v>105026</v>
      </c>
      <c r="JW38" s="148">
        <v>101612.9</v>
      </c>
      <c r="JX38" s="148"/>
      <c r="JY38" s="133">
        <f t="shared" ref="JY38:JY53" si="560">JW38-(JV38+JX38)</f>
        <v>-3413.1000000000058</v>
      </c>
      <c r="JZ38" s="151">
        <f t="shared" ref="JZ38:JZ43" si="561">JY38/JW38</f>
        <v>-3.3589239161563207E-2</v>
      </c>
      <c r="KA38" s="133">
        <v>0</v>
      </c>
      <c r="KB38" s="148">
        <v>0</v>
      </c>
      <c r="KC38" s="134"/>
      <c r="KD38" s="190">
        <f t="shared" si="514"/>
        <v>-3413.1000000000058</v>
      </c>
      <c r="KE38" s="151">
        <f t="shared" ref="KE38:KE43" si="562">KD38/JW38</f>
        <v>-3.3589239161563207E-2</v>
      </c>
      <c r="KF38" s="713">
        <v>1</v>
      </c>
      <c r="KG38" s="148">
        <v>147194</v>
      </c>
      <c r="KH38" s="148">
        <v>210000</v>
      </c>
      <c r="KI38" s="148"/>
      <c r="KJ38" s="133">
        <f t="shared" ref="KJ38:KJ53" si="563">KH38-(KG38+KI38)</f>
        <v>62806</v>
      </c>
      <c r="KK38" s="151">
        <f t="shared" ref="KK38:KK43" si="564">KJ38/KH38</f>
        <v>0.2990761904761905</v>
      </c>
      <c r="KL38" s="133"/>
      <c r="KM38" s="148">
        <v>0</v>
      </c>
      <c r="KN38" s="134">
        <v>50000</v>
      </c>
      <c r="KO38" s="190">
        <f t="shared" si="515"/>
        <v>12806</v>
      </c>
      <c r="KP38" s="151">
        <f t="shared" ref="KP38:KP43" si="565">KO38/KH38</f>
        <v>6.0980952380952379E-2</v>
      </c>
      <c r="KQ38" s="713">
        <v>1</v>
      </c>
      <c r="KR38" s="148">
        <v>147194</v>
      </c>
      <c r="KS38" s="148">
        <v>210000</v>
      </c>
      <c r="KT38" s="134">
        <v>0</v>
      </c>
      <c r="KU38" s="133">
        <f t="shared" ref="KU38:KU53" si="566">KS38-(KR38+KT38)</f>
        <v>62806</v>
      </c>
      <c r="KV38" s="151">
        <f t="shared" ref="KV38:KV43" si="567">KU38/KS38</f>
        <v>0.2990761904761905</v>
      </c>
      <c r="KW38" s="133"/>
      <c r="KX38" s="148">
        <v>0</v>
      </c>
      <c r="KY38" s="134">
        <v>50000</v>
      </c>
      <c r="KZ38" s="190">
        <f t="shared" si="516"/>
        <v>12806</v>
      </c>
      <c r="LA38" s="151">
        <f>KZ38/KS38</f>
        <v>6.0980952380952379E-2</v>
      </c>
      <c r="LB38" s="402">
        <v>1</v>
      </c>
      <c r="LC38" s="191">
        <f t="shared" si="517"/>
        <v>521612.9</v>
      </c>
      <c r="LD38" s="191">
        <f t="shared" si="518"/>
        <v>122198.9</v>
      </c>
      <c r="LE38" s="151">
        <f t="shared" ref="LE38:LE43" si="568">LD38/LC38</f>
        <v>0.23427123830718141</v>
      </c>
      <c r="LF38" s="226">
        <f t="shared" si="519"/>
        <v>1</v>
      </c>
      <c r="LG38" s="128">
        <f t="shared" si="520"/>
        <v>521612.9</v>
      </c>
      <c r="LH38" s="139">
        <f t="shared" si="521"/>
        <v>122198.9</v>
      </c>
      <c r="LI38" s="442">
        <v>1</v>
      </c>
      <c r="LJ38" s="442">
        <v>1</v>
      </c>
      <c r="LK38" s="106">
        <v>1</v>
      </c>
      <c r="LL38" s="390">
        <v>1</v>
      </c>
      <c r="LM38" s="134">
        <v>147194</v>
      </c>
      <c r="LN38" s="134">
        <v>206612.9</v>
      </c>
      <c r="LO38" s="134"/>
      <c r="LP38" s="133">
        <f t="shared" si="522"/>
        <v>59418.899999999994</v>
      </c>
      <c r="LQ38" s="151">
        <f>LP38/LN38</f>
        <v>0.28758562509891683</v>
      </c>
      <c r="LR38" s="133"/>
      <c r="LS38" s="148">
        <v>50000</v>
      </c>
      <c r="LT38" s="134">
        <v>0</v>
      </c>
      <c r="LU38" s="190">
        <f t="shared" si="523"/>
        <v>9418.8999999999942</v>
      </c>
      <c r="LV38" s="151">
        <v>0</v>
      </c>
      <c r="LW38" s="134">
        <v>1</v>
      </c>
      <c r="LX38" s="134">
        <v>144773</v>
      </c>
      <c r="LY38" s="134">
        <v>196000</v>
      </c>
      <c r="LZ38" s="134"/>
      <c r="MA38" s="133">
        <f t="shared" si="524"/>
        <v>51227</v>
      </c>
      <c r="MB38" s="151">
        <f>MA38/LY38</f>
        <v>0.26136224489795917</v>
      </c>
      <c r="MC38" s="134"/>
      <c r="MD38" s="134">
        <v>50000</v>
      </c>
      <c r="ME38" s="134">
        <v>0</v>
      </c>
      <c r="MF38" s="190">
        <f t="shared" si="525"/>
        <v>1227</v>
      </c>
      <c r="MG38" s="151">
        <f>MF38/LY38</f>
        <v>6.260204081632653E-3</v>
      </c>
      <c r="MH38" s="134">
        <v>2</v>
      </c>
      <c r="MI38" s="134">
        <v>391993</v>
      </c>
      <c r="MJ38" s="134">
        <v>535000</v>
      </c>
      <c r="MK38" s="134"/>
      <c r="ML38" s="133">
        <f t="shared" si="526"/>
        <v>143007</v>
      </c>
      <c r="MM38" s="151">
        <f>ML38/MJ38</f>
        <v>0.26730280373831777</v>
      </c>
      <c r="MN38" s="134">
        <v>27650</v>
      </c>
      <c r="MO38" s="134">
        <v>110000</v>
      </c>
      <c r="MP38" s="134">
        <v>0</v>
      </c>
      <c r="MQ38" s="190">
        <f t="shared" si="527"/>
        <v>5357</v>
      </c>
      <c r="MR38" s="151">
        <f>MQ38/MJ38</f>
        <v>1.0013084112149533E-2</v>
      </c>
      <c r="MS38" s="1472">
        <v>2</v>
      </c>
      <c r="MT38" s="118">
        <f t="shared" si="528"/>
        <v>937612.9</v>
      </c>
      <c r="MU38" s="118">
        <f t="shared" si="529"/>
        <v>253652.9</v>
      </c>
      <c r="MV38" s="135">
        <f>MU38/MT38</f>
        <v>0.27053051424527114</v>
      </c>
      <c r="MW38" s="133">
        <f t="shared" si="530"/>
        <v>1</v>
      </c>
      <c r="MX38" s="134">
        <f t="shared" si="531"/>
        <v>416000</v>
      </c>
      <c r="MY38" s="134">
        <f t="shared" si="532"/>
        <v>131454</v>
      </c>
      <c r="MZ38" s="135">
        <f t="shared" si="533"/>
        <v>1</v>
      </c>
      <c r="NA38" s="135">
        <f t="shared" si="533"/>
        <v>0.79752628817270432</v>
      </c>
      <c r="NB38" s="151">
        <f t="shared" si="533"/>
        <v>1.07573799764155</v>
      </c>
      <c r="NC38" s="134">
        <v>2</v>
      </c>
      <c r="ND38" s="134">
        <v>367360</v>
      </c>
      <c r="NE38" s="134">
        <v>474048</v>
      </c>
      <c r="NF38" s="134"/>
      <c r="NG38" s="133">
        <f t="shared" si="534"/>
        <v>106688</v>
      </c>
      <c r="NH38" s="151">
        <f>NG38/NE38</f>
        <v>0.22505737815579857</v>
      </c>
      <c r="NI38" s="134"/>
      <c r="NJ38" s="134">
        <v>60000</v>
      </c>
      <c r="NK38" s="134">
        <v>0</v>
      </c>
      <c r="NL38" s="190">
        <f t="shared" si="535"/>
        <v>46688</v>
      </c>
      <c r="NM38" s="135">
        <f>NL38/NE38</f>
        <v>9.8487916835425945E-2</v>
      </c>
      <c r="NN38" s="1563">
        <v>1</v>
      </c>
      <c r="NO38" s="134">
        <v>237122</v>
      </c>
      <c r="NP38" s="134">
        <v>325000</v>
      </c>
      <c r="NQ38" s="134">
        <v>0</v>
      </c>
      <c r="NR38" s="133">
        <f t="shared" si="536"/>
        <v>87878</v>
      </c>
      <c r="NS38" s="151">
        <f>NR38/NP38</f>
        <v>0.27039384615384615</v>
      </c>
      <c r="NT38" s="134">
        <v>0</v>
      </c>
      <c r="NU38" s="134">
        <v>60000</v>
      </c>
      <c r="NV38" s="134">
        <v>50000</v>
      </c>
      <c r="NW38" s="190">
        <f t="shared" si="537"/>
        <v>-22122</v>
      </c>
      <c r="NX38" s="135">
        <f>NW38/NP38</f>
        <v>-6.8067692307692301E-2</v>
      </c>
      <c r="NY38" s="1563">
        <v>1</v>
      </c>
      <c r="NZ38" s="134">
        <v>237122</v>
      </c>
      <c r="OA38" s="134">
        <v>325000</v>
      </c>
      <c r="OB38" s="134">
        <v>0</v>
      </c>
      <c r="OC38" s="133">
        <f t="shared" si="538"/>
        <v>87878</v>
      </c>
      <c r="OD38" s="151">
        <f>OC38/OA38</f>
        <v>0.27039384615384615</v>
      </c>
      <c r="OE38" s="134">
        <v>0</v>
      </c>
      <c r="OF38" s="134">
        <v>60000</v>
      </c>
      <c r="OG38" s="134">
        <v>50000</v>
      </c>
      <c r="OH38" s="190">
        <f t="shared" si="539"/>
        <v>-22122</v>
      </c>
      <c r="OI38" s="5380">
        <f>OH38/OA38</f>
        <v>-6.8067692307692301E-2</v>
      </c>
      <c r="OJ38" s="69">
        <v>1</v>
      </c>
      <c r="OK38" s="155">
        <f t="shared" si="540"/>
        <v>2583273.7999999998</v>
      </c>
      <c r="OL38" s="155">
        <f t="shared" si="541"/>
        <v>658295.80000000005</v>
      </c>
      <c r="OM38" s="74">
        <f t="shared" si="542"/>
        <v>0.25483005324483998</v>
      </c>
      <c r="ON38" s="155">
        <f t="shared" si="543"/>
        <v>40645.799999999988</v>
      </c>
      <c r="OO38" s="70"/>
      <c r="OP38" s="69"/>
      <c r="OQ38" s="1565"/>
      <c r="OR38" s="148"/>
      <c r="OS38" s="148"/>
      <c r="OT38" s="148"/>
      <c r="OU38" s="133">
        <f t="shared" si="544"/>
        <v>0</v>
      </c>
      <c r="OV38" s="4271">
        <v>0</v>
      </c>
      <c r="OW38" s="148"/>
      <c r="OX38" s="134">
        <v>0</v>
      </c>
      <c r="OY38" s="148"/>
      <c r="OZ38" s="190">
        <f t="shared" si="545"/>
        <v>0</v>
      </c>
      <c r="PA38" s="5372">
        <v>0</v>
      </c>
      <c r="PB38" s="5320"/>
      <c r="PC38" s="134">
        <v>0</v>
      </c>
      <c r="PD38" s="134">
        <v>0</v>
      </c>
      <c r="PE38" s="134">
        <v>0</v>
      </c>
      <c r="PF38" s="133">
        <f>PD38-(PC38+PE38)</f>
        <v>0</v>
      </c>
      <c r="PG38" s="4271">
        <v>0</v>
      </c>
      <c r="PH38" s="134">
        <v>0</v>
      </c>
      <c r="PI38" s="134">
        <v>0</v>
      </c>
      <c r="PJ38" s="134">
        <v>0</v>
      </c>
      <c r="PK38" s="190">
        <f t="shared" si="546"/>
        <v>0</v>
      </c>
      <c r="PL38" s="135"/>
      <c r="PM38" s="5382"/>
      <c r="PN38" s="148">
        <v>0</v>
      </c>
      <c r="PO38" s="148">
        <v>0</v>
      </c>
      <c r="PP38" s="134">
        <v>0</v>
      </c>
      <c r="PQ38" s="6293">
        <f t="shared" si="263"/>
        <v>0</v>
      </c>
      <c r="PR38" s="6295">
        <v>0</v>
      </c>
      <c r="PS38" s="134">
        <v>0</v>
      </c>
      <c r="PT38" s="134">
        <v>0</v>
      </c>
      <c r="PU38" s="134">
        <v>0</v>
      </c>
      <c r="PV38" s="190">
        <f t="shared" si="265"/>
        <v>0</v>
      </c>
      <c r="PW38" s="5380">
        <v>0</v>
      </c>
      <c r="PX38" s="5322"/>
      <c r="PY38" s="191"/>
      <c r="PZ38" s="191"/>
      <c r="QA38" s="198"/>
      <c r="QB38" s="5382"/>
      <c r="QC38" s="148"/>
      <c r="QD38" s="148"/>
      <c r="QE38" s="148"/>
      <c r="QF38" s="6293">
        <f t="shared" si="270"/>
        <v>0</v>
      </c>
      <c r="QG38" s="6296"/>
      <c r="QH38" s="134">
        <v>0</v>
      </c>
      <c r="QI38" s="148">
        <v>0</v>
      </c>
      <c r="QJ38" s="134">
        <v>0</v>
      </c>
      <c r="QK38" s="190">
        <f t="shared" si="507"/>
        <v>0</v>
      </c>
      <c r="QL38" s="5380"/>
      <c r="QM38" s="5382"/>
      <c r="QN38" s="134"/>
      <c r="QO38" s="148"/>
      <c r="QP38" s="148"/>
      <c r="QQ38" s="133">
        <f t="shared" si="508"/>
        <v>0</v>
      </c>
      <c r="QR38" s="196">
        <v>0</v>
      </c>
      <c r="QS38" s="133"/>
      <c r="QT38" s="134">
        <v>0</v>
      </c>
      <c r="QU38" s="134">
        <v>0</v>
      </c>
      <c r="QV38" s="190">
        <f t="shared" si="547"/>
        <v>0</v>
      </c>
      <c r="QW38" s="5381">
        <v>0</v>
      </c>
      <c r="QX38" s="5382"/>
      <c r="QY38" s="134">
        <v>0</v>
      </c>
      <c r="QZ38" s="134">
        <v>0</v>
      </c>
      <c r="RA38" s="134"/>
      <c r="RB38" s="133">
        <f t="shared" ref="RB38:RB45" si="569">QZ38-(QY38+RA38)</f>
        <v>0</v>
      </c>
      <c r="RC38" s="151">
        <v>0</v>
      </c>
      <c r="RD38" s="133"/>
      <c r="RE38" s="148">
        <v>0</v>
      </c>
      <c r="RF38" s="134">
        <v>0</v>
      </c>
      <c r="RG38" s="190">
        <f t="shared" ref="RG38:RG43" si="570">RB38-SUM(RD38:RF38)</f>
        <v>0</v>
      </c>
      <c r="RH38" s="5381">
        <v>0</v>
      </c>
      <c r="RI38" s="5376"/>
      <c r="RJ38" s="191">
        <f t="shared" si="548"/>
        <v>0</v>
      </c>
      <c r="RK38" s="191">
        <f t="shared" si="549"/>
        <v>0</v>
      </c>
      <c r="RL38" s="5380"/>
      <c r="RM38" s="1562">
        <f t="shared" si="550"/>
        <v>0</v>
      </c>
      <c r="RN38" s="128">
        <f t="shared" si="551"/>
        <v>0</v>
      </c>
      <c r="RO38" s="139">
        <f t="shared" si="552"/>
        <v>0</v>
      </c>
      <c r="RP38" s="442">
        <v>1</v>
      </c>
      <c r="RQ38" s="442">
        <v>1</v>
      </c>
      <c r="RR38" s="6339">
        <v>1</v>
      </c>
      <c r="RS38" s="6327"/>
      <c r="RT38" s="130">
        <v>0</v>
      </c>
      <c r="RU38" s="130">
        <v>0</v>
      </c>
      <c r="RV38" s="3546">
        <v>0</v>
      </c>
      <c r="RW38" s="133">
        <f t="shared" ref="RW38:RW43" si="571">RU38-(RT38+RV38)</f>
        <v>0</v>
      </c>
      <c r="RX38" s="151"/>
      <c r="RY38" s="133">
        <v>0</v>
      </c>
      <c r="RZ38" s="148">
        <v>0</v>
      </c>
      <c r="SA38" s="134">
        <v>0</v>
      </c>
      <c r="SB38" s="190">
        <f t="shared" si="553"/>
        <v>0</v>
      </c>
      <c r="SC38" s="5380"/>
      <c r="SD38" s="5405"/>
      <c r="SE38" s="130"/>
      <c r="SF38" s="130"/>
      <c r="SG38" s="606"/>
      <c r="SH38" s="6361">
        <f t="shared" ref="SH38:SH56" si="572">SF38-(SE38+SG38)</f>
        <v>0</v>
      </c>
      <c r="SI38" s="6377">
        <v>0</v>
      </c>
      <c r="SJ38" s="134"/>
      <c r="SK38" s="134"/>
      <c r="SL38" s="134"/>
      <c r="SM38" s="188">
        <f t="shared" si="289"/>
        <v>0</v>
      </c>
      <c r="SN38" s="5409">
        <v>0</v>
      </c>
      <c r="SO38" s="134"/>
      <c r="SP38" s="134"/>
      <c r="SQ38" s="134"/>
      <c r="SR38" s="134"/>
      <c r="SS38" s="6361">
        <f t="shared" si="510"/>
        <v>0</v>
      </c>
      <c r="ST38" s="6363"/>
      <c r="SU38" s="134">
        <v>0</v>
      </c>
      <c r="SV38" s="134"/>
      <c r="SW38" s="134">
        <v>0</v>
      </c>
      <c r="SX38" s="190">
        <f t="shared" si="511"/>
        <v>0</v>
      </c>
      <c r="SY38" s="5380"/>
      <c r="SZ38" s="6270"/>
      <c r="TA38" s="118">
        <f t="shared" si="554"/>
        <v>0</v>
      </c>
      <c r="TB38" s="118">
        <f t="shared" si="555"/>
        <v>0</v>
      </c>
      <c r="TC38" s="5381">
        <v>0</v>
      </c>
      <c r="TD38" s="1563"/>
      <c r="TE38" s="134"/>
      <c r="TF38" s="134"/>
      <c r="TG38" s="134"/>
      <c r="TH38" s="133">
        <f t="shared" si="556"/>
        <v>0</v>
      </c>
      <c r="TI38" s="196">
        <v>0</v>
      </c>
      <c r="TJ38" s="134">
        <v>0</v>
      </c>
      <c r="TK38" s="134">
        <v>0</v>
      </c>
      <c r="TL38" s="134">
        <v>0</v>
      </c>
      <c r="TM38" s="190">
        <f t="shared" si="557"/>
        <v>0</v>
      </c>
      <c r="TN38" s="5381">
        <v>0</v>
      </c>
      <c r="TO38" s="134"/>
      <c r="TP38" s="134"/>
      <c r="TQ38" s="134"/>
      <c r="TR38" s="134"/>
      <c r="TS38" s="133">
        <f t="shared" si="558"/>
        <v>0</v>
      </c>
      <c r="TT38" s="151" t="e">
        <f>TS38/TQ38</f>
        <v>#DIV/0!</v>
      </c>
      <c r="TU38" s="134"/>
      <c r="TV38" s="134"/>
      <c r="TW38" s="134"/>
      <c r="TX38" s="190">
        <f t="shared" si="505"/>
        <v>0</v>
      </c>
      <c r="TY38" s="135" t="e">
        <f>TX38/TQ38</f>
        <v>#DIV/0!</v>
      </c>
      <c r="TZ38" s="1563"/>
      <c r="UA38" s="134"/>
      <c r="UB38" s="134"/>
      <c r="UC38" s="134"/>
      <c r="UD38" s="133">
        <f t="shared" si="559"/>
        <v>0</v>
      </c>
      <c r="UE38" s="151" t="e">
        <f>UD38/UB38</f>
        <v>#DIV/0!</v>
      </c>
      <c r="UF38" s="134"/>
      <c r="UG38" s="134"/>
      <c r="UH38" s="134"/>
      <c r="UI38" s="190">
        <f t="shared" si="506"/>
        <v>0</v>
      </c>
      <c r="UJ38" s="5380" t="e">
        <f>UI38/UB38</f>
        <v>#DIV/0!</v>
      </c>
      <c r="UK38" s="5376"/>
      <c r="UL38" s="191">
        <f t="shared" si="284"/>
        <v>0</v>
      </c>
      <c r="UM38" s="191">
        <f t="shared" si="285"/>
        <v>0</v>
      </c>
      <c r="UN38" s="135"/>
      <c r="UO38" s="191">
        <f t="shared" si="286"/>
        <v>0</v>
      </c>
      <c r="UP38" s="5380"/>
    </row>
    <row r="39" spans="1:562" x14ac:dyDescent="0.3">
      <c r="A39" s="5316"/>
      <c r="B39" s="5373" t="s">
        <v>397</v>
      </c>
      <c r="C39" s="578" t="s">
        <v>141</v>
      </c>
      <c r="D39" s="578" t="s">
        <v>140</v>
      </c>
      <c r="E39" s="6278" t="s">
        <v>254</v>
      </c>
      <c r="F39" s="71"/>
      <c r="G39" s="160"/>
      <c r="H39" s="160"/>
      <c r="I39" s="160"/>
      <c r="J39" s="71"/>
      <c r="K39" s="628"/>
      <c r="L39" s="160"/>
      <c r="M39" s="160"/>
      <c r="N39" s="160"/>
      <c r="O39" s="71"/>
      <c r="P39" s="628"/>
      <c r="Q39" s="160"/>
      <c r="R39" s="160"/>
      <c r="S39" s="160"/>
      <c r="T39" s="7"/>
      <c r="U39" s="628"/>
      <c r="V39" s="71"/>
      <c r="W39" s="71"/>
      <c r="X39" s="71"/>
      <c r="Y39" s="71"/>
      <c r="Z39" s="629"/>
      <c r="AA39" s="71"/>
      <c r="AB39" s="71"/>
      <c r="AC39" s="71"/>
      <c r="AD39" s="71"/>
      <c r="AE39" s="690"/>
      <c r="AF39" s="71"/>
      <c r="AG39" s="630"/>
      <c r="AH39" s="631"/>
      <c r="AI39" s="631"/>
      <c r="AJ39" s="631"/>
      <c r="AK39" s="700"/>
      <c r="AL39" s="632"/>
      <c r="AM39" s="131"/>
      <c r="AN39" s="429"/>
      <c r="AO39" s="132"/>
      <c r="AP39" s="429"/>
      <c r="AQ39" s="429"/>
      <c r="AR39" s="701"/>
      <c r="AS39" s="667"/>
      <c r="AT39" s="380"/>
      <c r="AU39" s="380"/>
      <c r="AV39" s="380"/>
      <c r="AW39" s="116"/>
      <c r="AX39" s="702"/>
      <c r="AY39" s="703"/>
      <c r="AZ39" s="703"/>
      <c r="BA39" s="703"/>
      <c r="BB39" s="704"/>
      <c r="BC39" s="694"/>
      <c r="BD39" s="690"/>
      <c r="BE39" s="690"/>
      <c r="BF39" s="690"/>
      <c r="BG39" s="690"/>
      <c r="BH39" s="589"/>
      <c r="BI39" s="694"/>
      <c r="BJ39" s="690"/>
      <c r="BK39" s="690"/>
      <c r="BL39" s="690"/>
      <c r="BM39" s="690"/>
      <c r="BN39" s="589"/>
      <c r="BO39" s="689"/>
      <c r="BP39" s="690"/>
      <c r="BQ39" s="690"/>
      <c r="BR39" s="690"/>
      <c r="BS39" s="690"/>
      <c r="BT39" s="705"/>
      <c r="BU39" s="689"/>
      <c r="BV39" s="592"/>
      <c r="BW39" s="592"/>
      <c r="BX39" s="593"/>
      <c r="BY39" s="691"/>
      <c r="BZ39" s="692"/>
      <c r="CA39" s="692"/>
      <c r="CB39" s="692"/>
      <c r="CC39" s="692"/>
      <c r="CD39" s="693"/>
      <c r="CE39" s="694"/>
      <c r="CF39" s="690"/>
      <c r="CG39" s="690"/>
      <c r="CH39" s="690"/>
      <c r="CI39" s="109"/>
      <c r="CJ39" s="695"/>
      <c r="CK39" s="630"/>
      <c r="CL39" s="631"/>
      <c r="CM39" s="631"/>
      <c r="CN39" s="631"/>
      <c r="CO39" s="700"/>
      <c r="CP39" s="632"/>
      <c r="CQ39" s="165"/>
      <c r="CR39" s="644"/>
      <c r="CS39" s="644"/>
      <c r="CT39" s="109"/>
      <c r="CU39" s="109"/>
      <c r="CV39" s="74"/>
      <c r="CW39" s="638"/>
      <c r="CX39" s="639"/>
      <c r="CY39" s="639"/>
      <c r="CZ39" s="639"/>
      <c r="DA39" s="605"/>
      <c r="DB39" s="632"/>
      <c r="DC39" s="638"/>
      <c r="DD39" s="639"/>
      <c r="DE39" s="639"/>
      <c r="DF39" s="639"/>
      <c r="DG39" s="639"/>
      <c r="DH39" s="74"/>
      <c r="DI39" s="642"/>
      <c r="DJ39" s="141"/>
      <c r="DK39" s="141"/>
      <c r="DL39" s="74"/>
      <c r="DM39" s="141"/>
      <c r="DN39" s="74"/>
      <c r="DO39" s="643"/>
      <c r="DP39" s="644"/>
      <c r="DQ39" s="644"/>
      <c r="DR39" s="644"/>
      <c r="DS39" s="74"/>
      <c r="DT39" s="74"/>
      <c r="DU39" s="74"/>
      <c r="DV39" s="73"/>
      <c r="DW39" s="643"/>
      <c r="DX39" s="706"/>
      <c r="DY39" s="706"/>
      <c r="DZ39" s="706"/>
      <c r="EA39" s="74"/>
      <c r="EB39" s="74"/>
      <c r="EC39" s="74"/>
      <c r="ED39" s="73"/>
      <c r="EE39" s="638"/>
      <c r="EF39" s="639"/>
      <c r="EG39" s="639"/>
      <c r="EH39" s="639"/>
      <c r="EI39" s="707"/>
      <c r="EJ39" s="632"/>
      <c r="EK39" s="638"/>
      <c r="EL39" s="639"/>
      <c r="EM39" s="639"/>
      <c r="EN39" s="639"/>
      <c r="EO39" s="639"/>
      <c r="EP39" s="74"/>
      <c r="EQ39" s="638"/>
      <c r="ER39" s="639"/>
      <c r="ES39" s="639"/>
      <c r="ET39" s="639"/>
      <c r="EU39" s="134"/>
      <c r="EV39" s="632"/>
      <c r="EW39" s="638"/>
      <c r="EX39" s="639"/>
      <c r="EY39" s="639"/>
      <c r="EZ39" s="639"/>
      <c r="FA39" s="639"/>
      <c r="FB39" s="74"/>
      <c r="FC39" s="643"/>
      <c r="FD39" s="644"/>
      <c r="FE39" s="644"/>
      <c r="FF39" s="644"/>
      <c r="FG39" s="74"/>
      <c r="FH39" s="74"/>
      <c r="FI39" s="74"/>
      <c r="FJ39" s="73"/>
      <c r="FK39" s="165"/>
      <c r="FL39" s="109"/>
      <c r="FM39" s="109"/>
      <c r="FN39" s="109"/>
      <c r="FO39" s="109"/>
      <c r="FP39" s="74"/>
      <c r="FQ39" s="165"/>
      <c r="FR39" s="109"/>
      <c r="FS39" s="109"/>
      <c r="FT39" s="155"/>
      <c r="FU39" s="74"/>
      <c r="FV39" s="187"/>
      <c r="FW39" s="155"/>
      <c r="FX39" s="155"/>
      <c r="FY39" s="155"/>
      <c r="FZ39" s="155"/>
      <c r="GA39" s="74"/>
      <c r="GB39" s="74"/>
      <c r="GC39" s="74"/>
      <c r="GD39" s="73"/>
      <c r="GE39" s="187"/>
      <c r="GF39" s="155"/>
      <c r="GG39" s="155"/>
      <c r="GH39" s="74"/>
      <c r="GI39" s="155"/>
      <c r="GJ39" s="187"/>
      <c r="GK39" s="155"/>
      <c r="GL39" s="155"/>
      <c r="GM39" s="155"/>
      <c r="GN39" s="165"/>
      <c r="GO39" s="109"/>
      <c r="GP39" s="109"/>
      <c r="GQ39" s="109"/>
      <c r="GR39" s="134"/>
      <c r="GS39" s="74"/>
      <c r="GT39" s="165"/>
      <c r="GU39" s="109"/>
      <c r="GV39" s="109"/>
      <c r="GW39" s="109"/>
      <c r="GX39" s="187"/>
      <c r="GY39" s="73"/>
      <c r="GZ39" s="708"/>
      <c r="HA39" s="708"/>
      <c r="HB39" s="708"/>
      <c r="HC39" s="130"/>
      <c r="HD39" s="134"/>
      <c r="HE39" s="73"/>
      <c r="HF39" s="138"/>
      <c r="HG39" s="130"/>
      <c r="HH39" s="130"/>
      <c r="HI39" s="130"/>
      <c r="HJ39" s="197"/>
      <c r="HK39" s="201"/>
      <c r="HL39" s="147"/>
      <c r="HM39" s="148"/>
      <c r="HN39" s="148"/>
      <c r="HO39" s="148"/>
      <c r="HP39" s="615"/>
      <c r="HQ39" s="201"/>
      <c r="HR39" s="148"/>
      <c r="HS39" s="148"/>
      <c r="HT39" s="148"/>
      <c r="HU39" s="148"/>
      <c r="HV39" s="709"/>
      <c r="HW39" s="712"/>
      <c r="HX39" s="710"/>
      <c r="HY39" s="711"/>
      <c r="HZ39" s="1510"/>
      <c r="IA39" s="711"/>
      <c r="IB39" s="712"/>
      <c r="IC39" s="618"/>
      <c r="ID39" s="745"/>
      <c r="IE39" s="141">
        <f t="shared" si="512"/>
        <v>0</v>
      </c>
      <c r="IF39" s="141">
        <f t="shared" si="513"/>
        <v>0</v>
      </c>
      <c r="IG39" s="74"/>
      <c r="IH39" s="1509"/>
      <c r="II39" s="69"/>
      <c r="IJ39" s="147"/>
      <c r="IK39" s="148"/>
      <c r="IL39" s="148"/>
      <c r="IM39" s="148"/>
      <c r="IN39" s="133"/>
      <c r="IO39" s="201"/>
      <c r="IP39" s="148"/>
      <c r="IQ39" s="148"/>
      <c r="IR39" s="148"/>
      <c r="IS39" s="710"/>
      <c r="IT39" s="712"/>
      <c r="IU39" s="390"/>
      <c r="IV39" s="148"/>
      <c r="IW39" s="148"/>
      <c r="IX39" s="148"/>
      <c r="IY39" s="147"/>
      <c r="IZ39" s="201"/>
      <c r="JA39" s="148"/>
      <c r="JB39" s="148"/>
      <c r="JC39" s="148"/>
      <c r="JD39" s="190"/>
      <c r="JE39" s="196"/>
      <c r="JF39" s="713"/>
      <c r="JG39" s="148"/>
      <c r="JH39" s="148"/>
      <c r="JI39" s="148"/>
      <c r="JJ39" s="133">
        <f t="shared" ref="JJ39:JJ50" si="573">JH39-(JG39+JI39)</f>
        <v>0</v>
      </c>
      <c r="JK39" s="201"/>
      <c r="JL39" s="148">
        <v>0</v>
      </c>
      <c r="JM39" s="148">
        <v>80000</v>
      </c>
      <c r="JN39" s="134">
        <v>0</v>
      </c>
      <c r="JO39" s="190">
        <f t="shared" ref="JO39:JO51" si="574">JJ39-SUM(JL39:JN39)</f>
        <v>-80000</v>
      </c>
      <c r="JP39" s="151"/>
      <c r="JQ39" s="713"/>
      <c r="JR39" s="191">
        <f t="shared" ref="JR39:JR53" si="575">JH39+IW39+IL39</f>
        <v>0</v>
      </c>
      <c r="JS39" s="191">
        <f t="shared" ref="JS39:JS53" si="576">JJ39+IY39+IN39</f>
        <v>0</v>
      </c>
      <c r="JT39" s="201"/>
      <c r="JU39" s="713"/>
      <c r="JV39" s="714">
        <v>0</v>
      </c>
      <c r="JW39" s="134">
        <v>533333</v>
      </c>
      <c r="JX39" s="148"/>
      <c r="JY39" s="133">
        <f t="shared" si="560"/>
        <v>533333</v>
      </c>
      <c r="JZ39" s="151">
        <f t="shared" si="561"/>
        <v>1</v>
      </c>
      <c r="KA39" s="133">
        <v>149968</v>
      </c>
      <c r="KB39" s="148">
        <v>0</v>
      </c>
      <c r="KC39" s="134">
        <f>200000+84250</f>
        <v>284250</v>
      </c>
      <c r="KD39" s="190">
        <f t="shared" si="514"/>
        <v>99115</v>
      </c>
      <c r="KE39" s="151">
        <f t="shared" si="562"/>
        <v>0.18584074115046323</v>
      </c>
      <c r="KF39" s="713"/>
      <c r="KG39" s="714">
        <v>0</v>
      </c>
      <c r="KH39" s="134">
        <v>533333</v>
      </c>
      <c r="KI39" s="148"/>
      <c r="KJ39" s="133">
        <f t="shared" si="563"/>
        <v>533333</v>
      </c>
      <c r="KK39" s="151">
        <f t="shared" si="564"/>
        <v>1</v>
      </c>
      <c r="KL39" s="133"/>
      <c r="KM39" s="148">
        <v>0</v>
      </c>
      <c r="KN39" s="134">
        <v>500000</v>
      </c>
      <c r="KO39" s="190">
        <f t="shared" si="515"/>
        <v>33333</v>
      </c>
      <c r="KP39" s="151">
        <f t="shared" si="565"/>
        <v>6.2499414062133787E-2</v>
      </c>
      <c r="KQ39" s="713"/>
      <c r="KR39" s="134"/>
      <c r="KS39" s="134">
        <v>399999</v>
      </c>
      <c r="KT39" s="148"/>
      <c r="KU39" s="133">
        <f t="shared" si="566"/>
        <v>399999</v>
      </c>
      <c r="KV39" s="151">
        <f t="shared" si="567"/>
        <v>1</v>
      </c>
      <c r="KW39" s="133"/>
      <c r="KX39" s="148">
        <v>0</v>
      </c>
      <c r="KY39" s="134">
        <v>1303220.7000000002</v>
      </c>
      <c r="KZ39" s="190">
        <f t="shared" si="516"/>
        <v>-903221.70000000019</v>
      </c>
      <c r="LA39" s="151">
        <v>0</v>
      </c>
      <c r="LB39" s="402"/>
      <c r="LC39" s="191">
        <f t="shared" si="517"/>
        <v>1466665</v>
      </c>
      <c r="LD39" s="191">
        <f t="shared" si="518"/>
        <v>1466665</v>
      </c>
      <c r="LE39" s="151">
        <f t="shared" si="568"/>
        <v>1</v>
      </c>
      <c r="LF39" s="226">
        <f t="shared" si="519"/>
        <v>0</v>
      </c>
      <c r="LG39" s="128">
        <f t="shared" si="520"/>
        <v>1466665</v>
      </c>
      <c r="LH39" s="139">
        <f t="shared" si="521"/>
        <v>1466665</v>
      </c>
      <c r="LI39" s="442">
        <v>1</v>
      </c>
      <c r="LJ39" s="442">
        <v>1</v>
      </c>
      <c r="LK39" s="106">
        <v>1</v>
      </c>
      <c r="LL39" s="713"/>
      <c r="LM39" s="134"/>
      <c r="LN39" s="134"/>
      <c r="LO39" s="148"/>
      <c r="LP39" s="133">
        <f t="shared" si="522"/>
        <v>0</v>
      </c>
      <c r="LQ39" s="151"/>
      <c r="LR39" s="133"/>
      <c r="LS39" s="148">
        <v>0</v>
      </c>
      <c r="LT39" s="134">
        <v>0</v>
      </c>
      <c r="LU39" s="190">
        <f t="shared" si="523"/>
        <v>0</v>
      </c>
      <c r="LV39" s="151">
        <v>0</v>
      </c>
      <c r="LW39" s="134"/>
      <c r="LX39" s="134"/>
      <c r="LY39" s="134"/>
      <c r="LZ39" s="134"/>
      <c r="MA39" s="133">
        <f t="shared" si="524"/>
        <v>0</v>
      </c>
      <c r="MB39" s="151"/>
      <c r="MC39" s="134"/>
      <c r="MD39" s="134">
        <v>0</v>
      </c>
      <c r="ME39" s="134">
        <v>0</v>
      </c>
      <c r="MF39" s="190">
        <f t="shared" si="525"/>
        <v>0</v>
      </c>
      <c r="MG39" s="151"/>
      <c r="MH39" s="134"/>
      <c r="MI39" s="134">
        <v>0</v>
      </c>
      <c r="MJ39" s="134">
        <v>0</v>
      </c>
      <c r="MK39" s="134"/>
      <c r="ML39" s="133">
        <f t="shared" si="526"/>
        <v>0</v>
      </c>
      <c r="MM39" s="196">
        <v>0</v>
      </c>
      <c r="MN39" s="134">
        <v>0</v>
      </c>
      <c r="MO39" s="134">
        <v>0</v>
      </c>
      <c r="MP39" s="134">
        <v>0</v>
      </c>
      <c r="MQ39" s="190">
        <f t="shared" si="527"/>
        <v>0</v>
      </c>
      <c r="MR39" s="196">
        <v>0</v>
      </c>
      <c r="MS39" s="1473"/>
      <c r="MT39" s="118">
        <f t="shared" si="528"/>
        <v>0</v>
      </c>
      <c r="MU39" s="118">
        <f t="shared" si="529"/>
        <v>0</v>
      </c>
      <c r="MV39" s="135"/>
      <c r="MW39" s="133">
        <f t="shared" si="530"/>
        <v>0</v>
      </c>
      <c r="MX39" s="134">
        <f t="shared" si="531"/>
        <v>-1466665</v>
      </c>
      <c r="MY39" s="134">
        <f t="shared" si="532"/>
        <v>-1466665</v>
      </c>
      <c r="MZ39" s="135">
        <v>0</v>
      </c>
      <c r="NA39" s="135">
        <f t="shared" ref="NA39:NB43" si="577">MX39/LC39</f>
        <v>-1</v>
      </c>
      <c r="NB39" s="151">
        <f t="shared" si="577"/>
        <v>-1</v>
      </c>
      <c r="NC39" s="134"/>
      <c r="ND39" s="134">
        <v>0</v>
      </c>
      <c r="NE39" s="134">
        <v>0</v>
      </c>
      <c r="NF39" s="134"/>
      <c r="NG39" s="133">
        <f t="shared" si="534"/>
        <v>0</v>
      </c>
      <c r="NH39" s="196">
        <v>0</v>
      </c>
      <c r="NI39" s="134">
        <v>0</v>
      </c>
      <c r="NJ39" s="134">
        <v>0</v>
      </c>
      <c r="NK39" s="134">
        <v>0</v>
      </c>
      <c r="NL39" s="190">
        <f t="shared" si="535"/>
        <v>0</v>
      </c>
      <c r="NM39" s="152">
        <v>0</v>
      </c>
      <c r="NN39" s="1563"/>
      <c r="NO39" s="134">
        <v>0</v>
      </c>
      <c r="NP39" s="134">
        <v>0</v>
      </c>
      <c r="NQ39" s="134"/>
      <c r="NR39" s="133">
        <f t="shared" si="536"/>
        <v>0</v>
      </c>
      <c r="NS39" s="196">
        <v>0</v>
      </c>
      <c r="NT39" s="134">
        <v>0</v>
      </c>
      <c r="NU39" s="134">
        <v>0</v>
      </c>
      <c r="NV39" s="134">
        <v>0</v>
      </c>
      <c r="NW39" s="190">
        <f t="shared" si="537"/>
        <v>0</v>
      </c>
      <c r="NX39" s="152">
        <v>0</v>
      </c>
      <c r="NY39" s="1563"/>
      <c r="NZ39" s="134">
        <v>0</v>
      </c>
      <c r="OA39" s="134">
        <v>0</v>
      </c>
      <c r="OB39" s="134"/>
      <c r="OC39" s="133">
        <f t="shared" si="538"/>
        <v>0</v>
      </c>
      <c r="OD39" s="196">
        <v>0</v>
      </c>
      <c r="OE39" s="134">
        <v>0</v>
      </c>
      <c r="OF39" s="134">
        <v>0</v>
      </c>
      <c r="OG39" s="134">
        <v>0</v>
      </c>
      <c r="OH39" s="190">
        <f t="shared" si="539"/>
        <v>0</v>
      </c>
      <c r="OI39" s="5381">
        <v>0</v>
      </c>
      <c r="OJ39" s="69"/>
      <c r="OK39" s="155">
        <f t="shared" si="540"/>
        <v>1466665</v>
      </c>
      <c r="OL39" s="155">
        <f t="shared" si="541"/>
        <v>1466665</v>
      </c>
      <c r="OM39" s="74">
        <f t="shared" si="542"/>
        <v>1</v>
      </c>
      <c r="ON39" s="155">
        <f t="shared" si="543"/>
        <v>-770773.70000000019</v>
      </c>
      <c r="OO39" s="70"/>
      <c r="OP39" s="69"/>
      <c r="OQ39" s="1565"/>
      <c r="OR39" s="148"/>
      <c r="OS39" s="148"/>
      <c r="OT39" s="148"/>
      <c r="OU39" s="133">
        <f t="shared" si="544"/>
        <v>0</v>
      </c>
      <c r="OV39" s="4271">
        <v>0</v>
      </c>
      <c r="OW39" s="148"/>
      <c r="OX39" s="148"/>
      <c r="OY39" s="148"/>
      <c r="OZ39" s="190">
        <f t="shared" si="545"/>
        <v>0</v>
      </c>
      <c r="PA39" s="5372">
        <v>0</v>
      </c>
      <c r="PB39" s="5320"/>
      <c r="PC39" s="134"/>
      <c r="PD39" s="134"/>
      <c r="PE39" s="3683"/>
      <c r="PF39" s="147"/>
      <c r="PG39" s="4273"/>
      <c r="PH39" s="134">
        <v>0</v>
      </c>
      <c r="PI39" s="134">
        <v>0</v>
      </c>
      <c r="PJ39" s="134">
        <v>0</v>
      </c>
      <c r="PK39" s="190">
        <f t="shared" si="546"/>
        <v>0</v>
      </c>
      <c r="PL39" s="135"/>
      <c r="PM39" s="5382"/>
      <c r="PN39" s="148"/>
      <c r="PO39" s="148"/>
      <c r="PP39" s="148"/>
      <c r="PQ39" s="6293">
        <f t="shared" si="263"/>
        <v>0</v>
      </c>
      <c r="PR39" s="6296">
        <v>0</v>
      </c>
      <c r="PS39" s="134">
        <v>0</v>
      </c>
      <c r="PT39" s="134">
        <v>0</v>
      </c>
      <c r="PU39" s="134">
        <v>0</v>
      </c>
      <c r="PV39" s="190">
        <f t="shared" si="265"/>
        <v>0</v>
      </c>
      <c r="PW39" s="5381">
        <v>0</v>
      </c>
      <c r="PX39" s="5322"/>
      <c r="PY39" s="191">
        <f t="shared" ref="PY39:PY53" si="578">PO39+PD39+OS39</f>
        <v>0</v>
      </c>
      <c r="PZ39" s="191">
        <f t="shared" ref="PZ39:PZ53" si="579">PQ39+PF39+OU39</f>
        <v>0</v>
      </c>
      <c r="QA39" s="198"/>
      <c r="QB39" s="5382"/>
      <c r="QC39" s="134"/>
      <c r="QD39" s="134"/>
      <c r="QE39" s="134"/>
      <c r="QF39" s="6293">
        <f t="shared" si="270"/>
        <v>0</v>
      </c>
      <c r="QG39" s="6296"/>
      <c r="QH39" s="134">
        <v>0</v>
      </c>
      <c r="QI39" s="148">
        <v>0</v>
      </c>
      <c r="QJ39" s="134">
        <v>0</v>
      </c>
      <c r="QK39" s="190">
        <f t="shared" si="507"/>
        <v>0</v>
      </c>
      <c r="QL39" s="5380"/>
      <c r="QM39" s="5382"/>
      <c r="QN39" s="134"/>
      <c r="QO39" s="134"/>
      <c r="QP39" s="148"/>
      <c r="QQ39" s="133">
        <f t="shared" si="508"/>
        <v>0</v>
      </c>
      <c r="QR39" s="196">
        <v>0</v>
      </c>
      <c r="QS39" s="133"/>
      <c r="QT39" s="134">
        <v>0</v>
      </c>
      <c r="QU39" s="134">
        <v>0</v>
      </c>
      <c r="QV39" s="190">
        <f t="shared" si="547"/>
        <v>0</v>
      </c>
      <c r="QW39" s="5381">
        <v>0</v>
      </c>
      <c r="QX39" s="5382"/>
      <c r="QY39" s="134">
        <v>0</v>
      </c>
      <c r="QZ39" s="134">
        <v>0</v>
      </c>
      <c r="RA39" s="148"/>
      <c r="RB39" s="133">
        <f t="shared" si="569"/>
        <v>0</v>
      </c>
      <c r="RC39" s="151">
        <v>0</v>
      </c>
      <c r="RD39" s="133"/>
      <c r="RE39" s="148">
        <v>0</v>
      </c>
      <c r="RF39" s="134">
        <v>0</v>
      </c>
      <c r="RG39" s="190">
        <f t="shared" si="570"/>
        <v>0</v>
      </c>
      <c r="RH39" s="5381">
        <v>0</v>
      </c>
      <c r="RI39" s="5376"/>
      <c r="RJ39" s="191">
        <f t="shared" si="548"/>
        <v>0</v>
      </c>
      <c r="RK39" s="191">
        <f t="shared" si="549"/>
        <v>0</v>
      </c>
      <c r="RL39" s="5380"/>
      <c r="RM39" s="1562">
        <f t="shared" si="550"/>
        <v>0</v>
      </c>
      <c r="RN39" s="128">
        <f t="shared" si="551"/>
        <v>0</v>
      </c>
      <c r="RO39" s="139">
        <f t="shared" si="552"/>
        <v>0</v>
      </c>
      <c r="RP39" s="442">
        <v>1</v>
      </c>
      <c r="RQ39" s="442">
        <v>1</v>
      </c>
      <c r="RR39" s="6339">
        <v>1</v>
      </c>
      <c r="RS39" s="6329"/>
      <c r="RT39" s="130">
        <v>0</v>
      </c>
      <c r="RU39" s="130">
        <v>0</v>
      </c>
      <c r="RV39" s="3546">
        <v>0</v>
      </c>
      <c r="RW39" s="133">
        <f t="shared" si="571"/>
        <v>0</v>
      </c>
      <c r="RX39" s="151"/>
      <c r="RY39" s="133">
        <v>0</v>
      </c>
      <c r="RZ39" s="148">
        <v>0</v>
      </c>
      <c r="SA39" s="134">
        <v>0</v>
      </c>
      <c r="SB39" s="190">
        <f t="shared" si="553"/>
        <v>0</v>
      </c>
      <c r="SC39" s="5380"/>
      <c r="SD39" s="5405"/>
      <c r="SE39" s="130"/>
      <c r="SF39" s="130"/>
      <c r="SG39" s="606"/>
      <c r="SH39" s="6361">
        <f t="shared" si="572"/>
        <v>0</v>
      </c>
      <c r="SI39" s="6377">
        <v>0</v>
      </c>
      <c r="SJ39" s="134"/>
      <c r="SK39" s="134"/>
      <c r="SL39" s="134"/>
      <c r="SM39" s="188">
        <f t="shared" si="289"/>
        <v>0</v>
      </c>
      <c r="SN39" s="5409">
        <v>0</v>
      </c>
      <c r="SO39" s="134"/>
      <c r="SP39" s="134"/>
      <c r="SQ39" s="134"/>
      <c r="SR39" s="134"/>
      <c r="SS39" s="6361">
        <f t="shared" si="510"/>
        <v>0</v>
      </c>
      <c r="ST39" s="6363"/>
      <c r="SU39" s="134">
        <v>0</v>
      </c>
      <c r="SV39" s="134"/>
      <c r="SW39" s="134">
        <v>0</v>
      </c>
      <c r="SX39" s="190">
        <f t="shared" si="511"/>
        <v>0</v>
      </c>
      <c r="SY39" s="5380"/>
      <c r="SZ39" s="6273"/>
      <c r="TA39" s="118">
        <f t="shared" si="554"/>
        <v>0</v>
      </c>
      <c r="TB39" s="118">
        <f t="shared" si="555"/>
        <v>0</v>
      </c>
      <c r="TC39" s="5381">
        <v>0</v>
      </c>
      <c r="TD39" s="1563"/>
      <c r="TE39" s="134"/>
      <c r="TF39" s="134"/>
      <c r="TG39" s="134"/>
      <c r="TH39" s="133">
        <f t="shared" si="556"/>
        <v>0</v>
      </c>
      <c r="TI39" s="196">
        <v>0</v>
      </c>
      <c r="TJ39" s="134">
        <v>0</v>
      </c>
      <c r="TK39" s="134">
        <v>0</v>
      </c>
      <c r="TL39" s="134">
        <v>0</v>
      </c>
      <c r="TM39" s="190">
        <f t="shared" si="557"/>
        <v>0</v>
      </c>
      <c r="TN39" s="5381">
        <v>0</v>
      </c>
      <c r="TO39" s="134"/>
      <c r="TP39" s="134"/>
      <c r="TQ39" s="134"/>
      <c r="TR39" s="134"/>
      <c r="TS39" s="133">
        <f t="shared" si="558"/>
        <v>0</v>
      </c>
      <c r="TT39" s="196">
        <v>0</v>
      </c>
      <c r="TU39" s="134">
        <v>0</v>
      </c>
      <c r="TV39" s="134"/>
      <c r="TW39" s="134"/>
      <c r="TX39" s="190">
        <f t="shared" si="505"/>
        <v>0</v>
      </c>
      <c r="TY39" s="152">
        <v>0</v>
      </c>
      <c r="TZ39" s="1563"/>
      <c r="UA39" s="134">
        <v>0</v>
      </c>
      <c r="UB39" s="134">
        <v>0</v>
      </c>
      <c r="UC39" s="134"/>
      <c r="UD39" s="133">
        <f t="shared" si="559"/>
        <v>0</v>
      </c>
      <c r="UE39" s="196">
        <v>0</v>
      </c>
      <c r="UF39" s="134"/>
      <c r="UG39" s="134"/>
      <c r="UH39" s="134"/>
      <c r="UI39" s="190">
        <f t="shared" si="506"/>
        <v>0</v>
      </c>
      <c r="UJ39" s="5381">
        <v>0</v>
      </c>
      <c r="UK39" s="5376"/>
      <c r="UL39" s="191">
        <f t="shared" si="284"/>
        <v>0</v>
      </c>
      <c r="UM39" s="191">
        <f t="shared" si="285"/>
        <v>0</v>
      </c>
      <c r="UN39" s="135"/>
      <c r="UO39" s="191">
        <f t="shared" si="286"/>
        <v>0</v>
      </c>
      <c r="UP39" s="5380"/>
    </row>
    <row r="40" spans="1:562" x14ac:dyDescent="0.3">
      <c r="A40" s="5316"/>
      <c r="B40" s="5360" t="s">
        <v>388</v>
      </c>
      <c r="C40" s="578" t="s">
        <v>141</v>
      </c>
      <c r="D40" s="578" t="s">
        <v>140</v>
      </c>
      <c r="E40" s="6278" t="s">
        <v>254</v>
      </c>
      <c r="F40" s="579">
        <v>12.333333333333334</v>
      </c>
      <c r="G40" s="161">
        <v>1462436</v>
      </c>
      <c r="H40" s="161">
        <v>1688111</v>
      </c>
      <c r="I40" s="161">
        <v>225675</v>
      </c>
      <c r="J40" s="351">
        <f>I40/H40</f>
        <v>0.13368492948627195</v>
      </c>
      <c r="K40" s="580">
        <v>12.666666666666666</v>
      </c>
      <c r="L40" s="161">
        <v>1409977</v>
      </c>
      <c r="M40" s="161">
        <v>1600523</v>
      </c>
      <c r="N40" s="161">
        <v>190546</v>
      </c>
      <c r="O40" s="422"/>
      <c r="P40" s="580">
        <v>13.666666666666666</v>
      </c>
      <c r="Q40" s="161">
        <v>1662845</v>
      </c>
      <c r="R40" s="161">
        <v>1847431</v>
      </c>
      <c r="S40" s="161">
        <v>184586</v>
      </c>
      <c r="T40" s="94"/>
      <c r="U40" s="136"/>
      <c r="V40" s="422"/>
      <c r="W40" s="422"/>
      <c r="X40" s="422"/>
      <c r="Y40" s="422"/>
      <c r="Z40" s="581"/>
      <c r="AA40" s="422"/>
      <c r="AB40" s="422"/>
      <c r="AC40" s="422"/>
      <c r="AD40" s="422"/>
      <c r="AE40" s="582">
        <f t="shared" ref="AE40:AE51" si="580">AC40-(AB40+AD40)</f>
        <v>0</v>
      </c>
      <c r="AF40" s="422"/>
      <c r="AG40" s="113">
        <v>14</v>
      </c>
      <c r="AH40" s="616">
        <v>554695</v>
      </c>
      <c r="AI40" s="616">
        <v>622826</v>
      </c>
      <c r="AJ40" s="616"/>
      <c r="AK40" s="105">
        <f t="shared" ref="AK40:AK48" si="581">AI40-(AH40+AJ40)</f>
        <v>68131</v>
      </c>
      <c r="AL40" s="114">
        <f>AK40/AI40</f>
        <v>0.10939010253264957</v>
      </c>
      <c r="AM40" s="129">
        <v>120000</v>
      </c>
      <c r="AN40" s="417">
        <v>131298</v>
      </c>
      <c r="AO40" s="130"/>
      <c r="AP40" s="130">
        <v>49383.651724137926</v>
      </c>
      <c r="AQ40" s="417">
        <f>AK40-AM40-AN40-AO40-AP40</f>
        <v>-232550.65172413792</v>
      </c>
      <c r="AR40" s="116">
        <f>AQ40/AK40</f>
        <v>-3.4132869284780485</v>
      </c>
      <c r="AS40" s="113">
        <v>14</v>
      </c>
      <c r="AT40" s="213">
        <v>1733028</v>
      </c>
      <c r="AU40" s="417">
        <v>1942632</v>
      </c>
      <c r="AV40" s="417">
        <v>209604</v>
      </c>
      <c r="AW40" s="116">
        <f>AV40/AU40</f>
        <v>0.10789691511310429</v>
      </c>
      <c r="AX40" s="586">
        <v>14</v>
      </c>
      <c r="AY40" s="587">
        <f t="shared" ref="AY40:AY53" si="582">AT40+Q40+L40+G40</f>
        <v>6268286</v>
      </c>
      <c r="AZ40" s="587">
        <f t="shared" ref="AZ40:AZ53" si="583">AU40+R40+M40+H40</f>
        <v>7078697</v>
      </c>
      <c r="BA40" s="587">
        <f t="shared" ref="BA40:BA53" si="584">AV40+S40+N40+I40</f>
        <v>810411</v>
      </c>
      <c r="BB40" s="588">
        <f>BA40/AZ40</f>
        <v>0.11448590044184685</v>
      </c>
      <c r="BC40" s="1512">
        <v>15</v>
      </c>
      <c r="BD40" s="582">
        <v>565312</v>
      </c>
      <c r="BE40" s="582">
        <v>680035</v>
      </c>
      <c r="BF40" s="582">
        <v>3099</v>
      </c>
      <c r="BG40" s="582">
        <f t="shared" ref="BG40:BG51" si="585">BE40-(BD40+BF40)</f>
        <v>111624</v>
      </c>
      <c r="BH40" s="589"/>
      <c r="BI40" s="1512">
        <v>17</v>
      </c>
      <c r="BJ40" s="582">
        <v>779576</v>
      </c>
      <c r="BK40" s="582">
        <v>907493</v>
      </c>
      <c r="BL40" s="582">
        <v>2262</v>
      </c>
      <c r="BM40" s="582">
        <f t="shared" ref="BM40:BM51" si="586">BK40-(BJ40+BL40)</f>
        <v>125655</v>
      </c>
      <c r="BN40" s="589"/>
      <c r="BO40" s="590">
        <v>19</v>
      </c>
      <c r="BP40" s="582">
        <v>863992</v>
      </c>
      <c r="BQ40" s="582">
        <v>992051</v>
      </c>
      <c r="BR40" s="582"/>
      <c r="BS40" s="582">
        <f t="shared" ref="BS40:BS51" si="587">BQ40-(BP40+BR40)</f>
        <v>128059</v>
      </c>
      <c r="BT40" s="591">
        <f>BS40/BQ40</f>
        <v>0.12908509743954696</v>
      </c>
      <c r="BU40" s="590">
        <v>19</v>
      </c>
      <c r="BV40" s="592">
        <f t="shared" ref="BV40:BV51" si="588">BQ40+BK40+BE40</f>
        <v>2579579</v>
      </c>
      <c r="BW40" s="592">
        <f t="shared" ref="BW40:BW51" si="589">BS40+BM40+BG40</f>
        <v>365338</v>
      </c>
      <c r="BX40" s="593">
        <f>BW40/BV40</f>
        <v>0.14162698641910171</v>
      </c>
      <c r="BY40" s="594">
        <v>19</v>
      </c>
      <c r="BZ40" s="595">
        <f>[5]REPORT!$E$15+[5]REPORT!$E$16</f>
        <v>872216</v>
      </c>
      <c r="CA40" s="650">
        <v>984358</v>
      </c>
      <c r="CB40" s="650">
        <v>7928</v>
      </c>
      <c r="CC40" s="596">
        <f>CA40-(BZ40+CB40)</f>
        <v>104214</v>
      </c>
      <c r="CD40" s="597">
        <f>CC40/CA40</f>
        <v>0.10587001883461099</v>
      </c>
      <c r="CE40" s="598">
        <v>50000</v>
      </c>
      <c r="CF40" s="599">
        <v>0</v>
      </c>
      <c r="CG40" s="599"/>
      <c r="CH40" s="599">
        <v>74304.057692307688</v>
      </c>
      <c r="CI40" s="599">
        <f>CC40-CE40-CF40-CG40-CH40</f>
        <v>-20090.057692307688</v>
      </c>
      <c r="CJ40" s="597">
        <f>CI40/CA40</f>
        <v>-2.0409299962318269E-2</v>
      </c>
      <c r="CK40" s="600">
        <v>20</v>
      </c>
      <c r="CL40" s="601">
        <v>919818</v>
      </c>
      <c r="CM40" s="601">
        <v>1041769</v>
      </c>
      <c r="CN40" s="601"/>
      <c r="CO40" s="96">
        <f t="shared" ref="CO40:CO50" si="590">CM40-(CL40+CN40)</f>
        <v>121951</v>
      </c>
      <c r="CP40" s="602">
        <f>CO40/CM40</f>
        <v>0.11706145988218117</v>
      </c>
      <c r="CQ40" s="653">
        <v>50000</v>
      </c>
      <c r="CR40" s="603">
        <v>99658.273076923069</v>
      </c>
      <c r="CS40" s="603"/>
      <c r="CT40" s="603">
        <v>147101.18634615382</v>
      </c>
      <c r="CU40" s="603">
        <f>CO40-CQ40-CR40-CS40-CT40</f>
        <v>-174808.45942307689</v>
      </c>
      <c r="CV40" s="604">
        <f>CU40/CM40</f>
        <v>-0.16779963640987292</v>
      </c>
      <c r="CW40" s="129">
        <v>20</v>
      </c>
      <c r="CX40" s="130">
        <v>925371</v>
      </c>
      <c r="CY40" s="130">
        <v>1048598</v>
      </c>
      <c r="CZ40" s="130"/>
      <c r="DA40" s="605">
        <f t="shared" ref="DA40:DA51" si="591">CY40-(CX40+CZ40)</f>
        <v>123227</v>
      </c>
      <c r="DB40" s="114">
        <f>DA40/CY40</f>
        <v>0.11751595940484343</v>
      </c>
      <c r="DC40" s="138">
        <v>50000</v>
      </c>
      <c r="DD40" s="606">
        <v>113817.95833333333</v>
      </c>
      <c r="DE40" s="130"/>
      <c r="DF40" s="130">
        <v>121185.01354166666</v>
      </c>
      <c r="DG40" s="128">
        <f>DA40-DC40-DD40-DE40-DF40</f>
        <v>-161775.97187499999</v>
      </c>
      <c r="DH40" s="169">
        <f>DG40/CY40</f>
        <v>-0.15427835250019548</v>
      </c>
      <c r="DI40" s="204">
        <f>(BY40+CK40+CW40)/3</f>
        <v>19.666666666666668</v>
      </c>
      <c r="DJ40" s="202">
        <f>CA40+CM40+CY40</f>
        <v>3074725</v>
      </c>
      <c r="DK40" s="202">
        <f>CC40+CO40+DA40</f>
        <v>349392</v>
      </c>
      <c r="DL40" s="119">
        <f>DK40/DJ40</f>
        <v>0.11363357698655978</v>
      </c>
      <c r="DM40" s="202">
        <f>CI40+CU40+DG40</f>
        <v>-356674.48899038456</v>
      </c>
      <c r="DN40" s="119">
        <f>DM40/DJ40</f>
        <v>-0.11600207790627928</v>
      </c>
      <c r="DO40" s="607">
        <f>CW40-AG40</f>
        <v>6</v>
      </c>
      <c r="DP40" s="137">
        <f>CX40-AH40</f>
        <v>370676</v>
      </c>
      <c r="DQ40" s="137">
        <f>CY40-AI40</f>
        <v>425772</v>
      </c>
      <c r="DR40" s="137">
        <f>DA40-AK40</f>
        <v>55096</v>
      </c>
      <c r="DS40" s="135">
        <f>DO40/AG40</f>
        <v>0.42857142857142855</v>
      </c>
      <c r="DT40" s="135">
        <f>DP40/AI40</f>
        <v>0.59515177593742075</v>
      </c>
      <c r="DU40" s="135">
        <f>DQ40/AK40</f>
        <v>6.2493138219019242</v>
      </c>
      <c r="DV40" s="151">
        <f>DR40/AQ40</f>
        <v>-0.23692042826591328</v>
      </c>
      <c r="DW40" s="607">
        <f>CW40-CK40</f>
        <v>0</v>
      </c>
      <c r="DX40" s="608">
        <f>CY40-CM40</f>
        <v>6829</v>
      </c>
      <c r="DY40" s="608">
        <f>DA40-CO40</f>
        <v>1276</v>
      </c>
      <c r="DZ40" s="608">
        <f>DG40-CU40</f>
        <v>13032.487548076897</v>
      </c>
      <c r="EA40" s="135">
        <f>DW40/CK40</f>
        <v>0</v>
      </c>
      <c r="EB40" s="135">
        <f>DX40/CM40</f>
        <v>6.5551960175432369E-3</v>
      </c>
      <c r="EC40" s="135">
        <f>DY40/CO40</f>
        <v>1.04632188337939E-2</v>
      </c>
      <c r="ED40" s="151">
        <f>DZ40/CU40</f>
        <v>-7.4552956939774082E-2</v>
      </c>
      <c r="EE40" s="129">
        <v>20</v>
      </c>
      <c r="EF40" s="130">
        <v>909820</v>
      </c>
      <c r="EG40" s="130">
        <v>969993</v>
      </c>
      <c r="EH40" s="130">
        <v>0</v>
      </c>
      <c r="EI40" s="605">
        <f t="shared" ref="EI40:EI50" si="592">EG40-(EF40+EH40)</f>
        <v>60173</v>
      </c>
      <c r="EJ40" s="114">
        <f>EI40/EG40</f>
        <v>6.203446828997735E-2</v>
      </c>
      <c r="EK40" s="138">
        <v>0</v>
      </c>
      <c r="EL40" s="606">
        <v>0</v>
      </c>
      <c r="EM40" s="130">
        <v>0</v>
      </c>
      <c r="EN40" s="130">
        <v>0</v>
      </c>
      <c r="EO40" s="128">
        <f>EI40-EK40-EL40-EM40-EN40</f>
        <v>60173</v>
      </c>
      <c r="EP40" s="114">
        <f>EO40/EG40</f>
        <v>6.203446828997735E-2</v>
      </c>
      <c r="EQ40" s="129">
        <v>21</v>
      </c>
      <c r="ER40" s="595">
        <v>977872</v>
      </c>
      <c r="ES40" s="595">
        <v>1107868</v>
      </c>
      <c r="ET40" s="130">
        <v>0</v>
      </c>
      <c r="EU40" s="134">
        <f t="shared" ref="EU40:EU51" si="593">ES40-(ER40+ET40)</f>
        <v>129996</v>
      </c>
      <c r="EV40" s="114">
        <f>EU40/ES40</f>
        <v>0.11733888874847906</v>
      </c>
      <c r="EW40" s="138">
        <v>0</v>
      </c>
      <c r="EX40" s="606">
        <v>0</v>
      </c>
      <c r="EY40" s="130">
        <v>0</v>
      </c>
      <c r="EZ40" s="128">
        <v>50000</v>
      </c>
      <c r="FA40" s="128">
        <f>EU40-EW40-EX40-EY40-EZ40</f>
        <v>79996</v>
      </c>
      <c r="FB40" s="114">
        <f>FA40/ES40</f>
        <v>7.2207158253510345E-2</v>
      </c>
      <c r="FC40" s="643">
        <f>EQ40-AG40</f>
        <v>7</v>
      </c>
      <c r="FD40" s="644">
        <f>ES40-AI40</f>
        <v>485042</v>
      </c>
      <c r="FE40" s="644">
        <f>EU40-AK40</f>
        <v>61865</v>
      </c>
      <c r="FF40" s="644">
        <f>FA40-AQ40</f>
        <v>312546.65172413795</v>
      </c>
      <c r="FG40" s="74">
        <f>FC40/AG40</f>
        <v>0.5</v>
      </c>
      <c r="FH40" s="74">
        <f>FD40/AI40</f>
        <v>0.7787760947680411</v>
      </c>
      <c r="FI40" s="74">
        <f>FE40/AK40</f>
        <v>0.90803011844828341</v>
      </c>
      <c r="FJ40" s="73">
        <f>FF40/AQ40</f>
        <v>-1.3439938757724699</v>
      </c>
      <c r="FK40" s="133">
        <v>19</v>
      </c>
      <c r="FL40" s="134">
        <v>904093</v>
      </c>
      <c r="FM40" s="134">
        <v>1024367</v>
      </c>
      <c r="FN40" s="134">
        <v>20601</v>
      </c>
      <c r="FO40" s="134">
        <f t="shared" ref="FO40:FO50" si="594">FM40-(FL40+FN40)</f>
        <v>99673</v>
      </c>
      <c r="FP40" s="135">
        <f>FO40/FM40</f>
        <v>9.730204116298162E-2</v>
      </c>
      <c r="FQ40" s="133"/>
      <c r="FR40" s="134">
        <v>50000</v>
      </c>
      <c r="FS40" s="134"/>
      <c r="FT40" s="191">
        <f>FO40-SUM(FQ40:FS40)</f>
        <v>49673</v>
      </c>
      <c r="FU40" s="151">
        <f>FT40/FM40</f>
        <v>4.849140981698942E-2</v>
      </c>
      <c r="FV40" s="190">
        <f>FK40-AG40</f>
        <v>5</v>
      </c>
      <c r="FW40" s="191">
        <f>FL40-AH40</f>
        <v>349398</v>
      </c>
      <c r="FX40" s="191">
        <f>FM40-AI40</f>
        <v>401541</v>
      </c>
      <c r="FY40" s="191">
        <f>FO40-AK40</f>
        <v>31542</v>
      </c>
      <c r="FZ40" s="191">
        <f>FT40-AQ40</f>
        <v>282223.65172413795</v>
      </c>
      <c r="GA40" s="135">
        <f>FV40/AG40</f>
        <v>0.35714285714285715</v>
      </c>
      <c r="GB40" s="135">
        <f>FX40/AI40</f>
        <v>0.64470815283883465</v>
      </c>
      <c r="GC40" s="135">
        <f>FY40/AK40</f>
        <v>0.46296106031028461</v>
      </c>
      <c r="GD40" s="151">
        <f>FZ40/AQ40</f>
        <v>-1.2136007774294453</v>
      </c>
      <c r="GE40" s="187">
        <f>(EE40+EQ40+FK40)/3</f>
        <v>20</v>
      </c>
      <c r="GF40" s="155">
        <f>EG40+ES40+FM40</f>
        <v>3102228</v>
      </c>
      <c r="GG40" s="155">
        <f>EI40+EU40+FO40</f>
        <v>289842</v>
      </c>
      <c r="GH40" s="74">
        <f>GG40/GF40</f>
        <v>9.3430270115542766E-2</v>
      </c>
      <c r="GI40" s="613">
        <f>EO40+FA40+FT40</f>
        <v>189842</v>
      </c>
      <c r="GJ40" s="187">
        <f>GE40-DI40</f>
        <v>0.33333333333333215</v>
      </c>
      <c r="GK40" s="155">
        <f>GF40-DJ40</f>
        <v>27503</v>
      </c>
      <c r="GL40" s="155">
        <f>GG40-DK40</f>
        <v>-59550</v>
      </c>
      <c r="GM40" s="613">
        <f>GI40-DM40</f>
        <v>546516.48899038462</v>
      </c>
      <c r="GN40" s="133">
        <v>16</v>
      </c>
      <c r="GO40" s="134">
        <v>765811</v>
      </c>
      <c r="GP40" s="134">
        <v>885719</v>
      </c>
      <c r="GQ40" s="134">
        <v>0</v>
      </c>
      <c r="GR40" s="134">
        <f t="shared" ref="GR40:GR51" si="595">GP40-(GO40+GQ40)</f>
        <v>119908</v>
      </c>
      <c r="GS40" s="135">
        <f>GR40/GP40</f>
        <v>0.13537927943286754</v>
      </c>
      <c r="GT40" s="133"/>
      <c r="GU40" s="134">
        <v>25000</v>
      </c>
      <c r="GV40" s="134">
        <v>0</v>
      </c>
      <c r="GW40" s="134">
        <v>50000</v>
      </c>
      <c r="GX40" s="190">
        <f>GR40-SUM(GT40:GW40)</f>
        <v>44908</v>
      </c>
      <c r="GY40" s="151">
        <f>GX40/GP40</f>
        <v>5.0702310778023278E-2</v>
      </c>
      <c r="GZ40" s="614">
        <v>16</v>
      </c>
      <c r="HA40" s="130">
        <v>765811</v>
      </c>
      <c r="HB40" s="130">
        <v>868106</v>
      </c>
      <c r="HC40" s="130">
        <v>7780</v>
      </c>
      <c r="HD40" s="134">
        <f t="shared" ref="HD40:HD51" si="596">HB40-(HA40+HC40)</f>
        <v>94515</v>
      </c>
      <c r="HE40" s="151">
        <f>HD40/HB40</f>
        <v>0.10887495305872785</v>
      </c>
      <c r="HF40" s="138">
        <v>0</v>
      </c>
      <c r="HG40" s="130"/>
      <c r="HH40" s="130"/>
      <c r="HI40" s="130">
        <v>100000</v>
      </c>
      <c r="HJ40" s="197">
        <f>HD40-SUM(HF40:HI40)</f>
        <v>-5485</v>
      </c>
      <c r="HK40" s="201">
        <f>HJ40/HB40</f>
        <v>-6.3183528278804666E-3</v>
      </c>
      <c r="HL40" s="1365">
        <v>15</v>
      </c>
      <c r="HM40" s="148">
        <v>739384</v>
      </c>
      <c r="HN40" s="148">
        <v>837659</v>
      </c>
      <c r="HO40" s="134">
        <v>5297</v>
      </c>
      <c r="HP40" s="615">
        <f t="shared" ref="HP40:HP51" si="597">HN40-(HM40+HO40)</f>
        <v>92978</v>
      </c>
      <c r="HQ40" s="201">
        <f>HP40/HN40</f>
        <v>0.11099743451690963</v>
      </c>
      <c r="HR40" s="133">
        <v>0</v>
      </c>
      <c r="HS40" s="134">
        <v>100000</v>
      </c>
      <c r="HT40" s="134"/>
      <c r="HU40" s="134">
        <v>50000</v>
      </c>
      <c r="HV40" s="191">
        <f t="shared" ref="HV40:HV50" si="598">HP40-SUM(HR40:HU40)</f>
        <v>-57022</v>
      </c>
      <c r="HW40" s="151">
        <f>HV40/HN40</f>
        <v>-6.8073046430588105E-2</v>
      </c>
      <c r="HX40" s="414">
        <v>15</v>
      </c>
      <c r="HY40" s="241">
        <f t="shared" ref="HY40:HY51" si="599">HN40+HB40+GP40</f>
        <v>2591484</v>
      </c>
      <c r="HZ40" s="415">
        <f t="shared" ref="HZ40:HZ51" si="600">HP40+HD40+GR40</f>
        <v>307401</v>
      </c>
      <c r="IA40" s="241"/>
      <c r="IB40" s="415">
        <f t="shared" ref="IB40:IB48" si="601">HV40+HJ40+GX40</f>
        <v>-17599</v>
      </c>
      <c r="IC40" s="141"/>
      <c r="ID40" s="642">
        <v>15</v>
      </c>
      <c r="IE40" s="141">
        <f t="shared" si="512"/>
        <v>11348016</v>
      </c>
      <c r="IF40" s="141">
        <f t="shared" si="513"/>
        <v>1311973</v>
      </c>
      <c r="IG40" s="74">
        <f t="shared" ref="IG40:IG56" si="602">IF40/IE40</f>
        <v>0.11561254407818952</v>
      </c>
      <c r="IH40" s="1507"/>
      <c r="II40" s="69"/>
      <c r="IJ40" s="133">
        <v>16</v>
      </c>
      <c r="IK40" s="134">
        <v>767646</v>
      </c>
      <c r="IL40" s="134">
        <v>853935</v>
      </c>
      <c r="IM40" s="134">
        <v>12625</v>
      </c>
      <c r="IN40" s="133">
        <f t="shared" ref="IN40:IN51" si="603">IL40-(IK40+IM40)</f>
        <v>73664</v>
      </c>
      <c r="IO40" s="151">
        <f>IN40/IL40</f>
        <v>8.6264177015815027E-2</v>
      </c>
      <c r="IP40" s="133">
        <v>0</v>
      </c>
      <c r="IQ40" s="134">
        <v>0</v>
      </c>
      <c r="IR40" s="134">
        <v>50000</v>
      </c>
      <c r="IS40" s="190">
        <f t="shared" ref="IS40:IS50" si="604">IN40-SUM(IP40:IR40)</f>
        <v>23664</v>
      </c>
      <c r="IT40" s="151">
        <f>IS40/IL40</f>
        <v>2.7711711078712079E-2</v>
      </c>
      <c r="IU40" s="658">
        <v>18</v>
      </c>
      <c r="IV40" s="622">
        <v>877758</v>
      </c>
      <c r="IW40" s="622">
        <v>994908</v>
      </c>
      <c r="IX40" s="134">
        <v>0</v>
      </c>
      <c r="IY40" s="133">
        <f t="shared" ref="IY40:IY50" si="605">IW40-(IV40+IX40)</f>
        <v>117150</v>
      </c>
      <c r="IZ40" s="151">
        <f>IY40/IW40</f>
        <v>0.11774958086576849</v>
      </c>
      <c r="JA40" s="133">
        <v>0</v>
      </c>
      <c r="JB40" s="134">
        <v>0</v>
      </c>
      <c r="JC40" s="134">
        <v>50000</v>
      </c>
      <c r="JD40" s="190">
        <f t="shared" ref="JD40:JD51" si="606">IY40-SUM(JA40:JC40)</f>
        <v>67150</v>
      </c>
      <c r="JE40" s="151">
        <f>JD40/IW40</f>
        <v>6.749367780739525E-2</v>
      </c>
      <c r="JF40" s="658">
        <v>18</v>
      </c>
      <c r="JG40" s="622">
        <v>954868</v>
      </c>
      <c r="JH40" s="622">
        <v>1086358</v>
      </c>
      <c r="JI40" s="134">
        <v>11400</v>
      </c>
      <c r="JJ40" s="133">
        <f t="shared" si="573"/>
        <v>120090</v>
      </c>
      <c r="JK40" s="151">
        <f>JJ40/JH40</f>
        <v>0.11054366976632013</v>
      </c>
      <c r="JL40" s="133">
        <v>0</v>
      </c>
      <c r="JM40" s="134">
        <v>0</v>
      </c>
      <c r="JN40" s="134">
        <v>200000</v>
      </c>
      <c r="JO40" s="190">
        <f t="shared" si="574"/>
        <v>-79910</v>
      </c>
      <c r="JP40" s="151">
        <f>JO40/JH40</f>
        <v>-7.3557703814028153E-2</v>
      </c>
      <c r="JQ40" s="658">
        <v>18</v>
      </c>
      <c r="JR40" s="191">
        <f t="shared" si="575"/>
        <v>2935201</v>
      </c>
      <c r="JS40" s="191">
        <f t="shared" si="576"/>
        <v>310904</v>
      </c>
      <c r="JT40" s="151">
        <f>JS40/JR40</f>
        <v>0.10592255862545699</v>
      </c>
      <c r="JU40" s="658">
        <v>17</v>
      </c>
      <c r="JV40" s="622">
        <v>869612</v>
      </c>
      <c r="JW40" s="622">
        <v>971635</v>
      </c>
      <c r="JX40" s="134">
        <v>9680</v>
      </c>
      <c r="JY40" s="133">
        <f t="shared" si="560"/>
        <v>92343</v>
      </c>
      <c r="JZ40" s="151">
        <f t="shared" si="561"/>
        <v>9.5038774848579977E-2</v>
      </c>
      <c r="KA40" s="133">
        <v>0</v>
      </c>
      <c r="KB40" s="134">
        <v>65385.987500000279</v>
      </c>
      <c r="KC40" s="134">
        <v>0</v>
      </c>
      <c r="KD40" s="190">
        <f t="shared" si="514"/>
        <v>26957.012499999721</v>
      </c>
      <c r="KE40" s="151">
        <f t="shared" si="562"/>
        <v>2.7743970215152521E-2</v>
      </c>
      <c r="KF40" s="658">
        <v>14</v>
      </c>
      <c r="KG40" s="622">
        <v>738125</v>
      </c>
      <c r="KH40" s="622">
        <v>834746</v>
      </c>
      <c r="KI40" s="134">
        <v>0</v>
      </c>
      <c r="KJ40" s="133">
        <f t="shared" si="563"/>
        <v>96621</v>
      </c>
      <c r="KK40" s="151">
        <f t="shared" si="564"/>
        <v>0.11574898232516238</v>
      </c>
      <c r="KL40" s="133"/>
      <c r="KM40" s="134">
        <v>0</v>
      </c>
      <c r="KN40" s="134">
        <v>50000</v>
      </c>
      <c r="KO40" s="190">
        <f t="shared" si="515"/>
        <v>46621</v>
      </c>
      <c r="KP40" s="151">
        <f t="shared" si="565"/>
        <v>5.5850522194775418E-2</v>
      </c>
      <c r="KQ40" s="658">
        <v>1</v>
      </c>
      <c r="KR40" s="622">
        <v>26369</v>
      </c>
      <c r="KS40" s="622">
        <v>30447</v>
      </c>
      <c r="KT40" s="134">
        <v>15044</v>
      </c>
      <c r="KU40" s="133">
        <f t="shared" si="566"/>
        <v>-10966</v>
      </c>
      <c r="KV40" s="151">
        <f t="shared" si="567"/>
        <v>-0.36016684730843762</v>
      </c>
      <c r="KW40" s="133"/>
      <c r="KX40" s="134">
        <v>0</v>
      </c>
      <c r="KY40" s="134">
        <v>0</v>
      </c>
      <c r="KZ40" s="190">
        <f t="shared" si="516"/>
        <v>-10966</v>
      </c>
      <c r="LA40" s="151">
        <f>KZ40/KS40</f>
        <v>-0.36016684730843762</v>
      </c>
      <c r="LB40" s="402">
        <v>1</v>
      </c>
      <c r="LC40" s="191">
        <f t="shared" si="517"/>
        <v>1836828</v>
      </c>
      <c r="LD40" s="191">
        <f t="shared" si="518"/>
        <v>177998</v>
      </c>
      <c r="LE40" s="151">
        <f t="shared" si="568"/>
        <v>9.6905099443170509E-2</v>
      </c>
      <c r="LF40" s="226">
        <f t="shared" si="519"/>
        <v>-17</v>
      </c>
      <c r="LG40" s="128">
        <f t="shared" si="520"/>
        <v>-1098373</v>
      </c>
      <c r="LH40" s="139">
        <f t="shared" si="521"/>
        <v>-132906</v>
      </c>
      <c r="LI40" s="442">
        <f t="shared" ref="LI40:LK43" si="607">LF40/JQ40</f>
        <v>-0.94444444444444442</v>
      </c>
      <c r="LJ40" s="442">
        <f t="shared" si="607"/>
        <v>-0.37420708155932081</v>
      </c>
      <c r="LK40" s="106">
        <f t="shared" si="607"/>
        <v>-0.4274824383089314</v>
      </c>
      <c r="LL40" s="658">
        <v>1</v>
      </c>
      <c r="LM40" s="622">
        <v>26846</v>
      </c>
      <c r="LN40" s="622">
        <v>30447</v>
      </c>
      <c r="LO40" s="134"/>
      <c r="LP40" s="133">
        <f t="shared" si="522"/>
        <v>3601</v>
      </c>
      <c r="LQ40" s="151">
        <f>LP40/LN40</f>
        <v>0.11827109403225276</v>
      </c>
      <c r="LR40" s="133"/>
      <c r="LS40" s="134">
        <v>25000</v>
      </c>
      <c r="LT40" s="134">
        <v>0</v>
      </c>
      <c r="LU40" s="190">
        <f t="shared" si="523"/>
        <v>-21399</v>
      </c>
      <c r="LV40" s="151">
        <f>LU40/LN40</f>
        <v>-0.7028278648142674</v>
      </c>
      <c r="LW40" s="134">
        <v>1</v>
      </c>
      <c r="LX40" s="134">
        <v>24741</v>
      </c>
      <c r="LY40" s="134">
        <v>28417</v>
      </c>
      <c r="LZ40" s="134"/>
      <c r="MA40" s="133">
        <f t="shared" si="524"/>
        <v>3676</v>
      </c>
      <c r="MB40" s="151">
        <f>MA40/LY40</f>
        <v>0.12935918640250554</v>
      </c>
      <c r="MC40" s="134"/>
      <c r="MD40" s="134">
        <v>25000</v>
      </c>
      <c r="ME40" s="134">
        <v>0</v>
      </c>
      <c r="MF40" s="190">
        <f t="shared" si="525"/>
        <v>-21324</v>
      </c>
      <c r="MG40" s="151">
        <f>MF40/LY40</f>
        <v>-0.75039588978428406</v>
      </c>
      <c r="MH40" s="134">
        <v>1</v>
      </c>
      <c r="MI40" s="134">
        <v>26369</v>
      </c>
      <c r="MJ40" s="134">
        <v>30448</v>
      </c>
      <c r="MK40" s="134">
        <v>7901</v>
      </c>
      <c r="ML40" s="133">
        <f t="shared" si="526"/>
        <v>-3822</v>
      </c>
      <c r="MM40" s="151">
        <f>ML40/MJ40</f>
        <v>-0.12552548607461902</v>
      </c>
      <c r="MN40" s="134">
        <v>0</v>
      </c>
      <c r="MO40" s="134">
        <v>0</v>
      </c>
      <c r="MP40" s="134">
        <v>0</v>
      </c>
      <c r="MQ40" s="190">
        <f t="shared" si="527"/>
        <v>-3822</v>
      </c>
      <c r="MR40" s="151">
        <f>MQ40/MJ40</f>
        <v>-0.12552548607461902</v>
      </c>
      <c r="MS40" s="1472">
        <v>1</v>
      </c>
      <c r="MT40" s="118">
        <f t="shared" si="528"/>
        <v>89312</v>
      </c>
      <c r="MU40" s="118">
        <f t="shared" si="529"/>
        <v>3455</v>
      </c>
      <c r="MV40" s="135">
        <f>MU40/MT40</f>
        <v>3.8684611250447871E-2</v>
      </c>
      <c r="MW40" s="133">
        <f t="shared" si="530"/>
        <v>0</v>
      </c>
      <c r="MX40" s="134">
        <f t="shared" si="531"/>
        <v>-1747516</v>
      </c>
      <c r="MY40" s="134">
        <f t="shared" si="532"/>
        <v>-174543</v>
      </c>
      <c r="MZ40" s="135">
        <f>MW40/LB40</f>
        <v>0</v>
      </c>
      <c r="NA40" s="135">
        <f t="shared" si="577"/>
        <v>-0.95137704782374832</v>
      </c>
      <c r="NB40" s="151">
        <f t="shared" si="577"/>
        <v>-0.98058966954684879</v>
      </c>
      <c r="NC40" s="134">
        <v>1</v>
      </c>
      <c r="ND40" s="134">
        <v>26369</v>
      </c>
      <c r="NE40" s="134">
        <v>30448</v>
      </c>
      <c r="NF40" s="134"/>
      <c r="NG40" s="133">
        <f t="shared" si="534"/>
        <v>4079</v>
      </c>
      <c r="NH40" s="151">
        <f>NG40/NE40</f>
        <v>0.13396610614818708</v>
      </c>
      <c r="NI40" s="134"/>
      <c r="NJ40" s="134">
        <v>0</v>
      </c>
      <c r="NK40" s="134">
        <v>0</v>
      </c>
      <c r="NL40" s="190">
        <f t="shared" si="535"/>
        <v>4079</v>
      </c>
      <c r="NM40" s="135">
        <f>NL40/NE40</f>
        <v>0.13396610614818708</v>
      </c>
      <c r="NN40" s="1563"/>
      <c r="NO40" s="134"/>
      <c r="NP40" s="134">
        <v>0</v>
      </c>
      <c r="NQ40" s="134">
        <v>0</v>
      </c>
      <c r="NR40" s="133">
        <f t="shared" si="536"/>
        <v>0</v>
      </c>
      <c r="NS40" s="196">
        <v>0</v>
      </c>
      <c r="NT40" s="134">
        <v>0</v>
      </c>
      <c r="NU40" s="134">
        <v>0</v>
      </c>
      <c r="NV40" s="134">
        <v>0</v>
      </c>
      <c r="NW40" s="190">
        <f t="shared" si="537"/>
        <v>0</v>
      </c>
      <c r="NX40" s="135">
        <v>0</v>
      </c>
      <c r="NY40" s="1563"/>
      <c r="NZ40" s="134">
        <v>0</v>
      </c>
      <c r="OA40" s="134">
        <v>0</v>
      </c>
      <c r="OB40" s="134">
        <v>0</v>
      </c>
      <c r="OC40" s="133">
        <f t="shared" si="538"/>
        <v>0</v>
      </c>
      <c r="OD40" s="196">
        <v>0</v>
      </c>
      <c r="OE40" s="134">
        <v>0</v>
      </c>
      <c r="OF40" s="134">
        <v>0</v>
      </c>
      <c r="OG40" s="134">
        <v>0</v>
      </c>
      <c r="OH40" s="190">
        <f t="shared" si="539"/>
        <v>0</v>
      </c>
      <c r="OI40" s="5380">
        <v>0</v>
      </c>
      <c r="OJ40" s="69"/>
      <c r="OK40" s="155">
        <f t="shared" si="540"/>
        <v>4760299</v>
      </c>
      <c r="OL40" s="155">
        <f t="shared" si="541"/>
        <v>387746</v>
      </c>
      <c r="OM40" s="74">
        <f t="shared" si="542"/>
        <v>8.1454127146214972E-2</v>
      </c>
      <c r="ON40" s="155">
        <f t="shared" si="543"/>
        <v>310960.01249999972</v>
      </c>
      <c r="OO40" s="70"/>
      <c r="OP40" s="69"/>
      <c r="OQ40" s="1563"/>
      <c r="OR40" s="134"/>
      <c r="OS40" s="134"/>
      <c r="OT40" s="134"/>
      <c r="OU40" s="133">
        <f t="shared" si="544"/>
        <v>0</v>
      </c>
      <c r="OV40" s="4271">
        <v>0</v>
      </c>
      <c r="OW40" s="133">
        <v>0</v>
      </c>
      <c r="OX40" s="134">
        <v>0</v>
      </c>
      <c r="OY40" s="134">
        <v>0</v>
      </c>
      <c r="OZ40" s="190">
        <f t="shared" si="545"/>
        <v>0</v>
      </c>
      <c r="PA40" s="5372">
        <v>0</v>
      </c>
      <c r="PB40" s="5321"/>
      <c r="PC40" s="358"/>
      <c r="PD40" s="358"/>
      <c r="PE40" s="3683"/>
      <c r="PF40" s="133">
        <f t="shared" ref="PF40:PF50" si="608">PD40-(PC40+PE40)</f>
        <v>0</v>
      </c>
      <c r="PG40" s="4271">
        <v>0</v>
      </c>
      <c r="PH40" s="134">
        <v>0</v>
      </c>
      <c r="PI40" s="134">
        <v>0</v>
      </c>
      <c r="PJ40" s="134">
        <v>0</v>
      </c>
      <c r="PK40" s="190">
        <f t="shared" si="546"/>
        <v>0</v>
      </c>
      <c r="PL40" s="135"/>
      <c r="PM40" s="5391"/>
      <c r="PN40" s="358"/>
      <c r="PO40" s="358"/>
      <c r="PP40" s="622"/>
      <c r="PQ40" s="6293"/>
      <c r="PR40" s="6296">
        <v>0</v>
      </c>
      <c r="PS40" s="134">
        <v>0</v>
      </c>
      <c r="PT40" s="134">
        <v>0</v>
      </c>
      <c r="PU40" s="134">
        <v>0</v>
      </c>
      <c r="PV40" s="190">
        <f t="shared" si="265"/>
        <v>0</v>
      </c>
      <c r="PW40" s="5381">
        <v>0</v>
      </c>
      <c r="PX40" s="5393"/>
      <c r="PY40" s="191">
        <f t="shared" si="578"/>
        <v>0</v>
      </c>
      <c r="PZ40" s="191">
        <f t="shared" si="579"/>
        <v>0</v>
      </c>
      <c r="QA40" s="135" t="e">
        <f>PZ40/PY40</f>
        <v>#DIV/0!</v>
      </c>
      <c r="QB40" s="3961"/>
      <c r="QC40" s="134"/>
      <c r="QD40" s="134"/>
      <c r="QE40" s="134"/>
      <c r="QF40" s="6293">
        <f t="shared" si="270"/>
        <v>0</v>
      </c>
      <c r="QG40" s="6296"/>
      <c r="QH40" s="134">
        <v>0</v>
      </c>
      <c r="QI40" s="134">
        <v>65385.987500000279</v>
      </c>
      <c r="QJ40" s="134">
        <v>0</v>
      </c>
      <c r="QK40" s="190">
        <f>QF40-SUM(QG40:QJ40)</f>
        <v>-65385.987500000279</v>
      </c>
      <c r="QL40" s="5381">
        <v>0</v>
      </c>
      <c r="QM40" s="3961"/>
      <c r="QN40" s="134"/>
      <c r="QO40" s="622"/>
      <c r="QP40" s="134"/>
      <c r="QQ40" s="133">
        <f t="shared" si="508"/>
        <v>0</v>
      </c>
      <c r="QR40" s="196">
        <v>0</v>
      </c>
      <c r="QS40" s="133"/>
      <c r="QT40" s="134">
        <v>0</v>
      </c>
      <c r="QU40" s="134">
        <v>0</v>
      </c>
      <c r="QV40" s="190">
        <f t="shared" si="547"/>
        <v>0</v>
      </c>
      <c r="QW40" s="5381">
        <v>0</v>
      </c>
      <c r="QX40" s="3961"/>
      <c r="QY40" s="134">
        <v>0</v>
      </c>
      <c r="QZ40" s="134">
        <v>0</v>
      </c>
      <c r="RA40" s="134">
        <v>0</v>
      </c>
      <c r="RB40" s="133">
        <f t="shared" si="569"/>
        <v>0</v>
      </c>
      <c r="RC40" s="151"/>
      <c r="RD40" s="133">
        <v>0</v>
      </c>
      <c r="RE40" s="134">
        <v>0</v>
      </c>
      <c r="RF40" s="134">
        <v>0</v>
      </c>
      <c r="RG40" s="190">
        <f t="shared" si="570"/>
        <v>0</v>
      </c>
      <c r="RH40" s="5381">
        <v>0</v>
      </c>
      <c r="RI40" s="5376"/>
      <c r="RJ40" s="191">
        <f t="shared" si="548"/>
        <v>0</v>
      </c>
      <c r="RK40" s="191">
        <f t="shared" si="549"/>
        <v>0</v>
      </c>
      <c r="RL40" s="5380"/>
      <c r="RM40" s="1562">
        <f t="shared" si="550"/>
        <v>0</v>
      </c>
      <c r="RN40" s="128">
        <f t="shared" si="551"/>
        <v>0</v>
      </c>
      <c r="RO40" s="139">
        <f t="shared" si="552"/>
        <v>0</v>
      </c>
      <c r="RP40" s="442" t="e">
        <f t="shared" ref="RP40:RR43" si="609">RM40/PX40</f>
        <v>#DIV/0!</v>
      </c>
      <c r="RQ40" s="442" t="e">
        <f t="shared" si="609"/>
        <v>#DIV/0!</v>
      </c>
      <c r="RR40" s="6339" t="e">
        <f t="shared" si="609"/>
        <v>#DIV/0!</v>
      </c>
      <c r="RS40" s="6329"/>
      <c r="RT40" s="130">
        <v>0</v>
      </c>
      <c r="RU40" s="130">
        <v>0</v>
      </c>
      <c r="RV40" s="3546">
        <v>0</v>
      </c>
      <c r="RW40" s="133">
        <f t="shared" si="571"/>
        <v>0</v>
      </c>
      <c r="RX40" s="151"/>
      <c r="RY40" s="133">
        <v>0</v>
      </c>
      <c r="RZ40" s="134">
        <v>0</v>
      </c>
      <c r="SA40" s="134">
        <v>0</v>
      </c>
      <c r="SB40" s="190">
        <f t="shared" si="553"/>
        <v>0</v>
      </c>
      <c r="SC40" s="5380"/>
      <c r="SD40" s="5405"/>
      <c r="SE40" s="130"/>
      <c r="SF40" s="130"/>
      <c r="SG40" s="606"/>
      <c r="SH40" s="6361">
        <f t="shared" si="572"/>
        <v>0</v>
      </c>
      <c r="SI40" s="6377">
        <v>0</v>
      </c>
      <c r="SJ40" s="134"/>
      <c r="SK40" s="134"/>
      <c r="SL40" s="134"/>
      <c r="SM40" s="188">
        <f t="shared" si="289"/>
        <v>0</v>
      </c>
      <c r="SN40" s="5409">
        <v>0</v>
      </c>
      <c r="SO40" s="134"/>
      <c r="SP40" s="134"/>
      <c r="SQ40" s="134"/>
      <c r="SR40" s="134"/>
      <c r="SS40" s="6361">
        <f t="shared" si="510"/>
        <v>0</v>
      </c>
      <c r="ST40" s="6363"/>
      <c r="SU40" s="134">
        <v>0</v>
      </c>
      <c r="SV40" s="134"/>
      <c r="SW40" s="134">
        <v>0</v>
      </c>
      <c r="SX40" s="190">
        <f t="shared" si="511"/>
        <v>0</v>
      </c>
      <c r="SY40" s="5380"/>
      <c r="SZ40" s="6270"/>
      <c r="TA40" s="118">
        <f t="shared" si="554"/>
        <v>0</v>
      </c>
      <c r="TB40" s="118">
        <f t="shared" si="555"/>
        <v>0</v>
      </c>
      <c r="TC40" s="5381">
        <v>0</v>
      </c>
      <c r="TD40" s="1563"/>
      <c r="TE40" s="134"/>
      <c r="TF40" s="134"/>
      <c r="TG40" s="134"/>
      <c r="TH40" s="133">
        <f t="shared" si="556"/>
        <v>0</v>
      </c>
      <c r="TI40" s="196">
        <v>0</v>
      </c>
      <c r="TJ40" s="134">
        <v>0</v>
      </c>
      <c r="TK40" s="134">
        <v>0</v>
      </c>
      <c r="TL40" s="134">
        <v>0</v>
      </c>
      <c r="TM40" s="190">
        <f t="shared" si="557"/>
        <v>0</v>
      </c>
      <c r="TN40" s="5381">
        <v>0</v>
      </c>
      <c r="TO40" s="134"/>
      <c r="TP40" s="134"/>
      <c r="TQ40" s="134"/>
      <c r="TR40" s="134"/>
      <c r="TS40" s="133">
        <f t="shared" si="558"/>
        <v>0</v>
      </c>
      <c r="TT40" s="196">
        <v>0</v>
      </c>
      <c r="TU40" s="134">
        <v>0</v>
      </c>
      <c r="TV40" s="134"/>
      <c r="TW40" s="134"/>
      <c r="TX40" s="190">
        <f t="shared" si="505"/>
        <v>0</v>
      </c>
      <c r="TY40" s="135">
        <v>0</v>
      </c>
      <c r="TZ40" s="1563"/>
      <c r="UA40" s="134">
        <v>0</v>
      </c>
      <c r="UB40" s="134">
        <v>0</v>
      </c>
      <c r="UC40" s="134">
        <v>0</v>
      </c>
      <c r="UD40" s="133">
        <f t="shared" si="559"/>
        <v>0</v>
      </c>
      <c r="UE40" s="196">
        <v>0</v>
      </c>
      <c r="UF40" s="134"/>
      <c r="UG40" s="134"/>
      <c r="UH40" s="134"/>
      <c r="UI40" s="190">
        <f t="shared" si="506"/>
        <v>0</v>
      </c>
      <c r="UJ40" s="5380">
        <v>0</v>
      </c>
      <c r="UK40" s="5376"/>
      <c r="UL40" s="191">
        <f t="shared" si="284"/>
        <v>0</v>
      </c>
      <c r="UM40" s="191">
        <f t="shared" si="285"/>
        <v>0</v>
      </c>
      <c r="UN40" s="135"/>
      <c r="UO40" s="191">
        <f t="shared" si="286"/>
        <v>-65385.987500000279</v>
      </c>
      <c r="UP40" s="5380"/>
    </row>
    <row r="41" spans="1:562" x14ac:dyDescent="0.3">
      <c r="A41" s="5316"/>
      <c r="B41" s="5358" t="s">
        <v>393</v>
      </c>
      <c r="C41" s="578" t="s">
        <v>141</v>
      </c>
      <c r="D41" s="578" t="s">
        <v>140</v>
      </c>
      <c r="E41" s="6278" t="s">
        <v>254</v>
      </c>
      <c r="F41" s="672"/>
      <c r="G41" s="350"/>
      <c r="H41" s="350"/>
      <c r="I41" s="350">
        <v>0</v>
      </c>
      <c r="J41" s="351"/>
      <c r="K41" s="673"/>
      <c r="L41" s="350"/>
      <c r="M41" s="350"/>
      <c r="N41" s="350"/>
      <c r="O41" s="672"/>
      <c r="P41" s="674"/>
      <c r="Q41" s="350"/>
      <c r="R41" s="350"/>
      <c r="S41" s="350"/>
      <c r="T41" s="95"/>
      <c r="U41" s="673"/>
      <c r="V41" s="672"/>
      <c r="W41" s="672"/>
      <c r="X41" s="672"/>
      <c r="Y41" s="672"/>
      <c r="Z41" s="675"/>
      <c r="AA41" s="672"/>
      <c r="AB41" s="672"/>
      <c r="AC41" s="672"/>
      <c r="AD41" s="672"/>
      <c r="AE41" s="582">
        <f t="shared" si="580"/>
        <v>0</v>
      </c>
      <c r="AF41" s="672"/>
      <c r="AG41" s="676"/>
      <c r="AH41" s="677"/>
      <c r="AI41" s="677"/>
      <c r="AJ41" s="677"/>
      <c r="AK41" s="105">
        <f t="shared" si="581"/>
        <v>0</v>
      </c>
      <c r="AL41" s="106"/>
      <c r="AM41" s="129"/>
      <c r="AN41" s="417"/>
      <c r="AO41" s="130"/>
      <c r="AP41" s="417"/>
      <c r="AQ41" s="417"/>
      <c r="AR41" s="116"/>
      <c r="AS41" s="113"/>
      <c r="AT41" s="213"/>
      <c r="AU41" s="417"/>
      <c r="AV41" s="417"/>
      <c r="AW41" s="116"/>
      <c r="AX41" s="669"/>
      <c r="AY41" s="587">
        <f t="shared" si="582"/>
        <v>0</v>
      </c>
      <c r="AZ41" s="587">
        <f t="shared" si="583"/>
        <v>0</v>
      </c>
      <c r="BA41" s="587">
        <f t="shared" si="584"/>
        <v>0</v>
      </c>
      <c r="BB41" s="588"/>
      <c r="BC41" s="684"/>
      <c r="BD41" s="679"/>
      <c r="BE41" s="679"/>
      <c r="BF41" s="679"/>
      <c r="BG41" s="582">
        <f t="shared" si="585"/>
        <v>0</v>
      </c>
      <c r="BH41" s="680"/>
      <c r="BI41" s="684"/>
      <c r="BJ41" s="679"/>
      <c r="BK41" s="679"/>
      <c r="BL41" s="679"/>
      <c r="BM41" s="582">
        <f t="shared" si="586"/>
        <v>0</v>
      </c>
      <c r="BN41" s="680"/>
      <c r="BO41" s="678"/>
      <c r="BP41" s="679"/>
      <c r="BQ41" s="679"/>
      <c r="BR41" s="679"/>
      <c r="BS41" s="582">
        <f t="shared" si="587"/>
        <v>0</v>
      </c>
      <c r="BT41" s="591"/>
      <c r="BU41" s="678"/>
      <c r="BV41" s="592">
        <f t="shared" si="588"/>
        <v>0</v>
      </c>
      <c r="BW41" s="592">
        <f t="shared" si="589"/>
        <v>0</v>
      </c>
      <c r="BX41" s="593"/>
      <c r="BY41" s="681"/>
      <c r="BZ41" s="682"/>
      <c r="CA41" s="682"/>
      <c r="CB41" s="682"/>
      <c r="CC41" s="682"/>
      <c r="CD41" s="683"/>
      <c r="CE41" s="684"/>
      <c r="CF41" s="679"/>
      <c r="CG41" s="679"/>
      <c r="CH41" s="679"/>
      <c r="CI41" s="118"/>
      <c r="CJ41" s="685"/>
      <c r="CK41" s="676"/>
      <c r="CL41" s="677"/>
      <c r="CM41" s="677"/>
      <c r="CN41" s="677"/>
      <c r="CO41" s="360">
        <f t="shared" si="590"/>
        <v>0</v>
      </c>
      <c r="CP41" s="106"/>
      <c r="CQ41" s="226"/>
      <c r="CR41" s="146"/>
      <c r="CS41" s="146"/>
      <c r="CT41" s="118"/>
      <c r="CU41" s="118"/>
      <c r="CV41" s="119"/>
      <c r="CW41" s="127"/>
      <c r="CX41" s="128"/>
      <c r="CY41" s="128"/>
      <c r="CZ41" s="128"/>
      <c r="DA41" s="605">
        <f t="shared" si="591"/>
        <v>0</v>
      </c>
      <c r="DB41" s="106"/>
      <c r="DC41" s="127"/>
      <c r="DD41" s="128"/>
      <c r="DE41" s="128"/>
      <c r="DF41" s="128"/>
      <c r="DG41" s="128"/>
      <c r="DH41" s="119"/>
      <c r="DI41" s="204"/>
      <c r="DJ41" s="202"/>
      <c r="DK41" s="202"/>
      <c r="DL41" s="119"/>
      <c r="DM41" s="202"/>
      <c r="DN41" s="119"/>
      <c r="DO41" s="686"/>
      <c r="DP41" s="146"/>
      <c r="DQ41" s="146"/>
      <c r="DR41" s="146"/>
      <c r="DS41" s="119"/>
      <c r="DT41" s="119"/>
      <c r="DU41" s="119"/>
      <c r="DV41" s="150"/>
      <c r="DW41" s="686"/>
      <c r="DX41" s="687"/>
      <c r="DY41" s="687"/>
      <c r="DZ41" s="687"/>
      <c r="EA41" s="119"/>
      <c r="EB41" s="119"/>
      <c r="EC41" s="119"/>
      <c r="ED41" s="150"/>
      <c r="EE41" s="127"/>
      <c r="EF41" s="128"/>
      <c r="EG41" s="128"/>
      <c r="EH41" s="128"/>
      <c r="EI41" s="605">
        <f t="shared" si="592"/>
        <v>0</v>
      </c>
      <c r="EJ41" s="106"/>
      <c r="EK41" s="127"/>
      <c r="EL41" s="128"/>
      <c r="EM41" s="130">
        <v>0</v>
      </c>
      <c r="EN41" s="128"/>
      <c r="EO41" s="128"/>
      <c r="EP41" s="119"/>
      <c r="EQ41" s="127"/>
      <c r="ER41" s="128"/>
      <c r="ES41" s="128"/>
      <c r="ET41" s="128"/>
      <c r="EU41" s="134">
        <f t="shared" si="593"/>
        <v>0</v>
      </c>
      <c r="EV41" s="106"/>
      <c r="EW41" s="127"/>
      <c r="EX41" s="128"/>
      <c r="EY41" s="130">
        <v>0</v>
      </c>
      <c r="EZ41" s="128"/>
      <c r="FA41" s="128"/>
      <c r="FB41" s="119"/>
      <c r="FC41" s="686"/>
      <c r="FD41" s="146"/>
      <c r="FE41" s="146"/>
      <c r="FF41" s="146"/>
      <c r="FG41" s="119"/>
      <c r="FH41" s="119"/>
      <c r="FI41" s="119"/>
      <c r="FJ41" s="150"/>
      <c r="FK41" s="226"/>
      <c r="FL41" s="118"/>
      <c r="FM41" s="118"/>
      <c r="FN41" s="118"/>
      <c r="FO41" s="134">
        <f t="shared" si="594"/>
        <v>0</v>
      </c>
      <c r="FP41" s="119"/>
      <c r="FQ41" s="226"/>
      <c r="FR41" s="118"/>
      <c r="FS41" s="118"/>
      <c r="FT41" s="189"/>
      <c r="FU41" s="119"/>
      <c r="FV41" s="188"/>
      <c r="FW41" s="189"/>
      <c r="FX41" s="189"/>
      <c r="FY41" s="189"/>
      <c r="FZ41" s="189"/>
      <c r="GA41" s="119"/>
      <c r="GB41" s="119"/>
      <c r="GC41" s="119"/>
      <c r="GD41" s="150"/>
      <c r="GE41" s="188"/>
      <c r="GF41" s="189"/>
      <c r="GG41" s="189"/>
      <c r="GH41" s="119"/>
      <c r="GI41" s="189"/>
      <c r="GJ41" s="188"/>
      <c r="GK41" s="189"/>
      <c r="GL41" s="189"/>
      <c r="GM41" s="189"/>
      <c r="GN41" s="226"/>
      <c r="GO41" s="118"/>
      <c r="GP41" s="118"/>
      <c r="GQ41" s="118"/>
      <c r="GR41" s="134">
        <f t="shared" si="595"/>
        <v>0</v>
      </c>
      <c r="GS41" s="119"/>
      <c r="GT41" s="226"/>
      <c r="GU41" s="118"/>
      <c r="GV41" s="118"/>
      <c r="GW41" s="118"/>
      <c r="GX41" s="188"/>
      <c r="GY41" s="150"/>
      <c r="GZ41" s="688"/>
      <c r="HA41" s="688"/>
      <c r="HB41" s="688"/>
      <c r="HC41" s="130"/>
      <c r="HD41" s="134">
        <f t="shared" si="596"/>
        <v>0</v>
      </c>
      <c r="HE41" s="150"/>
      <c r="HF41" s="138"/>
      <c r="HG41" s="130"/>
      <c r="HH41" s="130"/>
      <c r="HI41" s="130"/>
      <c r="HJ41" s="197">
        <f>HD41-SUM(HF41:HI41)</f>
        <v>0</v>
      </c>
      <c r="HK41" s="201"/>
      <c r="HL41" s="617">
        <v>2</v>
      </c>
      <c r="HM41" s="148">
        <v>167223</v>
      </c>
      <c r="HN41" s="148">
        <v>171364</v>
      </c>
      <c r="HO41" s="148">
        <v>0</v>
      </c>
      <c r="HP41" s="615">
        <f t="shared" si="597"/>
        <v>4141</v>
      </c>
      <c r="HQ41" s="201">
        <f>HP41/HN41</f>
        <v>2.4164935459022898E-2</v>
      </c>
      <c r="HR41" s="148">
        <v>0</v>
      </c>
      <c r="HS41" s="148">
        <v>0</v>
      </c>
      <c r="HT41" s="148"/>
      <c r="HU41" s="148">
        <v>0</v>
      </c>
      <c r="HV41" s="197">
        <f t="shared" si="598"/>
        <v>4141</v>
      </c>
      <c r="HW41" s="201">
        <f>HV41/HN41</f>
        <v>2.4164935459022898E-2</v>
      </c>
      <c r="HX41" s="414">
        <v>2</v>
      </c>
      <c r="HY41" s="241">
        <f t="shared" si="599"/>
        <v>171364</v>
      </c>
      <c r="HZ41" s="415">
        <f t="shared" si="600"/>
        <v>4141</v>
      </c>
      <c r="IA41" s="241"/>
      <c r="IB41" s="415">
        <f t="shared" si="601"/>
        <v>4141</v>
      </c>
      <c r="IC41" s="141"/>
      <c r="ID41" s="642">
        <v>2</v>
      </c>
      <c r="IE41" s="141">
        <f t="shared" si="512"/>
        <v>171364</v>
      </c>
      <c r="IF41" s="141">
        <f t="shared" si="513"/>
        <v>4141</v>
      </c>
      <c r="IG41" s="74">
        <f t="shared" si="602"/>
        <v>2.4164935459022898E-2</v>
      </c>
      <c r="IH41" s="1507"/>
      <c r="II41" s="69"/>
      <c r="IJ41" s="133">
        <v>2</v>
      </c>
      <c r="IK41" s="134">
        <v>310740</v>
      </c>
      <c r="IL41" s="134">
        <v>390000</v>
      </c>
      <c r="IM41" s="134">
        <v>0</v>
      </c>
      <c r="IN41" s="133">
        <f t="shared" si="603"/>
        <v>79260</v>
      </c>
      <c r="IO41" s="151">
        <f>IN41/IL41</f>
        <v>0.20323076923076924</v>
      </c>
      <c r="IP41" s="134">
        <v>0</v>
      </c>
      <c r="IQ41" s="134">
        <v>50000</v>
      </c>
      <c r="IR41" s="134">
        <v>0</v>
      </c>
      <c r="IS41" s="190">
        <f t="shared" si="604"/>
        <v>29260</v>
      </c>
      <c r="IT41" s="151">
        <f>IS41/IL41</f>
        <v>7.5025641025641021E-2</v>
      </c>
      <c r="IU41" s="390">
        <v>2</v>
      </c>
      <c r="IV41" s="134">
        <v>335265</v>
      </c>
      <c r="IW41" s="134">
        <v>383809</v>
      </c>
      <c r="IX41" s="134">
        <v>0</v>
      </c>
      <c r="IY41" s="133">
        <f t="shared" si="605"/>
        <v>48544</v>
      </c>
      <c r="IZ41" s="151">
        <f>IY41/IW41</f>
        <v>0.12647957708130866</v>
      </c>
      <c r="JA41" s="133">
        <v>0</v>
      </c>
      <c r="JB41" s="134">
        <v>0</v>
      </c>
      <c r="JC41" s="134">
        <v>0</v>
      </c>
      <c r="JD41" s="190">
        <f t="shared" si="606"/>
        <v>48544</v>
      </c>
      <c r="JE41" s="151">
        <f>JD41/IW41</f>
        <v>0.12647957708130866</v>
      </c>
      <c r="JF41" s="390">
        <v>2</v>
      </c>
      <c r="JG41" s="134">
        <v>338414</v>
      </c>
      <c r="JH41" s="134">
        <v>377619</v>
      </c>
      <c r="JI41" s="134">
        <v>0</v>
      </c>
      <c r="JJ41" s="133">
        <f t="shared" si="573"/>
        <v>39205</v>
      </c>
      <c r="JK41" s="151">
        <f>JJ41/JH41</f>
        <v>0.10382157677447375</v>
      </c>
      <c r="JL41" s="133">
        <v>0</v>
      </c>
      <c r="JM41" s="134">
        <v>0</v>
      </c>
      <c r="JN41" s="134">
        <v>0</v>
      </c>
      <c r="JO41" s="190">
        <f t="shared" si="574"/>
        <v>39205</v>
      </c>
      <c r="JP41" s="151">
        <f>JO41/JH41</f>
        <v>0.10382157677447375</v>
      </c>
      <c r="JQ41" s="390">
        <v>2</v>
      </c>
      <c r="JR41" s="191">
        <f t="shared" si="575"/>
        <v>1151428</v>
      </c>
      <c r="JS41" s="191">
        <f t="shared" si="576"/>
        <v>167009</v>
      </c>
      <c r="JT41" s="151">
        <f>JS41/JR41</f>
        <v>0.14504510920352814</v>
      </c>
      <c r="JU41" s="390">
        <v>1</v>
      </c>
      <c r="JV41" s="134">
        <v>98142</v>
      </c>
      <c r="JW41" s="134">
        <v>123810</v>
      </c>
      <c r="JX41" s="134"/>
      <c r="JY41" s="133">
        <f t="shared" si="560"/>
        <v>25668</v>
      </c>
      <c r="JZ41" s="151">
        <f t="shared" si="561"/>
        <v>0.20731766416283015</v>
      </c>
      <c r="KA41" s="133">
        <v>0</v>
      </c>
      <c r="KB41" s="148">
        <v>0</v>
      </c>
      <c r="KC41" s="134">
        <v>0</v>
      </c>
      <c r="KD41" s="190">
        <f t="shared" si="514"/>
        <v>25668</v>
      </c>
      <c r="KE41" s="151">
        <f t="shared" si="562"/>
        <v>0.20731766416283015</v>
      </c>
      <c r="KF41" s="390">
        <v>1</v>
      </c>
      <c r="KG41" s="134">
        <v>98142</v>
      </c>
      <c r="KH41" s="134">
        <v>124090.91</v>
      </c>
      <c r="KI41" s="134"/>
      <c r="KJ41" s="133">
        <f t="shared" si="563"/>
        <v>25948.910000000003</v>
      </c>
      <c r="KK41" s="151">
        <f t="shared" si="564"/>
        <v>0.20911209370613854</v>
      </c>
      <c r="KL41" s="133"/>
      <c r="KM41" s="148">
        <v>0</v>
      </c>
      <c r="KN41" s="134">
        <v>0</v>
      </c>
      <c r="KO41" s="190">
        <f t="shared" si="515"/>
        <v>25948.910000000003</v>
      </c>
      <c r="KP41" s="151">
        <f t="shared" si="565"/>
        <v>0.20911209370613854</v>
      </c>
      <c r="KQ41" s="390">
        <v>1</v>
      </c>
      <c r="KR41" s="134">
        <v>98142</v>
      </c>
      <c r="KS41" s="134">
        <v>130000</v>
      </c>
      <c r="KT41" s="134">
        <v>0</v>
      </c>
      <c r="KU41" s="133">
        <f t="shared" si="566"/>
        <v>31858</v>
      </c>
      <c r="KV41" s="151">
        <f t="shared" si="567"/>
        <v>0.24506153846153847</v>
      </c>
      <c r="KW41" s="133"/>
      <c r="KX41" s="148">
        <v>0</v>
      </c>
      <c r="KY41" s="134">
        <v>25000</v>
      </c>
      <c r="KZ41" s="190">
        <f t="shared" si="516"/>
        <v>6858</v>
      </c>
      <c r="LA41" s="151">
        <f>KZ41/KS41</f>
        <v>5.2753846153846151E-2</v>
      </c>
      <c r="LB41" s="402">
        <v>1</v>
      </c>
      <c r="LC41" s="191">
        <f t="shared" si="517"/>
        <v>377900.91000000003</v>
      </c>
      <c r="LD41" s="191">
        <f t="shared" si="518"/>
        <v>83474.91</v>
      </c>
      <c r="LE41" s="151">
        <f t="shared" si="568"/>
        <v>0.22089100023601424</v>
      </c>
      <c r="LF41" s="226">
        <f t="shared" si="519"/>
        <v>-1</v>
      </c>
      <c r="LG41" s="128">
        <f t="shared" si="520"/>
        <v>-773527.09</v>
      </c>
      <c r="LH41" s="139">
        <f t="shared" si="521"/>
        <v>-83534.09</v>
      </c>
      <c r="LI41" s="442">
        <f t="shared" si="607"/>
        <v>-0.5</v>
      </c>
      <c r="LJ41" s="442">
        <f t="shared" si="607"/>
        <v>-0.67179805424221051</v>
      </c>
      <c r="LK41" s="106">
        <f t="shared" si="607"/>
        <v>-0.50017717608033097</v>
      </c>
      <c r="LL41" s="390">
        <v>1</v>
      </c>
      <c r="LM41" s="134">
        <v>98142</v>
      </c>
      <c r="LN41" s="134">
        <v>136500</v>
      </c>
      <c r="LO41" s="134"/>
      <c r="LP41" s="133">
        <f t="shared" si="522"/>
        <v>38358</v>
      </c>
      <c r="LQ41" s="151">
        <f>LP41/LN41</f>
        <v>0.28101098901098903</v>
      </c>
      <c r="LR41" s="133"/>
      <c r="LS41" s="148">
        <v>25000</v>
      </c>
      <c r="LT41" s="134">
        <v>25000</v>
      </c>
      <c r="LU41" s="190">
        <f t="shared" si="523"/>
        <v>-11642</v>
      </c>
      <c r="LV41" s="151">
        <f>LU41/LN41</f>
        <v>-8.5289377289377286E-2</v>
      </c>
      <c r="LW41" s="134">
        <v>1</v>
      </c>
      <c r="LX41" s="134">
        <v>98142</v>
      </c>
      <c r="LY41" s="134">
        <v>117619</v>
      </c>
      <c r="LZ41" s="134"/>
      <c r="MA41" s="133">
        <f t="shared" si="524"/>
        <v>19477</v>
      </c>
      <c r="MB41" s="151">
        <f>MA41/LY41</f>
        <v>0.16559399416760898</v>
      </c>
      <c r="MC41" s="134"/>
      <c r="MD41" s="134">
        <v>25000</v>
      </c>
      <c r="ME41" s="134">
        <v>25000</v>
      </c>
      <c r="MF41" s="190">
        <f t="shared" si="525"/>
        <v>-30523</v>
      </c>
      <c r="MG41" s="151">
        <f>MF41/LY41</f>
        <v>-0.25950739251311439</v>
      </c>
      <c r="MH41" s="134">
        <v>1</v>
      </c>
      <c r="MI41" s="134">
        <v>98142</v>
      </c>
      <c r="MJ41" s="134">
        <v>130000</v>
      </c>
      <c r="MK41" s="134"/>
      <c r="ML41" s="133">
        <f t="shared" si="526"/>
        <v>31858</v>
      </c>
      <c r="MM41" s="151">
        <f>ML41/MJ41</f>
        <v>0.24506153846153847</v>
      </c>
      <c r="MN41" s="134">
        <v>0</v>
      </c>
      <c r="MO41" s="134">
        <v>0</v>
      </c>
      <c r="MP41" s="134">
        <v>25000</v>
      </c>
      <c r="MQ41" s="190">
        <f t="shared" si="527"/>
        <v>6858</v>
      </c>
      <c r="MR41" s="151">
        <f>MQ41/MJ41</f>
        <v>5.2753846153846151E-2</v>
      </c>
      <c r="MS41" s="1472">
        <v>1</v>
      </c>
      <c r="MT41" s="118">
        <f t="shared" si="528"/>
        <v>384119</v>
      </c>
      <c r="MU41" s="118">
        <f t="shared" si="529"/>
        <v>89693</v>
      </c>
      <c r="MV41" s="135">
        <f>MU41/MT41</f>
        <v>0.23350315917723413</v>
      </c>
      <c r="MW41" s="133">
        <f t="shared" si="530"/>
        <v>0</v>
      </c>
      <c r="MX41" s="134">
        <f t="shared" si="531"/>
        <v>6218.0899999999674</v>
      </c>
      <c r="MY41" s="134">
        <f t="shared" si="532"/>
        <v>6218.0899999999965</v>
      </c>
      <c r="MZ41" s="135">
        <f>MW41/LB41</f>
        <v>0</v>
      </c>
      <c r="NA41" s="135">
        <f t="shared" si="577"/>
        <v>1.6454286918758589E-2</v>
      </c>
      <c r="NB41" s="151">
        <f t="shared" si="577"/>
        <v>7.4490526554625763E-2</v>
      </c>
      <c r="NC41" s="134">
        <v>1</v>
      </c>
      <c r="ND41" s="134">
        <v>98142</v>
      </c>
      <c r="NE41" s="134">
        <v>130000</v>
      </c>
      <c r="NF41" s="134"/>
      <c r="NG41" s="133">
        <f t="shared" si="534"/>
        <v>31858</v>
      </c>
      <c r="NH41" s="151">
        <f>NG41/NE41</f>
        <v>0.24506153846153847</v>
      </c>
      <c r="NI41" s="134"/>
      <c r="NJ41" s="134">
        <v>0</v>
      </c>
      <c r="NK41" s="134">
        <v>25000</v>
      </c>
      <c r="NL41" s="190">
        <f t="shared" si="535"/>
        <v>6858</v>
      </c>
      <c r="NM41" s="135">
        <f>NL41/NE41</f>
        <v>5.2753846153846151E-2</v>
      </c>
      <c r="NN41" s="1563">
        <v>1</v>
      </c>
      <c r="NO41" s="134">
        <v>98142</v>
      </c>
      <c r="NP41" s="134">
        <v>130000</v>
      </c>
      <c r="NQ41" s="134">
        <v>0</v>
      </c>
      <c r="NR41" s="133">
        <f t="shared" si="536"/>
        <v>31858</v>
      </c>
      <c r="NS41" s="151">
        <f>NR41/NP41</f>
        <v>0.24506153846153847</v>
      </c>
      <c r="NT41" s="134">
        <v>0</v>
      </c>
      <c r="NU41" s="134">
        <v>0</v>
      </c>
      <c r="NV41" s="134">
        <v>25000</v>
      </c>
      <c r="NW41" s="190">
        <f t="shared" si="537"/>
        <v>6858</v>
      </c>
      <c r="NX41" s="135">
        <f>NW41/NP41</f>
        <v>5.2753846153846151E-2</v>
      </c>
      <c r="NY41" s="1563">
        <v>1</v>
      </c>
      <c r="NZ41" s="134">
        <v>98142</v>
      </c>
      <c r="OA41" s="134">
        <v>130000</v>
      </c>
      <c r="OB41" s="134">
        <v>0</v>
      </c>
      <c r="OC41" s="133">
        <f t="shared" si="538"/>
        <v>31858</v>
      </c>
      <c r="OD41" s="151">
        <f>OC41/OA41</f>
        <v>0.24506153846153847</v>
      </c>
      <c r="OE41" s="134">
        <v>0</v>
      </c>
      <c r="OF41" s="134">
        <v>0</v>
      </c>
      <c r="OG41" s="134">
        <v>25000</v>
      </c>
      <c r="OH41" s="190">
        <f t="shared" si="539"/>
        <v>6858</v>
      </c>
      <c r="OI41" s="5380">
        <f>OH41/OA41</f>
        <v>5.2753846153846151E-2</v>
      </c>
      <c r="OJ41" s="69">
        <v>1</v>
      </c>
      <c r="OK41" s="155">
        <f t="shared" si="540"/>
        <v>2264242.91</v>
      </c>
      <c r="OL41" s="155">
        <f t="shared" si="541"/>
        <v>396545.91000000003</v>
      </c>
      <c r="OM41" s="74">
        <f t="shared" si="542"/>
        <v>0.17513399655516643</v>
      </c>
      <c r="ON41" s="155">
        <f t="shared" si="543"/>
        <v>121545.91</v>
      </c>
      <c r="OO41" s="70"/>
      <c r="OP41" s="69"/>
      <c r="OQ41" s="2008">
        <v>1</v>
      </c>
      <c r="OR41" s="208">
        <v>98142</v>
      </c>
      <c r="OS41" s="208">
        <v>136890</v>
      </c>
      <c r="OT41" s="134"/>
      <c r="OU41" s="133">
        <f t="shared" si="544"/>
        <v>38748</v>
      </c>
      <c r="OV41" s="94">
        <f>OU41/OS41</f>
        <v>0.28305939075169845</v>
      </c>
      <c r="OW41" s="134">
        <v>0</v>
      </c>
      <c r="OX41" s="134">
        <v>0</v>
      </c>
      <c r="OY41" s="134">
        <v>0</v>
      </c>
      <c r="OZ41" s="190">
        <f t="shared" si="545"/>
        <v>38748</v>
      </c>
      <c r="PA41" s="5361">
        <f>OZ41/OS41</f>
        <v>0.28305939075169845</v>
      </c>
      <c r="PB41" s="5320">
        <v>1</v>
      </c>
      <c r="PC41" s="134">
        <v>101348</v>
      </c>
      <c r="PD41" s="134">
        <v>130000</v>
      </c>
      <c r="PE41" s="134"/>
      <c r="PF41" s="133">
        <f t="shared" si="608"/>
        <v>28652</v>
      </c>
      <c r="PG41" s="94">
        <f>PF41/PD41</f>
        <v>0.22040000000000001</v>
      </c>
      <c r="PH41" s="134">
        <v>0</v>
      </c>
      <c r="PI41" s="134">
        <v>0</v>
      </c>
      <c r="PJ41" s="134">
        <v>28000</v>
      </c>
      <c r="PK41" s="190">
        <f t="shared" si="546"/>
        <v>652</v>
      </c>
      <c r="PL41" s="135">
        <f>PK41/PD41</f>
        <v>5.0153846153846151E-3</v>
      </c>
      <c r="PM41" s="5391"/>
      <c r="PN41" s="148"/>
      <c r="PO41" s="148"/>
      <c r="PP41" s="622">
        <v>14499</v>
      </c>
      <c r="PQ41" s="6293">
        <f t="shared" ref="PQ41:PQ50" si="610">PO41-(PN41+PP41)</f>
        <v>-14499</v>
      </c>
      <c r="PR41" s="6295">
        <v>0</v>
      </c>
      <c r="PS41" s="134">
        <v>0</v>
      </c>
      <c r="PT41" s="134">
        <v>0</v>
      </c>
      <c r="PU41" s="134">
        <v>0</v>
      </c>
      <c r="PV41" s="190">
        <f t="shared" si="265"/>
        <v>-14499</v>
      </c>
      <c r="PW41" s="5380">
        <v>0</v>
      </c>
      <c r="PX41" s="5320"/>
      <c r="PY41" s="191">
        <f t="shared" si="578"/>
        <v>266890</v>
      </c>
      <c r="PZ41" s="191">
        <f t="shared" si="579"/>
        <v>52901</v>
      </c>
      <c r="QA41" s="135">
        <f>PZ41/PY41</f>
        <v>0.19821274682453446</v>
      </c>
      <c r="QB41" s="5379"/>
      <c r="QC41" s="134"/>
      <c r="QD41" s="134"/>
      <c r="QE41" s="134"/>
      <c r="QF41" s="6293">
        <f t="shared" si="270"/>
        <v>0</v>
      </c>
      <c r="QG41" s="6296"/>
      <c r="QH41" s="134">
        <v>0</v>
      </c>
      <c r="QI41" s="148">
        <v>0</v>
      </c>
      <c r="QJ41" s="134">
        <v>0</v>
      </c>
      <c r="QK41" s="190">
        <f>QF41-SUM(QH41:QJ41)</f>
        <v>0</v>
      </c>
      <c r="QL41" s="5381">
        <v>0</v>
      </c>
      <c r="QM41" s="5379"/>
      <c r="QN41" s="134"/>
      <c r="QO41" s="134"/>
      <c r="QP41" s="134"/>
      <c r="QQ41" s="133">
        <f>QO41-(QN41+QP41)</f>
        <v>0</v>
      </c>
      <c r="QR41" s="196">
        <v>0</v>
      </c>
      <c r="QS41" s="133"/>
      <c r="QT41" s="134">
        <v>0</v>
      </c>
      <c r="QU41" s="134">
        <v>0</v>
      </c>
      <c r="QV41" s="190">
        <f t="shared" si="547"/>
        <v>0</v>
      </c>
      <c r="QW41" s="5381">
        <v>0</v>
      </c>
      <c r="QX41" s="5379"/>
      <c r="QY41" s="134">
        <v>0</v>
      </c>
      <c r="QZ41" s="134">
        <v>0</v>
      </c>
      <c r="RA41" s="134">
        <v>0</v>
      </c>
      <c r="RB41" s="133">
        <f t="shared" si="569"/>
        <v>0</v>
      </c>
      <c r="RC41" s="151"/>
      <c r="RD41" s="133">
        <v>0</v>
      </c>
      <c r="RE41" s="134">
        <v>0</v>
      </c>
      <c r="RF41" s="134">
        <v>0</v>
      </c>
      <c r="RG41" s="190">
        <f t="shared" si="570"/>
        <v>0</v>
      </c>
      <c r="RH41" s="5381">
        <v>0</v>
      </c>
      <c r="RI41" s="5376"/>
      <c r="RJ41" s="191">
        <f t="shared" si="548"/>
        <v>0</v>
      </c>
      <c r="RK41" s="191">
        <f t="shared" si="549"/>
        <v>0</v>
      </c>
      <c r="RL41" s="5380"/>
      <c r="RM41" s="1562">
        <f t="shared" si="550"/>
        <v>0</v>
      </c>
      <c r="RN41" s="128">
        <f t="shared" si="551"/>
        <v>-266890</v>
      </c>
      <c r="RO41" s="139">
        <f t="shared" si="552"/>
        <v>-52901</v>
      </c>
      <c r="RP41" s="442" t="e">
        <f t="shared" si="609"/>
        <v>#DIV/0!</v>
      </c>
      <c r="RQ41" s="442">
        <f t="shared" si="609"/>
        <v>-1</v>
      </c>
      <c r="RR41" s="6339">
        <f t="shared" si="609"/>
        <v>-1</v>
      </c>
      <c r="RS41" s="6329"/>
      <c r="RT41" s="130">
        <v>0</v>
      </c>
      <c r="RU41" s="130">
        <v>0</v>
      </c>
      <c r="RV41" s="3546">
        <v>0</v>
      </c>
      <c r="RW41" s="133">
        <f t="shared" si="571"/>
        <v>0</v>
      </c>
      <c r="RX41" s="151"/>
      <c r="RY41" s="133">
        <v>0</v>
      </c>
      <c r="RZ41" s="134">
        <v>0</v>
      </c>
      <c r="SA41" s="134">
        <v>0</v>
      </c>
      <c r="SB41" s="190">
        <f t="shared" si="553"/>
        <v>0</v>
      </c>
      <c r="SC41" s="5380"/>
      <c r="SD41" s="5405"/>
      <c r="SE41" s="130"/>
      <c r="SF41" s="130"/>
      <c r="SG41" s="606"/>
      <c r="SH41" s="6361">
        <f t="shared" si="572"/>
        <v>0</v>
      </c>
      <c r="SI41" s="6377">
        <v>0</v>
      </c>
      <c r="SJ41" s="134"/>
      <c r="SK41" s="134"/>
      <c r="SL41" s="134"/>
      <c r="SM41" s="188">
        <f t="shared" si="289"/>
        <v>0</v>
      </c>
      <c r="SN41" s="5409">
        <v>0</v>
      </c>
      <c r="SO41" s="134"/>
      <c r="SP41" s="134"/>
      <c r="SQ41" s="134"/>
      <c r="SR41" s="134"/>
      <c r="SS41" s="6361">
        <f t="shared" si="510"/>
        <v>0</v>
      </c>
      <c r="ST41" s="6363"/>
      <c r="SU41" s="134">
        <v>0</v>
      </c>
      <c r="SV41" s="134"/>
      <c r="SW41" s="134">
        <v>0</v>
      </c>
      <c r="SX41" s="190">
        <f t="shared" si="511"/>
        <v>0</v>
      </c>
      <c r="SY41" s="5380"/>
      <c r="SZ41" s="6270"/>
      <c r="TA41" s="118">
        <f t="shared" si="554"/>
        <v>0</v>
      </c>
      <c r="TB41" s="118">
        <f t="shared" si="555"/>
        <v>0</v>
      </c>
      <c r="TC41" s="5381">
        <v>0</v>
      </c>
      <c r="TD41" s="1563"/>
      <c r="TE41" s="134"/>
      <c r="TF41" s="134"/>
      <c r="TG41" s="134"/>
      <c r="TH41" s="133">
        <f t="shared" si="556"/>
        <v>0</v>
      </c>
      <c r="TI41" s="196">
        <v>0</v>
      </c>
      <c r="TJ41" s="134">
        <v>0</v>
      </c>
      <c r="TK41" s="134">
        <v>0</v>
      </c>
      <c r="TL41" s="134">
        <v>0</v>
      </c>
      <c r="TM41" s="190">
        <f>TH41-SUM(TJ41:TL41)</f>
        <v>0</v>
      </c>
      <c r="TN41" s="5381">
        <v>0</v>
      </c>
      <c r="TO41" s="134"/>
      <c r="TP41" s="134"/>
      <c r="TQ41" s="134"/>
      <c r="TR41" s="134"/>
      <c r="TS41" s="133">
        <f t="shared" si="558"/>
        <v>0</v>
      </c>
      <c r="TT41" s="151" t="e">
        <f>TS41/TQ41</f>
        <v>#DIV/0!</v>
      </c>
      <c r="TU41" s="134">
        <v>0</v>
      </c>
      <c r="TV41" s="134"/>
      <c r="TW41" s="134"/>
      <c r="TX41" s="190">
        <f>TS41-SUM(TU41:TW41)</f>
        <v>0</v>
      </c>
      <c r="TY41" s="135" t="e">
        <f>TX41/TQ41</f>
        <v>#DIV/0!</v>
      </c>
      <c r="TZ41" s="1563"/>
      <c r="UA41" s="134"/>
      <c r="UB41" s="134"/>
      <c r="UC41" s="134"/>
      <c r="UD41" s="133">
        <f t="shared" si="559"/>
        <v>0</v>
      </c>
      <c r="UE41" s="151" t="e">
        <f>UD41/UB41</f>
        <v>#DIV/0!</v>
      </c>
      <c r="UF41" s="134"/>
      <c r="UG41" s="134"/>
      <c r="UH41" s="134"/>
      <c r="UI41" s="190">
        <f>UD41-SUM(UF41:UH41)</f>
        <v>0</v>
      </c>
      <c r="UJ41" s="5380" t="e">
        <f>UI41/UB41</f>
        <v>#DIV/0!</v>
      </c>
      <c r="UK41" s="5376"/>
      <c r="UL41" s="191">
        <f t="shared" si="284"/>
        <v>266890</v>
      </c>
      <c r="UM41" s="191">
        <f t="shared" si="285"/>
        <v>52901</v>
      </c>
      <c r="UN41" s="135">
        <f>UM41/UL41</f>
        <v>0.19821274682453446</v>
      </c>
      <c r="UO41" s="191">
        <f t="shared" si="286"/>
        <v>24901</v>
      </c>
      <c r="UP41" s="5380">
        <f t="shared" si="291"/>
        <v>9.3300610738506498E-2</v>
      </c>
    </row>
    <row r="42" spans="1:562" x14ac:dyDescent="0.3">
      <c r="A42" s="5316"/>
      <c r="B42" s="5360" t="s">
        <v>387</v>
      </c>
      <c r="C42" s="578" t="s">
        <v>141</v>
      </c>
      <c r="D42" s="578" t="s">
        <v>140</v>
      </c>
      <c r="E42" s="6278" t="s">
        <v>254</v>
      </c>
      <c r="F42" s="579">
        <v>65</v>
      </c>
      <c r="G42" s="161">
        <v>10736642</v>
      </c>
      <c r="H42" s="161">
        <v>16868596</v>
      </c>
      <c r="I42" s="161">
        <v>5947039</v>
      </c>
      <c r="J42" s="351">
        <f>I42/H42</f>
        <v>0.35255091769344643</v>
      </c>
      <c r="K42" s="580">
        <v>56</v>
      </c>
      <c r="L42" s="161">
        <v>10287186</v>
      </c>
      <c r="M42" s="161">
        <v>15676556</v>
      </c>
      <c r="N42" s="161">
        <v>5302170</v>
      </c>
      <c r="O42" s="422"/>
      <c r="P42" s="580">
        <v>43.666666666666664</v>
      </c>
      <c r="Q42" s="161">
        <v>7985668</v>
      </c>
      <c r="R42" s="161">
        <v>11599988</v>
      </c>
      <c r="S42" s="161">
        <v>3419489</v>
      </c>
      <c r="T42" s="94"/>
      <c r="U42" s="136"/>
      <c r="V42" s="422"/>
      <c r="W42" s="422"/>
      <c r="X42" s="422"/>
      <c r="Y42" s="422"/>
      <c r="Z42" s="581"/>
      <c r="AA42" s="422"/>
      <c r="AB42" s="422"/>
      <c r="AC42" s="422"/>
      <c r="AD42" s="422"/>
      <c r="AE42" s="582">
        <f t="shared" si="580"/>
        <v>0</v>
      </c>
      <c r="AF42" s="422"/>
      <c r="AG42" s="583">
        <v>38</v>
      </c>
      <c r="AH42" s="584">
        <f>2662676</f>
        <v>2662676</v>
      </c>
      <c r="AI42" s="584">
        <v>3535930</v>
      </c>
      <c r="AJ42" s="584">
        <v>51296</v>
      </c>
      <c r="AK42" s="105">
        <f t="shared" si="581"/>
        <v>821958</v>
      </c>
      <c r="AL42" s="116">
        <f t="shared" ref="AL42:AL50" si="611">AK42/AI42</f>
        <v>0.23245878736287201</v>
      </c>
      <c r="AM42" s="585">
        <v>184370</v>
      </c>
      <c r="AN42" s="417">
        <v>131298</v>
      </c>
      <c r="AO42" s="417"/>
      <c r="AP42" s="130">
        <v>49383.651724137926</v>
      </c>
      <c r="AQ42" s="417">
        <f t="shared" ref="AQ42:AQ50" si="612">AK42-AM42-AN42-AO42-AP42</f>
        <v>456906.34827586205</v>
      </c>
      <c r="AR42" s="116">
        <f t="shared" ref="AR42:AR50" si="613">AQ42/AK42</f>
        <v>0.55587554142165663</v>
      </c>
      <c r="AS42" s="583">
        <v>38</v>
      </c>
      <c r="AT42" s="216">
        <v>7329744</v>
      </c>
      <c r="AU42" s="417">
        <v>10241139</v>
      </c>
      <c r="AV42" s="417">
        <v>2749612</v>
      </c>
      <c r="AW42" s="116">
        <f t="shared" ref="AW42:AW47" si="614">AV42/AU42</f>
        <v>0.26848693294759501</v>
      </c>
      <c r="AX42" s="586">
        <v>38</v>
      </c>
      <c r="AY42" s="587">
        <f t="shared" si="582"/>
        <v>36339240</v>
      </c>
      <c r="AZ42" s="587">
        <f t="shared" si="583"/>
        <v>54386279</v>
      </c>
      <c r="BA42" s="587">
        <f t="shared" si="584"/>
        <v>17418310</v>
      </c>
      <c r="BB42" s="588">
        <f t="shared" ref="BB42:BB47" si="615">BA42/AZ42</f>
        <v>0.32027030200025269</v>
      </c>
      <c r="BC42" s="1512">
        <v>36</v>
      </c>
      <c r="BD42" s="582">
        <v>2868533</v>
      </c>
      <c r="BE42" s="582">
        <v>3776367</v>
      </c>
      <c r="BF42" s="582">
        <f>47542+24754</f>
        <v>72296</v>
      </c>
      <c r="BG42" s="582">
        <f t="shared" si="585"/>
        <v>835538</v>
      </c>
      <c r="BH42" s="589"/>
      <c r="BI42" s="1512">
        <v>32</v>
      </c>
      <c r="BJ42" s="582">
        <v>2693441</v>
      </c>
      <c r="BK42" s="582">
        <v>3476833</v>
      </c>
      <c r="BL42" s="582">
        <f>105951+8918</f>
        <v>114869</v>
      </c>
      <c r="BM42" s="582">
        <f t="shared" si="586"/>
        <v>668523</v>
      </c>
      <c r="BN42" s="589"/>
      <c r="BO42" s="590">
        <v>32</v>
      </c>
      <c r="BP42" s="582">
        <v>2727135</v>
      </c>
      <c r="BQ42" s="582">
        <v>3447161</v>
      </c>
      <c r="BR42" s="582">
        <v>10506</v>
      </c>
      <c r="BS42" s="582">
        <f t="shared" si="587"/>
        <v>709520</v>
      </c>
      <c r="BT42" s="591">
        <f>BS42/BQ42</f>
        <v>0.20582734603924796</v>
      </c>
      <c r="BU42" s="590">
        <v>32</v>
      </c>
      <c r="BV42" s="592">
        <f t="shared" si="588"/>
        <v>10700361</v>
      </c>
      <c r="BW42" s="592">
        <f t="shared" si="589"/>
        <v>2213581</v>
      </c>
      <c r="BX42" s="593">
        <f>BW42/BV42</f>
        <v>0.20686974953461851</v>
      </c>
      <c r="BY42" s="594">
        <v>29</v>
      </c>
      <c r="BZ42" s="595">
        <v>2260463</v>
      </c>
      <c r="CA42" s="650">
        <v>2855045</v>
      </c>
      <c r="CB42" s="650">
        <v>82972</v>
      </c>
      <c r="CC42" s="596">
        <f t="shared" ref="CC42:CC50" si="616">CA42-(BZ42+CB42)</f>
        <v>511610</v>
      </c>
      <c r="CD42" s="597">
        <f>CC42/CA42</f>
        <v>0.17919507398307208</v>
      </c>
      <c r="CE42" s="598">
        <v>301718.8</v>
      </c>
      <c r="CF42" s="599">
        <v>235306</v>
      </c>
      <c r="CG42" s="599"/>
      <c r="CH42" s="599">
        <v>74304.057692307688</v>
      </c>
      <c r="CI42" s="599">
        <f t="shared" ref="CI42:CI50" si="617">CC42-CE42-CF42-CG42-CH42</f>
        <v>-99718.857692307676</v>
      </c>
      <c r="CJ42" s="597">
        <f>CI42/CA42</f>
        <v>-3.4927245522332458E-2</v>
      </c>
      <c r="CK42" s="651">
        <v>26</v>
      </c>
      <c r="CL42" s="652">
        <v>2262233</v>
      </c>
      <c r="CM42" s="652">
        <v>2906902</v>
      </c>
      <c r="CN42" s="652">
        <v>7971</v>
      </c>
      <c r="CO42" s="96">
        <f t="shared" si="590"/>
        <v>636698</v>
      </c>
      <c r="CP42" s="602">
        <f>CO42/CM42</f>
        <v>0.21902974369276984</v>
      </c>
      <c r="CQ42" s="603">
        <v>302579.33333333337</v>
      </c>
      <c r="CR42" s="603">
        <v>99658.273076923069</v>
      </c>
      <c r="CS42" s="603"/>
      <c r="CT42" s="603">
        <v>147101.18634615382</v>
      </c>
      <c r="CU42" s="603">
        <f t="shared" ref="CU42:CU50" si="618">CO42-CQ42-CR42-CS42-CT42</f>
        <v>87359.207243589743</v>
      </c>
      <c r="CV42" s="604">
        <f>CU42/CM42</f>
        <v>3.0052339997560889E-2</v>
      </c>
      <c r="CW42" s="129">
        <v>22</v>
      </c>
      <c r="CX42" s="130">
        <v>1760022</v>
      </c>
      <c r="CY42" s="130">
        <v>2317712</v>
      </c>
      <c r="CZ42" s="130">
        <v>32159</v>
      </c>
      <c r="DA42" s="605">
        <f t="shared" si="591"/>
        <v>525531</v>
      </c>
      <c r="DB42" s="114">
        <f>DA42/CY42</f>
        <v>0.22674560083392586</v>
      </c>
      <c r="DC42" s="138">
        <f>580980+15000</f>
        <v>595980</v>
      </c>
      <c r="DD42" s="606">
        <v>113817.95833333333</v>
      </c>
      <c r="DE42" s="130"/>
      <c r="DF42" s="130">
        <v>121185.01354166666</v>
      </c>
      <c r="DG42" s="128">
        <f t="shared" ref="DG42:DG50" si="619">DA42-DC42-DD42-DE42-DF42</f>
        <v>-305451.97187499999</v>
      </c>
      <c r="DH42" s="169">
        <f>DG42/CY42</f>
        <v>-0.13179030521264073</v>
      </c>
      <c r="DI42" s="204">
        <f t="shared" ref="DI42:DI50" si="620">(BY42+CK42+CW42)/3</f>
        <v>25.666666666666668</v>
      </c>
      <c r="DJ42" s="202">
        <f t="shared" ref="DJ42:DJ50" si="621">CA42+CM42+CY42</f>
        <v>8079659</v>
      </c>
      <c r="DK42" s="202">
        <f t="shared" ref="DK42:DK50" si="622">CC42+CO42+DA42</f>
        <v>1673839</v>
      </c>
      <c r="DL42" s="119">
        <f>DK42/DJ42</f>
        <v>0.20716703514343859</v>
      </c>
      <c r="DM42" s="202">
        <f t="shared" ref="DM42:DM50" si="623">CI42+CU42+DG42</f>
        <v>-317811.62232371792</v>
      </c>
      <c r="DN42" s="119">
        <f>DM42/DJ42</f>
        <v>-3.9334781619337886E-2</v>
      </c>
      <c r="DO42" s="607">
        <f t="shared" ref="DO42:DO50" si="624">CW42-AG42</f>
        <v>-16</v>
      </c>
      <c r="DP42" s="137">
        <f t="shared" ref="DP42:DP50" si="625">CX42-AH42</f>
        <v>-902654</v>
      </c>
      <c r="DQ42" s="137">
        <f t="shared" ref="DQ42:DQ50" si="626">CY42-AI42</f>
        <v>-1218218</v>
      </c>
      <c r="DR42" s="137">
        <f t="shared" ref="DR42:DR50" si="627">DA42-AK42</f>
        <v>-296427</v>
      </c>
      <c r="DS42" s="135">
        <f t="shared" ref="DS42:DS50" si="628">DO42/AG42</f>
        <v>-0.42105263157894735</v>
      </c>
      <c r="DT42" s="135">
        <f t="shared" ref="DT42:DT50" si="629">DP42/AI42</f>
        <v>-0.25528050611861658</v>
      </c>
      <c r="DU42" s="135">
        <f t="shared" ref="DU42:DU50" si="630">DQ42/AK42</f>
        <v>-1.4820927589974184</v>
      </c>
      <c r="DV42" s="151">
        <f t="shared" ref="DV42:DV50" si="631">DR42/AQ42</f>
        <v>-0.64876971203960832</v>
      </c>
      <c r="DW42" s="607">
        <f t="shared" ref="DW42:DW50" si="632">CW42-CK42</f>
        <v>-4</v>
      </c>
      <c r="DX42" s="608">
        <f t="shared" ref="DX42:DX50" si="633">CY42-CM42</f>
        <v>-589190</v>
      </c>
      <c r="DY42" s="608">
        <f t="shared" ref="DY42:DY50" si="634">DA42-CO42</f>
        <v>-111167</v>
      </c>
      <c r="DZ42" s="608">
        <f t="shared" ref="DZ42:DZ50" si="635">DG42-CU42</f>
        <v>-392811.17911858973</v>
      </c>
      <c r="EA42" s="135">
        <f>DW42/CK42</f>
        <v>-0.15384615384615385</v>
      </c>
      <c r="EB42" s="135">
        <f>DX42/CM42</f>
        <v>-0.20268657147712582</v>
      </c>
      <c r="EC42" s="135">
        <f>DY42/CO42</f>
        <v>-0.17459926055995151</v>
      </c>
      <c r="ED42" s="151">
        <f>DZ42/CU42</f>
        <v>-4.4965057663960604</v>
      </c>
      <c r="EE42" s="129">
        <v>19</v>
      </c>
      <c r="EF42" s="130">
        <v>1581159</v>
      </c>
      <c r="EG42" s="130">
        <v>1983316</v>
      </c>
      <c r="EH42" s="130">
        <v>140574</v>
      </c>
      <c r="EI42" s="605">
        <f t="shared" si="592"/>
        <v>261583</v>
      </c>
      <c r="EJ42" s="114">
        <f>EI42/EG42</f>
        <v>0.13189174090260958</v>
      </c>
      <c r="EK42" s="138">
        <v>198691</v>
      </c>
      <c r="EL42" s="606">
        <v>0</v>
      </c>
      <c r="EM42" s="130">
        <v>0</v>
      </c>
      <c r="EN42" s="130">
        <v>0</v>
      </c>
      <c r="EO42" s="128">
        <f t="shared" ref="EO42:EO50" si="636">EI42-EK42-EL42-EM42-EN42</f>
        <v>62892</v>
      </c>
      <c r="EP42" s="114">
        <f>EO42/EG42</f>
        <v>3.1710529234877348E-2</v>
      </c>
      <c r="EQ42" s="129">
        <v>16</v>
      </c>
      <c r="ER42" s="595">
        <v>1333587</v>
      </c>
      <c r="ES42" s="595">
        <v>1698334</v>
      </c>
      <c r="ET42" s="130">
        <v>82582</v>
      </c>
      <c r="EU42" s="134">
        <f t="shared" si="593"/>
        <v>282165</v>
      </c>
      <c r="EV42" s="114">
        <f>EU42/ES42</f>
        <v>0.16614223115123408</v>
      </c>
      <c r="EW42" s="138">
        <v>198691</v>
      </c>
      <c r="EX42" s="606">
        <v>0</v>
      </c>
      <c r="EY42" s="130">
        <v>0</v>
      </c>
      <c r="EZ42" s="128">
        <v>50000</v>
      </c>
      <c r="FA42" s="128">
        <f t="shared" ref="FA42:FA50" si="637">EU42-EW42-EX42-EY42-EZ42</f>
        <v>33474</v>
      </c>
      <c r="FB42" s="114">
        <f>FA42/ES42</f>
        <v>1.9709903941156452E-2</v>
      </c>
      <c r="FC42" s="609">
        <f t="shared" ref="FC42:FC50" si="638">EQ42-AG42</f>
        <v>-22</v>
      </c>
      <c r="FD42" s="610">
        <f t="shared" ref="FD42:FD50" si="639">ES42-AI42</f>
        <v>-1837596</v>
      </c>
      <c r="FE42" s="610">
        <f t="shared" ref="FE42:FE50" si="640">EU42-AK42</f>
        <v>-539793</v>
      </c>
      <c r="FF42" s="610">
        <f t="shared" ref="FF42:FF50" si="641">FA42-AQ42</f>
        <v>-423432.34827586205</v>
      </c>
      <c r="FG42" s="611">
        <f t="shared" ref="FG42:FG50" si="642">FC42/AG42</f>
        <v>-0.57894736842105265</v>
      </c>
      <c r="FH42" s="611">
        <f t="shared" ref="FH42:FH50" si="643">FD42/AI42</f>
        <v>-0.51969241472540462</v>
      </c>
      <c r="FI42" s="611">
        <f t="shared" ref="FI42:FI50" si="644">FE42/AK42</f>
        <v>-0.6567160365858109</v>
      </c>
      <c r="FJ42" s="612">
        <f t="shared" ref="FJ42:FJ50" si="645">FF42/AQ42</f>
        <v>-0.92673772179722547</v>
      </c>
      <c r="FK42" s="133">
        <v>13</v>
      </c>
      <c r="FL42" s="134">
        <v>1308437</v>
      </c>
      <c r="FM42" s="134">
        <v>1444075</v>
      </c>
      <c r="FN42" s="134">
        <v>56992</v>
      </c>
      <c r="FO42" s="134">
        <f t="shared" si="594"/>
        <v>78646</v>
      </c>
      <c r="FP42" s="135">
        <f>FO42/FM42</f>
        <v>5.4461160258296837E-2</v>
      </c>
      <c r="FQ42" s="133"/>
      <c r="FR42" s="134">
        <v>100000</v>
      </c>
      <c r="FS42" s="134"/>
      <c r="FT42" s="191">
        <f t="shared" ref="FT42:FT50" si="646">FO42-SUM(FQ42:FS42)</f>
        <v>-21354</v>
      </c>
      <c r="FU42" s="151">
        <f>FT42/FM42</f>
        <v>-1.4787320603154267E-2</v>
      </c>
      <c r="FV42" s="190">
        <f t="shared" ref="FV42:FV50" si="647">FK42-AG42</f>
        <v>-25</v>
      </c>
      <c r="FW42" s="191">
        <f t="shared" ref="FW42:FW50" si="648">FL42-AH42</f>
        <v>-1354239</v>
      </c>
      <c r="FX42" s="191">
        <f t="shared" ref="FX42:FX50" si="649">FM42-AI42</f>
        <v>-2091855</v>
      </c>
      <c r="FY42" s="191">
        <f t="shared" ref="FY42:FY50" si="650">FO42-AK42</f>
        <v>-743312</v>
      </c>
      <c r="FZ42" s="191">
        <f t="shared" ref="FZ42:FZ50" si="651">FT42-AQ42</f>
        <v>-478260.34827586205</v>
      </c>
      <c r="GA42" s="135">
        <f t="shared" ref="GA42:GA50" si="652">FV42/AG42</f>
        <v>-0.65789473684210531</v>
      </c>
      <c r="GB42" s="135">
        <f t="shared" ref="GB42:GB50" si="653">FX42/AI42</f>
        <v>-0.59159966402049813</v>
      </c>
      <c r="GC42" s="135">
        <f t="shared" ref="GC42:GC50" si="654">FY42/AK42</f>
        <v>-0.90431871214830928</v>
      </c>
      <c r="GD42" s="151">
        <f t="shared" ref="GD42:GD50" si="655">FZ42/AQ42</f>
        <v>-1.04673605451222</v>
      </c>
      <c r="GE42" s="187">
        <f t="shared" ref="GE42:GE50" si="656">(EE42+EQ42+FK42)/3</f>
        <v>16</v>
      </c>
      <c r="GF42" s="155">
        <f t="shared" ref="GF42:GF50" si="657">EG42+ES42+FM42</f>
        <v>5125725</v>
      </c>
      <c r="GG42" s="155">
        <f t="shared" ref="GG42:GG50" si="658">EI42+EU42+FO42</f>
        <v>622394</v>
      </c>
      <c r="GH42" s="74">
        <f>GG42/GF42</f>
        <v>0.12142555443376303</v>
      </c>
      <c r="GI42" s="613">
        <f t="shared" ref="GI42:GI50" si="659">EO42+FA42+FT42</f>
        <v>75012</v>
      </c>
      <c r="GJ42" s="187">
        <f t="shared" ref="GJ42:GJ50" si="660">GE42-DI42</f>
        <v>-9.6666666666666679</v>
      </c>
      <c r="GK42" s="155">
        <f t="shared" ref="GK42:GK50" si="661">GF42-DJ42</f>
        <v>-2953934</v>
      </c>
      <c r="GL42" s="155">
        <f t="shared" ref="GL42:GL50" si="662">GG42-DK42</f>
        <v>-1051445</v>
      </c>
      <c r="GM42" s="613">
        <f t="shared" ref="GM42:GM50" si="663">GI42-DM42</f>
        <v>392823.62232371792</v>
      </c>
      <c r="GN42" s="133">
        <v>11</v>
      </c>
      <c r="GO42" s="134">
        <v>978108</v>
      </c>
      <c r="GP42" s="134">
        <v>1252627</v>
      </c>
      <c r="GQ42" s="134">
        <v>73578</v>
      </c>
      <c r="GR42" s="134">
        <f t="shared" si="595"/>
        <v>200941</v>
      </c>
      <c r="GS42" s="135">
        <f>GR42/GP42</f>
        <v>0.16041567042703056</v>
      </c>
      <c r="GT42" s="133">
        <v>96033</v>
      </c>
      <c r="GU42" s="134">
        <v>50000</v>
      </c>
      <c r="GV42" s="134">
        <v>0</v>
      </c>
      <c r="GW42" s="134">
        <v>50000</v>
      </c>
      <c r="GX42" s="190">
        <f t="shared" ref="GX42:GX50" si="664">GR42-SUM(GT42:GW42)</f>
        <v>4908</v>
      </c>
      <c r="GY42" s="151">
        <f>GX42/GP42</f>
        <v>3.918165583210325E-3</v>
      </c>
      <c r="GZ42" s="614">
        <v>11</v>
      </c>
      <c r="HA42" s="130">
        <v>1016283</v>
      </c>
      <c r="HB42" s="130">
        <v>1230109</v>
      </c>
      <c r="HC42" s="130">
        <v>23162</v>
      </c>
      <c r="HD42" s="134">
        <f t="shared" si="596"/>
        <v>190664</v>
      </c>
      <c r="HE42" s="151">
        <f>HD42/HB42</f>
        <v>0.15499764655002118</v>
      </c>
      <c r="HF42" s="138">
        <v>21705</v>
      </c>
      <c r="HG42" s="130">
        <v>71612</v>
      </c>
      <c r="HH42" s="130"/>
      <c r="HI42" s="130">
        <v>100000</v>
      </c>
      <c r="HJ42" s="197">
        <f>HD42-SUM(HF42:HI42)</f>
        <v>-2653</v>
      </c>
      <c r="HK42" s="201">
        <f>HJ42/HB42</f>
        <v>-2.1567194451873775E-3</v>
      </c>
      <c r="HL42" s="1365">
        <v>5</v>
      </c>
      <c r="HM42" s="657">
        <f>452996+7188</f>
        <v>460184</v>
      </c>
      <c r="HN42" s="148">
        <v>527763</v>
      </c>
      <c r="HO42" s="134">
        <v>241789</v>
      </c>
      <c r="HP42" s="615">
        <f t="shared" si="597"/>
        <v>-174210</v>
      </c>
      <c r="HQ42" s="201">
        <f>HP42/HN42</f>
        <v>-0.33009134782089689</v>
      </c>
      <c r="HR42" s="133">
        <v>0</v>
      </c>
      <c r="HS42" s="134">
        <v>100000</v>
      </c>
      <c r="HT42" s="134"/>
      <c r="HU42" s="134">
        <v>50000</v>
      </c>
      <c r="HV42" s="191">
        <f t="shared" si="598"/>
        <v>-324210</v>
      </c>
      <c r="HW42" s="151">
        <f>HV42/HN42</f>
        <v>-0.61430983225425051</v>
      </c>
      <c r="HX42" s="414">
        <v>5</v>
      </c>
      <c r="HY42" s="241">
        <f t="shared" si="599"/>
        <v>3010499</v>
      </c>
      <c r="HZ42" s="415">
        <f t="shared" si="600"/>
        <v>217395</v>
      </c>
      <c r="IA42" s="241"/>
      <c r="IB42" s="415">
        <f t="shared" si="601"/>
        <v>-321955</v>
      </c>
      <c r="IC42" s="141"/>
      <c r="ID42" s="642">
        <v>5</v>
      </c>
      <c r="IE42" s="141">
        <f t="shared" si="512"/>
        <v>26916244</v>
      </c>
      <c r="IF42" s="141">
        <f t="shared" si="513"/>
        <v>4727209</v>
      </c>
      <c r="IG42" s="74">
        <f t="shared" si="602"/>
        <v>0.17562662160441109</v>
      </c>
      <c r="IH42" s="1507"/>
      <c r="II42" s="69"/>
      <c r="IJ42" s="133">
        <v>4</v>
      </c>
      <c r="IK42" s="656">
        <f>354806+7188</f>
        <v>361994</v>
      </c>
      <c r="IL42" s="134">
        <v>407195</v>
      </c>
      <c r="IM42" s="134">
        <v>41547</v>
      </c>
      <c r="IN42" s="133">
        <f t="shared" si="603"/>
        <v>3654</v>
      </c>
      <c r="IO42" s="151">
        <f>IN42/IL42</f>
        <v>8.9735875931678932E-3</v>
      </c>
      <c r="IP42" s="133">
        <v>0</v>
      </c>
      <c r="IQ42" s="134">
        <v>0</v>
      </c>
      <c r="IR42" s="134">
        <v>0</v>
      </c>
      <c r="IS42" s="190">
        <f t="shared" si="604"/>
        <v>3654</v>
      </c>
      <c r="IT42" s="151">
        <f>IS42/IL42</f>
        <v>8.9735875931678932E-3</v>
      </c>
      <c r="IU42" s="621">
        <v>4</v>
      </c>
      <c r="IV42" s="649">
        <v>354806</v>
      </c>
      <c r="IW42" s="622">
        <v>413718</v>
      </c>
      <c r="IX42" s="134">
        <v>16032</v>
      </c>
      <c r="IY42" s="133">
        <f t="shared" si="605"/>
        <v>42880</v>
      </c>
      <c r="IZ42" s="151">
        <f>IY42/IW42</f>
        <v>0.10364547832098192</v>
      </c>
      <c r="JA42" s="133">
        <v>0</v>
      </c>
      <c r="JB42" s="134">
        <v>0</v>
      </c>
      <c r="JC42" s="134">
        <v>0</v>
      </c>
      <c r="JD42" s="190">
        <f t="shared" si="606"/>
        <v>42880</v>
      </c>
      <c r="JE42" s="151">
        <f>JD42/IW42</f>
        <v>0.10364547832098192</v>
      </c>
      <c r="JF42" s="621">
        <v>2</v>
      </c>
      <c r="JG42" s="649">
        <v>81712</v>
      </c>
      <c r="JH42" s="622">
        <v>95528</v>
      </c>
      <c r="JI42" s="134">
        <v>51969</v>
      </c>
      <c r="JJ42" s="133">
        <f t="shared" si="573"/>
        <v>-38153</v>
      </c>
      <c r="JK42" s="151">
        <f>JJ42/JH42</f>
        <v>-0.39939075454317058</v>
      </c>
      <c r="JL42" s="133">
        <v>0</v>
      </c>
      <c r="JM42" s="134">
        <v>0</v>
      </c>
      <c r="JN42" s="134">
        <v>0</v>
      </c>
      <c r="JO42" s="190">
        <f t="shared" si="574"/>
        <v>-38153</v>
      </c>
      <c r="JP42" s="151">
        <f>JO42/JH42</f>
        <v>-0.39939075454317058</v>
      </c>
      <c r="JQ42" s="621">
        <v>2</v>
      </c>
      <c r="JR42" s="191">
        <f t="shared" si="575"/>
        <v>916441</v>
      </c>
      <c r="JS42" s="191">
        <f t="shared" si="576"/>
        <v>8381</v>
      </c>
      <c r="JT42" s="151">
        <f>JS42/JR42</f>
        <v>9.1451604631394706E-3</v>
      </c>
      <c r="JU42" s="621">
        <v>2</v>
      </c>
      <c r="JV42" s="649">
        <v>81712</v>
      </c>
      <c r="JW42" s="622">
        <v>100195</v>
      </c>
      <c r="JX42" s="134"/>
      <c r="JY42" s="133">
        <f t="shared" si="560"/>
        <v>18483</v>
      </c>
      <c r="JZ42" s="151">
        <f t="shared" si="561"/>
        <v>0.18447028294825091</v>
      </c>
      <c r="KA42" s="133">
        <v>0</v>
      </c>
      <c r="KB42" s="134">
        <v>0</v>
      </c>
      <c r="KC42" s="134">
        <v>0</v>
      </c>
      <c r="KD42" s="190">
        <f t="shared" si="514"/>
        <v>18483</v>
      </c>
      <c r="KE42" s="151">
        <f t="shared" si="562"/>
        <v>0.18447028294825091</v>
      </c>
      <c r="KF42" s="621">
        <v>2</v>
      </c>
      <c r="KG42" s="649">
        <v>81698</v>
      </c>
      <c r="KH42" s="622">
        <v>96963</v>
      </c>
      <c r="KI42" s="134">
        <v>0</v>
      </c>
      <c r="KJ42" s="133">
        <f t="shared" si="563"/>
        <v>15265</v>
      </c>
      <c r="KK42" s="151">
        <f t="shared" si="564"/>
        <v>0.15743118509122037</v>
      </c>
      <c r="KL42" s="133"/>
      <c r="KM42" s="134">
        <v>0</v>
      </c>
      <c r="KN42" s="134">
        <v>0</v>
      </c>
      <c r="KO42" s="190">
        <f t="shared" si="515"/>
        <v>15265</v>
      </c>
      <c r="KP42" s="151">
        <f t="shared" si="565"/>
        <v>0.15743118509122037</v>
      </c>
      <c r="KQ42" s="621">
        <v>1</v>
      </c>
      <c r="KR42" s="649">
        <v>57264</v>
      </c>
      <c r="KS42" s="622">
        <v>70000</v>
      </c>
      <c r="KT42" s="134">
        <v>11242</v>
      </c>
      <c r="KU42" s="133">
        <f t="shared" si="566"/>
        <v>1494</v>
      </c>
      <c r="KV42" s="151">
        <f t="shared" si="567"/>
        <v>2.1342857142857143E-2</v>
      </c>
      <c r="KW42" s="133"/>
      <c r="KX42" s="134">
        <v>0</v>
      </c>
      <c r="KY42" s="134">
        <v>0</v>
      </c>
      <c r="KZ42" s="190">
        <f t="shared" si="516"/>
        <v>1494</v>
      </c>
      <c r="LA42" s="151">
        <f>KZ42/KS42</f>
        <v>2.1342857142857143E-2</v>
      </c>
      <c r="LB42" s="402">
        <v>1</v>
      </c>
      <c r="LC42" s="191">
        <f t="shared" si="517"/>
        <v>267158</v>
      </c>
      <c r="LD42" s="191">
        <f t="shared" si="518"/>
        <v>35242</v>
      </c>
      <c r="LE42" s="151">
        <f t="shared" si="568"/>
        <v>0.13191444763024129</v>
      </c>
      <c r="LF42" s="226">
        <f t="shared" si="519"/>
        <v>-1</v>
      </c>
      <c r="LG42" s="128">
        <f t="shared" si="520"/>
        <v>-649283</v>
      </c>
      <c r="LH42" s="139">
        <f t="shared" si="521"/>
        <v>26861</v>
      </c>
      <c r="LI42" s="442">
        <f t="shared" si="607"/>
        <v>-0.5</v>
      </c>
      <c r="LJ42" s="442">
        <f t="shared" si="607"/>
        <v>-0.70848314294100767</v>
      </c>
      <c r="LK42" s="106">
        <f t="shared" si="607"/>
        <v>3.204987471662093</v>
      </c>
      <c r="LL42" s="621">
        <v>1</v>
      </c>
      <c r="LM42" s="649">
        <v>57264</v>
      </c>
      <c r="LN42" s="622">
        <v>64354.84</v>
      </c>
      <c r="LO42" s="134"/>
      <c r="LP42" s="133">
        <f t="shared" si="522"/>
        <v>7090.8399999999965</v>
      </c>
      <c r="LQ42" s="151">
        <f>LP42/LN42</f>
        <v>0.1101834764875493</v>
      </c>
      <c r="LR42" s="133"/>
      <c r="LS42" s="134">
        <v>25000</v>
      </c>
      <c r="LT42" s="134">
        <v>0</v>
      </c>
      <c r="LU42" s="190">
        <f t="shared" si="523"/>
        <v>-17909.160000000003</v>
      </c>
      <c r="LV42" s="151">
        <f>LU42/LN42</f>
        <v>-0.27828769366841721</v>
      </c>
      <c r="LW42" s="134">
        <v>1</v>
      </c>
      <c r="LX42" s="134">
        <v>57264</v>
      </c>
      <c r="LY42" s="134">
        <v>67666</v>
      </c>
      <c r="LZ42" s="134"/>
      <c r="MA42" s="133">
        <f t="shared" si="524"/>
        <v>10402</v>
      </c>
      <c r="MB42" s="151">
        <f>MA42/LY42</f>
        <v>0.15372565246948247</v>
      </c>
      <c r="MC42" s="134"/>
      <c r="MD42" s="134">
        <v>25000</v>
      </c>
      <c r="ME42" s="134">
        <v>0</v>
      </c>
      <c r="MF42" s="190">
        <f t="shared" si="525"/>
        <v>-14598</v>
      </c>
      <c r="MG42" s="151">
        <f>MF42/LY42</f>
        <v>-0.21573611562675493</v>
      </c>
      <c r="MH42" s="134">
        <v>1</v>
      </c>
      <c r="MI42" s="134">
        <v>57264</v>
      </c>
      <c r="MJ42" s="134">
        <v>54193.55</v>
      </c>
      <c r="MK42" s="134"/>
      <c r="ML42" s="133">
        <f t="shared" si="526"/>
        <v>-3070.4499999999971</v>
      </c>
      <c r="MM42" s="151">
        <f>ML42/MJ42</f>
        <v>-5.6657111409014485E-2</v>
      </c>
      <c r="MN42" s="134">
        <v>0</v>
      </c>
      <c r="MO42" s="134">
        <v>0</v>
      </c>
      <c r="MP42" s="134">
        <v>0</v>
      </c>
      <c r="MQ42" s="190">
        <f t="shared" si="527"/>
        <v>-3070.4499999999971</v>
      </c>
      <c r="MR42" s="151">
        <f>MQ42/MJ42</f>
        <v>-5.6657111409014485E-2</v>
      </c>
      <c r="MS42" s="1472">
        <v>1</v>
      </c>
      <c r="MT42" s="118">
        <f t="shared" si="528"/>
        <v>186214.39</v>
      </c>
      <c r="MU42" s="118">
        <f t="shared" si="529"/>
        <v>14422.39</v>
      </c>
      <c r="MV42" s="135">
        <f>MU42/MT42</f>
        <v>7.7450459118653489E-2</v>
      </c>
      <c r="MW42" s="133">
        <f t="shared" si="530"/>
        <v>0</v>
      </c>
      <c r="MX42" s="134">
        <f t="shared" si="531"/>
        <v>-80943.609999999986</v>
      </c>
      <c r="MY42" s="134">
        <f t="shared" si="532"/>
        <v>-20819.61</v>
      </c>
      <c r="MZ42" s="135">
        <f>MW42/LB42</f>
        <v>0</v>
      </c>
      <c r="NA42" s="135">
        <f t="shared" si="577"/>
        <v>-0.3029802963040597</v>
      </c>
      <c r="NB42" s="151">
        <f t="shared" si="577"/>
        <v>-0.59076130753078715</v>
      </c>
      <c r="NC42" s="134">
        <v>1</v>
      </c>
      <c r="ND42" s="134">
        <v>57264</v>
      </c>
      <c r="NE42" s="134">
        <v>70000</v>
      </c>
      <c r="NF42" s="134"/>
      <c r="NG42" s="133">
        <f t="shared" si="534"/>
        <v>12736</v>
      </c>
      <c r="NH42" s="151">
        <f>NG42/NE42</f>
        <v>0.18194285714285716</v>
      </c>
      <c r="NI42" s="134"/>
      <c r="NJ42" s="134">
        <v>0</v>
      </c>
      <c r="NK42" s="134">
        <v>0</v>
      </c>
      <c r="NL42" s="190">
        <f t="shared" si="535"/>
        <v>12736</v>
      </c>
      <c r="NM42" s="135">
        <f>NL42/NE42</f>
        <v>0.18194285714285716</v>
      </c>
      <c r="NN42" s="1563">
        <v>1</v>
      </c>
      <c r="NO42" s="134">
        <v>57264</v>
      </c>
      <c r="NP42" s="134">
        <v>70000</v>
      </c>
      <c r="NQ42" s="134">
        <v>0</v>
      </c>
      <c r="NR42" s="133">
        <f t="shared" si="536"/>
        <v>12736</v>
      </c>
      <c r="NS42" s="151">
        <f>NR42/NP42</f>
        <v>0.18194285714285716</v>
      </c>
      <c r="NT42" s="134">
        <v>0</v>
      </c>
      <c r="NU42" s="134">
        <v>0</v>
      </c>
      <c r="NV42" s="134">
        <v>15000</v>
      </c>
      <c r="NW42" s="190">
        <f t="shared" si="537"/>
        <v>-2264</v>
      </c>
      <c r="NX42" s="135">
        <f>NW42/NP42</f>
        <v>-3.2342857142857145E-2</v>
      </c>
      <c r="NY42" s="1563">
        <v>1</v>
      </c>
      <c r="NZ42" s="134">
        <v>57264</v>
      </c>
      <c r="OA42" s="134">
        <v>62096</v>
      </c>
      <c r="OB42" s="134">
        <v>0</v>
      </c>
      <c r="OC42" s="133">
        <f t="shared" si="538"/>
        <v>4832</v>
      </c>
      <c r="OD42" s="151">
        <f>OC42/OA42</f>
        <v>7.7814996135016745E-2</v>
      </c>
      <c r="OE42" s="134">
        <v>0</v>
      </c>
      <c r="OF42" s="134">
        <v>0</v>
      </c>
      <c r="OG42" s="134">
        <v>15000</v>
      </c>
      <c r="OH42" s="190">
        <f t="shared" si="539"/>
        <v>-10168</v>
      </c>
      <c r="OI42" s="5380">
        <f>OH42/OA42</f>
        <v>-0.1637464570986859</v>
      </c>
      <c r="OJ42" s="69">
        <v>1</v>
      </c>
      <c r="OK42" s="155">
        <f t="shared" si="540"/>
        <v>1558093.3900000001</v>
      </c>
      <c r="OL42" s="155">
        <f t="shared" si="541"/>
        <v>178471.39</v>
      </c>
      <c r="OM42" s="74">
        <f t="shared" si="542"/>
        <v>0.11454473213572904</v>
      </c>
      <c r="ON42" s="155">
        <f t="shared" si="543"/>
        <v>46502.39</v>
      </c>
      <c r="OO42" s="70"/>
      <c r="OP42" s="69"/>
      <c r="OQ42" s="2008">
        <v>1</v>
      </c>
      <c r="OR42" s="208">
        <v>57264</v>
      </c>
      <c r="OS42" s="208">
        <v>67666.67</v>
      </c>
      <c r="OT42" s="134"/>
      <c r="OU42" s="133">
        <f t="shared" si="544"/>
        <v>10402.669999999998</v>
      </c>
      <c r="OV42" s="94">
        <f>OU42/OS42</f>
        <v>0.15373403183576195</v>
      </c>
      <c r="OW42" s="133">
        <v>0</v>
      </c>
      <c r="OX42" s="134">
        <v>0</v>
      </c>
      <c r="OY42" s="134">
        <v>0</v>
      </c>
      <c r="OZ42" s="190">
        <f t="shared" si="545"/>
        <v>10402.669999999998</v>
      </c>
      <c r="PA42" s="5361">
        <f>OZ42/OS42</f>
        <v>0.15373403183576195</v>
      </c>
      <c r="PB42" s="5321">
        <v>1</v>
      </c>
      <c r="PC42" s="649">
        <v>57264</v>
      </c>
      <c r="PD42" s="622">
        <v>70000</v>
      </c>
      <c r="PE42" s="134">
        <v>0</v>
      </c>
      <c r="PF42" s="133">
        <f t="shared" si="608"/>
        <v>12736</v>
      </c>
      <c r="PG42" s="94">
        <f>PF42/PD42</f>
        <v>0.18194285714285716</v>
      </c>
      <c r="PH42" s="134">
        <v>0</v>
      </c>
      <c r="PI42" s="134">
        <v>0</v>
      </c>
      <c r="PJ42" s="134">
        <v>12000</v>
      </c>
      <c r="PK42" s="190">
        <f t="shared" si="546"/>
        <v>736</v>
      </c>
      <c r="PL42" s="135">
        <f>PK42/PD42</f>
        <v>1.0514285714285714E-2</v>
      </c>
      <c r="PM42" s="5391"/>
      <c r="PN42" s="148">
        <v>0</v>
      </c>
      <c r="PO42" s="148">
        <v>0</v>
      </c>
      <c r="PP42" s="622">
        <v>11985</v>
      </c>
      <c r="PQ42" s="6293">
        <f t="shared" si="610"/>
        <v>-11985</v>
      </c>
      <c r="PR42" s="6295">
        <v>0</v>
      </c>
      <c r="PS42" s="134">
        <v>0</v>
      </c>
      <c r="PT42" s="134">
        <v>0</v>
      </c>
      <c r="PU42" s="134">
        <v>0</v>
      </c>
      <c r="PV42" s="190">
        <f t="shared" si="265"/>
        <v>-11985</v>
      </c>
      <c r="PW42" s="5380">
        <v>0</v>
      </c>
      <c r="PX42" s="5321"/>
      <c r="PY42" s="191">
        <f t="shared" si="578"/>
        <v>137666.66999999998</v>
      </c>
      <c r="PZ42" s="191">
        <f t="shared" si="579"/>
        <v>11153.669999999998</v>
      </c>
      <c r="QA42" s="135">
        <f>PZ42/PY42</f>
        <v>8.1019392711394841E-2</v>
      </c>
      <c r="QB42" s="3863"/>
      <c r="QC42" s="358"/>
      <c r="QD42" s="358"/>
      <c r="QE42" s="134"/>
      <c r="QF42" s="6293">
        <f t="shared" si="270"/>
        <v>0</v>
      </c>
      <c r="QG42" s="6296"/>
      <c r="QH42" s="134">
        <v>0</v>
      </c>
      <c r="QI42" s="134">
        <v>0</v>
      </c>
      <c r="QJ42" s="134">
        <v>0</v>
      </c>
      <c r="QK42" s="190">
        <f>QF42-SUM(QH42:QJ42)</f>
        <v>0</v>
      </c>
      <c r="QL42" s="5381">
        <v>0</v>
      </c>
      <c r="QM42" s="3863"/>
      <c r="QN42" s="358"/>
      <c r="QO42" s="622"/>
      <c r="QP42" s="134"/>
      <c r="QQ42" s="133">
        <f>QO42-(QN42+QP42)</f>
        <v>0</v>
      </c>
      <c r="QR42" s="196">
        <v>0</v>
      </c>
      <c r="QS42" s="133"/>
      <c r="QT42" s="134">
        <v>0</v>
      </c>
      <c r="QU42" s="134">
        <v>0</v>
      </c>
      <c r="QV42" s="190">
        <f t="shared" si="547"/>
        <v>0</v>
      </c>
      <c r="QW42" s="5381">
        <v>0</v>
      </c>
      <c r="QX42" s="3863"/>
      <c r="QY42" s="134">
        <v>0</v>
      </c>
      <c r="QZ42" s="134">
        <v>0</v>
      </c>
      <c r="RA42" s="134">
        <v>0</v>
      </c>
      <c r="RB42" s="133">
        <f t="shared" si="569"/>
        <v>0</v>
      </c>
      <c r="RC42" s="151"/>
      <c r="RD42" s="133">
        <v>0</v>
      </c>
      <c r="RE42" s="134">
        <v>0</v>
      </c>
      <c r="RF42" s="134">
        <v>0</v>
      </c>
      <c r="RG42" s="190">
        <f t="shared" si="570"/>
        <v>0</v>
      </c>
      <c r="RH42" s="5381">
        <v>0</v>
      </c>
      <c r="RI42" s="5376"/>
      <c r="RJ42" s="191">
        <f t="shared" si="548"/>
        <v>0</v>
      </c>
      <c r="RK42" s="191">
        <f t="shared" si="549"/>
        <v>0</v>
      </c>
      <c r="RL42" s="5380"/>
      <c r="RM42" s="1562">
        <f t="shared" si="550"/>
        <v>0</v>
      </c>
      <c r="RN42" s="128">
        <f t="shared" si="551"/>
        <v>-137666.66999999998</v>
      </c>
      <c r="RO42" s="139">
        <f t="shared" si="552"/>
        <v>-11153.669999999998</v>
      </c>
      <c r="RP42" s="442" t="e">
        <f t="shared" si="609"/>
        <v>#DIV/0!</v>
      </c>
      <c r="RQ42" s="442">
        <f t="shared" si="609"/>
        <v>-1</v>
      </c>
      <c r="RR42" s="6339">
        <f t="shared" si="609"/>
        <v>-1</v>
      </c>
      <c r="RS42" s="6328"/>
      <c r="RT42" s="130">
        <v>0</v>
      </c>
      <c r="RU42" s="130">
        <v>0</v>
      </c>
      <c r="RV42" s="3546">
        <v>0</v>
      </c>
      <c r="RW42" s="133">
        <f t="shared" si="571"/>
        <v>0</v>
      </c>
      <c r="RX42" s="151"/>
      <c r="RY42" s="133">
        <v>0</v>
      </c>
      <c r="RZ42" s="134">
        <v>0</v>
      </c>
      <c r="SA42" s="134">
        <v>0</v>
      </c>
      <c r="SB42" s="190">
        <f t="shared" si="553"/>
        <v>0</v>
      </c>
      <c r="SC42" s="5380"/>
      <c r="SD42" s="5405"/>
      <c r="SE42" s="130"/>
      <c r="SF42" s="130"/>
      <c r="SG42" s="606"/>
      <c r="SH42" s="6361">
        <f t="shared" si="572"/>
        <v>0</v>
      </c>
      <c r="SI42" s="6377">
        <v>0</v>
      </c>
      <c r="SJ42" s="134"/>
      <c r="SK42" s="134"/>
      <c r="SL42" s="134"/>
      <c r="SM42" s="188">
        <f t="shared" si="289"/>
        <v>0</v>
      </c>
      <c r="SN42" s="5409">
        <v>0</v>
      </c>
      <c r="SO42" s="134"/>
      <c r="SP42" s="134"/>
      <c r="SQ42" s="134"/>
      <c r="SR42" s="134"/>
      <c r="SS42" s="6361">
        <f t="shared" si="510"/>
        <v>0</v>
      </c>
      <c r="ST42" s="6363"/>
      <c r="SU42" s="134">
        <v>0</v>
      </c>
      <c r="SV42" s="134"/>
      <c r="SW42" s="134">
        <v>0</v>
      </c>
      <c r="SX42" s="190">
        <f t="shared" si="511"/>
        <v>0</v>
      </c>
      <c r="SY42" s="5380"/>
      <c r="SZ42" s="6270"/>
      <c r="TA42" s="118">
        <f t="shared" si="554"/>
        <v>0</v>
      </c>
      <c r="TB42" s="118">
        <f t="shared" si="555"/>
        <v>0</v>
      </c>
      <c r="TC42" s="5381">
        <v>0</v>
      </c>
      <c r="TD42" s="1563"/>
      <c r="TE42" s="134"/>
      <c r="TF42" s="134"/>
      <c r="TG42" s="134"/>
      <c r="TH42" s="133">
        <f t="shared" si="556"/>
        <v>0</v>
      </c>
      <c r="TI42" s="196">
        <v>0</v>
      </c>
      <c r="TJ42" s="134">
        <v>0</v>
      </c>
      <c r="TK42" s="134">
        <v>0</v>
      </c>
      <c r="TL42" s="134">
        <v>0</v>
      </c>
      <c r="TM42" s="190">
        <f>TH42-SUM(TJ42:TL42)</f>
        <v>0</v>
      </c>
      <c r="TN42" s="5381">
        <v>0</v>
      </c>
      <c r="TO42" s="134"/>
      <c r="TP42" s="134"/>
      <c r="TQ42" s="134"/>
      <c r="TR42" s="134"/>
      <c r="TS42" s="133">
        <f t="shared" si="558"/>
        <v>0</v>
      </c>
      <c r="TT42" s="151" t="e">
        <f>TS42/TQ42</f>
        <v>#DIV/0!</v>
      </c>
      <c r="TU42" s="134">
        <v>0</v>
      </c>
      <c r="TV42" s="134"/>
      <c r="TW42" s="134"/>
      <c r="TX42" s="190">
        <f>TS42-SUM(TU42:TW42)</f>
        <v>0</v>
      </c>
      <c r="TY42" s="135" t="e">
        <f>TX42/TQ42</f>
        <v>#DIV/0!</v>
      </c>
      <c r="TZ42" s="1563"/>
      <c r="UA42" s="134"/>
      <c r="UB42" s="134"/>
      <c r="UC42" s="134"/>
      <c r="UD42" s="133">
        <f t="shared" si="559"/>
        <v>0</v>
      </c>
      <c r="UE42" s="151" t="e">
        <f>UD42/UB42</f>
        <v>#DIV/0!</v>
      </c>
      <c r="UF42" s="134"/>
      <c r="UG42" s="134"/>
      <c r="UH42" s="134"/>
      <c r="UI42" s="190">
        <f>UD42-SUM(UF42:UH42)</f>
        <v>0</v>
      </c>
      <c r="UJ42" s="5380" t="e">
        <f>UI42/UB42</f>
        <v>#DIV/0!</v>
      </c>
      <c r="UK42" s="5376"/>
      <c r="UL42" s="191">
        <f t="shared" si="284"/>
        <v>137666.66999999998</v>
      </c>
      <c r="UM42" s="191">
        <f t="shared" si="285"/>
        <v>11153.669999999998</v>
      </c>
      <c r="UN42" s="135">
        <f>UM42/UL42</f>
        <v>8.1019392711394841E-2</v>
      </c>
      <c r="UO42" s="191">
        <f t="shared" si="286"/>
        <v>-846.33000000000175</v>
      </c>
      <c r="UP42" s="5380">
        <f t="shared" si="291"/>
        <v>-6.1476753959400767E-3</v>
      </c>
    </row>
    <row r="43" spans="1:562" x14ac:dyDescent="0.3">
      <c r="A43" s="5316"/>
      <c r="B43" s="5360" t="s">
        <v>380</v>
      </c>
      <c r="C43" s="578" t="s">
        <v>141</v>
      </c>
      <c r="D43" s="578" t="s">
        <v>140</v>
      </c>
      <c r="E43" s="6278" t="s">
        <v>254</v>
      </c>
      <c r="F43" s="579">
        <v>12.666666666666666</v>
      </c>
      <c r="G43" s="161">
        <v>2410410</v>
      </c>
      <c r="H43" s="161">
        <v>3454770</v>
      </c>
      <c r="I43" s="161">
        <v>993068</v>
      </c>
      <c r="J43" s="351">
        <f>I43/H43</f>
        <v>0.28744836848762723</v>
      </c>
      <c r="K43" s="580">
        <v>8</v>
      </c>
      <c r="L43" s="161">
        <v>1600329</v>
      </c>
      <c r="M43" s="161">
        <v>2273086</v>
      </c>
      <c r="N43" s="161">
        <v>628255</v>
      </c>
      <c r="O43" s="422"/>
      <c r="P43" s="580">
        <v>5</v>
      </c>
      <c r="Q43" s="161">
        <v>1068566</v>
      </c>
      <c r="R43" s="161">
        <v>1533798</v>
      </c>
      <c r="S43" s="161">
        <v>292657</v>
      </c>
      <c r="T43" s="94"/>
      <c r="U43" s="136"/>
      <c r="V43" s="422"/>
      <c r="W43" s="422"/>
      <c r="X43" s="422"/>
      <c r="Y43" s="422"/>
      <c r="Z43" s="581"/>
      <c r="AA43" s="422"/>
      <c r="AB43" s="422"/>
      <c r="AC43" s="422"/>
      <c r="AD43" s="422"/>
      <c r="AE43" s="582">
        <f t="shared" si="580"/>
        <v>0</v>
      </c>
      <c r="AF43" s="422"/>
      <c r="AG43" s="113">
        <v>3</v>
      </c>
      <c r="AH43" s="616">
        <v>191826</v>
      </c>
      <c r="AI43" s="616">
        <v>270116</v>
      </c>
      <c r="AJ43" s="616"/>
      <c r="AK43" s="105">
        <f t="shared" si="581"/>
        <v>78290</v>
      </c>
      <c r="AL43" s="116">
        <f t="shared" si="611"/>
        <v>0.28983843978142726</v>
      </c>
      <c r="AM43" s="585">
        <v>55003</v>
      </c>
      <c r="AN43" s="417">
        <v>131298</v>
      </c>
      <c r="AO43" s="417"/>
      <c r="AP43" s="130">
        <v>49383.651724137926</v>
      </c>
      <c r="AQ43" s="417">
        <f t="shared" si="612"/>
        <v>-157394.65172413792</v>
      </c>
      <c r="AR43" s="116">
        <f t="shared" si="613"/>
        <v>-2.0104055655145987</v>
      </c>
      <c r="AS43" s="113">
        <v>3</v>
      </c>
      <c r="AT43" s="213">
        <v>667578</v>
      </c>
      <c r="AU43" s="417">
        <v>941990</v>
      </c>
      <c r="AV43" s="417">
        <v>262835</v>
      </c>
      <c r="AW43" s="116">
        <f t="shared" si="614"/>
        <v>0.27902100871559143</v>
      </c>
      <c r="AX43" s="586">
        <v>3</v>
      </c>
      <c r="AY43" s="587">
        <f t="shared" si="582"/>
        <v>5746883</v>
      </c>
      <c r="AZ43" s="587">
        <f t="shared" si="583"/>
        <v>8203644</v>
      </c>
      <c r="BA43" s="587">
        <f t="shared" si="584"/>
        <v>2176815</v>
      </c>
      <c r="BB43" s="588">
        <f t="shared" si="615"/>
        <v>0.26534732613945705</v>
      </c>
      <c r="BC43" s="1512">
        <v>2</v>
      </c>
      <c r="BD43" s="582">
        <v>94708</v>
      </c>
      <c r="BE43" s="582">
        <v>127767</v>
      </c>
      <c r="BF43" s="582">
        <v>0</v>
      </c>
      <c r="BG43" s="582">
        <f t="shared" si="585"/>
        <v>33059</v>
      </c>
      <c r="BH43" s="589"/>
      <c r="BI43" s="1512">
        <v>2</v>
      </c>
      <c r="BJ43" s="582">
        <v>94708</v>
      </c>
      <c r="BK43" s="582">
        <v>130600</v>
      </c>
      <c r="BL43" s="582"/>
      <c r="BM43" s="582">
        <f t="shared" si="586"/>
        <v>35892</v>
      </c>
      <c r="BN43" s="589"/>
      <c r="BO43" s="590">
        <v>1</v>
      </c>
      <c r="BP43" s="582">
        <v>60457</v>
      </c>
      <c r="BQ43" s="582">
        <v>76500</v>
      </c>
      <c r="BR43" s="582">
        <v>75447</v>
      </c>
      <c r="BS43" s="582">
        <f t="shared" si="587"/>
        <v>-59404</v>
      </c>
      <c r="BT43" s="591">
        <f>BS43/BQ43</f>
        <v>-0.77652287581699342</v>
      </c>
      <c r="BU43" s="590">
        <v>1</v>
      </c>
      <c r="BV43" s="592">
        <f t="shared" si="588"/>
        <v>334867</v>
      </c>
      <c r="BW43" s="592">
        <f t="shared" si="589"/>
        <v>9547</v>
      </c>
      <c r="BX43" s="593">
        <f>BW43/BV43</f>
        <v>2.850982628924319E-2</v>
      </c>
      <c r="BY43" s="594">
        <v>2</v>
      </c>
      <c r="BZ43" s="650">
        <v>63611</v>
      </c>
      <c r="CA43" s="650">
        <v>85323</v>
      </c>
      <c r="CB43" s="650">
        <v>62987</v>
      </c>
      <c r="CC43" s="596">
        <f t="shared" si="616"/>
        <v>-41275</v>
      </c>
      <c r="CD43" s="597">
        <f>CC43/CA43</f>
        <v>-0.48374998534978847</v>
      </c>
      <c r="CE43" s="598">
        <v>0</v>
      </c>
      <c r="CF43" s="599"/>
      <c r="CG43" s="599"/>
      <c r="CH43" s="599"/>
      <c r="CI43" s="599">
        <f t="shared" si="617"/>
        <v>-41275</v>
      </c>
      <c r="CJ43" s="597">
        <f>CI43/CA43</f>
        <v>-0.48374998534978847</v>
      </c>
      <c r="CK43" s="600">
        <v>1</v>
      </c>
      <c r="CL43" s="652">
        <f>34374</f>
        <v>34374</v>
      </c>
      <c r="CM43" s="652">
        <v>45000</v>
      </c>
      <c r="CN43" s="652"/>
      <c r="CO43" s="96">
        <f t="shared" si="590"/>
        <v>10626</v>
      </c>
      <c r="CP43" s="602">
        <f>CO43/CM43</f>
        <v>0.23613333333333333</v>
      </c>
      <c r="CQ43" s="603">
        <v>0</v>
      </c>
      <c r="CR43" s="603">
        <v>99658.273076923069</v>
      </c>
      <c r="CS43" s="603"/>
      <c r="CT43" s="603">
        <v>147101.18634615382</v>
      </c>
      <c r="CU43" s="603">
        <f t="shared" si="618"/>
        <v>-236133.45942307689</v>
      </c>
      <c r="CV43" s="604">
        <f>CU43/CM43</f>
        <v>-5.2474102094017088</v>
      </c>
      <c r="CW43" s="129">
        <v>1</v>
      </c>
      <c r="CX43" s="130">
        <v>34374</v>
      </c>
      <c r="CY43" s="130">
        <v>43650</v>
      </c>
      <c r="CZ43" s="130"/>
      <c r="DA43" s="605">
        <f t="shared" si="591"/>
        <v>9276</v>
      </c>
      <c r="DB43" s="114">
        <f>DA43/CY43</f>
        <v>0.2125085910652921</v>
      </c>
      <c r="DC43" s="138"/>
      <c r="DD43" s="606">
        <v>113817.95833333333</v>
      </c>
      <c r="DE43" s="130"/>
      <c r="DF43" s="130">
        <v>0</v>
      </c>
      <c r="DG43" s="128">
        <f t="shared" si="619"/>
        <v>-104541.95833333333</v>
      </c>
      <c r="DH43" s="169">
        <f>DG43/CY43</f>
        <v>-2.3950047728140511</v>
      </c>
      <c r="DI43" s="204">
        <f t="shared" si="620"/>
        <v>1.3333333333333333</v>
      </c>
      <c r="DJ43" s="202">
        <f t="shared" si="621"/>
        <v>173973</v>
      </c>
      <c r="DK43" s="202">
        <f t="shared" si="622"/>
        <v>-21373</v>
      </c>
      <c r="DL43" s="119">
        <f>DK43/DJ43</f>
        <v>-0.12285239663625964</v>
      </c>
      <c r="DM43" s="202">
        <f t="shared" si="623"/>
        <v>-381950.4177564102</v>
      </c>
      <c r="DN43" s="119">
        <f>DM43/DJ43</f>
        <v>-2.1954580179476713</v>
      </c>
      <c r="DO43" s="607">
        <f t="shared" si="624"/>
        <v>-2</v>
      </c>
      <c r="DP43" s="137">
        <f t="shared" si="625"/>
        <v>-157452</v>
      </c>
      <c r="DQ43" s="137">
        <f t="shared" si="626"/>
        <v>-226466</v>
      </c>
      <c r="DR43" s="137">
        <f t="shared" si="627"/>
        <v>-69014</v>
      </c>
      <c r="DS43" s="135">
        <f t="shared" si="628"/>
        <v>-0.66666666666666663</v>
      </c>
      <c r="DT43" s="135">
        <f t="shared" si="629"/>
        <v>-0.58290512224377677</v>
      </c>
      <c r="DU43" s="135">
        <f t="shared" si="630"/>
        <v>-2.8926555115595862</v>
      </c>
      <c r="DV43" s="151">
        <f t="shared" si="631"/>
        <v>0.43847741485498054</v>
      </c>
      <c r="DW43" s="607">
        <f t="shared" si="632"/>
        <v>0</v>
      </c>
      <c r="DX43" s="608">
        <f t="shared" si="633"/>
        <v>-1350</v>
      </c>
      <c r="DY43" s="608">
        <f t="shared" si="634"/>
        <v>-1350</v>
      </c>
      <c r="DZ43" s="608">
        <f t="shared" si="635"/>
        <v>131591.50108974357</v>
      </c>
      <c r="EA43" s="135">
        <f>DW43/CK43</f>
        <v>0</v>
      </c>
      <c r="EB43" s="135">
        <f>DX43/CM43</f>
        <v>-0.03</v>
      </c>
      <c r="EC43" s="135">
        <f>DY43/CO43</f>
        <v>-0.12704686617730096</v>
      </c>
      <c r="ED43" s="151">
        <f>DZ43/CU43</f>
        <v>-0.55727596339480634</v>
      </c>
      <c r="EE43" s="129">
        <v>1</v>
      </c>
      <c r="EF43" s="130">
        <v>34374</v>
      </c>
      <c r="EG43" s="130">
        <v>43548.39</v>
      </c>
      <c r="EH43" s="130">
        <v>0</v>
      </c>
      <c r="EI43" s="605">
        <f t="shared" si="592"/>
        <v>9174.39</v>
      </c>
      <c r="EJ43" s="114">
        <f>EI43/EG43</f>
        <v>0.21067116373303352</v>
      </c>
      <c r="EK43" s="138">
        <v>0</v>
      </c>
      <c r="EL43" s="606">
        <v>0</v>
      </c>
      <c r="EM43" s="130">
        <v>0</v>
      </c>
      <c r="EN43" s="130">
        <v>0</v>
      </c>
      <c r="EO43" s="128">
        <f t="shared" si="636"/>
        <v>9174.39</v>
      </c>
      <c r="EP43" s="114">
        <f>EO43/EG43</f>
        <v>0.21067116373303352</v>
      </c>
      <c r="EQ43" s="129">
        <v>1</v>
      </c>
      <c r="ER43" s="595">
        <v>34374</v>
      </c>
      <c r="ES43" s="595">
        <v>45000</v>
      </c>
      <c r="ET43" s="130">
        <v>0</v>
      </c>
      <c r="EU43" s="134">
        <f t="shared" si="593"/>
        <v>10626</v>
      </c>
      <c r="EV43" s="114">
        <f>EU43/ES43</f>
        <v>0.23613333333333333</v>
      </c>
      <c r="EW43" s="138">
        <v>0</v>
      </c>
      <c r="EX43" s="606">
        <v>0</v>
      </c>
      <c r="EY43" s="130">
        <v>0</v>
      </c>
      <c r="EZ43" s="128">
        <v>0</v>
      </c>
      <c r="FA43" s="128">
        <f t="shared" si="637"/>
        <v>10626</v>
      </c>
      <c r="FB43" s="114">
        <f>FA43/ES43</f>
        <v>0.23613333333333333</v>
      </c>
      <c r="FC43" s="609">
        <f t="shared" si="638"/>
        <v>-2</v>
      </c>
      <c r="FD43" s="610">
        <f t="shared" si="639"/>
        <v>-225116</v>
      </c>
      <c r="FE43" s="610">
        <f t="shared" si="640"/>
        <v>-67664</v>
      </c>
      <c r="FF43" s="610">
        <f t="shared" si="641"/>
        <v>168020.65172413792</v>
      </c>
      <c r="FG43" s="611">
        <f t="shared" si="642"/>
        <v>-0.66666666666666663</v>
      </c>
      <c r="FH43" s="611">
        <f t="shared" si="643"/>
        <v>-0.8334049075212131</v>
      </c>
      <c r="FI43" s="611">
        <f t="shared" si="644"/>
        <v>-0.86427385362115217</v>
      </c>
      <c r="FJ43" s="612">
        <f t="shared" si="645"/>
        <v>-1.0675118238364538</v>
      </c>
      <c r="FK43" s="133">
        <v>1</v>
      </c>
      <c r="FL43" s="134">
        <v>34374</v>
      </c>
      <c r="FM43" s="134">
        <v>40645.160000000003</v>
      </c>
      <c r="FN43" s="134"/>
      <c r="FO43" s="134">
        <f t="shared" si="594"/>
        <v>6271.1600000000035</v>
      </c>
      <c r="FP43" s="135">
        <f>FO43/FM43</f>
        <v>0.15429044934255401</v>
      </c>
      <c r="FQ43" s="133"/>
      <c r="FR43" s="134"/>
      <c r="FS43" s="134"/>
      <c r="FT43" s="191">
        <f t="shared" si="646"/>
        <v>6271.1600000000035</v>
      </c>
      <c r="FU43" s="151">
        <f>FT43/FM43</f>
        <v>0.15429044934255401</v>
      </c>
      <c r="FV43" s="190">
        <f t="shared" si="647"/>
        <v>-2</v>
      </c>
      <c r="FW43" s="191">
        <f t="shared" si="648"/>
        <v>-157452</v>
      </c>
      <c r="FX43" s="191">
        <f t="shared" si="649"/>
        <v>-229470.84</v>
      </c>
      <c r="FY43" s="191">
        <f t="shared" si="650"/>
        <v>-72018.84</v>
      </c>
      <c r="FZ43" s="191">
        <f t="shared" si="651"/>
        <v>163665.81172413792</v>
      </c>
      <c r="GA43" s="135">
        <f t="shared" si="652"/>
        <v>-0.66666666666666663</v>
      </c>
      <c r="GB43" s="135">
        <f t="shared" si="653"/>
        <v>-0.8495270180218869</v>
      </c>
      <c r="GC43" s="135">
        <f t="shared" si="654"/>
        <v>-0.9198983267339379</v>
      </c>
      <c r="GD43" s="151">
        <f t="shared" si="655"/>
        <v>-1.0398435393534928</v>
      </c>
      <c r="GE43" s="187">
        <f t="shared" si="656"/>
        <v>1</v>
      </c>
      <c r="GF43" s="155">
        <f t="shared" si="657"/>
        <v>129193.55</v>
      </c>
      <c r="GG43" s="155">
        <f t="shared" si="658"/>
        <v>26071.550000000003</v>
      </c>
      <c r="GH43" s="74">
        <f>GG43/GF43</f>
        <v>0.20180225715602676</v>
      </c>
      <c r="GI43" s="613">
        <f t="shared" si="659"/>
        <v>26071.550000000003</v>
      </c>
      <c r="GJ43" s="187">
        <f t="shared" si="660"/>
        <v>-0.33333333333333326</v>
      </c>
      <c r="GK43" s="155">
        <f t="shared" si="661"/>
        <v>-44779.45</v>
      </c>
      <c r="GL43" s="155">
        <f t="shared" si="662"/>
        <v>47444.55</v>
      </c>
      <c r="GM43" s="613">
        <f t="shared" si="663"/>
        <v>408021.96775641019</v>
      </c>
      <c r="GN43" s="133">
        <v>1</v>
      </c>
      <c r="GO43" s="134">
        <v>34374</v>
      </c>
      <c r="GP43" s="134">
        <v>45000</v>
      </c>
      <c r="GQ43" s="134">
        <v>0</v>
      </c>
      <c r="GR43" s="134">
        <f t="shared" si="595"/>
        <v>10626</v>
      </c>
      <c r="GS43" s="135">
        <f>GR43/GP43</f>
        <v>0.23613333333333333</v>
      </c>
      <c r="GT43" s="133"/>
      <c r="GU43" s="134"/>
      <c r="GV43" s="134">
        <v>0</v>
      </c>
      <c r="GW43" s="134">
        <v>0</v>
      </c>
      <c r="GX43" s="190">
        <f t="shared" si="664"/>
        <v>10626</v>
      </c>
      <c r="GY43" s="151">
        <f>GX43/GP43</f>
        <v>0.23613333333333333</v>
      </c>
      <c r="GZ43" s="614">
        <v>2</v>
      </c>
      <c r="HA43" s="130">
        <v>34374</v>
      </c>
      <c r="HB43" s="130">
        <v>45000</v>
      </c>
      <c r="HC43" s="130"/>
      <c r="HD43" s="134">
        <f t="shared" si="596"/>
        <v>10626</v>
      </c>
      <c r="HE43" s="151">
        <f>HD43/HB43</f>
        <v>0.23613333333333333</v>
      </c>
      <c r="HF43" s="138">
        <v>0</v>
      </c>
      <c r="HG43" s="130"/>
      <c r="HH43" s="130"/>
      <c r="HI43" s="130"/>
      <c r="HJ43" s="197">
        <f>HD43-SUM(HF43:HI43)</f>
        <v>10626</v>
      </c>
      <c r="HK43" s="201">
        <f>HJ43/HB43</f>
        <v>0.23613333333333333</v>
      </c>
      <c r="HL43" s="1365">
        <v>1</v>
      </c>
      <c r="HM43" s="148">
        <v>34374</v>
      </c>
      <c r="HN43" s="148">
        <v>37742</v>
      </c>
      <c r="HO43" s="134">
        <v>0</v>
      </c>
      <c r="HP43" s="615">
        <f t="shared" si="597"/>
        <v>3368</v>
      </c>
      <c r="HQ43" s="201">
        <f>HP43/HN43</f>
        <v>8.9237454294949919E-2</v>
      </c>
      <c r="HR43" s="133">
        <v>0</v>
      </c>
      <c r="HS43" s="134">
        <v>133984.44000000041</v>
      </c>
      <c r="HT43" s="134"/>
      <c r="HU43" s="134">
        <v>0</v>
      </c>
      <c r="HV43" s="191">
        <f t="shared" si="598"/>
        <v>-130616.44000000041</v>
      </c>
      <c r="HW43" s="151">
        <f>HV43/HN43</f>
        <v>-3.4607715542366702</v>
      </c>
      <c r="HX43" s="414">
        <v>1</v>
      </c>
      <c r="HY43" s="241">
        <f t="shared" si="599"/>
        <v>127742</v>
      </c>
      <c r="HZ43" s="415">
        <f t="shared" si="600"/>
        <v>24620</v>
      </c>
      <c r="IA43" s="241"/>
      <c r="IB43" s="415">
        <f t="shared" si="601"/>
        <v>-109364.44000000041</v>
      </c>
      <c r="IC43" s="141"/>
      <c r="ID43" s="642">
        <v>1</v>
      </c>
      <c r="IE43" s="141">
        <f t="shared" si="512"/>
        <v>765775.55</v>
      </c>
      <c r="IF43" s="141">
        <f t="shared" si="513"/>
        <v>38865.550000000003</v>
      </c>
      <c r="IG43" s="74">
        <f t="shared" si="602"/>
        <v>5.0753187405891978E-2</v>
      </c>
      <c r="IH43" s="1507"/>
      <c r="II43" s="69"/>
      <c r="IJ43" s="133">
        <v>1</v>
      </c>
      <c r="IK43" s="134">
        <v>34374</v>
      </c>
      <c r="IL43" s="134">
        <v>38280</v>
      </c>
      <c r="IM43" s="134">
        <v>0</v>
      </c>
      <c r="IN43" s="133">
        <f t="shared" si="603"/>
        <v>3906</v>
      </c>
      <c r="IO43" s="151">
        <f>IN43/IL43</f>
        <v>0.10203761755485893</v>
      </c>
      <c r="IP43" s="133">
        <v>0</v>
      </c>
      <c r="IQ43" s="134"/>
      <c r="IR43" s="134">
        <v>0</v>
      </c>
      <c r="IS43" s="190">
        <f t="shared" si="604"/>
        <v>3906</v>
      </c>
      <c r="IT43" s="151">
        <f>IS43/IL43</f>
        <v>0.10203761755485893</v>
      </c>
      <c r="IU43" s="390">
        <v>1</v>
      </c>
      <c r="IV43" s="134">
        <v>34374</v>
      </c>
      <c r="IW43" s="134">
        <v>45000</v>
      </c>
      <c r="IX43" s="134">
        <v>0</v>
      </c>
      <c r="IY43" s="133">
        <f t="shared" si="605"/>
        <v>10626</v>
      </c>
      <c r="IZ43" s="151">
        <f>IY43/IW43</f>
        <v>0.23613333333333333</v>
      </c>
      <c r="JA43" s="133">
        <v>0</v>
      </c>
      <c r="JB43" s="134">
        <v>0</v>
      </c>
      <c r="JC43" s="134">
        <v>0</v>
      </c>
      <c r="JD43" s="190">
        <f t="shared" si="606"/>
        <v>10626</v>
      </c>
      <c r="JE43" s="151">
        <f>JD43/IW43</f>
        <v>0.23613333333333333</v>
      </c>
      <c r="JF43" s="390">
        <v>1</v>
      </c>
      <c r="JG43" s="134">
        <v>34375</v>
      </c>
      <c r="JH43" s="134">
        <v>45000</v>
      </c>
      <c r="JI43" s="134">
        <v>0</v>
      </c>
      <c r="JJ43" s="133">
        <f t="shared" si="573"/>
        <v>10625</v>
      </c>
      <c r="JK43" s="151">
        <f>JJ43/JH43</f>
        <v>0.2361111111111111</v>
      </c>
      <c r="JL43" s="133">
        <v>0</v>
      </c>
      <c r="JM43" s="134">
        <v>0</v>
      </c>
      <c r="JN43" s="134">
        <v>0</v>
      </c>
      <c r="JO43" s="190">
        <f t="shared" si="574"/>
        <v>10625</v>
      </c>
      <c r="JP43" s="151">
        <f>JO43/JH43</f>
        <v>0.2361111111111111</v>
      </c>
      <c r="JQ43" s="390">
        <v>1</v>
      </c>
      <c r="JR43" s="191">
        <f t="shared" si="575"/>
        <v>128280</v>
      </c>
      <c r="JS43" s="191">
        <f t="shared" si="576"/>
        <v>25157</v>
      </c>
      <c r="JT43" s="151">
        <f>JS43/JR43</f>
        <v>0.19611007171811662</v>
      </c>
      <c r="JU43" s="390">
        <v>1</v>
      </c>
      <c r="JV43" s="134">
        <v>34374</v>
      </c>
      <c r="JW43" s="134">
        <v>45000</v>
      </c>
      <c r="JX43" s="134"/>
      <c r="JY43" s="133">
        <f t="shared" si="560"/>
        <v>10626</v>
      </c>
      <c r="JZ43" s="151">
        <f t="shared" si="561"/>
        <v>0.23613333333333333</v>
      </c>
      <c r="KA43" s="133">
        <v>0</v>
      </c>
      <c r="KB43" s="134">
        <v>0</v>
      </c>
      <c r="KC43" s="134">
        <v>0</v>
      </c>
      <c r="KD43" s="190">
        <f t="shared" si="514"/>
        <v>10626</v>
      </c>
      <c r="KE43" s="151">
        <f t="shared" si="562"/>
        <v>0.23613333333333333</v>
      </c>
      <c r="KF43" s="390">
        <v>1</v>
      </c>
      <c r="KG43" s="134">
        <v>34374</v>
      </c>
      <c r="KH43" s="134">
        <v>45000</v>
      </c>
      <c r="KI43" s="134">
        <v>0</v>
      </c>
      <c r="KJ43" s="133">
        <f t="shared" si="563"/>
        <v>10626</v>
      </c>
      <c r="KK43" s="151">
        <f t="shared" si="564"/>
        <v>0.23613333333333333</v>
      </c>
      <c r="KL43" s="133"/>
      <c r="KM43" s="134">
        <v>0</v>
      </c>
      <c r="KN43" s="134">
        <v>0</v>
      </c>
      <c r="KO43" s="190">
        <f t="shared" si="515"/>
        <v>10626</v>
      </c>
      <c r="KP43" s="151">
        <f t="shared" si="565"/>
        <v>0.23613333333333333</v>
      </c>
      <c r="KQ43" s="390">
        <v>1</v>
      </c>
      <c r="KR43" s="134">
        <v>34374</v>
      </c>
      <c r="KS43" s="134">
        <v>45000</v>
      </c>
      <c r="KT43" s="134"/>
      <c r="KU43" s="133">
        <f t="shared" si="566"/>
        <v>10626</v>
      </c>
      <c r="KV43" s="151">
        <f t="shared" si="567"/>
        <v>0.23613333333333333</v>
      </c>
      <c r="KW43" s="133"/>
      <c r="KX43" s="134">
        <v>0</v>
      </c>
      <c r="KY43" s="134">
        <v>0</v>
      </c>
      <c r="KZ43" s="190">
        <f t="shared" si="516"/>
        <v>10626</v>
      </c>
      <c r="LA43" s="151">
        <f>KZ43/KS43</f>
        <v>0.23613333333333333</v>
      </c>
      <c r="LB43" s="402">
        <v>1</v>
      </c>
      <c r="LC43" s="191">
        <f t="shared" si="517"/>
        <v>135000</v>
      </c>
      <c r="LD43" s="191">
        <f t="shared" si="518"/>
        <v>31878</v>
      </c>
      <c r="LE43" s="151">
        <f t="shared" si="568"/>
        <v>0.23613333333333333</v>
      </c>
      <c r="LF43" s="226">
        <f t="shared" si="519"/>
        <v>0</v>
      </c>
      <c r="LG43" s="128">
        <f t="shared" si="520"/>
        <v>6720</v>
      </c>
      <c r="LH43" s="139">
        <f t="shared" si="521"/>
        <v>6721</v>
      </c>
      <c r="LI43" s="442">
        <f t="shared" si="607"/>
        <v>0</v>
      </c>
      <c r="LJ43" s="442">
        <f t="shared" si="607"/>
        <v>5.2385406922357346E-2</v>
      </c>
      <c r="LK43" s="106">
        <f t="shared" si="607"/>
        <v>0.26716222125054656</v>
      </c>
      <c r="LL43" s="390">
        <v>1</v>
      </c>
      <c r="LM43" s="134">
        <v>34374</v>
      </c>
      <c r="LN43" s="134">
        <v>37742</v>
      </c>
      <c r="LO43" s="134"/>
      <c r="LP43" s="133">
        <f t="shared" si="522"/>
        <v>3368</v>
      </c>
      <c r="LQ43" s="151">
        <f>LP43/LN43</f>
        <v>8.9237454294949919E-2</v>
      </c>
      <c r="LR43" s="133"/>
      <c r="LS43" s="134">
        <v>0</v>
      </c>
      <c r="LT43" s="134">
        <v>0</v>
      </c>
      <c r="LU43" s="190">
        <f t="shared" si="523"/>
        <v>3368</v>
      </c>
      <c r="LV43" s="151">
        <f>LU43/LN43</f>
        <v>8.9237454294949919E-2</v>
      </c>
      <c r="LW43" s="134">
        <v>1</v>
      </c>
      <c r="LX43" s="134">
        <v>34374</v>
      </c>
      <c r="LY43" s="134">
        <v>42000</v>
      </c>
      <c r="LZ43" s="134"/>
      <c r="MA43" s="133">
        <f t="shared" si="524"/>
        <v>7626</v>
      </c>
      <c r="MB43" s="151">
        <f>MA43/LY43</f>
        <v>0.18157142857142858</v>
      </c>
      <c r="MC43" s="134"/>
      <c r="MD43" s="134">
        <v>25000</v>
      </c>
      <c r="ME43" s="134">
        <v>0</v>
      </c>
      <c r="MF43" s="190">
        <f t="shared" si="525"/>
        <v>-17374</v>
      </c>
      <c r="MG43" s="151">
        <f>MF43/LY43</f>
        <v>-0.41366666666666668</v>
      </c>
      <c r="MH43" s="134">
        <v>1</v>
      </c>
      <c r="MI43" s="134">
        <v>34374</v>
      </c>
      <c r="MJ43" s="134">
        <v>45000</v>
      </c>
      <c r="MK43" s="134"/>
      <c r="ML43" s="133">
        <f t="shared" si="526"/>
        <v>10626</v>
      </c>
      <c r="MM43" s="151">
        <f>ML43/MJ43</f>
        <v>0.23613333333333333</v>
      </c>
      <c r="MN43" s="134">
        <v>0</v>
      </c>
      <c r="MO43" s="134">
        <v>0</v>
      </c>
      <c r="MP43" s="134">
        <v>0</v>
      </c>
      <c r="MQ43" s="190">
        <f t="shared" si="527"/>
        <v>10626</v>
      </c>
      <c r="MR43" s="151">
        <f>MQ43/MJ43</f>
        <v>0.23613333333333333</v>
      </c>
      <c r="MS43" s="1472">
        <v>1</v>
      </c>
      <c r="MT43" s="118">
        <f t="shared" si="528"/>
        <v>124742</v>
      </c>
      <c r="MU43" s="118">
        <f t="shared" si="529"/>
        <v>21620</v>
      </c>
      <c r="MV43" s="135">
        <f>MU43/MT43</f>
        <v>0.17331772779015889</v>
      </c>
      <c r="MW43" s="133">
        <f t="shared" si="530"/>
        <v>0</v>
      </c>
      <c r="MX43" s="134">
        <f t="shared" si="531"/>
        <v>-10258</v>
      </c>
      <c r="MY43" s="134">
        <f t="shared" si="532"/>
        <v>-10258</v>
      </c>
      <c r="MZ43" s="135">
        <f>MW43/LB43</f>
        <v>0</v>
      </c>
      <c r="NA43" s="135">
        <f t="shared" si="577"/>
        <v>-7.5985185185185183E-2</v>
      </c>
      <c r="NB43" s="151">
        <f t="shared" si="577"/>
        <v>-0.32178932178932179</v>
      </c>
      <c r="NC43" s="134">
        <v>1</v>
      </c>
      <c r="ND43" s="134">
        <v>34374</v>
      </c>
      <c r="NE43" s="134">
        <v>45000</v>
      </c>
      <c r="NF43" s="134"/>
      <c r="NG43" s="133">
        <f t="shared" si="534"/>
        <v>10626</v>
      </c>
      <c r="NH43" s="151">
        <f>NG43/NE43</f>
        <v>0.23613333333333333</v>
      </c>
      <c r="NI43" s="134"/>
      <c r="NJ43" s="134">
        <v>8055</v>
      </c>
      <c r="NK43" s="134">
        <v>0</v>
      </c>
      <c r="NL43" s="190">
        <f t="shared" si="535"/>
        <v>2571</v>
      </c>
      <c r="NM43" s="135">
        <f>NL43/NE43</f>
        <v>5.7133333333333335E-2</v>
      </c>
      <c r="NN43" s="1563">
        <v>1</v>
      </c>
      <c r="NO43" s="134">
        <v>34374</v>
      </c>
      <c r="NP43" s="134">
        <v>45000</v>
      </c>
      <c r="NQ43" s="134">
        <v>0</v>
      </c>
      <c r="NR43" s="133">
        <f t="shared" si="536"/>
        <v>10626</v>
      </c>
      <c r="NS43" s="151">
        <f>NR43/NP43</f>
        <v>0.23613333333333333</v>
      </c>
      <c r="NT43" s="134">
        <v>0</v>
      </c>
      <c r="NU43" s="134">
        <f>8055+70</f>
        <v>8125</v>
      </c>
      <c r="NV43" s="134">
        <v>0</v>
      </c>
      <c r="NW43" s="190">
        <f t="shared" si="537"/>
        <v>2501</v>
      </c>
      <c r="NX43" s="135">
        <f>NW43/NP43</f>
        <v>5.5577777777777775E-2</v>
      </c>
      <c r="NY43" s="1563">
        <v>1</v>
      </c>
      <c r="NZ43" s="134">
        <v>34374</v>
      </c>
      <c r="OA43" s="134">
        <v>45000</v>
      </c>
      <c r="OB43" s="134">
        <v>0</v>
      </c>
      <c r="OC43" s="133">
        <f t="shared" si="538"/>
        <v>10626</v>
      </c>
      <c r="OD43" s="151">
        <f>OC43/OA43</f>
        <v>0.23613333333333333</v>
      </c>
      <c r="OE43" s="134">
        <v>0</v>
      </c>
      <c r="OF43" s="134">
        <f>8055+70</f>
        <v>8125</v>
      </c>
      <c r="OG43" s="134">
        <v>0</v>
      </c>
      <c r="OH43" s="190">
        <f t="shared" si="539"/>
        <v>2501</v>
      </c>
      <c r="OI43" s="5380">
        <f>OH43/OA43</f>
        <v>5.5577777777777775E-2</v>
      </c>
      <c r="OJ43" s="69">
        <v>1</v>
      </c>
      <c r="OK43" s="155">
        <f t="shared" si="540"/>
        <v>512397</v>
      </c>
      <c r="OL43" s="155">
        <f t="shared" si="541"/>
        <v>99908</v>
      </c>
      <c r="OM43" s="74">
        <f t="shared" si="542"/>
        <v>0.19498162557548152</v>
      </c>
      <c r="ON43" s="155">
        <f t="shared" si="543"/>
        <v>50603</v>
      </c>
      <c r="OO43" s="70"/>
      <c r="OP43" s="69"/>
      <c r="OQ43" s="1563"/>
      <c r="OR43" s="134"/>
      <c r="OS43" s="134"/>
      <c r="OT43" s="134">
        <v>8106</v>
      </c>
      <c r="OU43" s="133">
        <f t="shared" si="544"/>
        <v>-8106</v>
      </c>
      <c r="OV43" s="4271">
        <v>0</v>
      </c>
      <c r="OW43" s="133"/>
      <c r="OX43" s="134">
        <v>0</v>
      </c>
      <c r="OY43" s="134">
        <v>0</v>
      </c>
      <c r="OZ43" s="190">
        <f t="shared" si="545"/>
        <v>-8106</v>
      </c>
      <c r="PA43" s="5361">
        <v>0</v>
      </c>
      <c r="PB43" s="5320"/>
      <c r="PC43" s="134">
        <v>0</v>
      </c>
      <c r="PD43" s="134">
        <v>0</v>
      </c>
      <c r="PE43" s="134">
        <v>0</v>
      </c>
      <c r="PF43" s="133">
        <f t="shared" si="608"/>
        <v>0</v>
      </c>
      <c r="PG43" s="4271">
        <v>0</v>
      </c>
      <c r="PH43" s="134">
        <v>0</v>
      </c>
      <c r="PI43" s="134">
        <v>0</v>
      </c>
      <c r="PJ43" s="134">
        <v>0</v>
      </c>
      <c r="PK43" s="190">
        <f t="shared" si="546"/>
        <v>0</v>
      </c>
      <c r="PL43" s="135"/>
      <c r="PM43" s="5379"/>
      <c r="PN43" s="134">
        <v>0</v>
      </c>
      <c r="PO43" s="134">
        <v>0</v>
      </c>
      <c r="PP43" s="134">
        <v>0</v>
      </c>
      <c r="PQ43" s="6293">
        <f t="shared" si="610"/>
        <v>0</v>
      </c>
      <c r="PR43" s="6295">
        <v>0</v>
      </c>
      <c r="PS43" s="134">
        <v>0</v>
      </c>
      <c r="PT43" s="134">
        <v>0</v>
      </c>
      <c r="PU43" s="134">
        <v>0</v>
      </c>
      <c r="PV43" s="190">
        <f t="shared" si="265"/>
        <v>0</v>
      </c>
      <c r="PW43" s="5380">
        <v>0</v>
      </c>
      <c r="PX43" s="5320"/>
      <c r="PY43" s="191">
        <f t="shared" si="578"/>
        <v>0</v>
      </c>
      <c r="PZ43" s="191">
        <f t="shared" si="579"/>
        <v>-8106</v>
      </c>
      <c r="QA43" s="135" t="e">
        <f>PZ43/PY43</f>
        <v>#DIV/0!</v>
      </c>
      <c r="QB43" s="5379"/>
      <c r="QC43" s="134"/>
      <c r="QD43" s="134"/>
      <c r="QE43" s="134"/>
      <c r="QF43" s="6293">
        <f t="shared" si="270"/>
        <v>0</v>
      </c>
      <c r="QG43" s="6296"/>
      <c r="QH43" s="134">
        <v>0</v>
      </c>
      <c r="QI43" s="134">
        <v>0</v>
      </c>
      <c r="QJ43" s="134">
        <v>0</v>
      </c>
      <c r="QK43" s="190">
        <f>QF43-SUM(QH43:QJ43)</f>
        <v>0</v>
      </c>
      <c r="QL43" s="5380"/>
      <c r="QM43" s="5379"/>
      <c r="QN43" s="134"/>
      <c r="QO43" s="134"/>
      <c r="QP43" s="134"/>
      <c r="QQ43" s="133">
        <f>QO43-(QN43+QP43)</f>
        <v>0</v>
      </c>
      <c r="QR43" s="151">
        <v>0</v>
      </c>
      <c r="QS43" s="133"/>
      <c r="QT43" s="134">
        <v>0</v>
      </c>
      <c r="QU43" s="134">
        <v>0</v>
      </c>
      <c r="QV43" s="190">
        <f t="shared" si="547"/>
        <v>0</v>
      </c>
      <c r="QW43" s="5381">
        <v>0</v>
      </c>
      <c r="QX43" s="5379"/>
      <c r="QY43" s="134">
        <v>0</v>
      </c>
      <c r="QZ43" s="134">
        <v>0</v>
      </c>
      <c r="RA43" s="134"/>
      <c r="RB43" s="133">
        <f t="shared" si="569"/>
        <v>0</v>
      </c>
      <c r="RC43" s="151">
        <v>0</v>
      </c>
      <c r="RD43" s="133"/>
      <c r="RE43" s="134">
        <v>0</v>
      </c>
      <c r="RF43" s="134">
        <v>0</v>
      </c>
      <c r="RG43" s="190">
        <f t="shared" si="570"/>
        <v>0</v>
      </c>
      <c r="RH43" s="5381">
        <v>0</v>
      </c>
      <c r="RI43" s="5376"/>
      <c r="RJ43" s="191">
        <f t="shared" si="548"/>
        <v>0</v>
      </c>
      <c r="RK43" s="191">
        <f t="shared" si="549"/>
        <v>0</v>
      </c>
      <c r="RL43" s="5380"/>
      <c r="RM43" s="1562">
        <f t="shared" si="550"/>
        <v>0</v>
      </c>
      <c r="RN43" s="128">
        <f t="shared" si="551"/>
        <v>0</v>
      </c>
      <c r="RO43" s="139">
        <f t="shared" si="552"/>
        <v>8106</v>
      </c>
      <c r="RP43" s="442" t="e">
        <f t="shared" si="609"/>
        <v>#DIV/0!</v>
      </c>
      <c r="RQ43" s="442" t="e">
        <f t="shared" si="609"/>
        <v>#DIV/0!</v>
      </c>
      <c r="RR43" s="6339">
        <f t="shared" si="609"/>
        <v>-1</v>
      </c>
      <c r="RS43" s="6327"/>
      <c r="RT43" s="130">
        <v>0</v>
      </c>
      <c r="RU43" s="130">
        <v>0</v>
      </c>
      <c r="RV43" s="3546">
        <v>0</v>
      </c>
      <c r="RW43" s="133">
        <f t="shared" si="571"/>
        <v>0</v>
      </c>
      <c r="RX43" s="151"/>
      <c r="RY43" s="133">
        <v>0</v>
      </c>
      <c r="RZ43" s="134">
        <v>0</v>
      </c>
      <c r="SA43" s="134">
        <v>0</v>
      </c>
      <c r="SB43" s="190">
        <f t="shared" si="553"/>
        <v>0</v>
      </c>
      <c r="SC43" s="5380"/>
      <c r="SD43" s="5405"/>
      <c r="SE43" s="130"/>
      <c r="SF43" s="130"/>
      <c r="SG43" s="606"/>
      <c r="SH43" s="6361">
        <f t="shared" si="572"/>
        <v>0</v>
      </c>
      <c r="SI43" s="6377">
        <v>0</v>
      </c>
      <c r="SJ43" s="134"/>
      <c r="SK43" s="134"/>
      <c r="SL43" s="134"/>
      <c r="SM43" s="188">
        <f t="shared" si="289"/>
        <v>0</v>
      </c>
      <c r="SN43" s="5409">
        <v>0</v>
      </c>
      <c r="SO43" s="134"/>
      <c r="SP43" s="134"/>
      <c r="SQ43" s="134"/>
      <c r="SR43" s="134"/>
      <c r="SS43" s="6361">
        <f t="shared" si="510"/>
        <v>0</v>
      </c>
      <c r="ST43" s="6363"/>
      <c r="SU43" s="134">
        <v>0</v>
      </c>
      <c r="SV43" s="134"/>
      <c r="SW43" s="134">
        <v>0</v>
      </c>
      <c r="SX43" s="190">
        <f t="shared" si="511"/>
        <v>0</v>
      </c>
      <c r="SY43" s="5380"/>
      <c r="SZ43" s="6270"/>
      <c r="TA43" s="118">
        <f t="shared" si="554"/>
        <v>0</v>
      </c>
      <c r="TB43" s="118">
        <f t="shared" si="555"/>
        <v>0</v>
      </c>
      <c r="TC43" s="5381">
        <v>0</v>
      </c>
      <c r="TD43" s="1563"/>
      <c r="TE43" s="134"/>
      <c r="TF43" s="134"/>
      <c r="TG43" s="134"/>
      <c r="TH43" s="133">
        <f t="shared" si="556"/>
        <v>0</v>
      </c>
      <c r="TI43" s="196">
        <v>0</v>
      </c>
      <c r="TJ43" s="134">
        <v>0</v>
      </c>
      <c r="TK43" s="134">
        <v>0</v>
      </c>
      <c r="TL43" s="134">
        <v>0</v>
      </c>
      <c r="TM43" s="190">
        <f>TH43-SUM(TJ43:TL43)</f>
        <v>0</v>
      </c>
      <c r="TN43" s="5381">
        <v>0</v>
      </c>
      <c r="TO43" s="134"/>
      <c r="TP43" s="134"/>
      <c r="TQ43" s="134"/>
      <c r="TR43" s="134"/>
      <c r="TS43" s="133">
        <f t="shared" si="558"/>
        <v>0</v>
      </c>
      <c r="TT43" s="151" t="e">
        <f>TS43/TQ43</f>
        <v>#DIV/0!</v>
      </c>
      <c r="TU43" s="134"/>
      <c r="TV43" s="134"/>
      <c r="TW43" s="134"/>
      <c r="TX43" s="190">
        <f>TS43-SUM(TU43:TW43)</f>
        <v>0</v>
      </c>
      <c r="TY43" s="135" t="e">
        <f>TX43/TQ43</f>
        <v>#DIV/0!</v>
      </c>
      <c r="TZ43" s="1563"/>
      <c r="UA43" s="134"/>
      <c r="UB43" s="134"/>
      <c r="UC43" s="134"/>
      <c r="UD43" s="133">
        <f t="shared" si="559"/>
        <v>0</v>
      </c>
      <c r="UE43" s="151" t="e">
        <f>UD43/UB43</f>
        <v>#DIV/0!</v>
      </c>
      <c r="UF43" s="134"/>
      <c r="UG43" s="134"/>
      <c r="UH43" s="134"/>
      <c r="UI43" s="190">
        <f>UD43-SUM(UF43:UH43)</f>
        <v>0</v>
      </c>
      <c r="UJ43" s="5380" t="e">
        <f>UI43/UB43</f>
        <v>#DIV/0!</v>
      </c>
      <c r="UK43" s="5376"/>
      <c r="UL43" s="191">
        <f t="shared" si="284"/>
        <v>0</v>
      </c>
      <c r="UM43" s="191">
        <f t="shared" si="285"/>
        <v>-8106</v>
      </c>
      <c r="UN43" s="135">
        <v>0</v>
      </c>
      <c r="UO43" s="191">
        <f t="shared" si="286"/>
        <v>-8106</v>
      </c>
      <c r="UP43" s="5380"/>
    </row>
    <row r="44" spans="1:562" x14ac:dyDescent="0.3">
      <c r="A44" s="5316"/>
      <c r="B44" s="5360" t="s">
        <v>398</v>
      </c>
      <c r="C44" s="578" t="s">
        <v>141</v>
      </c>
      <c r="D44" s="578" t="s">
        <v>142</v>
      </c>
      <c r="E44" s="6278" t="s">
        <v>254</v>
      </c>
      <c r="F44" s="422"/>
      <c r="G44" s="161"/>
      <c r="H44" s="161"/>
      <c r="I44" s="161">
        <v>0</v>
      </c>
      <c r="J44" s="351"/>
      <c r="K44" s="136">
        <v>1</v>
      </c>
      <c r="L44" s="161">
        <v>59026</v>
      </c>
      <c r="M44" s="161">
        <v>95771</v>
      </c>
      <c r="N44" s="161">
        <v>36745</v>
      </c>
      <c r="O44" s="422"/>
      <c r="P44" s="136">
        <v>2</v>
      </c>
      <c r="Q44" s="161">
        <v>365658</v>
      </c>
      <c r="R44" s="161">
        <v>414249</v>
      </c>
      <c r="S44" s="161">
        <v>48591</v>
      </c>
      <c r="T44" s="94"/>
      <c r="U44" s="136"/>
      <c r="V44" s="422"/>
      <c r="W44" s="422"/>
      <c r="X44" s="422"/>
      <c r="Y44" s="422"/>
      <c r="Z44" s="581"/>
      <c r="AA44" s="422"/>
      <c r="AB44" s="422"/>
      <c r="AC44" s="422"/>
      <c r="AD44" s="422"/>
      <c r="AE44" s="582">
        <f t="shared" si="580"/>
        <v>0</v>
      </c>
      <c r="AF44" s="422"/>
      <c r="AG44" s="113">
        <v>2</v>
      </c>
      <c r="AH44" s="616">
        <v>135222</v>
      </c>
      <c r="AI44" s="616">
        <v>158580</v>
      </c>
      <c r="AJ44" s="616"/>
      <c r="AK44" s="105">
        <f t="shared" si="581"/>
        <v>23358</v>
      </c>
      <c r="AL44" s="114">
        <f t="shared" si="611"/>
        <v>0.14729474082482027</v>
      </c>
      <c r="AM44" s="129">
        <v>45000</v>
      </c>
      <c r="AN44" s="417">
        <v>0</v>
      </c>
      <c r="AO44" s="130"/>
      <c r="AP44" s="130">
        <v>49383.651724137926</v>
      </c>
      <c r="AQ44" s="417">
        <f t="shared" si="612"/>
        <v>-71025.651724137919</v>
      </c>
      <c r="AR44" s="116">
        <f t="shared" si="613"/>
        <v>-3.0407420037733504</v>
      </c>
      <c r="AS44" s="113">
        <v>2</v>
      </c>
      <c r="AT44" s="213">
        <v>755100</v>
      </c>
      <c r="AU44" s="417">
        <v>901498</v>
      </c>
      <c r="AV44" s="417">
        <v>60993.669999999984</v>
      </c>
      <c r="AW44" s="116">
        <f t="shared" si="614"/>
        <v>6.7658131243774233E-2</v>
      </c>
      <c r="AX44" s="586">
        <v>2</v>
      </c>
      <c r="AY44" s="587">
        <f t="shared" si="582"/>
        <v>1179784</v>
      </c>
      <c r="AZ44" s="587">
        <f t="shared" si="583"/>
        <v>1411518</v>
      </c>
      <c r="BA44" s="587">
        <f t="shared" si="584"/>
        <v>146329.66999999998</v>
      </c>
      <c r="BB44" s="588">
        <f t="shared" si="615"/>
        <v>0.1036682989519085</v>
      </c>
      <c r="BC44" s="212">
        <v>2</v>
      </c>
      <c r="BD44" s="130">
        <v>136665</v>
      </c>
      <c r="BE44" s="130">
        <v>151533</v>
      </c>
      <c r="BF44" s="582"/>
      <c r="BG44" s="582">
        <f t="shared" si="585"/>
        <v>14868</v>
      </c>
      <c r="BH44" s="589"/>
      <c r="BI44" s="1512">
        <v>2</v>
      </c>
      <c r="BJ44" s="582">
        <v>136665</v>
      </c>
      <c r="BK44" s="582">
        <v>156865</v>
      </c>
      <c r="BL44" s="582"/>
      <c r="BM44" s="582">
        <f t="shared" si="586"/>
        <v>20200</v>
      </c>
      <c r="BN44" s="589"/>
      <c r="BO44" s="590">
        <v>1</v>
      </c>
      <c r="BP44" s="582">
        <v>46699</v>
      </c>
      <c r="BQ44" s="582">
        <v>53163.67</v>
      </c>
      <c r="BR44" s="582">
        <v>19070</v>
      </c>
      <c r="BS44" s="582">
        <f t="shared" si="587"/>
        <v>-12605.330000000002</v>
      </c>
      <c r="BT44" s="591"/>
      <c r="BU44" s="590">
        <v>1</v>
      </c>
      <c r="BV44" s="592">
        <f t="shared" si="588"/>
        <v>361561.67</v>
      </c>
      <c r="BW44" s="592">
        <f t="shared" si="589"/>
        <v>22462.67</v>
      </c>
      <c r="BX44" s="593">
        <f>BW44/BV44</f>
        <v>6.2126801217618002E-2</v>
      </c>
      <c r="BY44" s="654">
        <v>1</v>
      </c>
      <c r="BZ44" s="650">
        <v>46699</v>
      </c>
      <c r="CA44" s="650">
        <v>53164</v>
      </c>
      <c r="CB44" s="650"/>
      <c r="CC44" s="596">
        <f t="shared" si="616"/>
        <v>6465</v>
      </c>
      <c r="CD44" s="655">
        <f>CC44/CA44</f>
        <v>0.1216048453840945</v>
      </c>
      <c r="CE44" s="670"/>
      <c r="CF44" s="599"/>
      <c r="CG44" s="671"/>
      <c r="CH44" s="599"/>
      <c r="CI44" s="599">
        <f t="shared" si="617"/>
        <v>6465</v>
      </c>
      <c r="CJ44" s="597">
        <f>CI44/CA44</f>
        <v>0.1216048453840945</v>
      </c>
      <c r="CK44" s="600">
        <v>1</v>
      </c>
      <c r="CL44" s="601">
        <v>46699</v>
      </c>
      <c r="CM44" s="601">
        <v>53164</v>
      </c>
      <c r="CN44" s="601"/>
      <c r="CO44" s="360">
        <f t="shared" si="590"/>
        <v>6465</v>
      </c>
      <c r="CP44" s="602">
        <f>CO44/CM44</f>
        <v>0.1216048453840945</v>
      </c>
      <c r="CQ44" s="603">
        <v>0</v>
      </c>
      <c r="CR44" s="603">
        <v>99658.273076923069</v>
      </c>
      <c r="CS44" s="603"/>
      <c r="CT44" s="603">
        <v>147101.18634615382</v>
      </c>
      <c r="CU44" s="603">
        <f t="shared" si="618"/>
        <v>-240294.45942307689</v>
      </c>
      <c r="CV44" s="604">
        <f>CU44/CM44</f>
        <v>-4.5198717068519469</v>
      </c>
      <c r="CW44" s="129">
        <v>1</v>
      </c>
      <c r="CX44" s="130">
        <v>46699</v>
      </c>
      <c r="CY44" s="130">
        <v>53163.67</v>
      </c>
      <c r="CZ44" s="130"/>
      <c r="DA44" s="605">
        <f t="shared" si="591"/>
        <v>6464.6699999999983</v>
      </c>
      <c r="DB44" s="114">
        <f>DA44/CY44</f>
        <v>0.12159939296892029</v>
      </c>
      <c r="DC44" s="138">
        <v>0</v>
      </c>
      <c r="DD44" s="130"/>
      <c r="DE44" s="130"/>
      <c r="DF44" s="130"/>
      <c r="DG44" s="128">
        <f t="shared" si="619"/>
        <v>6464.6699999999983</v>
      </c>
      <c r="DH44" s="169">
        <f>DG44/CY44</f>
        <v>0.12159939296892029</v>
      </c>
      <c r="DI44" s="204">
        <f t="shared" si="620"/>
        <v>1</v>
      </c>
      <c r="DJ44" s="202">
        <f t="shared" si="621"/>
        <v>159491.66999999998</v>
      </c>
      <c r="DK44" s="202">
        <f t="shared" si="622"/>
        <v>19394.669999999998</v>
      </c>
      <c r="DL44" s="119">
        <f>DK44/DJ44</f>
        <v>0.12160302791989074</v>
      </c>
      <c r="DM44" s="202">
        <f t="shared" si="623"/>
        <v>-227364.7894230769</v>
      </c>
      <c r="DN44" s="119">
        <f>DM44/DJ44</f>
        <v>-1.4255590240109526</v>
      </c>
      <c r="DO44" s="607">
        <f t="shared" si="624"/>
        <v>-1</v>
      </c>
      <c r="DP44" s="137">
        <f t="shared" si="625"/>
        <v>-88523</v>
      </c>
      <c r="DQ44" s="137">
        <f t="shared" si="626"/>
        <v>-105416.33</v>
      </c>
      <c r="DR44" s="137">
        <f t="shared" si="627"/>
        <v>-16893.330000000002</v>
      </c>
      <c r="DS44" s="135">
        <f t="shared" si="628"/>
        <v>-0.5</v>
      </c>
      <c r="DT44" s="135">
        <f t="shared" si="629"/>
        <v>-0.55822297893807538</v>
      </c>
      <c r="DU44" s="135">
        <f t="shared" si="630"/>
        <v>-4.5130717527185551</v>
      </c>
      <c r="DV44" s="151">
        <f t="shared" si="631"/>
        <v>0.2378482926930868</v>
      </c>
      <c r="DW44" s="607">
        <f t="shared" si="632"/>
        <v>0</v>
      </c>
      <c r="DX44" s="608">
        <f t="shared" si="633"/>
        <v>-0.33000000000174623</v>
      </c>
      <c r="DY44" s="608">
        <f t="shared" si="634"/>
        <v>-0.33000000000174623</v>
      </c>
      <c r="DZ44" s="608">
        <f t="shared" si="635"/>
        <v>246759.12942307687</v>
      </c>
      <c r="EA44" s="135">
        <f>DW44/CK44</f>
        <v>0</v>
      </c>
      <c r="EB44" s="135">
        <f>DX44/CM44</f>
        <v>-6.2072078850678323E-6</v>
      </c>
      <c r="EC44" s="135">
        <f>DY44/CO44</f>
        <v>-5.1044083526952242E-5</v>
      </c>
      <c r="ED44" s="151">
        <f>DZ44/CU44</f>
        <v>-1.0269031171818153</v>
      </c>
      <c r="EE44" s="129">
        <v>1</v>
      </c>
      <c r="EF44" s="130">
        <v>46699</v>
      </c>
      <c r="EG44" s="130">
        <v>51448.71</v>
      </c>
      <c r="EH44" s="130"/>
      <c r="EI44" s="605">
        <f t="shared" si="592"/>
        <v>4749.7099999999991</v>
      </c>
      <c r="EJ44" s="114">
        <f>EI44/EG44</f>
        <v>9.2319321514572464E-2</v>
      </c>
      <c r="EK44" s="138">
        <v>0</v>
      </c>
      <c r="EL44" s="606">
        <v>0</v>
      </c>
      <c r="EM44" s="130">
        <v>0</v>
      </c>
      <c r="EN44" s="130"/>
      <c r="EO44" s="128">
        <f t="shared" si="636"/>
        <v>4749.7099999999991</v>
      </c>
      <c r="EP44" s="114">
        <f>EO44/EG44</f>
        <v>9.2319321514572464E-2</v>
      </c>
      <c r="EQ44" s="129">
        <v>1</v>
      </c>
      <c r="ER44" s="595">
        <v>46699</v>
      </c>
      <c r="ES44" s="595">
        <v>53163.67</v>
      </c>
      <c r="ET44" s="661"/>
      <c r="EU44" s="134">
        <f t="shared" si="593"/>
        <v>6464.6699999999983</v>
      </c>
      <c r="EV44" s="114">
        <f>EU44/ES44</f>
        <v>0.12159939296892029</v>
      </c>
      <c r="EW44" s="138">
        <v>0</v>
      </c>
      <c r="EX44" s="606">
        <v>0</v>
      </c>
      <c r="EY44" s="130">
        <v>0</v>
      </c>
      <c r="EZ44" s="128">
        <v>0</v>
      </c>
      <c r="FA44" s="128">
        <f t="shared" si="637"/>
        <v>6464.6699999999983</v>
      </c>
      <c r="FB44" s="114">
        <f>FA44/ES44</f>
        <v>0.12159939296892029</v>
      </c>
      <c r="FC44" s="643">
        <f t="shared" si="638"/>
        <v>-1</v>
      </c>
      <c r="FD44" s="644">
        <f t="shared" si="639"/>
        <v>-105416.33</v>
      </c>
      <c r="FE44" s="644">
        <f t="shared" si="640"/>
        <v>-16893.330000000002</v>
      </c>
      <c r="FF44" s="644">
        <f t="shared" si="641"/>
        <v>77490.321724137917</v>
      </c>
      <c r="FG44" s="74">
        <f t="shared" si="642"/>
        <v>-0.5</v>
      </c>
      <c r="FH44" s="74">
        <f t="shared" si="643"/>
        <v>-0.66475173414049693</v>
      </c>
      <c r="FI44" s="74">
        <f t="shared" si="644"/>
        <v>-0.72323529411764709</v>
      </c>
      <c r="FJ44" s="73">
        <f t="shared" si="645"/>
        <v>-1.0910188057845445</v>
      </c>
      <c r="FK44" s="133">
        <v>1</v>
      </c>
      <c r="FL44" s="134">
        <v>46699</v>
      </c>
      <c r="FM44" s="134">
        <v>53163.67</v>
      </c>
      <c r="FN44" s="134"/>
      <c r="FO44" s="134">
        <f t="shared" si="594"/>
        <v>6464.6699999999983</v>
      </c>
      <c r="FP44" s="135">
        <f>FO44/FM44</f>
        <v>0.12159939296892029</v>
      </c>
      <c r="FQ44" s="133"/>
      <c r="FR44" s="134"/>
      <c r="FS44" s="134"/>
      <c r="FT44" s="191">
        <f t="shared" si="646"/>
        <v>6464.6699999999983</v>
      </c>
      <c r="FU44" s="151">
        <f>FT44/FM44</f>
        <v>0.12159939296892029</v>
      </c>
      <c r="FV44" s="190">
        <f t="shared" si="647"/>
        <v>-1</v>
      </c>
      <c r="FW44" s="191">
        <f t="shared" si="648"/>
        <v>-88523</v>
      </c>
      <c r="FX44" s="191">
        <f t="shared" si="649"/>
        <v>-105416.33</v>
      </c>
      <c r="FY44" s="191">
        <f t="shared" si="650"/>
        <v>-16893.330000000002</v>
      </c>
      <c r="FZ44" s="191">
        <f t="shared" si="651"/>
        <v>77490.321724137917</v>
      </c>
      <c r="GA44" s="135">
        <f t="shared" si="652"/>
        <v>-0.5</v>
      </c>
      <c r="GB44" s="135">
        <f t="shared" si="653"/>
        <v>-0.66475173414049693</v>
      </c>
      <c r="GC44" s="135">
        <f t="shared" si="654"/>
        <v>-0.72323529411764709</v>
      </c>
      <c r="GD44" s="151">
        <f t="shared" si="655"/>
        <v>-1.0910188057845445</v>
      </c>
      <c r="GE44" s="187">
        <f t="shared" si="656"/>
        <v>1</v>
      </c>
      <c r="GF44" s="155">
        <f t="shared" si="657"/>
        <v>157776.04999999999</v>
      </c>
      <c r="GG44" s="155">
        <f t="shared" si="658"/>
        <v>17679.049999999996</v>
      </c>
      <c r="GH44" s="74">
        <f>GG44/GF44</f>
        <v>0.11205154394472416</v>
      </c>
      <c r="GI44" s="613">
        <f t="shared" si="659"/>
        <v>17679.049999999996</v>
      </c>
      <c r="GJ44" s="187">
        <f t="shared" si="660"/>
        <v>0</v>
      </c>
      <c r="GK44" s="155">
        <f t="shared" si="661"/>
        <v>-1715.6199999999953</v>
      </c>
      <c r="GL44" s="155">
        <f t="shared" si="662"/>
        <v>-1715.6200000000026</v>
      </c>
      <c r="GM44" s="613">
        <f t="shared" si="663"/>
        <v>245043.83942307689</v>
      </c>
      <c r="GN44" s="133">
        <v>1</v>
      </c>
      <c r="GO44" s="134">
        <v>46699</v>
      </c>
      <c r="GP44" s="134">
        <v>53163.67</v>
      </c>
      <c r="GQ44" s="134">
        <v>0</v>
      </c>
      <c r="GR44" s="134">
        <f t="shared" si="595"/>
        <v>6464.6699999999983</v>
      </c>
      <c r="GS44" s="135">
        <f>GR44/GP44</f>
        <v>0.12159939296892029</v>
      </c>
      <c r="GT44" s="133">
        <v>0</v>
      </c>
      <c r="GU44" s="134">
        <v>0</v>
      </c>
      <c r="GV44" s="134">
        <v>0</v>
      </c>
      <c r="GW44" s="134">
        <v>0</v>
      </c>
      <c r="GX44" s="190">
        <f t="shared" si="664"/>
        <v>6464.6699999999983</v>
      </c>
      <c r="GY44" s="151">
        <f>GX44/GP44</f>
        <v>0.12159939296892029</v>
      </c>
      <c r="GZ44" s="614">
        <v>1</v>
      </c>
      <c r="HA44" s="130">
        <v>46699</v>
      </c>
      <c r="HB44" s="130">
        <v>53163.67</v>
      </c>
      <c r="HC44" s="130"/>
      <c r="HD44" s="134">
        <f t="shared" si="596"/>
        <v>6464.6699999999983</v>
      </c>
      <c r="HE44" s="151">
        <f>HD44/HB44</f>
        <v>0.12159939296892029</v>
      </c>
      <c r="HF44" s="138">
        <v>0</v>
      </c>
      <c r="HG44" s="130"/>
      <c r="HH44" s="130"/>
      <c r="HI44" s="130"/>
      <c r="HJ44" s="237"/>
      <c r="HK44" s="114"/>
      <c r="HL44" s="617">
        <v>1</v>
      </c>
      <c r="HM44" s="134">
        <v>46699</v>
      </c>
      <c r="HN44" s="134">
        <v>53164</v>
      </c>
      <c r="HO44" s="134">
        <v>0</v>
      </c>
      <c r="HP44" s="615">
        <f t="shared" si="597"/>
        <v>6465</v>
      </c>
      <c r="HQ44" s="201">
        <f>HP44/HN44</f>
        <v>0.1216048453840945</v>
      </c>
      <c r="HR44" s="133">
        <v>0</v>
      </c>
      <c r="HS44" s="134">
        <v>0</v>
      </c>
      <c r="HT44" s="134"/>
      <c r="HU44" s="134">
        <v>0</v>
      </c>
      <c r="HV44" s="191">
        <f t="shared" si="598"/>
        <v>6465</v>
      </c>
      <c r="HW44" s="151">
        <f>HV44/HN44</f>
        <v>0.1216048453840945</v>
      </c>
      <c r="HX44" s="697"/>
      <c r="HY44" s="241">
        <f t="shared" si="599"/>
        <v>159491.34</v>
      </c>
      <c r="HZ44" s="415">
        <f t="shared" si="600"/>
        <v>19394.339999999997</v>
      </c>
      <c r="IA44" s="241"/>
      <c r="IB44" s="415">
        <f t="shared" si="601"/>
        <v>12929.669999999998</v>
      </c>
      <c r="IC44" s="141"/>
      <c r="ID44" s="642">
        <v>1</v>
      </c>
      <c r="IE44" s="141">
        <f t="shared" si="512"/>
        <v>838320.73</v>
      </c>
      <c r="IF44" s="141">
        <f t="shared" si="513"/>
        <v>78930.729999999981</v>
      </c>
      <c r="IG44" s="74">
        <f t="shared" si="602"/>
        <v>9.4153379697529349E-2</v>
      </c>
      <c r="IH44" s="1507"/>
      <c r="II44" s="69"/>
      <c r="IJ44" s="133">
        <v>1</v>
      </c>
      <c r="IK44" s="134">
        <v>46699</v>
      </c>
      <c r="IL44" s="134">
        <v>53164</v>
      </c>
      <c r="IM44" s="134">
        <v>0</v>
      </c>
      <c r="IN44" s="133">
        <f t="shared" si="603"/>
        <v>6465</v>
      </c>
      <c r="IO44" s="151">
        <f>IN44/IL44</f>
        <v>0.1216048453840945</v>
      </c>
      <c r="IP44" s="133">
        <v>0</v>
      </c>
      <c r="IQ44" s="134">
        <v>0</v>
      </c>
      <c r="IR44" s="134">
        <v>0</v>
      </c>
      <c r="IS44" s="190">
        <f t="shared" si="604"/>
        <v>6465</v>
      </c>
      <c r="IT44" s="151">
        <f>IS44/IL44</f>
        <v>0.1216048453840945</v>
      </c>
      <c r="IU44" s="390"/>
      <c r="IV44" s="134"/>
      <c r="IW44" s="134"/>
      <c r="IX44" s="134">
        <v>15662</v>
      </c>
      <c r="IY44" s="133">
        <f t="shared" si="605"/>
        <v>-15662</v>
      </c>
      <c r="IZ44" s="196">
        <v>0</v>
      </c>
      <c r="JA44" s="133">
        <v>0</v>
      </c>
      <c r="JB44" s="134">
        <v>0</v>
      </c>
      <c r="JC44" s="134">
        <v>0</v>
      </c>
      <c r="JD44" s="190">
        <f t="shared" si="606"/>
        <v>-15662</v>
      </c>
      <c r="JE44" s="196">
        <v>0</v>
      </c>
      <c r="JF44" s="390"/>
      <c r="JG44" s="134"/>
      <c r="JH44" s="134"/>
      <c r="JI44" s="134"/>
      <c r="JJ44" s="133">
        <f t="shared" si="573"/>
        <v>0</v>
      </c>
      <c r="JK44" s="196">
        <v>0</v>
      </c>
      <c r="JL44" s="133">
        <v>0</v>
      </c>
      <c r="JM44" s="134">
        <v>0</v>
      </c>
      <c r="JN44" s="134">
        <v>0</v>
      </c>
      <c r="JO44" s="190">
        <f t="shared" si="574"/>
        <v>0</v>
      </c>
      <c r="JP44" s="196">
        <v>0</v>
      </c>
      <c r="JQ44" s="390"/>
      <c r="JR44" s="191">
        <f t="shared" si="575"/>
        <v>53164</v>
      </c>
      <c r="JS44" s="191">
        <f t="shared" si="576"/>
        <v>-9197</v>
      </c>
      <c r="JT44" s="151">
        <f>JS44/JR44</f>
        <v>-0.1729930027838387</v>
      </c>
      <c r="JU44" s="390"/>
      <c r="JV44" s="134"/>
      <c r="JW44" s="134"/>
      <c r="JX44" s="134"/>
      <c r="JY44" s="133">
        <f t="shared" si="560"/>
        <v>0</v>
      </c>
      <c r="JZ44" s="151"/>
      <c r="KA44" s="133"/>
      <c r="KB44" s="134"/>
      <c r="KC44" s="134">
        <v>0</v>
      </c>
      <c r="KD44" s="190">
        <f t="shared" si="514"/>
        <v>0</v>
      </c>
      <c r="KE44" s="196">
        <v>0</v>
      </c>
      <c r="KF44" s="390"/>
      <c r="KG44" s="134"/>
      <c r="KH44" s="134"/>
      <c r="KI44" s="134"/>
      <c r="KJ44" s="133">
        <f t="shared" si="563"/>
        <v>0</v>
      </c>
      <c r="KK44" s="151"/>
      <c r="KL44" s="133"/>
      <c r="KM44" s="134"/>
      <c r="KN44" s="134">
        <v>0</v>
      </c>
      <c r="KO44" s="190">
        <f t="shared" si="515"/>
        <v>0</v>
      </c>
      <c r="KP44" s="196">
        <v>0</v>
      </c>
      <c r="KQ44" s="390"/>
      <c r="KR44" s="134"/>
      <c r="KS44" s="134"/>
      <c r="KT44" s="134"/>
      <c r="KU44" s="133">
        <f t="shared" si="566"/>
        <v>0</v>
      </c>
      <c r="KV44" s="151"/>
      <c r="KW44" s="133"/>
      <c r="KX44" s="134"/>
      <c r="KY44" s="134">
        <v>0</v>
      </c>
      <c r="KZ44" s="190">
        <f t="shared" si="516"/>
        <v>0</v>
      </c>
      <c r="LA44" s="196">
        <v>0</v>
      </c>
      <c r="LB44" s="402"/>
      <c r="LC44" s="191">
        <f t="shared" si="517"/>
        <v>0</v>
      </c>
      <c r="LD44" s="191">
        <f t="shared" si="518"/>
        <v>0</v>
      </c>
      <c r="LE44" s="151"/>
      <c r="LF44" s="226">
        <f t="shared" si="519"/>
        <v>0</v>
      </c>
      <c r="LG44" s="128">
        <f t="shared" si="520"/>
        <v>-53164</v>
      </c>
      <c r="LH44" s="139">
        <f t="shared" si="521"/>
        <v>9197</v>
      </c>
      <c r="LI44" s="442">
        <v>0</v>
      </c>
      <c r="LJ44" s="442">
        <f>LG44/JR44</f>
        <v>-1</v>
      </c>
      <c r="LK44" s="106">
        <f>LH44/JS44</f>
        <v>-1</v>
      </c>
      <c r="LL44" s="390"/>
      <c r="LM44" s="134"/>
      <c r="LN44" s="134"/>
      <c r="LO44" s="134"/>
      <c r="LP44" s="133">
        <f t="shared" si="522"/>
        <v>0</v>
      </c>
      <c r="LQ44" s="151"/>
      <c r="LR44" s="133"/>
      <c r="LS44" s="134"/>
      <c r="LT44" s="134">
        <v>0</v>
      </c>
      <c r="LU44" s="190">
        <f t="shared" si="523"/>
        <v>0</v>
      </c>
      <c r="LV44" s="196">
        <v>0</v>
      </c>
      <c r="LW44" s="134"/>
      <c r="LX44" s="134"/>
      <c r="LY44" s="134"/>
      <c r="LZ44" s="134"/>
      <c r="MA44" s="133">
        <f t="shared" si="524"/>
        <v>0</v>
      </c>
      <c r="MB44" s="151"/>
      <c r="MC44" s="134"/>
      <c r="MD44" s="134">
        <v>0</v>
      </c>
      <c r="ME44" s="134">
        <v>0</v>
      </c>
      <c r="MF44" s="190">
        <f t="shared" si="525"/>
        <v>0</v>
      </c>
      <c r="MG44" s="151"/>
      <c r="MH44" s="134"/>
      <c r="MI44" s="134">
        <v>0</v>
      </c>
      <c r="MJ44" s="134">
        <v>0</v>
      </c>
      <c r="MK44" s="134"/>
      <c r="ML44" s="133">
        <f t="shared" si="526"/>
        <v>0</v>
      </c>
      <c r="MM44" s="196">
        <v>0</v>
      </c>
      <c r="MN44" s="134">
        <v>0</v>
      </c>
      <c r="MO44" s="134">
        <v>0</v>
      </c>
      <c r="MP44" s="134">
        <v>0</v>
      </c>
      <c r="MQ44" s="190">
        <f t="shared" si="527"/>
        <v>0</v>
      </c>
      <c r="MR44" s="196">
        <v>0</v>
      </c>
      <c r="MS44" s="1473"/>
      <c r="MT44" s="118">
        <f t="shared" si="528"/>
        <v>0</v>
      </c>
      <c r="MU44" s="118">
        <f t="shared" si="529"/>
        <v>0</v>
      </c>
      <c r="MV44" s="135"/>
      <c r="MW44" s="133">
        <f t="shared" si="530"/>
        <v>0</v>
      </c>
      <c r="MX44" s="134">
        <f t="shared" si="531"/>
        <v>0</v>
      </c>
      <c r="MY44" s="134">
        <f t="shared" si="532"/>
        <v>0</v>
      </c>
      <c r="MZ44" s="135"/>
      <c r="NA44" s="135"/>
      <c r="NB44" s="151"/>
      <c r="NC44" s="134"/>
      <c r="ND44" s="134">
        <v>0</v>
      </c>
      <c r="NE44" s="134">
        <v>0</v>
      </c>
      <c r="NF44" s="134"/>
      <c r="NG44" s="133">
        <f t="shared" si="534"/>
        <v>0</v>
      </c>
      <c r="NH44" s="196">
        <v>0</v>
      </c>
      <c r="NI44" s="134">
        <v>0</v>
      </c>
      <c r="NJ44" s="134">
        <v>0</v>
      </c>
      <c r="NK44" s="134">
        <v>0</v>
      </c>
      <c r="NL44" s="190">
        <f t="shared" si="535"/>
        <v>0</v>
      </c>
      <c r="NM44" s="152">
        <v>0</v>
      </c>
      <c r="NN44" s="1563"/>
      <c r="NO44" s="134">
        <v>0</v>
      </c>
      <c r="NP44" s="134">
        <v>0</v>
      </c>
      <c r="NQ44" s="134"/>
      <c r="NR44" s="133">
        <f t="shared" si="536"/>
        <v>0</v>
      </c>
      <c r="NS44" s="196">
        <v>0</v>
      </c>
      <c r="NT44" s="134">
        <v>0</v>
      </c>
      <c r="NU44" s="134">
        <v>0</v>
      </c>
      <c r="NV44" s="134">
        <v>0</v>
      </c>
      <c r="NW44" s="190">
        <f t="shared" si="537"/>
        <v>0</v>
      </c>
      <c r="NX44" s="152">
        <v>0</v>
      </c>
      <c r="NY44" s="1563"/>
      <c r="NZ44" s="134">
        <v>0</v>
      </c>
      <c r="OA44" s="134">
        <v>0</v>
      </c>
      <c r="OB44" s="134"/>
      <c r="OC44" s="133">
        <f t="shared" si="538"/>
        <v>0</v>
      </c>
      <c r="OD44" s="196">
        <v>0</v>
      </c>
      <c r="OE44" s="134">
        <v>0</v>
      </c>
      <c r="OF44" s="134">
        <v>0</v>
      </c>
      <c r="OG44" s="134">
        <v>0</v>
      </c>
      <c r="OH44" s="190">
        <f t="shared" si="539"/>
        <v>0</v>
      </c>
      <c r="OI44" s="5381">
        <v>0</v>
      </c>
      <c r="OJ44" s="69"/>
      <c r="OK44" s="155">
        <f t="shared" si="540"/>
        <v>53164</v>
      </c>
      <c r="OL44" s="155">
        <f t="shared" si="541"/>
        <v>-9197</v>
      </c>
      <c r="OM44" s="74">
        <f t="shared" si="542"/>
        <v>-0.1729930027838387</v>
      </c>
      <c r="ON44" s="155">
        <f t="shared" si="543"/>
        <v>-9197</v>
      </c>
      <c r="OO44" s="70"/>
      <c r="OP44" s="69"/>
      <c r="OQ44" s="1563"/>
      <c r="OR44" s="134"/>
      <c r="OS44" s="134"/>
      <c r="OT44" s="134"/>
      <c r="OU44" s="133">
        <f t="shared" si="544"/>
        <v>0</v>
      </c>
      <c r="OV44" s="4271">
        <v>0</v>
      </c>
      <c r="OW44" s="133">
        <v>0</v>
      </c>
      <c r="OX44" s="134">
        <v>0</v>
      </c>
      <c r="OY44" s="134">
        <v>0</v>
      </c>
      <c r="OZ44" s="190">
        <f t="shared" si="545"/>
        <v>0</v>
      </c>
      <c r="PA44" s="5372">
        <v>0</v>
      </c>
      <c r="PB44" s="5320"/>
      <c r="PC44" s="134"/>
      <c r="PD44" s="134"/>
      <c r="PE44" s="134"/>
      <c r="PF44" s="133">
        <f t="shared" si="608"/>
        <v>0</v>
      </c>
      <c r="PG44" s="4271">
        <v>0</v>
      </c>
      <c r="PH44" s="134">
        <v>0</v>
      </c>
      <c r="PI44" s="134">
        <v>0</v>
      </c>
      <c r="PJ44" s="134">
        <v>0</v>
      </c>
      <c r="PK44" s="190">
        <f t="shared" si="546"/>
        <v>0</v>
      </c>
      <c r="PL44" s="135"/>
      <c r="PM44" s="5379"/>
      <c r="PN44" s="134"/>
      <c r="PO44" s="134"/>
      <c r="PP44" s="134"/>
      <c r="PQ44" s="6293">
        <f t="shared" si="610"/>
        <v>0</v>
      </c>
      <c r="PR44" s="6296">
        <v>0</v>
      </c>
      <c r="PS44" s="134">
        <v>0</v>
      </c>
      <c r="PT44" s="134">
        <v>0</v>
      </c>
      <c r="PU44" s="134">
        <v>0</v>
      </c>
      <c r="PV44" s="190">
        <f t="shared" si="265"/>
        <v>0</v>
      </c>
      <c r="PW44" s="5381">
        <v>0</v>
      </c>
      <c r="PX44" s="5320"/>
      <c r="PY44" s="191">
        <f t="shared" si="578"/>
        <v>0</v>
      </c>
      <c r="PZ44" s="191">
        <f t="shared" si="579"/>
        <v>0</v>
      </c>
      <c r="QA44" s="135" t="e">
        <f>PZ44/PY44</f>
        <v>#DIV/0!</v>
      </c>
      <c r="QB44" s="5379"/>
      <c r="QC44" s="134"/>
      <c r="QD44" s="134"/>
      <c r="QE44" s="134"/>
      <c r="QF44" s="6293">
        <f t="shared" si="270"/>
        <v>0</v>
      </c>
      <c r="QG44" s="6296"/>
      <c r="QH44" s="134"/>
      <c r="QI44" s="134"/>
      <c r="QJ44" s="134">
        <v>0</v>
      </c>
      <c r="QK44" s="190">
        <f t="shared" ref="QK44:QK51" si="665">QF44-SUM(QH44:QJ44)</f>
        <v>0</v>
      </c>
      <c r="QL44" s="5381">
        <v>0</v>
      </c>
      <c r="QM44" s="5379"/>
      <c r="QN44" s="134"/>
      <c r="QO44" s="134"/>
      <c r="QP44" s="134"/>
      <c r="QQ44" s="133">
        <f>QO44-(QN44+QP44)</f>
        <v>0</v>
      </c>
      <c r="QR44" s="151"/>
      <c r="QS44" s="133"/>
      <c r="QT44" s="134">
        <v>0</v>
      </c>
      <c r="QU44" s="134">
        <v>0</v>
      </c>
      <c r="QV44" s="190">
        <f t="shared" ref="QV44:QV51" si="666">QQ44-SUM(QS44:QU44)</f>
        <v>0</v>
      </c>
      <c r="QW44" s="5381">
        <v>0</v>
      </c>
      <c r="QX44" s="5379"/>
      <c r="QY44" s="134">
        <v>0</v>
      </c>
      <c r="QZ44" s="134">
        <v>0</v>
      </c>
      <c r="RA44" s="134"/>
      <c r="RB44" s="133">
        <f t="shared" si="569"/>
        <v>0</v>
      </c>
      <c r="RC44" s="151"/>
      <c r="RD44" s="133"/>
      <c r="RE44" s="134"/>
      <c r="RF44" s="134">
        <v>0</v>
      </c>
      <c r="RG44" s="190">
        <f t="shared" ref="RG44:RG51" si="667">RB44-SUM(RD44:RF44)</f>
        <v>0</v>
      </c>
      <c r="RH44" s="5381">
        <v>0</v>
      </c>
      <c r="RI44" s="5376"/>
      <c r="RJ44" s="191">
        <f t="shared" si="548"/>
        <v>0</v>
      </c>
      <c r="RK44" s="191">
        <f t="shared" ref="RK44:RK57" si="668">RB44+QQ44+QF44</f>
        <v>0</v>
      </c>
      <c r="RL44" s="5380"/>
      <c r="RM44" s="1562">
        <f t="shared" si="550"/>
        <v>0</v>
      </c>
      <c r="RN44" s="128">
        <f t="shared" si="551"/>
        <v>0</v>
      </c>
      <c r="RO44" s="139">
        <f t="shared" si="552"/>
        <v>0</v>
      </c>
      <c r="RP44" s="442">
        <v>0</v>
      </c>
      <c r="RQ44" s="442" t="e">
        <f>RN44/PY44</f>
        <v>#DIV/0!</v>
      </c>
      <c r="RR44" s="6339" t="e">
        <f>RO44/PZ44</f>
        <v>#DIV/0!</v>
      </c>
      <c r="RS44" s="6327"/>
      <c r="RT44" s="130">
        <v>0</v>
      </c>
      <c r="RU44" s="130">
        <v>0</v>
      </c>
      <c r="RV44" s="3546"/>
      <c r="RW44" s="133">
        <f t="shared" ref="RW44:RW53" si="669">RU44-(RT44+RV44)</f>
        <v>0</v>
      </c>
      <c r="RX44" s="151"/>
      <c r="RY44" s="133"/>
      <c r="RZ44" s="134"/>
      <c r="SA44" s="134">
        <v>0</v>
      </c>
      <c r="SB44" s="190">
        <f t="shared" ref="SB44:SB51" si="670">RW44-SUM(RY44:SA44)</f>
        <v>0</v>
      </c>
      <c r="SC44" s="5381"/>
      <c r="SD44" s="5405"/>
      <c r="SE44" s="130"/>
      <c r="SF44" s="130"/>
      <c r="SG44" s="606"/>
      <c r="SH44" s="6361">
        <f t="shared" si="572"/>
        <v>0</v>
      </c>
      <c r="SI44" s="6363" t="e">
        <f t="shared" ref="SI44:SI56" si="671">SH44/SF44</f>
        <v>#DIV/0!</v>
      </c>
      <c r="SJ44" s="134"/>
      <c r="SK44" s="134">
        <v>0</v>
      </c>
      <c r="SL44" s="134">
        <v>0</v>
      </c>
      <c r="SM44" s="188">
        <f t="shared" si="289"/>
        <v>0</v>
      </c>
      <c r="SN44" s="5389" t="e">
        <f t="shared" si="290"/>
        <v>#DIV/0!</v>
      </c>
      <c r="SO44" s="134"/>
      <c r="SP44" s="134"/>
      <c r="SQ44" s="134"/>
      <c r="SR44" s="134"/>
      <c r="SS44" s="6361">
        <f t="shared" ref="SS44:SS56" si="672">SQ44-(SP44+SR44)</f>
        <v>0</v>
      </c>
      <c r="ST44" s="6377">
        <v>0</v>
      </c>
      <c r="SU44" s="134">
        <v>0</v>
      </c>
      <c r="SV44" s="134"/>
      <c r="SW44" s="134">
        <v>0</v>
      </c>
      <c r="SX44" s="190">
        <f t="shared" ref="SX44:SX56" si="673">SS44-SUM(SU44:SW44)</f>
        <v>0</v>
      </c>
      <c r="SY44" s="5381">
        <v>0</v>
      </c>
      <c r="SZ44" s="6273"/>
      <c r="TA44" s="118">
        <f t="shared" ref="TA44:TA57" si="674">SQ44+SF44+RU44</f>
        <v>0</v>
      </c>
      <c r="TB44" s="118">
        <f t="shared" ref="TB44:TB57" si="675">SS44+SH44+RW44</f>
        <v>0</v>
      </c>
      <c r="TC44" s="5380"/>
      <c r="TD44" s="1563"/>
      <c r="TE44" s="134"/>
      <c r="TF44" s="134"/>
      <c r="TG44" s="134"/>
      <c r="TH44" s="133">
        <f t="shared" ref="TH44:TH56" si="676">TF44-(TE44+TG44)</f>
        <v>0</v>
      </c>
      <c r="TI44" s="196">
        <v>0</v>
      </c>
      <c r="TJ44" s="134"/>
      <c r="TK44" s="134">
        <v>0</v>
      </c>
      <c r="TL44" s="134"/>
      <c r="TM44" s="190">
        <f t="shared" ref="TM44:TM56" si="677">TH44-SUM(TJ44:TL44)</f>
        <v>0</v>
      </c>
      <c r="TN44" s="5381">
        <v>0</v>
      </c>
      <c r="TO44" s="134"/>
      <c r="TP44" s="134"/>
      <c r="TQ44" s="134"/>
      <c r="TR44" s="134"/>
      <c r="TS44" s="133">
        <f t="shared" ref="TS44:TS56" si="678">TQ44-(TP44+TR44)</f>
        <v>0</v>
      </c>
      <c r="TT44" s="196">
        <v>0</v>
      </c>
      <c r="TU44" s="134">
        <v>0</v>
      </c>
      <c r="TV44" s="134">
        <v>0</v>
      </c>
      <c r="TW44" s="134">
        <v>0</v>
      </c>
      <c r="TX44" s="190">
        <f t="shared" ref="TX44:TX56" si="679">TS44-SUM(TU44:TW44)</f>
        <v>0</v>
      </c>
      <c r="TY44" s="152">
        <v>0</v>
      </c>
      <c r="TZ44" s="1563"/>
      <c r="UA44" s="134">
        <v>0</v>
      </c>
      <c r="UB44" s="134">
        <v>0</v>
      </c>
      <c r="UC44" s="134"/>
      <c r="UD44" s="133">
        <f t="shared" ref="UD44:UD56" si="680">UB44-(UA44+UC44)</f>
        <v>0</v>
      </c>
      <c r="UE44" s="196">
        <v>0</v>
      </c>
      <c r="UF44" s="134">
        <v>0</v>
      </c>
      <c r="UG44" s="134">
        <v>0</v>
      </c>
      <c r="UH44" s="134">
        <v>0</v>
      </c>
      <c r="UI44" s="190">
        <f t="shared" ref="UI44:UI56" si="681">UD44-SUM(UF44:UH44)</f>
        <v>0</v>
      </c>
      <c r="UJ44" s="5381">
        <v>0</v>
      </c>
      <c r="UK44" s="5376"/>
      <c r="UL44" s="191">
        <f t="shared" si="284"/>
        <v>0</v>
      </c>
      <c r="UM44" s="191">
        <f t="shared" si="285"/>
        <v>0</v>
      </c>
      <c r="UN44" s="135" t="e">
        <f t="shared" si="484"/>
        <v>#DIV/0!</v>
      </c>
      <c r="UO44" s="191">
        <f t="shared" si="286"/>
        <v>0</v>
      </c>
      <c r="UP44" s="4952"/>
    </row>
    <row r="45" spans="1:562" x14ac:dyDescent="0.3">
      <c r="A45" s="5316"/>
      <c r="B45" s="5360" t="s">
        <v>399</v>
      </c>
      <c r="C45" s="578" t="s">
        <v>382</v>
      </c>
      <c r="D45" s="578" t="s">
        <v>140</v>
      </c>
      <c r="E45" s="6278" t="s">
        <v>254</v>
      </c>
      <c r="F45" s="422">
        <v>5</v>
      </c>
      <c r="G45" s="161">
        <v>521790</v>
      </c>
      <c r="H45" s="161">
        <v>613206</v>
      </c>
      <c r="I45" s="161">
        <v>91416</v>
      </c>
      <c r="J45" s="351">
        <f>I45/H45</f>
        <v>0.14907877613721979</v>
      </c>
      <c r="K45" s="136">
        <v>4</v>
      </c>
      <c r="L45" s="161">
        <v>382403</v>
      </c>
      <c r="M45" s="161">
        <v>489792</v>
      </c>
      <c r="N45" s="161">
        <v>107389</v>
      </c>
      <c r="O45" s="422"/>
      <c r="P45" s="580">
        <v>4.333333333333333</v>
      </c>
      <c r="Q45" s="161">
        <v>629157</v>
      </c>
      <c r="R45" s="161">
        <v>735785</v>
      </c>
      <c r="S45" s="161">
        <v>106628</v>
      </c>
      <c r="T45" s="94"/>
      <c r="U45" s="136"/>
      <c r="V45" s="422"/>
      <c r="W45" s="422"/>
      <c r="X45" s="422"/>
      <c r="Y45" s="422"/>
      <c r="Z45" s="581"/>
      <c r="AA45" s="422"/>
      <c r="AB45" s="422"/>
      <c r="AC45" s="422"/>
      <c r="AD45" s="422"/>
      <c r="AE45" s="582">
        <f t="shared" si="580"/>
        <v>0</v>
      </c>
      <c r="AF45" s="422"/>
      <c r="AG45" s="583">
        <v>4</v>
      </c>
      <c r="AH45" s="584">
        <v>113228</v>
      </c>
      <c r="AI45" s="584">
        <v>136252</v>
      </c>
      <c r="AJ45" s="716">
        <v>17127</v>
      </c>
      <c r="AK45" s="105">
        <f t="shared" si="581"/>
        <v>5897</v>
      </c>
      <c r="AL45" s="116">
        <f t="shared" si="611"/>
        <v>4.3280098640753897E-2</v>
      </c>
      <c r="AM45" s="585">
        <v>0</v>
      </c>
      <c r="AN45" s="417">
        <v>131298</v>
      </c>
      <c r="AO45" s="417"/>
      <c r="AP45" s="130">
        <v>49383.651724137926</v>
      </c>
      <c r="AQ45" s="417">
        <f t="shared" si="612"/>
        <v>-174784.65172413792</v>
      </c>
      <c r="AR45" s="116">
        <f t="shared" si="613"/>
        <v>-29.639588218439531</v>
      </c>
      <c r="AS45" s="583">
        <v>4</v>
      </c>
      <c r="AT45" s="216">
        <v>361853</v>
      </c>
      <c r="AU45" s="417">
        <v>422846.67</v>
      </c>
      <c r="AV45" s="417">
        <v>146398</v>
      </c>
      <c r="AW45" s="116">
        <f t="shared" si="614"/>
        <v>0.34622006128131505</v>
      </c>
      <c r="AX45" s="586">
        <v>4</v>
      </c>
      <c r="AY45" s="587">
        <f t="shared" si="582"/>
        <v>1895203</v>
      </c>
      <c r="AZ45" s="587">
        <f t="shared" si="583"/>
        <v>2261629.67</v>
      </c>
      <c r="BA45" s="587">
        <f t="shared" si="584"/>
        <v>451831</v>
      </c>
      <c r="BB45" s="588">
        <f t="shared" si="615"/>
        <v>0.19978116045851133</v>
      </c>
      <c r="BC45" s="212">
        <v>4</v>
      </c>
      <c r="BD45" s="130">
        <v>104203</v>
      </c>
      <c r="BE45" s="130">
        <v>141419</v>
      </c>
      <c r="BF45" s="582"/>
      <c r="BG45" s="582">
        <f t="shared" si="585"/>
        <v>37216</v>
      </c>
      <c r="BH45" s="589"/>
      <c r="BI45" s="212">
        <v>3</v>
      </c>
      <c r="BJ45" s="130">
        <v>92406</v>
      </c>
      <c r="BK45" s="417">
        <v>107818</v>
      </c>
      <c r="BL45" s="582"/>
      <c r="BM45" s="582">
        <f t="shared" si="586"/>
        <v>15412</v>
      </c>
      <c r="BN45" s="589"/>
      <c r="BO45" s="590">
        <v>3</v>
      </c>
      <c r="BP45" s="582">
        <v>92406</v>
      </c>
      <c r="BQ45" s="582">
        <v>110627</v>
      </c>
      <c r="BR45" s="582"/>
      <c r="BS45" s="582">
        <f t="shared" si="587"/>
        <v>18221</v>
      </c>
      <c r="BT45" s="591">
        <f>BS45/BQ45</f>
        <v>0.16470662677284931</v>
      </c>
      <c r="BU45" s="590">
        <v>3</v>
      </c>
      <c r="BV45" s="592">
        <f t="shared" si="588"/>
        <v>359864</v>
      </c>
      <c r="BW45" s="592">
        <f t="shared" si="589"/>
        <v>70849</v>
      </c>
      <c r="BX45" s="593">
        <f>BW45/BV45</f>
        <v>0.19687715359135674</v>
      </c>
      <c r="BY45" s="594">
        <v>3</v>
      </c>
      <c r="BZ45" s="595">
        <v>95466</v>
      </c>
      <c r="CA45" s="595">
        <v>112043</v>
      </c>
      <c r="CB45" s="595"/>
      <c r="CC45" s="596">
        <f t="shared" si="616"/>
        <v>16577</v>
      </c>
      <c r="CD45" s="597">
        <f>CC45/CA45</f>
        <v>0.14795212552323661</v>
      </c>
      <c r="CE45" s="598"/>
      <c r="CF45" s="599"/>
      <c r="CG45" s="599"/>
      <c r="CH45" s="599"/>
      <c r="CI45" s="599">
        <f t="shared" si="617"/>
        <v>16577</v>
      </c>
      <c r="CJ45" s="597">
        <f>CI45/CA45</f>
        <v>0.14795212552323661</v>
      </c>
      <c r="CK45" s="651">
        <v>2</v>
      </c>
      <c r="CL45" s="652">
        <v>55229</v>
      </c>
      <c r="CM45" s="652">
        <v>58802</v>
      </c>
      <c r="CN45" s="652"/>
      <c r="CO45" s="360">
        <f t="shared" si="590"/>
        <v>3573</v>
      </c>
      <c r="CP45" s="659">
        <f>CO45/CM45</f>
        <v>6.0763239345600489E-2</v>
      </c>
      <c r="CQ45" s="603">
        <v>0</v>
      </c>
      <c r="CR45" s="603">
        <v>99658.273076923069</v>
      </c>
      <c r="CS45" s="603"/>
      <c r="CT45" s="603">
        <v>147101.18634615382</v>
      </c>
      <c r="CU45" s="603">
        <f t="shared" si="618"/>
        <v>-243186.45942307689</v>
      </c>
      <c r="CV45" s="604">
        <f>CU45/CM45</f>
        <v>-4.1356834703424523</v>
      </c>
      <c r="CW45" s="129">
        <v>2</v>
      </c>
      <c r="CX45" s="130">
        <v>55229</v>
      </c>
      <c r="CY45" s="130">
        <v>60482</v>
      </c>
      <c r="CZ45" s="130"/>
      <c r="DA45" s="605">
        <f t="shared" si="591"/>
        <v>5253</v>
      </c>
      <c r="DB45" s="114">
        <f>DA45/CY45</f>
        <v>8.6852286630733105E-2</v>
      </c>
      <c r="DC45" s="138">
        <v>0</v>
      </c>
      <c r="DD45" s="130"/>
      <c r="DE45" s="130"/>
      <c r="DF45" s="130"/>
      <c r="DG45" s="128">
        <f t="shared" si="619"/>
        <v>5253</v>
      </c>
      <c r="DH45" s="169">
        <f>DG45/CY45</f>
        <v>8.6852286630733105E-2</v>
      </c>
      <c r="DI45" s="204">
        <f t="shared" si="620"/>
        <v>2.3333333333333335</v>
      </c>
      <c r="DJ45" s="202">
        <f t="shared" si="621"/>
        <v>231327</v>
      </c>
      <c r="DK45" s="202">
        <f t="shared" si="622"/>
        <v>25403</v>
      </c>
      <c r="DL45" s="119">
        <f>DK45/DJ45</f>
        <v>0.10981424563496694</v>
      </c>
      <c r="DM45" s="202">
        <f t="shared" si="623"/>
        <v>-221356.45942307689</v>
      </c>
      <c r="DN45" s="119">
        <f>DM45/DJ45</f>
        <v>-0.9568985004909798</v>
      </c>
      <c r="DO45" s="607">
        <f t="shared" si="624"/>
        <v>-2</v>
      </c>
      <c r="DP45" s="137">
        <f t="shared" si="625"/>
        <v>-57999</v>
      </c>
      <c r="DQ45" s="137">
        <f t="shared" si="626"/>
        <v>-75770</v>
      </c>
      <c r="DR45" s="137">
        <f t="shared" si="627"/>
        <v>-644</v>
      </c>
      <c r="DS45" s="135">
        <f t="shared" si="628"/>
        <v>-0.5</v>
      </c>
      <c r="DT45" s="135">
        <f t="shared" si="629"/>
        <v>-0.42567448551213927</v>
      </c>
      <c r="DU45" s="135">
        <f t="shared" si="630"/>
        <v>-12.848906223503477</v>
      </c>
      <c r="DV45" s="151">
        <f t="shared" si="631"/>
        <v>3.6845340460238078E-3</v>
      </c>
      <c r="DW45" s="607">
        <f t="shared" si="632"/>
        <v>0</v>
      </c>
      <c r="DX45" s="608">
        <f t="shared" si="633"/>
        <v>1680</v>
      </c>
      <c r="DY45" s="608">
        <f t="shared" si="634"/>
        <v>1680</v>
      </c>
      <c r="DZ45" s="608">
        <f t="shared" si="635"/>
        <v>248439.45942307689</v>
      </c>
      <c r="EA45" s="135">
        <f>DW45/CK45</f>
        <v>0</v>
      </c>
      <c r="EB45" s="135">
        <f>DX45/CM45</f>
        <v>2.8570456787184111E-2</v>
      </c>
      <c r="EC45" s="135">
        <f>DY45/CO45</f>
        <v>0.47019311502938704</v>
      </c>
      <c r="ED45" s="151">
        <f>DZ45/CU45</f>
        <v>-1.0216007092354646</v>
      </c>
      <c r="EE45" s="129">
        <v>2</v>
      </c>
      <c r="EF45" s="130">
        <v>55229</v>
      </c>
      <c r="EG45" s="130">
        <v>64630</v>
      </c>
      <c r="EH45" s="130"/>
      <c r="EI45" s="605">
        <f t="shared" si="592"/>
        <v>9401</v>
      </c>
      <c r="EJ45" s="114">
        <f>EI45/EG45</f>
        <v>0.14545876527928206</v>
      </c>
      <c r="EK45" s="138">
        <v>0</v>
      </c>
      <c r="EL45" s="606">
        <v>0</v>
      </c>
      <c r="EM45" s="130">
        <v>0</v>
      </c>
      <c r="EN45" s="130"/>
      <c r="EO45" s="128">
        <f t="shared" si="636"/>
        <v>9401</v>
      </c>
      <c r="EP45" s="114">
        <f>EO45/EG45</f>
        <v>0.14545876527928206</v>
      </c>
      <c r="EQ45" s="129">
        <v>1</v>
      </c>
      <c r="ER45" s="595">
        <v>32173</v>
      </c>
      <c r="ES45" s="595">
        <v>35200</v>
      </c>
      <c r="ET45" s="130">
        <v>17764</v>
      </c>
      <c r="EU45" s="134">
        <f t="shared" si="593"/>
        <v>-14737</v>
      </c>
      <c r="EV45" s="114">
        <f>EU45/ES45</f>
        <v>-0.4186647727272727</v>
      </c>
      <c r="EW45" s="138">
        <v>0</v>
      </c>
      <c r="EX45" s="606">
        <v>0</v>
      </c>
      <c r="EY45" s="130">
        <v>0</v>
      </c>
      <c r="EZ45" s="128">
        <v>0</v>
      </c>
      <c r="FA45" s="128">
        <f t="shared" si="637"/>
        <v>-14737</v>
      </c>
      <c r="FB45" s="114">
        <f>FA45/ES45</f>
        <v>-0.4186647727272727</v>
      </c>
      <c r="FC45" s="643">
        <f t="shared" si="638"/>
        <v>-3</v>
      </c>
      <c r="FD45" s="644">
        <f t="shared" si="639"/>
        <v>-101052</v>
      </c>
      <c r="FE45" s="644">
        <f t="shared" si="640"/>
        <v>-20634</v>
      </c>
      <c r="FF45" s="644">
        <f t="shared" si="641"/>
        <v>160047.65172413792</v>
      </c>
      <c r="FG45" s="74">
        <f t="shared" si="642"/>
        <v>-0.75</v>
      </c>
      <c r="FH45" s="74">
        <f t="shared" si="643"/>
        <v>-0.74165516836450107</v>
      </c>
      <c r="FI45" s="74">
        <f t="shared" si="644"/>
        <v>-3.4990673223673054</v>
      </c>
      <c r="FJ45" s="73">
        <f t="shared" si="645"/>
        <v>-0.9156848164033341</v>
      </c>
      <c r="FK45" s="133">
        <v>1</v>
      </c>
      <c r="FL45" s="134">
        <v>32173</v>
      </c>
      <c r="FM45" s="134">
        <v>35200</v>
      </c>
      <c r="FN45" s="134">
        <v>9067</v>
      </c>
      <c r="FO45" s="134">
        <f t="shared" si="594"/>
        <v>-6040</v>
      </c>
      <c r="FP45" s="135">
        <f>FO45/FM45</f>
        <v>-0.1715909090909091</v>
      </c>
      <c r="FQ45" s="133"/>
      <c r="FR45" s="134"/>
      <c r="FS45" s="134"/>
      <c r="FT45" s="191">
        <f t="shared" si="646"/>
        <v>-6040</v>
      </c>
      <c r="FU45" s="151">
        <f>FT45/FM45</f>
        <v>-0.1715909090909091</v>
      </c>
      <c r="FV45" s="190">
        <f t="shared" si="647"/>
        <v>-3</v>
      </c>
      <c r="FW45" s="191">
        <f t="shared" si="648"/>
        <v>-81055</v>
      </c>
      <c r="FX45" s="191">
        <f t="shared" si="649"/>
        <v>-101052</v>
      </c>
      <c r="FY45" s="191">
        <f t="shared" si="650"/>
        <v>-11937</v>
      </c>
      <c r="FZ45" s="191">
        <f t="shared" si="651"/>
        <v>168744.65172413792</v>
      </c>
      <c r="GA45" s="135">
        <f t="shared" si="652"/>
        <v>-0.75</v>
      </c>
      <c r="GB45" s="135">
        <f t="shared" si="653"/>
        <v>-0.74165516836450107</v>
      </c>
      <c r="GC45" s="135">
        <f t="shared" si="654"/>
        <v>-2.0242496184500594</v>
      </c>
      <c r="GD45" s="151">
        <f t="shared" si="655"/>
        <v>-0.96544319000313072</v>
      </c>
      <c r="GE45" s="187">
        <f t="shared" si="656"/>
        <v>1.3333333333333333</v>
      </c>
      <c r="GF45" s="155">
        <f t="shared" si="657"/>
        <v>135030</v>
      </c>
      <c r="GG45" s="155">
        <f t="shared" si="658"/>
        <v>-11376</v>
      </c>
      <c r="GH45" s="74">
        <f>GG45/GF45</f>
        <v>-8.4247944901133076E-2</v>
      </c>
      <c r="GI45" s="613">
        <f t="shared" si="659"/>
        <v>-11376</v>
      </c>
      <c r="GJ45" s="187">
        <f t="shared" si="660"/>
        <v>-1.0000000000000002</v>
      </c>
      <c r="GK45" s="155">
        <f t="shared" si="661"/>
        <v>-96297</v>
      </c>
      <c r="GL45" s="155">
        <f t="shared" si="662"/>
        <v>-36779</v>
      </c>
      <c r="GM45" s="613">
        <f t="shared" si="663"/>
        <v>209980.45942307689</v>
      </c>
      <c r="GN45" s="133"/>
      <c r="GO45" s="134">
        <v>0</v>
      </c>
      <c r="GP45" s="134">
        <v>0</v>
      </c>
      <c r="GQ45" s="134">
        <v>0</v>
      </c>
      <c r="GR45" s="134">
        <f t="shared" si="595"/>
        <v>0</v>
      </c>
      <c r="GS45" s="135"/>
      <c r="GT45" s="133">
        <v>0</v>
      </c>
      <c r="GU45" s="134">
        <v>0</v>
      </c>
      <c r="GV45" s="134">
        <v>0</v>
      </c>
      <c r="GW45" s="134">
        <v>0</v>
      </c>
      <c r="GX45" s="190">
        <f t="shared" si="664"/>
        <v>0</v>
      </c>
      <c r="GY45" s="151"/>
      <c r="GZ45" s="614"/>
      <c r="HA45" s="130"/>
      <c r="HB45" s="130"/>
      <c r="HC45" s="130"/>
      <c r="HD45" s="134">
        <f t="shared" si="596"/>
        <v>0</v>
      </c>
      <c r="HE45" s="151"/>
      <c r="HF45" s="138">
        <v>0</v>
      </c>
      <c r="HG45" s="130"/>
      <c r="HH45" s="130"/>
      <c r="HI45" s="130"/>
      <c r="HJ45" s="237"/>
      <c r="HK45" s="114"/>
      <c r="HL45" s="617"/>
      <c r="HM45" s="134">
        <v>0</v>
      </c>
      <c r="HN45" s="134">
        <v>0</v>
      </c>
      <c r="HO45" s="134">
        <v>0</v>
      </c>
      <c r="HP45" s="615">
        <f t="shared" si="597"/>
        <v>0</v>
      </c>
      <c r="HQ45" s="201"/>
      <c r="HR45" s="133">
        <v>0</v>
      </c>
      <c r="HS45" s="134">
        <v>0</v>
      </c>
      <c r="HT45" s="134"/>
      <c r="HU45" s="134">
        <v>0</v>
      </c>
      <c r="HV45" s="191">
        <f t="shared" si="598"/>
        <v>0</v>
      </c>
      <c r="HW45" s="151"/>
      <c r="HX45" s="697"/>
      <c r="HY45" s="241">
        <f t="shared" si="599"/>
        <v>0</v>
      </c>
      <c r="HZ45" s="415">
        <f t="shared" si="600"/>
        <v>0</v>
      </c>
      <c r="IA45" s="241"/>
      <c r="IB45" s="415">
        <f t="shared" si="601"/>
        <v>0</v>
      </c>
      <c r="IC45" s="141"/>
      <c r="ID45" s="642"/>
      <c r="IE45" s="141">
        <f t="shared" si="512"/>
        <v>726221</v>
      </c>
      <c r="IF45" s="141">
        <f t="shared" si="513"/>
        <v>84876</v>
      </c>
      <c r="IG45" s="74">
        <f t="shared" si="602"/>
        <v>0.11687351371001389</v>
      </c>
      <c r="IH45" s="1507"/>
      <c r="II45" s="69"/>
      <c r="IJ45" s="133"/>
      <c r="IK45" s="134"/>
      <c r="IL45" s="134"/>
      <c r="IM45" s="134">
        <v>0</v>
      </c>
      <c r="IN45" s="133">
        <f t="shared" si="603"/>
        <v>0</v>
      </c>
      <c r="IO45" s="151"/>
      <c r="IP45" s="133">
        <v>0</v>
      </c>
      <c r="IQ45" s="134">
        <v>0</v>
      </c>
      <c r="IR45" s="134">
        <v>0</v>
      </c>
      <c r="IS45" s="190">
        <f t="shared" si="604"/>
        <v>0</v>
      </c>
      <c r="IT45" s="151"/>
      <c r="IU45" s="390"/>
      <c r="IV45" s="134"/>
      <c r="IW45" s="134"/>
      <c r="IX45" s="134">
        <v>0</v>
      </c>
      <c r="IY45" s="133">
        <f t="shared" si="605"/>
        <v>0</v>
      </c>
      <c r="IZ45" s="196">
        <v>0</v>
      </c>
      <c r="JA45" s="133">
        <v>0</v>
      </c>
      <c r="JB45" s="134">
        <v>0</v>
      </c>
      <c r="JC45" s="134">
        <v>0</v>
      </c>
      <c r="JD45" s="190">
        <f t="shared" si="606"/>
        <v>0</v>
      </c>
      <c r="JE45" s="196">
        <v>0</v>
      </c>
      <c r="JF45" s="390"/>
      <c r="JG45" s="134"/>
      <c r="JH45" s="134"/>
      <c r="JI45" s="134"/>
      <c r="JJ45" s="133">
        <f t="shared" si="573"/>
        <v>0</v>
      </c>
      <c r="JK45" s="196">
        <v>0</v>
      </c>
      <c r="JL45" s="133">
        <v>0</v>
      </c>
      <c r="JM45" s="134">
        <v>0</v>
      </c>
      <c r="JN45" s="134">
        <v>0</v>
      </c>
      <c r="JO45" s="190">
        <f t="shared" si="574"/>
        <v>0</v>
      </c>
      <c r="JP45" s="196">
        <v>0</v>
      </c>
      <c r="JQ45" s="390"/>
      <c r="JR45" s="191">
        <f t="shared" si="575"/>
        <v>0</v>
      </c>
      <c r="JS45" s="191">
        <f t="shared" si="576"/>
        <v>0</v>
      </c>
      <c r="JT45" s="151"/>
      <c r="JU45" s="390"/>
      <c r="JV45" s="134"/>
      <c r="JW45" s="134"/>
      <c r="JX45" s="134"/>
      <c r="JY45" s="133">
        <f t="shared" si="560"/>
        <v>0</v>
      </c>
      <c r="JZ45" s="151"/>
      <c r="KA45" s="133"/>
      <c r="KB45" s="134"/>
      <c r="KC45" s="134">
        <v>0</v>
      </c>
      <c r="KD45" s="190">
        <f t="shared" si="514"/>
        <v>0</v>
      </c>
      <c r="KE45" s="196">
        <v>0</v>
      </c>
      <c r="KF45" s="390"/>
      <c r="KG45" s="134"/>
      <c r="KH45" s="134"/>
      <c r="KI45" s="134"/>
      <c r="KJ45" s="133">
        <f t="shared" si="563"/>
        <v>0</v>
      </c>
      <c r="KK45" s="151"/>
      <c r="KL45" s="133"/>
      <c r="KM45" s="134"/>
      <c r="KN45" s="134">
        <v>0</v>
      </c>
      <c r="KO45" s="190">
        <f t="shared" si="515"/>
        <v>0</v>
      </c>
      <c r="KP45" s="196">
        <v>0</v>
      </c>
      <c r="KQ45" s="390"/>
      <c r="KR45" s="134"/>
      <c r="KS45" s="134"/>
      <c r="KT45" s="134"/>
      <c r="KU45" s="133">
        <f t="shared" si="566"/>
        <v>0</v>
      </c>
      <c r="KV45" s="151"/>
      <c r="KW45" s="133"/>
      <c r="KX45" s="134"/>
      <c r="KY45" s="134">
        <v>0</v>
      </c>
      <c r="KZ45" s="190">
        <f t="shared" si="516"/>
        <v>0</v>
      </c>
      <c r="LA45" s="196">
        <v>0</v>
      </c>
      <c r="LB45" s="402"/>
      <c r="LC45" s="191">
        <f t="shared" si="517"/>
        <v>0</v>
      </c>
      <c r="LD45" s="191">
        <f t="shared" si="518"/>
        <v>0</v>
      </c>
      <c r="LE45" s="151"/>
      <c r="LF45" s="226">
        <f t="shared" si="519"/>
        <v>0</v>
      </c>
      <c r="LG45" s="128">
        <f t="shared" si="520"/>
        <v>0</v>
      </c>
      <c r="LH45" s="139">
        <f t="shared" si="521"/>
        <v>0</v>
      </c>
      <c r="LI45" s="442"/>
      <c r="LJ45" s="442"/>
      <c r="LK45" s="106"/>
      <c r="LL45" s="390"/>
      <c r="LM45" s="134"/>
      <c r="LN45" s="134"/>
      <c r="LO45" s="134"/>
      <c r="LP45" s="133">
        <f t="shared" si="522"/>
        <v>0</v>
      </c>
      <c r="LQ45" s="151"/>
      <c r="LR45" s="133"/>
      <c r="LS45" s="134"/>
      <c r="LT45" s="134">
        <v>0</v>
      </c>
      <c r="LU45" s="190">
        <f t="shared" si="523"/>
        <v>0</v>
      </c>
      <c r="LV45" s="196">
        <v>0</v>
      </c>
      <c r="LW45" s="134"/>
      <c r="LX45" s="134"/>
      <c r="LY45" s="134"/>
      <c r="LZ45" s="134"/>
      <c r="MA45" s="133">
        <f t="shared" si="524"/>
        <v>0</v>
      </c>
      <c r="MB45" s="151"/>
      <c r="MC45" s="134"/>
      <c r="MD45" s="134"/>
      <c r="ME45" s="134">
        <v>0</v>
      </c>
      <c r="MF45" s="190">
        <f t="shared" si="525"/>
        <v>0</v>
      </c>
      <c r="MG45" s="151" t="e">
        <f t="shared" ref="MG45:MG56" si="682">MF45/LY45</f>
        <v>#DIV/0!</v>
      </c>
      <c r="MH45" s="134"/>
      <c r="MI45" s="134"/>
      <c r="MJ45" s="134"/>
      <c r="MK45" s="134"/>
      <c r="ML45" s="133">
        <f t="shared" si="526"/>
        <v>0</v>
      </c>
      <c r="MM45" s="151"/>
      <c r="MN45" s="134"/>
      <c r="MO45" s="134"/>
      <c r="MP45" s="134">
        <v>0</v>
      </c>
      <c r="MQ45" s="190">
        <f t="shared" si="527"/>
        <v>0</v>
      </c>
      <c r="MR45" s="151" t="e">
        <f t="shared" ref="MR45:MR56" si="683">MQ45/MJ45</f>
        <v>#DIV/0!</v>
      </c>
      <c r="MS45" s="1472"/>
      <c r="MT45" s="118">
        <f t="shared" si="528"/>
        <v>0</v>
      </c>
      <c r="MU45" s="118">
        <f t="shared" si="529"/>
        <v>0</v>
      </c>
      <c r="MV45" s="135"/>
      <c r="MW45" s="133">
        <f t="shared" si="530"/>
        <v>0</v>
      </c>
      <c r="MX45" s="134">
        <f t="shared" si="531"/>
        <v>0</v>
      </c>
      <c r="MY45" s="134">
        <f t="shared" si="532"/>
        <v>0</v>
      </c>
      <c r="MZ45" s="135"/>
      <c r="NA45" s="135"/>
      <c r="NB45" s="151"/>
      <c r="NC45" s="134"/>
      <c r="ND45" s="134"/>
      <c r="NE45" s="134"/>
      <c r="NF45" s="134"/>
      <c r="NG45" s="133">
        <f t="shared" si="534"/>
        <v>0</v>
      </c>
      <c r="NH45" s="151"/>
      <c r="NI45" s="134"/>
      <c r="NJ45" s="134"/>
      <c r="NK45" s="134">
        <v>0</v>
      </c>
      <c r="NL45" s="190">
        <f t="shared" si="535"/>
        <v>0</v>
      </c>
      <c r="NM45" s="135" t="e">
        <f t="shared" ref="NM45:NM56" si="684">NL45/NE45</f>
        <v>#DIV/0!</v>
      </c>
      <c r="NN45" s="1563"/>
      <c r="NO45" s="134"/>
      <c r="NP45" s="134"/>
      <c r="NQ45" s="134"/>
      <c r="NR45" s="133">
        <f t="shared" si="536"/>
        <v>0</v>
      </c>
      <c r="NS45" s="151"/>
      <c r="NT45" s="134">
        <v>0</v>
      </c>
      <c r="NU45" s="134"/>
      <c r="NV45" s="134">
        <v>0</v>
      </c>
      <c r="NW45" s="190">
        <f t="shared" si="537"/>
        <v>0</v>
      </c>
      <c r="NX45" s="135" t="e">
        <f t="shared" ref="NX45:NX56" si="685">NW45/NP45</f>
        <v>#DIV/0!</v>
      </c>
      <c r="NY45" s="1563"/>
      <c r="NZ45" s="134"/>
      <c r="OA45" s="134"/>
      <c r="OB45" s="134"/>
      <c r="OC45" s="133">
        <f t="shared" si="538"/>
        <v>0</v>
      </c>
      <c r="OD45" s="151"/>
      <c r="OE45" s="134">
        <v>0</v>
      </c>
      <c r="OF45" s="134"/>
      <c r="OG45" s="134">
        <v>0</v>
      </c>
      <c r="OH45" s="190">
        <f t="shared" si="539"/>
        <v>0</v>
      </c>
      <c r="OI45" s="5380" t="e">
        <f t="shared" ref="OI45:OI56" si="686">OH45/OA45</f>
        <v>#DIV/0!</v>
      </c>
      <c r="OJ45" s="69"/>
      <c r="OK45" s="155">
        <f t="shared" si="540"/>
        <v>0</v>
      </c>
      <c r="OL45" s="155">
        <f t="shared" si="541"/>
        <v>0</v>
      </c>
      <c r="OM45" s="74" t="e">
        <f t="shared" si="542"/>
        <v>#DIV/0!</v>
      </c>
      <c r="ON45" s="155">
        <f t="shared" si="543"/>
        <v>0</v>
      </c>
      <c r="OO45" s="70"/>
      <c r="OP45" s="69"/>
      <c r="OQ45" s="1563"/>
      <c r="OR45" s="134"/>
      <c r="OS45" s="134"/>
      <c r="OT45" s="134"/>
      <c r="OU45" s="133">
        <f t="shared" si="544"/>
        <v>0</v>
      </c>
      <c r="OV45" s="94"/>
      <c r="OW45" s="133">
        <v>0</v>
      </c>
      <c r="OX45" s="134">
        <v>0</v>
      </c>
      <c r="OY45" s="134">
        <v>0</v>
      </c>
      <c r="OZ45" s="190">
        <f t="shared" si="545"/>
        <v>0</v>
      </c>
      <c r="PA45" s="5361" t="e">
        <f>OZ45/OS45</f>
        <v>#DIV/0!</v>
      </c>
      <c r="PB45" s="5320"/>
      <c r="PC45" s="134"/>
      <c r="PD45" s="134"/>
      <c r="PE45" s="134">
        <v>0</v>
      </c>
      <c r="PF45" s="133">
        <f t="shared" si="608"/>
        <v>0</v>
      </c>
      <c r="PG45" s="4271">
        <v>0</v>
      </c>
      <c r="PH45" s="133">
        <v>0</v>
      </c>
      <c r="PI45" s="134">
        <v>0</v>
      </c>
      <c r="PJ45" s="134">
        <v>0</v>
      </c>
      <c r="PK45" s="190">
        <f t="shared" si="546"/>
        <v>0</v>
      </c>
      <c r="PL45" s="135"/>
      <c r="PM45" s="5379"/>
      <c r="PN45" s="134"/>
      <c r="PO45" s="134"/>
      <c r="PP45" s="134"/>
      <c r="PQ45" s="6293">
        <f t="shared" si="610"/>
        <v>0</v>
      </c>
      <c r="PR45" s="6296">
        <v>0</v>
      </c>
      <c r="PS45" s="134">
        <v>0</v>
      </c>
      <c r="PT45" s="134">
        <v>0</v>
      </c>
      <c r="PU45" s="134">
        <v>0</v>
      </c>
      <c r="PV45" s="190">
        <f t="shared" si="265"/>
        <v>0</v>
      </c>
      <c r="PW45" s="5381">
        <v>0</v>
      </c>
      <c r="PX45" s="5320"/>
      <c r="PY45" s="191">
        <f t="shared" si="578"/>
        <v>0</v>
      </c>
      <c r="PZ45" s="191">
        <f t="shared" si="579"/>
        <v>0</v>
      </c>
      <c r="QA45" s="135"/>
      <c r="QB45" s="5379"/>
      <c r="QC45" s="134"/>
      <c r="QD45" s="134"/>
      <c r="QE45" s="134"/>
      <c r="QF45" s="6293">
        <f t="shared" si="270"/>
        <v>0</v>
      </c>
      <c r="QG45" s="6296"/>
      <c r="QH45" s="134"/>
      <c r="QI45" s="134"/>
      <c r="QJ45" s="134">
        <v>0</v>
      </c>
      <c r="QK45" s="190">
        <f t="shared" si="665"/>
        <v>0</v>
      </c>
      <c r="QL45" s="5381">
        <v>0</v>
      </c>
      <c r="QM45" s="5379"/>
      <c r="QN45" s="134"/>
      <c r="QO45" s="134"/>
      <c r="QP45" s="134"/>
      <c r="QQ45" s="133">
        <f>QO45-(QN45+QP45)</f>
        <v>0</v>
      </c>
      <c r="QR45" s="151"/>
      <c r="QS45" s="133"/>
      <c r="QT45" s="134">
        <v>0</v>
      </c>
      <c r="QU45" s="134">
        <v>0</v>
      </c>
      <c r="QV45" s="190">
        <f t="shared" si="666"/>
        <v>0</v>
      </c>
      <c r="QW45" s="5381">
        <v>0</v>
      </c>
      <c r="QX45" s="5379"/>
      <c r="QY45" s="134">
        <v>0</v>
      </c>
      <c r="QZ45" s="134">
        <v>0</v>
      </c>
      <c r="RA45" s="134"/>
      <c r="RB45" s="133">
        <f t="shared" si="569"/>
        <v>0</v>
      </c>
      <c r="RC45" s="151"/>
      <c r="RD45" s="133"/>
      <c r="RE45" s="134"/>
      <c r="RF45" s="134">
        <v>0</v>
      </c>
      <c r="RG45" s="190">
        <f t="shared" si="667"/>
        <v>0</v>
      </c>
      <c r="RH45" s="5381">
        <v>0</v>
      </c>
      <c r="RI45" s="5376"/>
      <c r="RJ45" s="191">
        <f t="shared" si="548"/>
        <v>0</v>
      </c>
      <c r="RK45" s="191">
        <f t="shared" si="668"/>
        <v>0</v>
      </c>
      <c r="RL45" s="5380"/>
      <c r="RM45" s="1562">
        <f t="shared" si="550"/>
        <v>0</v>
      </c>
      <c r="RN45" s="128">
        <f t="shared" si="551"/>
        <v>0</v>
      </c>
      <c r="RO45" s="139">
        <f t="shared" si="552"/>
        <v>0</v>
      </c>
      <c r="RP45" s="442"/>
      <c r="RQ45" s="442"/>
      <c r="RR45" s="6339"/>
      <c r="RS45" s="6327"/>
      <c r="RT45" s="130">
        <v>0</v>
      </c>
      <c r="RU45" s="130">
        <v>0</v>
      </c>
      <c r="RV45" s="3546"/>
      <c r="RW45" s="133">
        <f t="shared" si="669"/>
        <v>0</v>
      </c>
      <c r="RX45" s="151"/>
      <c r="RY45" s="133"/>
      <c r="RZ45" s="134"/>
      <c r="SA45" s="134">
        <v>0</v>
      </c>
      <c r="SB45" s="190">
        <f t="shared" si="670"/>
        <v>0</v>
      </c>
      <c r="SC45" s="5381"/>
      <c r="SD45" s="5405"/>
      <c r="SE45" s="130"/>
      <c r="SF45" s="130"/>
      <c r="SG45" s="606"/>
      <c r="SH45" s="6361">
        <f t="shared" si="572"/>
        <v>0</v>
      </c>
      <c r="SI45" s="6363" t="e">
        <f t="shared" si="671"/>
        <v>#DIV/0!</v>
      </c>
      <c r="SJ45" s="134"/>
      <c r="SK45" s="134"/>
      <c r="SL45" s="134">
        <v>0</v>
      </c>
      <c r="SM45" s="188">
        <f t="shared" si="289"/>
        <v>0</v>
      </c>
      <c r="SN45" s="5389" t="e">
        <f t="shared" si="290"/>
        <v>#DIV/0!</v>
      </c>
      <c r="SO45" s="134"/>
      <c r="SP45" s="134"/>
      <c r="SQ45" s="134"/>
      <c r="SR45" s="134"/>
      <c r="SS45" s="6361">
        <f t="shared" si="672"/>
        <v>0</v>
      </c>
      <c r="ST45" s="6363"/>
      <c r="SU45" s="134"/>
      <c r="SV45" s="134"/>
      <c r="SW45" s="134">
        <v>0</v>
      </c>
      <c r="SX45" s="190">
        <f t="shared" si="673"/>
        <v>0</v>
      </c>
      <c r="SY45" s="5380" t="e">
        <f t="shared" ref="SY45:SY56" si="687">SX45/SQ45</f>
        <v>#DIV/0!</v>
      </c>
      <c r="SZ45" s="6270"/>
      <c r="TA45" s="118">
        <f t="shared" si="674"/>
        <v>0</v>
      </c>
      <c r="TB45" s="118">
        <f t="shared" si="675"/>
        <v>0</v>
      </c>
      <c r="TC45" s="5380"/>
      <c r="TD45" s="1563"/>
      <c r="TE45" s="134"/>
      <c r="TF45" s="134"/>
      <c r="TG45" s="134"/>
      <c r="TH45" s="133">
        <f t="shared" si="676"/>
        <v>0</v>
      </c>
      <c r="TI45" s="151"/>
      <c r="TJ45" s="134"/>
      <c r="TK45" s="134">
        <v>0</v>
      </c>
      <c r="TL45" s="134"/>
      <c r="TM45" s="190">
        <f t="shared" si="677"/>
        <v>0</v>
      </c>
      <c r="TN45" s="5380" t="e">
        <f t="shared" ref="TN45:TN56" si="688">TM45/TF45</f>
        <v>#DIV/0!</v>
      </c>
      <c r="TO45" s="134"/>
      <c r="TP45" s="134"/>
      <c r="TQ45" s="134"/>
      <c r="TR45" s="134"/>
      <c r="TS45" s="133">
        <f t="shared" si="678"/>
        <v>0</v>
      </c>
      <c r="TT45" s="151"/>
      <c r="TU45" s="134">
        <v>0</v>
      </c>
      <c r="TV45" s="134"/>
      <c r="TW45" s="134">
        <v>0</v>
      </c>
      <c r="TX45" s="190">
        <f t="shared" si="679"/>
        <v>0</v>
      </c>
      <c r="TY45" s="135" t="e">
        <f t="shared" ref="TY45:TY56" si="689">TX45/TQ45</f>
        <v>#DIV/0!</v>
      </c>
      <c r="TZ45" s="1563"/>
      <c r="UA45" s="134"/>
      <c r="UB45" s="134"/>
      <c r="UC45" s="134"/>
      <c r="UD45" s="133">
        <f t="shared" si="680"/>
        <v>0</v>
      </c>
      <c r="UE45" s="151"/>
      <c r="UF45" s="134">
        <v>0</v>
      </c>
      <c r="UG45" s="134"/>
      <c r="UH45" s="134">
        <v>0</v>
      </c>
      <c r="UI45" s="190">
        <f t="shared" si="681"/>
        <v>0</v>
      </c>
      <c r="UJ45" s="5380" t="e">
        <f t="shared" ref="UJ45:UJ56" si="690">UI45/UB45</f>
        <v>#DIV/0!</v>
      </c>
      <c r="UK45" s="5376"/>
      <c r="UL45" s="191">
        <f t="shared" si="284"/>
        <v>0</v>
      </c>
      <c r="UM45" s="191">
        <f t="shared" si="285"/>
        <v>0</v>
      </c>
      <c r="UN45" s="135" t="e">
        <f t="shared" si="484"/>
        <v>#DIV/0!</v>
      </c>
      <c r="UO45" s="191">
        <f t="shared" si="286"/>
        <v>0</v>
      </c>
      <c r="UP45" s="4952"/>
    </row>
    <row r="46" spans="1:562" x14ac:dyDescent="0.3">
      <c r="A46" s="5316"/>
      <c r="B46" s="5360" t="s">
        <v>400</v>
      </c>
      <c r="C46" s="578" t="s">
        <v>141</v>
      </c>
      <c r="D46" s="578" t="s">
        <v>140</v>
      </c>
      <c r="E46" s="6278" t="s">
        <v>254</v>
      </c>
      <c r="F46" s="672"/>
      <c r="G46" s="350"/>
      <c r="H46" s="350"/>
      <c r="I46" s="350"/>
      <c r="J46" s="351"/>
      <c r="K46" s="673">
        <v>1</v>
      </c>
      <c r="L46" s="350">
        <v>39195</v>
      </c>
      <c r="M46" s="350">
        <v>47666</v>
      </c>
      <c r="N46" s="350">
        <v>8471</v>
      </c>
      <c r="O46" s="672"/>
      <c r="P46" s="673">
        <v>2</v>
      </c>
      <c r="Q46" s="350">
        <v>563059</v>
      </c>
      <c r="R46" s="350">
        <v>685375</v>
      </c>
      <c r="S46" s="350">
        <v>122316</v>
      </c>
      <c r="T46" s="95"/>
      <c r="U46" s="136"/>
      <c r="V46" s="422"/>
      <c r="W46" s="422"/>
      <c r="X46" s="422"/>
      <c r="Y46" s="422"/>
      <c r="Z46" s="581"/>
      <c r="AA46" s="422"/>
      <c r="AB46" s="422"/>
      <c r="AC46" s="422"/>
      <c r="AD46" s="422"/>
      <c r="AE46" s="582">
        <f t="shared" si="580"/>
        <v>0</v>
      </c>
      <c r="AF46" s="422"/>
      <c r="AG46" s="113">
        <v>3</v>
      </c>
      <c r="AH46" s="616">
        <v>253474</v>
      </c>
      <c r="AI46" s="616">
        <v>347516</v>
      </c>
      <c r="AJ46" s="616"/>
      <c r="AK46" s="105">
        <f t="shared" si="581"/>
        <v>94042</v>
      </c>
      <c r="AL46" s="114">
        <f t="shared" si="611"/>
        <v>0.27061200059853358</v>
      </c>
      <c r="AM46" s="129">
        <v>0</v>
      </c>
      <c r="AN46" s="417">
        <v>0</v>
      </c>
      <c r="AO46" s="130"/>
      <c r="AP46" s="130">
        <v>49383.651724137926</v>
      </c>
      <c r="AQ46" s="417">
        <f t="shared" si="612"/>
        <v>44658.348275862074</v>
      </c>
      <c r="AR46" s="116">
        <f t="shared" si="613"/>
        <v>0.47487663252442602</v>
      </c>
      <c r="AS46" s="113">
        <v>3</v>
      </c>
      <c r="AT46" s="161">
        <v>794622</v>
      </c>
      <c r="AU46" s="161">
        <v>1021146</v>
      </c>
      <c r="AV46" s="161">
        <v>226524</v>
      </c>
      <c r="AW46" s="116">
        <f t="shared" si="614"/>
        <v>0.22183311690982485</v>
      </c>
      <c r="AX46" s="586">
        <v>3</v>
      </c>
      <c r="AY46" s="587">
        <f t="shared" si="582"/>
        <v>1396876</v>
      </c>
      <c r="AZ46" s="587">
        <f t="shared" si="583"/>
        <v>1754187</v>
      </c>
      <c r="BA46" s="587">
        <f t="shared" si="584"/>
        <v>357311</v>
      </c>
      <c r="BB46" s="588">
        <f t="shared" si="615"/>
        <v>0.20369037052492123</v>
      </c>
      <c r="BC46" s="1512"/>
      <c r="BD46" s="582"/>
      <c r="BE46" s="582"/>
      <c r="BF46" s="582"/>
      <c r="BG46" s="582">
        <f t="shared" si="585"/>
        <v>0</v>
      </c>
      <c r="BH46" s="589"/>
      <c r="BI46" s="1512"/>
      <c r="BJ46" s="582"/>
      <c r="BK46" s="582"/>
      <c r="BL46" s="582"/>
      <c r="BM46" s="582">
        <f t="shared" si="586"/>
        <v>0</v>
      </c>
      <c r="BN46" s="589"/>
      <c r="BO46" s="590"/>
      <c r="BP46" s="582"/>
      <c r="BQ46" s="582"/>
      <c r="BR46" s="582"/>
      <c r="BS46" s="582">
        <f t="shared" si="587"/>
        <v>0</v>
      </c>
      <c r="BT46" s="591"/>
      <c r="BU46" s="590"/>
      <c r="BV46" s="592">
        <f t="shared" si="588"/>
        <v>0</v>
      </c>
      <c r="BW46" s="592">
        <f t="shared" si="589"/>
        <v>0</v>
      </c>
      <c r="BX46" s="593"/>
      <c r="BY46" s="654">
        <v>1</v>
      </c>
      <c r="BZ46" s="650">
        <v>81790</v>
      </c>
      <c r="CA46" s="650">
        <v>161233</v>
      </c>
      <c r="CB46" s="650">
        <v>2725</v>
      </c>
      <c r="CC46" s="596">
        <f t="shared" si="616"/>
        <v>76718</v>
      </c>
      <c r="CD46" s="655">
        <f>CC46/CA46</f>
        <v>0.47582070667915377</v>
      </c>
      <c r="CE46" s="670"/>
      <c r="CF46" s="599"/>
      <c r="CG46" s="671"/>
      <c r="CH46" s="599"/>
      <c r="CI46" s="599">
        <f t="shared" si="617"/>
        <v>76718</v>
      </c>
      <c r="CJ46" s="597">
        <f>CI46/CA46</f>
        <v>0.47582070667915377</v>
      </c>
      <c r="CK46" s="600">
        <v>1</v>
      </c>
      <c r="CL46" s="601">
        <v>81790</v>
      </c>
      <c r="CM46" s="601">
        <v>110833</v>
      </c>
      <c r="CN46" s="601"/>
      <c r="CO46" s="360">
        <f t="shared" si="590"/>
        <v>29043</v>
      </c>
      <c r="CP46" s="602">
        <f>CO46/CM46</f>
        <v>0.26204289336208531</v>
      </c>
      <c r="CQ46" s="603">
        <v>0</v>
      </c>
      <c r="CR46" s="603">
        <v>99658.273076923069</v>
      </c>
      <c r="CS46" s="603"/>
      <c r="CT46" s="603">
        <v>147101.18634615382</v>
      </c>
      <c r="CU46" s="603">
        <f t="shared" si="618"/>
        <v>-217716.45942307689</v>
      </c>
      <c r="CV46" s="604">
        <f>CU46/CM46</f>
        <v>-1.9643649402531456</v>
      </c>
      <c r="CW46" s="129"/>
      <c r="CX46" s="130"/>
      <c r="CY46" s="130"/>
      <c r="CZ46" s="130"/>
      <c r="DA46" s="605">
        <f t="shared" si="591"/>
        <v>0</v>
      </c>
      <c r="DB46" s="114"/>
      <c r="DC46" s="138">
        <v>0</v>
      </c>
      <c r="DD46" s="130"/>
      <c r="DE46" s="130"/>
      <c r="DF46" s="130"/>
      <c r="DG46" s="128">
        <f t="shared" si="619"/>
        <v>0</v>
      </c>
      <c r="DH46" s="169"/>
      <c r="DI46" s="204">
        <f t="shared" si="620"/>
        <v>0.66666666666666663</v>
      </c>
      <c r="DJ46" s="202">
        <f t="shared" si="621"/>
        <v>272066</v>
      </c>
      <c r="DK46" s="202">
        <f t="shared" si="622"/>
        <v>105761</v>
      </c>
      <c r="DL46" s="119">
        <f>DK46/DJ46</f>
        <v>0.38873288099211223</v>
      </c>
      <c r="DM46" s="202">
        <f t="shared" si="623"/>
        <v>-140998.45942307689</v>
      </c>
      <c r="DN46" s="119">
        <f>DM46/DJ46</f>
        <v>-0.5182509369898366</v>
      </c>
      <c r="DO46" s="607">
        <f t="shared" si="624"/>
        <v>-3</v>
      </c>
      <c r="DP46" s="137">
        <f t="shared" si="625"/>
        <v>-253474</v>
      </c>
      <c r="DQ46" s="137">
        <f t="shared" si="626"/>
        <v>-347516</v>
      </c>
      <c r="DR46" s="137">
        <f t="shared" si="627"/>
        <v>-94042</v>
      </c>
      <c r="DS46" s="135">
        <f t="shared" si="628"/>
        <v>-1</v>
      </c>
      <c r="DT46" s="135">
        <f t="shared" si="629"/>
        <v>-0.72938799940146637</v>
      </c>
      <c r="DU46" s="135">
        <f t="shared" si="630"/>
        <v>-3.6953276195742326</v>
      </c>
      <c r="DV46" s="151">
        <f t="shared" si="631"/>
        <v>-2.1058100809973279</v>
      </c>
      <c r="DW46" s="607">
        <f t="shared" si="632"/>
        <v>-1</v>
      </c>
      <c r="DX46" s="608">
        <f t="shared" si="633"/>
        <v>-110833</v>
      </c>
      <c r="DY46" s="608">
        <f t="shared" si="634"/>
        <v>-29043</v>
      </c>
      <c r="DZ46" s="608">
        <f t="shared" si="635"/>
        <v>217716.45942307689</v>
      </c>
      <c r="EA46" s="135">
        <f>DW46/CK46</f>
        <v>-1</v>
      </c>
      <c r="EB46" s="135">
        <f>DX46/CM46</f>
        <v>-1</v>
      </c>
      <c r="EC46" s="135">
        <f>DY46/CO46</f>
        <v>-1</v>
      </c>
      <c r="ED46" s="151">
        <f>DZ46/CU46</f>
        <v>-1</v>
      </c>
      <c r="EE46" s="129">
        <v>0</v>
      </c>
      <c r="EF46" s="130">
        <v>0</v>
      </c>
      <c r="EG46" s="130">
        <v>0</v>
      </c>
      <c r="EH46" s="130">
        <v>7984</v>
      </c>
      <c r="EI46" s="605">
        <f t="shared" si="592"/>
        <v>-7984</v>
      </c>
      <c r="EJ46" s="114"/>
      <c r="EK46" s="138">
        <v>0</v>
      </c>
      <c r="EL46" s="606">
        <v>0</v>
      </c>
      <c r="EM46" s="130">
        <v>0</v>
      </c>
      <c r="EN46" s="130"/>
      <c r="EO46" s="128">
        <f t="shared" si="636"/>
        <v>-7984</v>
      </c>
      <c r="EP46" s="114"/>
      <c r="EQ46" s="129"/>
      <c r="ER46" s="595"/>
      <c r="ES46" s="595"/>
      <c r="ET46" s="661"/>
      <c r="EU46" s="134">
        <f t="shared" si="593"/>
        <v>0</v>
      </c>
      <c r="EV46" s="699">
        <v>0</v>
      </c>
      <c r="EW46" s="138">
        <v>0</v>
      </c>
      <c r="EX46" s="606">
        <v>0</v>
      </c>
      <c r="EY46" s="130">
        <v>0</v>
      </c>
      <c r="EZ46" s="128">
        <v>0</v>
      </c>
      <c r="FA46" s="128">
        <f t="shared" si="637"/>
        <v>0</v>
      </c>
      <c r="FB46" s="114"/>
      <c r="FC46" s="643">
        <f t="shared" si="638"/>
        <v>-3</v>
      </c>
      <c r="FD46" s="644">
        <f t="shared" si="639"/>
        <v>-347516</v>
      </c>
      <c r="FE46" s="644">
        <f t="shared" si="640"/>
        <v>-94042</v>
      </c>
      <c r="FF46" s="644">
        <f t="shared" si="641"/>
        <v>-44658.348275862074</v>
      </c>
      <c r="FG46" s="74">
        <f t="shared" si="642"/>
        <v>-1</v>
      </c>
      <c r="FH46" s="74">
        <f t="shared" si="643"/>
        <v>-1</v>
      </c>
      <c r="FI46" s="74">
        <f t="shared" si="644"/>
        <v>-1</v>
      </c>
      <c r="FJ46" s="73">
        <f t="shared" si="645"/>
        <v>-1</v>
      </c>
      <c r="FK46" s="133">
        <v>0</v>
      </c>
      <c r="FL46" s="134">
        <v>0</v>
      </c>
      <c r="FM46" s="134">
        <v>0</v>
      </c>
      <c r="FN46" s="134"/>
      <c r="FO46" s="134">
        <f t="shared" si="594"/>
        <v>0</v>
      </c>
      <c r="FP46" s="135">
        <v>0</v>
      </c>
      <c r="FQ46" s="133"/>
      <c r="FR46" s="134"/>
      <c r="FS46" s="134"/>
      <c r="FT46" s="191">
        <f t="shared" si="646"/>
        <v>0</v>
      </c>
      <c r="FU46" s="151"/>
      <c r="FV46" s="190">
        <f t="shared" si="647"/>
        <v>-3</v>
      </c>
      <c r="FW46" s="191">
        <f t="shared" si="648"/>
        <v>-253474</v>
      </c>
      <c r="FX46" s="191">
        <f t="shared" si="649"/>
        <v>-347516</v>
      </c>
      <c r="FY46" s="191">
        <f t="shared" si="650"/>
        <v>-94042</v>
      </c>
      <c r="FZ46" s="191">
        <f t="shared" si="651"/>
        <v>-44658.348275862074</v>
      </c>
      <c r="GA46" s="135">
        <f t="shared" si="652"/>
        <v>-1</v>
      </c>
      <c r="GB46" s="135">
        <f t="shared" si="653"/>
        <v>-1</v>
      </c>
      <c r="GC46" s="135">
        <f t="shared" si="654"/>
        <v>-1</v>
      </c>
      <c r="GD46" s="151">
        <f t="shared" si="655"/>
        <v>-1</v>
      </c>
      <c r="GE46" s="187">
        <f t="shared" si="656"/>
        <v>0</v>
      </c>
      <c r="GF46" s="155">
        <f t="shared" si="657"/>
        <v>0</v>
      </c>
      <c r="GG46" s="155">
        <f t="shared" si="658"/>
        <v>-7984</v>
      </c>
      <c r="GH46" s="74"/>
      <c r="GI46" s="613">
        <f t="shared" si="659"/>
        <v>-7984</v>
      </c>
      <c r="GJ46" s="187">
        <f t="shared" si="660"/>
        <v>-0.66666666666666663</v>
      </c>
      <c r="GK46" s="155">
        <f t="shared" si="661"/>
        <v>-272066</v>
      </c>
      <c r="GL46" s="155">
        <f t="shared" si="662"/>
        <v>-113745</v>
      </c>
      <c r="GM46" s="613">
        <f t="shared" si="663"/>
        <v>133014.45942307689</v>
      </c>
      <c r="GN46" s="133"/>
      <c r="GO46" s="134">
        <v>0</v>
      </c>
      <c r="GP46" s="134">
        <v>0</v>
      </c>
      <c r="GQ46" s="134">
        <v>0</v>
      </c>
      <c r="GR46" s="134">
        <f t="shared" si="595"/>
        <v>0</v>
      </c>
      <c r="GS46" s="152">
        <v>0</v>
      </c>
      <c r="GT46" s="133">
        <v>0</v>
      </c>
      <c r="GU46" s="134">
        <v>0</v>
      </c>
      <c r="GV46" s="134">
        <v>0</v>
      </c>
      <c r="GW46" s="134">
        <v>0</v>
      </c>
      <c r="GX46" s="190">
        <f t="shared" si="664"/>
        <v>0</v>
      </c>
      <c r="GY46" s="151">
        <v>0</v>
      </c>
      <c r="GZ46" s="614"/>
      <c r="HA46" s="130"/>
      <c r="HB46" s="130"/>
      <c r="HC46" s="130"/>
      <c r="HD46" s="134">
        <f t="shared" si="596"/>
        <v>0</v>
      </c>
      <c r="HE46" s="151"/>
      <c r="HF46" s="138">
        <v>0</v>
      </c>
      <c r="HG46" s="130"/>
      <c r="HH46" s="130"/>
      <c r="HI46" s="130"/>
      <c r="HJ46" s="237"/>
      <c r="HK46" s="114"/>
      <c r="HL46" s="617"/>
      <c r="HM46" s="134"/>
      <c r="HN46" s="134"/>
      <c r="HO46" s="134">
        <v>0</v>
      </c>
      <c r="HP46" s="615">
        <f t="shared" si="597"/>
        <v>0</v>
      </c>
      <c r="HQ46" s="717"/>
      <c r="HR46" s="133">
        <v>0</v>
      </c>
      <c r="HS46" s="134">
        <v>0</v>
      </c>
      <c r="HT46" s="134"/>
      <c r="HU46" s="134">
        <v>0</v>
      </c>
      <c r="HV46" s="191">
        <f t="shared" si="598"/>
        <v>0</v>
      </c>
      <c r="HW46" s="151"/>
      <c r="HX46" s="697"/>
      <c r="HY46" s="241">
        <f t="shared" si="599"/>
        <v>0</v>
      </c>
      <c r="HZ46" s="415">
        <f t="shared" si="600"/>
        <v>0</v>
      </c>
      <c r="IA46" s="241"/>
      <c r="IB46" s="415">
        <f t="shared" si="601"/>
        <v>0</v>
      </c>
      <c r="IC46" s="141"/>
      <c r="ID46" s="642"/>
      <c r="IE46" s="141">
        <f t="shared" si="512"/>
        <v>272066</v>
      </c>
      <c r="IF46" s="141">
        <f t="shared" si="513"/>
        <v>97777</v>
      </c>
      <c r="IG46" s="74">
        <f t="shared" si="602"/>
        <v>0.35938706049267455</v>
      </c>
      <c r="IH46" s="1507"/>
      <c r="II46" s="69"/>
      <c r="IJ46" s="133"/>
      <c r="IK46" s="134"/>
      <c r="IL46" s="134"/>
      <c r="IM46" s="134">
        <v>0</v>
      </c>
      <c r="IN46" s="133">
        <f t="shared" si="603"/>
        <v>0</v>
      </c>
      <c r="IO46" s="717"/>
      <c r="IP46" s="133">
        <v>424306</v>
      </c>
      <c r="IQ46" s="134">
        <v>0</v>
      </c>
      <c r="IR46" s="134">
        <v>0</v>
      </c>
      <c r="IS46" s="190">
        <f t="shared" si="604"/>
        <v>-424306</v>
      </c>
      <c r="IT46" s="151"/>
      <c r="IU46" s="390"/>
      <c r="IV46" s="134"/>
      <c r="IW46" s="134"/>
      <c r="IX46" s="134">
        <v>0</v>
      </c>
      <c r="IY46" s="133">
        <f t="shared" si="605"/>
        <v>0</v>
      </c>
      <c r="IZ46" s="196">
        <v>0</v>
      </c>
      <c r="JA46" s="133">
        <v>0</v>
      </c>
      <c r="JB46" s="134">
        <v>0</v>
      </c>
      <c r="JC46" s="134">
        <v>0</v>
      </c>
      <c r="JD46" s="190">
        <f t="shared" si="606"/>
        <v>0</v>
      </c>
      <c r="JE46" s="196">
        <v>0</v>
      </c>
      <c r="JF46" s="390"/>
      <c r="JG46" s="134"/>
      <c r="JH46" s="134"/>
      <c r="JI46" s="134"/>
      <c r="JJ46" s="133">
        <f t="shared" si="573"/>
        <v>0</v>
      </c>
      <c r="JK46" s="196">
        <v>0</v>
      </c>
      <c r="JL46" s="133">
        <v>0</v>
      </c>
      <c r="JM46" s="134">
        <v>0</v>
      </c>
      <c r="JN46" s="134">
        <v>0</v>
      </c>
      <c r="JO46" s="190">
        <f t="shared" si="574"/>
        <v>0</v>
      </c>
      <c r="JP46" s="196">
        <v>0</v>
      </c>
      <c r="JQ46" s="390"/>
      <c r="JR46" s="191">
        <f t="shared" si="575"/>
        <v>0</v>
      </c>
      <c r="JS46" s="191">
        <f t="shared" si="576"/>
        <v>0</v>
      </c>
      <c r="JT46" s="151"/>
      <c r="JU46" s="390"/>
      <c r="JV46" s="134"/>
      <c r="JW46" s="134"/>
      <c r="JX46" s="134"/>
      <c r="JY46" s="133">
        <f t="shared" si="560"/>
        <v>0</v>
      </c>
      <c r="JZ46" s="151"/>
      <c r="KA46" s="133"/>
      <c r="KB46" s="134"/>
      <c r="KC46" s="134">
        <v>0</v>
      </c>
      <c r="KD46" s="190">
        <f t="shared" si="514"/>
        <v>0</v>
      </c>
      <c r="KE46" s="196">
        <v>0</v>
      </c>
      <c r="KF46" s="390"/>
      <c r="KG46" s="134"/>
      <c r="KH46" s="134"/>
      <c r="KI46" s="134"/>
      <c r="KJ46" s="133">
        <f t="shared" si="563"/>
        <v>0</v>
      </c>
      <c r="KK46" s="151"/>
      <c r="KL46" s="133"/>
      <c r="KM46" s="134"/>
      <c r="KN46" s="134">
        <v>0</v>
      </c>
      <c r="KO46" s="190">
        <f t="shared" si="515"/>
        <v>0</v>
      </c>
      <c r="KP46" s="196">
        <v>0</v>
      </c>
      <c r="KQ46" s="390"/>
      <c r="KR46" s="134"/>
      <c r="KS46" s="134"/>
      <c r="KT46" s="134"/>
      <c r="KU46" s="133">
        <f t="shared" si="566"/>
        <v>0</v>
      </c>
      <c r="KV46" s="151"/>
      <c r="KW46" s="133"/>
      <c r="KX46" s="134"/>
      <c r="KY46" s="134">
        <v>0</v>
      </c>
      <c r="KZ46" s="190">
        <f t="shared" si="516"/>
        <v>0</v>
      </c>
      <c r="LA46" s="196">
        <v>0</v>
      </c>
      <c r="LB46" s="402"/>
      <c r="LC46" s="191">
        <f t="shared" si="517"/>
        <v>0</v>
      </c>
      <c r="LD46" s="191">
        <f t="shared" si="518"/>
        <v>0</v>
      </c>
      <c r="LE46" s="151"/>
      <c r="LF46" s="226">
        <f t="shared" si="519"/>
        <v>0</v>
      </c>
      <c r="LG46" s="128">
        <f t="shared" si="520"/>
        <v>0</v>
      </c>
      <c r="LH46" s="139">
        <f t="shared" si="521"/>
        <v>0</v>
      </c>
      <c r="LI46" s="718">
        <v>0</v>
      </c>
      <c r="LJ46" s="718">
        <v>0</v>
      </c>
      <c r="LK46" s="699">
        <v>0</v>
      </c>
      <c r="LL46" s="390"/>
      <c r="LM46" s="134"/>
      <c r="LN46" s="134"/>
      <c r="LO46" s="134"/>
      <c r="LP46" s="133">
        <f t="shared" si="522"/>
        <v>0</v>
      </c>
      <c r="LQ46" s="151"/>
      <c r="LR46" s="133"/>
      <c r="LS46" s="134"/>
      <c r="LT46" s="134">
        <v>0</v>
      </c>
      <c r="LU46" s="190">
        <f t="shared" si="523"/>
        <v>0</v>
      </c>
      <c r="LV46" s="196">
        <v>0</v>
      </c>
      <c r="LW46" s="134"/>
      <c r="LX46" s="134"/>
      <c r="LY46" s="134"/>
      <c r="LZ46" s="134"/>
      <c r="MA46" s="133">
        <f t="shared" si="524"/>
        <v>0</v>
      </c>
      <c r="MB46" s="151"/>
      <c r="MC46" s="134"/>
      <c r="MD46" s="134"/>
      <c r="ME46" s="134">
        <v>0</v>
      </c>
      <c r="MF46" s="190">
        <f t="shared" si="525"/>
        <v>0</v>
      </c>
      <c r="MG46" s="151" t="e">
        <f t="shared" si="682"/>
        <v>#DIV/0!</v>
      </c>
      <c r="MH46" s="134"/>
      <c r="MI46" s="134"/>
      <c r="MJ46" s="134"/>
      <c r="MK46" s="134"/>
      <c r="ML46" s="133">
        <f t="shared" si="526"/>
        <v>0</v>
      </c>
      <c r="MM46" s="151"/>
      <c r="MN46" s="134"/>
      <c r="MO46" s="134"/>
      <c r="MP46" s="134">
        <v>0</v>
      </c>
      <c r="MQ46" s="190">
        <f t="shared" si="527"/>
        <v>0</v>
      </c>
      <c r="MR46" s="151" t="e">
        <f t="shared" si="683"/>
        <v>#DIV/0!</v>
      </c>
      <c r="MS46" s="1472"/>
      <c r="MT46" s="118">
        <f t="shared" si="528"/>
        <v>0</v>
      </c>
      <c r="MU46" s="118">
        <f t="shared" si="529"/>
        <v>0</v>
      </c>
      <c r="MV46" s="135"/>
      <c r="MW46" s="133">
        <f t="shared" si="530"/>
        <v>0</v>
      </c>
      <c r="MX46" s="134">
        <f t="shared" si="531"/>
        <v>0</v>
      </c>
      <c r="MY46" s="134">
        <f t="shared" si="532"/>
        <v>0</v>
      </c>
      <c r="MZ46" s="135"/>
      <c r="NA46" s="135"/>
      <c r="NB46" s="151"/>
      <c r="NC46" s="134"/>
      <c r="ND46" s="134"/>
      <c r="NE46" s="134"/>
      <c r="NF46" s="134"/>
      <c r="NG46" s="133">
        <f t="shared" si="534"/>
        <v>0</v>
      </c>
      <c r="NH46" s="151"/>
      <c r="NI46" s="134"/>
      <c r="NJ46" s="134"/>
      <c r="NK46" s="134">
        <v>0</v>
      </c>
      <c r="NL46" s="190">
        <f t="shared" si="535"/>
        <v>0</v>
      </c>
      <c r="NM46" s="135" t="e">
        <f t="shared" si="684"/>
        <v>#DIV/0!</v>
      </c>
      <c r="NN46" s="1563"/>
      <c r="NO46" s="134"/>
      <c r="NP46" s="134"/>
      <c r="NQ46" s="134"/>
      <c r="NR46" s="133">
        <f t="shared" si="536"/>
        <v>0</v>
      </c>
      <c r="NS46" s="151"/>
      <c r="NT46" s="134">
        <v>0</v>
      </c>
      <c r="NU46" s="134"/>
      <c r="NV46" s="134">
        <v>0</v>
      </c>
      <c r="NW46" s="190">
        <f t="shared" si="537"/>
        <v>0</v>
      </c>
      <c r="NX46" s="135" t="e">
        <f t="shared" si="685"/>
        <v>#DIV/0!</v>
      </c>
      <c r="NY46" s="1563"/>
      <c r="NZ46" s="134"/>
      <c r="OA46" s="134"/>
      <c r="OB46" s="134"/>
      <c r="OC46" s="133">
        <f t="shared" si="538"/>
        <v>0</v>
      </c>
      <c r="OD46" s="151"/>
      <c r="OE46" s="134">
        <v>0</v>
      </c>
      <c r="OF46" s="134"/>
      <c r="OG46" s="134">
        <v>0</v>
      </c>
      <c r="OH46" s="190">
        <f t="shared" si="539"/>
        <v>0</v>
      </c>
      <c r="OI46" s="5380" t="e">
        <f t="shared" si="686"/>
        <v>#DIV/0!</v>
      </c>
      <c r="OJ46" s="69"/>
      <c r="OK46" s="155">
        <f t="shared" si="540"/>
        <v>0</v>
      </c>
      <c r="OL46" s="155">
        <f t="shared" si="541"/>
        <v>0</v>
      </c>
      <c r="OM46" s="74" t="e">
        <f t="shared" si="542"/>
        <v>#DIV/0!</v>
      </c>
      <c r="ON46" s="155">
        <f t="shared" si="543"/>
        <v>-424306</v>
      </c>
      <c r="OO46" s="70"/>
      <c r="OP46" s="69"/>
      <c r="OQ46" s="1563"/>
      <c r="OR46" s="134"/>
      <c r="OS46" s="134"/>
      <c r="OT46" s="134"/>
      <c r="OU46" s="133">
        <f t="shared" si="544"/>
        <v>0</v>
      </c>
      <c r="OV46" s="4272"/>
      <c r="OW46" s="133">
        <v>424306</v>
      </c>
      <c r="OX46" s="134">
        <v>0</v>
      </c>
      <c r="OY46" s="134">
        <v>0</v>
      </c>
      <c r="OZ46" s="190">
        <f t="shared" si="545"/>
        <v>-424306</v>
      </c>
      <c r="PA46" s="5372">
        <v>0</v>
      </c>
      <c r="PB46" s="5320"/>
      <c r="PC46" s="134"/>
      <c r="PD46" s="134"/>
      <c r="PE46" s="134">
        <v>0</v>
      </c>
      <c r="PF46" s="133">
        <f t="shared" si="608"/>
        <v>0</v>
      </c>
      <c r="PG46" s="4271">
        <v>0</v>
      </c>
      <c r="PH46" s="133">
        <v>0</v>
      </c>
      <c r="PI46" s="134">
        <v>0</v>
      </c>
      <c r="PJ46" s="134">
        <v>0</v>
      </c>
      <c r="PK46" s="190">
        <f t="shared" si="546"/>
        <v>0</v>
      </c>
      <c r="PL46" s="135"/>
      <c r="PM46" s="5379"/>
      <c r="PN46" s="134"/>
      <c r="PO46" s="134"/>
      <c r="PP46" s="134"/>
      <c r="PQ46" s="6293">
        <f t="shared" si="610"/>
        <v>0</v>
      </c>
      <c r="PR46" s="6296">
        <v>0</v>
      </c>
      <c r="PS46" s="134">
        <v>0</v>
      </c>
      <c r="PT46" s="134">
        <v>0</v>
      </c>
      <c r="PU46" s="134">
        <v>0</v>
      </c>
      <c r="PV46" s="190">
        <f t="shared" si="265"/>
        <v>0</v>
      </c>
      <c r="PW46" s="5381">
        <v>0</v>
      </c>
      <c r="PX46" s="5320"/>
      <c r="PY46" s="191">
        <f t="shared" si="578"/>
        <v>0</v>
      </c>
      <c r="PZ46" s="191">
        <f t="shared" si="579"/>
        <v>0</v>
      </c>
      <c r="QA46" s="135"/>
      <c r="QB46" s="5379"/>
      <c r="QC46" s="134"/>
      <c r="QD46" s="134"/>
      <c r="QE46" s="134"/>
      <c r="QF46" s="6293">
        <f t="shared" si="270"/>
        <v>0</v>
      </c>
      <c r="QG46" s="6296"/>
      <c r="QH46" s="134"/>
      <c r="QI46" s="134"/>
      <c r="QJ46" s="134">
        <v>0</v>
      </c>
      <c r="QK46" s="190">
        <f t="shared" si="665"/>
        <v>0</v>
      </c>
      <c r="QL46" s="5381">
        <v>0</v>
      </c>
      <c r="QM46" s="5379"/>
      <c r="QN46" s="134"/>
      <c r="QO46" s="134"/>
      <c r="QP46" s="134"/>
      <c r="QQ46" s="133">
        <f t="shared" ref="QQ46:QQ53" si="691">QO46-(QN46+QP46)</f>
        <v>0</v>
      </c>
      <c r="QR46" s="151"/>
      <c r="QS46" s="133"/>
      <c r="QT46" s="134">
        <v>0</v>
      </c>
      <c r="QU46" s="134">
        <v>0</v>
      </c>
      <c r="QV46" s="190">
        <f t="shared" si="666"/>
        <v>0</v>
      </c>
      <c r="QW46" s="5381">
        <v>0</v>
      </c>
      <c r="QX46" s="5379"/>
      <c r="QY46" s="134">
        <v>0</v>
      </c>
      <c r="QZ46" s="134">
        <v>0</v>
      </c>
      <c r="RA46" s="134"/>
      <c r="RB46" s="133">
        <f t="shared" ref="RB46:RB53" si="692">QZ46-(QY46+RA46)</f>
        <v>0</v>
      </c>
      <c r="RC46" s="151"/>
      <c r="RD46" s="133"/>
      <c r="RE46" s="134"/>
      <c r="RF46" s="134">
        <v>0</v>
      </c>
      <c r="RG46" s="190">
        <f t="shared" si="667"/>
        <v>0</v>
      </c>
      <c r="RH46" s="5381">
        <v>0</v>
      </c>
      <c r="RI46" s="5376"/>
      <c r="RJ46" s="191">
        <f t="shared" si="548"/>
        <v>0</v>
      </c>
      <c r="RK46" s="191">
        <f t="shared" si="668"/>
        <v>0</v>
      </c>
      <c r="RL46" s="5380"/>
      <c r="RM46" s="1562">
        <f t="shared" si="550"/>
        <v>0</v>
      </c>
      <c r="RN46" s="128">
        <f t="shared" si="551"/>
        <v>0</v>
      </c>
      <c r="RO46" s="139">
        <f t="shared" si="552"/>
        <v>0</v>
      </c>
      <c r="RP46" s="718">
        <v>0</v>
      </c>
      <c r="RQ46" s="718">
        <v>0</v>
      </c>
      <c r="RR46" s="6348">
        <v>0</v>
      </c>
      <c r="RS46" s="6327"/>
      <c r="RT46" s="130">
        <v>0</v>
      </c>
      <c r="RU46" s="130">
        <v>0</v>
      </c>
      <c r="RV46" s="3546"/>
      <c r="RW46" s="133">
        <f t="shared" si="669"/>
        <v>0</v>
      </c>
      <c r="RX46" s="151"/>
      <c r="RY46" s="133"/>
      <c r="RZ46" s="134"/>
      <c r="SA46" s="134">
        <v>0</v>
      </c>
      <c r="SB46" s="190">
        <f t="shared" si="670"/>
        <v>0</v>
      </c>
      <c r="SC46" s="5381"/>
      <c r="SD46" s="5405"/>
      <c r="SE46" s="130"/>
      <c r="SF46" s="130"/>
      <c r="SG46" s="606"/>
      <c r="SH46" s="6361">
        <f t="shared" si="572"/>
        <v>0</v>
      </c>
      <c r="SI46" s="6363" t="e">
        <f t="shared" si="671"/>
        <v>#DIV/0!</v>
      </c>
      <c r="SJ46" s="134"/>
      <c r="SK46" s="134"/>
      <c r="SL46" s="134">
        <v>0</v>
      </c>
      <c r="SM46" s="188">
        <f t="shared" si="289"/>
        <v>0</v>
      </c>
      <c r="SN46" s="5389" t="e">
        <f t="shared" si="290"/>
        <v>#DIV/0!</v>
      </c>
      <c r="SO46" s="134"/>
      <c r="SP46" s="134"/>
      <c r="SQ46" s="134"/>
      <c r="SR46" s="134"/>
      <c r="SS46" s="6361">
        <f t="shared" si="672"/>
        <v>0</v>
      </c>
      <c r="ST46" s="6363"/>
      <c r="SU46" s="134"/>
      <c r="SV46" s="134"/>
      <c r="SW46" s="134">
        <v>0</v>
      </c>
      <c r="SX46" s="190">
        <f t="shared" si="673"/>
        <v>0</v>
      </c>
      <c r="SY46" s="5380" t="e">
        <f t="shared" si="687"/>
        <v>#DIV/0!</v>
      </c>
      <c r="SZ46" s="6270"/>
      <c r="TA46" s="118">
        <f t="shared" si="674"/>
        <v>0</v>
      </c>
      <c r="TB46" s="118">
        <f t="shared" si="675"/>
        <v>0</v>
      </c>
      <c r="TC46" s="5380"/>
      <c r="TD46" s="1563"/>
      <c r="TE46" s="134"/>
      <c r="TF46" s="134"/>
      <c r="TG46" s="134"/>
      <c r="TH46" s="133">
        <f t="shared" si="676"/>
        <v>0</v>
      </c>
      <c r="TI46" s="151"/>
      <c r="TJ46" s="134"/>
      <c r="TK46" s="134">
        <v>0</v>
      </c>
      <c r="TL46" s="134"/>
      <c r="TM46" s="190">
        <f t="shared" si="677"/>
        <v>0</v>
      </c>
      <c r="TN46" s="5380" t="e">
        <f t="shared" si="688"/>
        <v>#DIV/0!</v>
      </c>
      <c r="TO46" s="134"/>
      <c r="TP46" s="134"/>
      <c r="TQ46" s="134"/>
      <c r="TR46" s="134"/>
      <c r="TS46" s="133">
        <f t="shared" si="678"/>
        <v>0</v>
      </c>
      <c r="TT46" s="151"/>
      <c r="TU46" s="134">
        <v>0</v>
      </c>
      <c r="TV46" s="134"/>
      <c r="TW46" s="134">
        <v>0</v>
      </c>
      <c r="TX46" s="190">
        <f t="shared" si="679"/>
        <v>0</v>
      </c>
      <c r="TY46" s="135" t="e">
        <f t="shared" si="689"/>
        <v>#DIV/0!</v>
      </c>
      <c r="TZ46" s="1563"/>
      <c r="UA46" s="134"/>
      <c r="UB46" s="134"/>
      <c r="UC46" s="134"/>
      <c r="UD46" s="133">
        <f t="shared" si="680"/>
        <v>0</v>
      </c>
      <c r="UE46" s="151"/>
      <c r="UF46" s="134">
        <v>0</v>
      </c>
      <c r="UG46" s="134"/>
      <c r="UH46" s="134">
        <v>0</v>
      </c>
      <c r="UI46" s="190">
        <f t="shared" si="681"/>
        <v>0</v>
      </c>
      <c r="UJ46" s="5380" t="e">
        <f t="shared" si="690"/>
        <v>#DIV/0!</v>
      </c>
      <c r="UK46" s="5376"/>
      <c r="UL46" s="191">
        <f t="shared" si="284"/>
        <v>0</v>
      </c>
      <c r="UM46" s="191">
        <f t="shared" si="285"/>
        <v>0</v>
      </c>
      <c r="UN46" s="135" t="e">
        <f t="shared" si="484"/>
        <v>#DIV/0!</v>
      </c>
      <c r="UO46" s="191">
        <f t="shared" si="286"/>
        <v>-424306</v>
      </c>
      <c r="UP46" s="4952"/>
    </row>
    <row r="47" spans="1:562" x14ac:dyDescent="0.3">
      <c r="A47" s="5316"/>
      <c r="B47" s="5362" t="s">
        <v>401</v>
      </c>
      <c r="C47" s="719" t="s">
        <v>141</v>
      </c>
      <c r="D47" s="719" t="s">
        <v>142</v>
      </c>
      <c r="E47" s="6278" t="s">
        <v>254</v>
      </c>
      <c r="F47" s="672"/>
      <c r="G47" s="350"/>
      <c r="H47" s="350"/>
      <c r="I47" s="350"/>
      <c r="J47" s="351"/>
      <c r="K47" s="673">
        <v>1</v>
      </c>
      <c r="L47" s="350">
        <v>49053</v>
      </c>
      <c r="M47" s="350">
        <v>108000</v>
      </c>
      <c r="N47" s="350">
        <v>58947</v>
      </c>
      <c r="O47" s="672"/>
      <c r="P47" s="673">
        <v>1</v>
      </c>
      <c r="Q47" s="350">
        <v>233044</v>
      </c>
      <c r="R47" s="350">
        <v>417009</v>
      </c>
      <c r="S47" s="350">
        <v>183965</v>
      </c>
      <c r="T47" s="95"/>
      <c r="U47" s="664"/>
      <c r="V47" s="663"/>
      <c r="W47" s="663"/>
      <c r="X47" s="663"/>
      <c r="Y47" s="663"/>
      <c r="Z47" s="666"/>
      <c r="AA47" s="663"/>
      <c r="AB47" s="663"/>
      <c r="AC47" s="663"/>
      <c r="AD47" s="663"/>
      <c r="AE47" s="582">
        <f t="shared" si="580"/>
        <v>0</v>
      </c>
      <c r="AF47" s="663"/>
      <c r="AG47" s="667">
        <v>1</v>
      </c>
      <c r="AH47" s="668">
        <v>81754</v>
      </c>
      <c r="AI47" s="668">
        <v>163680</v>
      </c>
      <c r="AJ47" s="668"/>
      <c r="AK47" s="105">
        <f t="shared" si="581"/>
        <v>81926</v>
      </c>
      <c r="AL47" s="117">
        <f t="shared" si="611"/>
        <v>0.50052541544477025</v>
      </c>
      <c r="AM47" s="129">
        <v>0</v>
      </c>
      <c r="AN47" s="417">
        <v>0</v>
      </c>
      <c r="AO47" s="130"/>
      <c r="AP47" s="130">
        <v>49383.651724137926</v>
      </c>
      <c r="AQ47" s="417">
        <f t="shared" si="612"/>
        <v>32542.348275862074</v>
      </c>
      <c r="AR47" s="116">
        <f t="shared" si="613"/>
        <v>0.3972163693560295</v>
      </c>
      <c r="AS47" s="113">
        <v>1</v>
      </c>
      <c r="AT47" s="161">
        <v>234430</v>
      </c>
      <c r="AU47" s="161">
        <v>417384</v>
      </c>
      <c r="AV47" s="161">
        <v>182954</v>
      </c>
      <c r="AW47" s="116">
        <f t="shared" si="614"/>
        <v>0.4383349625285109</v>
      </c>
      <c r="AX47" s="586">
        <v>1</v>
      </c>
      <c r="AY47" s="587">
        <f t="shared" si="582"/>
        <v>516527</v>
      </c>
      <c r="AZ47" s="587">
        <f t="shared" si="583"/>
        <v>942393</v>
      </c>
      <c r="BA47" s="587">
        <f t="shared" si="584"/>
        <v>425866</v>
      </c>
      <c r="BB47" s="588">
        <f t="shared" si="615"/>
        <v>0.45189851792192853</v>
      </c>
      <c r="BC47" s="1512"/>
      <c r="BD47" s="582"/>
      <c r="BE47" s="582"/>
      <c r="BF47" s="582"/>
      <c r="BG47" s="582">
        <f t="shared" si="585"/>
        <v>0</v>
      </c>
      <c r="BH47" s="589"/>
      <c r="BI47" s="1512"/>
      <c r="BJ47" s="582"/>
      <c r="BK47" s="582"/>
      <c r="BL47" s="582"/>
      <c r="BM47" s="582">
        <f t="shared" si="586"/>
        <v>0</v>
      </c>
      <c r="BN47" s="589"/>
      <c r="BO47" s="590"/>
      <c r="BP47" s="582"/>
      <c r="BQ47" s="582"/>
      <c r="BR47" s="582"/>
      <c r="BS47" s="582">
        <f t="shared" si="587"/>
        <v>0</v>
      </c>
      <c r="BT47" s="591"/>
      <c r="BU47" s="590"/>
      <c r="BV47" s="592">
        <f t="shared" si="588"/>
        <v>0</v>
      </c>
      <c r="BW47" s="592">
        <f t="shared" si="589"/>
        <v>0</v>
      </c>
      <c r="BX47" s="593"/>
      <c r="BY47" s="654"/>
      <c r="BZ47" s="650">
        <v>0</v>
      </c>
      <c r="CA47" s="650">
        <v>0</v>
      </c>
      <c r="CB47" s="650"/>
      <c r="CC47" s="596">
        <f t="shared" si="616"/>
        <v>0</v>
      </c>
      <c r="CD47" s="655"/>
      <c r="CE47" s="670"/>
      <c r="CF47" s="671"/>
      <c r="CG47" s="671"/>
      <c r="CH47" s="671"/>
      <c r="CI47" s="599">
        <f t="shared" si="617"/>
        <v>0</v>
      </c>
      <c r="CJ47" s="597"/>
      <c r="CK47" s="600"/>
      <c r="CL47" s="601">
        <v>0</v>
      </c>
      <c r="CM47" s="601">
        <v>0</v>
      </c>
      <c r="CN47" s="601"/>
      <c r="CO47" s="360">
        <f t="shared" si="590"/>
        <v>0</v>
      </c>
      <c r="CP47" s="602"/>
      <c r="CQ47" s="603">
        <v>0</v>
      </c>
      <c r="CR47" s="603"/>
      <c r="CS47" s="603"/>
      <c r="CT47" s="603"/>
      <c r="CU47" s="603">
        <f t="shared" si="618"/>
        <v>0</v>
      </c>
      <c r="CV47" s="604"/>
      <c r="CW47" s="129"/>
      <c r="CX47" s="130"/>
      <c r="CY47" s="130"/>
      <c r="CZ47" s="130"/>
      <c r="DA47" s="605">
        <f t="shared" si="591"/>
        <v>0</v>
      </c>
      <c r="DB47" s="114"/>
      <c r="DC47" s="138">
        <v>0</v>
      </c>
      <c r="DD47" s="130"/>
      <c r="DE47" s="130"/>
      <c r="DF47" s="130"/>
      <c r="DG47" s="128">
        <f t="shared" si="619"/>
        <v>0</v>
      </c>
      <c r="DH47" s="169"/>
      <c r="DI47" s="204">
        <f t="shared" si="620"/>
        <v>0</v>
      </c>
      <c r="DJ47" s="202">
        <f t="shared" si="621"/>
        <v>0</v>
      </c>
      <c r="DK47" s="202">
        <f t="shared" si="622"/>
        <v>0</v>
      </c>
      <c r="DL47" s="119"/>
      <c r="DM47" s="202">
        <f t="shared" si="623"/>
        <v>0</v>
      </c>
      <c r="DN47" s="119"/>
      <c r="DO47" s="607">
        <f t="shared" si="624"/>
        <v>-1</v>
      </c>
      <c r="DP47" s="137">
        <f t="shared" si="625"/>
        <v>-81754</v>
      </c>
      <c r="DQ47" s="137">
        <f t="shared" si="626"/>
        <v>-163680</v>
      </c>
      <c r="DR47" s="137">
        <f t="shared" si="627"/>
        <v>-81926</v>
      </c>
      <c r="DS47" s="135">
        <f t="shared" si="628"/>
        <v>-1</v>
      </c>
      <c r="DT47" s="135">
        <f t="shared" si="629"/>
        <v>-0.49947458455522969</v>
      </c>
      <c r="DU47" s="135">
        <f t="shared" si="630"/>
        <v>-1.9979005443937212</v>
      </c>
      <c r="DV47" s="151">
        <f t="shared" si="631"/>
        <v>-2.517519611845827</v>
      </c>
      <c r="DW47" s="607">
        <f t="shared" si="632"/>
        <v>0</v>
      </c>
      <c r="DX47" s="152">
        <f t="shared" si="633"/>
        <v>0</v>
      </c>
      <c r="DY47" s="152">
        <f t="shared" si="634"/>
        <v>0</v>
      </c>
      <c r="DZ47" s="152">
        <f t="shared" si="635"/>
        <v>0</v>
      </c>
      <c r="EA47" s="135"/>
      <c r="EB47" s="135"/>
      <c r="EC47" s="135"/>
      <c r="ED47" s="151"/>
      <c r="EE47" s="129">
        <v>0</v>
      </c>
      <c r="EF47" s="130">
        <v>0</v>
      </c>
      <c r="EG47" s="130">
        <v>0</v>
      </c>
      <c r="EH47" s="130"/>
      <c r="EI47" s="605">
        <f t="shared" si="592"/>
        <v>0</v>
      </c>
      <c r="EJ47" s="114"/>
      <c r="EK47" s="138">
        <v>0</v>
      </c>
      <c r="EL47" s="606">
        <v>0</v>
      </c>
      <c r="EM47" s="130"/>
      <c r="EN47" s="130"/>
      <c r="EO47" s="128">
        <f t="shared" si="636"/>
        <v>0</v>
      </c>
      <c r="EP47" s="114"/>
      <c r="EQ47" s="129">
        <v>0</v>
      </c>
      <c r="ER47" s="595">
        <v>0</v>
      </c>
      <c r="ES47" s="595">
        <v>0</v>
      </c>
      <c r="ET47" s="661"/>
      <c r="EU47" s="134">
        <f t="shared" si="593"/>
        <v>0</v>
      </c>
      <c r="EV47" s="114"/>
      <c r="EW47" s="138">
        <v>0</v>
      </c>
      <c r="EX47" s="606">
        <v>0</v>
      </c>
      <c r="EY47" s="130">
        <v>0</v>
      </c>
      <c r="EZ47" s="130"/>
      <c r="FA47" s="128">
        <f t="shared" si="637"/>
        <v>0</v>
      </c>
      <c r="FB47" s="114"/>
      <c r="FC47" s="643">
        <f t="shared" si="638"/>
        <v>-1</v>
      </c>
      <c r="FD47" s="644">
        <f t="shared" si="639"/>
        <v>-163680</v>
      </c>
      <c r="FE47" s="644">
        <f t="shared" si="640"/>
        <v>-81926</v>
      </c>
      <c r="FF47" s="644">
        <f t="shared" si="641"/>
        <v>-32542.348275862074</v>
      </c>
      <c r="FG47" s="74">
        <f t="shared" si="642"/>
        <v>-1</v>
      </c>
      <c r="FH47" s="74">
        <f t="shared" si="643"/>
        <v>-1</v>
      </c>
      <c r="FI47" s="74">
        <f t="shared" si="644"/>
        <v>-1</v>
      </c>
      <c r="FJ47" s="73">
        <f t="shared" si="645"/>
        <v>-1</v>
      </c>
      <c r="FK47" s="133">
        <v>0</v>
      </c>
      <c r="FL47" s="134">
        <v>0</v>
      </c>
      <c r="FM47" s="134">
        <v>0</v>
      </c>
      <c r="FN47" s="134"/>
      <c r="FO47" s="134">
        <f t="shared" si="594"/>
        <v>0</v>
      </c>
      <c r="FP47" s="135">
        <v>0</v>
      </c>
      <c r="FQ47" s="133"/>
      <c r="FR47" s="134"/>
      <c r="FS47" s="134"/>
      <c r="FT47" s="191">
        <f t="shared" si="646"/>
        <v>0</v>
      </c>
      <c r="FU47" s="151"/>
      <c r="FV47" s="190">
        <f t="shared" si="647"/>
        <v>-1</v>
      </c>
      <c r="FW47" s="191">
        <f t="shared" si="648"/>
        <v>-81754</v>
      </c>
      <c r="FX47" s="191">
        <f t="shared" si="649"/>
        <v>-163680</v>
      </c>
      <c r="FY47" s="191">
        <f t="shared" si="650"/>
        <v>-81926</v>
      </c>
      <c r="FZ47" s="191">
        <f t="shared" si="651"/>
        <v>-32542.348275862074</v>
      </c>
      <c r="GA47" s="135">
        <f t="shared" si="652"/>
        <v>-1</v>
      </c>
      <c r="GB47" s="135">
        <f t="shared" si="653"/>
        <v>-1</v>
      </c>
      <c r="GC47" s="135">
        <f t="shared" si="654"/>
        <v>-1</v>
      </c>
      <c r="GD47" s="151">
        <f t="shared" si="655"/>
        <v>-1</v>
      </c>
      <c r="GE47" s="187">
        <f t="shared" si="656"/>
        <v>0</v>
      </c>
      <c r="GF47" s="155">
        <f t="shared" si="657"/>
        <v>0</v>
      </c>
      <c r="GG47" s="155">
        <f t="shared" si="658"/>
        <v>0</v>
      </c>
      <c r="GH47" s="74"/>
      <c r="GI47" s="613">
        <f t="shared" si="659"/>
        <v>0</v>
      </c>
      <c r="GJ47" s="187">
        <f t="shared" si="660"/>
        <v>0</v>
      </c>
      <c r="GK47" s="155">
        <f t="shared" si="661"/>
        <v>0</v>
      </c>
      <c r="GL47" s="155">
        <f t="shared" si="662"/>
        <v>0</v>
      </c>
      <c r="GM47" s="613">
        <f t="shared" si="663"/>
        <v>0</v>
      </c>
      <c r="GN47" s="133"/>
      <c r="GO47" s="134">
        <v>0</v>
      </c>
      <c r="GP47" s="134">
        <v>0</v>
      </c>
      <c r="GQ47" s="134">
        <v>0</v>
      </c>
      <c r="GR47" s="134">
        <f t="shared" si="595"/>
        <v>0</v>
      </c>
      <c r="GS47" s="152">
        <v>0</v>
      </c>
      <c r="GT47" s="133">
        <v>0</v>
      </c>
      <c r="GU47" s="134">
        <v>0</v>
      </c>
      <c r="GV47" s="134">
        <v>0</v>
      </c>
      <c r="GW47" s="134">
        <v>0</v>
      </c>
      <c r="GX47" s="190">
        <f t="shared" si="664"/>
        <v>0</v>
      </c>
      <c r="GY47" s="151">
        <v>0</v>
      </c>
      <c r="GZ47" s="614"/>
      <c r="HA47" s="130"/>
      <c r="HB47" s="130"/>
      <c r="HC47" s="130"/>
      <c r="HD47" s="134">
        <f t="shared" si="596"/>
        <v>0</v>
      </c>
      <c r="HE47" s="151"/>
      <c r="HF47" s="138">
        <v>0</v>
      </c>
      <c r="HG47" s="130"/>
      <c r="HH47" s="130"/>
      <c r="HI47" s="130"/>
      <c r="HJ47" s="237"/>
      <c r="HK47" s="114"/>
      <c r="HL47" s="617"/>
      <c r="HM47" s="134"/>
      <c r="HN47" s="134"/>
      <c r="HO47" s="134">
        <v>0</v>
      </c>
      <c r="HP47" s="615">
        <f t="shared" si="597"/>
        <v>0</v>
      </c>
      <c r="HQ47" s="717"/>
      <c r="HR47" s="133">
        <v>0</v>
      </c>
      <c r="HS47" s="134">
        <v>0</v>
      </c>
      <c r="HT47" s="134"/>
      <c r="HU47" s="134">
        <v>0</v>
      </c>
      <c r="HV47" s="191">
        <f t="shared" si="598"/>
        <v>0</v>
      </c>
      <c r="HW47" s="151"/>
      <c r="HX47" s="697"/>
      <c r="HY47" s="241">
        <f t="shared" si="599"/>
        <v>0</v>
      </c>
      <c r="HZ47" s="415">
        <f t="shared" si="600"/>
        <v>0</v>
      </c>
      <c r="IA47" s="241"/>
      <c r="IB47" s="415">
        <f t="shared" si="601"/>
        <v>0</v>
      </c>
      <c r="IC47" s="141"/>
      <c r="ID47" s="642"/>
      <c r="IE47" s="141">
        <f t="shared" si="512"/>
        <v>0</v>
      </c>
      <c r="IF47" s="141">
        <f t="shared" si="513"/>
        <v>0</v>
      </c>
      <c r="IG47" s="74" t="e">
        <f t="shared" si="602"/>
        <v>#DIV/0!</v>
      </c>
      <c r="IH47" s="1507"/>
      <c r="II47" s="69"/>
      <c r="IJ47" s="133"/>
      <c r="IK47" s="134"/>
      <c r="IL47" s="134"/>
      <c r="IM47" s="134">
        <v>0</v>
      </c>
      <c r="IN47" s="133">
        <f t="shared" si="603"/>
        <v>0</v>
      </c>
      <c r="IO47" s="717"/>
      <c r="IP47" s="133">
        <v>0</v>
      </c>
      <c r="IQ47" s="134">
        <v>0</v>
      </c>
      <c r="IR47" s="134">
        <v>0</v>
      </c>
      <c r="IS47" s="190">
        <f t="shared" si="604"/>
        <v>0</v>
      </c>
      <c r="IT47" s="151"/>
      <c r="IU47" s="390"/>
      <c r="IV47" s="134"/>
      <c r="IW47" s="134"/>
      <c r="IX47" s="134">
        <v>0</v>
      </c>
      <c r="IY47" s="133">
        <f t="shared" si="605"/>
        <v>0</v>
      </c>
      <c r="IZ47" s="196">
        <v>0</v>
      </c>
      <c r="JA47" s="133">
        <v>0</v>
      </c>
      <c r="JB47" s="134">
        <v>0</v>
      </c>
      <c r="JC47" s="134">
        <v>0</v>
      </c>
      <c r="JD47" s="190">
        <f t="shared" si="606"/>
        <v>0</v>
      </c>
      <c r="JE47" s="196">
        <v>0</v>
      </c>
      <c r="JF47" s="390"/>
      <c r="JG47" s="134"/>
      <c r="JH47" s="134"/>
      <c r="JI47" s="134"/>
      <c r="JJ47" s="133">
        <f t="shared" si="573"/>
        <v>0</v>
      </c>
      <c r="JK47" s="196">
        <v>0</v>
      </c>
      <c r="JL47" s="133">
        <v>0</v>
      </c>
      <c r="JM47" s="134">
        <v>0</v>
      </c>
      <c r="JN47" s="134">
        <v>0</v>
      </c>
      <c r="JO47" s="190">
        <f t="shared" si="574"/>
        <v>0</v>
      </c>
      <c r="JP47" s="196">
        <v>0</v>
      </c>
      <c r="JQ47" s="390"/>
      <c r="JR47" s="191">
        <f t="shared" si="575"/>
        <v>0</v>
      </c>
      <c r="JS47" s="191">
        <f t="shared" si="576"/>
        <v>0</v>
      </c>
      <c r="JT47" s="151"/>
      <c r="JU47" s="390"/>
      <c r="JV47" s="134"/>
      <c r="JW47" s="134"/>
      <c r="JX47" s="134"/>
      <c r="JY47" s="133">
        <f t="shared" si="560"/>
        <v>0</v>
      </c>
      <c r="JZ47" s="151"/>
      <c r="KA47" s="133"/>
      <c r="KB47" s="134"/>
      <c r="KC47" s="134">
        <v>0</v>
      </c>
      <c r="KD47" s="190">
        <f t="shared" si="514"/>
        <v>0</v>
      </c>
      <c r="KE47" s="196">
        <v>0</v>
      </c>
      <c r="KF47" s="390"/>
      <c r="KG47" s="134"/>
      <c r="KH47" s="134"/>
      <c r="KI47" s="134"/>
      <c r="KJ47" s="133">
        <f t="shared" si="563"/>
        <v>0</v>
      </c>
      <c r="KK47" s="151"/>
      <c r="KL47" s="133"/>
      <c r="KM47" s="134"/>
      <c r="KN47" s="134">
        <v>0</v>
      </c>
      <c r="KO47" s="190">
        <f t="shared" si="515"/>
        <v>0</v>
      </c>
      <c r="KP47" s="196">
        <v>0</v>
      </c>
      <c r="KQ47" s="390"/>
      <c r="KR47" s="134"/>
      <c r="KS47" s="134"/>
      <c r="KT47" s="134"/>
      <c r="KU47" s="133">
        <f t="shared" si="566"/>
        <v>0</v>
      </c>
      <c r="KV47" s="151"/>
      <c r="KW47" s="133"/>
      <c r="KX47" s="134"/>
      <c r="KY47" s="134">
        <v>0</v>
      </c>
      <c r="KZ47" s="190">
        <f t="shared" si="516"/>
        <v>0</v>
      </c>
      <c r="LA47" s="196">
        <v>0</v>
      </c>
      <c r="LB47" s="402"/>
      <c r="LC47" s="191">
        <f t="shared" si="517"/>
        <v>0</v>
      </c>
      <c r="LD47" s="191">
        <f t="shared" si="518"/>
        <v>0</v>
      </c>
      <c r="LE47" s="151"/>
      <c r="LF47" s="226">
        <f t="shared" si="519"/>
        <v>0</v>
      </c>
      <c r="LG47" s="128">
        <f t="shared" si="520"/>
        <v>0</v>
      </c>
      <c r="LH47" s="139">
        <f t="shared" si="521"/>
        <v>0</v>
      </c>
      <c r="LI47" s="718">
        <v>0</v>
      </c>
      <c r="LJ47" s="718">
        <v>0</v>
      </c>
      <c r="LK47" s="699">
        <v>0</v>
      </c>
      <c r="LL47" s="390"/>
      <c r="LM47" s="134"/>
      <c r="LN47" s="134"/>
      <c r="LO47" s="134"/>
      <c r="LP47" s="133">
        <f t="shared" si="522"/>
        <v>0</v>
      </c>
      <c r="LQ47" s="151"/>
      <c r="LR47" s="133"/>
      <c r="LS47" s="134"/>
      <c r="LT47" s="134">
        <v>0</v>
      </c>
      <c r="LU47" s="190">
        <f t="shared" si="523"/>
        <v>0</v>
      </c>
      <c r="LV47" s="196">
        <v>0</v>
      </c>
      <c r="LW47" s="134"/>
      <c r="LX47" s="134"/>
      <c r="LY47" s="134"/>
      <c r="LZ47" s="134"/>
      <c r="MA47" s="133">
        <f t="shared" si="524"/>
        <v>0</v>
      </c>
      <c r="MB47" s="151"/>
      <c r="MC47" s="134"/>
      <c r="MD47" s="134"/>
      <c r="ME47" s="134">
        <v>0</v>
      </c>
      <c r="MF47" s="190">
        <f t="shared" si="525"/>
        <v>0</v>
      </c>
      <c r="MG47" s="151" t="e">
        <f t="shared" si="682"/>
        <v>#DIV/0!</v>
      </c>
      <c r="MH47" s="134"/>
      <c r="MI47" s="134"/>
      <c r="MJ47" s="134"/>
      <c r="MK47" s="134"/>
      <c r="ML47" s="133">
        <f t="shared" si="526"/>
        <v>0</v>
      </c>
      <c r="MM47" s="151"/>
      <c r="MN47" s="134"/>
      <c r="MO47" s="134"/>
      <c r="MP47" s="134">
        <v>0</v>
      </c>
      <c r="MQ47" s="190">
        <f t="shared" si="527"/>
        <v>0</v>
      </c>
      <c r="MR47" s="151" t="e">
        <f t="shared" si="683"/>
        <v>#DIV/0!</v>
      </c>
      <c r="MS47" s="1472"/>
      <c r="MT47" s="118">
        <f t="shared" si="528"/>
        <v>0</v>
      </c>
      <c r="MU47" s="118">
        <f t="shared" si="529"/>
        <v>0</v>
      </c>
      <c r="MV47" s="135"/>
      <c r="MW47" s="133">
        <f t="shared" si="530"/>
        <v>0</v>
      </c>
      <c r="MX47" s="134">
        <f t="shared" si="531"/>
        <v>0</v>
      </c>
      <c r="MY47" s="134">
        <f t="shared" si="532"/>
        <v>0</v>
      </c>
      <c r="MZ47" s="135"/>
      <c r="NA47" s="135"/>
      <c r="NB47" s="151"/>
      <c r="NC47" s="134"/>
      <c r="ND47" s="134"/>
      <c r="NE47" s="134"/>
      <c r="NF47" s="134"/>
      <c r="NG47" s="133">
        <f t="shared" si="534"/>
        <v>0</v>
      </c>
      <c r="NH47" s="151"/>
      <c r="NI47" s="134"/>
      <c r="NJ47" s="134"/>
      <c r="NK47" s="134">
        <v>0</v>
      </c>
      <c r="NL47" s="190">
        <f t="shared" si="535"/>
        <v>0</v>
      </c>
      <c r="NM47" s="135" t="e">
        <f t="shared" si="684"/>
        <v>#DIV/0!</v>
      </c>
      <c r="NN47" s="1563"/>
      <c r="NO47" s="134"/>
      <c r="NP47" s="134"/>
      <c r="NQ47" s="134"/>
      <c r="NR47" s="133">
        <f t="shared" si="536"/>
        <v>0</v>
      </c>
      <c r="NS47" s="151"/>
      <c r="NT47" s="134">
        <v>0</v>
      </c>
      <c r="NU47" s="134"/>
      <c r="NV47" s="134">
        <v>0</v>
      </c>
      <c r="NW47" s="190">
        <f t="shared" si="537"/>
        <v>0</v>
      </c>
      <c r="NX47" s="135" t="e">
        <f t="shared" si="685"/>
        <v>#DIV/0!</v>
      </c>
      <c r="NY47" s="1563"/>
      <c r="NZ47" s="134"/>
      <c r="OA47" s="134"/>
      <c r="OB47" s="134"/>
      <c r="OC47" s="133">
        <f t="shared" si="538"/>
        <v>0</v>
      </c>
      <c r="OD47" s="151"/>
      <c r="OE47" s="134">
        <v>0</v>
      </c>
      <c r="OF47" s="134"/>
      <c r="OG47" s="134">
        <v>0</v>
      </c>
      <c r="OH47" s="190">
        <f t="shared" si="539"/>
        <v>0</v>
      </c>
      <c r="OI47" s="5380" t="e">
        <f t="shared" si="686"/>
        <v>#DIV/0!</v>
      </c>
      <c r="OJ47" s="69"/>
      <c r="OK47" s="155">
        <f t="shared" si="540"/>
        <v>0</v>
      </c>
      <c r="OL47" s="155">
        <f t="shared" si="541"/>
        <v>0</v>
      </c>
      <c r="OM47" s="74" t="e">
        <f t="shared" si="542"/>
        <v>#DIV/0!</v>
      </c>
      <c r="ON47" s="155">
        <f t="shared" si="543"/>
        <v>0</v>
      </c>
      <c r="OO47" s="70"/>
      <c r="OP47" s="69"/>
      <c r="OQ47" s="1563"/>
      <c r="OR47" s="134"/>
      <c r="OS47" s="134"/>
      <c r="OT47" s="134"/>
      <c r="OU47" s="133">
        <f t="shared" si="544"/>
        <v>0</v>
      </c>
      <c r="OV47" s="4272"/>
      <c r="OW47" s="133">
        <v>0</v>
      </c>
      <c r="OX47" s="134">
        <v>0</v>
      </c>
      <c r="OY47" s="134">
        <v>0</v>
      </c>
      <c r="OZ47" s="190">
        <f t="shared" si="545"/>
        <v>0</v>
      </c>
      <c r="PA47" s="5372" t="e">
        <f t="shared" ref="PA47:PA55" si="693">OZ47/OS47</f>
        <v>#DIV/0!</v>
      </c>
      <c r="PB47" s="5320"/>
      <c r="PC47" s="134"/>
      <c r="PD47" s="134"/>
      <c r="PE47" s="134">
        <v>0</v>
      </c>
      <c r="PF47" s="133">
        <f t="shared" si="608"/>
        <v>0</v>
      </c>
      <c r="PG47" s="4271">
        <v>0</v>
      </c>
      <c r="PH47" s="133">
        <v>0</v>
      </c>
      <c r="PI47" s="134">
        <v>0</v>
      </c>
      <c r="PJ47" s="134">
        <v>0</v>
      </c>
      <c r="PK47" s="190">
        <f t="shared" si="546"/>
        <v>0</v>
      </c>
      <c r="PL47" s="135"/>
      <c r="PM47" s="5379"/>
      <c r="PN47" s="134"/>
      <c r="PO47" s="134"/>
      <c r="PP47" s="134"/>
      <c r="PQ47" s="6293">
        <f t="shared" si="610"/>
        <v>0</v>
      </c>
      <c r="PR47" s="6296">
        <v>0</v>
      </c>
      <c r="PS47" s="134">
        <v>0</v>
      </c>
      <c r="PT47" s="134">
        <v>0</v>
      </c>
      <c r="PU47" s="134">
        <v>0</v>
      </c>
      <c r="PV47" s="190">
        <f t="shared" si="265"/>
        <v>0</v>
      </c>
      <c r="PW47" s="5381">
        <v>0</v>
      </c>
      <c r="PX47" s="5320"/>
      <c r="PY47" s="191">
        <f t="shared" si="578"/>
        <v>0</v>
      </c>
      <c r="PZ47" s="191">
        <f t="shared" si="579"/>
        <v>0</v>
      </c>
      <c r="QA47" s="135"/>
      <c r="QB47" s="5379"/>
      <c r="QC47" s="134"/>
      <c r="QD47" s="134"/>
      <c r="QE47" s="134"/>
      <c r="QF47" s="6293">
        <f t="shared" si="270"/>
        <v>0</v>
      </c>
      <c r="QG47" s="6296"/>
      <c r="QH47" s="134"/>
      <c r="QI47" s="134"/>
      <c r="QJ47" s="134">
        <v>0</v>
      </c>
      <c r="QK47" s="190">
        <f t="shared" si="665"/>
        <v>0</v>
      </c>
      <c r="QL47" s="5381">
        <v>0</v>
      </c>
      <c r="QM47" s="5379"/>
      <c r="QN47" s="134"/>
      <c r="QO47" s="134"/>
      <c r="QP47" s="134"/>
      <c r="QQ47" s="133">
        <f t="shared" si="691"/>
        <v>0</v>
      </c>
      <c r="QR47" s="151"/>
      <c r="QS47" s="133"/>
      <c r="QT47" s="134">
        <v>0</v>
      </c>
      <c r="QU47" s="134">
        <v>0</v>
      </c>
      <c r="QV47" s="190">
        <f t="shared" si="666"/>
        <v>0</v>
      </c>
      <c r="QW47" s="5381">
        <v>0</v>
      </c>
      <c r="QX47" s="5379"/>
      <c r="QY47" s="134">
        <v>0</v>
      </c>
      <c r="QZ47" s="134">
        <v>0</v>
      </c>
      <c r="RA47" s="134"/>
      <c r="RB47" s="133">
        <f t="shared" si="692"/>
        <v>0</v>
      </c>
      <c r="RC47" s="151"/>
      <c r="RD47" s="133"/>
      <c r="RE47" s="134"/>
      <c r="RF47" s="134">
        <v>0</v>
      </c>
      <c r="RG47" s="190">
        <f t="shared" si="667"/>
        <v>0</v>
      </c>
      <c r="RH47" s="5381">
        <v>0</v>
      </c>
      <c r="RI47" s="5376"/>
      <c r="RJ47" s="191">
        <f t="shared" si="548"/>
        <v>0</v>
      </c>
      <c r="RK47" s="191">
        <f t="shared" si="668"/>
        <v>0</v>
      </c>
      <c r="RL47" s="5380"/>
      <c r="RM47" s="1562">
        <f t="shared" si="550"/>
        <v>0</v>
      </c>
      <c r="RN47" s="128">
        <f t="shared" si="551"/>
        <v>0</v>
      </c>
      <c r="RO47" s="139">
        <f t="shared" si="552"/>
        <v>0</v>
      </c>
      <c r="RP47" s="718">
        <v>0</v>
      </c>
      <c r="RQ47" s="718">
        <v>0</v>
      </c>
      <c r="RR47" s="6348">
        <v>0</v>
      </c>
      <c r="RS47" s="6327"/>
      <c r="RT47" s="130">
        <v>0</v>
      </c>
      <c r="RU47" s="130">
        <v>0</v>
      </c>
      <c r="RV47" s="3546"/>
      <c r="RW47" s="133">
        <f t="shared" si="669"/>
        <v>0</v>
      </c>
      <c r="RX47" s="151"/>
      <c r="RY47" s="133"/>
      <c r="RZ47" s="134"/>
      <c r="SA47" s="134">
        <v>0</v>
      </c>
      <c r="SB47" s="190">
        <f t="shared" si="670"/>
        <v>0</v>
      </c>
      <c r="SC47" s="5381"/>
      <c r="SD47" s="5405"/>
      <c r="SE47" s="130"/>
      <c r="SF47" s="130"/>
      <c r="SG47" s="606"/>
      <c r="SH47" s="6361">
        <f t="shared" si="572"/>
        <v>0</v>
      </c>
      <c r="SI47" s="6363" t="e">
        <f t="shared" si="671"/>
        <v>#DIV/0!</v>
      </c>
      <c r="SJ47" s="134"/>
      <c r="SK47" s="134"/>
      <c r="SL47" s="134">
        <v>0</v>
      </c>
      <c r="SM47" s="188">
        <f t="shared" si="289"/>
        <v>0</v>
      </c>
      <c r="SN47" s="5389" t="e">
        <f t="shared" si="290"/>
        <v>#DIV/0!</v>
      </c>
      <c r="SO47" s="134"/>
      <c r="SP47" s="134"/>
      <c r="SQ47" s="134"/>
      <c r="SR47" s="134"/>
      <c r="SS47" s="6361">
        <f t="shared" si="672"/>
        <v>0</v>
      </c>
      <c r="ST47" s="6363"/>
      <c r="SU47" s="134"/>
      <c r="SV47" s="134"/>
      <c r="SW47" s="134">
        <v>0</v>
      </c>
      <c r="SX47" s="190">
        <f t="shared" si="673"/>
        <v>0</v>
      </c>
      <c r="SY47" s="5380" t="e">
        <f t="shared" si="687"/>
        <v>#DIV/0!</v>
      </c>
      <c r="SZ47" s="6270"/>
      <c r="TA47" s="118">
        <f t="shared" si="674"/>
        <v>0</v>
      </c>
      <c r="TB47" s="118">
        <f t="shared" si="675"/>
        <v>0</v>
      </c>
      <c r="TC47" s="5380"/>
      <c r="TD47" s="1563"/>
      <c r="TE47" s="134"/>
      <c r="TF47" s="134"/>
      <c r="TG47" s="134"/>
      <c r="TH47" s="133">
        <f t="shared" si="676"/>
        <v>0</v>
      </c>
      <c r="TI47" s="151"/>
      <c r="TJ47" s="134"/>
      <c r="TK47" s="134">
        <v>0</v>
      </c>
      <c r="TL47" s="134"/>
      <c r="TM47" s="190">
        <f t="shared" si="677"/>
        <v>0</v>
      </c>
      <c r="TN47" s="5380" t="e">
        <f t="shared" si="688"/>
        <v>#DIV/0!</v>
      </c>
      <c r="TO47" s="134"/>
      <c r="TP47" s="134"/>
      <c r="TQ47" s="134"/>
      <c r="TR47" s="134"/>
      <c r="TS47" s="133">
        <f t="shared" si="678"/>
        <v>0</v>
      </c>
      <c r="TT47" s="151"/>
      <c r="TU47" s="134">
        <v>0</v>
      </c>
      <c r="TV47" s="134"/>
      <c r="TW47" s="134">
        <v>0</v>
      </c>
      <c r="TX47" s="190">
        <f t="shared" si="679"/>
        <v>0</v>
      </c>
      <c r="TY47" s="135" t="e">
        <f t="shared" si="689"/>
        <v>#DIV/0!</v>
      </c>
      <c r="TZ47" s="1563"/>
      <c r="UA47" s="134"/>
      <c r="UB47" s="134"/>
      <c r="UC47" s="134"/>
      <c r="UD47" s="133">
        <f t="shared" si="680"/>
        <v>0</v>
      </c>
      <c r="UE47" s="151"/>
      <c r="UF47" s="134">
        <v>0</v>
      </c>
      <c r="UG47" s="134"/>
      <c r="UH47" s="134">
        <v>0</v>
      </c>
      <c r="UI47" s="190">
        <f t="shared" si="681"/>
        <v>0</v>
      </c>
      <c r="UJ47" s="5380" t="e">
        <f t="shared" si="690"/>
        <v>#DIV/0!</v>
      </c>
      <c r="UK47" s="5376"/>
      <c r="UL47" s="191">
        <f t="shared" si="284"/>
        <v>0</v>
      </c>
      <c r="UM47" s="191">
        <f t="shared" si="285"/>
        <v>0</v>
      </c>
      <c r="UN47" s="135" t="e">
        <f t="shared" si="484"/>
        <v>#DIV/0!</v>
      </c>
      <c r="UO47" s="191">
        <f t="shared" si="286"/>
        <v>0</v>
      </c>
      <c r="UP47" s="4952"/>
    </row>
    <row r="48" spans="1:562" x14ac:dyDescent="0.3">
      <c r="A48" s="5316"/>
      <c r="B48" s="5374" t="s">
        <v>402</v>
      </c>
      <c r="C48" s="578" t="s">
        <v>141</v>
      </c>
      <c r="D48" s="578" t="s">
        <v>142</v>
      </c>
      <c r="E48" s="6278" t="s">
        <v>254</v>
      </c>
      <c r="F48" s="672"/>
      <c r="G48" s="350"/>
      <c r="H48" s="350"/>
      <c r="I48" s="350">
        <v>0</v>
      </c>
      <c r="J48" s="351"/>
      <c r="K48" s="673"/>
      <c r="L48" s="350"/>
      <c r="M48" s="350"/>
      <c r="N48" s="350"/>
      <c r="O48" s="672"/>
      <c r="P48" s="673"/>
      <c r="Q48" s="350"/>
      <c r="R48" s="350"/>
      <c r="S48" s="350"/>
      <c r="T48" s="95"/>
      <c r="U48" s="673"/>
      <c r="V48" s="672"/>
      <c r="W48" s="672"/>
      <c r="X48" s="672"/>
      <c r="Y48" s="672"/>
      <c r="Z48" s="675"/>
      <c r="AA48" s="672"/>
      <c r="AB48" s="672"/>
      <c r="AC48" s="672"/>
      <c r="AD48" s="672"/>
      <c r="AE48" s="582">
        <f t="shared" si="580"/>
        <v>0</v>
      </c>
      <c r="AF48" s="672"/>
      <c r="AG48" s="673">
        <v>1</v>
      </c>
      <c r="AH48" s="720">
        <v>89966</v>
      </c>
      <c r="AI48" s="720">
        <v>133333</v>
      </c>
      <c r="AJ48" s="720"/>
      <c r="AK48" s="105">
        <f t="shared" si="581"/>
        <v>43367</v>
      </c>
      <c r="AL48" s="114">
        <f t="shared" si="611"/>
        <v>0.32525331313328282</v>
      </c>
      <c r="AM48" s="129">
        <v>0</v>
      </c>
      <c r="AN48" s="417">
        <v>0</v>
      </c>
      <c r="AO48" s="130"/>
      <c r="AP48" s="130">
        <v>49383.651724137926</v>
      </c>
      <c r="AQ48" s="417">
        <f t="shared" si="612"/>
        <v>-6016.6517241379261</v>
      </c>
      <c r="AR48" s="116">
        <f t="shared" si="613"/>
        <v>-0.13873802024898946</v>
      </c>
      <c r="AS48" s="113">
        <v>1</v>
      </c>
      <c r="AT48" s="213"/>
      <c r="AU48" s="417"/>
      <c r="AV48" s="417"/>
      <c r="AW48" s="116"/>
      <c r="AX48" s="586">
        <v>1</v>
      </c>
      <c r="AY48" s="587">
        <f t="shared" si="582"/>
        <v>0</v>
      </c>
      <c r="AZ48" s="587">
        <f t="shared" si="583"/>
        <v>0</v>
      </c>
      <c r="BA48" s="587">
        <f t="shared" si="584"/>
        <v>0</v>
      </c>
      <c r="BB48" s="588"/>
      <c r="BC48" s="1513"/>
      <c r="BD48" s="722"/>
      <c r="BE48" s="722"/>
      <c r="BF48" s="722"/>
      <c r="BG48" s="582">
        <f t="shared" si="585"/>
        <v>0</v>
      </c>
      <c r="BH48" s="680"/>
      <c r="BI48" s="1513"/>
      <c r="BJ48" s="722"/>
      <c r="BK48" s="722"/>
      <c r="BL48" s="722"/>
      <c r="BM48" s="582">
        <f t="shared" si="586"/>
        <v>0</v>
      </c>
      <c r="BN48" s="680"/>
      <c r="BO48" s="721"/>
      <c r="BP48" s="722"/>
      <c r="BQ48" s="722"/>
      <c r="BR48" s="722"/>
      <c r="BS48" s="582">
        <f t="shared" si="587"/>
        <v>0</v>
      </c>
      <c r="BT48" s="591"/>
      <c r="BU48" s="721"/>
      <c r="BV48" s="592">
        <f t="shared" si="588"/>
        <v>0</v>
      </c>
      <c r="BW48" s="592">
        <f t="shared" si="589"/>
        <v>0</v>
      </c>
      <c r="BX48" s="593"/>
      <c r="BY48" s="723"/>
      <c r="BZ48" s="724"/>
      <c r="CA48" s="724"/>
      <c r="CB48" s="724"/>
      <c r="CC48" s="596">
        <f t="shared" si="616"/>
        <v>0</v>
      </c>
      <c r="CD48" s="725"/>
      <c r="CE48" s="726"/>
      <c r="CF48" s="727"/>
      <c r="CG48" s="727"/>
      <c r="CH48" s="727"/>
      <c r="CI48" s="728">
        <f t="shared" si="617"/>
        <v>0</v>
      </c>
      <c r="CJ48" s="729"/>
      <c r="CK48" s="730"/>
      <c r="CL48" s="731"/>
      <c r="CM48" s="731"/>
      <c r="CN48" s="731"/>
      <c r="CO48" s="360">
        <f t="shared" si="590"/>
        <v>0</v>
      </c>
      <c r="CP48" s="387"/>
      <c r="CQ48" s="388"/>
      <c r="CR48" s="388"/>
      <c r="CS48" s="388"/>
      <c r="CT48" s="388"/>
      <c r="CU48" s="388">
        <f t="shared" si="618"/>
        <v>0</v>
      </c>
      <c r="CV48" s="732"/>
      <c r="CW48" s="129"/>
      <c r="CX48" s="130"/>
      <c r="CY48" s="130"/>
      <c r="CZ48" s="130"/>
      <c r="DA48" s="605">
        <f t="shared" si="591"/>
        <v>0</v>
      </c>
      <c r="DB48" s="114"/>
      <c r="DC48" s="138">
        <v>0</v>
      </c>
      <c r="DD48" s="130"/>
      <c r="DE48" s="130"/>
      <c r="DF48" s="130"/>
      <c r="DG48" s="128">
        <f t="shared" si="619"/>
        <v>0</v>
      </c>
      <c r="DH48" s="169"/>
      <c r="DI48" s="204">
        <f t="shared" si="620"/>
        <v>0</v>
      </c>
      <c r="DJ48" s="202">
        <f t="shared" si="621"/>
        <v>0</v>
      </c>
      <c r="DK48" s="202">
        <f t="shared" si="622"/>
        <v>0</v>
      </c>
      <c r="DL48" s="119"/>
      <c r="DM48" s="202">
        <f t="shared" si="623"/>
        <v>0</v>
      </c>
      <c r="DN48" s="119"/>
      <c r="DO48" s="607">
        <f t="shared" si="624"/>
        <v>-1</v>
      </c>
      <c r="DP48" s="137">
        <f t="shared" si="625"/>
        <v>-89966</v>
      </c>
      <c r="DQ48" s="137">
        <f t="shared" si="626"/>
        <v>-133333</v>
      </c>
      <c r="DR48" s="137">
        <f t="shared" si="627"/>
        <v>-43367</v>
      </c>
      <c r="DS48" s="135">
        <f t="shared" si="628"/>
        <v>-1</v>
      </c>
      <c r="DT48" s="135">
        <f t="shared" si="629"/>
        <v>-0.67474668686671713</v>
      </c>
      <c r="DU48" s="135">
        <f t="shared" si="630"/>
        <v>-3.0745267138607697</v>
      </c>
      <c r="DV48" s="151">
        <f t="shared" si="631"/>
        <v>7.2078295351578925</v>
      </c>
      <c r="DW48" s="607">
        <f t="shared" si="632"/>
        <v>0</v>
      </c>
      <c r="DX48" s="152">
        <f t="shared" si="633"/>
        <v>0</v>
      </c>
      <c r="DY48" s="152">
        <f t="shared" si="634"/>
        <v>0</v>
      </c>
      <c r="DZ48" s="152">
        <f t="shared" si="635"/>
        <v>0</v>
      </c>
      <c r="EA48" s="135"/>
      <c r="EB48" s="135"/>
      <c r="EC48" s="135"/>
      <c r="ED48" s="151"/>
      <c r="EE48" s="129"/>
      <c r="EF48" s="130"/>
      <c r="EG48" s="130"/>
      <c r="EH48" s="130"/>
      <c r="EI48" s="605">
        <f t="shared" si="592"/>
        <v>0</v>
      </c>
      <c r="EJ48" s="114"/>
      <c r="EK48" s="138">
        <v>0</v>
      </c>
      <c r="EL48" s="606">
        <v>0</v>
      </c>
      <c r="EM48" s="130"/>
      <c r="EN48" s="130"/>
      <c r="EO48" s="128">
        <f t="shared" si="636"/>
        <v>0</v>
      </c>
      <c r="EP48" s="114"/>
      <c r="EQ48" s="129"/>
      <c r="ER48" s="130"/>
      <c r="ES48" s="130"/>
      <c r="ET48" s="130"/>
      <c r="EU48" s="134">
        <f t="shared" si="593"/>
        <v>0</v>
      </c>
      <c r="EV48" s="114"/>
      <c r="EW48" s="138">
        <v>0</v>
      </c>
      <c r="EX48" s="606">
        <v>0</v>
      </c>
      <c r="EY48" s="130">
        <v>0</v>
      </c>
      <c r="EZ48" s="130"/>
      <c r="FA48" s="128">
        <f t="shared" si="637"/>
        <v>0</v>
      </c>
      <c r="FB48" s="114"/>
      <c r="FC48" s="686">
        <f t="shared" si="638"/>
        <v>-1</v>
      </c>
      <c r="FD48" s="146">
        <f t="shared" si="639"/>
        <v>-133333</v>
      </c>
      <c r="FE48" s="146">
        <f t="shared" si="640"/>
        <v>-43367</v>
      </c>
      <c r="FF48" s="146">
        <f t="shared" si="641"/>
        <v>6016.6517241379261</v>
      </c>
      <c r="FG48" s="119">
        <f t="shared" si="642"/>
        <v>-1</v>
      </c>
      <c r="FH48" s="119">
        <f t="shared" si="643"/>
        <v>-1</v>
      </c>
      <c r="FI48" s="119">
        <f t="shared" si="644"/>
        <v>-1</v>
      </c>
      <c r="FJ48" s="150">
        <f t="shared" si="645"/>
        <v>-1</v>
      </c>
      <c r="FK48" s="133">
        <v>0</v>
      </c>
      <c r="FL48" s="134">
        <v>0</v>
      </c>
      <c r="FM48" s="134">
        <v>0</v>
      </c>
      <c r="FN48" s="134"/>
      <c r="FO48" s="134">
        <f t="shared" si="594"/>
        <v>0</v>
      </c>
      <c r="FP48" s="135">
        <v>0</v>
      </c>
      <c r="FQ48" s="133"/>
      <c r="FR48" s="134"/>
      <c r="FS48" s="134"/>
      <c r="FT48" s="191">
        <f t="shared" si="646"/>
        <v>0</v>
      </c>
      <c r="FU48" s="151"/>
      <c r="FV48" s="190">
        <f t="shared" si="647"/>
        <v>-1</v>
      </c>
      <c r="FW48" s="191">
        <f t="shared" si="648"/>
        <v>-89966</v>
      </c>
      <c r="FX48" s="191">
        <f t="shared" si="649"/>
        <v>-133333</v>
      </c>
      <c r="FY48" s="191">
        <f t="shared" si="650"/>
        <v>-43367</v>
      </c>
      <c r="FZ48" s="191">
        <f t="shared" si="651"/>
        <v>6016.6517241379261</v>
      </c>
      <c r="GA48" s="135">
        <f t="shared" si="652"/>
        <v>-1</v>
      </c>
      <c r="GB48" s="135">
        <f t="shared" si="653"/>
        <v>-1</v>
      </c>
      <c r="GC48" s="135">
        <f t="shared" si="654"/>
        <v>-1</v>
      </c>
      <c r="GD48" s="151">
        <f t="shared" si="655"/>
        <v>-1</v>
      </c>
      <c r="GE48" s="188">
        <f t="shared" si="656"/>
        <v>0</v>
      </c>
      <c r="GF48" s="189">
        <f t="shared" si="657"/>
        <v>0</v>
      </c>
      <c r="GG48" s="189">
        <f t="shared" si="658"/>
        <v>0</v>
      </c>
      <c r="GH48" s="119"/>
      <c r="GI48" s="389">
        <f t="shared" si="659"/>
        <v>0</v>
      </c>
      <c r="GJ48" s="188">
        <f t="shared" si="660"/>
        <v>0</v>
      </c>
      <c r="GK48" s="189">
        <f t="shared" si="661"/>
        <v>0</v>
      </c>
      <c r="GL48" s="189">
        <f t="shared" si="662"/>
        <v>0</v>
      </c>
      <c r="GM48" s="389">
        <f t="shared" si="663"/>
        <v>0</v>
      </c>
      <c r="GN48" s="133"/>
      <c r="GO48" s="134">
        <v>0</v>
      </c>
      <c r="GP48" s="134">
        <v>0</v>
      </c>
      <c r="GQ48" s="134">
        <v>0</v>
      </c>
      <c r="GR48" s="134">
        <f t="shared" si="595"/>
        <v>0</v>
      </c>
      <c r="GS48" s="152">
        <v>0</v>
      </c>
      <c r="GT48" s="133">
        <v>0</v>
      </c>
      <c r="GU48" s="134">
        <v>0</v>
      </c>
      <c r="GV48" s="134">
        <v>0</v>
      </c>
      <c r="GW48" s="134">
        <v>0</v>
      </c>
      <c r="GX48" s="190">
        <f t="shared" si="664"/>
        <v>0</v>
      </c>
      <c r="GY48" s="151">
        <v>0</v>
      </c>
      <c r="GZ48" s="614"/>
      <c r="HA48" s="130"/>
      <c r="HB48" s="130"/>
      <c r="HC48" s="130"/>
      <c r="HD48" s="134">
        <f t="shared" si="596"/>
        <v>0</v>
      </c>
      <c r="HE48" s="151"/>
      <c r="HF48" s="138">
        <v>0</v>
      </c>
      <c r="HG48" s="130"/>
      <c r="HH48" s="130"/>
      <c r="HI48" s="130"/>
      <c r="HJ48" s="237"/>
      <c r="HK48" s="114"/>
      <c r="HL48" s="617"/>
      <c r="HM48" s="134"/>
      <c r="HN48" s="134"/>
      <c r="HO48" s="134">
        <v>0</v>
      </c>
      <c r="HP48" s="615">
        <f t="shared" si="597"/>
        <v>0</v>
      </c>
      <c r="HQ48" s="717"/>
      <c r="HR48" s="133">
        <v>0</v>
      </c>
      <c r="HS48" s="134">
        <v>0</v>
      </c>
      <c r="HT48" s="134"/>
      <c r="HU48" s="134">
        <v>0</v>
      </c>
      <c r="HV48" s="191">
        <f t="shared" si="598"/>
        <v>0</v>
      </c>
      <c r="HW48" s="151"/>
      <c r="HX48" s="697"/>
      <c r="HY48" s="241">
        <f t="shared" si="599"/>
        <v>0</v>
      </c>
      <c r="HZ48" s="415">
        <f t="shared" si="600"/>
        <v>0</v>
      </c>
      <c r="IA48" s="241"/>
      <c r="IB48" s="415">
        <f t="shared" si="601"/>
        <v>0</v>
      </c>
      <c r="IC48" s="202"/>
      <c r="ID48" s="204"/>
      <c r="IE48" s="141">
        <f t="shared" si="512"/>
        <v>0</v>
      </c>
      <c r="IF48" s="141">
        <f t="shared" si="513"/>
        <v>0</v>
      </c>
      <c r="IG48" s="74" t="e">
        <f t="shared" si="602"/>
        <v>#DIV/0!</v>
      </c>
      <c r="IH48" s="1446"/>
      <c r="II48" s="266"/>
      <c r="IJ48" s="133"/>
      <c r="IK48" s="134"/>
      <c r="IL48" s="134"/>
      <c r="IM48" s="134">
        <v>0</v>
      </c>
      <c r="IN48" s="133">
        <f t="shared" si="603"/>
        <v>0</v>
      </c>
      <c r="IO48" s="717"/>
      <c r="IP48" s="133">
        <v>0</v>
      </c>
      <c r="IQ48" s="134">
        <v>0</v>
      </c>
      <c r="IR48" s="134">
        <v>0</v>
      </c>
      <c r="IS48" s="190">
        <f t="shared" si="604"/>
        <v>0</v>
      </c>
      <c r="IT48" s="151"/>
      <c r="IU48" s="390"/>
      <c r="IV48" s="134"/>
      <c r="IW48" s="134"/>
      <c r="IX48" s="134">
        <v>0</v>
      </c>
      <c r="IY48" s="133">
        <f t="shared" si="605"/>
        <v>0</v>
      </c>
      <c r="IZ48" s="196">
        <v>0</v>
      </c>
      <c r="JA48" s="133">
        <v>0</v>
      </c>
      <c r="JB48" s="134">
        <v>0</v>
      </c>
      <c r="JC48" s="134">
        <v>0</v>
      </c>
      <c r="JD48" s="190">
        <f t="shared" si="606"/>
        <v>0</v>
      </c>
      <c r="JE48" s="196">
        <v>0</v>
      </c>
      <c r="JF48" s="390"/>
      <c r="JG48" s="134"/>
      <c r="JH48" s="134"/>
      <c r="JI48" s="134"/>
      <c r="JJ48" s="133">
        <f t="shared" si="573"/>
        <v>0</v>
      </c>
      <c r="JK48" s="196">
        <v>0</v>
      </c>
      <c r="JL48" s="133">
        <v>0</v>
      </c>
      <c r="JM48" s="134">
        <v>0</v>
      </c>
      <c r="JN48" s="134">
        <v>0</v>
      </c>
      <c r="JO48" s="190">
        <f t="shared" si="574"/>
        <v>0</v>
      </c>
      <c r="JP48" s="196">
        <v>0</v>
      </c>
      <c r="JQ48" s="390"/>
      <c r="JR48" s="191">
        <f t="shared" si="575"/>
        <v>0</v>
      </c>
      <c r="JS48" s="191">
        <f t="shared" si="576"/>
        <v>0</v>
      </c>
      <c r="JT48" s="151"/>
      <c r="JU48" s="390"/>
      <c r="JV48" s="134"/>
      <c r="JW48" s="134"/>
      <c r="JX48" s="134"/>
      <c r="JY48" s="133">
        <f t="shared" si="560"/>
        <v>0</v>
      </c>
      <c r="JZ48" s="151"/>
      <c r="KA48" s="133"/>
      <c r="KB48" s="134"/>
      <c r="KC48" s="134">
        <v>0</v>
      </c>
      <c r="KD48" s="190">
        <f t="shared" si="514"/>
        <v>0</v>
      </c>
      <c r="KE48" s="196">
        <v>0</v>
      </c>
      <c r="KF48" s="390"/>
      <c r="KG48" s="134"/>
      <c r="KH48" s="134"/>
      <c r="KI48" s="134"/>
      <c r="KJ48" s="133">
        <f t="shared" si="563"/>
        <v>0</v>
      </c>
      <c r="KK48" s="151"/>
      <c r="KL48" s="133"/>
      <c r="KM48" s="134"/>
      <c r="KN48" s="134">
        <v>0</v>
      </c>
      <c r="KO48" s="190">
        <f t="shared" si="515"/>
        <v>0</v>
      </c>
      <c r="KP48" s="196">
        <v>0</v>
      </c>
      <c r="KQ48" s="390"/>
      <c r="KR48" s="134"/>
      <c r="KS48" s="134"/>
      <c r="KT48" s="134"/>
      <c r="KU48" s="133">
        <f t="shared" si="566"/>
        <v>0</v>
      </c>
      <c r="KV48" s="151"/>
      <c r="KW48" s="133"/>
      <c r="KX48" s="134"/>
      <c r="KY48" s="134">
        <v>0</v>
      </c>
      <c r="KZ48" s="190">
        <f t="shared" si="516"/>
        <v>0</v>
      </c>
      <c r="LA48" s="196">
        <v>0</v>
      </c>
      <c r="LB48" s="402"/>
      <c r="LC48" s="191">
        <f t="shared" si="517"/>
        <v>0</v>
      </c>
      <c r="LD48" s="191">
        <f t="shared" si="518"/>
        <v>0</v>
      </c>
      <c r="LE48" s="151"/>
      <c r="LF48" s="226">
        <f t="shared" si="519"/>
        <v>0</v>
      </c>
      <c r="LG48" s="128">
        <f t="shared" si="520"/>
        <v>0</v>
      </c>
      <c r="LH48" s="139">
        <f t="shared" si="521"/>
        <v>0</v>
      </c>
      <c r="LI48" s="718">
        <v>0</v>
      </c>
      <c r="LJ48" s="718">
        <v>0</v>
      </c>
      <c r="LK48" s="699">
        <v>0</v>
      </c>
      <c r="LL48" s="390"/>
      <c r="LM48" s="134"/>
      <c r="LN48" s="134"/>
      <c r="LO48" s="134"/>
      <c r="LP48" s="133">
        <f t="shared" si="522"/>
        <v>0</v>
      </c>
      <c r="LQ48" s="151"/>
      <c r="LR48" s="133"/>
      <c r="LS48" s="134"/>
      <c r="LT48" s="134">
        <v>0</v>
      </c>
      <c r="LU48" s="190">
        <f t="shared" si="523"/>
        <v>0</v>
      </c>
      <c r="LV48" s="196">
        <v>0</v>
      </c>
      <c r="LW48" s="134"/>
      <c r="LX48" s="134"/>
      <c r="LY48" s="134"/>
      <c r="LZ48" s="134"/>
      <c r="MA48" s="133">
        <f t="shared" si="524"/>
        <v>0</v>
      </c>
      <c r="MB48" s="151"/>
      <c r="MC48" s="134"/>
      <c r="MD48" s="134"/>
      <c r="ME48" s="134">
        <v>0</v>
      </c>
      <c r="MF48" s="190">
        <f t="shared" si="525"/>
        <v>0</v>
      </c>
      <c r="MG48" s="151" t="e">
        <f t="shared" si="682"/>
        <v>#DIV/0!</v>
      </c>
      <c r="MH48" s="134"/>
      <c r="MI48" s="134"/>
      <c r="MJ48" s="134"/>
      <c r="MK48" s="134"/>
      <c r="ML48" s="133">
        <f t="shared" si="526"/>
        <v>0</v>
      </c>
      <c r="MM48" s="151"/>
      <c r="MN48" s="134"/>
      <c r="MO48" s="134"/>
      <c r="MP48" s="134">
        <v>0</v>
      </c>
      <c r="MQ48" s="190">
        <f t="shared" si="527"/>
        <v>0</v>
      </c>
      <c r="MR48" s="151" t="e">
        <f t="shared" si="683"/>
        <v>#DIV/0!</v>
      </c>
      <c r="MS48" s="1472"/>
      <c r="MT48" s="118">
        <f t="shared" si="528"/>
        <v>0</v>
      </c>
      <c r="MU48" s="118">
        <f t="shared" si="529"/>
        <v>0</v>
      </c>
      <c r="MV48" s="135"/>
      <c r="MW48" s="133">
        <f t="shared" si="530"/>
        <v>0</v>
      </c>
      <c r="MX48" s="134">
        <f t="shared" si="531"/>
        <v>0</v>
      </c>
      <c r="MY48" s="134">
        <f t="shared" si="532"/>
        <v>0</v>
      </c>
      <c r="MZ48" s="135"/>
      <c r="NA48" s="135"/>
      <c r="NB48" s="151"/>
      <c r="NC48" s="134"/>
      <c r="ND48" s="134"/>
      <c r="NE48" s="134"/>
      <c r="NF48" s="134"/>
      <c r="NG48" s="133">
        <f t="shared" si="534"/>
        <v>0</v>
      </c>
      <c r="NH48" s="151"/>
      <c r="NI48" s="134"/>
      <c r="NJ48" s="134"/>
      <c r="NK48" s="134">
        <v>0</v>
      </c>
      <c r="NL48" s="190">
        <f t="shared" si="535"/>
        <v>0</v>
      </c>
      <c r="NM48" s="135" t="e">
        <f t="shared" si="684"/>
        <v>#DIV/0!</v>
      </c>
      <c r="NN48" s="1563"/>
      <c r="NO48" s="134"/>
      <c r="NP48" s="134"/>
      <c r="NQ48" s="134"/>
      <c r="NR48" s="133">
        <f t="shared" si="536"/>
        <v>0</v>
      </c>
      <c r="NS48" s="151"/>
      <c r="NT48" s="134">
        <v>0</v>
      </c>
      <c r="NU48" s="134"/>
      <c r="NV48" s="134">
        <v>0</v>
      </c>
      <c r="NW48" s="190">
        <f t="shared" si="537"/>
        <v>0</v>
      </c>
      <c r="NX48" s="135" t="e">
        <f t="shared" si="685"/>
        <v>#DIV/0!</v>
      </c>
      <c r="NY48" s="1563"/>
      <c r="NZ48" s="134"/>
      <c r="OA48" s="134"/>
      <c r="OB48" s="134"/>
      <c r="OC48" s="133">
        <f t="shared" si="538"/>
        <v>0</v>
      </c>
      <c r="OD48" s="151"/>
      <c r="OE48" s="134">
        <v>0</v>
      </c>
      <c r="OF48" s="134"/>
      <c r="OG48" s="134">
        <v>0</v>
      </c>
      <c r="OH48" s="190">
        <f t="shared" si="539"/>
        <v>0</v>
      </c>
      <c r="OI48" s="5380" t="e">
        <f t="shared" si="686"/>
        <v>#DIV/0!</v>
      </c>
      <c r="OJ48" s="69"/>
      <c r="OK48" s="155">
        <f t="shared" si="540"/>
        <v>0</v>
      </c>
      <c r="OL48" s="155">
        <f t="shared" si="541"/>
        <v>0</v>
      </c>
      <c r="OM48" s="74" t="e">
        <f t="shared" si="542"/>
        <v>#DIV/0!</v>
      </c>
      <c r="ON48" s="155">
        <f t="shared" si="543"/>
        <v>0</v>
      </c>
      <c r="OO48" s="70"/>
      <c r="OP48" s="69"/>
      <c r="OQ48" s="1563"/>
      <c r="OR48" s="134"/>
      <c r="OS48" s="134"/>
      <c r="OT48" s="134"/>
      <c r="OU48" s="133">
        <f t="shared" si="544"/>
        <v>0</v>
      </c>
      <c r="OV48" s="4272"/>
      <c r="OW48" s="133">
        <v>0</v>
      </c>
      <c r="OX48" s="134">
        <v>0</v>
      </c>
      <c r="OY48" s="134">
        <v>0</v>
      </c>
      <c r="OZ48" s="190">
        <f t="shared" si="545"/>
        <v>0</v>
      </c>
      <c r="PA48" s="5372" t="e">
        <f t="shared" si="693"/>
        <v>#DIV/0!</v>
      </c>
      <c r="PB48" s="5320"/>
      <c r="PC48" s="134"/>
      <c r="PD48" s="134"/>
      <c r="PE48" s="134">
        <v>0</v>
      </c>
      <c r="PF48" s="133">
        <f t="shared" si="608"/>
        <v>0</v>
      </c>
      <c r="PG48" s="4271">
        <v>0</v>
      </c>
      <c r="PH48" s="133">
        <v>0</v>
      </c>
      <c r="PI48" s="134">
        <v>0</v>
      </c>
      <c r="PJ48" s="134">
        <v>0</v>
      </c>
      <c r="PK48" s="190">
        <f t="shared" si="546"/>
        <v>0</v>
      </c>
      <c r="PL48" s="135"/>
      <c r="PM48" s="5379"/>
      <c r="PN48" s="134"/>
      <c r="PO48" s="134"/>
      <c r="PP48" s="134"/>
      <c r="PQ48" s="6293">
        <f t="shared" si="610"/>
        <v>0</v>
      </c>
      <c r="PR48" s="6296">
        <v>0</v>
      </c>
      <c r="PS48" s="134">
        <v>0</v>
      </c>
      <c r="PT48" s="134">
        <v>0</v>
      </c>
      <c r="PU48" s="134">
        <v>0</v>
      </c>
      <c r="PV48" s="190">
        <f t="shared" si="265"/>
        <v>0</v>
      </c>
      <c r="PW48" s="5381">
        <v>0</v>
      </c>
      <c r="PX48" s="5320"/>
      <c r="PY48" s="191">
        <f t="shared" si="578"/>
        <v>0</v>
      </c>
      <c r="PZ48" s="191">
        <f t="shared" si="579"/>
        <v>0</v>
      </c>
      <c r="QA48" s="135"/>
      <c r="QB48" s="5379"/>
      <c r="QC48" s="134"/>
      <c r="QD48" s="134"/>
      <c r="QE48" s="134"/>
      <c r="QF48" s="6293">
        <f t="shared" si="270"/>
        <v>0</v>
      </c>
      <c r="QG48" s="6296"/>
      <c r="QH48" s="134"/>
      <c r="QI48" s="134"/>
      <c r="QJ48" s="134">
        <v>0</v>
      </c>
      <c r="QK48" s="190">
        <f t="shared" si="665"/>
        <v>0</v>
      </c>
      <c r="QL48" s="5381">
        <v>0</v>
      </c>
      <c r="QM48" s="5379"/>
      <c r="QN48" s="134"/>
      <c r="QO48" s="134"/>
      <c r="QP48" s="134"/>
      <c r="QQ48" s="133">
        <f t="shared" si="691"/>
        <v>0</v>
      </c>
      <c r="QR48" s="151"/>
      <c r="QS48" s="133"/>
      <c r="QT48" s="134">
        <v>0</v>
      </c>
      <c r="QU48" s="134">
        <v>0</v>
      </c>
      <c r="QV48" s="190">
        <f t="shared" si="666"/>
        <v>0</v>
      </c>
      <c r="QW48" s="5381">
        <v>0</v>
      </c>
      <c r="QX48" s="5379"/>
      <c r="QY48" s="134">
        <v>0</v>
      </c>
      <c r="QZ48" s="134">
        <v>0</v>
      </c>
      <c r="RA48" s="134"/>
      <c r="RB48" s="133">
        <f t="shared" si="692"/>
        <v>0</v>
      </c>
      <c r="RC48" s="151"/>
      <c r="RD48" s="133"/>
      <c r="RE48" s="134"/>
      <c r="RF48" s="134">
        <v>0</v>
      </c>
      <c r="RG48" s="190">
        <f t="shared" si="667"/>
        <v>0</v>
      </c>
      <c r="RH48" s="5381">
        <v>0</v>
      </c>
      <c r="RI48" s="5376"/>
      <c r="RJ48" s="191">
        <f t="shared" si="548"/>
        <v>0</v>
      </c>
      <c r="RK48" s="191">
        <f t="shared" si="668"/>
        <v>0</v>
      </c>
      <c r="RL48" s="5380"/>
      <c r="RM48" s="1562">
        <f t="shared" si="550"/>
        <v>0</v>
      </c>
      <c r="RN48" s="128">
        <f t="shared" si="551"/>
        <v>0</v>
      </c>
      <c r="RO48" s="139">
        <f t="shared" si="552"/>
        <v>0</v>
      </c>
      <c r="RP48" s="718">
        <v>0</v>
      </c>
      <c r="RQ48" s="718">
        <v>0</v>
      </c>
      <c r="RR48" s="6348">
        <v>0</v>
      </c>
      <c r="RS48" s="6327"/>
      <c r="RT48" s="130">
        <v>0</v>
      </c>
      <c r="RU48" s="130">
        <v>0</v>
      </c>
      <c r="RV48" s="3546"/>
      <c r="RW48" s="133">
        <f t="shared" si="669"/>
        <v>0</v>
      </c>
      <c r="RX48" s="151"/>
      <c r="RY48" s="133"/>
      <c r="RZ48" s="134"/>
      <c r="SA48" s="134">
        <v>0</v>
      </c>
      <c r="SB48" s="190">
        <f t="shared" si="670"/>
        <v>0</v>
      </c>
      <c r="SC48" s="5381"/>
      <c r="SD48" s="5405"/>
      <c r="SE48" s="130"/>
      <c r="SF48" s="130"/>
      <c r="SG48" s="606"/>
      <c r="SH48" s="6361">
        <f t="shared" si="572"/>
        <v>0</v>
      </c>
      <c r="SI48" s="6363" t="e">
        <f t="shared" si="671"/>
        <v>#DIV/0!</v>
      </c>
      <c r="SJ48" s="134"/>
      <c r="SK48" s="134"/>
      <c r="SL48" s="134">
        <v>0</v>
      </c>
      <c r="SM48" s="188">
        <f t="shared" si="289"/>
        <v>0</v>
      </c>
      <c r="SN48" s="5389" t="e">
        <f t="shared" si="290"/>
        <v>#DIV/0!</v>
      </c>
      <c r="SO48" s="134"/>
      <c r="SP48" s="134"/>
      <c r="SQ48" s="134"/>
      <c r="SR48" s="134"/>
      <c r="SS48" s="6361">
        <f t="shared" si="672"/>
        <v>0</v>
      </c>
      <c r="ST48" s="6363"/>
      <c r="SU48" s="134"/>
      <c r="SV48" s="134"/>
      <c r="SW48" s="134">
        <v>0</v>
      </c>
      <c r="SX48" s="190">
        <f t="shared" si="673"/>
        <v>0</v>
      </c>
      <c r="SY48" s="5380" t="e">
        <f t="shared" si="687"/>
        <v>#DIV/0!</v>
      </c>
      <c r="SZ48" s="6270"/>
      <c r="TA48" s="118">
        <f t="shared" si="674"/>
        <v>0</v>
      </c>
      <c r="TB48" s="118">
        <f t="shared" si="675"/>
        <v>0</v>
      </c>
      <c r="TC48" s="5380"/>
      <c r="TD48" s="1563"/>
      <c r="TE48" s="134"/>
      <c r="TF48" s="134"/>
      <c r="TG48" s="134"/>
      <c r="TH48" s="133">
        <f t="shared" si="676"/>
        <v>0</v>
      </c>
      <c r="TI48" s="151"/>
      <c r="TJ48" s="134"/>
      <c r="TK48" s="134">
        <v>0</v>
      </c>
      <c r="TL48" s="134"/>
      <c r="TM48" s="190">
        <f t="shared" si="677"/>
        <v>0</v>
      </c>
      <c r="TN48" s="5380" t="e">
        <f t="shared" si="688"/>
        <v>#DIV/0!</v>
      </c>
      <c r="TO48" s="134"/>
      <c r="TP48" s="134"/>
      <c r="TQ48" s="134"/>
      <c r="TR48" s="134"/>
      <c r="TS48" s="133">
        <f t="shared" si="678"/>
        <v>0</v>
      </c>
      <c r="TT48" s="151"/>
      <c r="TU48" s="134">
        <v>0</v>
      </c>
      <c r="TV48" s="134"/>
      <c r="TW48" s="134">
        <v>0</v>
      </c>
      <c r="TX48" s="190">
        <f t="shared" si="679"/>
        <v>0</v>
      </c>
      <c r="TY48" s="135" t="e">
        <f t="shared" si="689"/>
        <v>#DIV/0!</v>
      </c>
      <c r="TZ48" s="1563"/>
      <c r="UA48" s="134"/>
      <c r="UB48" s="134"/>
      <c r="UC48" s="134"/>
      <c r="UD48" s="133">
        <f t="shared" si="680"/>
        <v>0</v>
      </c>
      <c r="UE48" s="151"/>
      <c r="UF48" s="134">
        <v>0</v>
      </c>
      <c r="UG48" s="134"/>
      <c r="UH48" s="134">
        <v>0</v>
      </c>
      <c r="UI48" s="190">
        <f t="shared" si="681"/>
        <v>0</v>
      </c>
      <c r="UJ48" s="5380" t="e">
        <f t="shared" si="690"/>
        <v>#DIV/0!</v>
      </c>
      <c r="UK48" s="5376"/>
      <c r="UL48" s="191">
        <f t="shared" si="284"/>
        <v>0</v>
      </c>
      <c r="UM48" s="191">
        <f t="shared" si="285"/>
        <v>0</v>
      </c>
      <c r="UN48" s="135" t="e">
        <f t="shared" si="484"/>
        <v>#DIV/0!</v>
      </c>
      <c r="UO48" s="191">
        <f t="shared" si="286"/>
        <v>0</v>
      </c>
      <c r="UP48" s="4952"/>
    </row>
    <row r="49" spans="1:581" x14ac:dyDescent="0.3">
      <c r="A49" s="5316"/>
      <c r="B49" s="5360" t="s">
        <v>403</v>
      </c>
      <c r="C49" s="578" t="s">
        <v>141</v>
      </c>
      <c r="D49" s="578" t="s">
        <v>140</v>
      </c>
      <c r="E49" s="6278" t="s">
        <v>254</v>
      </c>
      <c r="F49" s="672">
        <v>1</v>
      </c>
      <c r="G49" s="350">
        <v>597177</v>
      </c>
      <c r="H49" s="350">
        <v>778000</v>
      </c>
      <c r="I49" s="350">
        <v>180823</v>
      </c>
      <c r="J49" s="351">
        <f>I49/H49</f>
        <v>0.23242030848329048</v>
      </c>
      <c r="K49" s="673">
        <v>1</v>
      </c>
      <c r="L49" s="350">
        <v>383199</v>
      </c>
      <c r="M49" s="350">
        <v>490150</v>
      </c>
      <c r="N49" s="350">
        <v>84222</v>
      </c>
      <c r="O49" s="672"/>
      <c r="P49" s="673">
        <v>1</v>
      </c>
      <c r="Q49" s="350">
        <v>338980</v>
      </c>
      <c r="R49" s="350">
        <v>495000</v>
      </c>
      <c r="S49" s="350">
        <v>156020</v>
      </c>
      <c r="T49" s="94"/>
      <c r="U49" s="136"/>
      <c r="V49" s="422"/>
      <c r="W49" s="422"/>
      <c r="X49" s="422"/>
      <c r="Y49" s="422"/>
      <c r="Z49" s="581"/>
      <c r="AA49" s="422"/>
      <c r="AB49" s="422"/>
      <c r="AC49" s="422"/>
      <c r="AD49" s="422"/>
      <c r="AE49" s="582">
        <f t="shared" si="580"/>
        <v>0</v>
      </c>
      <c r="AF49" s="422"/>
      <c r="AG49" s="583">
        <v>1</v>
      </c>
      <c r="AH49" s="584">
        <v>83514</v>
      </c>
      <c r="AI49" s="584">
        <v>126800</v>
      </c>
      <c r="AJ49" s="584"/>
      <c r="AK49" s="115">
        <f>AI49-AH49</f>
        <v>43286</v>
      </c>
      <c r="AL49" s="116">
        <f t="shared" si="611"/>
        <v>0.34137223974763409</v>
      </c>
      <c r="AM49" s="585">
        <v>0</v>
      </c>
      <c r="AN49" s="417">
        <v>0</v>
      </c>
      <c r="AO49" s="417"/>
      <c r="AP49" s="130">
        <v>49383.651724137926</v>
      </c>
      <c r="AQ49" s="417">
        <f t="shared" si="612"/>
        <v>-6097.6517241379261</v>
      </c>
      <c r="AR49" s="116">
        <f t="shared" si="613"/>
        <v>-0.14086891198396539</v>
      </c>
      <c r="AS49" s="583">
        <v>1</v>
      </c>
      <c r="AT49" s="733">
        <v>399433</v>
      </c>
      <c r="AU49" s="161">
        <v>497260</v>
      </c>
      <c r="AV49" s="734">
        <v>97827</v>
      </c>
      <c r="AW49" s="116">
        <f>AV49/AU49</f>
        <v>0.19673209186341151</v>
      </c>
      <c r="AX49" s="586">
        <v>1</v>
      </c>
      <c r="AY49" s="587">
        <f t="shared" si="582"/>
        <v>1718789</v>
      </c>
      <c r="AZ49" s="587">
        <f t="shared" si="583"/>
        <v>2260410</v>
      </c>
      <c r="BA49" s="587">
        <f t="shared" si="584"/>
        <v>518892</v>
      </c>
      <c r="BB49" s="588">
        <f>BA49/AZ49</f>
        <v>0.22955658486734706</v>
      </c>
      <c r="BC49" s="212">
        <v>1</v>
      </c>
      <c r="BD49" s="130">
        <v>83514</v>
      </c>
      <c r="BE49" s="130">
        <v>126800</v>
      </c>
      <c r="BF49" s="582"/>
      <c r="BG49" s="582">
        <f t="shared" si="585"/>
        <v>43286</v>
      </c>
      <c r="BH49" s="589"/>
      <c r="BI49" s="1512"/>
      <c r="BJ49" s="582"/>
      <c r="BK49" s="582"/>
      <c r="BL49" s="582"/>
      <c r="BM49" s="582">
        <f t="shared" si="586"/>
        <v>0</v>
      </c>
      <c r="BN49" s="589"/>
      <c r="BO49" s="590"/>
      <c r="BP49" s="582"/>
      <c r="BQ49" s="582"/>
      <c r="BR49" s="582"/>
      <c r="BS49" s="582">
        <f t="shared" si="587"/>
        <v>0</v>
      </c>
      <c r="BT49" s="591"/>
      <c r="BU49" s="590"/>
      <c r="BV49" s="592">
        <f t="shared" si="588"/>
        <v>126800</v>
      </c>
      <c r="BW49" s="592">
        <f t="shared" si="589"/>
        <v>43286</v>
      </c>
      <c r="BX49" s="593">
        <f>BW49/BV49</f>
        <v>0.34137223974763409</v>
      </c>
      <c r="BY49" s="594">
        <v>0</v>
      </c>
      <c r="BZ49" s="595">
        <v>0</v>
      </c>
      <c r="CA49" s="650">
        <v>0</v>
      </c>
      <c r="CB49" s="650"/>
      <c r="CC49" s="596">
        <f t="shared" si="616"/>
        <v>0</v>
      </c>
      <c r="CD49" s="597"/>
      <c r="CE49" s="598">
        <v>0</v>
      </c>
      <c r="CF49" s="599">
        <v>0</v>
      </c>
      <c r="CG49" s="599"/>
      <c r="CH49" s="599"/>
      <c r="CI49" s="599">
        <f t="shared" si="617"/>
        <v>0</v>
      </c>
      <c r="CJ49" s="597"/>
      <c r="CK49" s="651"/>
      <c r="CL49" s="652"/>
      <c r="CM49" s="652"/>
      <c r="CN49" s="652"/>
      <c r="CO49" s="360">
        <f t="shared" si="590"/>
        <v>0</v>
      </c>
      <c r="CP49" s="602"/>
      <c r="CQ49" s="603"/>
      <c r="CR49" s="603"/>
      <c r="CS49" s="603"/>
      <c r="CT49" s="603"/>
      <c r="CU49" s="603">
        <f t="shared" si="618"/>
        <v>0</v>
      </c>
      <c r="CV49" s="604"/>
      <c r="CW49" s="129"/>
      <c r="CX49" s="130"/>
      <c r="CY49" s="130"/>
      <c r="CZ49" s="130"/>
      <c r="DA49" s="605">
        <f t="shared" si="591"/>
        <v>0</v>
      </c>
      <c r="DB49" s="114"/>
      <c r="DC49" s="138"/>
      <c r="DD49" s="606"/>
      <c r="DE49" s="130"/>
      <c r="DF49" s="130"/>
      <c r="DG49" s="128">
        <f t="shared" si="619"/>
        <v>0</v>
      </c>
      <c r="DH49" s="169"/>
      <c r="DI49" s="204">
        <f t="shared" si="620"/>
        <v>0</v>
      </c>
      <c r="DJ49" s="202">
        <f t="shared" si="621"/>
        <v>0</v>
      </c>
      <c r="DK49" s="202">
        <f t="shared" si="622"/>
        <v>0</v>
      </c>
      <c r="DL49" s="119"/>
      <c r="DM49" s="202">
        <f t="shared" si="623"/>
        <v>0</v>
      </c>
      <c r="DN49" s="119"/>
      <c r="DO49" s="607">
        <f t="shared" si="624"/>
        <v>-1</v>
      </c>
      <c r="DP49" s="137">
        <f t="shared" si="625"/>
        <v>-83514</v>
      </c>
      <c r="DQ49" s="137">
        <f t="shared" si="626"/>
        <v>-126800</v>
      </c>
      <c r="DR49" s="137">
        <f t="shared" si="627"/>
        <v>-43286</v>
      </c>
      <c r="DS49" s="135">
        <f t="shared" si="628"/>
        <v>-1</v>
      </c>
      <c r="DT49" s="135">
        <f t="shared" si="629"/>
        <v>-0.65862776025236591</v>
      </c>
      <c r="DU49" s="135">
        <f t="shared" si="630"/>
        <v>-2.9293536016263917</v>
      </c>
      <c r="DV49" s="151">
        <f t="shared" si="631"/>
        <v>7.0987983502976615</v>
      </c>
      <c r="DW49" s="607">
        <f t="shared" si="632"/>
        <v>0</v>
      </c>
      <c r="DX49" s="608">
        <f t="shared" si="633"/>
        <v>0</v>
      </c>
      <c r="DY49" s="608">
        <f t="shared" si="634"/>
        <v>0</v>
      </c>
      <c r="DZ49" s="608">
        <f t="shared" si="635"/>
        <v>0</v>
      </c>
      <c r="EA49" s="135"/>
      <c r="EB49" s="135"/>
      <c r="EC49" s="135"/>
      <c r="ED49" s="151"/>
      <c r="EE49" s="129">
        <v>0</v>
      </c>
      <c r="EF49" s="130">
        <v>0</v>
      </c>
      <c r="EG49" s="130">
        <v>0</v>
      </c>
      <c r="EH49" s="130">
        <v>0</v>
      </c>
      <c r="EI49" s="605">
        <f t="shared" si="592"/>
        <v>0</v>
      </c>
      <c r="EJ49" s="114"/>
      <c r="EK49" s="138">
        <v>0</v>
      </c>
      <c r="EL49" s="606">
        <v>0</v>
      </c>
      <c r="EM49" s="130">
        <v>0</v>
      </c>
      <c r="EN49" s="130">
        <v>0</v>
      </c>
      <c r="EO49" s="128">
        <f t="shared" si="636"/>
        <v>0</v>
      </c>
      <c r="EP49" s="114"/>
      <c r="EQ49" s="129">
        <v>0</v>
      </c>
      <c r="ER49" s="595">
        <v>0</v>
      </c>
      <c r="ES49" s="595">
        <v>0</v>
      </c>
      <c r="ET49" s="661"/>
      <c r="EU49" s="134">
        <f t="shared" si="593"/>
        <v>0</v>
      </c>
      <c r="EV49" s="114"/>
      <c r="EW49" s="138">
        <v>0</v>
      </c>
      <c r="EX49" s="606">
        <v>0</v>
      </c>
      <c r="EY49" s="130">
        <v>0</v>
      </c>
      <c r="EZ49" s="128">
        <v>0</v>
      </c>
      <c r="FA49" s="128">
        <f t="shared" si="637"/>
        <v>0</v>
      </c>
      <c r="FB49" s="114"/>
      <c r="FC49" s="609">
        <f t="shared" si="638"/>
        <v>-1</v>
      </c>
      <c r="FD49" s="610">
        <f t="shared" si="639"/>
        <v>-126800</v>
      </c>
      <c r="FE49" s="610">
        <f t="shared" si="640"/>
        <v>-43286</v>
      </c>
      <c r="FF49" s="610">
        <f t="shared" si="641"/>
        <v>6097.6517241379261</v>
      </c>
      <c r="FG49" s="611">
        <f t="shared" si="642"/>
        <v>-1</v>
      </c>
      <c r="FH49" s="611">
        <f t="shared" si="643"/>
        <v>-1</v>
      </c>
      <c r="FI49" s="611">
        <f t="shared" si="644"/>
        <v>-1</v>
      </c>
      <c r="FJ49" s="612">
        <f t="shared" si="645"/>
        <v>-1</v>
      </c>
      <c r="FK49" s="133">
        <v>0</v>
      </c>
      <c r="FL49" s="134">
        <v>0</v>
      </c>
      <c r="FM49" s="134">
        <v>0</v>
      </c>
      <c r="FN49" s="134"/>
      <c r="FO49" s="134">
        <f t="shared" si="594"/>
        <v>0</v>
      </c>
      <c r="FP49" s="135"/>
      <c r="FQ49" s="133"/>
      <c r="FR49" s="134"/>
      <c r="FS49" s="134"/>
      <c r="FT49" s="191">
        <f t="shared" si="646"/>
        <v>0</v>
      </c>
      <c r="FU49" s="151"/>
      <c r="FV49" s="190">
        <f t="shared" si="647"/>
        <v>-1</v>
      </c>
      <c r="FW49" s="191">
        <f t="shared" si="648"/>
        <v>-83514</v>
      </c>
      <c r="FX49" s="191">
        <f t="shared" si="649"/>
        <v>-126800</v>
      </c>
      <c r="FY49" s="191">
        <f t="shared" si="650"/>
        <v>-43286</v>
      </c>
      <c r="FZ49" s="191">
        <f t="shared" si="651"/>
        <v>6097.6517241379261</v>
      </c>
      <c r="GA49" s="135">
        <f t="shared" si="652"/>
        <v>-1</v>
      </c>
      <c r="GB49" s="135">
        <f t="shared" si="653"/>
        <v>-1</v>
      </c>
      <c r="GC49" s="135">
        <f t="shared" si="654"/>
        <v>-1</v>
      </c>
      <c r="GD49" s="151">
        <f t="shared" si="655"/>
        <v>-1</v>
      </c>
      <c r="GE49" s="187">
        <f t="shared" si="656"/>
        <v>0</v>
      </c>
      <c r="GF49" s="155">
        <f t="shared" si="657"/>
        <v>0</v>
      </c>
      <c r="GG49" s="155">
        <f t="shared" si="658"/>
        <v>0</v>
      </c>
      <c r="GH49" s="74"/>
      <c r="GI49" s="613">
        <f t="shared" si="659"/>
        <v>0</v>
      </c>
      <c r="GJ49" s="187">
        <f t="shared" si="660"/>
        <v>0</v>
      </c>
      <c r="GK49" s="155">
        <f t="shared" si="661"/>
        <v>0</v>
      </c>
      <c r="GL49" s="155">
        <f t="shared" si="662"/>
        <v>0</v>
      </c>
      <c r="GM49" s="613">
        <f t="shared" si="663"/>
        <v>0</v>
      </c>
      <c r="GN49" s="133"/>
      <c r="GO49" s="134">
        <v>0</v>
      </c>
      <c r="GP49" s="134">
        <v>0</v>
      </c>
      <c r="GQ49" s="134">
        <v>0</v>
      </c>
      <c r="GR49" s="134">
        <f t="shared" si="595"/>
        <v>0</v>
      </c>
      <c r="GS49" s="135"/>
      <c r="GT49" s="133"/>
      <c r="GU49" s="134"/>
      <c r="GV49" s="134">
        <v>0</v>
      </c>
      <c r="GW49" s="134">
        <v>0</v>
      </c>
      <c r="GX49" s="190">
        <f t="shared" si="664"/>
        <v>0</v>
      </c>
      <c r="GY49" s="151"/>
      <c r="GZ49" s="614"/>
      <c r="HA49" s="130">
        <v>0</v>
      </c>
      <c r="HB49" s="130">
        <v>0</v>
      </c>
      <c r="HC49" s="130"/>
      <c r="HD49" s="134">
        <f t="shared" si="596"/>
        <v>0</v>
      </c>
      <c r="HE49" s="151"/>
      <c r="HF49" s="138">
        <v>0</v>
      </c>
      <c r="HG49" s="130"/>
      <c r="HH49" s="130"/>
      <c r="HI49" s="130"/>
      <c r="HJ49" s="197">
        <f>HD49-SUM(HF49:HI49)</f>
        <v>0</v>
      </c>
      <c r="HK49" s="201"/>
      <c r="HL49" s="1365"/>
      <c r="HM49" s="148"/>
      <c r="HN49" s="148"/>
      <c r="HO49" s="134">
        <v>0</v>
      </c>
      <c r="HP49" s="615">
        <f t="shared" si="597"/>
        <v>0</v>
      </c>
      <c r="HQ49" s="201"/>
      <c r="HR49" s="133">
        <v>0</v>
      </c>
      <c r="HS49" s="134">
        <v>0</v>
      </c>
      <c r="HT49" s="134"/>
      <c r="HU49" s="134">
        <v>0</v>
      </c>
      <c r="HV49" s="191">
        <f t="shared" si="598"/>
        <v>0</v>
      </c>
      <c r="HW49" s="151"/>
      <c r="HX49" s="697"/>
      <c r="HY49" s="241">
        <f t="shared" si="599"/>
        <v>0</v>
      </c>
      <c r="HZ49" s="415">
        <f t="shared" si="600"/>
        <v>0</v>
      </c>
      <c r="IA49" s="241"/>
      <c r="IB49" s="151"/>
      <c r="IC49" s="74"/>
      <c r="ID49" s="403"/>
      <c r="IE49" s="141">
        <f t="shared" si="512"/>
        <v>126800</v>
      </c>
      <c r="IF49" s="141">
        <f t="shared" si="513"/>
        <v>43286</v>
      </c>
      <c r="IG49" s="74">
        <f t="shared" si="602"/>
        <v>0.34137223974763409</v>
      </c>
      <c r="IH49" s="73"/>
      <c r="II49" s="69"/>
      <c r="IJ49" s="133"/>
      <c r="IK49" s="134"/>
      <c r="IL49" s="134"/>
      <c r="IM49" s="134">
        <v>0</v>
      </c>
      <c r="IN49" s="133">
        <f t="shared" si="603"/>
        <v>0</v>
      </c>
      <c r="IO49" s="151"/>
      <c r="IP49" s="133">
        <v>0</v>
      </c>
      <c r="IQ49" s="134">
        <v>0</v>
      </c>
      <c r="IR49" s="134">
        <v>0</v>
      </c>
      <c r="IS49" s="190">
        <f t="shared" si="604"/>
        <v>0</v>
      </c>
      <c r="IT49" s="151"/>
      <c r="IU49" s="621"/>
      <c r="IV49" s="358">
        <v>0</v>
      </c>
      <c r="IW49" s="622">
        <v>0</v>
      </c>
      <c r="IX49" s="134">
        <v>0</v>
      </c>
      <c r="IY49" s="133">
        <f t="shared" si="605"/>
        <v>0</v>
      </c>
      <c r="IZ49" s="151"/>
      <c r="JA49" s="133">
        <v>0</v>
      </c>
      <c r="JB49" s="134">
        <v>0</v>
      </c>
      <c r="JC49" s="134">
        <v>0</v>
      </c>
      <c r="JD49" s="190">
        <f t="shared" si="606"/>
        <v>0</v>
      </c>
      <c r="JE49" s="151"/>
      <c r="JF49" s="621"/>
      <c r="JG49" s="358"/>
      <c r="JH49" s="622"/>
      <c r="JI49" s="134">
        <v>0</v>
      </c>
      <c r="JJ49" s="133">
        <f t="shared" si="573"/>
        <v>0</v>
      </c>
      <c r="JK49" s="151"/>
      <c r="JL49" s="133"/>
      <c r="JM49" s="134"/>
      <c r="JN49" s="134">
        <v>0</v>
      </c>
      <c r="JO49" s="190">
        <f t="shared" si="574"/>
        <v>0</v>
      </c>
      <c r="JP49" s="151"/>
      <c r="JQ49" s="621"/>
      <c r="JR49" s="191">
        <f t="shared" si="575"/>
        <v>0</v>
      </c>
      <c r="JS49" s="191">
        <f t="shared" si="576"/>
        <v>0</v>
      </c>
      <c r="JT49" s="151"/>
      <c r="JU49" s="621"/>
      <c r="JV49" s="358"/>
      <c r="JW49" s="622"/>
      <c r="JX49" s="134"/>
      <c r="JY49" s="133">
        <f t="shared" si="560"/>
        <v>0</v>
      </c>
      <c r="JZ49" s="151"/>
      <c r="KA49" s="133"/>
      <c r="KB49" s="134"/>
      <c r="KC49" s="134">
        <v>0</v>
      </c>
      <c r="KD49" s="190">
        <f t="shared" si="514"/>
        <v>0</v>
      </c>
      <c r="KE49" s="151"/>
      <c r="KF49" s="621"/>
      <c r="KG49" s="358"/>
      <c r="KH49" s="622"/>
      <c r="KI49" s="134"/>
      <c r="KJ49" s="133">
        <f t="shared" si="563"/>
        <v>0</v>
      </c>
      <c r="KK49" s="151"/>
      <c r="KL49" s="133"/>
      <c r="KM49" s="134"/>
      <c r="KN49" s="134">
        <v>0</v>
      </c>
      <c r="KO49" s="190">
        <f t="shared" si="515"/>
        <v>0</v>
      </c>
      <c r="KP49" s="151"/>
      <c r="KQ49" s="621"/>
      <c r="KR49" s="358"/>
      <c r="KS49" s="622"/>
      <c r="KT49" s="134"/>
      <c r="KU49" s="133">
        <f t="shared" si="566"/>
        <v>0</v>
      </c>
      <c r="KV49" s="151"/>
      <c r="KW49" s="133"/>
      <c r="KX49" s="134"/>
      <c r="KY49" s="134">
        <v>0</v>
      </c>
      <c r="KZ49" s="190">
        <f t="shared" si="516"/>
        <v>0</v>
      </c>
      <c r="LA49" s="151"/>
      <c r="LB49" s="402"/>
      <c r="LC49" s="191">
        <f t="shared" si="517"/>
        <v>0</v>
      </c>
      <c r="LD49" s="191">
        <f t="shared" si="518"/>
        <v>0</v>
      </c>
      <c r="LE49" s="151"/>
      <c r="LF49" s="226">
        <f t="shared" si="519"/>
        <v>0</v>
      </c>
      <c r="LG49" s="128">
        <f t="shared" si="520"/>
        <v>0</v>
      </c>
      <c r="LH49" s="139">
        <f t="shared" si="521"/>
        <v>0</v>
      </c>
      <c r="LI49" s="718">
        <v>0</v>
      </c>
      <c r="LJ49" s="718">
        <v>0</v>
      </c>
      <c r="LK49" s="699">
        <v>0</v>
      </c>
      <c r="LL49" s="621"/>
      <c r="LM49" s="358"/>
      <c r="LN49" s="622"/>
      <c r="LO49" s="134"/>
      <c r="LP49" s="133">
        <f t="shared" si="522"/>
        <v>0</v>
      </c>
      <c r="LQ49" s="151"/>
      <c r="LR49" s="133"/>
      <c r="LS49" s="134"/>
      <c r="LT49" s="134">
        <v>0</v>
      </c>
      <c r="LU49" s="190">
        <f t="shared" si="523"/>
        <v>0</v>
      </c>
      <c r="LV49" s="151"/>
      <c r="LW49" s="134"/>
      <c r="LX49" s="134"/>
      <c r="LY49" s="134"/>
      <c r="LZ49" s="134"/>
      <c r="MA49" s="133">
        <f t="shared" si="524"/>
        <v>0</v>
      </c>
      <c r="MB49" s="151"/>
      <c r="MC49" s="134"/>
      <c r="MD49" s="134"/>
      <c r="ME49" s="134">
        <v>0</v>
      </c>
      <c r="MF49" s="190">
        <f t="shared" si="525"/>
        <v>0</v>
      </c>
      <c r="MG49" s="151" t="e">
        <f t="shared" si="682"/>
        <v>#DIV/0!</v>
      </c>
      <c r="MH49" s="134"/>
      <c r="MI49" s="134"/>
      <c r="MJ49" s="134"/>
      <c r="MK49" s="134"/>
      <c r="ML49" s="133">
        <f t="shared" si="526"/>
        <v>0</v>
      </c>
      <c r="MM49" s="151"/>
      <c r="MN49" s="134"/>
      <c r="MO49" s="134"/>
      <c r="MP49" s="134">
        <v>0</v>
      </c>
      <c r="MQ49" s="190">
        <f t="shared" si="527"/>
        <v>0</v>
      </c>
      <c r="MR49" s="151" t="e">
        <f t="shared" si="683"/>
        <v>#DIV/0!</v>
      </c>
      <c r="MS49" s="1472"/>
      <c r="MT49" s="118">
        <f t="shared" si="528"/>
        <v>0</v>
      </c>
      <c r="MU49" s="118">
        <f t="shared" si="529"/>
        <v>0</v>
      </c>
      <c r="MV49" s="135"/>
      <c r="MW49" s="133">
        <f t="shared" si="530"/>
        <v>0</v>
      </c>
      <c r="MX49" s="134">
        <f t="shared" si="531"/>
        <v>0</v>
      </c>
      <c r="MY49" s="134">
        <f t="shared" si="532"/>
        <v>0</v>
      </c>
      <c r="MZ49" s="135"/>
      <c r="NA49" s="135"/>
      <c r="NB49" s="151"/>
      <c r="NC49" s="134"/>
      <c r="ND49" s="134"/>
      <c r="NE49" s="134"/>
      <c r="NF49" s="134"/>
      <c r="NG49" s="133">
        <f t="shared" si="534"/>
        <v>0</v>
      </c>
      <c r="NH49" s="151"/>
      <c r="NI49" s="134"/>
      <c r="NJ49" s="134"/>
      <c r="NK49" s="134">
        <v>0</v>
      </c>
      <c r="NL49" s="190">
        <f t="shared" si="535"/>
        <v>0</v>
      </c>
      <c r="NM49" s="135" t="e">
        <f t="shared" si="684"/>
        <v>#DIV/0!</v>
      </c>
      <c r="NN49" s="1563"/>
      <c r="NO49" s="134"/>
      <c r="NP49" s="134"/>
      <c r="NQ49" s="134"/>
      <c r="NR49" s="133">
        <f t="shared" si="536"/>
        <v>0</v>
      </c>
      <c r="NS49" s="151"/>
      <c r="NT49" s="134">
        <v>0</v>
      </c>
      <c r="NU49" s="134"/>
      <c r="NV49" s="134">
        <v>0</v>
      </c>
      <c r="NW49" s="190">
        <f t="shared" si="537"/>
        <v>0</v>
      </c>
      <c r="NX49" s="135" t="e">
        <f t="shared" si="685"/>
        <v>#DIV/0!</v>
      </c>
      <c r="NY49" s="1563"/>
      <c r="NZ49" s="134"/>
      <c r="OA49" s="134"/>
      <c r="OB49" s="134"/>
      <c r="OC49" s="133">
        <f t="shared" si="538"/>
        <v>0</v>
      </c>
      <c r="OD49" s="151"/>
      <c r="OE49" s="134">
        <v>0</v>
      </c>
      <c r="OF49" s="134"/>
      <c r="OG49" s="134">
        <v>0</v>
      </c>
      <c r="OH49" s="190">
        <f t="shared" si="539"/>
        <v>0</v>
      </c>
      <c r="OI49" s="5380" t="e">
        <f t="shared" si="686"/>
        <v>#DIV/0!</v>
      </c>
      <c r="OJ49" s="69"/>
      <c r="OK49" s="155">
        <f t="shared" si="540"/>
        <v>0</v>
      </c>
      <c r="OL49" s="155">
        <f t="shared" si="541"/>
        <v>0</v>
      </c>
      <c r="OM49" s="74" t="e">
        <f t="shared" si="542"/>
        <v>#DIV/0!</v>
      </c>
      <c r="ON49" s="155">
        <f t="shared" si="543"/>
        <v>0</v>
      </c>
      <c r="OO49" s="70"/>
      <c r="OP49" s="69"/>
      <c r="OQ49" s="1563"/>
      <c r="OR49" s="134"/>
      <c r="OS49" s="134"/>
      <c r="OT49" s="134"/>
      <c r="OU49" s="133">
        <f t="shared" si="544"/>
        <v>0</v>
      </c>
      <c r="OV49" s="94"/>
      <c r="OW49" s="133">
        <v>0</v>
      </c>
      <c r="OX49" s="134">
        <v>0</v>
      </c>
      <c r="OY49" s="134">
        <v>0</v>
      </c>
      <c r="OZ49" s="190">
        <f t="shared" si="545"/>
        <v>0</v>
      </c>
      <c r="PA49" s="5372" t="e">
        <f t="shared" si="693"/>
        <v>#DIV/0!</v>
      </c>
      <c r="PB49" s="5321"/>
      <c r="PC49" s="358">
        <v>0</v>
      </c>
      <c r="PD49" s="622">
        <v>0</v>
      </c>
      <c r="PE49" s="134">
        <v>0</v>
      </c>
      <c r="PF49" s="133">
        <f t="shared" si="608"/>
        <v>0</v>
      </c>
      <c r="PG49" s="94"/>
      <c r="PH49" s="133">
        <v>0</v>
      </c>
      <c r="PI49" s="134">
        <v>0</v>
      </c>
      <c r="PJ49" s="134">
        <v>0</v>
      </c>
      <c r="PK49" s="190">
        <f t="shared" si="546"/>
        <v>0</v>
      </c>
      <c r="PL49" s="135"/>
      <c r="PM49" s="3863"/>
      <c r="PN49" s="358"/>
      <c r="PO49" s="622"/>
      <c r="PP49" s="134">
        <v>0</v>
      </c>
      <c r="PQ49" s="6293">
        <f t="shared" si="610"/>
        <v>0</v>
      </c>
      <c r="PR49" s="6295"/>
      <c r="PS49" s="134">
        <v>0</v>
      </c>
      <c r="PT49" s="134">
        <v>0</v>
      </c>
      <c r="PU49" s="134">
        <v>0</v>
      </c>
      <c r="PV49" s="190">
        <f t="shared" si="265"/>
        <v>0</v>
      </c>
      <c r="PW49" s="5381">
        <v>0</v>
      </c>
      <c r="PX49" s="5321"/>
      <c r="PY49" s="191">
        <f t="shared" si="578"/>
        <v>0</v>
      </c>
      <c r="PZ49" s="191">
        <f t="shared" si="579"/>
        <v>0</v>
      </c>
      <c r="QA49" s="135"/>
      <c r="QB49" s="3863"/>
      <c r="QC49" s="358"/>
      <c r="QD49" s="358"/>
      <c r="QE49" s="134"/>
      <c r="QF49" s="6293">
        <f t="shared" si="270"/>
        <v>0</v>
      </c>
      <c r="QG49" s="6296"/>
      <c r="QH49" s="134"/>
      <c r="QI49" s="134"/>
      <c r="QJ49" s="134">
        <v>0</v>
      </c>
      <c r="QK49" s="190">
        <f t="shared" si="665"/>
        <v>0</v>
      </c>
      <c r="QL49" s="5381">
        <v>0</v>
      </c>
      <c r="QM49" s="3863"/>
      <c r="QN49" s="358"/>
      <c r="QO49" s="622"/>
      <c r="QP49" s="134"/>
      <c r="QQ49" s="133">
        <f t="shared" si="691"/>
        <v>0</v>
      </c>
      <c r="QR49" s="151"/>
      <c r="QS49" s="133"/>
      <c r="QT49" s="134">
        <v>0</v>
      </c>
      <c r="QU49" s="134">
        <v>0</v>
      </c>
      <c r="QV49" s="190">
        <f t="shared" si="666"/>
        <v>0</v>
      </c>
      <c r="QW49" s="5381"/>
      <c r="QX49" s="3863"/>
      <c r="QY49" s="134">
        <v>0</v>
      </c>
      <c r="QZ49" s="134">
        <v>0</v>
      </c>
      <c r="RA49" s="134"/>
      <c r="RB49" s="133">
        <f t="shared" si="692"/>
        <v>0</v>
      </c>
      <c r="RC49" s="151"/>
      <c r="RD49" s="133"/>
      <c r="RE49" s="134"/>
      <c r="RF49" s="134">
        <v>0</v>
      </c>
      <c r="RG49" s="190">
        <f t="shared" si="667"/>
        <v>0</v>
      </c>
      <c r="RH49" s="5381"/>
      <c r="RI49" s="5376"/>
      <c r="RJ49" s="191">
        <f t="shared" si="548"/>
        <v>0</v>
      </c>
      <c r="RK49" s="191">
        <f t="shared" si="668"/>
        <v>0</v>
      </c>
      <c r="RL49" s="5380"/>
      <c r="RM49" s="1562">
        <f t="shared" si="550"/>
        <v>0</v>
      </c>
      <c r="RN49" s="128">
        <f t="shared" si="551"/>
        <v>0</v>
      </c>
      <c r="RO49" s="139">
        <f t="shared" si="552"/>
        <v>0</v>
      </c>
      <c r="RP49" s="718">
        <v>0</v>
      </c>
      <c r="RQ49" s="718">
        <v>0</v>
      </c>
      <c r="RR49" s="6348">
        <v>0</v>
      </c>
      <c r="RS49" s="6328"/>
      <c r="RT49" s="130">
        <v>0</v>
      </c>
      <c r="RU49" s="130">
        <v>0</v>
      </c>
      <c r="RV49" s="3546"/>
      <c r="RW49" s="133">
        <f t="shared" si="669"/>
        <v>0</v>
      </c>
      <c r="RX49" s="151"/>
      <c r="RY49" s="133"/>
      <c r="RZ49" s="134"/>
      <c r="SA49" s="134">
        <v>0</v>
      </c>
      <c r="SB49" s="190">
        <f t="shared" si="670"/>
        <v>0</v>
      </c>
      <c r="SC49" s="5380"/>
      <c r="SD49" s="5405"/>
      <c r="SE49" s="130"/>
      <c r="SF49" s="130"/>
      <c r="SG49" s="606"/>
      <c r="SH49" s="6361">
        <f t="shared" si="572"/>
        <v>0</v>
      </c>
      <c r="SI49" s="6363" t="e">
        <f t="shared" si="671"/>
        <v>#DIV/0!</v>
      </c>
      <c r="SJ49" s="134"/>
      <c r="SK49" s="134"/>
      <c r="SL49" s="134">
        <v>0</v>
      </c>
      <c r="SM49" s="188">
        <f t="shared" si="289"/>
        <v>0</v>
      </c>
      <c r="SN49" s="5389" t="e">
        <f t="shared" si="290"/>
        <v>#DIV/0!</v>
      </c>
      <c r="SO49" s="134"/>
      <c r="SP49" s="134"/>
      <c r="SQ49" s="134"/>
      <c r="SR49" s="134"/>
      <c r="SS49" s="6361">
        <f t="shared" si="672"/>
        <v>0</v>
      </c>
      <c r="ST49" s="6363"/>
      <c r="SU49" s="134"/>
      <c r="SV49" s="134"/>
      <c r="SW49" s="134">
        <v>0</v>
      </c>
      <c r="SX49" s="190">
        <f t="shared" si="673"/>
        <v>0</v>
      </c>
      <c r="SY49" s="5380" t="e">
        <f t="shared" si="687"/>
        <v>#DIV/0!</v>
      </c>
      <c r="SZ49" s="6270"/>
      <c r="TA49" s="118">
        <f t="shared" si="674"/>
        <v>0</v>
      </c>
      <c r="TB49" s="118">
        <f t="shared" si="675"/>
        <v>0</v>
      </c>
      <c r="TC49" s="5380"/>
      <c r="TD49" s="1563"/>
      <c r="TE49" s="134"/>
      <c r="TF49" s="134"/>
      <c r="TG49" s="134"/>
      <c r="TH49" s="133">
        <f t="shared" si="676"/>
        <v>0</v>
      </c>
      <c r="TI49" s="151"/>
      <c r="TJ49" s="134"/>
      <c r="TK49" s="134">
        <v>0</v>
      </c>
      <c r="TL49" s="134"/>
      <c r="TM49" s="190">
        <f t="shared" si="677"/>
        <v>0</v>
      </c>
      <c r="TN49" s="5380" t="e">
        <f t="shared" si="688"/>
        <v>#DIV/0!</v>
      </c>
      <c r="TO49" s="134"/>
      <c r="TP49" s="134"/>
      <c r="TQ49" s="134"/>
      <c r="TR49" s="134"/>
      <c r="TS49" s="133">
        <f t="shared" si="678"/>
        <v>0</v>
      </c>
      <c r="TT49" s="151"/>
      <c r="TU49" s="134">
        <v>0</v>
      </c>
      <c r="TV49" s="134"/>
      <c r="TW49" s="134">
        <v>0</v>
      </c>
      <c r="TX49" s="190">
        <f t="shared" si="679"/>
        <v>0</v>
      </c>
      <c r="TY49" s="135" t="e">
        <f t="shared" si="689"/>
        <v>#DIV/0!</v>
      </c>
      <c r="TZ49" s="1563"/>
      <c r="UA49" s="134"/>
      <c r="UB49" s="134"/>
      <c r="UC49" s="134"/>
      <c r="UD49" s="133">
        <f t="shared" si="680"/>
        <v>0</v>
      </c>
      <c r="UE49" s="151"/>
      <c r="UF49" s="134">
        <v>0</v>
      </c>
      <c r="UG49" s="134"/>
      <c r="UH49" s="134">
        <v>0</v>
      </c>
      <c r="UI49" s="190">
        <f t="shared" si="681"/>
        <v>0</v>
      </c>
      <c r="UJ49" s="5380" t="e">
        <f t="shared" si="690"/>
        <v>#DIV/0!</v>
      </c>
      <c r="UK49" s="5376"/>
      <c r="UL49" s="191">
        <f t="shared" si="284"/>
        <v>0</v>
      </c>
      <c r="UM49" s="191">
        <f t="shared" si="285"/>
        <v>0</v>
      </c>
      <c r="UN49" s="135" t="e">
        <f t="shared" si="484"/>
        <v>#DIV/0!</v>
      </c>
      <c r="UO49" s="191">
        <f t="shared" si="286"/>
        <v>0</v>
      </c>
      <c r="UP49" s="4952"/>
    </row>
    <row r="50" spans="1:581" x14ac:dyDescent="0.3">
      <c r="A50" s="5316"/>
      <c r="B50" s="5360" t="s">
        <v>404</v>
      </c>
      <c r="C50" s="578" t="s">
        <v>141</v>
      </c>
      <c r="D50" s="578" t="s">
        <v>140</v>
      </c>
      <c r="E50" s="6278" t="s">
        <v>254</v>
      </c>
      <c r="F50" s="422">
        <v>1</v>
      </c>
      <c r="G50" s="161">
        <v>247758</v>
      </c>
      <c r="H50" s="161">
        <v>355040</v>
      </c>
      <c r="I50" s="161">
        <v>107282</v>
      </c>
      <c r="J50" s="351">
        <f>I50/H50</f>
        <v>0.3021687697160883</v>
      </c>
      <c r="K50" s="136">
        <v>1</v>
      </c>
      <c r="L50" s="161">
        <v>246502</v>
      </c>
      <c r="M50" s="161">
        <v>343628</v>
      </c>
      <c r="N50" s="161">
        <v>97126</v>
      </c>
      <c r="O50" s="422"/>
      <c r="P50" s="136">
        <v>1</v>
      </c>
      <c r="Q50" s="161">
        <v>294761</v>
      </c>
      <c r="R50" s="161">
        <v>365184</v>
      </c>
      <c r="S50" s="161">
        <v>70423</v>
      </c>
      <c r="T50" s="94"/>
      <c r="U50" s="136"/>
      <c r="V50" s="422"/>
      <c r="W50" s="422"/>
      <c r="X50" s="422"/>
      <c r="Y50" s="422"/>
      <c r="Z50" s="581"/>
      <c r="AA50" s="422"/>
      <c r="AB50" s="422"/>
      <c r="AC50" s="422"/>
      <c r="AD50" s="422"/>
      <c r="AE50" s="582">
        <f t="shared" si="580"/>
        <v>0</v>
      </c>
      <c r="AF50" s="422"/>
      <c r="AG50" s="113">
        <v>1</v>
      </c>
      <c r="AH50" s="616">
        <v>135850</v>
      </c>
      <c r="AI50" s="616">
        <v>166130</v>
      </c>
      <c r="AJ50" s="616"/>
      <c r="AK50" s="96">
        <f>AI50-AH50</f>
        <v>30280</v>
      </c>
      <c r="AL50" s="116">
        <f t="shared" si="611"/>
        <v>0.1822668994161199</v>
      </c>
      <c r="AM50" s="585">
        <v>0</v>
      </c>
      <c r="AN50" s="417">
        <v>131298</v>
      </c>
      <c r="AO50" s="417"/>
      <c r="AP50" s="130">
        <v>49383.651724137926</v>
      </c>
      <c r="AQ50" s="417">
        <f t="shared" si="612"/>
        <v>-150401.65172413792</v>
      </c>
      <c r="AR50" s="116">
        <f t="shared" si="613"/>
        <v>-4.9670294492780025</v>
      </c>
      <c r="AS50" s="113">
        <v>1</v>
      </c>
      <c r="AT50" s="733">
        <v>250542</v>
      </c>
      <c r="AU50" s="161">
        <v>363916</v>
      </c>
      <c r="AV50" s="734">
        <v>113374</v>
      </c>
      <c r="AW50" s="116">
        <f>AV50/AU50</f>
        <v>0.31153892656547116</v>
      </c>
      <c r="AX50" s="586">
        <v>1</v>
      </c>
      <c r="AY50" s="587">
        <f t="shared" si="582"/>
        <v>1039563</v>
      </c>
      <c r="AZ50" s="587">
        <f t="shared" si="583"/>
        <v>1427768</v>
      </c>
      <c r="BA50" s="587">
        <f t="shared" si="584"/>
        <v>388205</v>
      </c>
      <c r="BB50" s="588">
        <f>BA50/AZ50</f>
        <v>0.2718964145435393</v>
      </c>
      <c r="BC50" s="1512"/>
      <c r="BD50" s="582"/>
      <c r="BE50" s="582"/>
      <c r="BF50" s="582"/>
      <c r="BG50" s="582">
        <f t="shared" si="585"/>
        <v>0</v>
      </c>
      <c r="BH50" s="589"/>
      <c r="BI50" s="1512">
        <v>1</v>
      </c>
      <c r="BJ50" s="582">
        <v>135850</v>
      </c>
      <c r="BK50" s="582">
        <v>166130</v>
      </c>
      <c r="BL50" s="582"/>
      <c r="BM50" s="582">
        <f t="shared" si="586"/>
        <v>30280</v>
      </c>
      <c r="BN50" s="589"/>
      <c r="BO50" s="590">
        <v>1</v>
      </c>
      <c r="BP50" s="582">
        <v>135850</v>
      </c>
      <c r="BQ50" s="582">
        <v>166130</v>
      </c>
      <c r="BR50" s="582"/>
      <c r="BS50" s="582">
        <f t="shared" si="587"/>
        <v>30280</v>
      </c>
      <c r="BT50" s="591">
        <f>BS50/BQ50</f>
        <v>0.1822668994161199</v>
      </c>
      <c r="BU50" s="590">
        <v>1</v>
      </c>
      <c r="BV50" s="592">
        <f t="shared" si="588"/>
        <v>332260</v>
      </c>
      <c r="BW50" s="592">
        <f t="shared" si="589"/>
        <v>60560</v>
      </c>
      <c r="BX50" s="593">
        <f>BW50/BV50</f>
        <v>0.1822668994161199</v>
      </c>
      <c r="BY50" s="594">
        <v>1</v>
      </c>
      <c r="BZ50" s="650">
        <v>135850</v>
      </c>
      <c r="CA50" s="650">
        <v>166130</v>
      </c>
      <c r="CB50" s="650"/>
      <c r="CC50" s="596">
        <f t="shared" si="616"/>
        <v>30280</v>
      </c>
      <c r="CD50" s="597">
        <f>CC50/CA50</f>
        <v>0.1822668994161199</v>
      </c>
      <c r="CE50" s="598">
        <v>0</v>
      </c>
      <c r="CF50" s="599"/>
      <c r="CG50" s="599"/>
      <c r="CH50" s="599"/>
      <c r="CI50" s="599">
        <f t="shared" si="617"/>
        <v>30280</v>
      </c>
      <c r="CJ50" s="597">
        <f>CI50/CA50</f>
        <v>0.1822668994161199</v>
      </c>
      <c r="CK50" s="651">
        <v>1</v>
      </c>
      <c r="CL50" s="652">
        <v>135850</v>
      </c>
      <c r="CM50" s="652">
        <v>166130</v>
      </c>
      <c r="CN50" s="652"/>
      <c r="CO50" s="360">
        <f t="shared" si="590"/>
        <v>30280</v>
      </c>
      <c r="CP50" s="602">
        <f>CO50/CM50</f>
        <v>0.1822668994161199</v>
      </c>
      <c r="CQ50" s="603">
        <v>0</v>
      </c>
      <c r="CR50" s="603">
        <v>99658.273076923069</v>
      </c>
      <c r="CS50" s="603"/>
      <c r="CT50" s="603">
        <v>147101.18634615382</v>
      </c>
      <c r="CU50" s="603">
        <f t="shared" si="618"/>
        <v>-216479.45942307689</v>
      </c>
      <c r="CV50" s="604">
        <f>CU50/CM50</f>
        <v>-1.3030726504729844</v>
      </c>
      <c r="CW50" s="129">
        <v>1</v>
      </c>
      <c r="CX50" s="130">
        <v>135850</v>
      </c>
      <c r="CY50" s="130">
        <v>166130</v>
      </c>
      <c r="CZ50" s="130"/>
      <c r="DA50" s="605">
        <f t="shared" si="591"/>
        <v>30280</v>
      </c>
      <c r="DB50" s="114">
        <f>DA50/CY50</f>
        <v>0.1822668994161199</v>
      </c>
      <c r="DC50" s="138"/>
      <c r="DD50" s="606">
        <v>0</v>
      </c>
      <c r="DE50" s="130"/>
      <c r="DF50" s="130"/>
      <c r="DG50" s="128">
        <f t="shared" si="619"/>
        <v>30280</v>
      </c>
      <c r="DH50" s="169">
        <f>DG50/CY50</f>
        <v>0.1822668994161199</v>
      </c>
      <c r="DI50" s="204">
        <f t="shared" si="620"/>
        <v>1</v>
      </c>
      <c r="DJ50" s="202">
        <f t="shared" si="621"/>
        <v>498390</v>
      </c>
      <c r="DK50" s="202">
        <f t="shared" si="622"/>
        <v>90840</v>
      </c>
      <c r="DL50" s="119">
        <f>DK50/DJ50</f>
        <v>0.1822668994161199</v>
      </c>
      <c r="DM50" s="202">
        <f t="shared" si="623"/>
        <v>-155919.45942307689</v>
      </c>
      <c r="DN50" s="119">
        <f>DM50/DJ50</f>
        <v>-0.31284628388024815</v>
      </c>
      <c r="DO50" s="607">
        <f t="shared" si="624"/>
        <v>0</v>
      </c>
      <c r="DP50" s="137">
        <f t="shared" si="625"/>
        <v>0</v>
      </c>
      <c r="DQ50" s="137">
        <f t="shared" si="626"/>
        <v>0</v>
      </c>
      <c r="DR50" s="137">
        <f t="shared" si="627"/>
        <v>0</v>
      </c>
      <c r="DS50" s="135">
        <f t="shared" si="628"/>
        <v>0</v>
      </c>
      <c r="DT50" s="135">
        <f t="shared" si="629"/>
        <v>0</v>
      </c>
      <c r="DU50" s="135">
        <f t="shared" si="630"/>
        <v>0</v>
      </c>
      <c r="DV50" s="151">
        <f t="shared" si="631"/>
        <v>0</v>
      </c>
      <c r="DW50" s="607">
        <f t="shared" si="632"/>
        <v>0</v>
      </c>
      <c r="DX50" s="608">
        <f t="shared" si="633"/>
        <v>0</v>
      </c>
      <c r="DY50" s="608">
        <f t="shared" si="634"/>
        <v>0</v>
      </c>
      <c r="DZ50" s="608">
        <f t="shared" si="635"/>
        <v>246759.45942307689</v>
      </c>
      <c r="EA50" s="135">
        <f>DW50/CK50</f>
        <v>0</v>
      </c>
      <c r="EB50" s="135">
        <f>DX50/CM50</f>
        <v>0</v>
      </c>
      <c r="EC50" s="135">
        <f>DY50/CO50</f>
        <v>0</v>
      </c>
      <c r="ED50" s="151">
        <f>DZ50/CU50</f>
        <v>-1.1398747025731537</v>
      </c>
      <c r="EE50" s="129">
        <v>1</v>
      </c>
      <c r="EF50" s="130">
        <v>135850</v>
      </c>
      <c r="EG50" s="130">
        <v>166130</v>
      </c>
      <c r="EH50" s="130">
        <v>0</v>
      </c>
      <c r="EI50" s="605">
        <f t="shared" si="592"/>
        <v>30280</v>
      </c>
      <c r="EJ50" s="114">
        <f>EI50/EG50</f>
        <v>0.1822668994161199</v>
      </c>
      <c r="EK50" s="138">
        <v>0</v>
      </c>
      <c r="EL50" s="606">
        <v>0</v>
      </c>
      <c r="EM50" s="130">
        <v>0</v>
      </c>
      <c r="EN50" s="130">
        <v>0</v>
      </c>
      <c r="EO50" s="128">
        <f t="shared" si="636"/>
        <v>30280</v>
      </c>
      <c r="EP50" s="114">
        <f>EO50/EG50</f>
        <v>0.1822668994161199</v>
      </c>
      <c r="EQ50" s="129">
        <v>1</v>
      </c>
      <c r="ER50" s="595">
        <v>135850</v>
      </c>
      <c r="ES50" s="595">
        <v>166130</v>
      </c>
      <c r="ET50" s="661"/>
      <c r="EU50" s="134">
        <f t="shared" si="593"/>
        <v>30280</v>
      </c>
      <c r="EV50" s="114">
        <f>EU50/ES50</f>
        <v>0.1822668994161199</v>
      </c>
      <c r="EW50" s="138">
        <v>0</v>
      </c>
      <c r="EX50" s="606">
        <v>0</v>
      </c>
      <c r="EY50" s="130">
        <v>0</v>
      </c>
      <c r="EZ50" s="128">
        <v>0</v>
      </c>
      <c r="FA50" s="128">
        <f t="shared" si="637"/>
        <v>30280</v>
      </c>
      <c r="FB50" s="114">
        <f>FA50/ES50</f>
        <v>0.1822668994161199</v>
      </c>
      <c r="FC50" s="643">
        <f t="shared" si="638"/>
        <v>0</v>
      </c>
      <c r="FD50" s="644">
        <f t="shared" si="639"/>
        <v>0</v>
      </c>
      <c r="FE50" s="644">
        <f t="shared" si="640"/>
        <v>0</v>
      </c>
      <c r="FF50" s="644">
        <f t="shared" si="641"/>
        <v>180681.65172413792</v>
      </c>
      <c r="FG50" s="74">
        <f t="shared" si="642"/>
        <v>0</v>
      </c>
      <c r="FH50" s="74">
        <f t="shared" si="643"/>
        <v>0</v>
      </c>
      <c r="FI50" s="74">
        <f t="shared" si="644"/>
        <v>0</v>
      </c>
      <c r="FJ50" s="73">
        <f t="shared" si="645"/>
        <v>-1.2013275762126512</v>
      </c>
      <c r="FK50" s="133">
        <v>0</v>
      </c>
      <c r="FL50" s="134">
        <v>0</v>
      </c>
      <c r="FM50" s="134">
        <v>0</v>
      </c>
      <c r="FN50" s="134">
        <v>209863</v>
      </c>
      <c r="FO50" s="134">
        <f t="shared" si="594"/>
        <v>-209863</v>
      </c>
      <c r="FP50" s="135"/>
      <c r="FQ50" s="133"/>
      <c r="FR50" s="134"/>
      <c r="FS50" s="134"/>
      <c r="FT50" s="191">
        <f t="shared" si="646"/>
        <v>-209863</v>
      </c>
      <c r="FU50" s="151"/>
      <c r="FV50" s="190">
        <f t="shared" si="647"/>
        <v>-1</v>
      </c>
      <c r="FW50" s="191">
        <f t="shared" si="648"/>
        <v>-135850</v>
      </c>
      <c r="FX50" s="191">
        <f t="shared" si="649"/>
        <v>-166130</v>
      </c>
      <c r="FY50" s="191">
        <f t="shared" si="650"/>
        <v>-240143</v>
      </c>
      <c r="FZ50" s="191">
        <f t="shared" si="651"/>
        <v>-59461.348275862081</v>
      </c>
      <c r="GA50" s="135">
        <f t="shared" si="652"/>
        <v>-1</v>
      </c>
      <c r="GB50" s="135">
        <f t="shared" si="653"/>
        <v>-1</v>
      </c>
      <c r="GC50" s="135">
        <f t="shared" si="654"/>
        <v>-7.9307463672391014</v>
      </c>
      <c r="GD50" s="151">
        <f t="shared" si="655"/>
        <v>0.3953503674608857</v>
      </c>
      <c r="GE50" s="187">
        <f t="shared" si="656"/>
        <v>0.66666666666666663</v>
      </c>
      <c r="GF50" s="155">
        <f t="shared" si="657"/>
        <v>332260</v>
      </c>
      <c r="GG50" s="155">
        <f t="shared" si="658"/>
        <v>-149303</v>
      </c>
      <c r="GH50" s="74">
        <f>GG50/GF50</f>
        <v>-0.44935592608198399</v>
      </c>
      <c r="GI50" s="613">
        <f t="shared" si="659"/>
        <v>-149303</v>
      </c>
      <c r="GJ50" s="187">
        <f t="shared" si="660"/>
        <v>-0.33333333333333337</v>
      </c>
      <c r="GK50" s="155">
        <f t="shared" si="661"/>
        <v>-166130</v>
      </c>
      <c r="GL50" s="155">
        <f t="shared" si="662"/>
        <v>-240143</v>
      </c>
      <c r="GM50" s="613">
        <f t="shared" si="663"/>
        <v>6616.4594230768853</v>
      </c>
      <c r="GN50" s="133"/>
      <c r="GO50" s="134">
        <v>0</v>
      </c>
      <c r="GP50" s="134">
        <v>0</v>
      </c>
      <c r="GQ50" s="134">
        <v>0</v>
      </c>
      <c r="GR50" s="134">
        <f t="shared" si="595"/>
        <v>0</v>
      </c>
      <c r="GS50" s="135"/>
      <c r="GT50" s="133"/>
      <c r="GU50" s="134"/>
      <c r="GV50" s="134">
        <v>0</v>
      </c>
      <c r="GW50" s="134">
        <v>0</v>
      </c>
      <c r="GX50" s="190">
        <f t="shared" si="664"/>
        <v>0</v>
      </c>
      <c r="GY50" s="151"/>
      <c r="GZ50" s="614"/>
      <c r="HA50" s="130"/>
      <c r="HB50" s="130"/>
      <c r="HC50" s="130"/>
      <c r="HD50" s="134">
        <f t="shared" si="596"/>
        <v>0</v>
      </c>
      <c r="HE50" s="151"/>
      <c r="HF50" s="138">
        <v>0</v>
      </c>
      <c r="HG50" s="130"/>
      <c r="HH50" s="130"/>
      <c r="HI50" s="130"/>
      <c r="HJ50" s="197">
        <f>HD50-SUM(HF50:HI50)</f>
        <v>0</v>
      </c>
      <c r="HK50" s="201"/>
      <c r="HL50" s="1365"/>
      <c r="HM50" s="148">
        <v>0</v>
      </c>
      <c r="HN50" s="148">
        <v>0</v>
      </c>
      <c r="HO50" s="134">
        <v>0</v>
      </c>
      <c r="HP50" s="615">
        <f t="shared" si="597"/>
        <v>0</v>
      </c>
      <c r="HQ50" s="201"/>
      <c r="HR50" s="133">
        <v>0</v>
      </c>
      <c r="HS50" s="134">
        <v>0</v>
      </c>
      <c r="HT50" s="134"/>
      <c r="HU50" s="134">
        <v>0</v>
      </c>
      <c r="HV50" s="191">
        <f t="shared" si="598"/>
        <v>0</v>
      </c>
      <c r="HW50" s="151"/>
      <c r="HX50" s="697"/>
      <c r="HY50" s="241">
        <f t="shared" si="599"/>
        <v>0</v>
      </c>
      <c r="HZ50" s="415">
        <f t="shared" si="600"/>
        <v>0</v>
      </c>
      <c r="IA50" s="241"/>
      <c r="IB50" s="151"/>
      <c r="IC50" s="74"/>
      <c r="ID50" s="403"/>
      <c r="IE50" s="141">
        <f t="shared" si="512"/>
        <v>1162910</v>
      </c>
      <c r="IF50" s="141">
        <f t="shared" si="513"/>
        <v>2097</v>
      </c>
      <c r="IG50" s="74">
        <f t="shared" si="602"/>
        <v>1.803234988090222E-3</v>
      </c>
      <c r="IH50" s="73"/>
      <c r="II50" s="69"/>
      <c r="IJ50" s="133"/>
      <c r="IK50" s="134">
        <v>0</v>
      </c>
      <c r="IL50" s="134">
        <v>0</v>
      </c>
      <c r="IM50" s="134">
        <v>0</v>
      </c>
      <c r="IN50" s="133">
        <f t="shared" si="603"/>
        <v>0</v>
      </c>
      <c r="IO50" s="151"/>
      <c r="IP50" s="133">
        <v>0</v>
      </c>
      <c r="IQ50" s="134"/>
      <c r="IR50" s="134">
        <v>0</v>
      </c>
      <c r="IS50" s="190">
        <f t="shared" si="604"/>
        <v>0</v>
      </c>
      <c r="IT50" s="151"/>
      <c r="IU50" s="390"/>
      <c r="IV50" s="134">
        <v>0</v>
      </c>
      <c r="IW50" s="134">
        <v>0</v>
      </c>
      <c r="IX50" s="134">
        <v>0</v>
      </c>
      <c r="IY50" s="133">
        <f t="shared" si="605"/>
        <v>0</v>
      </c>
      <c r="IZ50" s="151"/>
      <c r="JA50" s="133">
        <v>0</v>
      </c>
      <c r="JB50" s="134">
        <v>0</v>
      </c>
      <c r="JC50" s="134">
        <v>0</v>
      </c>
      <c r="JD50" s="190">
        <f t="shared" si="606"/>
        <v>0</v>
      </c>
      <c r="JE50" s="151"/>
      <c r="JF50" s="390"/>
      <c r="JG50" s="134"/>
      <c r="JH50" s="134"/>
      <c r="JI50" s="134">
        <v>0</v>
      </c>
      <c r="JJ50" s="133">
        <f t="shared" si="573"/>
        <v>0</v>
      </c>
      <c r="JK50" s="151"/>
      <c r="JL50" s="133"/>
      <c r="JM50" s="134"/>
      <c r="JN50" s="134">
        <v>0</v>
      </c>
      <c r="JO50" s="190">
        <f t="shared" si="574"/>
        <v>0</v>
      </c>
      <c r="JP50" s="151"/>
      <c r="JQ50" s="390"/>
      <c r="JR50" s="191">
        <f t="shared" si="575"/>
        <v>0</v>
      </c>
      <c r="JS50" s="191">
        <f t="shared" si="576"/>
        <v>0</v>
      </c>
      <c r="JT50" s="151"/>
      <c r="JU50" s="390"/>
      <c r="JV50" s="134"/>
      <c r="JW50" s="134"/>
      <c r="JX50" s="134"/>
      <c r="JY50" s="133">
        <f t="shared" si="560"/>
        <v>0</v>
      </c>
      <c r="JZ50" s="151"/>
      <c r="KA50" s="133"/>
      <c r="KB50" s="134"/>
      <c r="KC50" s="134">
        <v>0</v>
      </c>
      <c r="KD50" s="190">
        <f t="shared" si="514"/>
        <v>0</v>
      </c>
      <c r="KE50" s="151"/>
      <c r="KF50" s="390"/>
      <c r="KG50" s="134"/>
      <c r="KH50" s="134"/>
      <c r="KI50" s="134"/>
      <c r="KJ50" s="133">
        <f t="shared" si="563"/>
        <v>0</v>
      </c>
      <c r="KK50" s="151"/>
      <c r="KL50" s="133"/>
      <c r="KM50" s="134"/>
      <c r="KN50" s="134">
        <v>0</v>
      </c>
      <c r="KO50" s="190">
        <f t="shared" si="515"/>
        <v>0</v>
      </c>
      <c r="KP50" s="151"/>
      <c r="KQ50" s="390"/>
      <c r="KR50" s="134"/>
      <c r="KS50" s="134"/>
      <c r="KT50" s="134"/>
      <c r="KU50" s="133">
        <f t="shared" si="566"/>
        <v>0</v>
      </c>
      <c r="KV50" s="151"/>
      <c r="KW50" s="133"/>
      <c r="KX50" s="134"/>
      <c r="KY50" s="134">
        <v>0</v>
      </c>
      <c r="KZ50" s="190">
        <f t="shared" si="516"/>
        <v>0</v>
      </c>
      <c r="LA50" s="151"/>
      <c r="LB50" s="402"/>
      <c r="LC50" s="191">
        <f t="shared" si="517"/>
        <v>0</v>
      </c>
      <c r="LD50" s="191">
        <f t="shared" si="518"/>
        <v>0</v>
      </c>
      <c r="LE50" s="151"/>
      <c r="LF50" s="226">
        <f t="shared" si="519"/>
        <v>0</v>
      </c>
      <c r="LG50" s="128">
        <f t="shared" si="520"/>
        <v>0</v>
      </c>
      <c r="LH50" s="139">
        <f t="shared" si="521"/>
        <v>0</v>
      </c>
      <c r="LI50" s="718">
        <v>0</v>
      </c>
      <c r="LJ50" s="718">
        <v>0</v>
      </c>
      <c r="LK50" s="699">
        <v>0</v>
      </c>
      <c r="LL50" s="390"/>
      <c r="LM50" s="134"/>
      <c r="LN50" s="134"/>
      <c r="LO50" s="134"/>
      <c r="LP50" s="133">
        <f t="shared" si="522"/>
        <v>0</v>
      </c>
      <c r="LQ50" s="151"/>
      <c r="LR50" s="133"/>
      <c r="LS50" s="134"/>
      <c r="LT50" s="134">
        <v>0</v>
      </c>
      <c r="LU50" s="190">
        <f t="shared" si="523"/>
        <v>0</v>
      </c>
      <c r="LV50" s="151"/>
      <c r="LW50" s="134"/>
      <c r="LX50" s="134"/>
      <c r="LY50" s="134"/>
      <c r="LZ50" s="134"/>
      <c r="MA50" s="133">
        <f t="shared" si="524"/>
        <v>0</v>
      </c>
      <c r="MB50" s="151"/>
      <c r="MC50" s="134"/>
      <c r="MD50" s="134"/>
      <c r="ME50" s="134">
        <v>0</v>
      </c>
      <c r="MF50" s="190">
        <f t="shared" si="525"/>
        <v>0</v>
      </c>
      <c r="MG50" s="151" t="e">
        <f t="shared" si="682"/>
        <v>#DIV/0!</v>
      </c>
      <c r="MH50" s="134"/>
      <c r="MI50" s="134"/>
      <c r="MJ50" s="134"/>
      <c r="MK50" s="134"/>
      <c r="ML50" s="133">
        <f t="shared" si="526"/>
        <v>0</v>
      </c>
      <c r="MM50" s="151"/>
      <c r="MN50" s="134"/>
      <c r="MO50" s="134"/>
      <c r="MP50" s="134">
        <v>0</v>
      </c>
      <c r="MQ50" s="190">
        <f t="shared" si="527"/>
        <v>0</v>
      </c>
      <c r="MR50" s="151" t="e">
        <f t="shared" si="683"/>
        <v>#DIV/0!</v>
      </c>
      <c r="MS50" s="1472"/>
      <c r="MT50" s="118">
        <f t="shared" si="528"/>
        <v>0</v>
      </c>
      <c r="MU50" s="118">
        <f t="shared" si="529"/>
        <v>0</v>
      </c>
      <c r="MV50" s="135"/>
      <c r="MW50" s="133">
        <f t="shared" si="530"/>
        <v>0</v>
      </c>
      <c r="MX50" s="134">
        <f t="shared" si="531"/>
        <v>0</v>
      </c>
      <c r="MY50" s="134">
        <f t="shared" si="532"/>
        <v>0</v>
      </c>
      <c r="MZ50" s="135"/>
      <c r="NA50" s="135"/>
      <c r="NB50" s="151"/>
      <c r="NC50" s="134"/>
      <c r="ND50" s="134"/>
      <c r="NE50" s="134"/>
      <c r="NF50" s="134"/>
      <c r="NG50" s="133">
        <f t="shared" si="534"/>
        <v>0</v>
      </c>
      <c r="NH50" s="151"/>
      <c r="NI50" s="134"/>
      <c r="NJ50" s="134"/>
      <c r="NK50" s="134">
        <v>0</v>
      </c>
      <c r="NL50" s="190">
        <f t="shared" si="535"/>
        <v>0</v>
      </c>
      <c r="NM50" s="135" t="e">
        <f t="shared" si="684"/>
        <v>#DIV/0!</v>
      </c>
      <c r="NN50" s="1563"/>
      <c r="NO50" s="134"/>
      <c r="NP50" s="134"/>
      <c r="NQ50" s="134"/>
      <c r="NR50" s="133">
        <f t="shared" si="536"/>
        <v>0</v>
      </c>
      <c r="NS50" s="151"/>
      <c r="NT50" s="134">
        <v>0</v>
      </c>
      <c r="NU50" s="134"/>
      <c r="NV50" s="134">
        <v>0</v>
      </c>
      <c r="NW50" s="190">
        <f t="shared" si="537"/>
        <v>0</v>
      </c>
      <c r="NX50" s="135" t="e">
        <f t="shared" si="685"/>
        <v>#DIV/0!</v>
      </c>
      <c r="NY50" s="1563"/>
      <c r="NZ50" s="134"/>
      <c r="OA50" s="134"/>
      <c r="OB50" s="134"/>
      <c r="OC50" s="133">
        <f t="shared" si="538"/>
        <v>0</v>
      </c>
      <c r="OD50" s="151"/>
      <c r="OE50" s="134">
        <v>0</v>
      </c>
      <c r="OF50" s="134"/>
      <c r="OG50" s="134">
        <v>0</v>
      </c>
      <c r="OH50" s="190">
        <f t="shared" si="539"/>
        <v>0</v>
      </c>
      <c r="OI50" s="5380" t="e">
        <f t="shared" si="686"/>
        <v>#DIV/0!</v>
      </c>
      <c r="OJ50" s="69"/>
      <c r="OK50" s="155">
        <f t="shared" si="540"/>
        <v>0</v>
      </c>
      <c r="OL50" s="155">
        <f t="shared" si="541"/>
        <v>0</v>
      </c>
      <c r="OM50" s="74" t="e">
        <f t="shared" si="542"/>
        <v>#DIV/0!</v>
      </c>
      <c r="ON50" s="155">
        <f t="shared" si="543"/>
        <v>0</v>
      </c>
      <c r="OO50" s="70"/>
      <c r="OP50" s="69"/>
      <c r="OQ50" s="1563"/>
      <c r="OR50" s="134">
        <v>0</v>
      </c>
      <c r="OS50" s="134">
        <v>0</v>
      </c>
      <c r="OT50" s="134"/>
      <c r="OU50" s="133">
        <f t="shared" si="544"/>
        <v>0</v>
      </c>
      <c r="OV50" s="94"/>
      <c r="OW50" s="133">
        <v>0</v>
      </c>
      <c r="OX50" s="134"/>
      <c r="OY50" s="134">
        <v>0</v>
      </c>
      <c r="OZ50" s="190">
        <f t="shared" si="545"/>
        <v>0</v>
      </c>
      <c r="PA50" s="5372" t="e">
        <f t="shared" si="693"/>
        <v>#DIV/0!</v>
      </c>
      <c r="PB50" s="5320"/>
      <c r="PC50" s="134">
        <v>0</v>
      </c>
      <c r="PD50" s="134">
        <v>0</v>
      </c>
      <c r="PE50" s="134">
        <v>0</v>
      </c>
      <c r="PF50" s="133">
        <f t="shared" si="608"/>
        <v>0</v>
      </c>
      <c r="PG50" s="94"/>
      <c r="PH50" s="133">
        <v>0</v>
      </c>
      <c r="PI50" s="134">
        <v>0</v>
      </c>
      <c r="PJ50" s="134">
        <v>0</v>
      </c>
      <c r="PK50" s="190">
        <v>0</v>
      </c>
      <c r="PL50" s="135"/>
      <c r="PM50" s="5379"/>
      <c r="PN50" s="134"/>
      <c r="PO50" s="134"/>
      <c r="PP50" s="134">
        <v>0</v>
      </c>
      <c r="PQ50" s="6293">
        <f t="shared" si="610"/>
        <v>0</v>
      </c>
      <c r="PR50" s="6295"/>
      <c r="PS50" s="134">
        <v>0</v>
      </c>
      <c r="PT50" s="134">
        <v>0</v>
      </c>
      <c r="PU50" s="134">
        <v>0</v>
      </c>
      <c r="PV50" s="190">
        <f t="shared" si="265"/>
        <v>0</v>
      </c>
      <c r="PW50" s="5381">
        <v>0</v>
      </c>
      <c r="PX50" s="5320"/>
      <c r="PY50" s="191">
        <f t="shared" si="578"/>
        <v>0</v>
      </c>
      <c r="PZ50" s="191">
        <f t="shared" si="579"/>
        <v>0</v>
      </c>
      <c r="QA50" s="135"/>
      <c r="QB50" s="5379"/>
      <c r="QC50" s="134"/>
      <c r="QD50" s="134"/>
      <c r="QE50" s="134"/>
      <c r="QF50" s="6293">
        <f t="shared" si="270"/>
        <v>0</v>
      </c>
      <c r="QG50" s="6296"/>
      <c r="QH50" s="134"/>
      <c r="QI50" s="134"/>
      <c r="QJ50" s="134">
        <v>0</v>
      </c>
      <c r="QK50" s="190">
        <f t="shared" si="665"/>
        <v>0</v>
      </c>
      <c r="QL50" s="5381">
        <v>0</v>
      </c>
      <c r="QM50" s="5379"/>
      <c r="QN50" s="134"/>
      <c r="QO50" s="134"/>
      <c r="QP50" s="134"/>
      <c r="QQ50" s="133">
        <f t="shared" si="691"/>
        <v>0</v>
      </c>
      <c r="QR50" s="151"/>
      <c r="QS50" s="133"/>
      <c r="QT50" s="134">
        <v>0</v>
      </c>
      <c r="QU50" s="134">
        <v>0</v>
      </c>
      <c r="QV50" s="190">
        <f t="shared" si="666"/>
        <v>0</v>
      </c>
      <c r="QW50" s="5381"/>
      <c r="QX50" s="5379"/>
      <c r="QY50" s="134">
        <v>0</v>
      </c>
      <c r="QZ50" s="134">
        <v>0</v>
      </c>
      <c r="RA50" s="134"/>
      <c r="RB50" s="133">
        <f t="shared" si="692"/>
        <v>0</v>
      </c>
      <c r="RC50" s="151"/>
      <c r="RD50" s="133"/>
      <c r="RE50" s="134"/>
      <c r="RF50" s="134">
        <v>0</v>
      </c>
      <c r="RG50" s="190">
        <f t="shared" si="667"/>
        <v>0</v>
      </c>
      <c r="RH50" s="5381"/>
      <c r="RI50" s="5376"/>
      <c r="RJ50" s="191">
        <f t="shared" si="548"/>
        <v>0</v>
      </c>
      <c r="RK50" s="191">
        <f t="shared" si="668"/>
        <v>0</v>
      </c>
      <c r="RL50" s="5380"/>
      <c r="RM50" s="1562">
        <f t="shared" si="550"/>
        <v>0</v>
      </c>
      <c r="RN50" s="128">
        <f t="shared" si="551"/>
        <v>0</v>
      </c>
      <c r="RO50" s="139">
        <f t="shared" si="552"/>
        <v>0</v>
      </c>
      <c r="RP50" s="718">
        <v>0</v>
      </c>
      <c r="RQ50" s="718">
        <v>0</v>
      </c>
      <c r="RR50" s="6348">
        <v>0</v>
      </c>
      <c r="RS50" s="6327"/>
      <c r="RT50" s="130">
        <v>0</v>
      </c>
      <c r="RU50" s="130">
        <v>0</v>
      </c>
      <c r="RV50" s="3546"/>
      <c r="RW50" s="133">
        <f t="shared" si="669"/>
        <v>0</v>
      </c>
      <c r="RX50" s="151"/>
      <c r="RY50" s="133"/>
      <c r="RZ50" s="134"/>
      <c r="SA50" s="134">
        <v>0</v>
      </c>
      <c r="SB50" s="190">
        <f t="shared" si="670"/>
        <v>0</v>
      </c>
      <c r="SC50" s="5380"/>
      <c r="SD50" s="5405"/>
      <c r="SE50" s="130"/>
      <c r="SF50" s="130"/>
      <c r="SG50" s="606"/>
      <c r="SH50" s="6361">
        <f t="shared" si="572"/>
        <v>0</v>
      </c>
      <c r="SI50" s="6363" t="e">
        <f t="shared" si="671"/>
        <v>#DIV/0!</v>
      </c>
      <c r="SJ50" s="134"/>
      <c r="SK50" s="134"/>
      <c r="SL50" s="134">
        <v>0</v>
      </c>
      <c r="SM50" s="188">
        <f t="shared" si="289"/>
        <v>0</v>
      </c>
      <c r="SN50" s="5389" t="e">
        <f t="shared" si="290"/>
        <v>#DIV/0!</v>
      </c>
      <c r="SO50" s="134"/>
      <c r="SP50" s="134"/>
      <c r="SQ50" s="134"/>
      <c r="SR50" s="134"/>
      <c r="SS50" s="6361">
        <f t="shared" si="672"/>
        <v>0</v>
      </c>
      <c r="ST50" s="6363"/>
      <c r="SU50" s="134"/>
      <c r="SV50" s="134"/>
      <c r="SW50" s="134">
        <v>0</v>
      </c>
      <c r="SX50" s="190">
        <f t="shared" si="673"/>
        <v>0</v>
      </c>
      <c r="SY50" s="5380" t="e">
        <f t="shared" si="687"/>
        <v>#DIV/0!</v>
      </c>
      <c r="SZ50" s="6270"/>
      <c r="TA50" s="118">
        <f t="shared" si="674"/>
        <v>0</v>
      </c>
      <c r="TB50" s="118">
        <f t="shared" si="675"/>
        <v>0</v>
      </c>
      <c r="TC50" s="5380"/>
      <c r="TD50" s="1563"/>
      <c r="TE50" s="134"/>
      <c r="TF50" s="134"/>
      <c r="TG50" s="134"/>
      <c r="TH50" s="133">
        <f t="shared" si="676"/>
        <v>0</v>
      </c>
      <c r="TI50" s="151"/>
      <c r="TJ50" s="134"/>
      <c r="TK50" s="134">
        <v>0</v>
      </c>
      <c r="TL50" s="134"/>
      <c r="TM50" s="190">
        <f t="shared" si="677"/>
        <v>0</v>
      </c>
      <c r="TN50" s="5380" t="e">
        <f t="shared" si="688"/>
        <v>#DIV/0!</v>
      </c>
      <c r="TO50" s="134"/>
      <c r="TP50" s="134"/>
      <c r="TQ50" s="134"/>
      <c r="TR50" s="134"/>
      <c r="TS50" s="133">
        <f t="shared" si="678"/>
        <v>0</v>
      </c>
      <c r="TT50" s="151"/>
      <c r="TU50" s="134">
        <v>0</v>
      </c>
      <c r="TV50" s="134"/>
      <c r="TW50" s="134">
        <v>0</v>
      </c>
      <c r="TX50" s="190">
        <f t="shared" si="679"/>
        <v>0</v>
      </c>
      <c r="TY50" s="135" t="e">
        <f t="shared" si="689"/>
        <v>#DIV/0!</v>
      </c>
      <c r="TZ50" s="1563"/>
      <c r="UA50" s="134"/>
      <c r="UB50" s="134"/>
      <c r="UC50" s="134"/>
      <c r="UD50" s="133">
        <f t="shared" si="680"/>
        <v>0</v>
      </c>
      <c r="UE50" s="151"/>
      <c r="UF50" s="134">
        <v>0</v>
      </c>
      <c r="UG50" s="134"/>
      <c r="UH50" s="134">
        <v>0</v>
      </c>
      <c r="UI50" s="190">
        <f t="shared" si="681"/>
        <v>0</v>
      </c>
      <c r="UJ50" s="5380" t="e">
        <f t="shared" si="690"/>
        <v>#DIV/0!</v>
      </c>
      <c r="UK50" s="5376"/>
      <c r="UL50" s="191">
        <f t="shared" si="284"/>
        <v>0</v>
      </c>
      <c r="UM50" s="191">
        <f t="shared" si="285"/>
        <v>0</v>
      </c>
      <c r="UN50" s="135" t="e">
        <f t="shared" si="484"/>
        <v>#DIV/0!</v>
      </c>
      <c r="UO50" s="191">
        <f t="shared" si="286"/>
        <v>0</v>
      </c>
      <c r="UP50" s="4952"/>
    </row>
    <row r="51" spans="1:581" x14ac:dyDescent="0.3">
      <c r="A51" s="5316"/>
      <c r="B51" s="5358" t="s">
        <v>405</v>
      </c>
      <c r="C51" s="578" t="s">
        <v>141</v>
      </c>
      <c r="D51" s="578" t="s">
        <v>140</v>
      </c>
      <c r="E51" s="6278" t="s">
        <v>254</v>
      </c>
      <c r="F51" s="672">
        <v>7</v>
      </c>
      <c r="G51" s="350">
        <v>1247521</v>
      </c>
      <c r="H51" s="350">
        <v>1719950</v>
      </c>
      <c r="I51" s="350">
        <v>449967</v>
      </c>
      <c r="J51" s="351">
        <f>I51/H51</f>
        <v>0.26161632605599</v>
      </c>
      <c r="K51" s="673">
        <v>2</v>
      </c>
      <c r="L51" s="350">
        <v>370609</v>
      </c>
      <c r="M51" s="350">
        <v>528304</v>
      </c>
      <c r="N51" s="350">
        <v>112306</v>
      </c>
      <c r="O51" s="672"/>
      <c r="P51" s="673">
        <v>2</v>
      </c>
      <c r="Q51" s="350">
        <v>333030</v>
      </c>
      <c r="R51" s="350">
        <v>453393</v>
      </c>
      <c r="S51" s="350">
        <v>112073</v>
      </c>
      <c r="T51" s="95"/>
      <c r="U51" s="673"/>
      <c r="V51" s="672"/>
      <c r="W51" s="672"/>
      <c r="X51" s="672"/>
      <c r="Y51" s="672"/>
      <c r="Z51" s="675"/>
      <c r="AA51" s="672"/>
      <c r="AB51" s="672"/>
      <c r="AC51" s="672"/>
      <c r="AD51" s="672"/>
      <c r="AE51" s="582">
        <f t="shared" si="580"/>
        <v>0</v>
      </c>
      <c r="AF51" s="672"/>
      <c r="AG51" s="676"/>
      <c r="AH51" s="677"/>
      <c r="AI51" s="677"/>
      <c r="AJ51" s="677"/>
      <c r="AK51" s="105"/>
      <c r="AL51" s="106"/>
      <c r="AM51" s="129"/>
      <c r="AN51" s="417"/>
      <c r="AO51" s="130"/>
      <c r="AP51" s="417"/>
      <c r="AQ51" s="417"/>
      <c r="AR51" s="116"/>
      <c r="AS51" s="113">
        <v>1</v>
      </c>
      <c r="AT51" s="350">
        <v>186472</v>
      </c>
      <c r="AU51" s="350">
        <v>260000</v>
      </c>
      <c r="AV51" s="350">
        <v>50206</v>
      </c>
      <c r="AW51" s="116">
        <f>AV51/AU51</f>
        <v>0.19309999999999999</v>
      </c>
      <c r="AX51" s="586">
        <v>1</v>
      </c>
      <c r="AY51" s="587">
        <f t="shared" si="582"/>
        <v>2137632</v>
      </c>
      <c r="AZ51" s="587">
        <f t="shared" si="583"/>
        <v>2961647</v>
      </c>
      <c r="BA51" s="587">
        <f t="shared" si="584"/>
        <v>724552</v>
      </c>
      <c r="BB51" s="588">
        <f>BA51/AZ51</f>
        <v>0.24464495599914507</v>
      </c>
      <c r="BC51" s="212">
        <v>1</v>
      </c>
      <c r="BD51" s="130">
        <v>93236</v>
      </c>
      <c r="BE51" s="130">
        <v>130000</v>
      </c>
      <c r="BF51" s="679"/>
      <c r="BG51" s="582">
        <f t="shared" si="585"/>
        <v>36764</v>
      </c>
      <c r="BH51" s="680"/>
      <c r="BI51" s="212">
        <v>1</v>
      </c>
      <c r="BJ51" s="130">
        <v>135850</v>
      </c>
      <c r="BK51" s="130">
        <v>166130</v>
      </c>
      <c r="BL51" s="679"/>
      <c r="BM51" s="582">
        <f t="shared" si="586"/>
        <v>30280</v>
      </c>
      <c r="BN51" s="680"/>
      <c r="BO51" s="678"/>
      <c r="BP51" s="679"/>
      <c r="BQ51" s="679"/>
      <c r="BR51" s="679"/>
      <c r="BS51" s="582">
        <f t="shared" si="587"/>
        <v>0</v>
      </c>
      <c r="BT51" s="736"/>
      <c r="BU51" s="678"/>
      <c r="BV51" s="592">
        <f t="shared" si="588"/>
        <v>296130</v>
      </c>
      <c r="BW51" s="592">
        <f t="shared" si="589"/>
        <v>67044</v>
      </c>
      <c r="BX51" s="593">
        <f>BW51/BV51</f>
        <v>0.22640056731840746</v>
      </c>
      <c r="BY51" s="681"/>
      <c r="BZ51" s="682"/>
      <c r="CA51" s="682"/>
      <c r="CB51" s="682"/>
      <c r="CC51" s="682"/>
      <c r="CD51" s="683"/>
      <c r="CE51" s="684"/>
      <c r="CF51" s="679"/>
      <c r="CG51" s="679"/>
      <c r="CH51" s="679"/>
      <c r="CI51" s="118"/>
      <c r="CJ51" s="685"/>
      <c r="CK51" s="676"/>
      <c r="CL51" s="677"/>
      <c r="CM51" s="677"/>
      <c r="CN51" s="677"/>
      <c r="CO51" s="105"/>
      <c r="CP51" s="106"/>
      <c r="CQ51" s="226"/>
      <c r="CR51" s="146"/>
      <c r="CS51" s="146"/>
      <c r="CT51" s="118"/>
      <c r="CU51" s="118"/>
      <c r="CV51" s="119"/>
      <c r="CW51" s="127"/>
      <c r="CX51" s="128"/>
      <c r="CY51" s="128"/>
      <c r="CZ51" s="128"/>
      <c r="DA51" s="605">
        <f t="shared" si="591"/>
        <v>0</v>
      </c>
      <c r="DB51" s="106"/>
      <c r="DC51" s="127"/>
      <c r="DD51" s="128"/>
      <c r="DE51" s="128"/>
      <c r="DF51" s="128"/>
      <c r="DG51" s="128"/>
      <c r="DH51" s="119"/>
      <c r="DI51" s="204"/>
      <c r="DJ51" s="202"/>
      <c r="DK51" s="202"/>
      <c r="DL51" s="119"/>
      <c r="DM51" s="202"/>
      <c r="DN51" s="119"/>
      <c r="DO51" s="686"/>
      <c r="DP51" s="146"/>
      <c r="DQ51" s="146"/>
      <c r="DR51" s="146"/>
      <c r="DS51" s="119"/>
      <c r="DT51" s="119"/>
      <c r="DU51" s="119"/>
      <c r="DV51" s="150"/>
      <c r="DW51" s="686"/>
      <c r="DX51" s="687"/>
      <c r="DY51" s="687"/>
      <c r="DZ51" s="687"/>
      <c r="EA51" s="119"/>
      <c r="EB51" s="119"/>
      <c r="EC51" s="119"/>
      <c r="ED51" s="150"/>
      <c r="EE51" s="127"/>
      <c r="EF51" s="128"/>
      <c r="EG51" s="128"/>
      <c r="EH51" s="128"/>
      <c r="EI51" s="605"/>
      <c r="EJ51" s="106"/>
      <c r="EK51" s="127"/>
      <c r="EL51" s="128"/>
      <c r="EM51" s="128"/>
      <c r="EN51" s="128"/>
      <c r="EO51" s="128"/>
      <c r="EP51" s="119"/>
      <c r="EQ51" s="127"/>
      <c r="ER51" s="128"/>
      <c r="ES51" s="128"/>
      <c r="ET51" s="128"/>
      <c r="EU51" s="134">
        <f t="shared" si="593"/>
        <v>0</v>
      </c>
      <c r="EV51" s="106"/>
      <c r="EW51" s="127"/>
      <c r="EX51" s="128"/>
      <c r="EY51" s="128"/>
      <c r="EZ51" s="128"/>
      <c r="FA51" s="128"/>
      <c r="FB51" s="119"/>
      <c r="FC51" s="686"/>
      <c r="FD51" s="146"/>
      <c r="FE51" s="146"/>
      <c r="FF51" s="146"/>
      <c r="FG51" s="119"/>
      <c r="FH51" s="119"/>
      <c r="FI51" s="119"/>
      <c r="FJ51" s="150"/>
      <c r="FK51" s="226"/>
      <c r="FL51" s="118"/>
      <c r="FM51" s="118"/>
      <c r="FN51" s="118"/>
      <c r="FO51" s="118"/>
      <c r="FP51" s="119"/>
      <c r="FQ51" s="226"/>
      <c r="FR51" s="118"/>
      <c r="FS51" s="118"/>
      <c r="FT51" s="189"/>
      <c r="FU51" s="119"/>
      <c r="FV51" s="188"/>
      <c r="FW51" s="189"/>
      <c r="FX51" s="189"/>
      <c r="FY51" s="189"/>
      <c r="FZ51" s="189"/>
      <c r="GA51" s="119"/>
      <c r="GB51" s="119"/>
      <c r="GC51" s="119"/>
      <c r="GD51" s="150"/>
      <c r="GE51" s="188"/>
      <c r="GF51" s="189"/>
      <c r="GG51" s="189"/>
      <c r="GH51" s="119"/>
      <c r="GI51" s="189"/>
      <c r="GJ51" s="188"/>
      <c r="GK51" s="189"/>
      <c r="GL51" s="189"/>
      <c r="GM51" s="189"/>
      <c r="GN51" s="226"/>
      <c r="GO51" s="118"/>
      <c r="GP51" s="118"/>
      <c r="GQ51" s="118"/>
      <c r="GR51" s="134">
        <f t="shared" si="595"/>
        <v>0</v>
      </c>
      <c r="GS51" s="119"/>
      <c r="GT51" s="226"/>
      <c r="GU51" s="118"/>
      <c r="GV51" s="118"/>
      <c r="GW51" s="118"/>
      <c r="GX51" s="188"/>
      <c r="GY51" s="150"/>
      <c r="GZ51" s="688"/>
      <c r="HA51" s="688"/>
      <c r="HB51" s="688"/>
      <c r="HC51" s="130"/>
      <c r="HD51" s="134">
        <f t="shared" si="596"/>
        <v>0</v>
      </c>
      <c r="HE51" s="150"/>
      <c r="HF51" s="138"/>
      <c r="HG51" s="130"/>
      <c r="HH51" s="130"/>
      <c r="HI51" s="130"/>
      <c r="HJ51" s="197">
        <f>HD51-SUM(HF51:HI51)</f>
        <v>0</v>
      </c>
      <c r="HK51" s="201"/>
      <c r="HL51" s="147"/>
      <c r="HM51" s="148"/>
      <c r="HN51" s="148"/>
      <c r="HO51" s="148"/>
      <c r="HP51" s="615">
        <f t="shared" si="597"/>
        <v>0</v>
      </c>
      <c r="HQ51" s="201"/>
      <c r="HR51" s="148"/>
      <c r="HS51" s="148"/>
      <c r="HT51" s="148"/>
      <c r="HU51" s="148"/>
      <c r="HV51" s="709"/>
      <c r="HW51" s="712"/>
      <c r="HX51" s="737"/>
      <c r="HY51" s="241">
        <f t="shared" si="599"/>
        <v>0</v>
      </c>
      <c r="HZ51" s="415">
        <f t="shared" si="600"/>
        <v>0</v>
      </c>
      <c r="IA51" s="241"/>
      <c r="IB51" s="738"/>
      <c r="IC51" s="618"/>
      <c r="ID51" s="745"/>
      <c r="IE51" s="141">
        <f t="shared" si="512"/>
        <v>296130</v>
      </c>
      <c r="IF51" s="141">
        <f t="shared" si="513"/>
        <v>67044</v>
      </c>
      <c r="IG51" s="74">
        <f t="shared" si="602"/>
        <v>0.22640056731840746</v>
      </c>
      <c r="IH51" s="1509"/>
      <c r="II51" s="69"/>
      <c r="IJ51" s="133"/>
      <c r="IK51" s="134"/>
      <c r="IL51" s="134"/>
      <c r="IM51" s="134">
        <v>0</v>
      </c>
      <c r="IN51" s="133">
        <f t="shared" si="603"/>
        <v>0</v>
      </c>
      <c r="IO51" s="151"/>
      <c r="IP51" s="134">
        <v>0</v>
      </c>
      <c r="IQ51" s="134">
        <v>0</v>
      </c>
      <c r="IR51" s="134">
        <v>0</v>
      </c>
      <c r="IS51" s="737"/>
      <c r="IT51" s="738"/>
      <c r="IU51" s="390"/>
      <c r="IV51" s="134"/>
      <c r="IW51" s="134"/>
      <c r="IX51" s="134">
        <v>0</v>
      </c>
      <c r="IY51" s="133"/>
      <c r="IZ51" s="151"/>
      <c r="JA51" s="134">
        <v>0</v>
      </c>
      <c r="JB51" s="134">
        <v>0</v>
      </c>
      <c r="JC51" s="134">
        <v>0</v>
      </c>
      <c r="JD51" s="190">
        <f t="shared" si="606"/>
        <v>0</v>
      </c>
      <c r="JE51" s="196">
        <v>0</v>
      </c>
      <c r="JF51" s="390"/>
      <c r="JG51" s="134"/>
      <c r="JH51" s="134"/>
      <c r="JI51" s="134"/>
      <c r="JJ51" s="133"/>
      <c r="JK51" s="151"/>
      <c r="JL51" s="134">
        <v>0</v>
      </c>
      <c r="JM51" s="134">
        <v>0</v>
      </c>
      <c r="JN51" s="134">
        <v>0</v>
      </c>
      <c r="JO51" s="190">
        <f t="shared" si="574"/>
        <v>0</v>
      </c>
      <c r="JP51" s="196">
        <v>0</v>
      </c>
      <c r="JQ51" s="390"/>
      <c r="JR51" s="191">
        <f t="shared" si="575"/>
        <v>0</v>
      </c>
      <c r="JS51" s="191">
        <f t="shared" si="576"/>
        <v>0</v>
      </c>
      <c r="JT51" s="151"/>
      <c r="JU51" s="390"/>
      <c r="JV51" s="134"/>
      <c r="JW51" s="134"/>
      <c r="JX51" s="134"/>
      <c r="JY51" s="133">
        <f t="shared" si="560"/>
        <v>0</v>
      </c>
      <c r="JZ51" s="151"/>
      <c r="KA51" s="134"/>
      <c r="KB51" s="134"/>
      <c r="KC51" s="134">
        <v>0</v>
      </c>
      <c r="KD51" s="190">
        <f t="shared" si="514"/>
        <v>0</v>
      </c>
      <c r="KE51" s="196">
        <v>0</v>
      </c>
      <c r="KF51" s="390"/>
      <c r="KG51" s="134"/>
      <c r="KH51" s="134"/>
      <c r="KI51" s="134"/>
      <c r="KJ51" s="133">
        <f t="shared" si="563"/>
        <v>0</v>
      </c>
      <c r="KK51" s="151"/>
      <c r="KL51" s="134"/>
      <c r="KM51" s="134"/>
      <c r="KN51" s="134">
        <v>0</v>
      </c>
      <c r="KO51" s="190">
        <f t="shared" si="515"/>
        <v>0</v>
      </c>
      <c r="KP51" s="196">
        <v>0</v>
      </c>
      <c r="KQ51" s="390"/>
      <c r="KR51" s="134"/>
      <c r="KS51" s="134"/>
      <c r="KT51" s="134"/>
      <c r="KU51" s="133">
        <f t="shared" si="566"/>
        <v>0</v>
      </c>
      <c r="KV51" s="151"/>
      <c r="KW51" s="134"/>
      <c r="KX51" s="134"/>
      <c r="KY51" s="134">
        <v>0</v>
      </c>
      <c r="KZ51" s="190">
        <f t="shared" si="516"/>
        <v>0</v>
      </c>
      <c r="LA51" s="196">
        <v>0</v>
      </c>
      <c r="LB51" s="402"/>
      <c r="LC51" s="191">
        <f t="shared" si="517"/>
        <v>0</v>
      </c>
      <c r="LD51" s="191">
        <f t="shared" si="518"/>
        <v>0</v>
      </c>
      <c r="LE51" s="151"/>
      <c r="LF51" s="226">
        <f t="shared" si="519"/>
        <v>0</v>
      </c>
      <c r="LG51" s="128">
        <f t="shared" si="520"/>
        <v>0</v>
      </c>
      <c r="LH51" s="139">
        <f t="shared" si="521"/>
        <v>0</v>
      </c>
      <c r="LI51" s="718">
        <v>0</v>
      </c>
      <c r="LJ51" s="718">
        <v>0</v>
      </c>
      <c r="LK51" s="699">
        <v>0</v>
      </c>
      <c r="LL51" s="390"/>
      <c r="LM51" s="134"/>
      <c r="LN51" s="134"/>
      <c r="LO51" s="134"/>
      <c r="LP51" s="133">
        <f t="shared" si="522"/>
        <v>0</v>
      </c>
      <c r="LQ51" s="151"/>
      <c r="LR51" s="134"/>
      <c r="LS51" s="134"/>
      <c r="LT51" s="134">
        <v>0</v>
      </c>
      <c r="LU51" s="190">
        <f t="shared" si="523"/>
        <v>0</v>
      </c>
      <c r="LV51" s="196">
        <v>0</v>
      </c>
      <c r="LW51" s="134"/>
      <c r="LX51" s="134"/>
      <c r="LY51" s="134"/>
      <c r="LZ51" s="134"/>
      <c r="MA51" s="133">
        <f t="shared" si="524"/>
        <v>0</v>
      </c>
      <c r="MB51" s="151"/>
      <c r="MC51" s="134"/>
      <c r="MD51" s="134"/>
      <c r="ME51" s="134">
        <v>0</v>
      </c>
      <c r="MF51" s="190">
        <f t="shared" si="525"/>
        <v>0</v>
      </c>
      <c r="MG51" s="151" t="e">
        <f t="shared" si="682"/>
        <v>#DIV/0!</v>
      </c>
      <c r="MH51" s="134"/>
      <c r="MI51" s="134"/>
      <c r="MJ51" s="134"/>
      <c r="MK51" s="134"/>
      <c r="ML51" s="133">
        <f t="shared" si="526"/>
        <v>0</v>
      </c>
      <c r="MM51" s="151"/>
      <c r="MN51" s="134"/>
      <c r="MO51" s="134"/>
      <c r="MP51" s="134">
        <v>0</v>
      </c>
      <c r="MQ51" s="190">
        <f t="shared" si="527"/>
        <v>0</v>
      </c>
      <c r="MR51" s="151" t="e">
        <f t="shared" si="683"/>
        <v>#DIV/0!</v>
      </c>
      <c r="MS51" s="1472"/>
      <c r="MT51" s="118">
        <f t="shared" si="528"/>
        <v>0</v>
      </c>
      <c r="MU51" s="118">
        <f t="shared" si="529"/>
        <v>0</v>
      </c>
      <c r="MV51" s="135"/>
      <c r="MW51" s="133">
        <f t="shared" si="530"/>
        <v>0</v>
      </c>
      <c r="MX51" s="134">
        <f t="shared" si="531"/>
        <v>0</v>
      </c>
      <c r="MY51" s="134">
        <f t="shared" si="532"/>
        <v>0</v>
      </c>
      <c r="MZ51" s="135"/>
      <c r="NA51" s="135"/>
      <c r="NB51" s="151"/>
      <c r="NC51" s="134"/>
      <c r="ND51" s="134"/>
      <c r="NE51" s="134"/>
      <c r="NF51" s="134"/>
      <c r="NG51" s="133">
        <f t="shared" si="534"/>
        <v>0</v>
      </c>
      <c r="NH51" s="151"/>
      <c r="NI51" s="134"/>
      <c r="NJ51" s="134"/>
      <c r="NK51" s="134">
        <v>0</v>
      </c>
      <c r="NL51" s="190">
        <f t="shared" si="535"/>
        <v>0</v>
      </c>
      <c r="NM51" s="135" t="e">
        <f t="shared" si="684"/>
        <v>#DIV/0!</v>
      </c>
      <c r="NN51" s="1563"/>
      <c r="NO51" s="134"/>
      <c r="NP51" s="134"/>
      <c r="NQ51" s="134"/>
      <c r="NR51" s="133">
        <f t="shared" si="536"/>
        <v>0</v>
      </c>
      <c r="NS51" s="151"/>
      <c r="NT51" s="134">
        <v>0</v>
      </c>
      <c r="NU51" s="134"/>
      <c r="NV51" s="134">
        <v>0</v>
      </c>
      <c r="NW51" s="190">
        <f t="shared" si="537"/>
        <v>0</v>
      </c>
      <c r="NX51" s="135" t="e">
        <f t="shared" si="685"/>
        <v>#DIV/0!</v>
      </c>
      <c r="NY51" s="1563"/>
      <c r="NZ51" s="134"/>
      <c r="OA51" s="134"/>
      <c r="OB51" s="134"/>
      <c r="OC51" s="133">
        <f t="shared" si="538"/>
        <v>0</v>
      </c>
      <c r="OD51" s="151"/>
      <c r="OE51" s="134">
        <v>0</v>
      </c>
      <c r="OF51" s="134"/>
      <c r="OG51" s="134">
        <v>0</v>
      </c>
      <c r="OH51" s="190">
        <f t="shared" si="539"/>
        <v>0</v>
      </c>
      <c r="OI51" s="5380" t="e">
        <f t="shared" si="686"/>
        <v>#DIV/0!</v>
      </c>
      <c r="OJ51" s="69"/>
      <c r="OK51" s="155">
        <f t="shared" si="540"/>
        <v>0</v>
      </c>
      <c r="OL51" s="155">
        <f t="shared" si="541"/>
        <v>0</v>
      </c>
      <c r="OM51" s="74" t="e">
        <f t="shared" si="542"/>
        <v>#DIV/0!</v>
      </c>
      <c r="ON51" s="155">
        <f t="shared" si="543"/>
        <v>0</v>
      </c>
      <c r="OO51" s="70"/>
      <c r="OP51" s="69"/>
      <c r="OQ51" s="1563"/>
      <c r="OR51" s="134"/>
      <c r="OS51" s="134"/>
      <c r="OT51" s="134"/>
      <c r="OU51" s="133">
        <f t="shared" si="544"/>
        <v>0</v>
      </c>
      <c r="OV51" s="94"/>
      <c r="OW51" s="134">
        <v>0</v>
      </c>
      <c r="OX51" s="134">
        <v>0</v>
      </c>
      <c r="OY51" s="134">
        <v>0</v>
      </c>
      <c r="OZ51" s="190">
        <f t="shared" si="545"/>
        <v>0</v>
      </c>
      <c r="PA51" s="5372" t="e">
        <f t="shared" si="693"/>
        <v>#DIV/0!</v>
      </c>
      <c r="PB51" s="5320"/>
      <c r="PC51" s="134"/>
      <c r="PD51" s="134"/>
      <c r="PE51" s="134">
        <v>0</v>
      </c>
      <c r="PF51" s="133"/>
      <c r="PG51" s="94"/>
      <c r="PH51" s="134">
        <v>0</v>
      </c>
      <c r="PI51" s="134">
        <v>0</v>
      </c>
      <c r="PJ51" s="134">
        <v>0</v>
      </c>
      <c r="PK51" s="190">
        <v>0</v>
      </c>
      <c r="PL51" s="152">
        <v>0</v>
      </c>
      <c r="PM51" s="5379"/>
      <c r="PN51" s="134"/>
      <c r="PO51" s="134"/>
      <c r="PP51" s="134"/>
      <c r="PQ51" s="6293"/>
      <c r="PR51" s="6295"/>
      <c r="PS51" s="134">
        <v>0</v>
      </c>
      <c r="PT51" s="134">
        <v>0</v>
      </c>
      <c r="PU51" s="134">
        <v>0</v>
      </c>
      <c r="PV51" s="190">
        <f t="shared" si="265"/>
        <v>0</v>
      </c>
      <c r="PW51" s="5381">
        <v>0</v>
      </c>
      <c r="PX51" s="5320"/>
      <c r="PY51" s="191">
        <f t="shared" si="578"/>
        <v>0</v>
      </c>
      <c r="PZ51" s="191">
        <f t="shared" si="579"/>
        <v>0</v>
      </c>
      <c r="QA51" s="135"/>
      <c r="QB51" s="5379"/>
      <c r="QC51" s="134"/>
      <c r="QD51" s="134"/>
      <c r="QE51" s="134"/>
      <c r="QF51" s="6293">
        <f t="shared" si="270"/>
        <v>0</v>
      </c>
      <c r="QG51" s="6296"/>
      <c r="QH51" s="134"/>
      <c r="QI51" s="134"/>
      <c r="QJ51" s="134">
        <v>0</v>
      </c>
      <c r="QK51" s="190">
        <f t="shared" si="665"/>
        <v>0</v>
      </c>
      <c r="QL51" s="5381">
        <v>0</v>
      </c>
      <c r="QM51" s="5379"/>
      <c r="QN51" s="134"/>
      <c r="QO51" s="134"/>
      <c r="QP51" s="134"/>
      <c r="QQ51" s="133">
        <f t="shared" si="691"/>
        <v>0</v>
      </c>
      <c r="QR51" s="151"/>
      <c r="QS51" s="134"/>
      <c r="QT51" s="134">
        <v>0</v>
      </c>
      <c r="QU51" s="134">
        <v>0</v>
      </c>
      <c r="QV51" s="190">
        <f t="shared" si="666"/>
        <v>0</v>
      </c>
      <c r="QW51" s="5381">
        <v>0</v>
      </c>
      <c r="QX51" s="5379"/>
      <c r="QY51" s="134">
        <v>0</v>
      </c>
      <c r="QZ51" s="134">
        <v>0</v>
      </c>
      <c r="RA51" s="134"/>
      <c r="RB51" s="133">
        <f t="shared" si="692"/>
        <v>0</v>
      </c>
      <c r="RC51" s="151"/>
      <c r="RD51" s="134"/>
      <c r="RE51" s="134"/>
      <c r="RF51" s="134">
        <v>0</v>
      </c>
      <c r="RG51" s="190">
        <f t="shared" si="667"/>
        <v>0</v>
      </c>
      <c r="RH51" s="5381">
        <v>0</v>
      </c>
      <c r="RI51" s="5376"/>
      <c r="RJ51" s="191">
        <f t="shared" si="548"/>
        <v>0</v>
      </c>
      <c r="RK51" s="191">
        <f t="shared" si="668"/>
        <v>0</v>
      </c>
      <c r="RL51" s="5380"/>
      <c r="RM51" s="1562">
        <f t="shared" si="550"/>
        <v>0</v>
      </c>
      <c r="RN51" s="128">
        <f t="shared" si="551"/>
        <v>0</v>
      </c>
      <c r="RO51" s="139">
        <f t="shared" si="552"/>
        <v>0</v>
      </c>
      <c r="RP51" s="718">
        <v>0</v>
      </c>
      <c r="RQ51" s="718">
        <v>0</v>
      </c>
      <c r="RR51" s="6348">
        <v>0</v>
      </c>
      <c r="RS51" s="6327"/>
      <c r="RT51" s="130">
        <v>0</v>
      </c>
      <c r="RU51" s="130">
        <v>0</v>
      </c>
      <c r="RV51" s="3546"/>
      <c r="RW51" s="133">
        <f t="shared" si="669"/>
        <v>0</v>
      </c>
      <c r="RX51" s="151"/>
      <c r="RY51" s="134"/>
      <c r="RZ51" s="134"/>
      <c r="SA51" s="134">
        <v>0</v>
      </c>
      <c r="SB51" s="190">
        <f t="shared" si="670"/>
        <v>0</v>
      </c>
      <c r="SC51" s="5381"/>
      <c r="SD51" s="5405"/>
      <c r="SE51" s="130"/>
      <c r="SF51" s="130"/>
      <c r="SG51" s="606"/>
      <c r="SH51" s="6361">
        <f t="shared" si="572"/>
        <v>0</v>
      </c>
      <c r="SI51" s="6363" t="e">
        <f t="shared" si="671"/>
        <v>#DIV/0!</v>
      </c>
      <c r="SJ51" s="134"/>
      <c r="SK51" s="134"/>
      <c r="SL51" s="134">
        <v>0</v>
      </c>
      <c r="SM51" s="188">
        <f t="shared" si="289"/>
        <v>0</v>
      </c>
      <c r="SN51" s="5389" t="e">
        <f t="shared" si="290"/>
        <v>#DIV/0!</v>
      </c>
      <c r="SO51" s="134"/>
      <c r="SP51" s="134"/>
      <c r="SQ51" s="134"/>
      <c r="SR51" s="134"/>
      <c r="SS51" s="6361">
        <f t="shared" si="672"/>
        <v>0</v>
      </c>
      <c r="ST51" s="6363"/>
      <c r="SU51" s="134"/>
      <c r="SV51" s="134"/>
      <c r="SW51" s="134">
        <v>0</v>
      </c>
      <c r="SX51" s="190">
        <f t="shared" si="673"/>
        <v>0</v>
      </c>
      <c r="SY51" s="5380" t="e">
        <f t="shared" si="687"/>
        <v>#DIV/0!</v>
      </c>
      <c r="SZ51" s="6270"/>
      <c r="TA51" s="118">
        <f t="shared" si="674"/>
        <v>0</v>
      </c>
      <c r="TB51" s="118">
        <f t="shared" si="675"/>
        <v>0</v>
      </c>
      <c r="TC51" s="5380"/>
      <c r="TD51" s="1563"/>
      <c r="TE51" s="134"/>
      <c r="TF51" s="134"/>
      <c r="TG51" s="134"/>
      <c r="TH51" s="133">
        <f t="shared" si="676"/>
        <v>0</v>
      </c>
      <c r="TI51" s="151"/>
      <c r="TJ51" s="134"/>
      <c r="TK51" s="134">
        <v>0</v>
      </c>
      <c r="TL51" s="134"/>
      <c r="TM51" s="190">
        <f t="shared" si="677"/>
        <v>0</v>
      </c>
      <c r="TN51" s="5380" t="e">
        <f t="shared" si="688"/>
        <v>#DIV/0!</v>
      </c>
      <c r="TO51" s="134"/>
      <c r="TP51" s="134"/>
      <c r="TQ51" s="134"/>
      <c r="TR51" s="134"/>
      <c r="TS51" s="133">
        <f t="shared" si="678"/>
        <v>0</v>
      </c>
      <c r="TT51" s="151"/>
      <c r="TU51" s="134">
        <v>0</v>
      </c>
      <c r="TV51" s="134"/>
      <c r="TW51" s="134">
        <v>0</v>
      </c>
      <c r="TX51" s="190">
        <f t="shared" si="679"/>
        <v>0</v>
      </c>
      <c r="TY51" s="135" t="e">
        <f t="shared" si="689"/>
        <v>#DIV/0!</v>
      </c>
      <c r="TZ51" s="1563"/>
      <c r="UA51" s="134"/>
      <c r="UB51" s="134"/>
      <c r="UC51" s="134"/>
      <c r="UD51" s="133">
        <f t="shared" si="680"/>
        <v>0</v>
      </c>
      <c r="UE51" s="151"/>
      <c r="UF51" s="134">
        <v>0</v>
      </c>
      <c r="UG51" s="134"/>
      <c r="UH51" s="134">
        <v>0</v>
      </c>
      <c r="UI51" s="190">
        <f t="shared" si="681"/>
        <v>0</v>
      </c>
      <c r="UJ51" s="5380" t="e">
        <f t="shared" si="690"/>
        <v>#DIV/0!</v>
      </c>
      <c r="UK51" s="5376"/>
      <c r="UL51" s="191">
        <f t="shared" si="284"/>
        <v>0</v>
      </c>
      <c r="UM51" s="191">
        <f t="shared" si="285"/>
        <v>0</v>
      </c>
      <c r="UN51" s="135" t="e">
        <f t="shared" si="484"/>
        <v>#DIV/0!</v>
      </c>
      <c r="UO51" s="191">
        <f t="shared" si="286"/>
        <v>0</v>
      </c>
      <c r="UP51" s="4952"/>
    </row>
    <row r="52" spans="1:581" x14ac:dyDescent="0.3">
      <c r="A52" s="5316"/>
      <c r="B52" s="5360" t="s">
        <v>406</v>
      </c>
      <c r="C52" s="578" t="s">
        <v>141</v>
      </c>
      <c r="D52" s="578" t="s">
        <v>140</v>
      </c>
      <c r="E52" s="6278" t="s">
        <v>254</v>
      </c>
      <c r="F52" s="672">
        <v>2</v>
      </c>
      <c r="G52" s="350">
        <v>535447</v>
      </c>
      <c r="H52" s="350">
        <v>705994</v>
      </c>
      <c r="I52" s="350">
        <v>170547</v>
      </c>
      <c r="J52" s="351">
        <f>I52/H52</f>
        <v>0.24157004167174226</v>
      </c>
      <c r="K52" s="673">
        <v>2</v>
      </c>
      <c r="L52" s="350">
        <v>422656</v>
      </c>
      <c r="M52" s="350">
        <v>572044</v>
      </c>
      <c r="N52" s="350">
        <v>149388</v>
      </c>
      <c r="O52" s="672"/>
      <c r="P52" s="673">
        <v>1</v>
      </c>
      <c r="Q52" s="350">
        <v>142509</v>
      </c>
      <c r="R52" s="350">
        <v>209368.41912000001</v>
      </c>
      <c r="S52" s="350">
        <v>4196.4191200000059</v>
      </c>
      <c r="T52" s="95"/>
      <c r="U52" s="673"/>
      <c r="V52" s="672"/>
      <c r="W52" s="672"/>
      <c r="X52" s="672"/>
      <c r="Y52" s="672"/>
      <c r="Z52" s="675"/>
      <c r="AA52" s="672"/>
      <c r="AB52" s="672"/>
      <c r="AC52" s="672"/>
      <c r="AD52" s="672"/>
      <c r="AE52" s="582"/>
      <c r="AF52" s="672"/>
      <c r="AG52" s="676"/>
      <c r="AH52" s="677"/>
      <c r="AI52" s="677"/>
      <c r="AJ52" s="677"/>
      <c r="AK52" s="105"/>
      <c r="AL52" s="106"/>
      <c r="AM52" s="129"/>
      <c r="AN52" s="417"/>
      <c r="AO52" s="130"/>
      <c r="AP52" s="417"/>
      <c r="AQ52" s="417"/>
      <c r="AR52" s="116"/>
      <c r="AS52" s="113"/>
      <c r="AT52" s="161">
        <v>142509</v>
      </c>
      <c r="AU52" s="161">
        <v>225675</v>
      </c>
      <c r="AV52" s="161">
        <v>11860</v>
      </c>
      <c r="AW52" s="116">
        <f>AV52/AU52</f>
        <v>5.2553450758834608E-2</v>
      </c>
      <c r="AX52" s="669"/>
      <c r="AY52" s="587">
        <f t="shared" si="582"/>
        <v>1243121</v>
      </c>
      <c r="AZ52" s="587">
        <f t="shared" si="583"/>
        <v>1713081.41912</v>
      </c>
      <c r="BA52" s="587">
        <f t="shared" si="584"/>
        <v>335991.41911999998</v>
      </c>
      <c r="BB52" s="588">
        <f>BA52/AZ52</f>
        <v>0.19613277884515076</v>
      </c>
      <c r="BC52" s="409"/>
      <c r="BD52" s="118"/>
      <c r="BE52" s="118"/>
      <c r="BF52" s="679"/>
      <c r="BG52" s="690"/>
      <c r="BH52" s="680"/>
      <c r="BI52" s="409"/>
      <c r="BJ52" s="118"/>
      <c r="BK52" s="118"/>
      <c r="BL52" s="679"/>
      <c r="BM52" s="690"/>
      <c r="BN52" s="680"/>
      <c r="BO52" s="678"/>
      <c r="BP52" s="679"/>
      <c r="BQ52" s="679"/>
      <c r="BR52" s="679"/>
      <c r="BS52" s="582"/>
      <c r="BT52" s="736"/>
      <c r="BU52" s="678"/>
      <c r="BV52" s="592"/>
      <c r="BW52" s="592"/>
      <c r="BX52" s="593"/>
      <c r="BY52" s="681"/>
      <c r="BZ52" s="682"/>
      <c r="CA52" s="682"/>
      <c r="CB52" s="682"/>
      <c r="CC52" s="682"/>
      <c r="CD52" s="683"/>
      <c r="CE52" s="684"/>
      <c r="CF52" s="679"/>
      <c r="CG52" s="679"/>
      <c r="CH52" s="679"/>
      <c r="CI52" s="118"/>
      <c r="CJ52" s="685"/>
      <c r="CK52" s="676"/>
      <c r="CL52" s="677"/>
      <c r="CM52" s="677"/>
      <c r="CN52" s="677"/>
      <c r="CO52" s="105"/>
      <c r="CP52" s="106"/>
      <c r="CQ52" s="226"/>
      <c r="CR52" s="146"/>
      <c r="CS52" s="146"/>
      <c r="CT52" s="118"/>
      <c r="CU52" s="118"/>
      <c r="CV52" s="119"/>
      <c r="CW52" s="127"/>
      <c r="CX52" s="128"/>
      <c r="CY52" s="128"/>
      <c r="CZ52" s="128"/>
      <c r="DA52" s="605"/>
      <c r="DB52" s="106"/>
      <c r="DC52" s="127"/>
      <c r="DD52" s="128"/>
      <c r="DE52" s="128"/>
      <c r="DF52" s="128"/>
      <c r="DG52" s="128"/>
      <c r="DH52" s="119"/>
      <c r="DI52" s="204"/>
      <c r="DJ52" s="202"/>
      <c r="DK52" s="202"/>
      <c r="DL52" s="119"/>
      <c r="DM52" s="202"/>
      <c r="DN52" s="119"/>
      <c r="DO52" s="686"/>
      <c r="DP52" s="146"/>
      <c r="DQ52" s="146"/>
      <c r="DR52" s="146"/>
      <c r="DS52" s="119"/>
      <c r="DT52" s="119"/>
      <c r="DU52" s="119"/>
      <c r="DV52" s="150"/>
      <c r="DW52" s="686"/>
      <c r="DX52" s="687"/>
      <c r="DY52" s="687"/>
      <c r="DZ52" s="687"/>
      <c r="EA52" s="119"/>
      <c r="EB52" s="119"/>
      <c r="EC52" s="119"/>
      <c r="ED52" s="150"/>
      <c r="EE52" s="127"/>
      <c r="EF52" s="128"/>
      <c r="EG52" s="128"/>
      <c r="EH52" s="128"/>
      <c r="EI52" s="605"/>
      <c r="EJ52" s="106"/>
      <c r="EK52" s="127"/>
      <c r="EL52" s="128"/>
      <c r="EM52" s="128"/>
      <c r="EN52" s="128"/>
      <c r="EO52" s="128"/>
      <c r="EP52" s="119"/>
      <c r="EQ52" s="127"/>
      <c r="ER52" s="128"/>
      <c r="ES52" s="128"/>
      <c r="ET52" s="128"/>
      <c r="EU52" s="134"/>
      <c r="EV52" s="106"/>
      <c r="EW52" s="127"/>
      <c r="EX52" s="128"/>
      <c r="EY52" s="128"/>
      <c r="EZ52" s="128"/>
      <c r="FA52" s="128"/>
      <c r="FB52" s="119"/>
      <c r="FC52" s="686"/>
      <c r="FD52" s="146"/>
      <c r="FE52" s="146"/>
      <c r="FF52" s="146"/>
      <c r="FG52" s="119"/>
      <c r="FH52" s="119"/>
      <c r="FI52" s="119"/>
      <c r="FJ52" s="150"/>
      <c r="FK52" s="226"/>
      <c r="FL52" s="118"/>
      <c r="FM52" s="118"/>
      <c r="FN52" s="118"/>
      <c r="FO52" s="118"/>
      <c r="FP52" s="119"/>
      <c r="FQ52" s="226"/>
      <c r="FR52" s="118"/>
      <c r="FS52" s="118"/>
      <c r="FT52" s="189"/>
      <c r="FU52" s="119"/>
      <c r="FV52" s="188"/>
      <c r="FW52" s="189"/>
      <c r="FX52" s="189"/>
      <c r="FY52" s="189"/>
      <c r="FZ52" s="189"/>
      <c r="GA52" s="119"/>
      <c r="GB52" s="119"/>
      <c r="GC52" s="119"/>
      <c r="GD52" s="150"/>
      <c r="GE52" s="188"/>
      <c r="GF52" s="189"/>
      <c r="GG52" s="189"/>
      <c r="GH52" s="119"/>
      <c r="GI52" s="189"/>
      <c r="GJ52" s="188"/>
      <c r="GK52" s="189"/>
      <c r="GL52" s="189"/>
      <c r="GM52" s="189"/>
      <c r="GN52" s="226"/>
      <c r="GO52" s="118"/>
      <c r="GP52" s="118"/>
      <c r="GQ52" s="118"/>
      <c r="GR52" s="134"/>
      <c r="GS52" s="119"/>
      <c r="GT52" s="226"/>
      <c r="GU52" s="118"/>
      <c r="GV52" s="118"/>
      <c r="GW52" s="118"/>
      <c r="GX52" s="188"/>
      <c r="GY52" s="150"/>
      <c r="GZ52" s="688"/>
      <c r="HA52" s="688"/>
      <c r="HB52" s="688"/>
      <c r="HC52" s="130"/>
      <c r="HD52" s="134"/>
      <c r="HE52" s="150"/>
      <c r="HF52" s="138"/>
      <c r="HG52" s="130"/>
      <c r="HH52" s="130"/>
      <c r="HI52" s="130"/>
      <c r="HJ52" s="197"/>
      <c r="HK52" s="201"/>
      <c r="HL52" s="147"/>
      <c r="HM52" s="148"/>
      <c r="HN52" s="148"/>
      <c r="HO52" s="148"/>
      <c r="HP52" s="615"/>
      <c r="HQ52" s="201"/>
      <c r="HR52" s="148"/>
      <c r="HS52" s="148"/>
      <c r="HT52" s="148"/>
      <c r="HU52" s="148"/>
      <c r="HV52" s="709"/>
      <c r="HW52" s="712"/>
      <c r="HX52" s="737"/>
      <c r="HY52" s="241"/>
      <c r="HZ52" s="415"/>
      <c r="IA52" s="241"/>
      <c r="IB52" s="738"/>
      <c r="IC52" s="618"/>
      <c r="ID52" s="745"/>
      <c r="IE52" s="141">
        <f t="shared" si="512"/>
        <v>0</v>
      </c>
      <c r="IF52" s="141">
        <f t="shared" si="513"/>
        <v>0</v>
      </c>
      <c r="IG52" s="74" t="e">
        <f t="shared" si="602"/>
        <v>#DIV/0!</v>
      </c>
      <c r="IH52" s="1509"/>
      <c r="II52" s="69"/>
      <c r="IJ52" s="133"/>
      <c r="IK52" s="134"/>
      <c r="IL52" s="134"/>
      <c r="IM52" s="134"/>
      <c r="IN52" s="133"/>
      <c r="IO52" s="151"/>
      <c r="IP52" s="134"/>
      <c r="IQ52" s="134"/>
      <c r="IR52" s="134"/>
      <c r="IS52" s="737"/>
      <c r="IT52" s="738"/>
      <c r="IU52" s="390"/>
      <c r="IV52" s="134"/>
      <c r="IW52" s="134"/>
      <c r="IX52" s="134"/>
      <c r="IY52" s="133"/>
      <c r="IZ52" s="151"/>
      <c r="JA52" s="134"/>
      <c r="JB52" s="134"/>
      <c r="JC52" s="134"/>
      <c r="JD52" s="190"/>
      <c r="JE52" s="196"/>
      <c r="JF52" s="390"/>
      <c r="JG52" s="134"/>
      <c r="JH52" s="134"/>
      <c r="JI52" s="134"/>
      <c r="JJ52" s="133"/>
      <c r="JK52" s="151"/>
      <c r="JL52" s="134"/>
      <c r="JM52" s="134"/>
      <c r="JN52" s="134"/>
      <c r="JO52" s="190"/>
      <c r="JP52" s="196"/>
      <c r="JQ52" s="390"/>
      <c r="JR52" s="191">
        <f t="shared" si="575"/>
        <v>0</v>
      </c>
      <c r="JS52" s="191">
        <f t="shared" si="576"/>
        <v>0</v>
      </c>
      <c r="JT52" s="151"/>
      <c r="JU52" s="390"/>
      <c r="JV52" s="134"/>
      <c r="JW52" s="134"/>
      <c r="JX52" s="134"/>
      <c r="JY52" s="133">
        <f t="shared" si="560"/>
        <v>0</v>
      </c>
      <c r="JZ52" s="151"/>
      <c r="KA52" s="134"/>
      <c r="KB52" s="134"/>
      <c r="KC52" s="134"/>
      <c r="KD52" s="190"/>
      <c r="KE52" s="196"/>
      <c r="KF52" s="390"/>
      <c r="KG52" s="134"/>
      <c r="KH52" s="134"/>
      <c r="KI52" s="134"/>
      <c r="KJ52" s="133">
        <f t="shared" si="563"/>
        <v>0</v>
      </c>
      <c r="KK52" s="151"/>
      <c r="KL52" s="134"/>
      <c r="KM52" s="134"/>
      <c r="KN52" s="134"/>
      <c r="KO52" s="190"/>
      <c r="KP52" s="196"/>
      <c r="KQ52" s="390"/>
      <c r="KR52" s="134"/>
      <c r="KS52" s="134"/>
      <c r="KT52" s="134"/>
      <c r="KU52" s="133">
        <f t="shared" si="566"/>
        <v>0</v>
      </c>
      <c r="KV52" s="151"/>
      <c r="KW52" s="134"/>
      <c r="KX52" s="134"/>
      <c r="KY52" s="134"/>
      <c r="KZ52" s="190"/>
      <c r="LA52" s="196"/>
      <c r="LB52" s="402"/>
      <c r="LC52" s="191">
        <f t="shared" si="517"/>
        <v>0</v>
      </c>
      <c r="LD52" s="191">
        <f t="shared" si="518"/>
        <v>0</v>
      </c>
      <c r="LE52" s="151"/>
      <c r="LF52" s="226">
        <f t="shared" si="519"/>
        <v>0</v>
      </c>
      <c r="LG52" s="128">
        <f t="shared" si="520"/>
        <v>0</v>
      </c>
      <c r="LH52" s="139">
        <f t="shared" si="521"/>
        <v>0</v>
      </c>
      <c r="LI52" s="718">
        <v>0</v>
      </c>
      <c r="LJ52" s="718">
        <v>0</v>
      </c>
      <c r="LK52" s="699">
        <v>0</v>
      </c>
      <c r="LL52" s="390"/>
      <c r="LM52" s="134"/>
      <c r="LN52" s="134"/>
      <c r="LO52" s="134"/>
      <c r="LP52" s="133">
        <f t="shared" si="522"/>
        <v>0</v>
      </c>
      <c r="LQ52" s="151"/>
      <c r="LR52" s="134"/>
      <c r="LS52" s="134"/>
      <c r="LT52" s="134"/>
      <c r="LU52" s="190"/>
      <c r="LV52" s="196"/>
      <c r="LW52" s="134"/>
      <c r="LX52" s="134"/>
      <c r="LY52" s="134"/>
      <c r="LZ52" s="134"/>
      <c r="MA52" s="133">
        <f t="shared" si="524"/>
        <v>0</v>
      </c>
      <c r="MB52" s="151"/>
      <c r="MC52" s="134"/>
      <c r="MD52" s="134"/>
      <c r="ME52" s="134"/>
      <c r="MF52" s="190">
        <f t="shared" si="525"/>
        <v>0</v>
      </c>
      <c r="MG52" s="151" t="e">
        <f t="shared" si="682"/>
        <v>#DIV/0!</v>
      </c>
      <c r="MH52" s="134"/>
      <c r="MI52" s="134"/>
      <c r="MJ52" s="134"/>
      <c r="MK52" s="134"/>
      <c r="ML52" s="133">
        <f t="shared" si="526"/>
        <v>0</v>
      </c>
      <c r="MM52" s="151"/>
      <c r="MN52" s="134"/>
      <c r="MO52" s="134"/>
      <c r="MP52" s="134"/>
      <c r="MQ52" s="190">
        <f t="shared" si="527"/>
        <v>0</v>
      </c>
      <c r="MR52" s="151" t="e">
        <f t="shared" si="683"/>
        <v>#DIV/0!</v>
      </c>
      <c r="MS52" s="1472"/>
      <c r="MT52" s="118">
        <f t="shared" si="528"/>
        <v>0</v>
      </c>
      <c r="MU52" s="118">
        <f t="shared" si="529"/>
        <v>0</v>
      </c>
      <c r="MV52" s="135"/>
      <c r="MW52" s="133">
        <f t="shared" si="530"/>
        <v>0</v>
      </c>
      <c r="MX52" s="134">
        <f t="shared" si="531"/>
        <v>0</v>
      </c>
      <c r="MY52" s="134">
        <f t="shared" si="532"/>
        <v>0</v>
      </c>
      <c r="MZ52" s="135"/>
      <c r="NA52" s="135"/>
      <c r="NB52" s="151"/>
      <c r="NC52" s="134"/>
      <c r="ND52" s="134"/>
      <c r="NE52" s="134"/>
      <c r="NF52" s="134"/>
      <c r="NG52" s="133">
        <f t="shared" si="534"/>
        <v>0</v>
      </c>
      <c r="NH52" s="151"/>
      <c r="NI52" s="134"/>
      <c r="NJ52" s="134"/>
      <c r="NK52" s="134"/>
      <c r="NL52" s="190">
        <f t="shared" si="535"/>
        <v>0</v>
      </c>
      <c r="NM52" s="135" t="e">
        <f t="shared" si="684"/>
        <v>#DIV/0!</v>
      </c>
      <c r="NN52" s="1563"/>
      <c r="NO52" s="134"/>
      <c r="NP52" s="134"/>
      <c r="NQ52" s="134"/>
      <c r="NR52" s="133">
        <f t="shared" si="536"/>
        <v>0</v>
      </c>
      <c r="NS52" s="151"/>
      <c r="NT52" s="134">
        <v>0</v>
      </c>
      <c r="NU52" s="134"/>
      <c r="NV52" s="134"/>
      <c r="NW52" s="190">
        <f t="shared" si="537"/>
        <v>0</v>
      </c>
      <c r="NX52" s="135" t="e">
        <f t="shared" si="685"/>
        <v>#DIV/0!</v>
      </c>
      <c r="NY52" s="1563"/>
      <c r="NZ52" s="134"/>
      <c r="OA52" s="134"/>
      <c r="OB52" s="134"/>
      <c r="OC52" s="133">
        <f t="shared" si="538"/>
        <v>0</v>
      </c>
      <c r="OD52" s="151"/>
      <c r="OE52" s="134">
        <v>0</v>
      </c>
      <c r="OF52" s="134"/>
      <c r="OG52" s="134"/>
      <c r="OH52" s="190">
        <f t="shared" si="539"/>
        <v>0</v>
      </c>
      <c r="OI52" s="5380" t="e">
        <f t="shared" si="686"/>
        <v>#DIV/0!</v>
      </c>
      <c r="OJ52" s="69"/>
      <c r="OK52" s="155">
        <f t="shared" si="540"/>
        <v>0</v>
      </c>
      <c r="OL52" s="155">
        <f t="shared" si="541"/>
        <v>0</v>
      </c>
      <c r="OM52" s="74" t="e">
        <f t="shared" si="542"/>
        <v>#DIV/0!</v>
      </c>
      <c r="ON52" s="155">
        <f t="shared" si="543"/>
        <v>0</v>
      </c>
      <c r="OO52" s="70"/>
      <c r="OP52" s="69"/>
      <c r="OQ52" s="1563"/>
      <c r="OR52" s="134"/>
      <c r="OS52" s="134"/>
      <c r="OT52" s="134"/>
      <c r="OU52" s="133"/>
      <c r="OV52" s="94"/>
      <c r="OW52" s="134"/>
      <c r="OX52" s="134"/>
      <c r="OY52" s="134"/>
      <c r="OZ52" s="190">
        <f t="shared" si="545"/>
        <v>0</v>
      </c>
      <c r="PA52" s="5372" t="e">
        <f t="shared" si="693"/>
        <v>#DIV/0!</v>
      </c>
      <c r="PB52" s="5320"/>
      <c r="PC52" s="134"/>
      <c r="PD52" s="134"/>
      <c r="PE52" s="134"/>
      <c r="PF52" s="133"/>
      <c r="PG52" s="94"/>
      <c r="PH52" s="134"/>
      <c r="PI52" s="134"/>
      <c r="PJ52" s="134"/>
      <c r="PK52" s="190">
        <v>0</v>
      </c>
      <c r="PL52" s="152"/>
      <c r="PM52" s="5379"/>
      <c r="PN52" s="134"/>
      <c r="PO52" s="134"/>
      <c r="PP52" s="134"/>
      <c r="PQ52" s="6293"/>
      <c r="PR52" s="6295"/>
      <c r="PS52" s="134">
        <v>0</v>
      </c>
      <c r="PT52" s="134">
        <v>0</v>
      </c>
      <c r="PU52" s="134">
        <v>0</v>
      </c>
      <c r="PV52" s="190">
        <f t="shared" si="265"/>
        <v>0</v>
      </c>
      <c r="PW52" s="5381">
        <v>0</v>
      </c>
      <c r="PX52" s="5320"/>
      <c r="PY52" s="191">
        <f t="shared" si="578"/>
        <v>0</v>
      </c>
      <c r="PZ52" s="191">
        <f t="shared" si="579"/>
        <v>0</v>
      </c>
      <c r="QA52" s="135"/>
      <c r="QB52" s="5379"/>
      <c r="QC52" s="134"/>
      <c r="QD52" s="134"/>
      <c r="QE52" s="134"/>
      <c r="QF52" s="6293">
        <f t="shared" si="270"/>
        <v>0</v>
      </c>
      <c r="QG52" s="6296"/>
      <c r="QH52" s="134"/>
      <c r="QI52" s="134"/>
      <c r="QJ52" s="134">
        <v>0</v>
      </c>
      <c r="QK52" s="190">
        <f>QF52-SUM(QH52:QJ52)</f>
        <v>0</v>
      </c>
      <c r="QL52" s="5381">
        <v>0</v>
      </c>
      <c r="QM52" s="5379"/>
      <c r="QN52" s="134"/>
      <c r="QO52" s="134"/>
      <c r="QP52" s="134"/>
      <c r="QQ52" s="133">
        <f t="shared" si="691"/>
        <v>0</v>
      </c>
      <c r="QR52" s="151"/>
      <c r="QS52" s="134"/>
      <c r="QT52" s="134">
        <v>0</v>
      </c>
      <c r="QU52" s="134"/>
      <c r="QV52" s="190"/>
      <c r="QW52" s="5381"/>
      <c r="QX52" s="5379"/>
      <c r="QY52" s="134">
        <v>0</v>
      </c>
      <c r="QZ52" s="134">
        <v>0</v>
      </c>
      <c r="RA52" s="134"/>
      <c r="RB52" s="133">
        <f t="shared" si="692"/>
        <v>0</v>
      </c>
      <c r="RC52" s="151"/>
      <c r="RD52" s="134"/>
      <c r="RE52" s="134"/>
      <c r="RF52" s="134"/>
      <c r="RG52" s="190"/>
      <c r="RH52" s="5381"/>
      <c r="RI52" s="5376"/>
      <c r="RJ52" s="191">
        <f t="shared" si="548"/>
        <v>0</v>
      </c>
      <c r="RK52" s="191">
        <f t="shared" si="668"/>
        <v>0</v>
      </c>
      <c r="RL52" s="5380"/>
      <c r="RM52" s="1562">
        <f t="shared" si="550"/>
        <v>0</v>
      </c>
      <c r="RN52" s="128">
        <f t="shared" si="551"/>
        <v>0</v>
      </c>
      <c r="RO52" s="139">
        <f t="shared" si="552"/>
        <v>0</v>
      </c>
      <c r="RP52" s="718">
        <v>0</v>
      </c>
      <c r="RQ52" s="718">
        <v>0</v>
      </c>
      <c r="RR52" s="6348">
        <v>0</v>
      </c>
      <c r="RS52" s="6327"/>
      <c r="RT52" s="130">
        <v>0</v>
      </c>
      <c r="RU52" s="130">
        <v>0</v>
      </c>
      <c r="RV52" s="3546"/>
      <c r="RW52" s="133">
        <f t="shared" si="669"/>
        <v>0</v>
      </c>
      <c r="RX52" s="151"/>
      <c r="RY52" s="134"/>
      <c r="RZ52" s="134"/>
      <c r="SA52" s="134"/>
      <c r="SB52" s="190"/>
      <c r="SC52" s="5381"/>
      <c r="SD52" s="5405"/>
      <c r="SE52" s="130"/>
      <c r="SF52" s="130"/>
      <c r="SG52" s="606"/>
      <c r="SH52" s="6361">
        <f t="shared" si="572"/>
        <v>0</v>
      </c>
      <c r="SI52" s="6363" t="e">
        <f t="shared" si="671"/>
        <v>#DIV/0!</v>
      </c>
      <c r="SJ52" s="134"/>
      <c r="SK52" s="134"/>
      <c r="SL52" s="134"/>
      <c r="SM52" s="188">
        <f t="shared" si="289"/>
        <v>0</v>
      </c>
      <c r="SN52" s="5389" t="e">
        <f t="shared" si="290"/>
        <v>#DIV/0!</v>
      </c>
      <c r="SO52" s="134"/>
      <c r="SP52" s="134"/>
      <c r="SQ52" s="134"/>
      <c r="SR52" s="134"/>
      <c r="SS52" s="6361">
        <f t="shared" si="672"/>
        <v>0</v>
      </c>
      <c r="ST52" s="6363"/>
      <c r="SU52" s="134"/>
      <c r="SV52" s="134"/>
      <c r="SW52" s="134"/>
      <c r="SX52" s="190">
        <f t="shared" si="673"/>
        <v>0</v>
      </c>
      <c r="SY52" s="5380" t="e">
        <f t="shared" si="687"/>
        <v>#DIV/0!</v>
      </c>
      <c r="SZ52" s="6270"/>
      <c r="TA52" s="118">
        <f t="shared" si="674"/>
        <v>0</v>
      </c>
      <c r="TB52" s="118">
        <f t="shared" si="675"/>
        <v>0</v>
      </c>
      <c r="TC52" s="5380"/>
      <c r="TD52" s="1563"/>
      <c r="TE52" s="134"/>
      <c r="TF52" s="134"/>
      <c r="TG52" s="134"/>
      <c r="TH52" s="133">
        <f t="shared" si="676"/>
        <v>0</v>
      </c>
      <c r="TI52" s="151"/>
      <c r="TJ52" s="134"/>
      <c r="TK52" s="134">
        <v>0</v>
      </c>
      <c r="TL52" s="134"/>
      <c r="TM52" s="190">
        <f t="shared" si="677"/>
        <v>0</v>
      </c>
      <c r="TN52" s="5380" t="e">
        <f t="shared" si="688"/>
        <v>#DIV/0!</v>
      </c>
      <c r="TO52" s="134"/>
      <c r="TP52" s="134"/>
      <c r="TQ52" s="134"/>
      <c r="TR52" s="134"/>
      <c r="TS52" s="133">
        <f t="shared" si="678"/>
        <v>0</v>
      </c>
      <c r="TT52" s="151"/>
      <c r="TU52" s="134">
        <v>0</v>
      </c>
      <c r="TV52" s="134"/>
      <c r="TW52" s="134"/>
      <c r="TX52" s="190">
        <f t="shared" si="679"/>
        <v>0</v>
      </c>
      <c r="TY52" s="135" t="e">
        <f t="shared" si="689"/>
        <v>#DIV/0!</v>
      </c>
      <c r="TZ52" s="1563"/>
      <c r="UA52" s="134"/>
      <c r="UB52" s="134"/>
      <c r="UC52" s="134"/>
      <c r="UD52" s="133">
        <f t="shared" si="680"/>
        <v>0</v>
      </c>
      <c r="UE52" s="151"/>
      <c r="UF52" s="134">
        <v>0</v>
      </c>
      <c r="UG52" s="134"/>
      <c r="UH52" s="134"/>
      <c r="UI52" s="190">
        <f t="shared" si="681"/>
        <v>0</v>
      </c>
      <c r="UJ52" s="5380" t="e">
        <f t="shared" si="690"/>
        <v>#DIV/0!</v>
      </c>
      <c r="UK52" s="5376"/>
      <c r="UL52" s="191">
        <f t="shared" si="284"/>
        <v>0</v>
      </c>
      <c r="UM52" s="191">
        <f t="shared" si="285"/>
        <v>0</v>
      </c>
      <c r="UN52" s="135" t="e">
        <f t="shared" si="484"/>
        <v>#DIV/0!</v>
      </c>
      <c r="UO52" s="191">
        <f t="shared" si="286"/>
        <v>0</v>
      </c>
      <c r="UP52" s="4952"/>
    </row>
    <row r="53" spans="1:581" x14ac:dyDescent="0.3">
      <c r="A53" s="5316"/>
      <c r="B53" s="5360" t="s">
        <v>407</v>
      </c>
      <c r="C53" s="578" t="s">
        <v>141</v>
      </c>
      <c r="D53" s="578" t="s">
        <v>140</v>
      </c>
      <c r="E53" s="6278" t="s">
        <v>254</v>
      </c>
      <c r="F53" s="672">
        <v>0</v>
      </c>
      <c r="G53" s="350">
        <v>0</v>
      </c>
      <c r="H53" s="350">
        <v>0</v>
      </c>
      <c r="I53" s="350">
        <v>0</v>
      </c>
      <c r="J53" s="672"/>
      <c r="K53" s="673"/>
      <c r="L53" s="350"/>
      <c r="M53" s="350"/>
      <c r="N53" s="350"/>
      <c r="O53" s="672"/>
      <c r="P53" s="673"/>
      <c r="Q53" s="350"/>
      <c r="R53" s="350"/>
      <c r="S53" s="350"/>
      <c r="T53" s="95"/>
      <c r="U53" s="673"/>
      <c r="V53" s="672"/>
      <c r="W53" s="672"/>
      <c r="X53" s="672"/>
      <c r="Y53" s="672"/>
      <c r="Z53" s="675"/>
      <c r="AA53" s="672"/>
      <c r="AB53" s="672"/>
      <c r="AC53" s="672"/>
      <c r="AD53" s="672"/>
      <c r="AE53" s="582">
        <f>AC53-(AB53+AD53)</f>
        <v>0</v>
      </c>
      <c r="AF53" s="672"/>
      <c r="AG53" s="676"/>
      <c r="AH53" s="677"/>
      <c r="AI53" s="677"/>
      <c r="AJ53" s="677"/>
      <c r="AK53" s="105"/>
      <c r="AL53" s="106"/>
      <c r="AM53" s="129"/>
      <c r="AN53" s="417"/>
      <c r="AO53" s="130"/>
      <c r="AP53" s="417"/>
      <c r="AQ53" s="417"/>
      <c r="AR53" s="116"/>
      <c r="AS53" s="113"/>
      <c r="AT53" s="161">
        <v>89966</v>
      </c>
      <c r="AU53" s="161">
        <v>107000</v>
      </c>
      <c r="AV53" s="161">
        <v>17034</v>
      </c>
      <c r="AW53" s="116">
        <f>AV53/AU53</f>
        <v>0.15919626168224299</v>
      </c>
      <c r="AX53" s="669"/>
      <c r="AY53" s="587">
        <f t="shared" si="582"/>
        <v>89966</v>
      </c>
      <c r="AZ53" s="587">
        <f t="shared" si="583"/>
        <v>107000</v>
      </c>
      <c r="BA53" s="587">
        <f t="shared" si="584"/>
        <v>17034</v>
      </c>
      <c r="BB53" s="588">
        <f>BA53/AZ53</f>
        <v>0.15919626168224299</v>
      </c>
      <c r="BC53" s="684"/>
      <c r="BD53" s="679"/>
      <c r="BE53" s="679"/>
      <c r="BF53" s="679"/>
      <c r="BG53" s="679"/>
      <c r="BH53" s="680"/>
      <c r="BI53" s="684"/>
      <c r="BJ53" s="679"/>
      <c r="BK53" s="679"/>
      <c r="BL53" s="679"/>
      <c r="BM53" s="679"/>
      <c r="BN53" s="680"/>
      <c r="BO53" s="678"/>
      <c r="BP53" s="679"/>
      <c r="BQ53" s="679"/>
      <c r="BR53" s="679"/>
      <c r="BS53" s="582">
        <f>BQ53-(BP53+BR53)</f>
        <v>0</v>
      </c>
      <c r="BT53" s="736"/>
      <c r="BU53" s="678"/>
      <c r="BV53" s="592">
        <f>BQ53+BK53+BE53</f>
        <v>0</v>
      </c>
      <c r="BW53" s="592">
        <f>BS53+BM53+BG53</f>
        <v>0</v>
      </c>
      <c r="BX53" s="739"/>
      <c r="BY53" s="681"/>
      <c r="BZ53" s="682"/>
      <c r="CA53" s="682"/>
      <c r="CB53" s="682"/>
      <c r="CC53" s="682"/>
      <c r="CD53" s="683"/>
      <c r="CE53" s="684"/>
      <c r="CF53" s="679"/>
      <c r="CG53" s="679"/>
      <c r="CH53" s="679"/>
      <c r="CI53" s="118"/>
      <c r="CJ53" s="685"/>
      <c r="CK53" s="676"/>
      <c r="CL53" s="677"/>
      <c r="CM53" s="677"/>
      <c r="CN53" s="677"/>
      <c r="CO53" s="105"/>
      <c r="CP53" s="106"/>
      <c r="CQ53" s="226"/>
      <c r="CR53" s="146"/>
      <c r="CS53" s="146"/>
      <c r="CT53" s="118"/>
      <c r="CU53" s="118"/>
      <c r="CV53" s="119"/>
      <c r="CW53" s="127"/>
      <c r="CX53" s="128"/>
      <c r="CY53" s="128"/>
      <c r="CZ53" s="128"/>
      <c r="DA53" s="605">
        <f>CY53-(CX53+CZ53)</f>
        <v>0</v>
      </c>
      <c r="DB53" s="106"/>
      <c r="DC53" s="127"/>
      <c r="DD53" s="128"/>
      <c r="DE53" s="128"/>
      <c r="DF53" s="128"/>
      <c r="DG53" s="128"/>
      <c r="DH53" s="119"/>
      <c r="DI53" s="204"/>
      <c r="DJ53" s="202"/>
      <c r="DK53" s="202"/>
      <c r="DL53" s="119"/>
      <c r="DM53" s="202"/>
      <c r="DN53" s="119"/>
      <c r="DO53" s="686"/>
      <c r="DP53" s="146"/>
      <c r="DQ53" s="146"/>
      <c r="DR53" s="146"/>
      <c r="DS53" s="119"/>
      <c r="DT53" s="119"/>
      <c r="DU53" s="119"/>
      <c r="DV53" s="150"/>
      <c r="DW53" s="686"/>
      <c r="DX53" s="687"/>
      <c r="DY53" s="687"/>
      <c r="DZ53" s="687"/>
      <c r="EA53" s="119"/>
      <c r="EB53" s="119"/>
      <c r="EC53" s="119"/>
      <c r="ED53" s="150"/>
      <c r="EE53" s="127"/>
      <c r="EF53" s="128"/>
      <c r="EG53" s="128"/>
      <c r="EH53" s="128"/>
      <c r="EI53" s="605"/>
      <c r="EJ53" s="106"/>
      <c r="EK53" s="127"/>
      <c r="EL53" s="128"/>
      <c r="EM53" s="128"/>
      <c r="EN53" s="128"/>
      <c r="EO53" s="128"/>
      <c r="EP53" s="119"/>
      <c r="EQ53" s="127"/>
      <c r="ER53" s="128"/>
      <c r="ES53" s="128"/>
      <c r="ET53" s="128"/>
      <c r="EU53" s="134">
        <f>ES53-(ER53+ET53)</f>
        <v>0</v>
      </c>
      <c r="EV53" s="106"/>
      <c r="EW53" s="127"/>
      <c r="EX53" s="128"/>
      <c r="EY53" s="128"/>
      <c r="EZ53" s="128"/>
      <c r="FA53" s="128"/>
      <c r="FB53" s="119"/>
      <c r="FC53" s="686"/>
      <c r="FD53" s="146"/>
      <c r="FE53" s="146"/>
      <c r="FF53" s="146"/>
      <c r="FG53" s="119"/>
      <c r="FH53" s="119"/>
      <c r="FI53" s="119"/>
      <c r="FJ53" s="150"/>
      <c r="FK53" s="226"/>
      <c r="FL53" s="118"/>
      <c r="FM53" s="118"/>
      <c r="FN53" s="118"/>
      <c r="FO53" s="118"/>
      <c r="FP53" s="119"/>
      <c r="FQ53" s="226"/>
      <c r="FR53" s="118"/>
      <c r="FS53" s="118"/>
      <c r="FT53" s="189"/>
      <c r="FU53" s="119"/>
      <c r="FV53" s="188"/>
      <c r="FW53" s="189"/>
      <c r="FX53" s="189"/>
      <c r="FY53" s="189"/>
      <c r="FZ53" s="189"/>
      <c r="GA53" s="119"/>
      <c r="GB53" s="119"/>
      <c r="GC53" s="119"/>
      <c r="GD53" s="150"/>
      <c r="GE53" s="188"/>
      <c r="GF53" s="189"/>
      <c r="GG53" s="189"/>
      <c r="GH53" s="119"/>
      <c r="GI53" s="189"/>
      <c r="GJ53" s="188"/>
      <c r="GK53" s="189"/>
      <c r="GL53" s="189"/>
      <c r="GM53" s="189"/>
      <c r="GN53" s="226"/>
      <c r="GO53" s="118"/>
      <c r="GP53" s="118"/>
      <c r="GQ53" s="118"/>
      <c r="GR53" s="134">
        <f>GP53-(GO53+GQ53)</f>
        <v>0</v>
      </c>
      <c r="GS53" s="119"/>
      <c r="GT53" s="226"/>
      <c r="GU53" s="118"/>
      <c r="GV53" s="118"/>
      <c r="GW53" s="118"/>
      <c r="GX53" s="188"/>
      <c r="GY53" s="150"/>
      <c r="GZ53" s="688"/>
      <c r="HA53" s="688"/>
      <c r="HB53" s="688"/>
      <c r="HC53" s="130"/>
      <c r="HD53" s="134">
        <f>HB53-(HA53+HC53)</f>
        <v>0</v>
      </c>
      <c r="HE53" s="150"/>
      <c r="HF53" s="138"/>
      <c r="HG53" s="130"/>
      <c r="HH53" s="130"/>
      <c r="HI53" s="130"/>
      <c r="HJ53" s="197">
        <f>HD53-SUM(HF53:HI53)</f>
        <v>0</v>
      </c>
      <c r="HK53" s="201"/>
      <c r="HL53" s="147"/>
      <c r="HM53" s="148"/>
      <c r="HN53" s="148"/>
      <c r="HO53" s="148"/>
      <c r="HP53" s="615">
        <f>HN53-(HM53+HO53)</f>
        <v>0</v>
      </c>
      <c r="HQ53" s="201"/>
      <c r="HR53" s="148"/>
      <c r="HS53" s="148"/>
      <c r="HT53" s="148"/>
      <c r="HU53" s="148"/>
      <c r="HV53" s="709"/>
      <c r="HW53" s="712"/>
      <c r="HX53" s="737"/>
      <c r="HY53" s="241">
        <f>HN53+HB53+GP53</f>
        <v>0</v>
      </c>
      <c r="HZ53" s="415">
        <f>HP53+HD53+GR53</f>
        <v>0</v>
      </c>
      <c r="IA53" s="241"/>
      <c r="IB53" s="738"/>
      <c r="IC53" s="618"/>
      <c r="ID53" s="745"/>
      <c r="IE53" s="141">
        <f t="shared" si="512"/>
        <v>0</v>
      </c>
      <c r="IF53" s="141">
        <f t="shared" si="513"/>
        <v>0</v>
      </c>
      <c r="IG53" s="74" t="e">
        <f t="shared" si="602"/>
        <v>#DIV/0!</v>
      </c>
      <c r="IH53" s="1509"/>
      <c r="II53" s="69"/>
      <c r="IJ53" s="133"/>
      <c r="IK53" s="134"/>
      <c r="IL53" s="134"/>
      <c r="IM53" s="134">
        <v>0</v>
      </c>
      <c r="IN53" s="133">
        <f>IL53-(IK53+IM53)</f>
        <v>0</v>
      </c>
      <c r="IO53" s="151"/>
      <c r="IP53" s="134">
        <v>0</v>
      </c>
      <c r="IQ53" s="134">
        <v>0</v>
      </c>
      <c r="IR53" s="134">
        <v>0</v>
      </c>
      <c r="IS53" s="737"/>
      <c r="IT53" s="738"/>
      <c r="IU53" s="390"/>
      <c r="IV53" s="134"/>
      <c r="IW53" s="134"/>
      <c r="IX53" s="134">
        <v>0</v>
      </c>
      <c r="IY53" s="133"/>
      <c r="IZ53" s="151"/>
      <c r="JA53" s="134">
        <v>0</v>
      </c>
      <c r="JB53" s="134">
        <v>0</v>
      </c>
      <c r="JC53" s="134">
        <v>0</v>
      </c>
      <c r="JD53" s="190">
        <f>IY53-SUM(JA53:JC53)</f>
        <v>0</v>
      </c>
      <c r="JE53" s="196">
        <v>0</v>
      </c>
      <c r="JF53" s="390"/>
      <c r="JG53" s="134"/>
      <c r="JH53" s="134"/>
      <c r="JI53" s="134"/>
      <c r="JJ53" s="133"/>
      <c r="JK53" s="151"/>
      <c r="JL53" s="134">
        <v>0</v>
      </c>
      <c r="JM53" s="134">
        <v>0</v>
      </c>
      <c r="JN53" s="134">
        <v>0</v>
      </c>
      <c r="JO53" s="190">
        <f>JJ53-SUM(JL53:JN53)</f>
        <v>0</v>
      </c>
      <c r="JP53" s="196">
        <v>0</v>
      </c>
      <c r="JQ53" s="390"/>
      <c r="JR53" s="191">
        <f t="shared" si="575"/>
        <v>0</v>
      </c>
      <c r="JS53" s="191">
        <f t="shared" si="576"/>
        <v>0</v>
      </c>
      <c r="JT53" s="151"/>
      <c r="JU53" s="390"/>
      <c r="JV53" s="134"/>
      <c r="JW53" s="134"/>
      <c r="JX53" s="134"/>
      <c r="JY53" s="133">
        <f t="shared" si="560"/>
        <v>0</v>
      </c>
      <c r="JZ53" s="151"/>
      <c r="KA53" s="134"/>
      <c r="KB53" s="134"/>
      <c r="KC53" s="134">
        <v>0</v>
      </c>
      <c r="KD53" s="190">
        <f>JY53-SUM(KA53:KC53)</f>
        <v>0</v>
      </c>
      <c r="KE53" s="196">
        <v>0</v>
      </c>
      <c r="KF53" s="390"/>
      <c r="KG53" s="134"/>
      <c r="KH53" s="134"/>
      <c r="KI53" s="134"/>
      <c r="KJ53" s="133">
        <f t="shared" si="563"/>
        <v>0</v>
      </c>
      <c r="KK53" s="151"/>
      <c r="KL53" s="134"/>
      <c r="KM53" s="134"/>
      <c r="KN53" s="134">
        <v>0</v>
      </c>
      <c r="KO53" s="190">
        <f>KJ53-SUM(KL53:KN53)</f>
        <v>0</v>
      </c>
      <c r="KP53" s="196">
        <v>0</v>
      </c>
      <c r="KQ53" s="390"/>
      <c r="KR53" s="134"/>
      <c r="KS53" s="134"/>
      <c r="KT53" s="134"/>
      <c r="KU53" s="133">
        <f t="shared" si="566"/>
        <v>0</v>
      </c>
      <c r="KV53" s="151"/>
      <c r="KW53" s="134"/>
      <c r="KX53" s="134"/>
      <c r="KY53" s="134">
        <v>0</v>
      </c>
      <c r="KZ53" s="190">
        <f>KU53-SUM(KW53:KY53)</f>
        <v>0</v>
      </c>
      <c r="LA53" s="196">
        <v>0</v>
      </c>
      <c r="LB53" s="402"/>
      <c r="LC53" s="191">
        <f t="shared" si="517"/>
        <v>0</v>
      </c>
      <c r="LD53" s="191">
        <f t="shared" si="518"/>
        <v>0</v>
      </c>
      <c r="LE53" s="151"/>
      <c r="LF53" s="226">
        <f t="shared" si="519"/>
        <v>0</v>
      </c>
      <c r="LG53" s="128">
        <f t="shared" si="520"/>
        <v>0</v>
      </c>
      <c r="LH53" s="139">
        <f t="shared" si="521"/>
        <v>0</v>
      </c>
      <c r="LI53" s="718">
        <v>0</v>
      </c>
      <c r="LJ53" s="718">
        <v>0</v>
      </c>
      <c r="LK53" s="699">
        <v>0</v>
      </c>
      <c r="LL53" s="390"/>
      <c r="LM53" s="134"/>
      <c r="LN53" s="134"/>
      <c r="LO53" s="134"/>
      <c r="LP53" s="133">
        <f t="shared" si="522"/>
        <v>0</v>
      </c>
      <c r="LQ53" s="151"/>
      <c r="LR53" s="134"/>
      <c r="LS53" s="134"/>
      <c r="LT53" s="134">
        <v>0</v>
      </c>
      <c r="LU53" s="190">
        <f>LP53-SUM(LR53:LT53)</f>
        <v>0</v>
      </c>
      <c r="LV53" s="196">
        <v>0</v>
      </c>
      <c r="LW53" s="134"/>
      <c r="LX53" s="134"/>
      <c r="LY53" s="134"/>
      <c r="LZ53" s="134"/>
      <c r="MA53" s="133">
        <f t="shared" si="524"/>
        <v>0</v>
      </c>
      <c r="MB53" s="151"/>
      <c r="MC53" s="134"/>
      <c r="MD53" s="134"/>
      <c r="ME53" s="134">
        <v>0</v>
      </c>
      <c r="MF53" s="190">
        <f t="shared" si="525"/>
        <v>0</v>
      </c>
      <c r="MG53" s="151" t="e">
        <f t="shared" si="682"/>
        <v>#DIV/0!</v>
      </c>
      <c r="MH53" s="134"/>
      <c r="MI53" s="134"/>
      <c r="MJ53" s="134"/>
      <c r="MK53" s="134"/>
      <c r="ML53" s="133">
        <f t="shared" si="526"/>
        <v>0</v>
      </c>
      <c r="MM53" s="151"/>
      <c r="MN53" s="134"/>
      <c r="MO53" s="134"/>
      <c r="MP53" s="134">
        <v>0</v>
      </c>
      <c r="MQ53" s="190">
        <f t="shared" si="527"/>
        <v>0</v>
      </c>
      <c r="MR53" s="151" t="e">
        <f t="shared" si="683"/>
        <v>#DIV/0!</v>
      </c>
      <c r="MS53" s="1472"/>
      <c r="MT53" s="118">
        <f t="shared" si="528"/>
        <v>0</v>
      </c>
      <c r="MU53" s="118">
        <f t="shared" si="529"/>
        <v>0</v>
      </c>
      <c r="MV53" s="135"/>
      <c r="MW53" s="133">
        <f t="shared" si="530"/>
        <v>0</v>
      </c>
      <c r="MX53" s="134">
        <f t="shared" si="531"/>
        <v>0</v>
      </c>
      <c r="MY53" s="134">
        <f t="shared" si="532"/>
        <v>0</v>
      </c>
      <c r="MZ53" s="135"/>
      <c r="NA53" s="135"/>
      <c r="NB53" s="151"/>
      <c r="NC53" s="134"/>
      <c r="ND53" s="134"/>
      <c r="NE53" s="134"/>
      <c r="NF53" s="134"/>
      <c r="NG53" s="133">
        <f t="shared" si="534"/>
        <v>0</v>
      </c>
      <c r="NH53" s="151"/>
      <c r="NI53" s="134"/>
      <c r="NJ53" s="134"/>
      <c r="NK53" s="134">
        <v>0</v>
      </c>
      <c r="NL53" s="190">
        <f t="shared" si="535"/>
        <v>0</v>
      </c>
      <c r="NM53" s="135" t="e">
        <f t="shared" si="684"/>
        <v>#DIV/0!</v>
      </c>
      <c r="NN53" s="1563"/>
      <c r="NO53" s="134"/>
      <c r="NP53" s="134"/>
      <c r="NQ53" s="134"/>
      <c r="NR53" s="133">
        <f t="shared" si="536"/>
        <v>0</v>
      </c>
      <c r="NS53" s="151"/>
      <c r="NT53" s="134">
        <v>0</v>
      </c>
      <c r="NU53" s="134"/>
      <c r="NV53" s="134">
        <v>0</v>
      </c>
      <c r="NW53" s="190">
        <f t="shared" si="537"/>
        <v>0</v>
      </c>
      <c r="NX53" s="135" t="e">
        <f t="shared" si="685"/>
        <v>#DIV/0!</v>
      </c>
      <c r="NY53" s="1563"/>
      <c r="NZ53" s="134"/>
      <c r="OA53" s="134"/>
      <c r="OB53" s="134"/>
      <c r="OC53" s="133">
        <f t="shared" si="538"/>
        <v>0</v>
      </c>
      <c r="OD53" s="151"/>
      <c r="OE53" s="134">
        <v>0</v>
      </c>
      <c r="OF53" s="134"/>
      <c r="OG53" s="134">
        <v>0</v>
      </c>
      <c r="OH53" s="190">
        <f t="shared" si="539"/>
        <v>0</v>
      </c>
      <c r="OI53" s="5380" t="e">
        <f t="shared" si="686"/>
        <v>#DIV/0!</v>
      </c>
      <c r="OJ53" s="69"/>
      <c r="OK53" s="155">
        <f t="shared" si="540"/>
        <v>0</v>
      </c>
      <c r="OL53" s="155">
        <f t="shared" si="541"/>
        <v>0</v>
      </c>
      <c r="OM53" s="74" t="e">
        <f t="shared" si="542"/>
        <v>#DIV/0!</v>
      </c>
      <c r="ON53" s="155">
        <f t="shared" si="543"/>
        <v>0</v>
      </c>
      <c r="OO53" s="70"/>
      <c r="OP53" s="69"/>
      <c r="OQ53" s="1563"/>
      <c r="OR53" s="134"/>
      <c r="OS53" s="134"/>
      <c r="OT53" s="134"/>
      <c r="OU53" s="133">
        <f>OS53-(OR53+OT53)</f>
        <v>0</v>
      </c>
      <c r="OV53" s="94"/>
      <c r="OW53" s="134">
        <v>0</v>
      </c>
      <c r="OX53" s="134">
        <v>0</v>
      </c>
      <c r="OY53" s="134">
        <v>0</v>
      </c>
      <c r="OZ53" s="190">
        <f t="shared" si="545"/>
        <v>0</v>
      </c>
      <c r="PA53" s="5372" t="e">
        <f t="shared" si="693"/>
        <v>#DIV/0!</v>
      </c>
      <c r="PB53" s="5320"/>
      <c r="PC53" s="134"/>
      <c r="PD53" s="134"/>
      <c r="PE53" s="134">
        <v>0</v>
      </c>
      <c r="PF53" s="133"/>
      <c r="PG53" s="94"/>
      <c r="PH53" s="134">
        <v>0</v>
      </c>
      <c r="PI53" s="134">
        <v>0</v>
      </c>
      <c r="PJ53" s="134">
        <v>0</v>
      </c>
      <c r="PK53" s="190">
        <v>0</v>
      </c>
      <c r="PL53" s="152">
        <v>0</v>
      </c>
      <c r="PM53" s="5379"/>
      <c r="PN53" s="134"/>
      <c r="PO53" s="134"/>
      <c r="PP53" s="134"/>
      <c r="PQ53" s="6293"/>
      <c r="PR53" s="6295"/>
      <c r="PS53" s="134">
        <v>0</v>
      </c>
      <c r="PT53" s="134">
        <v>0</v>
      </c>
      <c r="PU53" s="134">
        <v>0</v>
      </c>
      <c r="PV53" s="190">
        <f t="shared" si="265"/>
        <v>0</v>
      </c>
      <c r="PW53" s="5381">
        <v>0</v>
      </c>
      <c r="PX53" s="5320"/>
      <c r="PY53" s="191">
        <f t="shared" si="578"/>
        <v>0</v>
      </c>
      <c r="PZ53" s="191">
        <f t="shared" si="579"/>
        <v>0</v>
      </c>
      <c r="QA53" s="135"/>
      <c r="QB53" s="5379"/>
      <c r="QC53" s="134"/>
      <c r="QD53" s="134"/>
      <c r="QE53" s="134"/>
      <c r="QF53" s="6293">
        <f t="shared" si="270"/>
        <v>0</v>
      </c>
      <c r="QG53" s="6296"/>
      <c r="QH53" s="134"/>
      <c r="QI53" s="134"/>
      <c r="QJ53" s="134">
        <v>0</v>
      </c>
      <c r="QK53" s="190">
        <f>QF53-SUM(QH53:QJ53)</f>
        <v>0</v>
      </c>
      <c r="QL53" s="5381">
        <v>0</v>
      </c>
      <c r="QM53" s="5379"/>
      <c r="QN53" s="134"/>
      <c r="QO53" s="134"/>
      <c r="QP53" s="134"/>
      <c r="QQ53" s="133">
        <f t="shared" si="691"/>
        <v>0</v>
      </c>
      <c r="QR53" s="151"/>
      <c r="QS53" s="134"/>
      <c r="QT53" s="134">
        <v>0</v>
      </c>
      <c r="QU53" s="134">
        <v>0</v>
      </c>
      <c r="QV53" s="190">
        <f>QQ53-SUM(QS53:QU53)</f>
        <v>0</v>
      </c>
      <c r="QW53" s="5381">
        <v>0</v>
      </c>
      <c r="QX53" s="5379"/>
      <c r="QY53" s="134">
        <v>0</v>
      </c>
      <c r="QZ53" s="134">
        <v>0</v>
      </c>
      <c r="RA53" s="134"/>
      <c r="RB53" s="133">
        <f t="shared" si="692"/>
        <v>0</v>
      </c>
      <c r="RC53" s="151"/>
      <c r="RD53" s="134"/>
      <c r="RE53" s="134"/>
      <c r="RF53" s="134">
        <v>0</v>
      </c>
      <c r="RG53" s="190">
        <f>RB53-SUM(RD53:RF53)</f>
        <v>0</v>
      </c>
      <c r="RH53" s="5381">
        <v>0</v>
      </c>
      <c r="RI53" s="5376"/>
      <c r="RJ53" s="191">
        <f t="shared" si="548"/>
        <v>0</v>
      </c>
      <c r="RK53" s="191">
        <f t="shared" si="668"/>
        <v>0</v>
      </c>
      <c r="RL53" s="5380"/>
      <c r="RM53" s="1562">
        <f t="shared" si="550"/>
        <v>0</v>
      </c>
      <c r="RN53" s="128">
        <f t="shared" si="551"/>
        <v>0</v>
      </c>
      <c r="RO53" s="139">
        <f t="shared" si="552"/>
        <v>0</v>
      </c>
      <c r="RP53" s="718">
        <v>0</v>
      </c>
      <c r="RQ53" s="718">
        <v>0</v>
      </c>
      <c r="RR53" s="6348">
        <v>0</v>
      </c>
      <c r="RS53" s="6327"/>
      <c r="RT53" s="130">
        <v>0</v>
      </c>
      <c r="RU53" s="130">
        <v>0</v>
      </c>
      <c r="RV53" s="3546"/>
      <c r="RW53" s="133">
        <f t="shared" si="669"/>
        <v>0</v>
      </c>
      <c r="RX53" s="151"/>
      <c r="RY53" s="134"/>
      <c r="RZ53" s="134"/>
      <c r="SA53" s="134">
        <v>0</v>
      </c>
      <c r="SB53" s="190">
        <f>RW53-SUM(RY53:SA53)</f>
        <v>0</v>
      </c>
      <c r="SC53" s="5381"/>
      <c r="SD53" s="5405"/>
      <c r="SE53" s="130"/>
      <c r="SF53" s="130"/>
      <c r="SG53" s="606"/>
      <c r="SH53" s="6361">
        <f t="shared" si="572"/>
        <v>0</v>
      </c>
      <c r="SI53" s="6363" t="e">
        <f t="shared" si="671"/>
        <v>#DIV/0!</v>
      </c>
      <c r="SJ53" s="134"/>
      <c r="SK53" s="134"/>
      <c r="SL53" s="134">
        <v>0</v>
      </c>
      <c r="SM53" s="188">
        <f t="shared" si="289"/>
        <v>0</v>
      </c>
      <c r="SN53" s="5389" t="e">
        <f t="shared" si="290"/>
        <v>#DIV/0!</v>
      </c>
      <c r="SO53" s="134"/>
      <c r="SP53" s="134"/>
      <c r="SQ53" s="134"/>
      <c r="SR53" s="134"/>
      <c r="SS53" s="6361">
        <f t="shared" si="672"/>
        <v>0</v>
      </c>
      <c r="ST53" s="6363"/>
      <c r="SU53" s="134"/>
      <c r="SV53" s="134"/>
      <c r="SW53" s="134">
        <v>0</v>
      </c>
      <c r="SX53" s="190">
        <f t="shared" si="673"/>
        <v>0</v>
      </c>
      <c r="SY53" s="5380" t="e">
        <f t="shared" si="687"/>
        <v>#DIV/0!</v>
      </c>
      <c r="SZ53" s="6270"/>
      <c r="TA53" s="118">
        <f t="shared" si="674"/>
        <v>0</v>
      </c>
      <c r="TB53" s="118">
        <f t="shared" si="675"/>
        <v>0</v>
      </c>
      <c r="TC53" s="5380"/>
      <c r="TD53" s="1563"/>
      <c r="TE53" s="134"/>
      <c r="TF53" s="134"/>
      <c r="TG53" s="134"/>
      <c r="TH53" s="133">
        <f t="shared" si="676"/>
        <v>0</v>
      </c>
      <c r="TI53" s="151"/>
      <c r="TJ53" s="134"/>
      <c r="TK53" s="134">
        <v>0</v>
      </c>
      <c r="TL53" s="134"/>
      <c r="TM53" s="190">
        <f t="shared" si="677"/>
        <v>0</v>
      </c>
      <c r="TN53" s="5380" t="e">
        <f t="shared" si="688"/>
        <v>#DIV/0!</v>
      </c>
      <c r="TO53" s="134"/>
      <c r="TP53" s="134"/>
      <c r="TQ53" s="134"/>
      <c r="TR53" s="134"/>
      <c r="TS53" s="133">
        <f t="shared" si="678"/>
        <v>0</v>
      </c>
      <c r="TT53" s="151"/>
      <c r="TU53" s="134">
        <v>0</v>
      </c>
      <c r="TV53" s="134"/>
      <c r="TW53" s="134">
        <v>0</v>
      </c>
      <c r="TX53" s="190">
        <f t="shared" si="679"/>
        <v>0</v>
      </c>
      <c r="TY53" s="135" t="e">
        <f t="shared" si="689"/>
        <v>#DIV/0!</v>
      </c>
      <c r="TZ53" s="1563"/>
      <c r="UA53" s="134"/>
      <c r="UB53" s="134"/>
      <c r="UC53" s="134"/>
      <c r="UD53" s="133">
        <f t="shared" si="680"/>
        <v>0</v>
      </c>
      <c r="UE53" s="151"/>
      <c r="UF53" s="134">
        <v>0</v>
      </c>
      <c r="UG53" s="134"/>
      <c r="UH53" s="134">
        <v>0</v>
      </c>
      <c r="UI53" s="190">
        <f t="shared" si="681"/>
        <v>0</v>
      </c>
      <c r="UJ53" s="5380" t="e">
        <f t="shared" si="690"/>
        <v>#DIV/0!</v>
      </c>
      <c r="UK53" s="5376"/>
      <c r="UL53" s="191">
        <f t="shared" si="284"/>
        <v>0</v>
      </c>
      <c r="UM53" s="191">
        <f t="shared" si="285"/>
        <v>0</v>
      </c>
      <c r="UN53" s="135" t="e">
        <f t="shared" si="484"/>
        <v>#DIV/0!</v>
      </c>
      <c r="UO53" s="191">
        <f t="shared" si="286"/>
        <v>0</v>
      </c>
      <c r="UP53" s="4952"/>
    </row>
    <row r="54" spans="1:581" x14ac:dyDescent="0.3">
      <c r="A54" s="5316"/>
      <c r="B54" s="5362"/>
      <c r="C54" s="719"/>
      <c r="D54" s="719"/>
      <c r="E54" s="6279"/>
      <c r="F54" s="71"/>
      <c r="G54" s="160"/>
      <c r="H54" s="160"/>
      <c r="I54" s="160"/>
      <c r="J54" s="71"/>
      <c r="K54" s="628"/>
      <c r="L54" s="160"/>
      <c r="M54" s="160"/>
      <c r="N54" s="160"/>
      <c r="O54" s="71"/>
      <c r="P54" s="628"/>
      <c r="Q54" s="160"/>
      <c r="R54" s="160"/>
      <c r="S54" s="160"/>
      <c r="T54" s="7"/>
      <c r="U54" s="628"/>
      <c r="V54" s="71"/>
      <c r="W54" s="71"/>
      <c r="X54" s="71"/>
      <c r="Y54" s="71"/>
      <c r="Z54" s="629"/>
      <c r="AA54" s="71"/>
      <c r="AB54" s="71"/>
      <c r="AC54" s="71"/>
      <c r="AD54" s="71"/>
      <c r="AE54" s="690"/>
      <c r="AF54" s="71"/>
      <c r="AG54" s="630"/>
      <c r="AH54" s="631"/>
      <c r="AI54" s="631"/>
      <c r="AJ54" s="631"/>
      <c r="AK54" s="700"/>
      <c r="AL54" s="632"/>
      <c r="AM54" s="131"/>
      <c r="AN54" s="429"/>
      <c r="AO54" s="132"/>
      <c r="AP54" s="429"/>
      <c r="AQ54" s="429"/>
      <c r="AR54" s="701"/>
      <c r="AS54" s="667"/>
      <c r="AT54" s="380"/>
      <c r="AU54" s="380"/>
      <c r="AV54" s="380"/>
      <c r="AW54" s="116"/>
      <c r="AX54" s="702"/>
      <c r="AY54" s="703"/>
      <c r="AZ54" s="703"/>
      <c r="BA54" s="703"/>
      <c r="BB54" s="704"/>
      <c r="BC54" s="694"/>
      <c r="BD54" s="690"/>
      <c r="BE54" s="690"/>
      <c r="BF54" s="690"/>
      <c r="BG54" s="690"/>
      <c r="BH54" s="589"/>
      <c r="BI54" s="694"/>
      <c r="BJ54" s="690"/>
      <c r="BK54" s="690"/>
      <c r="BL54" s="690"/>
      <c r="BM54" s="690"/>
      <c r="BN54" s="589"/>
      <c r="BO54" s="689"/>
      <c r="BP54" s="690"/>
      <c r="BQ54" s="690"/>
      <c r="BR54" s="690"/>
      <c r="BS54" s="690"/>
      <c r="BT54" s="705"/>
      <c r="BU54" s="689"/>
      <c r="BV54" s="592"/>
      <c r="BW54" s="592"/>
      <c r="BX54" s="593"/>
      <c r="BY54" s="691"/>
      <c r="BZ54" s="692"/>
      <c r="CA54" s="692"/>
      <c r="CB54" s="692"/>
      <c r="CC54" s="692"/>
      <c r="CD54" s="693"/>
      <c r="CE54" s="694"/>
      <c r="CF54" s="690"/>
      <c r="CG54" s="690"/>
      <c r="CH54" s="690"/>
      <c r="CI54" s="109"/>
      <c r="CJ54" s="695"/>
      <c r="CK54" s="630"/>
      <c r="CL54" s="631"/>
      <c r="CM54" s="631"/>
      <c r="CN54" s="631"/>
      <c r="CO54" s="700"/>
      <c r="CP54" s="632"/>
      <c r="CQ54" s="165"/>
      <c r="CR54" s="644"/>
      <c r="CS54" s="644"/>
      <c r="CT54" s="109"/>
      <c r="CU54" s="109"/>
      <c r="CV54" s="74"/>
      <c r="CW54" s="638"/>
      <c r="CX54" s="639"/>
      <c r="CY54" s="639"/>
      <c r="CZ54" s="639"/>
      <c r="DA54" s="605"/>
      <c r="DB54" s="632"/>
      <c r="DC54" s="638"/>
      <c r="DD54" s="639"/>
      <c r="DE54" s="639"/>
      <c r="DF54" s="639"/>
      <c r="DG54" s="639"/>
      <c r="DH54" s="74"/>
      <c r="DI54" s="642"/>
      <c r="DJ54" s="141"/>
      <c r="DK54" s="141"/>
      <c r="DL54" s="74"/>
      <c r="DM54" s="141"/>
      <c r="DN54" s="74"/>
      <c r="DO54" s="643"/>
      <c r="DP54" s="644"/>
      <c r="DQ54" s="644"/>
      <c r="DR54" s="644"/>
      <c r="DS54" s="74"/>
      <c r="DT54" s="74"/>
      <c r="DU54" s="74"/>
      <c r="DV54" s="73"/>
      <c r="DW54" s="643"/>
      <c r="DX54" s="706"/>
      <c r="DY54" s="706"/>
      <c r="DZ54" s="706"/>
      <c r="EA54" s="74"/>
      <c r="EB54" s="74"/>
      <c r="EC54" s="74"/>
      <c r="ED54" s="73"/>
      <c r="EE54" s="638"/>
      <c r="EF54" s="639"/>
      <c r="EG54" s="639"/>
      <c r="EH54" s="639"/>
      <c r="EI54" s="707"/>
      <c r="EJ54" s="632"/>
      <c r="EK54" s="638"/>
      <c r="EL54" s="639"/>
      <c r="EM54" s="639"/>
      <c r="EN54" s="639"/>
      <c r="EO54" s="639"/>
      <c r="EP54" s="74"/>
      <c r="EQ54" s="638"/>
      <c r="ER54" s="639"/>
      <c r="ES54" s="639"/>
      <c r="ET54" s="639"/>
      <c r="EU54" s="134"/>
      <c r="EV54" s="632"/>
      <c r="EW54" s="638"/>
      <c r="EX54" s="639"/>
      <c r="EY54" s="639"/>
      <c r="EZ54" s="639"/>
      <c r="FA54" s="639"/>
      <c r="FB54" s="74"/>
      <c r="FC54" s="643"/>
      <c r="FD54" s="644"/>
      <c r="FE54" s="644"/>
      <c r="FF54" s="644"/>
      <c r="FG54" s="74"/>
      <c r="FH54" s="74"/>
      <c r="FI54" s="74"/>
      <c r="FJ54" s="73"/>
      <c r="FK54" s="165"/>
      <c r="FL54" s="109"/>
      <c r="FM54" s="109"/>
      <c r="FN54" s="109"/>
      <c r="FO54" s="109"/>
      <c r="FP54" s="74"/>
      <c r="FQ54" s="165"/>
      <c r="FR54" s="109"/>
      <c r="FS54" s="109"/>
      <c r="FT54" s="155"/>
      <c r="FU54" s="74"/>
      <c r="FV54" s="187"/>
      <c r="FW54" s="155"/>
      <c r="FX54" s="155"/>
      <c r="FY54" s="155"/>
      <c r="FZ54" s="155"/>
      <c r="GA54" s="74"/>
      <c r="GB54" s="74"/>
      <c r="GC54" s="74"/>
      <c r="GD54" s="73"/>
      <c r="GE54" s="187"/>
      <c r="GF54" s="155"/>
      <c r="GG54" s="155"/>
      <c r="GH54" s="74"/>
      <c r="GI54" s="155"/>
      <c r="GJ54" s="187"/>
      <c r="GK54" s="155"/>
      <c r="GL54" s="155"/>
      <c r="GM54" s="155"/>
      <c r="GN54" s="165"/>
      <c r="GO54" s="109"/>
      <c r="GP54" s="109"/>
      <c r="GQ54" s="109"/>
      <c r="GR54" s="134"/>
      <c r="GS54" s="74"/>
      <c r="GT54" s="165"/>
      <c r="GU54" s="109"/>
      <c r="GV54" s="109"/>
      <c r="GW54" s="109"/>
      <c r="GX54" s="187"/>
      <c r="GY54" s="73"/>
      <c r="GZ54" s="708"/>
      <c r="HA54" s="708"/>
      <c r="HB54" s="708"/>
      <c r="HC54" s="130"/>
      <c r="HD54" s="134"/>
      <c r="HE54" s="73"/>
      <c r="HF54" s="138"/>
      <c r="HG54" s="130"/>
      <c r="HH54" s="130"/>
      <c r="HI54" s="130"/>
      <c r="HJ54" s="197"/>
      <c r="HK54" s="201"/>
      <c r="HL54" s="147"/>
      <c r="HM54" s="148"/>
      <c r="HN54" s="148"/>
      <c r="HO54" s="148"/>
      <c r="HP54" s="615"/>
      <c r="HQ54" s="201"/>
      <c r="HR54" s="148"/>
      <c r="HS54" s="148"/>
      <c r="HT54" s="148"/>
      <c r="HU54" s="148"/>
      <c r="HV54" s="709"/>
      <c r="HW54" s="712"/>
      <c r="HX54" s="710"/>
      <c r="HY54" s="711"/>
      <c r="HZ54" s="1510"/>
      <c r="IA54" s="711"/>
      <c r="IB54" s="712"/>
      <c r="IC54" s="618"/>
      <c r="ID54" s="745"/>
      <c r="IE54" s="141">
        <f t="shared" si="512"/>
        <v>0</v>
      </c>
      <c r="IF54" s="141">
        <f t="shared" si="513"/>
        <v>0</v>
      </c>
      <c r="IG54" s="74" t="e">
        <f t="shared" si="602"/>
        <v>#DIV/0!</v>
      </c>
      <c r="IH54" s="1509"/>
      <c r="II54" s="69"/>
      <c r="IJ54" s="147"/>
      <c r="IK54" s="148"/>
      <c r="IL54" s="148"/>
      <c r="IM54" s="148"/>
      <c r="IN54" s="133"/>
      <c r="IO54" s="201"/>
      <c r="IP54" s="148"/>
      <c r="IQ54" s="148"/>
      <c r="IR54" s="148"/>
      <c r="IS54" s="710"/>
      <c r="IT54" s="712"/>
      <c r="IU54" s="713"/>
      <c r="IV54" s="148"/>
      <c r="IW54" s="148"/>
      <c r="IX54" s="148"/>
      <c r="IY54" s="147"/>
      <c r="IZ54" s="201"/>
      <c r="JA54" s="148"/>
      <c r="JB54" s="148"/>
      <c r="JC54" s="148"/>
      <c r="JD54" s="190"/>
      <c r="JE54" s="196"/>
      <c r="JF54" s="713"/>
      <c r="JG54" s="148"/>
      <c r="JH54" s="148"/>
      <c r="JI54" s="148"/>
      <c r="JJ54" s="147"/>
      <c r="JK54" s="201"/>
      <c r="JL54" s="148"/>
      <c r="JM54" s="148"/>
      <c r="JN54" s="148"/>
      <c r="JO54" s="190"/>
      <c r="JP54" s="151"/>
      <c r="JQ54" s="713"/>
      <c r="JR54" s="191"/>
      <c r="JS54" s="191"/>
      <c r="JT54" s="201"/>
      <c r="JU54" s="713"/>
      <c r="JV54" s="148"/>
      <c r="JW54" s="148"/>
      <c r="JX54" s="148"/>
      <c r="JY54" s="147"/>
      <c r="JZ54" s="201"/>
      <c r="KA54" s="148"/>
      <c r="KB54" s="148"/>
      <c r="KC54" s="148"/>
      <c r="KD54" s="190"/>
      <c r="KE54" s="151"/>
      <c r="KF54" s="713"/>
      <c r="KG54" s="148"/>
      <c r="KH54" s="148"/>
      <c r="KI54" s="148"/>
      <c r="KJ54" s="147"/>
      <c r="KK54" s="201"/>
      <c r="KL54" s="148"/>
      <c r="KM54" s="148"/>
      <c r="KN54" s="148"/>
      <c r="KO54" s="190"/>
      <c r="KP54" s="151"/>
      <c r="KQ54" s="713"/>
      <c r="KR54" s="148"/>
      <c r="KS54" s="148"/>
      <c r="KT54" s="148"/>
      <c r="KU54" s="147"/>
      <c r="KV54" s="201"/>
      <c r="KW54" s="148"/>
      <c r="KX54" s="148"/>
      <c r="KY54" s="148"/>
      <c r="KZ54" s="190"/>
      <c r="LA54" s="151"/>
      <c r="LB54" s="402"/>
      <c r="LC54" s="191">
        <f t="shared" si="517"/>
        <v>0</v>
      </c>
      <c r="LD54" s="191">
        <f t="shared" si="518"/>
        <v>0</v>
      </c>
      <c r="LE54" s="151"/>
      <c r="LF54" s="226">
        <f t="shared" si="519"/>
        <v>0</v>
      </c>
      <c r="LG54" s="128">
        <f t="shared" si="520"/>
        <v>0</v>
      </c>
      <c r="LH54" s="139">
        <f t="shared" si="521"/>
        <v>0</v>
      </c>
      <c r="LI54" s="718">
        <v>0</v>
      </c>
      <c r="LJ54" s="718">
        <v>0</v>
      </c>
      <c r="LK54" s="699">
        <v>0</v>
      </c>
      <c r="LL54" s="713"/>
      <c r="LM54" s="148"/>
      <c r="LN54" s="148"/>
      <c r="LO54" s="148"/>
      <c r="LP54" s="147"/>
      <c r="LQ54" s="201"/>
      <c r="LR54" s="148"/>
      <c r="LS54" s="148"/>
      <c r="LT54" s="148"/>
      <c r="LU54" s="190"/>
      <c r="LV54" s="151"/>
      <c r="LW54" s="134"/>
      <c r="LX54" s="134"/>
      <c r="LY54" s="134"/>
      <c r="LZ54" s="134"/>
      <c r="MA54" s="133">
        <f t="shared" si="524"/>
        <v>0</v>
      </c>
      <c r="MB54" s="151"/>
      <c r="MC54" s="134"/>
      <c r="MD54" s="134"/>
      <c r="ME54" s="134"/>
      <c r="MF54" s="190">
        <f t="shared" si="525"/>
        <v>0</v>
      </c>
      <c r="MG54" s="151" t="e">
        <f t="shared" si="682"/>
        <v>#DIV/0!</v>
      </c>
      <c r="MH54" s="134"/>
      <c r="MI54" s="134"/>
      <c r="MJ54" s="134"/>
      <c r="MK54" s="134"/>
      <c r="ML54" s="133">
        <f t="shared" si="526"/>
        <v>0</v>
      </c>
      <c r="MM54" s="151"/>
      <c r="MN54" s="134"/>
      <c r="MO54" s="134"/>
      <c r="MP54" s="134"/>
      <c r="MQ54" s="190">
        <f t="shared" si="527"/>
        <v>0</v>
      </c>
      <c r="MR54" s="151" t="e">
        <f t="shared" si="683"/>
        <v>#DIV/0!</v>
      </c>
      <c r="MS54" s="1472"/>
      <c r="MT54" s="118">
        <f t="shared" si="528"/>
        <v>0</v>
      </c>
      <c r="MU54" s="118">
        <f t="shared" si="529"/>
        <v>0</v>
      </c>
      <c r="MV54" s="135"/>
      <c r="MW54" s="133">
        <f t="shared" si="530"/>
        <v>0</v>
      </c>
      <c r="MX54" s="134">
        <f t="shared" si="531"/>
        <v>0</v>
      </c>
      <c r="MY54" s="134">
        <f t="shared" si="532"/>
        <v>0</v>
      </c>
      <c r="MZ54" s="135"/>
      <c r="NA54" s="135"/>
      <c r="NB54" s="151"/>
      <c r="NC54" s="134"/>
      <c r="ND54" s="134"/>
      <c r="NE54" s="134"/>
      <c r="NF54" s="134"/>
      <c r="NG54" s="133">
        <f t="shared" si="534"/>
        <v>0</v>
      </c>
      <c r="NH54" s="151"/>
      <c r="NI54" s="134"/>
      <c r="NJ54" s="134"/>
      <c r="NK54" s="134"/>
      <c r="NL54" s="190">
        <f t="shared" si="535"/>
        <v>0</v>
      </c>
      <c r="NM54" s="135" t="e">
        <f t="shared" si="684"/>
        <v>#DIV/0!</v>
      </c>
      <c r="NN54" s="1563"/>
      <c r="NO54" s="134"/>
      <c r="NP54" s="134"/>
      <c r="NQ54" s="134"/>
      <c r="NR54" s="133">
        <f t="shared" si="536"/>
        <v>0</v>
      </c>
      <c r="NS54" s="151"/>
      <c r="NT54" s="134">
        <v>0</v>
      </c>
      <c r="NU54" s="134"/>
      <c r="NV54" s="134"/>
      <c r="NW54" s="190">
        <f t="shared" si="537"/>
        <v>0</v>
      </c>
      <c r="NX54" s="135" t="e">
        <f t="shared" si="685"/>
        <v>#DIV/0!</v>
      </c>
      <c r="NY54" s="1563"/>
      <c r="NZ54" s="134"/>
      <c r="OA54" s="134"/>
      <c r="OB54" s="134"/>
      <c r="OC54" s="133">
        <f t="shared" si="538"/>
        <v>0</v>
      </c>
      <c r="OD54" s="151"/>
      <c r="OE54" s="134">
        <v>0</v>
      </c>
      <c r="OF54" s="134"/>
      <c r="OG54" s="134"/>
      <c r="OH54" s="190">
        <f t="shared" si="539"/>
        <v>0</v>
      </c>
      <c r="OI54" s="5380" t="e">
        <f t="shared" si="686"/>
        <v>#DIV/0!</v>
      </c>
      <c r="OJ54" s="69"/>
      <c r="OK54" s="155">
        <f t="shared" si="540"/>
        <v>0</v>
      </c>
      <c r="OL54" s="155">
        <f t="shared" si="541"/>
        <v>0</v>
      </c>
      <c r="OM54" s="74" t="e">
        <f t="shared" si="542"/>
        <v>#DIV/0!</v>
      </c>
      <c r="ON54" s="155">
        <f t="shared" si="543"/>
        <v>0</v>
      </c>
      <c r="OO54" s="70"/>
      <c r="OP54" s="69"/>
      <c r="OQ54" s="1565"/>
      <c r="OR54" s="148"/>
      <c r="OS54" s="148"/>
      <c r="OT54" s="148"/>
      <c r="OU54" s="133"/>
      <c r="OV54" s="225"/>
      <c r="OW54" s="148"/>
      <c r="OX54" s="148"/>
      <c r="OY54" s="148"/>
      <c r="OZ54" s="190">
        <f t="shared" si="545"/>
        <v>0</v>
      </c>
      <c r="PA54" s="5372" t="e">
        <f t="shared" si="693"/>
        <v>#DIV/0!</v>
      </c>
      <c r="PB54" s="5322"/>
      <c r="PC54" s="148"/>
      <c r="PD54" s="148"/>
      <c r="PE54" s="148"/>
      <c r="PF54" s="147"/>
      <c r="PG54" s="225"/>
      <c r="PH54" s="148"/>
      <c r="PI54" s="148"/>
      <c r="PJ54" s="148"/>
      <c r="PK54" s="190">
        <v>0</v>
      </c>
      <c r="PL54" s="152"/>
      <c r="PM54" s="5382"/>
      <c r="PN54" s="148"/>
      <c r="PO54" s="148"/>
      <c r="PP54" s="148"/>
      <c r="PQ54" s="6297"/>
      <c r="PR54" s="6298"/>
      <c r="PS54" s="148"/>
      <c r="PT54" s="148"/>
      <c r="PU54" s="148"/>
      <c r="PV54" s="190"/>
      <c r="PW54" s="5381"/>
      <c r="PX54" s="5322"/>
      <c r="PY54" s="191"/>
      <c r="PZ54" s="191"/>
      <c r="QA54" s="198"/>
      <c r="QB54" s="5382"/>
      <c r="QC54" s="148"/>
      <c r="QD54" s="148"/>
      <c r="QE54" s="148"/>
      <c r="QF54" s="6297"/>
      <c r="QG54" s="6316"/>
      <c r="QH54" s="148"/>
      <c r="QI54" s="148"/>
      <c r="QJ54" s="148"/>
      <c r="QK54" s="190"/>
      <c r="QL54" s="5381"/>
      <c r="QM54" s="5382"/>
      <c r="QN54" s="148"/>
      <c r="QO54" s="148"/>
      <c r="QP54" s="148"/>
      <c r="QQ54" s="147"/>
      <c r="QR54" s="201"/>
      <c r="QS54" s="148"/>
      <c r="QT54" s="134">
        <v>0</v>
      </c>
      <c r="QU54" s="148"/>
      <c r="QV54" s="190"/>
      <c r="QW54" s="5381"/>
      <c r="QX54" s="5382"/>
      <c r="QY54" s="134">
        <v>0</v>
      </c>
      <c r="QZ54" s="134">
        <v>0</v>
      </c>
      <c r="RA54" s="148"/>
      <c r="RB54" s="147"/>
      <c r="RC54" s="201"/>
      <c r="RD54" s="148"/>
      <c r="RE54" s="148"/>
      <c r="RF54" s="148"/>
      <c r="RG54" s="190"/>
      <c r="RH54" s="5381"/>
      <c r="RI54" s="5376"/>
      <c r="RJ54" s="191">
        <f t="shared" si="548"/>
        <v>0</v>
      </c>
      <c r="RK54" s="191">
        <f t="shared" si="668"/>
        <v>0</v>
      </c>
      <c r="RL54" s="5380"/>
      <c r="RM54" s="1562">
        <f t="shared" si="550"/>
        <v>0</v>
      </c>
      <c r="RN54" s="128">
        <f t="shared" si="551"/>
        <v>0</v>
      </c>
      <c r="RO54" s="139">
        <f t="shared" si="552"/>
        <v>0</v>
      </c>
      <c r="RP54" s="718">
        <v>0</v>
      </c>
      <c r="RQ54" s="718">
        <v>0</v>
      </c>
      <c r="RR54" s="6348">
        <v>0</v>
      </c>
      <c r="RS54" s="6329"/>
      <c r="RT54" s="130">
        <v>0</v>
      </c>
      <c r="RU54" s="130">
        <v>0</v>
      </c>
      <c r="RV54" s="5311"/>
      <c r="RW54" s="147"/>
      <c r="RX54" s="201"/>
      <c r="RY54" s="148"/>
      <c r="RZ54" s="148"/>
      <c r="SA54" s="148"/>
      <c r="SB54" s="190"/>
      <c r="SC54" s="5380"/>
      <c r="SD54" s="5405"/>
      <c r="SE54" s="130"/>
      <c r="SF54" s="130"/>
      <c r="SG54" s="606"/>
      <c r="SH54" s="6361">
        <f t="shared" si="572"/>
        <v>0</v>
      </c>
      <c r="SI54" s="6363" t="e">
        <f t="shared" si="671"/>
        <v>#DIV/0!</v>
      </c>
      <c r="SJ54" s="134"/>
      <c r="SK54" s="134"/>
      <c r="SL54" s="134"/>
      <c r="SM54" s="188">
        <f t="shared" si="289"/>
        <v>0</v>
      </c>
      <c r="SN54" s="5389" t="e">
        <f t="shared" si="290"/>
        <v>#DIV/0!</v>
      </c>
      <c r="SO54" s="134"/>
      <c r="SP54" s="134"/>
      <c r="SQ54" s="134"/>
      <c r="SR54" s="134"/>
      <c r="SS54" s="6361">
        <f t="shared" si="672"/>
        <v>0</v>
      </c>
      <c r="ST54" s="6363"/>
      <c r="SU54" s="134"/>
      <c r="SV54" s="134"/>
      <c r="SW54" s="134"/>
      <c r="SX54" s="190">
        <f t="shared" si="673"/>
        <v>0</v>
      </c>
      <c r="SY54" s="5380" t="e">
        <f t="shared" si="687"/>
        <v>#DIV/0!</v>
      </c>
      <c r="SZ54" s="6270"/>
      <c r="TA54" s="118">
        <f t="shared" si="674"/>
        <v>0</v>
      </c>
      <c r="TB54" s="118">
        <f t="shared" si="675"/>
        <v>0</v>
      </c>
      <c r="TC54" s="5380"/>
      <c r="TD54" s="1563"/>
      <c r="TE54" s="134"/>
      <c r="TF54" s="134"/>
      <c r="TG54" s="134"/>
      <c r="TH54" s="133">
        <f t="shared" si="676"/>
        <v>0</v>
      </c>
      <c r="TI54" s="151"/>
      <c r="TJ54" s="134"/>
      <c r="TK54" s="134">
        <v>0</v>
      </c>
      <c r="TL54" s="134"/>
      <c r="TM54" s="190">
        <f t="shared" si="677"/>
        <v>0</v>
      </c>
      <c r="TN54" s="5380" t="e">
        <f t="shared" si="688"/>
        <v>#DIV/0!</v>
      </c>
      <c r="TO54" s="134"/>
      <c r="TP54" s="134"/>
      <c r="TQ54" s="134"/>
      <c r="TR54" s="134"/>
      <c r="TS54" s="133">
        <f t="shared" si="678"/>
        <v>0</v>
      </c>
      <c r="TT54" s="151"/>
      <c r="TU54" s="134">
        <v>0</v>
      </c>
      <c r="TV54" s="134"/>
      <c r="TW54" s="134"/>
      <c r="TX54" s="190">
        <f t="shared" si="679"/>
        <v>0</v>
      </c>
      <c r="TY54" s="135" t="e">
        <f t="shared" si="689"/>
        <v>#DIV/0!</v>
      </c>
      <c r="TZ54" s="1563"/>
      <c r="UA54" s="134"/>
      <c r="UB54" s="134"/>
      <c r="UC54" s="134"/>
      <c r="UD54" s="133">
        <f t="shared" si="680"/>
        <v>0</v>
      </c>
      <c r="UE54" s="151"/>
      <c r="UF54" s="134">
        <v>0</v>
      </c>
      <c r="UG54" s="134"/>
      <c r="UH54" s="134"/>
      <c r="UI54" s="190">
        <f t="shared" si="681"/>
        <v>0</v>
      </c>
      <c r="UJ54" s="5380" t="e">
        <f t="shared" si="690"/>
        <v>#DIV/0!</v>
      </c>
      <c r="UK54" s="5376"/>
      <c r="UL54" s="191">
        <f t="shared" si="284"/>
        <v>0</v>
      </c>
      <c r="UM54" s="191">
        <f t="shared" si="285"/>
        <v>0</v>
      </c>
      <c r="UN54" s="135" t="e">
        <f t="shared" si="484"/>
        <v>#DIV/0!</v>
      </c>
      <c r="UO54" s="191">
        <f t="shared" si="286"/>
        <v>0</v>
      </c>
      <c r="UP54" s="4952"/>
    </row>
    <row r="55" spans="1:581" x14ac:dyDescent="0.3">
      <c r="A55" s="5316"/>
      <c r="B55" s="5362"/>
      <c r="C55" s="719"/>
      <c r="D55" s="719"/>
      <c r="E55" s="6279"/>
      <c r="F55" s="71"/>
      <c r="G55" s="160"/>
      <c r="H55" s="160"/>
      <c r="I55" s="160"/>
      <c r="J55" s="71"/>
      <c r="K55" s="628"/>
      <c r="L55" s="160"/>
      <c r="M55" s="160"/>
      <c r="N55" s="160"/>
      <c r="O55" s="71"/>
      <c r="P55" s="628"/>
      <c r="Q55" s="160"/>
      <c r="R55" s="160"/>
      <c r="S55" s="160"/>
      <c r="T55" s="7"/>
      <c r="U55" s="628"/>
      <c r="V55" s="71"/>
      <c r="W55" s="71"/>
      <c r="X55" s="71"/>
      <c r="Y55" s="71"/>
      <c r="Z55" s="629"/>
      <c r="AA55" s="71"/>
      <c r="AB55" s="71"/>
      <c r="AC55" s="71"/>
      <c r="AD55" s="71"/>
      <c r="AE55" s="690"/>
      <c r="AF55" s="71"/>
      <c r="AG55" s="630"/>
      <c r="AH55" s="631"/>
      <c r="AI55" s="631"/>
      <c r="AJ55" s="631"/>
      <c r="AK55" s="700"/>
      <c r="AL55" s="632"/>
      <c r="AM55" s="131"/>
      <c r="AN55" s="429"/>
      <c r="AO55" s="132"/>
      <c r="AP55" s="429"/>
      <c r="AQ55" s="429"/>
      <c r="AR55" s="701"/>
      <c r="AS55" s="667"/>
      <c r="AT55" s="380"/>
      <c r="AU55" s="380"/>
      <c r="AV55" s="380"/>
      <c r="AW55" s="116"/>
      <c r="AX55" s="702"/>
      <c r="AY55" s="703"/>
      <c r="AZ55" s="703"/>
      <c r="BA55" s="703"/>
      <c r="BB55" s="704"/>
      <c r="BC55" s="694"/>
      <c r="BD55" s="690"/>
      <c r="BE55" s="690"/>
      <c r="BF55" s="690"/>
      <c r="BG55" s="690"/>
      <c r="BH55" s="589"/>
      <c r="BI55" s="694"/>
      <c r="BJ55" s="690"/>
      <c r="BK55" s="690"/>
      <c r="BL55" s="690"/>
      <c r="BM55" s="690"/>
      <c r="BN55" s="589"/>
      <c r="BO55" s="689"/>
      <c r="BP55" s="690"/>
      <c r="BQ55" s="690"/>
      <c r="BR55" s="690"/>
      <c r="BS55" s="690"/>
      <c r="BT55" s="705"/>
      <c r="BU55" s="689"/>
      <c r="BV55" s="592"/>
      <c r="BW55" s="592"/>
      <c r="BX55" s="593"/>
      <c r="BY55" s="691"/>
      <c r="BZ55" s="692"/>
      <c r="CA55" s="692"/>
      <c r="CB55" s="692"/>
      <c r="CC55" s="692"/>
      <c r="CD55" s="693"/>
      <c r="CE55" s="694"/>
      <c r="CF55" s="690"/>
      <c r="CG55" s="690"/>
      <c r="CH55" s="690"/>
      <c r="CI55" s="109"/>
      <c r="CJ55" s="695"/>
      <c r="CK55" s="630"/>
      <c r="CL55" s="631"/>
      <c r="CM55" s="631"/>
      <c r="CN55" s="631"/>
      <c r="CO55" s="700"/>
      <c r="CP55" s="632"/>
      <c r="CQ55" s="165"/>
      <c r="CR55" s="644"/>
      <c r="CS55" s="644"/>
      <c r="CT55" s="109"/>
      <c r="CU55" s="109"/>
      <c r="CV55" s="74"/>
      <c r="CW55" s="638"/>
      <c r="CX55" s="639"/>
      <c r="CY55" s="639"/>
      <c r="CZ55" s="639"/>
      <c r="DA55" s="605"/>
      <c r="DB55" s="632"/>
      <c r="DC55" s="638"/>
      <c r="DD55" s="639"/>
      <c r="DE55" s="639"/>
      <c r="DF55" s="639"/>
      <c r="DG55" s="639"/>
      <c r="DH55" s="74"/>
      <c r="DI55" s="642"/>
      <c r="DJ55" s="141"/>
      <c r="DK55" s="141"/>
      <c r="DL55" s="74"/>
      <c r="DM55" s="141"/>
      <c r="DN55" s="74"/>
      <c r="DO55" s="643"/>
      <c r="DP55" s="644"/>
      <c r="DQ55" s="644"/>
      <c r="DR55" s="644"/>
      <c r="DS55" s="74"/>
      <c r="DT55" s="74"/>
      <c r="DU55" s="74"/>
      <c r="DV55" s="73"/>
      <c r="DW55" s="643"/>
      <c r="DX55" s="706"/>
      <c r="DY55" s="706"/>
      <c r="DZ55" s="706"/>
      <c r="EA55" s="74"/>
      <c r="EB55" s="74"/>
      <c r="EC55" s="74"/>
      <c r="ED55" s="73"/>
      <c r="EE55" s="638"/>
      <c r="EF55" s="639"/>
      <c r="EG55" s="639"/>
      <c r="EH55" s="639"/>
      <c r="EI55" s="707"/>
      <c r="EJ55" s="632"/>
      <c r="EK55" s="638"/>
      <c r="EL55" s="639"/>
      <c r="EM55" s="639"/>
      <c r="EN55" s="639"/>
      <c r="EO55" s="639"/>
      <c r="EP55" s="74"/>
      <c r="EQ55" s="638"/>
      <c r="ER55" s="639"/>
      <c r="ES55" s="639"/>
      <c r="ET55" s="639"/>
      <c r="EU55" s="134"/>
      <c r="EV55" s="632"/>
      <c r="EW55" s="638"/>
      <c r="EX55" s="639"/>
      <c r="EY55" s="639"/>
      <c r="EZ55" s="639"/>
      <c r="FA55" s="639"/>
      <c r="FB55" s="74"/>
      <c r="FC55" s="643"/>
      <c r="FD55" s="644"/>
      <c r="FE55" s="644"/>
      <c r="FF55" s="644"/>
      <c r="FG55" s="74"/>
      <c r="FH55" s="74"/>
      <c r="FI55" s="74"/>
      <c r="FJ55" s="73"/>
      <c r="FK55" s="165"/>
      <c r="FL55" s="109"/>
      <c r="FM55" s="109"/>
      <c r="FN55" s="109"/>
      <c r="FO55" s="109"/>
      <c r="FP55" s="74"/>
      <c r="FQ55" s="165"/>
      <c r="FR55" s="109"/>
      <c r="FS55" s="109"/>
      <c r="FT55" s="155"/>
      <c r="FU55" s="74"/>
      <c r="FV55" s="187"/>
      <c r="FW55" s="155"/>
      <c r="FX55" s="155"/>
      <c r="FY55" s="155"/>
      <c r="FZ55" s="155"/>
      <c r="GA55" s="74"/>
      <c r="GB55" s="74"/>
      <c r="GC55" s="74"/>
      <c r="GD55" s="73"/>
      <c r="GE55" s="187"/>
      <c r="GF55" s="155"/>
      <c r="GG55" s="155"/>
      <c r="GH55" s="74"/>
      <c r="GI55" s="155"/>
      <c r="GJ55" s="187"/>
      <c r="GK55" s="155"/>
      <c r="GL55" s="155"/>
      <c r="GM55" s="155"/>
      <c r="GN55" s="165"/>
      <c r="GO55" s="109"/>
      <c r="GP55" s="109"/>
      <c r="GQ55" s="109"/>
      <c r="GR55" s="134"/>
      <c r="GS55" s="74"/>
      <c r="GT55" s="165"/>
      <c r="GU55" s="109"/>
      <c r="GV55" s="109"/>
      <c r="GW55" s="109"/>
      <c r="GX55" s="187"/>
      <c r="GY55" s="73"/>
      <c r="GZ55" s="708"/>
      <c r="HA55" s="708"/>
      <c r="HB55" s="708"/>
      <c r="HC55" s="130"/>
      <c r="HD55" s="134"/>
      <c r="HE55" s="73"/>
      <c r="HF55" s="138"/>
      <c r="HG55" s="130"/>
      <c r="HH55" s="130"/>
      <c r="HI55" s="130"/>
      <c r="HJ55" s="197"/>
      <c r="HK55" s="201"/>
      <c r="HL55" s="147"/>
      <c r="HM55" s="148"/>
      <c r="HN55" s="148"/>
      <c r="HO55" s="148"/>
      <c r="HP55" s="615"/>
      <c r="HQ55" s="201"/>
      <c r="HR55" s="148"/>
      <c r="HS55" s="148"/>
      <c r="HT55" s="148"/>
      <c r="HU55" s="148"/>
      <c r="HV55" s="709"/>
      <c r="HW55" s="712"/>
      <c r="HX55" s="710"/>
      <c r="HY55" s="711"/>
      <c r="HZ55" s="1510"/>
      <c r="IA55" s="711"/>
      <c r="IB55" s="712"/>
      <c r="IC55" s="618"/>
      <c r="ID55" s="745"/>
      <c r="IE55" s="141">
        <f t="shared" si="512"/>
        <v>0</v>
      </c>
      <c r="IF55" s="141">
        <f t="shared" si="513"/>
        <v>0</v>
      </c>
      <c r="IG55" s="74" t="e">
        <f t="shared" si="602"/>
        <v>#DIV/0!</v>
      </c>
      <c r="IH55" s="1509"/>
      <c r="II55" s="69"/>
      <c r="IJ55" s="147"/>
      <c r="IK55" s="148"/>
      <c r="IL55" s="148"/>
      <c r="IM55" s="148"/>
      <c r="IN55" s="133"/>
      <c r="IO55" s="201"/>
      <c r="IP55" s="148"/>
      <c r="IQ55" s="148"/>
      <c r="IR55" s="148"/>
      <c r="IS55" s="710"/>
      <c r="IT55" s="712"/>
      <c r="IU55" s="713"/>
      <c r="IV55" s="148"/>
      <c r="IW55" s="148"/>
      <c r="IX55" s="148"/>
      <c r="IY55" s="147"/>
      <c r="IZ55" s="201"/>
      <c r="JA55" s="148"/>
      <c r="JB55" s="148"/>
      <c r="JC55" s="148"/>
      <c r="JD55" s="190"/>
      <c r="JE55" s="196"/>
      <c r="JF55" s="713"/>
      <c r="JG55" s="148"/>
      <c r="JH55" s="148"/>
      <c r="JI55" s="148"/>
      <c r="JJ55" s="147"/>
      <c r="JK55" s="201"/>
      <c r="JL55" s="148"/>
      <c r="JM55" s="148"/>
      <c r="JN55" s="148"/>
      <c r="JO55" s="190"/>
      <c r="JP55" s="151"/>
      <c r="JQ55" s="713"/>
      <c r="JR55" s="191"/>
      <c r="JS55" s="191"/>
      <c r="JT55" s="201"/>
      <c r="JU55" s="713"/>
      <c r="JV55" s="148"/>
      <c r="JW55" s="148"/>
      <c r="JX55" s="148"/>
      <c r="JY55" s="147"/>
      <c r="JZ55" s="201"/>
      <c r="KA55" s="148"/>
      <c r="KB55" s="148"/>
      <c r="KC55" s="148"/>
      <c r="KD55" s="190"/>
      <c r="KE55" s="151"/>
      <c r="KF55" s="713"/>
      <c r="KG55" s="148"/>
      <c r="KH55" s="148"/>
      <c r="KI55" s="148"/>
      <c r="KJ55" s="147"/>
      <c r="KK55" s="201"/>
      <c r="KL55" s="148"/>
      <c r="KM55" s="148"/>
      <c r="KN55" s="148"/>
      <c r="KO55" s="190"/>
      <c r="KP55" s="151"/>
      <c r="KQ55" s="713"/>
      <c r="KR55" s="148"/>
      <c r="KS55" s="148"/>
      <c r="KT55" s="148"/>
      <c r="KU55" s="147"/>
      <c r="KV55" s="201"/>
      <c r="KW55" s="148"/>
      <c r="KX55" s="148"/>
      <c r="KY55" s="148"/>
      <c r="KZ55" s="190"/>
      <c r="LA55" s="151"/>
      <c r="LB55" s="402"/>
      <c r="LC55" s="191">
        <f t="shared" si="517"/>
        <v>0</v>
      </c>
      <c r="LD55" s="191">
        <f t="shared" si="518"/>
        <v>0</v>
      </c>
      <c r="LE55" s="151"/>
      <c r="LF55" s="226">
        <f t="shared" si="519"/>
        <v>0</v>
      </c>
      <c r="LG55" s="128">
        <f t="shared" si="520"/>
        <v>0</v>
      </c>
      <c r="LH55" s="139">
        <f t="shared" si="521"/>
        <v>0</v>
      </c>
      <c r="LI55" s="718">
        <v>0</v>
      </c>
      <c r="LJ55" s="718">
        <v>0</v>
      </c>
      <c r="LK55" s="699">
        <v>0</v>
      </c>
      <c r="LL55" s="713"/>
      <c r="LM55" s="148"/>
      <c r="LN55" s="148"/>
      <c r="LO55" s="148"/>
      <c r="LP55" s="147"/>
      <c r="LQ55" s="201"/>
      <c r="LR55" s="148"/>
      <c r="LS55" s="148"/>
      <c r="LT55" s="148"/>
      <c r="LU55" s="190"/>
      <c r="LV55" s="151"/>
      <c r="LW55" s="134"/>
      <c r="LX55" s="134"/>
      <c r="LY55" s="134"/>
      <c r="LZ55" s="134"/>
      <c r="MA55" s="133">
        <f t="shared" si="524"/>
        <v>0</v>
      </c>
      <c r="MB55" s="151"/>
      <c r="MC55" s="134"/>
      <c r="MD55" s="134"/>
      <c r="ME55" s="134"/>
      <c r="MF55" s="190">
        <f t="shared" si="525"/>
        <v>0</v>
      </c>
      <c r="MG55" s="151" t="e">
        <f t="shared" si="682"/>
        <v>#DIV/0!</v>
      </c>
      <c r="MH55" s="134"/>
      <c r="MI55" s="134"/>
      <c r="MJ55" s="134"/>
      <c r="MK55" s="134"/>
      <c r="ML55" s="133">
        <f t="shared" si="526"/>
        <v>0</v>
      </c>
      <c r="MM55" s="151"/>
      <c r="MN55" s="134"/>
      <c r="MO55" s="134"/>
      <c r="MP55" s="134"/>
      <c r="MQ55" s="190">
        <f t="shared" si="527"/>
        <v>0</v>
      </c>
      <c r="MR55" s="151" t="e">
        <f t="shared" si="683"/>
        <v>#DIV/0!</v>
      </c>
      <c r="MS55" s="1472"/>
      <c r="MT55" s="118">
        <f t="shared" si="528"/>
        <v>0</v>
      </c>
      <c r="MU55" s="118">
        <f t="shared" si="529"/>
        <v>0</v>
      </c>
      <c r="MV55" s="135"/>
      <c r="MW55" s="133">
        <f t="shared" si="530"/>
        <v>0</v>
      </c>
      <c r="MX55" s="134">
        <f t="shared" si="531"/>
        <v>0</v>
      </c>
      <c r="MY55" s="134">
        <f t="shared" si="532"/>
        <v>0</v>
      </c>
      <c r="MZ55" s="135"/>
      <c r="NA55" s="135"/>
      <c r="NB55" s="151"/>
      <c r="NC55" s="134"/>
      <c r="ND55" s="134"/>
      <c r="NE55" s="134"/>
      <c r="NF55" s="134"/>
      <c r="NG55" s="133">
        <f t="shared" si="534"/>
        <v>0</v>
      </c>
      <c r="NH55" s="151"/>
      <c r="NI55" s="134"/>
      <c r="NJ55" s="134"/>
      <c r="NK55" s="134"/>
      <c r="NL55" s="190">
        <f t="shared" si="535"/>
        <v>0</v>
      </c>
      <c r="NM55" s="135" t="e">
        <f t="shared" si="684"/>
        <v>#DIV/0!</v>
      </c>
      <c r="NN55" s="1563"/>
      <c r="NO55" s="134"/>
      <c r="NP55" s="134"/>
      <c r="NQ55" s="134"/>
      <c r="NR55" s="133">
        <f t="shared" si="536"/>
        <v>0</v>
      </c>
      <c r="NS55" s="151"/>
      <c r="NT55" s="134">
        <v>0</v>
      </c>
      <c r="NU55" s="134"/>
      <c r="NV55" s="134"/>
      <c r="NW55" s="190">
        <f t="shared" si="537"/>
        <v>0</v>
      </c>
      <c r="NX55" s="135" t="e">
        <f t="shared" si="685"/>
        <v>#DIV/0!</v>
      </c>
      <c r="NY55" s="1563"/>
      <c r="NZ55" s="134"/>
      <c r="OA55" s="134"/>
      <c r="OB55" s="134"/>
      <c r="OC55" s="133">
        <f t="shared" si="538"/>
        <v>0</v>
      </c>
      <c r="OD55" s="151"/>
      <c r="OE55" s="134">
        <v>0</v>
      </c>
      <c r="OF55" s="134"/>
      <c r="OG55" s="134"/>
      <c r="OH55" s="190">
        <f t="shared" si="539"/>
        <v>0</v>
      </c>
      <c r="OI55" s="5380" t="e">
        <f t="shared" si="686"/>
        <v>#DIV/0!</v>
      </c>
      <c r="OJ55" s="69"/>
      <c r="OK55" s="155">
        <f t="shared" si="540"/>
        <v>0</v>
      </c>
      <c r="OL55" s="155">
        <f t="shared" si="541"/>
        <v>0</v>
      </c>
      <c r="OM55" s="74" t="e">
        <f t="shared" si="542"/>
        <v>#DIV/0!</v>
      </c>
      <c r="ON55" s="155">
        <f t="shared" si="543"/>
        <v>0</v>
      </c>
      <c r="OO55" s="70"/>
      <c r="OP55" s="69"/>
      <c r="OQ55" s="1565"/>
      <c r="OR55" s="148"/>
      <c r="OS55" s="148"/>
      <c r="OT55" s="148"/>
      <c r="OU55" s="133"/>
      <c r="OV55" s="225"/>
      <c r="OW55" s="148"/>
      <c r="OX55" s="148"/>
      <c r="OY55" s="148"/>
      <c r="OZ55" s="190">
        <f t="shared" si="545"/>
        <v>0</v>
      </c>
      <c r="PA55" s="5372" t="e">
        <f t="shared" si="693"/>
        <v>#DIV/0!</v>
      </c>
      <c r="PB55" s="5322"/>
      <c r="PC55" s="148"/>
      <c r="PD55" s="148"/>
      <c r="PE55" s="148"/>
      <c r="PF55" s="147"/>
      <c r="PG55" s="225"/>
      <c r="PH55" s="148"/>
      <c r="PI55" s="148"/>
      <c r="PJ55" s="148"/>
      <c r="PK55" s="190">
        <v>0</v>
      </c>
      <c r="PL55" s="152"/>
      <c r="PM55" s="5382"/>
      <c r="PN55" s="148"/>
      <c r="PO55" s="148"/>
      <c r="PP55" s="148"/>
      <c r="PQ55" s="6297"/>
      <c r="PR55" s="6298"/>
      <c r="PS55" s="148"/>
      <c r="PT55" s="148"/>
      <c r="PU55" s="148"/>
      <c r="PV55" s="190"/>
      <c r="PW55" s="5380"/>
      <c r="PX55" s="5322"/>
      <c r="PY55" s="191"/>
      <c r="PZ55" s="191"/>
      <c r="QA55" s="198"/>
      <c r="QB55" s="5382"/>
      <c r="QC55" s="148"/>
      <c r="QD55" s="148"/>
      <c r="QE55" s="148"/>
      <c r="QF55" s="6297"/>
      <c r="QG55" s="6316"/>
      <c r="QH55" s="148"/>
      <c r="QI55" s="148"/>
      <c r="QJ55" s="148"/>
      <c r="QK55" s="190"/>
      <c r="QL55" s="5381"/>
      <c r="QM55" s="5382"/>
      <c r="QN55" s="148"/>
      <c r="QO55" s="148"/>
      <c r="QP55" s="148"/>
      <c r="QQ55" s="147"/>
      <c r="QR55" s="201"/>
      <c r="QS55" s="148"/>
      <c r="QT55" s="134">
        <v>0</v>
      </c>
      <c r="QU55" s="148"/>
      <c r="QV55" s="190"/>
      <c r="QW55" s="5381"/>
      <c r="QX55" s="5382"/>
      <c r="QY55" s="134">
        <v>0</v>
      </c>
      <c r="QZ55" s="134">
        <v>0</v>
      </c>
      <c r="RA55" s="148"/>
      <c r="RB55" s="147"/>
      <c r="RC55" s="201"/>
      <c r="RD55" s="148"/>
      <c r="RE55" s="148"/>
      <c r="RF55" s="148"/>
      <c r="RG55" s="190"/>
      <c r="RH55" s="5381"/>
      <c r="RI55" s="5376"/>
      <c r="RJ55" s="191">
        <f t="shared" si="548"/>
        <v>0</v>
      </c>
      <c r="RK55" s="191">
        <f t="shared" si="668"/>
        <v>0</v>
      </c>
      <c r="RL55" s="5380"/>
      <c r="RM55" s="1562">
        <f t="shared" si="550"/>
        <v>0</v>
      </c>
      <c r="RN55" s="128">
        <f t="shared" si="551"/>
        <v>0</v>
      </c>
      <c r="RO55" s="139">
        <f t="shared" si="552"/>
        <v>0</v>
      </c>
      <c r="RP55" s="718">
        <v>0</v>
      </c>
      <c r="RQ55" s="718">
        <v>0</v>
      </c>
      <c r="RR55" s="6348">
        <v>0</v>
      </c>
      <c r="RS55" s="6329"/>
      <c r="RT55" s="130">
        <v>0</v>
      </c>
      <c r="RU55" s="130">
        <v>0</v>
      </c>
      <c r="RV55" s="5311"/>
      <c r="RW55" s="147"/>
      <c r="RX55" s="201"/>
      <c r="RY55" s="148"/>
      <c r="RZ55" s="148"/>
      <c r="SA55" s="148"/>
      <c r="SB55" s="190"/>
      <c r="SC55" s="5380"/>
      <c r="SD55" s="5405"/>
      <c r="SE55" s="130"/>
      <c r="SF55" s="130"/>
      <c r="SG55" s="606"/>
      <c r="SH55" s="6361">
        <f t="shared" si="572"/>
        <v>0</v>
      </c>
      <c r="SI55" s="6363" t="e">
        <f t="shared" si="671"/>
        <v>#DIV/0!</v>
      </c>
      <c r="SJ55" s="134"/>
      <c r="SK55" s="134"/>
      <c r="SL55" s="134"/>
      <c r="SM55" s="188">
        <f t="shared" si="289"/>
        <v>0</v>
      </c>
      <c r="SN55" s="5389" t="e">
        <f t="shared" si="290"/>
        <v>#DIV/0!</v>
      </c>
      <c r="SO55" s="134"/>
      <c r="SP55" s="134"/>
      <c r="SQ55" s="134"/>
      <c r="SR55" s="134"/>
      <c r="SS55" s="6361">
        <f t="shared" si="672"/>
        <v>0</v>
      </c>
      <c r="ST55" s="6363"/>
      <c r="SU55" s="134"/>
      <c r="SV55" s="134"/>
      <c r="SW55" s="134"/>
      <c r="SX55" s="190">
        <f t="shared" si="673"/>
        <v>0</v>
      </c>
      <c r="SY55" s="5380" t="e">
        <f t="shared" si="687"/>
        <v>#DIV/0!</v>
      </c>
      <c r="SZ55" s="6270"/>
      <c r="TA55" s="118">
        <f t="shared" si="674"/>
        <v>0</v>
      </c>
      <c r="TB55" s="118">
        <f t="shared" si="675"/>
        <v>0</v>
      </c>
      <c r="TC55" s="5380"/>
      <c r="TD55" s="1563"/>
      <c r="TE55" s="134"/>
      <c r="TF55" s="134"/>
      <c r="TG55" s="134"/>
      <c r="TH55" s="133">
        <f t="shared" si="676"/>
        <v>0</v>
      </c>
      <c r="TI55" s="151"/>
      <c r="TJ55" s="134"/>
      <c r="TK55" s="134">
        <v>0</v>
      </c>
      <c r="TL55" s="134"/>
      <c r="TM55" s="190">
        <f t="shared" si="677"/>
        <v>0</v>
      </c>
      <c r="TN55" s="5380" t="e">
        <f t="shared" si="688"/>
        <v>#DIV/0!</v>
      </c>
      <c r="TO55" s="134"/>
      <c r="TP55" s="134"/>
      <c r="TQ55" s="134"/>
      <c r="TR55" s="134"/>
      <c r="TS55" s="133">
        <f t="shared" si="678"/>
        <v>0</v>
      </c>
      <c r="TT55" s="151"/>
      <c r="TU55" s="134">
        <v>0</v>
      </c>
      <c r="TV55" s="134"/>
      <c r="TW55" s="134"/>
      <c r="TX55" s="190">
        <f t="shared" si="679"/>
        <v>0</v>
      </c>
      <c r="TY55" s="135" t="e">
        <f t="shared" si="689"/>
        <v>#DIV/0!</v>
      </c>
      <c r="TZ55" s="1563"/>
      <c r="UA55" s="134"/>
      <c r="UB55" s="134"/>
      <c r="UC55" s="134"/>
      <c r="UD55" s="133">
        <f t="shared" si="680"/>
        <v>0</v>
      </c>
      <c r="UE55" s="151"/>
      <c r="UF55" s="134">
        <v>0</v>
      </c>
      <c r="UG55" s="134"/>
      <c r="UH55" s="134"/>
      <c r="UI55" s="190">
        <f t="shared" si="681"/>
        <v>0</v>
      </c>
      <c r="UJ55" s="5380" t="e">
        <f t="shared" si="690"/>
        <v>#DIV/0!</v>
      </c>
      <c r="UK55" s="5376"/>
      <c r="UL55" s="191">
        <f t="shared" si="284"/>
        <v>0</v>
      </c>
      <c r="UM55" s="191">
        <f t="shared" si="285"/>
        <v>0</v>
      </c>
      <c r="UN55" s="135" t="e">
        <f t="shared" si="484"/>
        <v>#DIV/0!</v>
      </c>
      <c r="UO55" s="191">
        <f t="shared" si="286"/>
        <v>0</v>
      </c>
      <c r="UP55" s="4952"/>
    </row>
    <row r="56" spans="1:581" x14ac:dyDescent="0.3">
      <c r="A56" s="5316"/>
      <c r="B56" s="5362"/>
      <c r="C56" s="719"/>
      <c r="D56" s="719"/>
      <c r="E56" s="6279"/>
      <c r="F56" s="71"/>
      <c r="G56" s="160"/>
      <c r="H56" s="160"/>
      <c r="I56" s="160"/>
      <c r="J56" s="71"/>
      <c r="K56" s="628"/>
      <c r="L56" s="160"/>
      <c r="M56" s="160"/>
      <c r="N56" s="160"/>
      <c r="O56" s="71"/>
      <c r="P56" s="628"/>
      <c r="Q56" s="160"/>
      <c r="R56" s="160"/>
      <c r="S56" s="160"/>
      <c r="T56" s="7"/>
      <c r="U56" s="628"/>
      <c r="V56" s="71"/>
      <c r="W56" s="71"/>
      <c r="X56" s="71"/>
      <c r="Y56" s="71"/>
      <c r="Z56" s="629"/>
      <c r="AA56" s="71"/>
      <c r="AB56" s="71"/>
      <c r="AC56" s="71"/>
      <c r="AD56" s="71"/>
      <c r="AE56" s="690"/>
      <c r="AF56" s="71"/>
      <c r="AG56" s="630"/>
      <c r="AH56" s="631"/>
      <c r="AI56" s="631"/>
      <c r="AJ56" s="631"/>
      <c r="AK56" s="700"/>
      <c r="AL56" s="632"/>
      <c r="AM56" s="131"/>
      <c r="AN56" s="429"/>
      <c r="AO56" s="132"/>
      <c r="AP56" s="429"/>
      <c r="AQ56" s="429"/>
      <c r="AR56" s="701"/>
      <c r="AS56" s="667"/>
      <c r="AT56" s="380"/>
      <c r="AU56" s="380"/>
      <c r="AV56" s="380"/>
      <c r="AW56" s="116"/>
      <c r="AX56" s="702"/>
      <c r="AY56" s="703"/>
      <c r="AZ56" s="703"/>
      <c r="BA56" s="703"/>
      <c r="BB56" s="704"/>
      <c r="BC56" s="694"/>
      <c r="BD56" s="690"/>
      <c r="BE56" s="690"/>
      <c r="BF56" s="690"/>
      <c r="BG56" s="690"/>
      <c r="BH56" s="589"/>
      <c r="BI56" s="694"/>
      <c r="BJ56" s="690"/>
      <c r="BK56" s="690"/>
      <c r="BL56" s="690"/>
      <c r="BM56" s="690"/>
      <c r="BN56" s="589"/>
      <c r="BO56" s="689"/>
      <c r="BP56" s="690"/>
      <c r="BQ56" s="690"/>
      <c r="BR56" s="690"/>
      <c r="BS56" s="690"/>
      <c r="BT56" s="705"/>
      <c r="BU56" s="689"/>
      <c r="BV56" s="592"/>
      <c r="BW56" s="592"/>
      <c r="BX56" s="593"/>
      <c r="BY56" s="691"/>
      <c r="BZ56" s="692"/>
      <c r="CA56" s="692"/>
      <c r="CB56" s="692"/>
      <c r="CC56" s="692"/>
      <c r="CD56" s="693"/>
      <c r="CE56" s="694"/>
      <c r="CF56" s="690"/>
      <c r="CG56" s="690"/>
      <c r="CH56" s="690"/>
      <c r="CI56" s="109"/>
      <c r="CJ56" s="695"/>
      <c r="CK56" s="630"/>
      <c r="CL56" s="631"/>
      <c r="CM56" s="631"/>
      <c r="CN56" s="631"/>
      <c r="CO56" s="700"/>
      <c r="CP56" s="632"/>
      <c r="CQ56" s="165"/>
      <c r="CR56" s="644"/>
      <c r="CS56" s="644"/>
      <c r="CT56" s="109"/>
      <c r="CU56" s="109"/>
      <c r="CV56" s="74"/>
      <c r="CW56" s="638"/>
      <c r="CX56" s="639"/>
      <c r="CY56" s="639"/>
      <c r="CZ56" s="639"/>
      <c r="DA56" s="605"/>
      <c r="DB56" s="632"/>
      <c r="DC56" s="638"/>
      <c r="DD56" s="639"/>
      <c r="DE56" s="639"/>
      <c r="DF56" s="639"/>
      <c r="DG56" s="639"/>
      <c r="DH56" s="74"/>
      <c r="DI56" s="642"/>
      <c r="DJ56" s="141"/>
      <c r="DK56" s="141"/>
      <c r="DL56" s="74"/>
      <c r="DM56" s="141"/>
      <c r="DN56" s="74"/>
      <c r="DO56" s="643"/>
      <c r="DP56" s="644"/>
      <c r="DQ56" s="644"/>
      <c r="DR56" s="644"/>
      <c r="DS56" s="74"/>
      <c r="DT56" s="74"/>
      <c r="DU56" s="74"/>
      <c r="DV56" s="73"/>
      <c r="DW56" s="643"/>
      <c r="DX56" s="706"/>
      <c r="DY56" s="706"/>
      <c r="DZ56" s="706"/>
      <c r="EA56" s="74"/>
      <c r="EB56" s="74"/>
      <c r="EC56" s="74"/>
      <c r="ED56" s="73"/>
      <c r="EE56" s="638"/>
      <c r="EF56" s="639"/>
      <c r="EG56" s="639"/>
      <c r="EH56" s="639"/>
      <c r="EI56" s="707"/>
      <c r="EJ56" s="632"/>
      <c r="EK56" s="638"/>
      <c r="EL56" s="639"/>
      <c r="EM56" s="639"/>
      <c r="EN56" s="639"/>
      <c r="EO56" s="639"/>
      <c r="EP56" s="74"/>
      <c r="EQ56" s="638"/>
      <c r="ER56" s="639"/>
      <c r="ES56" s="639"/>
      <c r="ET56" s="639"/>
      <c r="EU56" s="134"/>
      <c r="EV56" s="632"/>
      <c r="EW56" s="638"/>
      <c r="EX56" s="639"/>
      <c r="EY56" s="639"/>
      <c r="EZ56" s="639"/>
      <c r="FA56" s="639"/>
      <c r="FB56" s="74"/>
      <c r="FC56" s="643"/>
      <c r="FD56" s="644"/>
      <c r="FE56" s="644"/>
      <c r="FF56" s="644"/>
      <c r="FG56" s="74"/>
      <c r="FH56" s="74"/>
      <c r="FI56" s="74"/>
      <c r="FJ56" s="73"/>
      <c r="FK56" s="165"/>
      <c r="FL56" s="109"/>
      <c r="FM56" s="109"/>
      <c r="FN56" s="109"/>
      <c r="FO56" s="109"/>
      <c r="FP56" s="74"/>
      <c r="FQ56" s="165"/>
      <c r="FR56" s="109"/>
      <c r="FS56" s="109"/>
      <c r="FT56" s="155"/>
      <c r="FU56" s="74"/>
      <c r="FV56" s="187"/>
      <c r="FW56" s="155"/>
      <c r="FX56" s="155"/>
      <c r="FY56" s="155"/>
      <c r="FZ56" s="155"/>
      <c r="GA56" s="74"/>
      <c r="GB56" s="74"/>
      <c r="GC56" s="74"/>
      <c r="GD56" s="73"/>
      <c r="GE56" s="187"/>
      <c r="GF56" s="155"/>
      <c r="GG56" s="155"/>
      <c r="GH56" s="74"/>
      <c r="GI56" s="155"/>
      <c r="GJ56" s="187"/>
      <c r="GK56" s="155"/>
      <c r="GL56" s="155"/>
      <c r="GM56" s="155"/>
      <c r="GN56" s="165"/>
      <c r="GO56" s="109"/>
      <c r="GP56" s="109"/>
      <c r="GQ56" s="109"/>
      <c r="GR56" s="134"/>
      <c r="GS56" s="74"/>
      <c r="GT56" s="165"/>
      <c r="GU56" s="109"/>
      <c r="GV56" s="109"/>
      <c r="GW56" s="109"/>
      <c r="GX56" s="187"/>
      <c r="GY56" s="73"/>
      <c r="GZ56" s="708"/>
      <c r="HA56" s="708"/>
      <c r="HB56" s="708"/>
      <c r="HC56" s="130"/>
      <c r="HD56" s="134"/>
      <c r="HE56" s="73"/>
      <c r="HF56" s="138"/>
      <c r="HG56" s="130"/>
      <c r="HH56" s="130"/>
      <c r="HI56" s="130"/>
      <c r="HJ56" s="197"/>
      <c r="HK56" s="201"/>
      <c r="HL56" s="147"/>
      <c r="HM56" s="148"/>
      <c r="HN56" s="148"/>
      <c r="HO56" s="148"/>
      <c r="HP56" s="615"/>
      <c r="HQ56" s="201"/>
      <c r="HR56" s="148"/>
      <c r="HS56" s="148"/>
      <c r="HT56" s="148"/>
      <c r="HU56" s="148"/>
      <c r="HV56" s="709"/>
      <c r="HW56" s="712"/>
      <c r="HX56" s="710"/>
      <c r="HY56" s="711"/>
      <c r="HZ56" s="1510"/>
      <c r="IA56" s="711"/>
      <c r="IB56" s="712"/>
      <c r="IC56" s="618"/>
      <c r="ID56" s="745"/>
      <c r="IE56" s="141">
        <f t="shared" si="512"/>
        <v>0</v>
      </c>
      <c r="IF56" s="141">
        <f t="shared" si="513"/>
        <v>0</v>
      </c>
      <c r="IG56" s="74" t="e">
        <f t="shared" si="602"/>
        <v>#DIV/0!</v>
      </c>
      <c r="IH56" s="1509"/>
      <c r="II56" s="69"/>
      <c r="IJ56" s="147"/>
      <c r="IK56" s="148"/>
      <c r="IL56" s="148"/>
      <c r="IM56" s="148"/>
      <c r="IN56" s="133"/>
      <c r="IO56" s="201"/>
      <c r="IP56" s="148"/>
      <c r="IQ56" s="148"/>
      <c r="IR56" s="148"/>
      <c r="IS56" s="710"/>
      <c r="IT56" s="712"/>
      <c r="IU56" s="713"/>
      <c r="IV56" s="148"/>
      <c r="IW56" s="148"/>
      <c r="IX56" s="148"/>
      <c r="IY56" s="147"/>
      <c r="IZ56" s="201"/>
      <c r="JA56" s="148"/>
      <c r="JB56" s="148"/>
      <c r="JC56" s="148"/>
      <c r="JD56" s="190"/>
      <c r="JE56" s="196"/>
      <c r="JF56" s="713"/>
      <c r="JG56" s="148"/>
      <c r="JH56" s="148"/>
      <c r="JI56" s="148"/>
      <c r="JJ56" s="147"/>
      <c r="JK56" s="201"/>
      <c r="JL56" s="148"/>
      <c r="JM56" s="148"/>
      <c r="JN56" s="148"/>
      <c r="JO56" s="190"/>
      <c r="JP56" s="151"/>
      <c r="JQ56" s="713"/>
      <c r="JR56" s="191"/>
      <c r="JS56" s="191"/>
      <c r="JT56" s="201"/>
      <c r="JU56" s="713"/>
      <c r="JV56" s="148"/>
      <c r="JW56" s="148"/>
      <c r="JX56" s="148"/>
      <c r="JY56" s="147"/>
      <c r="JZ56" s="201"/>
      <c r="KA56" s="148"/>
      <c r="KB56" s="148"/>
      <c r="KC56" s="148"/>
      <c r="KD56" s="190"/>
      <c r="KE56" s="151"/>
      <c r="KF56" s="713"/>
      <c r="KG56" s="148"/>
      <c r="KH56" s="148"/>
      <c r="KI56" s="148"/>
      <c r="KJ56" s="147"/>
      <c r="KK56" s="201"/>
      <c r="KL56" s="148"/>
      <c r="KM56" s="148"/>
      <c r="KN56" s="148"/>
      <c r="KO56" s="190"/>
      <c r="KP56" s="151"/>
      <c r="KQ56" s="713"/>
      <c r="KR56" s="148"/>
      <c r="KS56" s="148"/>
      <c r="KT56" s="148"/>
      <c r="KU56" s="147"/>
      <c r="KV56" s="201"/>
      <c r="KW56" s="148"/>
      <c r="KX56" s="148"/>
      <c r="KY56" s="148"/>
      <c r="KZ56" s="190"/>
      <c r="LA56" s="151"/>
      <c r="LB56" s="402"/>
      <c r="LC56" s="191">
        <f t="shared" si="517"/>
        <v>0</v>
      </c>
      <c r="LD56" s="191">
        <f t="shared" si="518"/>
        <v>0</v>
      </c>
      <c r="LE56" s="151"/>
      <c r="LF56" s="226">
        <f t="shared" si="519"/>
        <v>0</v>
      </c>
      <c r="LG56" s="128">
        <f t="shared" si="520"/>
        <v>0</v>
      </c>
      <c r="LH56" s="139">
        <f t="shared" si="521"/>
        <v>0</v>
      </c>
      <c r="LI56" s="718">
        <v>0</v>
      </c>
      <c r="LJ56" s="718">
        <v>0</v>
      </c>
      <c r="LK56" s="699">
        <v>0</v>
      </c>
      <c r="LL56" s="713"/>
      <c r="LM56" s="148"/>
      <c r="LN56" s="148"/>
      <c r="LO56" s="148"/>
      <c r="LP56" s="147"/>
      <c r="LQ56" s="201"/>
      <c r="LR56" s="148"/>
      <c r="LS56" s="148"/>
      <c r="LT56" s="148"/>
      <c r="LU56" s="190"/>
      <c r="LV56" s="151"/>
      <c r="LW56" s="134"/>
      <c r="LX56" s="134"/>
      <c r="LY56" s="134"/>
      <c r="LZ56" s="134"/>
      <c r="MA56" s="133">
        <f t="shared" si="524"/>
        <v>0</v>
      </c>
      <c r="MB56" s="151"/>
      <c r="MC56" s="134"/>
      <c r="MD56" s="134"/>
      <c r="ME56" s="134"/>
      <c r="MF56" s="190">
        <f t="shared" si="525"/>
        <v>0</v>
      </c>
      <c r="MG56" s="151" t="e">
        <f t="shared" si="682"/>
        <v>#DIV/0!</v>
      </c>
      <c r="MH56" s="134"/>
      <c r="MI56" s="134"/>
      <c r="MJ56" s="134"/>
      <c r="MK56" s="134"/>
      <c r="ML56" s="133">
        <f t="shared" si="526"/>
        <v>0</v>
      </c>
      <c r="MM56" s="151"/>
      <c r="MN56" s="134"/>
      <c r="MO56" s="134"/>
      <c r="MP56" s="134"/>
      <c r="MQ56" s="190">
        <f t="shared" si="527"/>
        <v>0</v>
      </c>
      <c r="MR56" s="151" t="e">
        <f t="shared" si="683"/>
        <v>#DIV/0!</v>
      </c>
      <c r="MS56" s="1472"/>
      <c r="MT56" s="118">
        <f t="shared" si="528"/>
        <v>0</v>
      </c>
      <c r="MU56" s="118">
        <f t="shared" si="529"/>
        <v>0</v>
      </c>
      <c r="MV56" s="135"/>
      <c r="MW56" s="133">
        <f t="shared" si="530"/>
        <v>0</v>
      </c>
      <c r="MX56" s="134">
        <f t="shared" si="531"/>
        <v>0</v>
      </c>
      <c r="MY56" s="134">
        <f t="shared" si="532"/>
        <v>0</v>
      </c>
      <c r="MZ56" s="135"/>
      <c r="NA56" s="135"/>
      <c r="NB56" s="151"/>
      <c r="NC56" s="134"/>
      <c r="ND56" s="134"/>
      <c r="NE56" s="134"/>
      <c r="NF56" s="134"/>
      <c r="NG56" s="133">
        <f t="shared" si="534"/>
        <v>0</v>
      </c>
      <c r="NH56" s="151"/>
      <c r="NI56" s="134"/>
      <c r="NJ56" s="134"/>
      <c r="NK56" s="134"/>
      <c r="NL56" s="190">
        <f t="shared" si="535"/>
        <v>0</v>
      </c>
      <c r="NM56" s="135" t="e">
        <f t="shared" si="684"/>
        <v>#DIV/0!</v>
      </c>
      <c r="NN56" s="1563"/>
      <c r="NO56" s="134"/>
      <c r="NP56" s="134"/>
      <c r="NQ56" s="134"/>
      <c r="NR56" s="133">
        <f t="shared" si="536"/>
        <v>0</v>
      </c>
      <c r="NS56" s="151"/>
      <c r="NT56" s="134">
        <v>0</v>
      </c>
      <c r="NU56" s="134"/>
      <c r="NV56" s="134"/>
      <c r="NW56" s="190">
        <f t="shared" si="537"/>
        <v>0</v>
      </c>
      <c r="NX56" s="135" t="e">
        <f t="shared" si="685"/>
        <v>#DIV/0!</v>
      </c>
      <c r="NY56" s="1563"/>
      <c r="NZ56" s="134"/>
      <c r="OA56" s="134"/>
      <c r="OB56" s="134"/>
      <c r="OC56" s="133">
        <f t="shared" si="538"/>
        <v>0</v>
      </c>
      <c r="OD56" s="151"/>
      <c r="OE56" s="134">
        <v>0</v>
      </c>
      <c r="OF56" s="134"/>
      <c r="OG56" s="134"/>
      <c r="OH56" s="190">
        <f t="shared" si="539"/>
        <v>0</v>
      </c>
      <c r="OI56" s="5380" t="e">
        <f t="shared" si="686"/>
        <v>#DIV/0!</v>
      </c>
      <c r="OJ56" s="69"/>
      <c r="OK56" s="155">
        <f t="shared" si="540"/>
        <v>0</v>
      </c>
      <c r="OL56" s="155">
        <f t="shared" si="541"/>
        <v>0</v>
      </c>
      <c r="OM56" s="74" t="e">
        <f t="shared" si="542"/>
        <v>#DIV/0!</v>
      </c>
      <c r="ON56" s="155">
        <f t="shared" si="543"/>
        <v>0</v>
      </c>
      <c r="OO56" s="70"/>
      <c r="OP56" s="69"/>
      <c r="OQ56" s="1565"/>
      <c r="OR56" s="148"/>
      <c r="OS56" s="148"/>
      <c r="OT56" s="148"/>
      <c r="OU56" s="133"/>
      <c r="OV56" s="225"/>
      <c r="OW56" s="148"/>
      <c r="OX56" s="148"/>
      <c r="OY56" s="148"/>
      <c r="OZ56" s="190">
        <f t="shared" si="545"/>
        <v>0</v>
      </c>
      <c r="PA56" s="5372">
        <v>0</v>
      </c>
      <c r="PB56" s="5322"/>
      <c r="PC56" s="148"/>
      <c r="PD56" s="148"/>
      <c r="PE56" s="148"/>
      <c r="PF56" s="147"/>
      <c r="PG56" s="225"/>
      <c r="PH56" s="148"/>
      <c r="PI56" s="148"/>
      <c r="PJ56" s="148"/>
      <c r="PK56" s="190">
        <v>0</v>
      </c>
      <c r="PL56" s="152"/>
      <c r="PM56" s="5382"/>
      <c r="PN56" s="148"/>
      <c r="PO56" s="148"/>
      <c r="PP56" s="148"/>
      <c r="PQ56" s="6297"/>
      <c r="PR56" s="6298"/>
      <c r="PS56" s="148"/>
      <c r="PT56" s="148"/>
      <c r="PU56" s="148"/>
      <c r="PV56" s="190"/>
      <c r="PW56" s="5380"/>
      <c r="PX56" s="5322"/>
      <c r="PY56" s="191"/>
      <c r="PZ56" s="191"/>
      <c r="QA56" s="198"/>
      <c r="QB56" s="5382"/>
      <c r="QC56" s="148"/>
      <c r="QD56" s="148"/>
      <c r="QE56" s="148"/>
      <c r="QF56" s="6297"/>
      <c r="QG56" s="6316"/>
      <c r="QH56" s="148"/>
      <c r="QI56" s="148"/>
      <c r="QJ56" s="148"/>
      <c r="QK56" s="190"/>
      <c r="QL56" s="5381"/>
      <c r="QM56" s="5382"/>
      <c r="QN56" s="148"/>
      <c r="QO56" s="148"/>
      <c r="QP56" s="148"/>
      <c r="QQ56" s="147"/>
      <c r="QR56" s="201"/>
      <c r="QS56" s="148"/>
      <c r="QT56" s="134">
        <v>0</v>
      </c>
      <c r="QU56" s="148"/>
      <c r="QV56" s="190"/>
      <c r="QW56" s="5381"/>
      <c r="QX56" s="5382"/>
      <c r="QY56" s="134">
        <v>0</v>
      </c>
      <c r="QZ56" s="134">
        <v>0</v>
      </c>
      <c r="RA56" s="148"/>
      <c r="RB56" s="147"/>
      <c r="RC56" s="201"/>
      <c r="RD56" s="148"/>
      <c r="RE56" s="148"/>
      <c r="RF56" s="148"/>
      <c r="RG56" s="190"/>
      <c r="RH56" s="5381"/>
      <c r="RI56" s="5376"/>
      <c r="RJ56" s="191">
        <f t="shared" si="548"/>
        <v>0</v>
      </c>
      <c r="RK56" s="191">
        <f t="shared" si="668"/>
        <v>0</v>
      </c>
      <c r="RL56" s="5380"/>
      <c r="RM56" s="1562">
        <f t="shared" si="550"/>
        <v>0</v>
      </c>
      <c r="RN56" s="128">
        <f t="shared" si="551"/>
        <v>0</v>
      </c>
      <c r="RO56" s="139">
        <f t="shared" si="552"/>
        <v>0</v>
      </c>
      <c r="RP56" s="718">
        <v>0</v>
      </c>
      <c r="RQ56" s="718">
        <v>0</v>
      </c>
      <c r="RR56" s="6348">
        <v>0</v>
      </c>
      <c r="RS56" s="6329"/>
      <c r="RT56" s="130">
        <v>0</v>
      </c>
      <c r="RU56" s="130">
        <v>0</v>
      </c>
      <c r="RV56" s="5311"/>
      <c r="RW56" s="147"/>
      <c r="RX56" s="201"/>
      <c r="RY56" s="148"/>
      <c r="RZ56" s="148"/>
      <c r="SA56" s="148"/>
      <c r="SB56" s="190"/>
      <c r="SC56" s="5380"/>
      <c r="SD56" s="5405"/>
      <c r="SE56" s="130"/>
      <c r="SF56" s="130"/>
      <c r="SG56" s="606"/>
      <c r="SH56" s="6361">
        <f t="shared" si="572"/>
        <v>0</v>
      </c>
      <c r="SI56" s="6363" t="e">
        <f t="shared" si="671"/>
        <v>#DIV/0!</v>
      </c>
      <c r="SJ56" s="134"/>
      <c r="SK56" s="134"/>
      <c r="SL56" s="134"/>
      <c r="SM56" s="188">
        <f t="shared" si="289"/>
        <v>0</v>
      </c>
      <c r="SN56" s="5389" t="e">
        <f t="shared" si="290"/>
        <v>#DIV/0!</v>
      </c>
      <c r="SO56" s="134"/>
      <c r="SP56" s="134"/>
      <c r="SQ56" s="134"/>
      <c r="SR56" s="134"/>
      <c r="SS56" s="6361">
        <f t="shared" si="672"/>
        <v>0</v>
      </c>
      <c r="ST56" s="6363"/>
      <c r="SU56" s="134"/>
      <c r="SV56" s="134"/>
      <c r="SW56" s="134"/>
      <c r="SX56" s="190">
        <f t="shared" si="673"/>
        <v>0</v>
      </c>
      <c r="SY56" s="5380" t="e">
        <f t="shared" si="687"/>
        <v>#DIV/0!</v>
      </c>
      <c r="SZ56" s="6270"/>
      <c r="TA56" s="118">
        <f t="shared" si="674"/>
        <v>0</v>
      </c>
      <c r="TB56" s="118">
        <f t="shared" si="675"/>
        <v>0</v>
      </c>
      <c r="TC56" s="5380"/>
      <c r="TD56" s="1563"/>
      <c r="TE56" s="134"/>
      <c r="TF56" s="134"/>
      <c r="TG56" s="134"/>
      <c r="TH56" s="133">
        <f t="shared" si="676"/>
        <v>0</v>
      </c>
      <c r="TI56" s="151"/>
      <c r="TJ56" s="134"/>
      <c r="TK56" s="134">
        <v>0</v>
      </c>
      <c r="TL56" s="134"/>
      <c r="TM56" s="190">
        <f t="shared" si="677"/>
        <v>0</v>
      </c>
      <c r="TN56" s="5380" t="e">
        <f t="shared" si="688"/>
        <v>#DIV/0!</v>
      </c>
      <c r="TO56" s="134"/>
      <c r="TP56" s="134"/>
      <c r="TQ56" s="134"/>
      <c r="TR56" s="134"/>
      <c r="TS56" s="133">
        <f t="shared" si="678"/>
        <v>0</v>
      </c>
      <c r="TT56" s="151"/>
      <c r="TU56" s="134">
        <v>0</v>
      </c>
      <c r="TV56" s="134"/>
      <c r="TW56" s="134"/>
      <c r="TX56" s="190">
        <f t="shared" si="679"/>
        <v>0</v>
      </c>
      <c r="TY56" s="135" t="e">
        <f t="shared" si="689"/>
        <v>#DIV/0!</v>
      </c>
      <c r="TZ56" s="1563"/>
      <c r="UA56" s="134"/>
      <c r="UB56" s="134"/>
      <c r="UC56" s="134"/>
      <c r="UD56" s="133">
        <f t="shared" si="680"/>
        <v>0</v>
      </c>
      <c r="UE56" s="151"/>
      <c r="UF56" s="134">
        <v>0</v>
      </c>
      <c r="UG56" s="134"/>
      <c r="UH56" s="134"/>
      <c r="UI56" s="190">
        <f t="shared" si="681"/>
        <v>0</v>
      </c>
      <c r="UJ56" s="5380" t="e">
        <f t="shared" si="690"/>
        <v>#DIV/0!</v>
      </c>
      <c r="UK56" s="5376"/>
      <c r="UL56" s="191">
        <f t="shared" si="284"/>
        <v>0</v>
      </c>
      <c r="UM56" s="191">
        <f t="shared" si="285"/>
        <v>0</v>
      </c>
      <c r="UN56" s="135" t="e">
        <f t="shared" si="484"/>
        <v>#DIV/0!</v>
      </c>
      <c r="UO56" s="191">
        <f t="shared" si="286"/>
        <v>0</v>
      </c>
      <c r="UP56" s="4952"/>
    </row>
    <row r="57" spans="1:581" ht="14" thickBot="1" x14ac:dyDescent="0.35">
      <c r="A57" s="5317"/>
      <c r="B57" s="5362"/>
      <c r="C57" s="719"/>
      <c r="D57" s="719"/>
      <c r="E57" s="6279"/>
      <c r="F57" s="663"/>
      <c r="G57" s="380"/>
      <c r="H57" s="380"/>
      <c r="I57" s="380"/>
      <c r="J57" s="663"/>
      <c r="K57" s="664"/>
      <c r="L57" s="380"/>
      <c r="M57" s="380"/>
      <c r="N57" s="380"/>
      <c r="O57" s="663"/>
      <c r="P57" s="664"/>
      <c r="Q57" s="380"/>
      <c r="R57" s="380"/>
      <c r="S57" s="380"/>
      <c r="T57" s="225"/>
      <c r="U57" s="664"/>
      <c r="V57" s="663"/>
      <c r="W57" s="663"/>
      <c r="X57" s="663"/>
      <c r="Y57" s="663"/>
      <c r="Z57" s="666"/>
      <c r="AA57" s="663"/>
      <c r="AB57" s="663"/>
      <c r="AC57" s="663"/>
      <c r="AD57" s="663"/>
      <c r="AE57" s="663"/>
      <c r="AF57" s="663"/>
      <c r="AG57" s="667"/>
      <c r="AH57" s="668"/>
      <c r="AI57" s="668"/>
      <c r="AJ57" s="668"/>
      <c r="AK57" s="2146"/>
      <c r="AL57" s="117"/>
      <c r="AM57" s="131"/>
      <c r="AN57" s="429"/>
      <c r="AO57" s="132"/>
      <c r="AP57" s="429"/>
      <c r="AQ57" s="429"/>
      <c r="AR57" s="701"/>
      <c r="AS57" s="5414"/>
      <c r="AT57" s="429"/>
      <c r="AU57" s="429"/>
      <c r="AV57" s="429"/>
      <c r="AW57" s="701"/>
      <c r="AX57" s="702"/>
      <c r="AY57" s="703">
        <f>AT57+Q57+L57+G57</f>
        <v>0</v>
      </c>
      <c r="AZ57" s="703">
        <f>AU57+R57+M57+H57</f>
        <v>0</v>
      </c>
      <c r="BA57" s="703">
        <f>AV57+S57+N57+I57</f>
        <v>0</v>
      </c>
      <c r="BB57" s="704"/>
      <c r="BC57" s="5416"/>
      <c r="BD57" s="5411"/>
      <c r="BE57" s="5411"/>
      <c r="BF57" s="5411"/>
      <c r="BG57" s="5411"/>
      <c r="BH57" s="5417"/>
      <c r="BI57" s="5416"/>
      <c r="BJ57" s="5411"/>
      <c r="BK57" s="5411"/>
      <c r="BL57" s="5411"/>
      <c r="BM57" s="5411"/>
      <c r="BN57" s="5417"/>
      <c r="BO57" s="5418"/>
      <c r="BP57" s="5411"/>
      <c r="BQ57" s="5411"/>
      <c r="BR57" s="5411"/>
      <c r="BS57" s="5411"/>
      <c r="BT57" s="704"/>
      <c r="BU57" s="5418"/>
      <c r="BV57" s="592">
        <f>BQ57+BK57+BE57</f>
        <v>0</v>
      </c>
      <c r="BW57" s="592">
        <f>BS57+BM57+BG57</f>
        <v>0</v>
      </c>
      <c r="BX57" s="5420"/>
      <c r="BY57" s="5421"/>
      <c r="BZ57" s="5422"/>
      <c r="CA57" s="5422"/>
      <c r="CB57" s="5422"/>
      <c r="CC57" s="5422"/>
      <c r="CD57" s="2013"/>
      <c r="CE57" s="5416"/>
      <c r="CF57" s="5411"/>
      <c r="CG57" s="5411"/>
      <c r="CH57" s="5411"/>
      <c r="CI57" s="148"/>
      <c r="CJ57" s="5464"/>
      <c r="CK57" s="667"/>
      <c r="CL57" s="668"/>
      <c r="CM57" s="668"/>
      <c r="CN57" s="668"/>
      <c r="CO57" s="2146"/>
      <c r="CP57" s="117"/>
      <c r="CQ57" s="147"/>
      <c r="CR57" s="227"/>
      <c r="CS57" s="227"/>
      <c r="CT57" s="148"/>
      <c r="CU57" s="148"/>
      <c r="CV57" s="198"/>
      <c r="CW57" s="131"/>
      <c r="CX57" s="132"/>
      <c r="CY57" s="132"/>
      <c r="CZ57" s="132"/>
      <c r="DA57" s="707">
        <f>CY57-(CX57+CZ57)</f>
        <v>0</v>
      </c>
      <c r="DB57" s="117"/>
      <c r="DC57" s="131"/>
      <c r="DD57" s="132"/>
      <c r="DE57" s="132"/>
      <c r="DF57" s="132"/>
      <c r="DG57" s="132"/>
      <c r="DH57" s="198"/>
      <c r="DI57" s="5465"/>
      <c r="DJ57" s="711"/>
      <c r="DK57" s="711"/>
      <c r="DL57" s="198"/>
      <c r="DM57" s="711"/>
      <c r="DN57" s="198"/>
      <c r="DO57" s="806"/>
      <c r="DP57" s="227"/>
      <c r="DQ57" s="227"/>
      <c r="DR57" s="227"/>
      <c r="DS57" s="198"/>
      <c r="DT57" s="198"/>
      <c r="DU57" s="198"/>
      <c r="DV57" s="201"/>
      <c r="DW57" s="806"/>
      <c r="DX57" s="807"/>
      <c r="DY57" s="807"/>
      <c r="DZ57" s="807"/>
      <c r="EA57" s="198"/>
      <c r="EB57" s="198"/>
      <c r="EC57" s="198"/>
      <c r="ED57" s="201"/>
      <c r="EE57" s="131"/>
      <c r="EF57" s="132"/>
      <c r="EG57" s="132"/>
      <c r="EH57" s="132"/>
      <c r="EI57" s="5466"/>
      <c r="EJ57" s="117"/>
      <c r="EK57" s="131"/>
      <c r="EL57" s="132"/>
      <c r="EM57" s="132"/>
      <c r="EN57" s="132"/>
      <c r="EO57" s="132"/>
      <c r="EP57" s="198"/>
      <c r="EQ57" s="131"/>
      <c r="ER57" s="132"/>
      <c r="ES57" s="132"/>
      <c r="ET57" s="132"/>
      <c r="EU57" s="148">
        <f>ES57-(ER57+ET57)</f>
        <v>0</v>
      </c>
      <c r="EV57" s="117"/>
      <c r="EW57" s="131"/>
      <c r="EX57" s="132"/>
      <c r="EY57" s="132"/>
      <c r="EZ57" s="132"/>
      <c r="FA57" s="132"/>
      <c r="FB57" s="198"/>
      <c r="FC57" s="806"/>
      <c r="FD57" s="227"/>
      <c r="FE57" s="227"/>
      <c r="FF57" s="227"/>
      <c r="FG57" s="198"/>
      <c r="FH57" s="198"/>
      <c r="FI57" s="198"/>
      <c r="FJ57" s="201"/>
      <c r="FK57" s="147"/>
      <c r="FL57" s="148"/>
      <c r="FM57" s="148"/>
      <c r="FN57" s="148"/>
      <c r="FO57" s="148"/>
      <c r="FP57" s="198"/>
      <c r="FQ57" s="147"/>
      <c r="FR57" s="148"/>
      <c r="FS57" s="148"/>
      <c r="FT57" s="197"/>
      <c r="FU57" s="198"/>
      <c r="FV57" s="803"/>
      <c r="FW57" s="197"/>
      <c r="FX57" s="197"/>
      <c r="FY57" s="197"/>
      <c r="FZ57" s="197"/>
      <c r="GA57" s="198"/>
      <c r="GB57" s="198"/>
      <c r="GC57" s="198"/>
      <c r="GD57" s="201"/>
      <c r="GE57" s="803"/>
      <c r="GF57" s="197"/>
      <c r="GG57" s="197"/>
      <c r="GH57" s="198"/>
      <c r="GI57" s="197"/>
      <c r="GJ57" s="803"/>
      <c r="GK57" s="197"/>
      <c r="GL57" s="197"/>
      <c r="GM57" s="197"/>
      <c r="GN57" s="147"/>
      <c r="GO57" s="148"/>
      <c r="GP57" s="148"/>
      <c r="GQ57" s="148"/>
      <c r="GR57" s="148">
        <f>GP57-(GO57+GQ57)</f>
        <v>0</v>
      </c>
      <c r="GS57" s="198"/>
      <c r="GT57" s="147"/>
      <c r="GU57" s="148"/>
      <c r="GV57" s="148"/>
      <c r="GW57" s="148"/>
      <c r="GX57" s="803"/>
      <c r="GY57" s="201"/>
      <c r="GZ57" s="5424"/>
      <c r="HA57" s="5424"/>
      <c r="HB57" s="5424"/>
      <c r="HC57" s="132"/>
      <c r="HD57" s="148">
        <f>HB57-(HA57+HC57)</f>
        <v>0</v>
      </c>
      <c r="HE57" s="201"/>
      <c r="HF57" s="3763"/>
      <c r="HG57" s="132"/>
      <c r="HH57" s="132"/>
      <c r="HI57" s="132"/>
      <c r="HJ57" s="5467"/>
      <c r="HK57" s="117"/>
      <c r="HL57" s="147"/>
      <c r="HM57" s="148"/>
      <c r="HN57" s="148"/>
      <c r="HO57" s="148"/>
      <c r="HP57" s="711"/>
      <c r="HQ57" s="201"/>
      <c r="HR57" s="148"/>
      <c r="HS57" s="148"/>
      <c r="HT57" s="148"/>
      <c r="HU57" s="148"/>
      <c r="HV57" s="709"/>
      <c r="HW57" s="712"/>
      <c r="HX57" s="710"/>
      <c r="HY57" s="711">
        <f>HN57+HB57+GP57</f>
        <v>0</v>
      </c>
      <c r="HZ57" s="1510">
        <f>HP57+HD57+GR57</f>
        <v>0</v>
      </c>
      <c r="IA57" s="198"/>
      <c r="IB57" s="712"/>
      <c r="IC57" s="618"/>
      <c r="ID57" s="745"/>
      <c r="IE57" s="141">
        <f t="shared" si="512"/>
        <v>0</v>
      </c>
      <c r="IF57" s="141">
        <f t="shared" si="513"/>
        <v>0</v>
      </c>
      <c r="IG57" s="618"/>
      <c r="IH57" s="1509"/>
      <c r="II57" s="69"/>
      <c r="IJ57" s="147"/>
      <c r="IK57" s="148"/>
      <c r="IL57" s="148"/>
      <c r="IM57" s="148">
        <v>0</v>
      </c>
      <c r="IN57" s="147">
        <f>IL57-(IK57+IM57)</f>
        <v>0</v>
      </c>
      <c r="IO57" s="201"/>
      <c r="IP57" s="148">
        <v>0</v>
      </c>
      <c r="IQ57" s="148">
        <v>0</v>
      </c>
      <c r="IR57" s="148">
        <v>0</v>
      </c>
      <c r="IS57" s="710"/>
      <c r="IT57" s="712"/>
      <c r="IU57" s="713"/>
      <c r="IV57" s="148"/>
      <c r="IW57" s="148"/>
      <c r="IX57" s="148">
        <v>0</v>
      </c>
      <c r="IY57" s="147"/>
      <c r="IZ57" s="201"/>
      <c r="JA57" s="148">
        <v>0</v>
      </c>
      <c r="JB57" s="148">
        <v>0</v>
      </c>
      <c r="JC57" s="148">
        <v>0</v>
      </c>
      <c r="JD57" s="803">
        <f>IY57-SUM(JA57:JC57)</f>
        <v>0</v>
      </c>
      <c r="JE57" s="364">
        <v>0</v>
      </c>
      <c r="JF57" s="713"/>
      <c r="JG57" s="148"/>
      <c r="JH57" s="148"/>
      <c r="JI57" s="148"/>
      <c r="JJ57" s="147"/>
      <c r="JK57" s="201"/>
      <c r="JL57" s="148">
        <v>0</v>
      </c>
      <c r="JM57" s="148">
        <v>0</v>
      </c>
      <c r="JN57" s="148">
        <v>0</v>
      </c>
      <c r="JO57" s="803">
        <f>JJ57-SUM(JL57:JN57)</f>
        <v>0</v>
      </c>
      <c r="JP57" s="364">
        <v>0</v>
      </c>
      <c r="JQ57" s="713"/>
      <c r="JR57" s="197">
        <f>JH57+IW57+IL57</f>
        <v>0</v>
      </c>
      <c r="JS57" s="197">
        <f>JJ57+IY57+IN57</f>
        <v>0</v>
      </c>
      <c r="JT57" s="201"/>
      <c r="JU57" s="713"/>
      <c r="JV57" s="148"/>
      <c r="JW57" s="148"/>
      <c r="JX57" s="148"/>
      <c r="JY57" s="147"/>
      <c r="JZ57" s="201"/>
      <c r="KA57" s="148"/>
      <c r="KB57" s="148"/>
      <c r="KC57" s="148">
        <v>0</v>
      </c>
      <c r="KD57" s="803">
        <f>JY57-SUM(KA57:KC57)</f>
        <v>0</v>
      </c>
      <c r="KE57" s="364">
        <v>0</v>
      </c>
      <c r="KF57" s="713"/>
      <c r="KG57" s="148"/>
      <c r="KH57" s="148"/>
      <c r="KI57" s="148"/>
      <c r="KJ57" s="147"/>
      <c r="KK57" s="201"/>
      <c r="KL57" s="148"/>
      <c r="KM57" s="148"/>
      <c r="KN57" s="148">
        <v>0</v>
      </c>
      <c r="KO57" s="803">
        <f>KJ57-SUM(KL57:KN57)</f>
        <v>0</v>
      </c>
      <c r="KP57" s="364">
        <v>0</v>
      </c>
      <c r="KQ57" s="713"/>
      <c r="KR57" s="148"/>
      <c r="KS57" s="148"/>
      <c r="KT57" s="148"/>
      <c r="KU57" s="147"/>
      <c r="KV57" s="201"/>
      <c r="KW57" s="148"/>
      <c r="KX57" s="148"/>
      <c r="KY57" s="148">
        <v>0</v>
      </c>
      <c r="KZ57" s="803">
        <f>KU57-SUM(KW57:KY57)</f>
        <v>0</v>
      </c>
      <c r="LA57" s="364">
        <v>0</v>
      </c>
      <c r="LB57" s="3767"/>
      <c r="LC57" s="197">
        <f t="shared" si="517"/>
        <v>0</v>
      </c>
      <c r="LD57" s="197">
        <f t="shared" si="518"/>
        <v>0</v>
      </c>
      <c r="LE57" s="201"/>
      <c r="LF57" s="165">
        <f t="shared" si="519"/>
        <v>0</v>
      </c>
      <c r="LG57" s="639">
        <f t="shared" si="520"/>
        <v>0</v>
      </c>
      <c r="LH57" s="640">
        <f t="shared" si="521"/>
        <v>0</v>
      </c>
      <c r="LI57" s="740">
        <v>0</v>
      </c>
      <c r="LJ57" s="740">
        <v>0</v>
      </c>
      <c r="LK57" s="741">
        <v>0</v>
      </c>
      <c r="LL57" s="713"/>
      <c r="LM57" s="148"/>
      <c r="LN57" s="148"/>
      <c r="LO57" s="148"/>
      <c r="LP57" s="147"/>
      <c r="LQ57" s="201"/>
      <c r="LR57" s="148"/>
      <c r="LS57" s="148"/>
      <c r="LT57" s="148">
        <v>0</v>
      </c>
      <c r="LU57" s="803">
        <f>LP57-SUM(LR57:LT57)</f>
        <v>0</v>
      </c>
      <c r="LV57" s="364">
        <v>0</v>
      </c>
      <c r="LW57" s="148"/>
      <c r="LX57" s="148"/>
      <c r="LY57" s="148"/>
      <c r="LZ57" s="148"/>
      <c r="MA57" s="147">
        <f t="shared" si="524"/>
        <v>0</v>
      </c>
      <c r="MB57" s="201"/>
      <c r="MC57" s="148"/>
      <c r="MD57" s="148"/>
      <c r="ME57" s="148"/>
      <c r="MF57" s="147"/>
      <c r="MG57" s="364"/>
      <c r="MH57" s="147"/>
      <c r="MI57" s="148"/>
      <c r="MJ57" s="148"/>
      <c r="MK57" s="148"/>
      <c r="ML57" s="147"/>
      <c r="MM57" s="201"/>
      <c r="MN57" s="148"/>
      <c r="MO57" s="148"/>
      <c r="MP57" s="148"/>
      <c r="MQ57" s="147"/>
      <c r="MR57" s="364"/>
      <c r="MS57" s="1474"/>
      <c r="MT57" s="109">
        <f t="shared" si="528"/>
        <v>0</v>
      </c>
      <c r="MU57" s="109">
        <f t="shared" si="529"/>
        <v>0</v>
      </c>
      <c r="MV57" s="198"/>
      <c r="MW57" s="147">
        <f t="shared" si="530"/>
        <v>0</v>
      </c>
      <c r="MX57" s="148">
        <f t="shared" si="531"/>
        <v>0</v>
      </c>
      <c r="MY57" s="148">
        <f t="shared" si="532"/>
        <v>0</v>
      </c>
      <c r="MZ57" s="198"/>
      <c r="NA57" s="198"/>
      <c r="NB57" s="201"/>
      <c r="NC57" s="147"/>
      <c r="ND57" s="148"/>
      <c r="NE57" s="148"/>
      <c r="NF57" s="148"/>
      <c r="NG57" s="147"/>
      <c r="NH57" s="201"/>
      <c r="NI57" s="148"/>
      <c r="NJ57" s="148"/>
      <c r="NK57" s="148"/>
      <c r="NL57" s="147"/>
      <c r="NM57" s="363"/>
      <c r="NN57" s="1565"/>
      <c r="NO57" s="148"/>
      <c r="NP57" s="148"/>
      <c r="NQ57" s="148"/>
      <c r="NR57" s="147"/>
      <c r="NS57" s="201"/>
      <c r="NT57" s="148"/>
      <c r="NU57" s="148"/>
      <c r="NV57" s="148"/>
      <c r="NW57" s="147"/>
      <c r="NX57" s="363"/>
      <c r="NY57" s="1565"/>
      <c r="NZ57" s="148"/>
      <c r="OA57" s="148"/>
      <c r="OB57" s="148"/>
      <c r="OC57" s="147"/>
      <c r="OD57" s="201"/>
      <c r="OE57" s="148"/>
      <c r="OF57" s="148"/>
      <c r="OG57" s="148"/>
      <c r="OH57" s="147"/>
      <c r="OI57" s="5410"/>
      <c r="OJ57" s="69"/>
      <c r="OK57" s="155">
        <f t="shared" si="540"/>
        <v>0</v>
      </c>
      <c r="OL57" s="155">
        <f t="shared" si="541"/>
        <v>0</v>
      </c>
      <c r="OM57" s="74">
        <v>0</v>
      </c>
      <c r="ON57" s="155">
        <f t="shared" si="543"/>
        <v>0</v>
      </c>
      <c r="OO57" s="70"/>
      <c r="OP57" s="69"/>
      <c r="OQ57" s="1565"/>
      <c r="OR57" s="148"/>
      <c r="OS57" s="148"/>
      <c r="OT57" s="148"/>
      <c r="OU57" s="147">
        <f>OS57-(OR57+OT57)</f>
        <v>0</v>
      </c>
      <c r="OV57" s="225"/>
      <c r="OW57" s="148">
        <v>0</v>
      </c>
      <c r="OX57" s="148">
        <v>0</v>
      </c>
      <c r="OY57" s="148">
        <v>0</v>
      </c>
      <c r="OZ57" s="710"/>
      <c r="PA57" s="5468"/>
      <c r="PB57" s="5322"/>
      <c r="PC57" s="148"/>
      <c r="PD57" s="148"/>
      <c r="PE57" s="148"/>
      <c r="PF57" s="147"/>
      <c r="PG57" s="225"/>
      <c r="PH57" s="148"/>
      <c r="PI57" s="148"/>
      <c r="PJ57" s="148"/>
      <c r="PK57" s="803"/>
      <c r="PL57" s="363"/>
      <c r="PM57" s="5382"/>
      <c r="PN57" s="148"/>
      <c r="PO57" s="148"/>
      <c r="PP57" s="148"/>
      <c r="PQ57" s="6297"/>
      <c r="PR57" s="6298"/>
      <c r="PS57" s="148"/>
      <c r="PT57" s="148"/>
      <c r="PU57" s="148"/>
      <c r="PV57" s="803"/>
      <c r="PW57" s="5410"/>
      <c r="PX57" s="5322"/>
      <c r="PY57" s="197"/>
      <c r="PZ57" s="197"/>
      <c r="QA57" s="198"/>
      <c r="QB57" s="5382"/>
      <c r="QC57" s="148"/>
      <c r="QD57" s="148"/>
      <c r="QE57" s="148"/>
      <c r="QF57" s="6297"/>
      <c r="QG57" s="6316"/>
      <c r="QH57" s="148"/>
      <c r="QI57" s="148"/>
      <c r="QJ57" s="148"/>
      <c r="QK57" s="803"/>
      <c r="QL57" s="5410"/>
      <c r="QM57" s="5382"/>
      <c r="QN57" s="148"/>
      <c r="QO57" s="148"/>
      <c r="QP57" s="148"/>
      <c r="QQ57" s="147"/>
      <c r="QR57" s="201"/>
      <c r="QS57" s="148"/>
      <c r="QT57" s="148"/>
      <c r="QU57" s="148"/>
      <c r="QV57" s="803"/>
      <c r="QW57" s="5410"/>
      <c r="QX57" s="5382"/>
      <c r="QY57" s="148"/>
      <c r="QZ57" s="148"/>
      <c r="RA57" s="148"/>
      <c r="RB57" s="147"/>
      <c r="RC57" s="201"/>
      <c r="RD57" s="148"/>
      <c r="RE57" s="148"/>
      <c r="RF57" s="148"/>
      <c r="RG57" s="803"/>
      <c r="RH57" s="5410"/>
      <c r="RI57" s="6318"/>
      <c r="RJ57" s="197">
        <f t="shared" si="548"/>
        <v>0</v>
      </c>
      <c r="RK57" s="197">
        <f t="shared" si="668"/>
        <v>0</v>
      </c>
      <c r="RL57" s="5383"/>
      <c r="RM57" s="6340">
        <f t="shared" si="550"/>
        <v>0</v>
      </c>
      <c r="RN57" s="639">
        <f t="shared" si="551"/>
        <v>0</v>
      </c>
      <c r="RO57" s="640">
        <f t="shared" si="552"/>
        <v>0</v>
      </c>
      <c r="RP57" s="740">
        <v>0</v>
      </c>
      <c r="RQ57" s="740">
        <v>0</v>
      </c>
      <c r="RR57" s="6349">
        <v>0</v>
      </c>
      <c r="RS57" s="6329"/>
      <c r="RT57" s="132"/>
      <c r="RU57" s="132"/>
      <c r="RV57" s="5311"/>
      <c r="RW57" s="147"/>
      <c r="RX57" s="201"/>
      <c r="RY57" s="148"/>
      <c r="RZ57" s="148"/>
      <c r="SA57" s="148"/>
      <c r="SB57" s="803"/>
      <c r="SC57" s="5410"/>
      <c r="SD57" s="5406"/>
      <c r="SE57" s="132"/>
      <c r="SF57" s="132"/>
      <c r="SG57" s="3764"/>
      <c r="SH57" s="6365">
        <f>SF57-(SE57+SG57)</f>
        <v>0</v>
      </c>
      <c r="SI57" s="6366"/>
      <c r="SJ57" s="148"/>
      <c r="SK57" s="148"/>
      <c r="SL57" s="148"/>
      <c r="SM57" s="147"/>
      <c r="SN57" s="5410"/>
      <c r="SO57" s="148"/>
      <c r="SP57" s="148"/>
      <c r="SQ57" s="148"/>
      <c r="SR57" s="148"/>
      <c r="SS57" s="6365"/>
      <c r="ST57" s="6366"/>
      <c r="SU57" s="148"/>
      <c r="SV57" s="148"/>
      <c r="SW57" s="148"/>
      <c r="SX57" s="147"/>
      <c r="SY57" s="5410"/>
      <c r="SZ57" s="6274"/>
      <c r="TA57" s="109">
        <f t="shared" si="674"/>
        <v>0</v>
      </c>
      <c r="TB57" s="109">
        <f t="shared" si="675"/>
        <v>0</v>
      </c>
      <c r="TC57" s="5383"/>
      <c r="TD57" s="1565"/>
      <c r="TE57" s="148"/>
      <c r="TF57" s="148"/>
      <c r="TG57" s="148"/>
      <c r="TH57" s="147"/>
      <c r="TI57" s="201"/>
      <c r="TJ57" s="148"/>
      <c r="TK57" s="148"/>
      <c r="TL57" s="148"/>
      <c r="TM57" s="147"/>
      <c r="TN57" s="5410"/>
      <c r="TO57" s="148"/>
      <c r="TP57" s="148"/>
      <c r="TQ57" s="148"/>
      <c r="TR57" s="148"/>
      <c r="TS57" s="147"/>
      <c r="TT57" s="201"/>
      <c r="TU57" s="148"/>
      <c r="TV57" s="148"/>
      <c r="TW57" s="148"/>
      <c r="TX57" s="147"/>
      <c r="TY57" s="363"/>
      <c r="TZ57" s="1565"/>
      <c r="UA57" s="148"/>
      <c r="UB57" s="148"/>
      <c r="UC57" s="148"/>
      <c r="UD57" s="147"/>
      <c r="UE57" s="201"/>
      <c r="UF57" s="148"/>
      <c r="UG57" s="148"/>
      <c r="UH57" s="148"/>
      <c r="UI57" s="147"/>
      <c r="UJ57" s="5410"/>
      <c r="UK57" s="6318"/>
      <c r="UL57" s="197"/>
      <c r="UM57" s="197"/>
      <c r="UN57" s="198"/>
      <c r="UO57" s="197"/>
      <c r="UP57" s="2196"/>
    </row>
    <row r="58" spans="1:581" s="4139" customFormat="1" ht="16.149999999999999" customHeight="1" thickBot="1" x14ac:dyDescent="0.35">
      <c r="A58" s="5475"/>
      <c r="B58" s="5430" t="s">
        <v>184</v>
      </c>
      <c r="C58" s="5431"/>
      <c r="D58" s="5431"/>
      <c r="E58" s="6285"/>
      <c r="F58" s="5476">
        <f>SUM(F20:F57)</f>
        <v>550.33333333333337</v>
      </c>
      <c r="G58" s="5476">
        <f>SUM(G20:G57)</f>
        <v>84798544</v>
      </c>
      <c r="H58" s="5476">
        <f>SUM(H20:H57)</f>
        <v>121733912</v>
      </c>
      <c r="I58" s="5476">
        <f>SUM(I20:I57)</f>
        <v>34070608.299999997</v>
      </c>
      <c r="J58" s="5434">
        <f>I58/H58</f>
        <v>0.27987770819358865</v>
      </c>
      <c r="K58" s="5439">
        <f>SUM(K20:K57)</f>
        <v>603.33333333333326</v>
      </c>
      <c r="L58" s="5476">
        <f>SUM(L20:L57)</f>
        <v>95958533</v>
      </c>
      <c r="M58" s="5476">
        <f>SUM(M20:M57)</f>
        <v>138437177.5</v>
      </c>
      <c r="N58" s="5476">
        <f>SUM(N20:N57)</f>
        <v>40754047.5</v>
      </c>
      <c r="O58" s="5434">
        <f>N58/M58</f>
        <v>0.29438658195700357</v>
      </c>
      <c r="P58" s="5476">
        <f>SUM(P20:P57)</f>
        <v>603.99999999999989</v>
      </c>
      <c r="Q58" s="5476">
        <f>SUM(Q20:Q57)</f>
        <v>101730788</v>
      </c>
      <c r="R58" s="5476">
        <f>SUM(R20:R57)</f>
        <v>142928755.41912001</v>
      </c>
      <c r="S58" s="5476">
        <f>SUM(S20:S57)</f>
        <v>37983783.419119999</v>
      </c>
      <c r="T58" s="5434">
        <f>S58/R58</f>
        <v>0.2657532650287025</v>
      </c>
      <c r="U58" s="5477"/>
      <c r="V58" s="5431"/>
      <c r="W58" s="5431"/>
      <c r="X58" s="5431"/>
      <c r="Y58" s="5431"/>
      <c r="Z58" s="5436"/>
      <c r="AA58" s="5431"/>
      <c r="AB58" s="5431"/>
      <c r="AC58" s="5431"/>
      <c r="AD58" s="5431"/>
      <c r="AE58" s="5431"/>
      <c r="AF58" s="5431"/>
      <c r="AG58" s="5478">
        <f>SUM(AG24:AG57)</f>
        <v>357</v>
      </c>
      <c r="AH58" s="5479">
        <f>SUM(AH24:AH57)</f>
        <v>22871528</v>
      </c>
      <c r="AI58" s="5479">
        <f>SUM(AI24:AI57)</f>
        <v>31366734.77</v>
      </c>
      <c r="AJ58" s="5479">
        <f>SUM(AJ24:AJ57)</f>
        <v>1186423.7</v>
      </c>
      <c r="AK58" s="5479">
        <f>SUM(AK24:AK57)</f>
        <v>7308783.0699999994</v>
      </c>
      <c r="AL58" s="5443">
        <f>AK58/AI58</f>
        <v>0.2330106440339566</v>
      </c>
      <c r="AM58" s="5480">
        <f>SUM(AM24:AM57)</f>
        <v>1524990</v>
      </c>
      <c r="AN58" s="5454">
        <f>SUM(AN24:AN57)</f>
        <v>2451941.8624999998</v>
      </c>
      <c r="AO58" s="5454">
        <f>SUM(AO24:AO57)</f>
        <v>0</v>
      </c>
      <c r="AP58" s="5454">
        <f>SUM(AP24:AP57)</f>
        <v>938289.38275862089</v>
      </c>
      <c r="AQ58" s="5454">
        <f>SUM(AQ24:AQ57)</f>
        <v>2393561.8247413812</v>
      </c>
      <c r="AR58" s="5461">
        <f>AQ58/AI58</f>
        <v>7.6308925436212413E-2</v>
      </c>
      <c r="AS58" s="5476">
        <f>SUM(AS20:AS57)</f>
        <v>518</v>
      </c>
      <c r="AT58" s="5476">
        <f>SUM(AT20:AT57)</f>
        <v>99379177</v>
      </c>
      <c r="AU58" s="5476">
        <f>SUM(AU20:AU57)</f>
        <v>139592934.43999997</v>
      </c>
      <c r="AV58" s="5476">
        <f>SUM(AV20:AV57)</f>
        <v>38079310.440000005</v>
      </c>
      <c r="AW58" s="5437">
        <f>AV58/AU58</f>
        <v>0.27278823668806323</v>
      </c>
      <c r="AX58" s="5476">
        <f>SUM(AX20:AX57)</f>
        <v>518</v>
      </c>
      <c r="AY58" s="5476">
        <f>SUM(AY20:AY57)</f>
        <v>381867042</v>
      </c>
      <c r="AZ58" s="5476">
        <f>SUM(AZ20:AZ57)</f>
        <v>542692779.35912001</v>
      </c>
      <c r="BA58" s="5476">
        <f>SUM(BA20:BA57)</f>
        <v>150887749.65911999</v>
      </c>
      <c r="BB58" s="5437">
        <f>BA58/AZ58</f>
        <v>0.27803529989344478</v>
      </c>
      <c r="BC58" s="5433">
        <f>SUM(BC20:BC57)</f>
        <v>555</v>
      </c>
      <c r="BD58" s="5433">
        <f>SUM(BD20:BD57)</f>
        <v>30961086</v>
      </c>
      <c r="BE58" s="5433">
        <f>SUM(BE20:BE57)</f>
        <v>42564650</v>
      </c>
      <c r="BF58" s="5433">
        <f>SUM(BF20:BF57)</f>
        <v>672409</v>
      </c>
      <c r="BG58" s="5433">
        <f>SUM(BG20:BG57)</f>
        <v>10931155</v>
      </c>
      <c r="BH58" s="5433">
        <f>SUM(BH5:BH57)</f>
        <v>0</v>
      </c>
      <c r="BI58" s="5433">
        <f>SUM(BI20:BI57)</f>
        <v>531</v>
      </c>
      <c r="BJ58" s="5433">
        <f>SUM(BJ20:BJ57)</f>
        <v>29934444</v>
      </c>
      <c r="BK58" s="5433">
        <f>SUM(BK20:BK57)</f>
        <v>41724218.549999997</v>
      </c>
      <c r="BL58" s="5433">
        <f>SUM(BL20:BL57)</f>
        <v>736073</v>
      </c>
      <c r="BM58" s="5433">
        <f>SUM(BM20:BM57)</f>
        <v>11053701.550000001</v>
      </c>
      <c r="BN58" s="5433">
        <f>SUM(BN5:BN57)</f>
        <v>0</v>
      </c>
      <c r="BO58" s="5432">
        <f>SUM(BO20:BO57)</f>
        <v>521</v>
      </c>
      <c r="BP58" s="5433">
        <f>SUM(BP20:BP57)</f>
        <v>29810873</v>
      </c>
      <c r="BQ58" s="5433">
        <f>SUM(BQ20:BQ57)</f>
        <v>39912321.670000002</v>
      </c>
      <c r="BR58" s="5433">
        <f>SUM(BR20:BR57)</f>
        <v>507521</v>
      </c>
      <c r="BS58" s="5433">
        <f>SUM(BS20:BS57)</f>
        <v>9593927.6699999999</v>
      </c>
      <c r="BT58" s="5438">
        <f>BS58/BQ58</f>
        <v>0.24037508389824519</v>
      </c>
      <c r="BU58" s="5433">
        <f>SUM(BU20:BU57)</f>
        <v>521</v>
      </c>
      <c r="BV58" s="5433">
        <f>SUM(BV20:BV57)</f>
        <v>124201190.22</v>
      </c>
      <c r="BW58" s="5433">
        <f>SUM(BW20:BW57)</f>
        <v>31578784.220000003</v>
      </c>
      <c r="BX58" s="5438">
        <f>BW58/BV58</f>
        <v>0.25425508535034069</v>
      </c>
      <c r="BY58" s="5432">
        <f>SUM(BY20:BY57)</f>
        <v>456</v>
      </c>
      <c r="BZ58" s="5433">
        <f>SUM(BZ20:BZ57)</f>
        <v>29160646</v>
      </c>
      <c r="CA58" s="5433">
        <f>SUM(CA20:CA57)</f>
        <v>40612053.549999997</v>
      </c>
      <c r="CB58" s="5433">
        <f>SUM(CB20:CB57)</f>
        <v>849763</v>
      </c>
      <c r="CC58" s="5433">
        <f>SUM(CC20:CC57)</f>
        <v>10601644.550000001</v>
      </c>
      <c r="CD58" s="5443">
        <f>CC58/CA58</f>
        <v>0.26104674901375435</v>
      </c>
      <c r="CE58" s="5432">
        <f>SUM(CE20:CE57)</f>
        <v>2530432.9500000002</v>
      </c>
      <c r="CF58" s="5433">
        <f>SUM(CF20:CF57)</f>
        <v>3400213</v>
      </c>
      <c r="CG58" s="5433">
        <f>SUM(CG20:CG57)</f>
        <v>0</v>
      </c>
      <c r="CH58" s="5433">
        <f>SUM(CH20:CH57)</f>
        <v>1411776.7500000005</v>
      </c>
      <c r="CI58" s="5433">
        <f>SUM(CI20:CI57)</f>
        <v>3259221.850000001</v>
      </c>
      <c r="CJ58" s="5443"/>
      <c r="CK58" s="5432">
        <f>SUM(CK20:CK57)</f>
        <v>437</v>
      </c>
      <c r="CL58" s="5433">
        <f>SUM(CL20:CL57)</f>
        <v>28310546</v>
      </c>
      <c r="CM58" s="5433">
        <f>SUM(CM20:CM57)</f>
        <v>39479339</v>
      </c>
      <c r="CN58" s="5433">
        <f>SUM(CN20:CN57)</f>
        <v>1057080</v>
      </c>
      <c r="CO58" s="5433">
        <f>SUM(CO20:CO57)</f>
        <v>10111713</v>
      </c>
      <c r="CP58" s="5443">
        <f>CO58/CM58</f>
        <v>0.25612670465430032</v>
      </c>
      <c r="CQ58" s="5432">
        <f>SUM(CQ20:CQ57)</f>
        <v>1750045.166666667</v>
      </c>
      <c r="CR58" s="5433">
        <f>SUM(CR20:CR57)</f>
        <v>3179226.3692307696</v>
      </c>
      <c r="CS58" s="5433">
        <f>SUM(CS20:CS57)</f>
        <v>0</v>
      </c>
      <c r="CT58" s="5433">
        <f>SUM(CT20:CT57)</f>
        <v>2794922.5405769218</v>
      </c>
      <c r="CU58" s="5433">
        <f>SUM(CU20:CU57)</f>
        <v>2387518.9235256426</v>
      </c>
      <c r="CV58" s="5481">
        <f>CU58/CM58</f>
        <v>6.047514938194995E-2</v>
      </c>
      <c r="CW58" s="5432">
        <f>SUM(CW20:CW57)</f>
        <v>372</v>
      </c>
      <c r="CX58" s="5433">
        <f>SUM(CX20:CX57)</f>
        <v>24659885</v>
      </c>
      <c r="CY58" s="5433">
        <f>SUM(CY20:CY57)</f>
        <v>33522029.670000002</v>
      </c>
      <c r="CZ58" s="5433">
        <f>SUM(CZ20:CZ57)</f>
        <v>1198659</v>
      </c>
      <c r="DA58" s="5433">
        <f>SUM(DA20:DA57)</f>
        <v>7663485.6699999999</v>
      </c>
      <c r="DB58" s="5443">
        <f>DA58/CY58</f>
        <v>0.22861043157116206</v>
      </c>
      <c r="DC58" s="5432">
        <f>SUM(DC20:DC57)</f>
        <v>1950355</v>
      </c>
      <c r="DD58" s="5433">
        <f>SUM(DD20:DD57)</f>
        <v>3001063.5000000009</v>
      </c>
      <c r="DE58" s="5433">
        <f>SUM(DE20:DE57)</f>
        <v>0</v>
      </c>
      <c r="DF58" s="5433">
        <f>SUM(DF20:DF57)</f>
        <v>1575405.1760416671</v>
      </c>
      <c r="DG58" s="5433">
        <f>SUM(DG20:DG57)</f>
        <v>1136661.9939583321</v>
      </c>
      <c r="DH58" s="5481">
        <f>DG58/CY58</f>
        <v>3.3907910861840487E-2</v>
      </c>
      <c r="DI58" s="5482">
        <f>SUM(DI20:DI57)</f>
        <v>421.66666666666663</v>
      </c>
      <c r="DJ58" s="5483">
        <f>SUM(DJ20:DJ57)</f>
        <v>113613422.22</v>
      </c>
      <c r="DK58" s="5483">
        <f>SUM(DK20:DK57)</f>
        <v>28376843.220000003</v>
      </c>
      <c r="DL58" s="5483">
        <f>SUM(DL20:DL57)</f>
        <v>3.8720610664432762</v>
      </c>
      <c r="DM58" s="5483">
        <f>SUM(DM20:DM57)</f>
        <v>6783402.7674839711</v>
      </c>
      <c r="DN58" s="5437">
        <f>DM58/DJ58</f>
        <v>5.970599806727634E-2</v>
      </c>
      <c r="DO58" s="5482">
        <f>SUM(DO20:DO57)</f>
        <v>-145</v>
      </c>
      <c r="DP58" s="5483">
        <f>SUM(DP20:DP57)</f>
        <v>-7278689</v>
      </c>
      <c r="DQ58" s="5483">
        <f>SUM(DQ20:DQ57)</f>
        <v>-10012574.1</v>
      </c>
      <c r="DR58" s="5483">
        <f>SUM(DR20:DR57)</f>
        <v>-2374909.4</v>
      </c>
      <c r="DS58" s="5433">
        <f>SUM(DS20:DS57)</f>
        <v>-8.6077832212507133</v>
      </c>
      <c r="DT58" s="5484">
        <f>DP58/AI58</f>
        <v>-0.23205121774299367</v>
      </c>
      <c r="DU58" s="5484">
        <f>DQ58/AK58</f>
        <v>-1.3699372390867801</v>
      </c>
      <c r="DV58" s="5447">
        <f>DR58/AQ58</f>
        <v>-0.99220725174149338</v>
      </c>
      <c r="DW58" s="5482">
        <f>SUM(DW20:DW57)</f>
        <v>-65</v>
      </c>
      <c r="DX58" s="5483">
        <f>SUM(DX20:DX57)</f>
        <v>-5957309.3300000001</v>
      </c>
      <c r="DY58" s="5483">
        <f>SUM(DY20:DY57)</f>
        <v>-2448227.33</v>
      </c>
      <c r="DZ58" s="5483">
        <f>SUM(DZ20:DZ57)</f>
        <v>-1250856.9295673091</v>
      </c>
      <c r="EA58" s="5438">
        <f>DW58/CK58</f>
        <v>-0.14874141876430205</v>
      </c>
      <c r="EB58" s="5438">
        <f>DX58/CM58</f>
        <v>-0.1508968863435125</v>
      </c>
      <c r="EC58" s="5438">
        <f>DY58/CO58</f>
        <v>-0.24211796062645372</v>
      </c>
      <c r="ED58" s="5437">
        <f>DZ58/CU58</f>
        <v>-0.52391498020889904</v>
      </c>
      <c r="EE58" s="5482">
        <f>SUM(EE20:EE57)</f>
        <v>355</v>
      </c>
      <c r="EF58" s="5483">
        <f>SUM(EF20:EF57)</f>
        <v>23374058</v>
      </c>
      <c r="EG58" s="5483">
        <f>SUM(EG20:EG57)</f>
        <v>31938587.100000001</v>
      </c>
      <c r="EH58" s="5483">
        <f>SUM(EH20:EH57)</f>
        <v>685552</v>
      </c>
      <c r="EI58" s="5483">
        <f>SUM(EI20:EI57)</f>
        <v>7878977.0999999996</v>
      </c>
      <c r="EJ58" s="5443">
        <f>EI58/EG58</f>
        <v>0.24669147308648476</v>
      </c>
      <c r="EK58" s="5482">
        <f>SUM(EK20:EK57)</f>
        <v>1723336</v>
      </c>
      <c r="EL58" s="5483">
        <f>SUM(EL20:EL57)</f>
        <v>2576933.3199999998</v>
      </c>
      <c r="EM58" s="5483">
        <f>SUM(EM20:EM57)</f>
        <v>0</v>
      </c>
      <c r="EN58" s="5483">
        <f>SUM(EN20:EN57)</f>
        <v>1445821.822916667</v>
      </c>
      <c r="EO58" s="5483">
        <f>SUM(EO20:EO57)</f>
        <v>2130019.9570833333</v>
      </c>
      <c r="EP58" s="5481">
        <f>EO58/EG58</f>
        <v>6.6691114118925227E-2</v>
      </c>
      <c r="EQ58" s="5482">
        <f>SUM(EQ20:EQ57)</f>
        <v>347</v>
      </c>
      <c r="ER58" s="5483">
        <f>SUM(ER20:ER57)</f>
        <v>23157360</v>
      </c>
      <c r="ES58" s="5483">
        <f>SUM(ES20:ES57)</f>
        <v>30289254.670000002</v>
      </c>
      <c r="ET58" s="5483">
        <f>SUM(ET20:ET57)</f>
        <v>446398</v>
      </c>
      <c r="EU58" s="5483">
        <f>SUM(EU20:EU57)</f>
        <v>6685496.6699999999</v>
      </c>
      <c r="EV58" s="5443">
        <f>EU58/ES58</f>
        <v>0.22072172930097389</v>
      </c>
      <c r="EW58" s="5482">
        <f>SUM(EW20:EW57)</f>
        <v>1727290</v>
      </c>
      <c r="EX58" s="5483">
        <f>SUM(EX20:EX57)</f>
        <v>2073693.085</v>
      </c>
      <c r="EY58" s="5483">
        <f>SUM(EY20:EY57)</f>
        <v>0</v>
      </c>
      <c r="EZ58" s="5483">
        <f>SUM(EZ20:EZ57)</f>
        <v>1544774.2193750001</v>
      </c>
      <c r="FA58" s="5483">
        <f>SUM(FA20:FA57)</f>
        <v>1339739.3656249999</v>
      </c>
      <c r="FB58" s="5481">
        <f>FA58/ES58</f>
        <v>4.4231506526700541E-2</v>
      </c>
      <c r="FC58" s="5482">
        <f>SUM(FC20:FC57)</f>
        <v>-170</v>
      </c>
      <c r="FD58" s="5483">
        <f>SUM(FD20:FD57)</f>
        <v>-13245349.1</v>
      </c>
      <c r="FE58" s="5483">
        <f>SUM(FE20:FE57)</f>
        <v>-3352898.4</v>
      </c>
      <c r="FF58" s="5483">
        <f>SUM(FF20:FF57)</f>
        <v>-1664093.8522198296</v>
      </c>
      <c r="FG58" s="5485">
        <f>FC58/AG58</f>
        <v>-0.47619047619047616</v>
      </c>
      <c r="FH58" s="5485">
        <f>FD58/AI58</f>
        <v>-0.42227376222367313</v>
      </c>
      <c r="FI58" s="5485">
        <f>FE58/AK58</f>
        <v>-0.4587492018695255</v>
      </c>
      <c r="FJ58" s="5486">
        <f>FF58/AQ58</f>
        <v>-0.69523746369059469</v>
      </c>
      <c r="FK58" s="5482">
        <f>SUM(FK20:FK57)</f>
        <v>284</v>
      </c>
      <c r="FL58" s="5483">
        <f>SUM(FL20:FL57)</f>
        <v>18849940</v>
      </c>
      <c r="FM58" s="5483">
        <f>SUM(FM20:FM57)</f>
        <v>24365608.830000002</v>
      </c>
      <c r="FN58" s="5483">
        <f>SUM(FN20:FN57)</f>
        <v>2174636</v>
      </c>
      <c r="FO58" s="5483">
        <f>SUM(FO20:FO57)</f>
        <v>3341032.83</v>
      </c>
      <c r="FP58" s="5438">
        <f>FO58/FM58</f>
        <v>0.13712084328819948</v>
      </c>
      <c r="FQ58" s="5482">
        <f>SUM(FQ20:FQ57)</f>
        <v>1162969</v>
      </c>
      <c r="FR58" s="5483">
        <f>SUM(FR20:FR57)</f>
        <v>1762942</v>
      </c>
      <c r="FS58" s="5483">
        <f>SUM(FS20:FS57)</f>
        <v>1260329.2</v>
      </c>
      <c r="FT58" s="5483">
        <f>SUM(FT20:FT57)</f>
        <v>-845207.37</v>
      </c>
      <c r="FU58" s="5437">
        <f>FT58/FM58</f>
        <v>-3.4688538911424358E-2</v>
      </c>
      <c r="FV58" s="5482">
        <f>SUM(FV20:FV57)</f>
        <v>-233</v>
      </c>
      <c r="FW58" s="5483">
        <f>SUM(FW20:FW57)</f>
        <v>-13088634</v>
      </c>
      <c r="FX58" s="5483">
        <f>SUM(FX20:FX57)</f>
        <v>-19168994.939999998</v>
      </c>
      <c r="FY58" s="5483">
        <f>SUM(FY20:FY57)</f>
        <v>-6697362.2399999993</v>
      </c>
      <c r="FZ58" s="5483">
        <f>SUM(FZ20:FZ57)</f>
        <v>-3849040.5878448295</v>
      </c>
      <c r="GA58" s="5484">
        <f>FV58/AG58</f>
        <v>-0.65266106442577032</v>
      </c>
      <c r="GB58" s="5484">
        <f>FX58/AI58</f>
        <v>-0.61112497301866908</v>
      </c>
      <c r="GC58" s="5484">
        <f>FY58/AK58</f>
        <v>-0.91634437304485494</v>
      </c>
      <c r="GD58" s="5447">
        <f>FZ58/AQ58</f>
        <v>-1.6080807055237478</v>
      </c>
      <c r="GE58" s="5482">
        <f>SUM(GE20:GE57)</f>
        <v>328.66666666666669</v>
      </c>
      <c r="GF58" s="5483">
        <f>SUM(GF20:GF57)</f>
        <v>86593450.599999994</v>
      </c>
      <c r="GG58" s="5483">
        <f>SUM(GG20:GG57)</f>
        <v>17905506.600000001</v>
      </c>
      <c r="GH58" s="5484">
        <f>GG58/GF58</f>
        <v>0.20677668433275256</v>
      </c>
      <c r="GI58" s="5479">
        <f>SUM(GI24)</f>
        <v>1336633.5031249998</v>
      </c>
      <c r="GJ58" s="5482">
        <f t="shared" ref="GJ58:GR58" si="694">SUM(GJ20:GJ57)</f>
        <v>-92.999999999999986</v>
      </c>
      <c r="GK58" s="5483">
        <f t="shared" si="694"/>
        <v>-27019971.620000001</v>
      </c>
      <c r="GL58" s="5483">
        <f t="shared" si="694"/>
        <v>-10471336.619999999</v>
      </c>
      <c r="GM58" s="5483">
        <f t="shared" si="694"/>
        <v>-4158850.8147756429</v>
      </c>
      <c r="GN58" s="5482">
        <f t="shared" si="694"/>
        <v>268</v>
      </c>
      <c r="GO58" s="5483">
        <f t="shared" si="694"/>
        <v>17595471</v>
      </c>
      <c r="GP58" s="5483">
        <f t="shared" si="694"/>
        <v>24381776.670000002</v>
      </c>
      <c r="GQ58" s="5483">
        <f t="shared" si="694"/>
        <v>290291</v>
      </c>
      <c r="GR58" s="5483">
        <f t="shared" si="694"/>
        <v>6496014.6699999999</v>
      </c>
      <c r="GS58" s="5437">
        <f>GR58/GP58</f>
        <v>0.26642909406978826</v>
      </c>
      <c r="GT58" s="5483">
        <f>SUM(GT20:GT57)</f>
        <v>1430690</v>
      </c>
      <c r="GU58" s="5483">
        <f>SUM(GU20:GU57)</f>
        <v>2045867</v>
      </c>
      <c r="GV58" s="5483">
        <f>SUM(GV20:GV57)</f>
        <v>0</v>
      </c>
      <c r="GW58" s="5483">
        <f>SUM(GW20:GW57)</f>
        <v>1382324</v>
      </c>
      <c r="GX58" s="5483">
        <f>SUM(GX20:GX57)</f>
        <v>1637133.67</v>
      </c>
      <c r="GY58" s="5437">
        <f>GX58/GP58</f>
        <v>6.7145790569658262E-2</v>
      </c>
      <c r="GZ58" s="5482">
        <f>SUM(GZ20:GZ57)</f>
        <v>265</v>
      </c>
      <c r="HA58" s="5483">
        <f>SUM(HA20:HA57)</f>
        <v>17552913</v>
      </c>
      <c r="HB58" s="5483">
        <f>SUM(HB20:HB57)</f>
        <v>23377894.670000002</v>
      </c>
      <c r="HC58" s="5483">
        <f>SUM(HC20:HC57)</f>
        <v>338333</v>
      </c>
      <c r="HD58" s="5483">
        <f>SUM(HD20:HD57)</f>
        <v>5486648.6699999999</v>
      </c>
      <c r="HE58" s="5437">
        <f>HD58/HB58</f>
        <v>0.23469387416826784</v>
      </c>
      <c r="HF58" s="5482">
        <f>SUM(HF20:HF57)</f>
        <v>1414549</v>
      </c>
      <c r="HG58" s="5483">
        <f>SUM(HG20:HG57)</f>
        <v>2744671</v>
      </c>
      <c r="HH58" s="5483">
        <f>SUM(HH20:HH57)</f>
        <v>0</v>
      </c>
      <c r="HI58" s="5483">
        <f>SUM(HI20:HI57)</f>
        <v>1738283.125</v>
      </c>
      <c r="HJ58" s="5483">
        <f>SUM(HJ20:HJ57)</f>
        <v>-433925.125</v>
      </c>
      <c r="HK58" s="5437">
        <f>HJ58/HB58</f>
        <v>-1.8561343145960883E-2</v>
      </c>
      <c r="HL58" s="5482">
        <f>SUM(HL20:HL57)</f>
        <v>232</v>
      </c>
      <c r="HM58" s="5483">
        <f>SUM(HM20:HM57)</f>
        <v>16242186</v>
      </c>
      <c r="HN58" s="5483">
        <f>SUM(HN20:HN57)</f>
        <v>20488752</v>
      </c>
      <c r="HO58" s="5483">
        <f>SUM(HO20:HO57)</f>
        <v>1011991</v>
      </c>
      <c r="HP58" s="5483">
        <f>SUM(HP20:HP57)</f>
        <v>3234575</v>
      </c>
      <c r="HQ58" s="5437">
        <f>HP58/HN58</f>
        <v>0.15787076733614619</v>
      </c>
      <c r="HR58" s="5482">
        <f>SUM(HR20:HR57)</f>
        <v>1189849</v>
      </c>
      <c r="HS58" s="5483">
        <f>SUM(HS20:HS57)</f>
        <v>3666422.72</v>
      </c>
      <c r="HT58" s="5483">
        <f>SUM(HT20:HT57)</f>
        <v>0</v>
      </c>
      <c r="HU58" s="5433">
        <f>SUM(HU20:HU57)</f>
        <v>1372236.25</v>
      </c>
      <c r="HV58" s="5483">
        <f>SUM(HV20:HV57)</f>
        <v>-2993932.9700000007</v>
      </c>
      <c r="HW58" s="5437">
        <f>HV58/HN58</f>
        <v>-0.14612568740155576</v>
      </c>
      <c r="HX58" s="5482">
        <f>SUM(HX20:HX57)</f>
        <v>230</v>
      </c>
      <c r="HY58" s="5483">
        <f>SUM(HY20:HY57)</f>
        <v>68248423.340000004</v>
      </c>
      <c r="HZ58" s="5487">
        <f>SUM(HZ20:HZ57)</f>
        <v>15217238.34</v>
      </c>
      <c r="IA58" s="5483">
        <f>SUM(IA20:IA57)</f>
        <v>0</v>
      </c>
      <c r="IB58" s="5487">
        <f>SUM(IB20:IB57)</f>
        <v>-1790724.4250000005</v>
      </c>
      <c r="IC58" s="5483"/>
      <c r="ID58" s="5482">
        <f>SUM(ID20:ID57)</f>
        <v>232</v>
      </c>
      <c r="IE58" s="5483">
        <f>SUM(IE20:IE57)</f>
        <v>392656486.38000005</v>
      </c>
      <c r="IF58" s="5483">
        <f>SUM(IF20:IF57)</f>
        <v>93078372.379999995</v>
      </c>
      <c r="IG58" s="5438">
        <f>IF58/IE58</f>
        <v>0.23704784107379243</v>
      </c>
      <c r="IH58" s="5487"/>
      <c r="II58" s="5483"/>
      <c r="IJ58" s="5432">
        <f>SUM(IJ20:IJ57)</f>
        <v>230</v>
      </c>
      <c r="IK58" s="5433">
        <f>SUM(IK20:IK57)</f>
        <v>15980183</v>
      </c>
      <c r="IL58" s="5433">
        <f>SUM(IL20:IL57)</f>
        <v>20586203</v>
      </c>
      <c r="IM58" s="5433">
        <f>SUM(IM20:IM57)</f>
        <v>422177</v>
      </c>
      <c r="IN58" s="5432">
        <f>SUM(IN20:IN57)</f>
        <v>4183843</v>
      </c>
      <c r="IO58" s="5437">
        <f>IN58/IL58</f>
        <v>0.20323529307468696</v>
      </c>
      <c r="IP58" s="5432">
        <f>SUM(IP20:IP57)</f>
        <v>1924485</v>
      </c>
      <c r="IQ58" s="5433">
        <f>SUM(IQ20:IQ57)</f>
        <v>960041</v>
      </c>
      <c r="IR58" s="5433">
        <f>SUM(IR20:IR57)</f>
        <v>1112374</v>
      </c>
      <c r="IS58" s="5432">
        <f>SUM(IS20:IS57)</f>
        <v>186943</v>
      </c>
      <c r="IT58" s="5437">
        <f>IS58/IL58</f>
        <v>9.0809849684276404E-3</v>
      </c>
      <c r="IU58" s="5432">
        <f>SUM(IU20:IU57)</f>
        <v>226</v>
      </c>
      <c r="IV58" s="5433">
        <f>SUM(IV20:IV57)</f>
        <v>16211306</v>
      </c>
      <c r="IW58" s="5433">
        <f>SUM(IW20:IW57)</f>
        <v>22361833.68</v>
      </c>
      <c r="IX58" s="5433">
        <f>SUM(IX20:IX57)</f>
        <v>189554</v>
      </c>
      <c r="IY58" s="5432">
        <f>SUM(IY20:IY57)</f>
        <v>5960973.6799999997</v>
      </c>
      <c r="IZ58" s="5437">
        <f>IY58/IW58</f>
        <v>0.26656909112651983</v>
      </c>
      <c r="JA58" s="5432">
        <f>SUM(JA20:JA57)</f>
        <v>1326748</v>
      </c>
      <c r="JB58" s="5433">
        <f>SUM(JB20:JB57)</f>
        <v>3929547</v>
      </c>
      <c r="JC58" s="5433">
        <f>SUM(JC20:JC57)</f>
        <v>1197000</v>
      </c>
      <c r="JD58" s="5432">
        <f>SUM(JD20:JD57)</f>
        <v>-530918.31999999995</v>
      </c>
      <c r="JE58" s="5437">
        <f>JD58/IW58</f>
        <v>-2.3742163885014638E-2</v>
      </c>
      <c r="JF58" s="5432">
        <f>SUM(JF20:JF57)</f>
        <v>205</v>
      </c>
      <c r="JG58" s="5433">
        <f>SUM(JG20:JG57)</f>
        <v>14842266</v>
      </c>
      <c r="JH58" s="5433">
        <f>SUM(JH20:JH57)</f>
        <v>19169439.329999998</v>
      </c>
      <c r="JI58" s="5433">
        <f>SUM(JI20:JI57)</f>
        <v>538576</v>
      </c>
      <c r="JJ58" s="5432">
        <f>SUM(JJ20:JJ57)</f>
        <v>3788597.33</v>
      </c>
      <c r="JK58" s="5437">
        <f>JJ58/JH58</f>
        <v>0.19763735729458085</v>
      </c>
      <c r="JL58" s="5432">
        <f>SUM(JL20:JL57)</f>
        <v>1467466</v>
      </c>
      <c r="JM58" s="5433">
        <f>SUM(JM20:JM57)</f>
        <v>1024100</v>
      </c>
      <c r="JN58" s="5433">
        <f>SUM(JN20:JN57)</f>
        <v>1148303</v>
      </c>
      <c r="JO58" s="5432">
        <f>SUM(JO20:JO57)</f>
        <v>148728.32999999996</v>
      </c>
      <c r="JP58" s="5437">
        <f>JO58/JH58</f>
        <v>7.7586165896485803E-3</v>
      </c>
      <c r="JQ58" s="5432">
        <f>SUM(JQ20:JQ57)</f>
        <v>204</v>
      </c>
      <c r="JR58" s="5433">
        <f>SUM(JR20:JR57)</f>
        <v>62117476.009999998</v>
      </c>
      <c r="JS58" s="5433">
        <f>SUM(JS20:JS57)</f>
        <v>13933414.01</v>
      </c>
      <c r="JT58" s="5435">
        <f>JS58/JR58</f>
        <v>0.22430747198673889</v>
      </c>
      <c r="JU58" s="5432">
        <f>SUM(JU20:JU57)</f>
        <v>203</v>
      </c>
      <c r="JV58" s="5433">
        <f>SUM(JV20:JV57)</f>
        <v>14990971</v>
      </c>
      <c r="JW58" s="5433">
        <f>SUM(JW20:JW57)</f>
        <v>20878669.769999996</v>
      </c>
      <c r="JX58" s="5433">
        <f>SUM(JX20:JX57)</f>
        <v>73513</v>
      </c>
      <c r="JY58" s="5432">
        <f>SUM(JY20:JY57)</f>
        <v>5814185.7700000005</v>
      </c>
      <c r="JZ58" s="5437">
        <f>JY58/JW58</f>
        <v>0.27847491406537062</v>
      </c>
      <c r="KA58" s="5432">
        <f>SUM(KA20:KA57)</f>
        <v>2003266</v>
      </c>
      <c r="KB58" s="5433">
        <f>SUM(KB20:KB57)</f>
        <v>1338955.9875000003</v>
      </c>
      <c r="KC58" s="5433">
        <f>SUM(KC20:KC57)</f>
        <v>1612403.4000000004</v>
      </c>
      <c r="KD58" s="5432">
        <f>SUM(KD20:KD57)</f>
        <v>859560.38249999937</v>
      </c>
      <c r="KE58" s="5488">
        <f>KD58/JW58</f>
        <v>4.1169307813617453E-2</v>
      </c>
      <c r="KF58" s="5432">
        <f>SUM(KF20:KF57)</f>
        <v>200</v>
      </c>
      <c r="KG58" s="5433">
        <f>SUM(KG20:KG57)</f>
        <v>14667588</v>
      </c>
      <c r="KH58" s="5433">
        <f>SUM(KH20:KH57)</f>
        <v>19765706.989999998</v>
      </c>
      <c r="KI58" s="5433">
        <f>SUM(KI20:KI57)</f>
        <v>248640</v>
      </c>
      <c r="KJ58" s="5432">
        <f>SUM(KJ20:KJ57)</f>
        <v>4849478.99</v>
      </c>
      <c r="KK58" s="5437">
        <f>KJ58/KH58</f>
        <v>0.24534811694079456</v>
      </c>
      <c r="KL58" s="5432">
        <f>SUM(KL20:KL57)</f>
        <v>1860654</v>
      </c>
      <c r="KM58" s="5433">
        <f>SUM(KM20:KM57)</f>
        <v>969771.74687499995</v>
      </c>
      <c r="KN58" s="5433">
        <f>SUM(KN20:KN57)</f>
        <v>1408333</v>
      </c>
      <c r="KO58" s="5432">
        <f>SUM(KO20:KO57)</f>
        <v>610720.24312500004</v>
      </c>
      <c r="KP58" s="5488">
        <f>KO58/KH58</f>
        <v>3.0897971088713387E-2</v>
      </c>
      <c r="KQ58" s="5432">
        <f>SUM(KQ20:KQ57)</f>
        <v>192</v>
      </c>
      <c r="KR58" s="5433">
        <f>SUM(KR20:KR57)</f>
        <v>13727032</v>
      </c>
      <c r="KS58" s="5433">
        <f>SUM(KS20:KS57)</f>
        <v>17711275.079999998</v>
      </c>
      <c r="KT58" s="5433">
        <f>SUM(KT20:KT57)</f>
        <v>307492</v>
      </c>
      <c r="KU58" s="5432">
        <f>SUM(KU20:KU57)</f>
        <v>3676751.08</v>
      </c>
      <c r="KV58" s="5437">
        <f>KU58/KS58</f>
        <v>0.20759381034919822</v>
      </c>
      <c r="KW58" s="5432">
        <f>SUM(KW20:KW57)</f>
        <v>1240875</v>
      </c>
      <c r="KX58" s="5433">
        <f>SUM(KX20:KX57)</f>
        <v>1569082.8466666667</v>
      </c>
      <c r="KY58" s="5433">
        <f>SUM(KY20:KY57)</f>
        <v>1928220.7000000002</v>
      </c>
      <c r="KZ58" s="5432">
        <f>SUM(KZ20:KZ57)</f>
        <v>-1061427.4666666668</v>
      </c>
      <c r="LA58" s="5488">
        <f>KZ58/KS58</f>
        <v>-5.9929477797183356E-2</v>
      </c>
      <c r="LB58" s="5439">
        <f>SUM(LB20:LB57)</f>
        <v>192</v>
      </c>
      <c r="LC58" s="5433">
        <f>SUM(LC20:LC57)</f>
        <v>58355651.839999989</v>
      </c>
      <c r="LD58" s="5433">
        <f>SUM(LD20:LD57)</f>
        <v>14340415.84</v>
      </c>
      <c r="LE58" s="5438">
        <f>LD58/LC58</f>
        <v>0.24574167861784274</v>
      </c>
      <c r="LF58" s="5453">
        <f>SUM(LF20:LF57)</f>
        <v>-12</v>
      </c>
      <c r="LG58" s="5454">
        <f>SUM(LG20:LG57)</f>
        <v>-3761824.17</v>
      </c>
      <c r="LH58" s="5454">
        <f>SUM(LH20:LH57)</f>
        <v>407001.83000000007</v>
      </c>
      <c r="LI58" s="5455">
        <f>LF58/JQ58</f>
        <v>-5.8823529411764705E-2</v>
      </c>
      <c r="LJ58" s="5455">
        <f>LG58/JR58</f>
        <v>-6.0559836162602639E-2</v>
      </c>
      <c r="LK58" s="5443">
        <f>LH58/JS58</f>
        <v>2.9210488521183336E-2</v>
      </c>
      <c r="LL58" s="5439">
        <f>SUM(LL20:LL57)</f>
        <v>193</v>
      </c>
      <c r="LM58" s="5433">
        <f>SUM(LM20:LM57)</f>
        <v>13395922</v>
      </c>
      <c r="LN58" s="5433">
        <f>SUM(LN20:LN57)</f>
        <v>17418106.899999999</v>
      </c>
      <c r="LO58" s="5433">
        <f>SUM(LO20:LO57)</f>
        <v>235287</v>
      </c>
      <c r="LP58" s="5432">
        <f>SUM(LP20:LP57)</f>
        <v>3786897.9</v>
      </c>
      <c r="LQ58" s="5437">
        <f>LP58/LN58</f>
        <v>0.21741156612145951</v>
      </c>
      <c r="LR58" s="5476">
        <f>SUM(LR20:LR57)</f>
        <v>1088945</v>
      </c>
      <c r="LS58" s="5433">
        <f>SUM(LS20:LS57)</f>
        <v>1663866.1725000003</v>
      </c>
      <c r="LT58" s="5433">
        <f>SUM(LT20:LT57)</f>
        <v>1165000</v>
      </c>
      <c r="LU58" s="5432">
        <f>SUM(LU20:LU57)</f>
        <v>-130913.27250000034</v>
      </c>
      <c r="LV58" s="5488">
        <f>LU58/LN58</f>
        <v>-7.5159300176301218E-3</v>
      </c>
      <c r="LW58" s="5439">
        <f>SUM(LW20:LW57)</f>
        <v>186</v>
      </c>
      <c r="LX58" s="5433">
        <f>SUM(LX20:LX57)</f>
        <v>13810022</v>
      </c>
      <c r="LY58" s="5433">
        <f>SUM(LY20:LY57)</f>
        <v>17672451.079999998</v>
      </c>
      <c r="LZ58" s="5433">
        <f>SUM(LZ20:LZ57)</f>
        <v>128360</v>
      </c>
      <c r="MA58" s="5432">
        <f>SUM(MA20:MA57)</f>
        <v>3734069.08</v>
      </c>
      <c r="MB58" s="5437">
        <f>MA58/LY58</f>
        <v>0.21129321920861702</v>
      </c>
      <c r="MC58" s="5476">
        <f>SUM(MC20:MC57)</f>
        <v>1397777</v>
      </c>
      <c r="MD58" s="5433">
        <f>SUM(MD20:MD57)</f>
        <v>1702901</v>
      </c>
      <c r="ME58" s="5433">
        <f>SUM(ME20:ME57)</f>
        <v>1165000</v>
      </c>
      <c r="MF58" s="5432">
        <f>SUM(MF20:MF57)</f>
        <v>-531608.92000000004</v>
      </c>
      <c r="MG58" s="5488">
        <f>MF58/LY58</f>
        <v>-3.0081221761118611E-2</v>
      </c>
      <c r="MH58" s="5439">
        <f>SUM(MH20:MH57)</f>
        <v>196</v>
      </c>
      <c r="MI58" s="5433">
        <f>SUM(MI20:MI57)</f>
        <v>14217347</v>
      </c>
      <c r="MJ58" s="5433">
        <f>SUM(MJ20:MJ57)</f>
        <v>17860750.710000001</v>
      </c>
      <c r="MK58" s="5433">
        <f>SUM(MK20:MK57)</f>
        <v>35837</v>
      </c>
      <c r="ML58" s="5432">
        <f>SUM(ML20:ML57)</f>
        <v>3607566.71</v>
      </c>
      <c r="MM58" s="5437">
        <f>ML58/MJ58</f>
        <v>0.20198292717786887</v>
      </c>
      <c r="MN58" s="5476">
        <f>SUM(MN20:MN57)</f>
        <v>2232829</v>
      </c>
      <c r="MO58" s="5433">
        <f>SUM(MO20:MO57)</f>
        <v>1399551</v>
      </c>
      <c r="MP58" s="5433">
        <f>SUM(MP20:MP57)</f>
        <v>1165000</v>
      </c>
      <c r="MQ58" s="5432">
        <f>SUM(MQ20:MQ57)</f>
        <v>-1189813.2899999998</v>
      </c>
      <c r="MR58" s="5488">
        <f>MQ58/MJ58</f>
        <v>-6.6616085142145731E-2</v>
      </c>
      <c r="MS58" s="5439">
        <f>SUM(MS20:MS57)</f>
        <v>195</v>
      </c>
      <c r="MT58" s="5433">
        <f>SUM(MT20:MT57)</f>
        <v>52951308.689999998</v>
      </c>
      <c r="MU58" s="5433">
        <f>SUM(MU20:MU57)</f>
        <v>11128533.690000001</v>
      </c>
      <c r="MV58" s="5437">
        <f>MU58/MT58</f>
        <v>0.21016541357176421</v>
      </c>
      <c r="MW58" s="5432">
        <f t="shared" si="530"/>
        <v>3</v>
      </c>
      <c r="MX58" s="5433">
        <f t="shared" si="531"/>
        <v>-5404343.1499999911</v>
      </c>
      <c r="MY58" s="5433">
        <f t="shared" si="532"/>
        <v>-3211882.1499999985</v>
      </c>
      <c r="MZ58" s="5438">
        <f>MW58/LB58</f>
        <v>1.5625E-2</v>
      </c>
      <c r="NA58" s="5438">
        <f>MX58/LC58</f>
        <v>-9.2610449538249762E-2</v>
      </c>
      <c r="NB58" s="5437">
        <f>MY58/LD58</f>
        <v>-0.22397412919094253</v>
      </c>
      <c r="NC58" s="5439">
        <f>SUM(NC20:NC57)</f>
        <v>187</v>
      </c>
      <c r="ND58" s="5433">
        <f>SUM(ND20:ND57)</f>
        <v>14181308</v>
      </c>
      <c r="NE58" s="5433">
        <f>SUM(NE20:NE57)</f>
        <v>19185112</v>
      </c>
      <c r="NF58" s="5433">
        <f>SUM(NF20:NF57)</f>
        <v>262693</v>
      </c>
      <c r="NG58" s="5432">
        <f>SUM(NG20:NG57)</f>
        <v>4741111</v>
      </c>
      <c r="NH58" s="5437">
        <f>NG58/NE58</f>
        <v>0.24712448903086937</v>
      </c>
      <c r="NI58" s="5476">
        <f>SUM(NI20:NI57)</f>
        <v>2104744</v>
      </c>
      <c r="NJ58" s="5433">
        <f>SUM(NJ20:NJ57)</f>
        <v>1193855</v>
      </c>
      <c r="NK58" s="5433">
        <f>SUM(NK20:NK57)</f>
        <v>1165000</v>
      </c>
      <c r="NL58" s="5432">
        <f>SUM(NL20:NL57)</f>
        <v>277512</v>
      </c>
      <c r="NM58" s="5489">
        <f>NL58/NE58</f>
        <v>1.4464966376010732E-2</v>
      </c>
      <c r="NN58" s="5490">
        <f>SUM(NN20:NN57)</f>
        <v>185</v>
      </c>
      <c r="NO58" s="5433">
        <f>SUM(NO20:NO57)</f>
        <v>14253016</v>
      </c>
      <c r="NP58" s="5433">
        <f>SUM(NP20:NP57)</f>
        <v>18846121.309999999</v>
      </c>
      <c r="NQ58" s="5433">
        <f>SUM(NQ20:NQ57)</f>
        <v>181767</v>
      </c>
      <c r="NR58" s="5432">
        <f>SUM(NR20:NR57)</f>
        <v>4411338.3100000005</v>
      </c>
      <c r="NS58" s="5437">
        <f>NR58/NP58</f>
        <v>0.23407141647015117</v>
      </c>
      <c r="NT58" s="5476">
        <f>SUM(NT20:NT57)</f>
        <v>1617879</v>
      </c>
      <c r="NU58" s="5433">
        <f>SUM(NU20:NU57)</f>
        <v>1424832</v>
      </c>
      <c r="NV58" s="5433">
        <f>SUM(NV20:NV57)</f>
        <v>1664488</v>
      </c>
      <c r="NW58" s="5432">
        <f>SUM(NW20:NW57)</f>
        <v>-295860.69</v>
      </c>
      <c r="NX58" s="5489">
        <f>NW58/NP58</f>
        <v>-1.569875759225918E-2</v>
      </c>
      <c r="NY58" s="5490">
        <f>SUM(NY20:NY57)</f>
        <v>180</v>
      </c>
      <c r="NZ58" s="5433">
        <f>SUM(NZ20:NZ57)</f>
        <v>13455471</v>
      </c>
      <c r="OA58" s="5433">
        <f>SUM(OA20:OA57)</f>
        <v>18188690.310000002</v>
      </c>
      <c r="OB58" s="5433">
        <f>SUM(OB20:OB57)</f>
        <v>156010</v>
      </c>
      <c r="OC58" s="5432">
        <f>SUM(OC20:OC57)</f>
        <v>4577209.3100000005</v>
      </c>
      <c r="OD58" s="5437">
        <f>OC58/OA58</f>
        <v>0.25165139611418236</v>
      </c>
      <c r="OE58" s="5476">
        <f>SUM(OE20:OE57)</f>
        <v>1579390</v>
      </c>
      <c r="OF58" s="5433">
        <f>SUM(OF20:OF57)</f>
        <v>4467306.97</v>
      </c>
      <c r="OG58" s="5433">
        <f>SUM(OG20:OG57)</f>
        <v>1178122.6099999999</v>
      </c>
      <c r="OH58" s="5432">
        <f>SUM(OH20:OH57)</f>
        <v>-2647610.2699999996</v>
      </c>
      <c r="OI58" s="5493">
        <f>OH58/OA58</f>
        <v>-0.14556354662569432</v>
      </c>
      <c r="OJ58" s="5452">
        <f>SUM(OJ20:OJ57)</f>
        <v>180</v>
      </c>
      <c r="OK58" s="5449">
        <f t="shared" si="540"/>
        <v>225317186.82999998</v>
      </c>
      <c r="OL58" s="5449">
        <f t="shared" si="541"/>
        <v>49882000.830000006</v>
      </c>
      <c r="OM58" s="5484">
        <f>OL58/OK58</f>
        <v>0.221385689799312</v>
      </c>
      <c r="ON58" s="5449">
        <f t="shared" si="543"/>
        <v>-3305113.6035416662</v>
      </c>
      <c r="OO58" s="5437">
        <f>ON58/OK58</f>
        <v>-1.4668715023658395E-2</v>
      </c>
      <c r="OP58" s="5457"/>
      <c r="OQ58" s="5456">
        <f>SUM(OQ20:OQ57)</f>
        <v>185</v>
      </c>
      <c r="OR58" s="5433">
        <f>SUM(OR20:OR57)</f>
        <v>13372662.6775</v>
      </c>
      <c r="OS58" s="5433">
        <f>SUM(OS20:OS57)</f>
        <v>18038097.670000002</v>
      </c>
      <c r="OT58" s="5433">
        <f>SUM(OT20:OT57)</f>
        <v>46248</v>
      </c>
      <c r="OU58" s="5432">
        <f>SUM(OU20:OU57)</f>
        <v>4619186.9924999997</v>
      </c>
      <c r="OV58" s="5435">
        <f>OU58/OS58</f>
        <v>0.25607949779440348</v>
      </c>
      <c r="OW58" s="5432">
        <f>SUM(OW20:OW57)</f>
        <v>1604478</v>
      </c>
      <c r="OX58" s="5433">
        <f>SUM(OX20:OX57)</f>
        <v>1402332</v>
      </c>
      <c r="OY58" s="5433">
        <f>SUM(OY20:OY57)</f>
        <v>1692379.5</v>
      </c>
      <c r="OZ58" s="5491">
        <f>SUM(OZ20:OZ57)</f>
        <v>-80002.507499999774</v>
      </c>
      <c r="PA58" s="5458">
        <f>OZ58/OS58</f>
        <v>-4.4351964915377781E-3</v>
      </c>
      <c r="PB58" s="5433">
        <f>SUM(PB20:PB57)</f>
        <v>187</v>
      </c>
      <c r="PC58" s="5433">
        <f>SUM(PC20:PC57)</f>
        <v>14046993.327499999</v>
      </c>
      <c r="PD58" s="5433">
        <f>SUM(PD20:PD57)</f>
        <v>18287616</v>
      </c>
      <c r="PE58" s="5433">
        <f>SUM(PE20:PE57)</f>
        <v>97854</v>
      </c>
      <c r="PF58" s="5432">
        <f>SUM(PF20:PF57)</f>
        <v>4142768.6724999999</v>
      </c>
      <c r="PG58" s="5435">
        <f>PF58/PD58</f>
        <v>0.22653410223071174</v>
      </c>
      <c r="PH58" s="5432">
        <f>SUM(PH20:PH57)</f>
        <v>1652890</v>
      </c>
      <c r="PI58" s="5433">
        <f>SUM(PI20:PI57)</f>
        <v>1015306</v>
      </c>
      <c r="PJ58" s="5433">
        <f>SUM(PJ20:PJ57)</f>
        <v>1507747</v>
      </c>
      <c r="PK58" s="5432">
        <f>SUM(PK20:PK57)</f>
        <v>-55520.327500000189</v>
      </c>
      <c r="PL58" s="5438">
        <f>PK58/PD58</f>
        <v>-3.0359521711304628E-3</v>
      </c>
      <c r="PM58" s="5456">
        <f>SUM(PM20:PM57)</f>
        <v>210</v>
      </c>
      <c r="PN58" s="5433">
        <f>SUM(PN20:PN57)</f>
        <v>15535582.5875</v>
      </c>
      <c r="PO58" s="5433">
        <f>SUM(PO20:PO57)</f>
        <v>20043521</v>
      </c>
      <c r="PP58" s="5433">
        <f>SUM(PP20:PP57)</f>
        <v>82355</v>
      </c>
      <c r="PQ58" s="6311">
        <f>SUM(PQ20:PQ57)</f>
        <v>4425583.4124999996</v>
      </c>
      <c r="PR58" s="6312">
        <f>PQ58/PO58</f>
        <v>0.22079870161036075</v>
      </c>
      <c r="PS58" s="5433">
        <f>SUM(PS20:PS57)</f>
        <v>1998465</v>
      </c>
      <c r="PT58" s="5433">
        <f>SUM(PT20:PT57)</f>
        <v>1080026</v>
      </c>
      <c r="PU58" s="5433">
        <f>SUM(PU20:PU57)</f>
        <v>1449415</v>
      </c>
      <c r="PV58" s="5491">
        <f>SUM(PV20:PV57)</f>
        <v>-102322.58749999991</v>
      </c>
      <c r="PW58" s="5459">
        <f>PV58/PO58</f>
        <v>-5.1050205949343883E-3</v>
      </c>
      <c r="PX58" s="5433">
        <f>SUM(PX20:PX57)</f>
        <v>207</v>
      </c>
      <c r="PY58" s="5433">
        <f>SUM(PY20:PY57)</f>
        <v>54587614.670000002</v>
      </c>
      <c r="PZ58" s="5433">
        <f>SUM(PZ20:PZ57)</f>
        <v>12650606.077499999</v>
      </c>
      <c r="QA58" s="5434">
        <f>PZ58/PY58</f>
        <v>0.23174865130079511</v>
      </c>
      <c r="QB58" s="5492">
        <f>SUM(QB20:QB57)</f>
        <v>222</v>
      </c>
      <c r="QC58" s="5433">
        <f>SUM(QC20:QC57)</f>
        <v>16223688.4375</v>
      </c>
      <c r="QD58" s="5433">
        <f>SUM(QD20:QD57)</f>
        <v>23043388</v>
      </c>
      <c r="QE58" s="5433">
        <f>SUM(QE20:QE57)</f>
        <v>422000</v>
      </c>
      <c r="QF58" s="6311">
        <f>SUM(QF20:QF57)</f>
        <v>6397699.5624999991</v>
      </c>
      <c r="QG58" s="6312">
        <f>QF58/QD58</f>
        <v>0.27763710624930671</v>
      </c>
      <c r="QH58" s="5433">
        <f>SUM(QH20:QH57)</f>
        <v>2154025</v>
      </c>
      <c r="QI58" s="5433">
        <f>SUM(QI20:QI57)</f>
        <v>1686275.9875000003</v>
      </c>
      <c r="QJ58" s="5433">
        <f>SUM(QJ20:QJ57)</f>
        <v>1496339</v>
      </c>
      <c r="QK58" s="5432">
        <f>SUM(QK20:QK57)</f>
        <v>1061059.5749999997</v>
      </c>
      <c r="QL58" s="5459">
        <f>QK58/QD58</f>
        <v>4.6046161918551202E-2</v>
      </c>
      <c r="QM58" s="5492">
        <f>SUM(QM20:QM57)</f>
        <v>226</v>
      </c>
      <c r="QN58" s="5433">
        <f>SUM(QN20:QN57)</f>
        <v>16221239.427499998</v>
      </c>
      <c r="QO58" s="5433">
        <f>SUM(QO20:QO57)</f>
        <v>21406026</v>
      </c>
      <c r="QP58" s="5433">
        <f>SUM(QP20:QP57)</f>
        <v>294558</v>
      </c>
      <c r="QQ58" s="5432">
        <f>SUM(QQ20:QQ57)</f>
        <v>4890228.5724999998</v>
      </c>
      <c r="QR58" s="5437">
        <f>QQ58/QO58</f>
        <v>0.22845102460867794</v>
      </c>
      <c r="QS58" s="5432">
        <f>SUM(QS20:QS57)</f>
        <v>2505673</v>
      </c>
      <c r="QT58" s="5433">
        <f>SUM(QT20:QT57)</f>
        <v>1326507</v>
      </c>
      <c r="QU58" s="5433">
        <f>SUM(QU20:QU57)</f>
        <v>2058371</v>
      </c>
      <c r="QV58" s="5491">
        <f>SUM(QV20:QV57)</f>
        <v>-1000322.4275</v>
      </c>
      <c r="QW58" s="5459">
        <f>QV58/QO58</f>
        <v>-4.6730879776563851E-2</v>
      </c>
      <c r="QX58" s="5456">
        <f>SUM(QX20:QX57)</f>
        <v>254</v>
      </c>
      <c r="QY58" s="5433">
        <f>SUM(QY20:QY57)</f>
        <v>19729249.077500001</v>
      </c>
      <c r="QZ58" s="5433">
        <f>SUM(QZ20:QZ57)</f>
        <v>25756090</v>
      </c>
      <c r="RA58" s="5433">
        <f>SUM(RA20:RA57)</f>
        <v>52994</v>
      </c>
      <c r="RB58" s="5432">
        <f>SUM(RB20:RB57)</f>
        <v>5973846.9224999985</v>
      </c>
      <c r="RC58" s="5437">
        <f>RB58/QZ58</f>
        <v>0.23193920049588265</v>
      </c>
      <c r="RD58" s="5432">
        <f>SUM(RD20:RD57)</f>
        <v>2310074</v>
      </c>
      <c r="RE58" s="5433">
        <f>SUM(RE20:RE57)</f>
        <v>1299453</v>
      </c>
      <c r="RF58" s="5433">
        <f>SUM(RF20:RF57)</f>
        <v>1535070</v>
      </c>
      <c r="RG58" s="5432">
        <f>SUM(RG20:RG57)</f>
        <v>829249.9224999994</v>
      </c>
      <c r="RH58" s="5493">
        <f>RG58/QZ58</f>
        <v>3.2196265912256071E-2</v>
      </c>
      <c r="RI58" s="5490">
        <f>SUM(RI20:RI57)</f>
        <v>0</v>
      </c>
      <c r="RJ58" s="5433">
        <f>SUM(RJ20:RJ57)</f>
        <v>69756201</v>
      </c>
      <c r="RK58" s="5433">
        <f>SUM(RK20:RK57)</f>
        <v>17191857.057500001</v>
      </c>
      <c r="RL58" s="5459">
        <f>RK58/RJ58</f>
        <v>0.24645632662105554</v>
      </c>
      <c r="RM58" s="5460">
        <f>SUM(RM20:RM57)</f>
        <v>-207</v>
      </c>
      <c r="RN58" s="5454">
        <f>SUM(RN20:RN57)</f>
        <v>15168586.33</v>
      </c>
      <c r="RO58" s="5454">
        <f>SUM(RO20:RO57)</f>
        <v>4541250.9799999995</v>
      </c>
      <c r="RP58" s="5455">
        <f>RM58/PX58</f>
        <v>-1</v>
      </c>
      <c r="RQ58" s="5455">
        <f>RN58/PY58</f>
        <v>0.2778759691497617</v>
      </c>
      <c r="RR58" s="6350">
        <f>RO58/PZ58</f>
        <v>0.35897497338700135</v>
      </c>
      <c r="RS58" s="5476">
        <f>SUM(RS20:RS57)</f>
        <v>256</v>
      </c>
      <c r="RT58" s="5433">
        <f>SUM(RT20:RT57)</f>
        <v>19503650.0975</v>
      </c>
      <c r="RU58" s="5433">
        <f>SUM(RU20:RU57)</f>
        <v>25661511.18</v>
      </c>
      <c r="RV58" s="5450">
        <f>SUM(RV20:RV57)</f>
        <v>50752</v>
      </c>
      <c r="RW58" s="5432">
        <f>SUM(RW20:RW57)</f>
        <v>6107109.0824999996</v>
      </c>
      <c r="RX58" s="5437">
        <f>RW58/RU58</f>
        <v>0.23798711773684403</v>
      </c>
      <c r="RY58" s="5476">
        <f>SUM(RY20:RY57)</f>
        <v>1984113</v>
      </c>
      <c r="RZ58" s="5433">
        <f>SUM(RZ20:RZ57)</f>
        <v>1183929</v>
      </c>
      <c r="SA58" s="5433">
        <f>SUM(SA20:SA57)</f>
        <v>1587954</v>
      </c>
      <c r="SB58" s="5432">
        <f>SUM(SB20:SB57)</f>
        <v>1328804.0825000003</v>
      </c>
      <c r="SC58" s="5493">
        <f>SB58/RU58</f>
        <v>5.1781988721523155E-2</v>
      </c>
      <c r="SD58" s="5494">
        <f>SUM(SD20:SD57)</f>
        <v>257</v>
      </c>
      <c r="SE58" s="5454">
        <f>SUM(SE20:SE57)</f>
        <v>19687634.762499999</v>
      </c>
      <c r="SF58" s="5454">
        <f>SUM(SF20:SF57)</f>
        <v>25187260</v>
      </c>
      <c r="SG58" s="6357">
        <f>SUM(SG20:SG57)</f>
        <v>116036</v>
      </c>
      <c r="SH58" s="6378">
        <f>SUM(SH20:SH57)</f>
        <v>5383589.2374999998</v>
      </c>
      <c r="SI58" s="6379">
        <f>SH58/SF58</f>
        <v>0.21374255228635428</v>
      </c>
      <c r="SJ58" s="5476">
        <f>SUM(SJ20:SJ57)</f>
        <v>1979232</v>
      </c>
      <c r="SK58" s="5433">
        <f>SUM(SK20:SK57)</f>
        <v>1295535</v>
      </c>
      <c r="SL58" s="5433">
        <f>SUM(SL20:SL57)</f>
        <v>1541687</v>
      </c>
      <c r="SM58" s="5432">
        <f>SUM(SM20:SM57)</f>
        <v>567135.23750000005</v>
      </c>
      <c r="SN58" s="5493">
        <f>SM58/SF58</f>
        <v>2.2516750035533838E-2</v>
      </c>
      <c r="SO58" s="5476">
        <f>SUM(SO20:SO57)</f>
        <v>247</v>
      </c>
      <c r="SP58" s="5433">
        <f>SUM(SP20:SP57)</f>
        <v>19627323.887499996</v>
      </c>
      <c r="SQ58" s="5433">
        <f>SUM(SQ20:SQ57)</f>
        <v>27096262.530000001</v>
      </c>
      <c r="SR58" s="5433">
        <f>SUM(SR20:SR57)</f>
        <v>105763</v>
      </c>
      <c r="SS58" s="6378">
        <f>SUM(SS20:SS57)</f>
        <v>7363175.6425000001</v>
      </c>
      <c r="ST58" s="6379">
        <f>SS58/SQ58</f>
        <v>0.2717413751932673</v>
      </c>
      <c r="SU58" s="5476">
        <f>SUM(SU20:SU57)</f>
        <v>1798213</v>
      </c>
      <c r="SV58" s="5433">
        <f>SUM(SV20:SV57)</f>
        <v>1351922</v>
      </c>
      <c r="SW58" s="5433">
        <f>SUM(SW20:SW57)</f>
        <v>1629898</v>
      </c>
      <c r="SX58" s="5432">
        <f>SUM(SX20:SX57)</f>
        <v>2583142.6425000001</v>
      </c>
      <c r="SY58" s="5493">
        <f>SX58/SQ58</f>
        <v>9.533206432584708E-2</v>
      </c>
      <c r="SZ58" s="5490">
        <f>SUM(SZ20:SZ57)</f>
        <v>0</v>
      </c>
      <c r="TA58" s="5433">
        <f>SUM(TA20:TA57)</f>
        <v>74043705.709999993</v>
      </c>
      <c r="TB58" s="5433">
        <f>SUM(TB20:TB57)</f>
        <v>18096593.4025</v>
      </c>
      <c r="TC58" s="5459">
        <f>TB58/TA58</f>
        <v>0.24440421004017845</v>
      </c>
      <c r="TD58" s="5490">
        <f>SUM(TD20:TD57)</f>
        <v>246</v>
      </c>
      <c r="TE58" s="5433">
        <f>SUM(TE20:TE57)</f>
        <v>19229397.807499997</v>
      </c>
      <c r="TF58" s="5433">
        <f>SUM(TF20:TF57)</f>
        <v>26134211.739999998</v>
      </c>
      <c r="TG58" s="5433">
        <f>SUM(TG20:TG57)</f>
        <v>114216</v>
      </c>
      <c r="TH58" s="5432">
        <f>SUM(TH20:TH57)</f>
        <v>6790597.9325000001</v>
      </c>
      <c r="TI58" s="5437">
        <f>TH58/TF58</f>
        <v>0.25983557491831971</v>
      </c>
      <c r="TJ58" s="5476">
        <f>SUM(TJ20:TJ57)</f>
        <v>1914012</v>
      </c>
      <c r="TK58" s="5433">
        <f>SUM(TK20:TK57)</f>
        <v>1312427</v>
      </c>
      <c r="TL58" s="5433">
        <f>SUM(TL20:TL57)</f>
        <v>1481120</v>
      </c>
      <c r="TM58" s="5432">
        <f>SUM(TM20:TM57)</f>
        <v>2083038.9324999999</v>
      </c>
      <c r="TN58" s="5493">
        <f>TM58/TF58</f>
        <v>7.9705443317878322E-2</v>
      </c>
      <c r="TO58" s="5476">
        <f>SUM(TO20:TO57)</f>
        <v>0</v>
      </c>
      <c r="TP58" s="5433">
        <f>SUM(TP20:TP57)</f>
        <v>0</v>
      </c>
      <c r="TQ58" s="5433">
        <f>SUM(TQ20:TQ57)</f>
        <v>0</v>
      </c>
      <c r="TR58" s="5433">
        <f>SUM(TR20:TR57)</f>
        <v>0</v>
      </c>
      <c r="TS58" s="5432">
        <f>SUM(TS20:TS57)</f>
        <v>0</v>
      </c>
      <c r="TT58" s="5437" t="e">
        <f>TS58/TQ58</f>
        <v>#DIV/0!</v>
      </c>
      <c r="TU58" s="5476">
        <f>SUM(TU20:TU57)</f>
        <v>0</v>
      </c>
      <c r="TV58" s="5433">
        <f>SUM(TV20:TV57)</f>
        <v>0</v>
      </c>
      <c r="TW58" s="5433">
        <f>SUM(TW20:TW57)</f>
        <v>0</v>
      </c>
      <c r="TX58" s="5432">
        <f>SUM(TX20:TX57)</f>
        <v>0</v>
      </c>
      <c r="TY58" s="5489" t="e">
        <f>TX58/TQ58</f>
        <v>#DIV/0!</v>
      </c>
      <c r="TZ58" s="5490">
        <f>SUM(TZ20:TZ57)</f>
        <v>0</v>
      </c>
      <c r="UA58" s="5433">
        <f>SUM(UA20:UA57)</f>
        <v>0</v>
      </c>
      <c r="UB58" s="5433">
        <f>SUM(UB20:UB57)</f>
        <v>0</v>
      </c>
      <c r="UC58" s="5433">
        <f>SUM(UC20:UC57)</f>
        <v>0</v>
      </c>
      <c r="UD58" s="5432">
        <f>SUM(UD20:UD57)</f>
        <v>0</v>
      </c>
      <c r="UE58" s="5437" t="e">
        <f>UD58/UB58</f>
        <v>#DIV/0!</v>
      </c>
      <c r="UF58" s="5476">
        <f>SUM(UF20:UF57)</f>
        <v>0</v>
      </c>
      <c r="UG58" s="5433">
        <f>SUM(UG20:UG57)</f>
        <v>0</v>
      </c>
      <c r="UH58" s="5433">
        <f>SUM(UH20:UH57)</f>
        <v>0</v>
      </c>
      <c r="UI58" s="5432">
        <f>SUM(UI20:UI57)</f>
        <v>0</v>
      </c>
      <c r="UJ58" s="5493" t="e">
        <f>UI58/UB58</f>
        <v>#DIV/0!</v>
      </c>
      <c r="UK58" s="6422">
        <f>SUM(UK20:UK57)</f>
        <v>0</v>
      </c>
      <c r="UL58" s="5449">
        <f>SUM(UL20:UL57)</f>
        <v>230546677.11999997</v>
      </c>
      <c r="UM58" s="5449">
        <f>SUM(UM20:UM57)</f>
        <v>56057660.030000001</v>
      </c>
      <c r="UN58" s="5462">
        <f>UM58/UL58</f>
        <v>0.24315102143424902</v>
      </c>
      <c r="UO58" s="5449">
        <f>SUM(UO20:UO57)</f>
        <v>7178136.5425000004</v>
      </c>
      <c r="UP58" s="5463">
        <f>UO58/UL58</f>
        <v>3.1135285193304985E-2</v>
      </c>
      <c r="UR58" s="4274">
        <f>UL58/6</f>
        <v>38424446.18666666</v>
      </c>
      <c r="US58" s="4274">
        <f>UM58/6</f>
        <v>9342943.3383333329</v>
      </c>
      <c r="UT58" s="5674"/>
      <c r="UU58" s="5674"/>
    </row>
    <row r="59" spans="1:581" x14ac:dyDescent="0.3">
      <c r="A59" s="5315"/>
      <c r="B59" s="5358"/>
      <c r="C59" s="735"/>
      <c r="D59" s="735"/>
      <c r="E59" s="6277"/>
      <c r="F59" s="672"/>
      <c r="G59" s="350"/>
      <c r="H59" s="350"/>
      <c r="I59" s="350"/>
      <c r="J59" s="672"/>
      <c r="K59" s="673"/>
      <c r="L59" s="350"/>
      <c r="M59" s="350"/>
      <c r="N59" s="350"/>
      <c r="O59" s="672"/>
      <c r="P59" s="673"/>
      <c r="Q59" s="350"/>
      <c r="R59" s="350"/>
      <c r="S59" s="350"/>
      <c r="T59" s="95"/>
      <c r="U59" s="673"/>
      <c r="V59" s="672"/>
      <c r="W59" s="672"/>
      <c r="X59" s="672"/>
      <c r="Y59" s="672"/>
      <c r="Z59" s="675"/>
      <c r="AA59" s="672"/>
      <c r="AB59" s="672"/>
      <c r="AC59" s="672"/>
      <c r="AD59" s="672"/>
      <c r="AE59" s="672"/>
      <c r="AF59" s="672"/>
      <c r="AG59" s="676"/>
      <c r="AH59" s="677"/>
      <c r="AI59" s="677"/>
      <c r="AJ59" s="677"/>
      <c r="AK59" s="105"/>
      <c r="AL59" s="106"/>
      <c r="AM59" s="127"/>
      <c r="AN59" s="128"/>
      <c r="AO59" s="128"/>
      <c r="AP59" s="128"/>
      <c r="AQ59" s="128"/>
      <c r="AR59" s="203"/>
      <c r="AS59" s="5469"/>
      <c r="AT59" s="442"/>
      <c r="AU59" s="442"/>
      <c r="AV59" s="442"/>
      <c r="AW59" s="106"/>
      <c r="AX59" s="85"/>
      <c r="AY59" s="74"/>
      <c r="AZ59" s="74"/>
      <c r="BA59" s="74"/>
      <c r="BB59" s="74"/>
      <c r="BC59" s="165"/>
      <c r="BD59" s="109"/>
      <c r="BE59" s="109"/>
      <c r="BF59" s="109"/>
      <c r="BG59" s="109"/>
      <c r="BH59" s="618"/>
      <c r="BI59" s="165"/>
      <c r="BJ59" s="109"/>
      <c r="BK59" s="109"/>
      <c r="BL59" s="109"/>
      <c r="BM59" s="109"/>
      <c r="BN59" s="618"/>
      <c r="BO59" s="744"/>
      <c r="BP59" s="109"/>
      <c r="BQ59" s="109"/>
      <c r="BR59" s="109"/>
      <c r="BS59" s="109"/>
      <c r="BT59" s="74"/>
      <c r="BU59" s="403"/>
      <c r="BV59" s="74"/>
      <c r="BW59" s="74"/>
      <c r="BX59" s="236"/>
      <c r="BY59" s="746"/>
      <c r="BZ59" s="596"/>
      <c r="CA59" s="596"/>
      <c r="CB59" s="596"/>
      <c r="CC59" s="596"/>
      <c r="CD59" s="747"/>
      <c r="CE59" s="748"/>
      <c r="CF59" s="749"/>
      <c r="CG59" s="749"/>
      <c r="CH59" s="749"/>
      <c r="CI59" s="749"/>
      <c r="CJ59" s="747"/>
      <c r="CK59" s="750"/>
      <c r="CL59" s="751"/>
      <c r="CM59" s="751"/>
      <c r="CN59" s="751"/>
      <c r="CO59" s="752"/>
      <c r="CP59" s="753"/>
      <c r="CQ59" s="754"/>
      <c r="CR59" s="754"/>
      <c r="CS59" s="754"/>
      <c r="CT59" s="754"/>
      <c r="CU59" s="754"/>
      <c r="CV59" s="755"/>
      <c r="CW59" s="127"/>
      <c r="CX59" s="128"/>
      <c r="CY59" s="128"/>
      <c r="CZ59" s="128"/>
      <c r="DA59" s="605"/>
      <c r="DB59" s="106"/>
      <c r="DC59" s="139"/>
      <c r="DD59" s="128"/>
      <c r="DE59" s="128"/>
      <c r="DF59" s="128"/>
      <c r="DG59" s="128"/>
      <c r="DH59" s="203"/>
      <c r="DI59" s="204"/>
      <c r="DJ59" s="202"/>
      <c r="DK59" s="202"/>
      <c r="DL59" s="119"/>
      <c r="DM59" s="202"/>
      <c r="DN59" s="119"/>
      <c r="DO59" s="643"/>
      <c r="DP59" s="644"/>
      <c r="DQ59" s="644"/>
      <c r="DR59" s="644"/>
      <c r="DS59" s="74"/>
      <c r="DT59" s="74"/>
      <c r="DU59" s="74"/>
      <c r="DV59" s="73"/>
      <c r="DW59" s="643"/>
      <c r="DX59" s="645"/>
      <c r="DY59" s="645"/>
      <c r="DZ59" s="645"/>
      <c r="EA59" s="74"/>
      <c r="EB59" s="74"/>
      <c r="EC59" s="74"/>
      <c r="ED59" s="73"/>
      <c r="EE59" s="127"/>
      <c r="EF59" s="128"/>
      <c r="EG59" s="128"/>
      <c r="EH59" s="128"/>
      <c r="EI59" s="605"/>
      <c r="EJ59" s="106"/>
      <c r="EK59" s="139"/>
      <c r="EL59" s="696"/>
      <c r="EM59" s="128"/>
      <c r="EN59" s="128"/>
      <c r="EO59" s="128"/>
      <c r="EP59" s="106"/>
      <c r="EQ59" s="127"/>
      <c r="ER59" s="661"/>
      <c r="ES59" s="661"/>
      <c r="ET59" s="661"/>
      <c r="EU59" s="605"/>
      <c r="EV59" s="106"/>
      <c r="EW59" s="139"/>
      <c r="EX59" s="696"/>
      <c r="EY59" s="128"/>
      <c r="EZ59" s="128"/>
      <c r="FA59" s="128"/>
      <c r="FB59" s="106"/>
      <c r="FC59" s="609"/>
      <c r="FD59" s="610"/>
      <c r="FE59" s="610"/>
      <c r="FF59" s="610"/>
      <c r="FG59" s="611"/>
      <c r="FH59" s="611"/>
      <c r="FI59" s="611"/>
      <c r="FJ59" s="612"/>
      <c r="FK59" s="226"/>
      <c r="FL59" s="118"/>
      <c r="FM59" s="118"/>
      <c r="FN59" s="118"/>
      <c r="FO59" s="118"/>
      <c r="FP59" s="119"/>
      <c r="FQ59" s="226"/>
      <c r="FR59" s="118"/>
      <c r="FS59" s="118"/>
      <c r="FT59" s="189"/>
      <c r="FU59" s="150"/>
      <c r="FV59" s="188"/>
      <c r="FW59" s="189"/>
      <c r="FX59" s="189"/>
      <c r="FY59" s="189"/>
      <c r="FZ59" s="189"/>
      <c r="GA59" s="119"/>
      <c r="GB59" s="119"/>
      <c r="GC59" s="119"/>
      <c r="GD59" s="150"/>
      <c r="GE59" s="187"/>
      <c r="GF59" s="155"/>
      <c r="GG59" s="155"/>
      <c r="GH59" s="74"/>
      <c r="GI59" s="613"/>
      <c r="GJ59" s="187"/>
      <c r="GK59" s="155"/>
      <c r="GL59" s="155"/>
      <c r="GM59" s="613"/>
      <c r="GN59" s="226"/>
      <c r="GO59" s="118"/>
      <c r="GP59" s="118"/>
      <c r="GQ59" s="118"/>
      <c r="GR59" s="118"/>
      <c r="GS59" s="119"/>
      <c r="GT59" s="226"/>
      <c r="GU59" s="118"/>
      <c r="GV59" s="118"/>
      <c r="GW59" s="118"/>
      <c r="GX59" s="188"/>
      <c r="GY59" s="150"/>
      <c r="GZ59" s="804"/>
      <c r="HA59" s="5470"/>
      <c r="HB59" s="5470"/>
      <c r="HC59" s="5470"/>
      <c r="HD59" s="442"/>
      <c r="HE59" s="106"/>
      <c r="HF59" s="139"/>
      <c r="HG59" s="128"/>
      <c r="HH59" s="128"/>
      <c r="HI59" s="128"/>
      <c r="HJ59" s="442"/>
      <c r="HK59" s="106"/>
      <c r="HL59" s="226"/>
      <c r="HM59" s="118"/>
      <c r="HN59" s="118"/>
      <c r="HO59" s="118"/>
      <c r="HP59" s="119"/>
      <c r="HQ59" s="150"/>
      <c r="HR59" s="118"/>
      <c r="HS59" s="118"/>
      <c r="HT59" s="118"/>
      <c r="HU59" s="118"/>
      <c r="HV59" s="119"/>
      <c r="HW59" s="150"/>
      <c r="HX59" s="5471"/>
      <c r="HY59" s="119"/>
      <c r="HZ59" s="150"/>
      <c r="IA59" s="119"/>
      <c r="IB59" s="150"/>
      <c r="IC59" s="74"/>
      <c r="ID59" s="403"/>
      <c r="IE59" s="74"/>
      <c r="IF59" s="74"/>
      <c r="IG59" s="74"/>
      <c r="IH59" s="73"/>
      <c r="II59" s="69"/>
      <c r="IJ59" s="165"/>
      <c r="IK59" s="109"/>
      <c r="IL59" s="109"/>
      <c r="IM59" s="118"/>
      <c r="IN59" s="226"/>
      <c r="IO59" s="150"/>
      <c r="IP59" s="118"/>
      <c r="IQ59" s="118"/>
      <c r="IR59" s="118"/>
      <c r="IS59" s="5471"/>
      <c r="IT59" s="150"/>
      <c r="IU59" s="163"/>
      <c r="IV59" s="109"/>
      <c r="IW59" s="109"/>
      <c r="IX59" s="118"/>
      <c r="IY59" s="226"/>
      <c r="IZ59" s="150"/>
      <c r="JA59" s="118"/>
      <c r="JB59" s="118"/>
      <c r="JC59" s="118"/>
      <c r="JD59" s="5471"/>
      <c r="JE59" s="150"/>
      <c r="JF59" s="163"/>
      <c r="JG59" s="109"/>
      <c r="JH59" s="109"/>
      <c r="JI59" s="109"/>
      <c r="JJ59" s="226"/>
      <c r="JK59" s="150"/>
      <c r="JL59" s="118"/>
      <c r="JM59" s="118"/>
      <c r="JN59" s="118"/>
      <c r="JO59" s="5471"/>
      <c r="JP59" s="150"/>
      <c r="JQ59" s="163"/>
      <c r="JR59" s="155">
        <f t="shared" ref="JR59:JR64" si="695">JH59+IW59+IL59</f>
        <v>0</v>
      </c>
      <c r="JS59" s="69"/>
      <c r="JT59" s="70"/>
      <c r="JU59" s="163"/>
      <c r="JV59" s="109"/>
      <c r="JW59" s="109"/>
      <c r="JX59" s="109"/>
      <c r="JY59" s="226"/>
      <c r="JZ59" s="150"/>
      <c r="KA59" s="118"/>
      <c r="KB59" s="118"/>
      <c r="KC59" s="118"/>
      <c r="KD59" s="5471"/>
      <c r="KE59" s="150"/>
      <c r="KF59" s="163"/>
      <c r="KG59" s="109"/>
      <c r="KH59" s="109"/>
      <c r="KI59" s="109"/>
      <c r="KJ59" s="226"/>
      <c r="KK59" s="150"/>
      <c r="KL59" s="118"/>
      <c r="KM59" s="118"/>
      <c r="KN59" s="118"/>
      <c r="KO59" s="5471"/>
      <c r="KP59" s="150"/>
      <c r="KQ59" s="163"/>
      <c r="KR59" s="109"/>
      <c r="KS59" s="109"/>
      <c r="KT59" s="109"/>
      <c r="KU59" s="226"/>
      <c r="KV59" s="150"/>
      <c r="KW59" s="118"/>
      <c r="KX59" s="118"/>
      <c r="KY59" s="118"/>
      <c r="KZ59" s="5471"/>
      <c r="LA59" s="150"/>
      <c r="LB59" s="188"/>
      <c r="LC59" s="189"/>
      <c r="LD59" s="189"/>
      <c r="LE59" s="150"/>
      <c r="LF59" s="127">
        <f>KF59-HL59</f>
        <v>0</v>
      </c>
      <c r="LG59" s="128">
        <f>JW59-HN59</f>
        <v>0</v>
      </c>
      <c r="LH59" s="139">
        <f>JX59-HO59</f>
        <v>0</v>
      </c>
      <c r="LI59" s="442"/>
      <c r="LJ59" s="442"/>
      <c r="LK59" s="106"/>
      <c r="LL59" s="163"/>
      <c r="LM59" s="109"/>
      <c r="LN59" s="109"/>
      <c r="LO59" s="109"/>
      <c r="LP59" s="226"/>
      <c r="LQ59" s="150"/>
      <c r="LR59" s="118"/>
      <c r="LS59" s="118"/>
      <c r="LT59" s="118"/>
      <c r="LU59" s="5471"/>
      <c r="LV59" s="150"/>
      <c r="LW59" s="118"/>
      <c r="LX59" s="118"/>
      <c r="LY59" s="118"/>
      <c r="LZ59" s="118"/>
      <c r="MA59" s="5471"/>
      <c r="MB59" s="150"/>
      <c r="MC59" s="226"/>
      <c r="MD59" s="118"/>
      <c r="ME59" s="118"/>
      <c r="MF59" s="226"/>
      <c r="MG59" s="150"/>
      <c r="MH59" s="226"/>
      <c r="MI59" s="118"/>
      <c r="MJ59" s="118"/>
      <c r="MK59" s="118"/>
      <c r="ML59" s="5471"/>
      <c r="MM59" s="119"/>
      <c r="MN59" s="226"/>
      <c r="MO59" s="118"/>
      <c r="MP59" s="118"/>
      <c r="MQ59" s="226"/>
      <c r="MR59" s="150"/>
      <c r="MS59" s="1471"/>
      <c r="MT59" s="118"/>
      <c r="MU59" s="118"/>
      <c r="MV59" s="119"/>
      <c r="MW59" s="226"/>
      <c r="MX59" s="118"/>
      <c r="MY59" s="118"/>
      <c r="MZ59" s="119"/>
      <c r="NA59" s="119"/>
      <c r="NB59" s="150"/>
      <c r="NC59" s="226"/>
      <c r="ND59" s="118"/>
      <c r="NE59" s="118"/>
      <c r="NF59" s="118"/>
      <c r="NG59" s="5471"/>
      <c r="NH59" s="150"/>
      <c r="NI59" s="226"/>
      <c r="NJ59" s="118"/>
      <c r="NK59" s="118"/>
      <c r="NL59" s="226"/>
      <c r="NM59" s="119"/>
      <c r="NN59" s="1562"/>
      <c r="NO59" s="118"/>
      <c r="NP59" s="118"/>
      <c r="NQ59" s="118"/>
      <c r="NR59" s="5471"/>
      <c r="NS59" s="150"/>
      <c r="NT59" s="226"/>
      <c r="NU59" s="118"/>
      <c r="NV59" s="118"/>
      <c r="NW59" s="226"/>
      <c r="NX59" s="119"/>
      <c r="NY59" s="1562"/>
      <c r="NZ59" s="118"/>
      <c r="OA59" s="118"/>
      <c r="OB59" s="118"/>
      <c r="OC59" s="5471"/>
      <c r="OD59" s="150"/>
      <c r="OE59" s="226"/>
      <c r="OF59" s="118"/>
      <c r="OG59" s="118"/>
      <c r="OH59" s="226"/>
      <c r="OI59" s="5389"/>
      <c r="OJ59" s="155"/>
      <c r="OK59" s="155">
        <f t="shared" si="540"/>
        <v>0</v>
      </c>
      <c r="OL59" s="155">
        <f t="shared" si="541"/>
        <v>0</v>
      </c>
      <c r="OM59" s="74">
        <v>0</v>
      </c>
      <c r="ON59" s="155">
        <f t="shared" si="543"/>
        <v>0</v>
      </c>
      <c r="OO59" s="70"/>
      <c r="OP59" s="69"/>
      <c r="OQ59" s="5474"/>
      <c r="OR59" s="128"/>
      <c r="OS59" s="128"/>
      <c r="OT59" s="5472"/>
      <c r="OU59" s="226"/>
      <c r="OV59" s="95"/>
      <c r="OW59" s="118"/>
      <c r="OX59" s="118"/>
      <c r="OY59" s="118"/>
      <c r="OZ59" s="5471"/>
      <c r="PA59" s="5370"/>
      <c r="PB59" s="350"/>
      <c r="PC59" s="118"/>
      <c r="PD59" s="118"/>
      <c r="PE59" s="5473"/>
      <c r="PF59" s="226"/>
      <c r="PG59" s="95"/>
      <c r="PH59" s="118"/>
      <c r="PI59" s="118"/>
      <c r="PJ59" s="118"/>
      <c r="PK59" s="5471"/>
      <c r="PL59" s="119"/>
      <c r="PM59" s="5394"/>
      <c r="PN59" s="109"/>
      <c r="PO59" s="109"/>
      <c r="PP59" s="109"/>
      <c r="PQ59" s="6309"/>
      <c r="PR59" s="6310"/>
      <c r="PS59" s="118"/>
      <c r="PT59" s="118"/>
      <c r="PU59" s="118"/>
      <c r="PV59" s="5471"/>
      <c r="PW59" s="5389"/>
      <c r="PX59" s="160"/>
      <c r="PY59" s="155">
        <f t="shared" ref="PY59:PY72" si="696">PO59+PD59+OS59</f>
        <v>0</v>
      </c>
      <c r="PZ59" s="69"/>
      <c r="QA59" s="69"/>
      <c r="QB59" s="5394"/>
      <c r="QC59" s="109"/>
      <c r="QD59" s="109"/>
      <c r="QE59" s="109"/>
      <c r="QF59" s="6309"/>
      <c r="QG59" s="6310"/>
      <c r="QH59" s="118"/>
      <c r="QI59" s="118"/>
      <c r="QJ59" s="118"/>
      <c r="QK59" s="5471"/>
      <c r="QL59" s="5389"/>
      <c r="QM59" s="5394"/>
      <c r="QN59" s="109"/>
      <c r="QO59" s="109"/>
      <c r="QP59" s="109"/>
      <c r="QQ59" s="226"/>
      <c r="QR59" s="150"/>
      <c r="QS59" s="118"/>
      <c r="QT59" s="118"/>
      <c r="QU59" s="118"/>
      <c r="QV59" s="5471"/>
      <c r="QW59" s="5389"/>
      <c r="QX59" s="5394"/>
      <c r="QY59" s="109"/>
      <c r="QZ59" s="109"/>
      <c r="RA59" s="109"/>
      <c r="RB59" s="226"/>
      <c r="RC59" s="150"/>
      <c r="RD59" s="118"/>
      <c r="RE59" s="118"/>
      <c r="RF59" s="118"/>
      <c r="RG59" s="5471"/>
      <c r="RH59" s="5389"/>
      <c r="RI59" s="6325"/>
      <c r="RJ59" s="189"/>
      <c r="RK59" s="189"/>
      <c r="RL59" s="5389"/>
      <c r="RM59" s="5474">
        <f>QM59-NS59</f>
        <v>0</v>
      </c>
      <c r="RN59" s="128">
        <f>QD59-NU59</f>
        <v>0</v>
      </c>
      <c r="RO59" s="139">
        <f>QE59-NV59</f>
        <v>0</v>
      </c>
      <c r="RP59" s="442"/>
      <c r="RQ59" s="442"/>
      <c r="RR59" s="6339"/>
      <c r="RS59" s="6335"/>
      <c r="RT59" s="639"/>
      <c r="RU59" s="639"/>
      <c r="RV59" s="5314"/>
      <c r="RW59" s="226"/>
      <c r="RX59" s="150"/>
      <c r="RY59" s="118"/>
      <c r="RZ59" s="118"/>
      <c r="SA59" s="118"/>
      <c r="SB59" s="5471"/>
      <c r="SC59" s="5389"/>
      <c r="SD59" s="5474"/>
      <c r="SE59" s="128"/>
      <c r="SF59" s="128"/>
      <c r="SG59" s="696"/>
      <c r="SH59" s="6380"/>
      <c r="SI59" s="6376"/>
      <c r="SJ59" s="118"/>
      <c r="SK59" s="118"/>
      <c r="SL59" s="118"/>
      <c r="SM59" s="226"/>
      <c r="SN59" s="5389"/>
      <c r="SO59" s="118"/>
      <c r="SP59" s="118"/>
      <c r="SQ59" s="118"/>
      <c r="SR59" s="118"/>
      <c r="SS59" s="6380"/>
      <c r="ST59" s="6376"/>
      <c r="SU59" s="118"/>
      <c r="SV59" s="118"/>
      <c r="SW59" s="118"/>
      <c r="SX59" s="226"/>
      <c r="SY59" s="5389"/>
      <c r="SZ59" s="6269"/>
      <c r="TA59" s="118"/>
      <c r="TB59" s="118"/>
      <c r="TC59" s="5389"/>
      <c r="TD59" s="1562"/>
      <c r="TE59" s="118"/>
      <c r="TF59" s="118"/>
      <c r="TG59" s="118"/>
      <c r="TH59" s="5471"/>
      <c r="TI59" s="150"/>
      <c r="TJ59" s="226"/>
      <c r="TK59" s="118"/>
      <c r="TL59" s="118"/>
      <c r="TM59" s="226"/>
      <c r="TN59" s="5389"/>
      <c r="TO59" s="118"/>
      <c r="TP59" s="118"/>
      <c r="TQ59" s="118"/>
      <c r="TR59" s="118"/>
      <c r="TS59" s="5471"/>
      <c r="TT59" s="150"/>
      <c r="TU59" s="226"/>
      <c r="TV59" s="118"/>
      <c r="TW59" s="118"/>
      <c r="TX59" s="226"/>
      <c r="TY59" s="119"/>
      <c r="TZ59" s="1562"/>
      <c r="UA59" s="118"/>
      <c r="UB59" s="118"/>
      <c r="UC59" s="118"/>
      <c r="UD59" s="5471"/>
      <c r="UE59" s="150"/>
      <c r="UF59" s="226"/>
      <c r="UG59" s="118"/>
      <c r="UH59" s="118"/>
      <c r="UI59" s="226"/>
      <c r="UJ59" s="5389"/>
      <c r="UK59" s="6325"/>
      <c r="UL59" s="189"/>
      <c r="UM59" s="189"/>
      <c r="UN59" s="119"/>
      <c r="UO59" s="189"/>
      <c r="UP59" s="2068"/>
    </row>
    <row r="60" spans="1:581" x14ac:dyDescent="0.3">
      <c r="A60" s="5316">
        <v>1</v>
      </c>
      <c r="B60" s="5360" t="s">
        <v>143</v>
      </c>
      <c r="C60" s="578" t="s">
        <v>144</v>
      </c>
      <c r="D60" s="578" t="s">
        <v>142</v>
      </c>
      <c r="E60" s="6278" t="s">
        <v>145</v>
      </c>
      <c r="F60" s="422">
        <v>6</v>
      </c>
      <c r="G60" s="161">
        <v>2461440</v>
      </c>
      <c r="H60" s="161">
        <v>3991500</v>
      </c>
      <c r="I60" s="161">
        <v>1442756</v>
      </c>
      <c r="J60" s="94">
        <f>I60/H60</f>
        <v>0.36145709632970063</v>
      </c>
      <c r="K60" s="136">
        <v>17</v>
      </c>
      <c r="L60" s="161">
        <v>8358275</v>
      </c>
      <c r="M60" s="161">
        <v>12388508</v>
      </c>
      <c r="N60" s="161">
        <v>3996941</v>
      </c>
      <c r="O60" s="158">
        <f>N60/M60</f>
        <v>0.32263295951376875</v>
      </c>
      <c r="P60" s="136">
        <v>36</v>
      </c>
      <c r="Q60" s="161">
        <v>18457202</v>
      </c>
      <c r="R60" s="161">
        <v>27923923</v>
      </c>
      <c r="S60" s="161">
        <v>9402064</v>
      </c>
      <c r="T60" s="94">
        <f>S60/R60</f>
        <v>0.33670283362405778</v>
      </c>
      <c r="U60" s="136">
        <v>49</v>
      </c>
      <c r="V60" s="161">
        <v>10544533</v>
      </c>
      <c r="W60" s="161">
        <v>15514455</v>
      </c>
      <c r="X60" s="161">
        <v>0</v>
      </c>
      <c r="Y60" s="759">
        <f>W60-(V60+X60)</f>
        <v>4969922</v>
      </c>
      <c r="Z60" s="94">
        <f>Y60/W60</f>
        <v>0.32034138485689634</v>
      </c>
      <c r="AA60" s="422">
        <v>62</v>
      </c>
      <c r="AB60" s="161">
        <v>13020839</v>
      </c>
      <c r="AC60" s="161">
        <v>20743644</v>
      </c>
      <c r="AD60" s="161">
        <v>0</v>
      </c>
      <c r="AE60" s="722">
        <f>AC60-(AB60+AD60)</f>
        <v>7722805</v>
      </c>
      <c r="AF60" s="422"/>
      <c r="AG60" s="583">
        <v>65</v>
      </c>
      <c r="AH60" s="584">
        <f>12342539+225000+1765762</f>
        <v>14333301</v>
      </c>
      <c r="AI60" s="584">
        <v>23675393</v>
      </c>
      <c r="AJ60" s="584">
        <v>131622</v>
      </c>
      <c r="AK60" s="105">
        <f>AI60-(AH60+AJ60)</f>
        <v>9210470</v>
      </c>
      <c r="AL60" s="116">
        <f>AK60/AI60</f>
        <v>0.38903134575210641</v>
      </c>
      <c r="AM60" s="585">
        <v>600257</v>
      </c>
      <c r="AN60" s="417">
        <v>1815008.1424999998</v>
      </c>
      <c r="AO60" s="417">
        <v>0</v>
      </c>
      <c r="AP60" s="417">
        <f>95475.06+284425</f>
        <v>379900.06</v>
      </c>
      <c r="AQ60" s="418">
        <f>AK60-AM60-AN60-AO60-AP60</f>
        <v>6415304.7975000003</v>
      </c>
      <c r="AR60" s="421">
        <f>AQ60/AI60</f>
        <v>0.27096930545144488</v>
      </c>
      <c r="AS60" s="583">
        <v>65</v>
      </c>
      <c r="AT60" s="760">
        <v>38030295</v>
      </c>
      <c r="AU60" s="761">
        <f>AI60+AC60+W60</f>
        <v>59933492</v>
      </c>
      <c r="AV60" s="761">
        <v>22034819</v>
      </c>
      <c r="AW60" s="116">
        <f>AV60/AU60</f>
        <v>0.36765451610928995</v>
      </c>
      <c r="AX60" s="762">
        <v>65</v>
      </c>
      <c r="AY60" s="763">
        <f t="shared" ref="AY60:BA62" si="697">AT60+Q60+L60+G60</f>
        <v>67307212</v>
      </c>
      <c r="AZ60" s="763">
        <f t="shared" si="697"/>
        <v>104237423</v>
      </c>
      <c r="BA60" s="763">
        <f t="shared" si="697"/>
        <v>36876580</v>
      </c>
      <c r="BB60" s="736">
        <f>BA60/AZ60</f>
        <v>0.35377486260380786</v>
      </c>
      <c r="BC60" s="684">
        <v>67</v>
      </c>
      <c r="BD60" s="679">
        <v>15025064</v>
      </c>
      <c r="BE60" s="679">
        <v>23029865</v>
      </c>
      <c r="BF60" s="679">
        <v>78151</v>
      </c>
      <c r="BG60" s="722">
        <f>BE60-(BD60+BF60)</f>
        <v>7926650</v>
      </c>
      <c r="BH60" s="736">
        <f>BG60/BE60</f>
        <v>0.34419003324596126</v>
      </c>
      <c r="BI60" s="684">
        <v>67</v>
      </c>
      <c r="BJ60" s="679">
        <v>15300542</v>
      </c>
      <c r="BK60" s="679">
        <v>25566923</v>
      </c>
      <c r="BL60" s="679"/>
      <c r="BM60" s="722">
        <f>BK60-(BJ60+BL60)</f>
        <v>10266381</v>
      </c>
      <c r="BN60" s="736">
        <f>BM60/BK60</f>
        <v>0.4015493377908636</v>
      </c>
      <c r="BO60" s="678">
        <v>70</v>
      </c>
      <c r="BP60" s="679">
        <v>15810131</v>
      </c>
      <c r="BQ60" s="679">
        <v>26559783</v>
      </c>
      <c r="BR60" s="679">
        <v>20199</v>
      </c>
      <c r="BS60" s="722">
        <f>BQ60-(BP60+BR60)</f>
        <v>10729453</v>
      </c>
      <c r="BT60" s="683">
        <f>BS60/BQ60</f>
        <v>0.40397366951379082</v>
      </c>
      <c r="BU60" s="689">
        <v>70</v>
      </c>
      <c r="BV60" s="592">
        <f>BQ60+BK60+BE60</f>
        <v>75156571</v>
      </c>
      <c r="BW60" s="592">
        <f>BS60+BM60+BG60</f>
        <v>28922484</v>
      </c>
      <c r="BX60" s="593">
        <f>BW60/BV60</f>
        <v>0.38482974429474703</v>
      </c>
      <c r="BY60" s="654">
        <v>68</v>
      </c>
      <c r="BZ60" s="650">
        <f>14023032+220120+156508+1687766</f>
        <v>16087426</v>
      </c>
      <c r="CA60" s="650">
        <v>25437714</v>
      </c>
      <c r="CB60" s="671">
        <v>66983</v>
      </c>
      <c r="CC60" s="596">
        <f>CA60-(BZ60+CB60)</f>
        <v>9283305</v>
      </c>
      <c r="CD60" s="655">
        <f>CC60/CA60</f>
        <v>0.36494258092531429</v>
      </c>
      <c r="CE60" s="670">
        <v>968569</v>
      </c>
      <c r="CF60" s="671">
        <v>2081563</v>
      </c>
      <c r="CG60" s="671"/>
      <c r="CH60" s="671">
        <f>143104.111111111+572416</f>
        <v>715520.11111111101</v>
      </c>
      <c r="CI60" s="599">
        <f>CC60-CE60-CF60-CG60-CH60</f>
        <v>5517652.888888889</v>
      </c>
      <c r="CJ60" s="597">
        <f>CI60/CA60</f>
        <v>0.2169083624766317</v>
      </c>
      <c r="CK60" s="764">
        <f>67+1</f>
        <v>68</v>
      </c>
      <c r="CL60" s="765">
        <f>13773239+225000+23415+1858426</f>
        <v>15880080</v>
      </c>
      <c r="CM60" s="765">
        <v>23503825</v>
      </c>
      <c r="CN60" s="766">
        <v>293771</v>
      </c>
      <c r="CO60" s="360">
        <f>CM60-(CL60+CN60)</f>
        <v>7329974</v>
      </c>
      <c r="CP60" s="767">
        <f>CO60/CM60</f>
        <v>0.31186302654993392</v>
      </c>
      <c r="CQ60" s="768">
        <f>348513+250000+196500</f>
        <v>795013</v>
      </c>
      <c r="CR60" s="766">
        <f>568248+565804+76707+70250</f>
        <v>1281009</v>
      </c>
      <c r="CS60" s="766"/>
      <c r="CT60" s="766">
        <f>163912.7505*4</f>
        <v>655651.00199999998</v>
      </c>
      <c r="CU60" s="603">
        <f>CO60-CQ60-CR60-CS60-CT60</f>
        <v>4598300.9979999997</v>
      </c>
      <c r="CV60" s="769">
        <f>CU60/CM60</f>
        <v>0.19564053927392669</v>
      </c>
      <c r="CW60" s="129">
        <v>65</v>
      </c>
      <c r="CX60" s="130">
        <v>16300532</v>
      </c>
      <c r="CY60" s="130">
        <v>26529213</v>
      </c>
      <c r="CZ60" s="130">
        <v>114942</v>
      </c>
      <c r="DA60" s="605">
        <f>CY60-(CX60+CZ60)</f>
        <v>10113739</v>
      </c>
      <c r="DB60" s="114">
        <f>DA60/CY60</f>
        <v>0.38123026868531684</v>
      </c>
      <c r="DC60" s="129">
        <f>177680+250000+38000+206525+12631</f>
        <v>684836</v>
      </c>
      <c r="DD60" s="130">
        <f>500000+212856+106427+106427</f>
        <v>925710</v>
      </c>
      <c r="DE60" s="130"/>
      <c r="DF60" s="130">
        <f>113315.856818182*5</f>
        <v>566579.28409090999</v>
      </c>
      <c r="DG60" s="128">
        <f>DA60-DC60-DD60-DE60-DF60</f>
        <v>7936613.7159090899</v>
      </c>
      <c r="DH60" s="169">
        <f>DG60/CY60</f>
        <v>0.29916506441065893</v>
      </c>
      <c r="DI60" s="204">
        <f>(BY60+CK60+CW60)/3</f>
        <v>67</v>
      </c>
      <c r="DJ60" s="202">
        <f>CA60+CM60+CY60</f>
        <v>75470752</v>
      </c>
      <c r="DK60" s="202">
        <f>CC60+CO60+DA60</f>
        <v>26727018</v>
      </c>
      <c r="DL60" s="119">
        <f>DK60/DJ60</f>
        <v>0.35413742796679698</v>
      </c>
      <c r="DM60" s="202">
        <f>CI60+CU60+DG60</f>
        <v>18052567.602797978</v>
      </c>
      <c r="DN60" s="119">
        <f>DM60/DJ60</f>
        <v>0.23919951934224767</v>
      </c>
      <c r="DO60" s="686">
        <f t="shared" ref="DO60:DQ62" si="698">CW60-AG60</f>
        <v>0</v>
      </c>
      <c r="DP60" s="146">
        <f t="shared" si="698"/>
        <v>1967231</v>
      </c>
      <c r="DQ60" s="146">
        <f t="shared" si="698"/>
        <v>2853820</v>
      </c>
      <c r="DR60" s="146">
        <f>DA60-AK60</f>
        <v>903269</v>
      </c>
      <c r="DS60" s="119">
        <f>DO60/AG60</f>
        <v>0</v>
      </c>
      <c r="DT60" s="119">
        <f>DP60/AI60</f>
        <v>8.3091799151971832E-2</v>
      </c>
      <c r="DU60" s="119">
        <f>DQ60/AK60</f>
        <v>0.30984520876784788</v>
      </c>
      <c r="DV60" s="150">
        <f>DR60/AQ60</f>
        <v>0.14079907791006246</v>
      </c>
      <c r="DW60" s="686">
        <f>CW60-CK60</f>
        <v>-3</v>
      </c>
      <c r="DX60" s="687">
        <f>CY60-CM60</f>
        <v>3025388</v>
      </c>
      <c r="DY60" s="687">
        <f>DA60-CO60</f>
        <v>2783765</v>
      </c>
      <c r="DZ60" s="687">
        <f>DG60-CU60</f>
        <v>3338312.7179090902</v>
      </c>
      <c r="EA60" s="119">
        <f>DW60/CK60</f>
        <v>-4.4117647058823532E-2</v>
      </c>
      <c r="EB60" s="119">
        <f>DX60/CM60</f>
        <v>0.12871896382822795</v>
      </c>
      <c r="EC60" s="119">
        <f>DY60/CO60</f>
        <v>0.3797782911644707</v>
      </c>
      <c r="ED60" s="150">
        <f>DZ60/CU60</f>
        <v>0.72598829858268676</v>
      </c>
      <c r="EE60" s="129">
        <v>64</v>
      </c>
      <c r="EF60" s="130">
        <v>15201241</v>
      </c>
      <c r="EG60" s="130">
        <v>21081806</v>
      </c>
      <c r="EH60" s="130">
        <v>288327</v>
      </c>
      <c r="EI60" s="605">
        <f>EG60-(EF60+EH60)</f>
        <v>5592238</v>
      </c>
      <c r="EJ60" s="114">
        <f>EI60/EG60</f>
        <v>0.26526370653444015</v>
      </c>
      <c r="EK60" s="129">
        <v>635021</v>
      </c>
      <c r="EL60" s="130">
        <v>1576795.35</v>
      </c>
      <c r="EM60" s="130"/>
      <c r="EN60" s="130">
        <f>137930*7</f>
        <v>965510</v>
      </c>
      <c r="EO60" s="128">
        <f>EI60-EK60-EL60-EM60-EN60</f>
        <v>2414911.65</v>
      </c>
      <c r="EP60" s="114">
        <f>EO60/EG60</f>
        <v>0.11454956230979452</v>
      </c>
      <c r="EQ60" s="129">
        <v>64</v>
      </c>
      <c r="ER60" s="130">
        <v>15175423</v>
      </c>
      <c r="ES60" s="130">
        <v>24178704</v>
      </c>
      <c r="ET60" s="130">
        <v>171261</v>
      </c>
      <c r="EU60" s="134">
        <f>ES60-(ER60+ET60)</f>
        <v>8832020</v>
      </c>
      <c r="EV60" s="114">
        <f>EU60/ES60</f>
        <v>0.3652809513694365</v>
      </c>
      <c r="EW60" s="129">
        <f>650232+73140</f>
        <v>723372</v>
      </c>
      <c r="EX60" s="130">
        <f>144936.734090909*8+75000</f>
        <v>1234493.8727272721</v>
      </c>
      <c r="EY60" s="130"/>
      <c r="EZ60" s="130">
        <f>132797.355833333*8</f>
        <v>1062378.8466666639</v>
      </c>
      <c r="FA60" s="128">
        <f>EU60-EW60-EX60-EY60-EZ60</f>
        <v>5811775.280606064</v>
      </c>
      <c r="FB60" s="114">
        <f>FA60/ES60</f>
        <v>0.24036752675437295</v>
      </c>
      <c r="FC60" s="609">
        <f>EQ60-AG60</f>
        <v>-1</v>
      </c>
      <c r="FD60" s="610">
        <f>ES60-AI60</f>
        <v>503311</v>
      </c>
      <c r="FE60" s="610">
        <f>EU60-AK60</f>
        <v>-378450</v>
      </c>
      <c r="FF60" s="610">
        <f>FA60-AQ60</f>
        <v>-603529.51689393632</v>
      </c>
      <c r="FG60" s="611">
        <f>FC60/AG60</f>
        <v>-1.5384615384615385E-2</v>
      </c>
      <c r="FH60" s="611">
        <f>FD60/AI60</f>
        <v>2.1258823454377292E-2</v>
      </c>
      <c r="FI60" s="611">
        <f>FE60/AK60</f>
        <v>-4.1089108373405486E-2</v>
      </c>
      <c r="FJ60" s="612">
        <f>FF60/AQ60</f>
        <v>-9.4076514825784677E-2</v>
      </c>
      <c r="FK60" s="133">
        <v>65</v>
      </c>
      <c r="FL60" s="134">
        <v>15584776</v>
      </c>
      <c r="FM60" s="134">
        <v>25322015</v>
      </c>
      <c r="FN60" s="134">
        <v>23013</v>
      </c>
      <c r="FO60" s="134">
        <f>FM60-(FL60+FN60)</f>
        <v>9714226</v>
      </c>
      <c r="FP60" s="135">
        <f>FO60/FM60</f>
        <v>0.38362768523752949</v>
      </c>
      <c r="FQ60" s="133">
        <f>225131+126833-48833+250000</f>
        <v>553131</v>
      </c>
      <c r="FR60" s="134">
        <f>839700+1489200</f>
        <v>2328900</v>
      </c>
      <c r="FS60" s="134">
        <v>1227323.375</v>
      </c>
      <c r="FT60" s="191">
        <f>FO60-SUM(FQ60:FS60)</f>
        <v>5604871.625</v>
      </c>
      <c r="FU60" s="151">
        <f>FT60/FM60</f>
        <v>0.22134382374388453</v>
      </c>
      <c r="FV60" s="190">
        <f t="shared" ref="FV60:FX62" si="699">FK60-AG60</f>
        <v>0</v>
      </c>
      <c r="FW60" s="191">
        <f t="shared" si="699"/>
        <v>1251475</v>
      </c>
      <c r="FX60" s="191">
        <f t="shared" si="699"/>
        <v>1646622</v>
      </c>
      <c r="FY60" s="191">
        <f>FO60-AK60</f>
        <v>503756</v>
      </c>
      <c r="FZ60" s="191">
        <f>FT60-AQ60</f>
        <v>-810433.17250000034</v>
      </c>
      <c r="GA60" s="135">
        <f>FV60/AG60</f>
        <v>0</v>
      </c>
      <c r="GB60" s="135">
        <f>FX60/AI60</f>
        <v>6.9549933130993849E-2</v>
      </c>
      <c r="GC60" s="135">
        <f>FY60/AK60</f>
        <v>5.4693842985211398E-2</v>
      </c>
      <c r="GD60" s="151">
        <f>FZ60/AQ60</f>
        <v>-0.12632808542718352</v>
      </c>
      <c r="GE60" s="187">
        <f>(EE60+EQ60+FK60)/3</f>
        <v>64.333333333333329</v>
      </c>
      <c r="GF60" s="155">
        <f>EG60+ES60+FM60</f>
        <v>70582525</v>
      </c>
      <c r="GG60" s="155">
        <f>EI60+EU60+FO60</f>
        <v>24138484</v>
      </c>
      <c r="GH60" s="74">
        <f>GG60/GF60</f>
        <v>0.34198952219405582</v>
      </c>
      <c r="GI60" s="613">
        <f>EO60+FA60+FT60</f>
        <v>13831558.555606063</v>
      </c>
      <c r="GJ60" s="187">
        <f t="shared" ref="GJ60:GL62" si="700">GE60-DI60</f>
        <v>-2.6666666666666714</v>
      </c>
      <c r="GK60" s="155">
        <f t="shared" si="700"/>
        <v>-4888227</v>
      </c>
      <c r="GL60" s="155">
        <f t="shared" si="700"/>
        <v>-2588534</v>
      </c>
      <c r="GM60" s="613">
        <f>GI60-DM60</f>
        <v>-4221009.0471919142</v>
      </c>
      <c r="GN60" s="133">
        <v>63</v>
      </c>
      <c r="GO60" s="134">
        <v>15491051</v>
      </c>
      <c r="GP60" s="134">
        <v>23533424</v>
      </c>
      <c r="GQ60" s="134">
        <v>97514</v>
      </c>
      <c r="GR60" s="134">
        <f>GP60-(GO60+GQ60)</f>
        <v>7944859</v>
      </c>
      <c r="GS60" s="135">
        <f>GR60/GP60</f>
        <v>0.33759894012872926</v>
      </c>
      <c r="GT60" s="133">
        <f>661744+39800+15000</f>
        <v>716544</v>
      </c>
      <c r="GU60" s="134">
        <v>1880119</v>
      </c>
      <c r="GV60" s="134">
        <v>0</v>
      </c>
      <c r="GW60" s="134">
        <v>1285916</v>
      </c>
      <c r="GX60" s="190">
        <f>GR60-SUM(GT60:GW60)</f>
        <v>4062280</v>
      </c>
      <c r="GY60" s="151">
        <f>GX60/GP60</f>
        <v>0.17261746526982219</v>
      </c>
      <c r="GZ60" s="129">
        <v>61</v>
      </c>
      <c r="HA60" s="130">
        <v>15514672</v>
      </c>
      <c r="HB60" s="130">
        <v>22172884</v>
      </c>
      <c r="HC60" s="130">
        <v>99351</v>
      </c>
      <c r="HD60" s="134">
        <f>HB60-(HA60+HC60)</f>
        <v>6558861</v>
      </c>
      <c r="HE60" s="151">
        <f>HD60/HB60</f>
        <v>0.29580549828339875</v>
      </c>
      <c r="HF60" s="138">
        <f>1108859-405818+64146</f>
        <v>767187</v>
      </c>
      <c r="HG60" s="130">
        <f>589500+(148707*6)</f>
        <v>1481742</v>
      </c>
      <c r="HH60" s="130"/>
      <c r="HI60" s="130">
        <f>437865*2</f>
        <v>875730</v>
      </c>
      <c r="HJ60" s="197">
        <f>HD60-SUM(HF60:HI60)</f>
        <v>3434202</v>
      </c>
      <c r="HK60" s="201">
        <f>HJ60/HB60</f>
        <v>0.154882964254898</v>
      </c>
      <c r="HL60" s="133">
        <v>59</v>
      </c>
      <c r="HM60" s="656">
        <v>15647691</v>
      </c>
      <c r="HN60" s="134">
        <v>23725593</v>
      </c>
      <c r="HO60" s="134">
        <v>349161</v>
      </c>
      <c r="HP60" s="615">
        <f>HN60-(HM60+HO60)</f>
        <v>7728741</v>
      </c>
      <c r="HQ60" s="151">
        <f>HP60/HN60</f>
        <v>0.32575544054894645</v>
      </c>
      <c r="HR60" s="134">
        <f>1022622+69722+37500</f>
        <v>1129844</v>
      </c>
      <c r="HS60" s="109">
        <f>444257*6+311901</f>
        <v>2977443</v>
      </c>
      <c r="HT60" s="134"/>
      <c r="HU60" s="134">
        <f>407616*2</f>
        <v>815232</v>
      </c>
      <c r="HV60" s="191">
        <f>HP60-SUM(HR60:HU60)</f>
        <v>2806222</v>
      </c>
      <c r="HW60" s="151">
        <f>HV60/HN60</f>
        <v>0.11827826600582754</v>
      </c>
      <c r="HX60" s="414">
        <v>59</v>
      </c>
      <c r="HY60" s="241">
        <f>HN60+HB60+GP60</f>
        <v>69431901</v>
      </c>
      <c r="HZ60" s="415">
        <f>HP60+HD60+GR60</f>
        <v>22232461</v>
      </c>
      <c r="IA60" s="135">
        <f>HZ60/HY60</f>
        <v>0.32020527567004109</v>
      </c>
      <c r="IB60" s="415">
        <f>HV60+HJ60+GX60</f>
        <v>10302704</v>
      </c>
      <c r="IC60" s="141"/>
      <c r="ID60" s="642">
        <v>59</v>
      </c>
      <c r="IE60" s="141">
        <f>HY60+GF60+DJ60+BV60</f>
        <v>290641749</v>
      </c>
      <c r="IF60" s="141">
        <f>HZ60+GG60+DK60+BW60</f>
        <v>102020447</v>
      </c>
      <c r="IG60" s="74">
        <f t="shared" ref="IG60:IG78" si="701">IF60/IE60</f>
        <v>0.35101786770489052</v>
      </c>
      <c r="IH60" s="1507"/>
      <c r="II60" s="69"/>
      <c r="IJ60" s="133">
        <v>59</v>
      </c>
      <c r="IK60" s="656">
        <f>12588030+2047447-13707</f>
        <v>14621770</v>
      </c>
      <c r="IL60" s="134">
        <v>20331567</v>
      </c>
      <c r="IM60" s="134">
        <v>125268</v>
      </c>
      <c r="IN60" s="133">
        <f>IL60-(IK60+IM60)</f>
        <v>5584529</v>
      </c>
      <c r="IO60" s="151">
        <f>IN60/IL60</f>
        <v>0.27467282772646101</v>
      </c>
      <c r="IP60" s="134">
        <v>885926</v>
      </c>
      <c r="IQ60" s="118">
        <f>1850133+352115-61919</f>
        <v>2140329</v>
      </c>
      <c r="IR60" s="134">
        <v>1591942.2</v>
      </c>
      <c r="IS60" s="190">
        <f>IN60-SUM(IP60:IR60)</f>
        <v>966331.79999999981</v>
      </c>
      <c r="IT60" s="151">
        <f>IS60/IL60</f>
        <v>4.7528643512819241E-2</v>
      </c>
      <c r="IU60" s="770">
        <v>59</v>
      </c>
      <c r="IV60" s="649">
        <f>13054632+236250+39662+2344393</f>
        <v>15674937</v>
      </c>
      <c r="IW60" s="622">
        <v>23612354</v>
      </c>
      <c r="IX60" s="134">
        <v>119906</v>
      </c>
      <c r="IY60" s="133">
        <f>IW60-(IV60+IX60)</f>
        <v>7817511</v>
      </c>
      <c r="IZ60" s="151">
        <f>IY60/IW60</f>
        <v>0.33107715562793949</v>
      </c>
      <c r="JA60" s="134">
        <v>836342</v>
      </c>
      <c r="JB60" s="134">
        <f>1486943+109241+300000-118580</f>
        <v>1777604</v>
      </c>
      <c r="JC60" s="134">
        <v>1465927.8</v>
      </c>
      <c r="JD60" s="190">
        <f>IY60-SUM(JA60:JC60)</f>
        <v>3737637.2</v>
      </c>
      <c r="JE60" s="151">
        <f>JD60/IW60</f>
        <v>0.15829159600097475</v>
      </c>
      <c r="JF60" s="770">
        <v>58</v>
      </c>
      <c r="JG60" s="649">
        <v>15042522</v>
      </c>
      <c r="JH60" s="622">
        <v>22128864</v>
      </c>
      <c r="JI60" s="358">
        <v>0</v>
      </c>
      <c r="JJ60" s="133">
        <f>JH60-(JG60+JI60)</f>
        <v>7086342</v>
      </c>
      <c r="JK60" s="151">
        <f>JJ60/JH60</f>
        <v>0.32023071767262884</v>
      </c>
      <c r="JL60" s="134">
        <f>842116</f>
        <v>842116</v>
      </c>
      <c r="JM60" s="134">
        <f>337941*3+1182044-84932</f>
        <v>2110935</v>
      </c>
      <c r="JN60" s="134">
        <v>1657702.7</v>
      </c>
      <c r="JO60" s="190">
        <f>JJ60-SUM(JL60:JN60)</f>
        <v>2475588.2999999998</v>
      </c>
      <c r="JP60" s="151">
        <f>JO60/JH60</f>
        <v>0.11187145892351275</v>
      </c>
      <c r="JQ60" s="770">
        <v>58</v>
      </c>
      <c r="JR60" s="189">
        <f t="shared" si="695"/>
        <v>66072785</v>
      </c>
      <c r="JS60" s="189">
        <f>JJ60+IY60+IN60</f>
        <v>20488382</v>
      </c>
      <c r="JT60" s="150">
        <f>JS60/JR60</f>
        <v>0.3100880642461189</v>
      </c>
      <c r="JU60" s="770">
        <v>57</v>
      </c>
      <c r="JV60" s="771">
        <f>12221790+236250+39423+2321187</f>
        <v>14818650</v>
      </c>
      <c r="JW60" s="622">
        <v>22445114</v>
      </c>
      <c r="JX60" s="358">
        <v>184410</v>
      </c>
      <c r="JY60" s="133">
        <f>JW60-(JV60+JX60)</f>
        <v>7442054</v>
      </c>
      <c r="JZ60" s="151">
        <f>JY60/JW60</f>
        <v>0.33156677217144009</v>
      </c>
      <c r="KA60" s="134">
        <f>872178+282259</f>
        <v>1154437</v>
      </c>
      <c r="KB60" s="134">
        <f>320000+1053506+181688</f>
        <v>1555194</v>
      </c>
      <c r="KC60" s="134">
        <v>2073659.6</v>
      </c>
      <c r="KD60" s="190">
        <f>JY60-SUM(KA60:KC60)</f>
        <v>2658763.4000000004</v>
      </c>
      <c r="KE60" s="151">
        <f>KD60/JW60</f>
        <v>0.11845622169706958</v>
      </c>
      <c r="KF60" s="770">
        <v>54</v>
      </c>
      <c r="KG60" s="771">
        <v>14381961</v>
      </c>
      <c r="KH60" s="622">
        <v>21851982</v>
      </c>
      <c r="KI60" s="358">
        <v>230800</v>
      </c>
      <c r="KJ60" s="133">
        <f>KH60-(KG60+KI60)</f>
        <v>7239221</v>
      </c>
      <c r="KK60" s="151">
        <f>KJ60/KH60</f>
        <v>0.33128441163826694</v>
      </c>
      <c r="KL60" s="134">
        <f>295605+550871+250000+166667</f>
        <v>1263143</v>
      </c>
      <c r="KM60" s="134">
        <f>122222+1260982-435862</f>
        <v>947342</v>
      </c>
      <c r="KN60" s="134">
        <f>522286*2+344573</f>
        <v>1389145</v>
      </c>
      <c r="KO60" s="190">
        <f>KJ60-SUM(KL60:KN60)</f>
        <v>3639591</v>
      </c>
      <c r="KP60" s="151">
        <f>KO60/KH60</f>
        <v>0.16655656223769541</v>
      </c>
      <c r="KQ60" s="770">
        <v>47</v>
      </c>
      <c r="KR60" s="771">
        <v>12416448</v>
      </c>
      <c r="KS60" s="622">
        <v>17622535</v>
      </c>
      <c r="KT60" s="358">
        <v>135299</v>
      </c>
      <c r="KU60" s="133">
        <f>KS60-(KR60+KT60)</f>
        <v>5070788</v>
      </c>
      <c r="KV60" s="151">
        <f>KU60/KS60</f>
        <v>0.28774452710691167</v>
      </c>
      <c r="KW60" s="134">
        <f>317261+416667+137500+315759</f>
        <v>1187187</v>
      </c>
      <c r="KX60" s="134">
        <f>100000+944528</f>
        <v>1044528</v>
      </c>
      <c r="KY60" s="134">
        <v>1759453.3000000003</v>
      </c>
      <c r="KZ60" s="190">
        <f>KU60-SUM(KW60:KY60)</f>
        <v>1079619.6999999997</v>
      </c>
      <c r="LA60" s="151">
        <f>KZ60/KS60</f>
        <v>6.1263586651977127E-2</v>
      </c>
      <c r="LB60" s="402">
        <v>47</v>
      </c>
      <c r="LC60" s="191">
        <f>KS60+KH60+JW60</f>
        <v>61919631</v>
      </c>
      <c r="LD60" s="191">
        <f>KU60+KJ60+JY60</f>
        <v>19752063</v>
      </c>
      <c r="LE60" s="151">
        <f>LD60/LC60</f>
        <v>0.31899516649251347</v>
      </c>
      <c r="LF60" s="226">
        <f>LB60-JQ60</f>
        <v>-11</v>
      </c>
      <c r="LG60" s="128">
        <f>LC60-JR60</f>
        <v>-4153154</v>
      </c>
      <c r="LH60" s="139">
        <f>LD60-JS60</f>
        <v>-736319</v>
      </c>
      <c r="LI60" s="442">
        <f>LF60/JQ60</f>
        <v>-0.18965517241379309</v>
      </c>
      <c r="LJ60" s="442">
        <f>LG60/JR60</f>
        <v>-6.2857256584537793E-2</v>
      </c>
      <c r="LK60" s="106">
        <f>LH60/JS60</f>
        <v>-3.5938367412321773E-2</v>
      </c>
      <c r="LL60" s="583">
        <v>41</v>
      </c>
      <c r="LM60" s="623">
        <f>8860924+235260+216238+27846+1776183</f>
        <v>11116451</v>
      </c>
      <c r="LN60" s="772">
        <f>15343885+410000</f>
        <v>15753885</v>
      </c>
      <c r="LO60" s="358">
        <v>231995</v>
      </c>
      <c r="LP60" s="133">
        <f>LN60-(LM60+LO60)</f>
        <v>4405439</v>
      </c>
      <c r="LQ60" s="151">
        <f>LP60/LN60</f>
        <v>0.27964143447790812</v>
      </c>
      <c r="LR60" s="134">
        <f>228429+124380+339239+496887</f>
        <v>1188935</v>
      </c>
      <c r="LS60" s="134">
        <f>200000+345174</f>
        <v>545174</v>
      </c>
      <c r="LT60" s="134">
        <v>1757304.2000000002</v>
      </c>
      <c r="LU60" s="190">
        <f>LP60-SUM(LR60:LT60)</f>
        <v>914025.79999999981</v>
      </c>
      <c r="LV60" s="151">
        <f>LU60/LN60</f>
        <v>5.8019072755704372E-2</v>
      </c>
      <c r="LW60" s="134">
        <v>37</v>
      </c>
      <c r="LX60" s="134">
        <v>9256907</v>
      </c>
      <c r="LY60" s="134">
        <v>13450385</v>
      </c>
      <c r="LZ60" s="134">
        <v>218358</v>
      </c>
      <c r="MA60" s="133">
        <f>LY60-(LX60+LZ60)</f>
        <v>3975120</v>
      </c>
      <c r="MB60" s="151">
        <f>MA60/LY60</f>
        <v>0.29553949570960236</v>
      </c>
      <c r="MC60" s="134">
        <f>590833+120084+40933</f>
        <v>751850</v>
      </c>
      <c r="MD60" s="134">
        <v>715786</v>
      </c>
      <c r="ME60" s="134">
        <v>1200763.7000000002</v>
      </c>
      <c r="MF60" s="190">
        <f>MA60-SUM(MC60:ME60)</f>
        <v>1306720.2999999998</v>
      </c>
      <c r="MG60" s="151">
        <f>MF60/LY60</f>
        <v>9.715114474418389E-2</v>
      </c>
      <c r="MH60" s="134">
        <v>33</v>
      </c>
      <c r="MI60" s="134">
        <v>6830805</v>
      </c>
      <c r="MJ60" s="134">
        <v>8338461</v>
      </c>
      <c r="MK60" s="134">
        <v>270918</v>
      </c>
      <c r="ML60" s="133">
        <f>MJ60-(MI60+MK60)</f>
        <v>1236738</v>
      </c>
      <c r="MM60" s="151">
        <f>ML60/MJ60</f>
        <v>0.14831729740056349</v>
      </c>
      <c r="MN60" s="134">
        <f>313540+48750+678344+386667+250000</f>
        <v>1677301</v>
      </c>
      <c r="MO60" s="134">
        <v>890173.75</v>
      </c>
      <c r="MP60" s="134">
        <v>1169930.1499999999</v>
      </c>
      <c r="MQ60" s="190">
        <f>ML60-SUM(MN60:MP60)</f>
        <v>-2500666.9</v>
      </c>
      <c r="MR60" s="151">
        <f>MQ60/MJ60</f>
        <v>-0.29989549630321471</v>
      </c>
      <c r="MS60" s="1472">
        <v>33</v>
      </c>
      <c r="MT60" s="118">
        <f>MJ60+LY60+LN60</f>
        <v>37542731</v>
      </c>
      <c r="MU60" s="118">
        <f>ML60+MA60+LP60</f>
        <v>9617297</v>
      </c>
      <c r="MV60" s="135">
        <f t="shared" ref="MV60:MV69" si="702">MU60/MT60</f>
        <v>0.25616935006672797</v>
      </c>
      <c r="MW60" s="133">
        <f t="shared" ref="MW60:MW80" si="703">MS60-LB60</f>
        <v>-14</v>
      </c>
      <c r="MX60" s="134">
        <f t="shared" ref="MX60:MX80" si="704">MT60-LC60</f>
        <v>-24376900</v>
      </c>
      <c r="MY60" s="134">
        <f t="shared" ref="MY60:MY80" si="705">MU60-LD60</f>
        <v>-10134766</v>
      </c>
      <c r="MZ60" s="135">
        <f t="shared" ref="MZ60:MZ69" si="706">MW60/LB60</f>
        <v>-0.2978723404255319</v>
      </c>
      <c r="NA60" s="135">
        <f t="shared" ref="NA60:NA69" si="707">MX60/LC60</f>
        <v>-0.39368613162439547</v>
      </c>
      <c r="NB60" s="151">
        <f t="shared" ref="NB60:NB69" si="708">MY60/LD60</f>
        <v>-0.51309911273571773</v>
      </c>
      <c r="NC60" s="134">
        <v>33</v>
      </c>
      <c r="ND60" s="134">
        <v>7766743</v>
      </c>
      <c r="NE60" s="134">
        <v>11699615</v>
      </c>
      <c r="NF60" s="134">
        <v>57729</v>
      </c>
      <c r="NG60" s="133">
        <f>NE60-(ND60+NF60)</f>
        <v>3875143</v>
      </c>
      <c r="NH60" s="151">
        <f t="shared" ref="NH60:NH69" si="709">NG60/NE60</f>
        <v>0.33121970252867294</v>
      </c>
      <c r="NI60" s="134">
        <f>78592+250000+430225+367554</f>
        <v>1126371</v>
      </c>
      <c r="NJ60" s="134">
        <f>450000+974+229400</f>
        <v>680374</v>
      </c>
      <c r="NK60" s="134">
        <v>1014676.1000000001</v>
      </c>
      <c r="NL60" s="190">
        <f>NG60-SUM(NI60:NK60)</f>
        <v>1053721.8999999999</v>
      </c>
      <c r="NM60" s="135">
        <f t="shared" ref="NM60:NM69" si="710">NL60/NE60</f>
        <v>9.0064664521012014E-2</v>
      </c>
      <c r="NN60" s="1563">
        <v>30</v>
      </c>
      <c r="NO60" s="134">
        <v>7261858</v>
      </c>
      <c r="NP60" s="134">
        <v>11197403</v>
      </c>
      <c r="NQ60" s="134">
        <v>2012</v>
      </c>
      <c r="NR60" s="133">
        <f t="shared" ref="NR60:NR78" si="711">NP60-(NO60+NQ60)</f>
        <v>3933533</v>
      </c>
      <c r="NS60" s="151">
        <f t="shared" ref="NS60:NS69" si="712">NR60/NP60</f>
        <v>0.35128975888426989</v>
      </c>
      <c r="NT60" s="134">
        <f>473059+8000</f>
        <v>481059</v>
      </c>
      <c r="NU60" s="134">
        <f>450000+974+229400-42452+21500+15000</f>
        <v>674422</v>
      </c>
      <c r="NV60" s="134">
        <f>1014676+125255+125</f>
        <v>1140056</v>
      </c>
      <c r="NW60" s="190">
        <f>NR60-SUM(NT60:NV60)</f>
        <v>1637996</v>
      </c>
      <c r="NX60" s="135">
        <f t="shared" ref="NX60:NX69" si="713">NW60/NP60</f>
        <v>0.14628356235816464</v>
      </c>
      <c r="NY60" s="1563">
        <v>30</v>
      </c>
      <c r="NZ60" s="134">
        <v>7095350</v>
      </c>
      <c r="OA60" s="134">
        <v>10780385</v>
      </c>
      <c r="OB60" s="134">
        <v>0</v>
      </c>
      <c r="OC60" s="133">
        <f>OA60-(NZ60+OB60)</f>
        <v>3685035</v>
      </c>
      <c r="OD60" s="151">
        <f t="shared" ref="OD60:OD69" si="714">OC60/OA60</f>
        <v>0.34182777331236314</v>
      </c>
      <c r="OE60" s="134">
        <v>604167</v>
      </c>
      <c r="OF60" s="134">
        <v>4255493.68</v>
      </c>
      <c r="OG60" s="134">
        <v>514729.07000000007</v>
      </c>
      <c r="OH60" s="190">
        <f>OC60-SUM(OE60:OG60)</f>
        <v>-1689354.75</v>
      </c>
      <c r="OI60" s="5380">
        <f t="shared" ref="OI60:OI69" si="715">OH60/OA60</f>
        <v>-0.15670634675848774</v>
      </c>
      <c r="OJ60" s="69">
        <v>30</v>
      </c>
      <c r="OK60" s="155">
        <f t="shared" si="540"/>
        <v>192126208</v>
      </c>
      <c r="OL60" s="155">
        <f t="shared" si="541"/>
        <v>54265111</v>
      </c>
      <c r="OM60" s="74">
        <f>OL60/OK60</f>
        <v>0.28244512586226656</v>
      </c>
      <c r="ON60" s="155">
        <f t="shared" si="543"/>
        <v>14462088.149999999</v>
      </c>
      <c r="OO60" s="70"/>
      <c r="OP60" s="69"/>
      <c r="OQ60" s="2008">
        <v>27</v>
      </c>
      <c r="OR60" s="208">
        <v>6482880</v>
      </c>
      <c r="OS60" s="208">
        <v>9229115</v>
      </c>
      <c r="OT60" s="3546">
        <v>8593</v>
      </c>
      <c r="OU60" s="133">
        <f>OS60-(OR60+OT60)</f>
        <v>2737642</v>
      </c>
      <c r="OV60" s="94">
        <f t="shared" ref="OV60:OV69" si="716">OU60/OS60</f>
        <v>0.29663104208800084</v>
      </c>
      <c r="OW60" s="134">
        <v>439336</v>
      </c>
      <c r="OX60" s="118">
        <v>400000</v>
      </c>
      <c r="OY60" s="134">
        <v>592379.5</v>
      </c>
      <c r="OZ60" s="190">
        <f>OU60-SUM(OW60:OY60)</f>
        <v>1305926.5</v>
      </c>
      <c r="PA60" s="5361">
        <f>OZ60/OS60</f>
        <v>0.14150072894313268</v>
      </c>
      <c r="PB60" s="6288">
        <v>25</v>
      </c>
      <c r="PC60" s="459">
        <f>5405532+236250+4500+92152+483656</f>
        <v>6222090</v>
      </c>
      <c r="PD60" s="459">
        <v>8671365</v>
      </c>
      <c r="PE60" s="459">
        <f>306288+5641</f>
        <v>311929</v>
      </c>
      <c r="PF60" s="133">
        <f t="shared" ref="PF60:PF65" si="717">PD60-(PC60+PE60)</f>
        <v>2137346</v>
      </c>
      <c r="PG60" s="94">
        <f t="shared" ref="PG60:PG65" si="718">PF60/PD60</f>
        <v>0.24648322380617124</v>
      </c>
      <c r="PH60" s="134">
        <v>260027</v>
      </c>
      <c r="PI60" s="134">
        <v>128642.25</v>
      </c>
      <c r="PJ60" s="134">
        <v>807747</v>
      </c>
      <c r="PK60" s="190">
        <f>PF60-SUM(PH60:PJ60)</f>
        <v>940929.75</v>
      </c>
      <c r="PL60" s="135">
        <f>PK60/PD60</f>
        <v>0.10850999237144325</v>
      </c>
      <c r="PM60" s="5391">
        <v>24</v>
      </c>
      <c r="PN60" s="649">
        <v>6168773</v>
      </c>
      <c r="PO60" s="622">
        <v>8338209</v>
      </c>
      <c r="PP60" s="358">
        <v>0</v>
      </c>
      <c r="PQ60" s="6293">
        <f t="shared" ref="PQ60:PQ67" si="719">PO60-(PN60+PP60)</f>
        <v>2169436</v>
      </c>
      <c r="PR60" s="6295">
        <f t="shared" ref="PR60:PR72" si="720">PQ60/PO60</f>
        <v>0.26018009383070151</v>
      </c>
      <c r="PS60" s="134">
        <f>312500+52500</f>
        <v>365000</v>
      </c>
      <c r="PT60" s="3758">
        <f>67807+200000+100000</f>
        <v>367807</v>
      </c>
      <c r="PU60" s="134">
        <v>849415</v>
      </c>
      <c r="PV60" s="190">
        <f t="shared" ref="PV60:PV72" si="721">PQ60-SUM(PS60:PU60)</f>
        <v>587214</v>
      </c>
      <c r="PW60" s="5380">
        <f t="shared" ref="PW60:PW72" si="722">PV60/PO60</f>
        <v>7.0424476047554099E-2</v>
      </c>
      <c r="PX60" s="774">
        <v>24</v>
      </c>
      <c r="PY60" s="189">
        <f t="shared" si="696"/>
        <v>26238689</v>
      </c>
      <c r="PZ60" s="189">
        <f t="shared" ref="PZ60:PZ72" si="723">PQ60+PF60+OU60</f>
        <v>7044424</v>
      </c>
      <c r="QA60" s="119">
        <f t="shared" ref="QA60:QA72" si="724">PZ60/PY60</f>
        <v>0.26847469399099932</v>
      </c>
      <c r="QB60" s="5390">
        <v>24</v>
      </c>
      <c r="QC60" s="208">
        <f>5399787+236250+483653</f>
        <v>6119690</v>
      </c>
      <c r="QD60" s="395">
        <v>8909654</v>
      </c>
      <c r="QE60" s="772"/>
      <c r="QF60" s="6293">
        <f t="shared" ref="QF60:QF72" si="725">QD60-(QC60+QE60)</f>
        <v>2789964</v>
      </c>
      <c r="QG60" s="6295">
        <f t="shared" ref="QG60:QG71" si="726">QF60/QD60</f>
        <v>0.31313943279952283</v>
      </c>
      <c r="QH60" s="134">
        <v>654482</v>
      </c>
      <c r="QI60" s="134">
        <v>236000</v>
      </c>
      <c r="QJ60" s="134">
        <v>896339</v>
      </c>
      <c r="QK60" s="190">
        <f>QF60-SUM(QH60:QJ60)</f>
        <v>1003143</v>
      </c>
      <c r="QL60" s="5380">
        <f>QK60/QD60</f>
        <v>0.11259056749005068</v>
      </c>
      <c r="QM60" s="5397">
        <v>24</v>
      </c>
      <c r="QN60" s="1066">
        <f>5456038+236250+98100+483683</f>
        <v>6274071</v>
      </c>
      <c r="QO60" s="459">
        <v>9050653</v>
      </c>
      <c r="QP60" s="459">
        <v>0</v>
      </c>
      <c r="QQ60" s="133">
        <f t="shared" ref="QQ60:QQ78" si="727">QO60-(QN60+QP60)</f>
        <v>2776582</v>
      </c>
      <c r="QR60" s="151">
        <f t="shared" ref="QR60:QR71" si="728">QQ60/QO60</f>
        <v>0.30678250508554467</v>
      </c>
      <c r="QS60" s="134">
        <v>707840</v>
      </c>
      <c r="QT60" s="134">
        <f>336000-13693+100000-125000</f>
        <v>297307</v>
      </c>
      <c r="QU60" s="134">
        <f>762558-113701</f>
        <v>648857</v>
      </c>
      <c r="QV60" s="190">
        <f t="shared" ref="QV60:QV78" si="729">QQ60-SUM(QS60:QU60)</f>
        <v>1122578</v>
      </c>
      <c r="QW60" s="5380">
        <f t="shared" ref="QW60:QW71" si="730">QV60/QO60</f>
        <v>0.12403281840547858</v>
      </c>
      <c r="QX60" s="5391">
        <v>23</v>
      </c>
      <c r="QY60" s="358">
        <f>5218615+236250+7620+520000+140350</f>
        <v>6122835</v>
      </c>
      <c r="QZ60" s="622">
        <v>8574653</v>
      </c>
      <c r="RA60" s="358">
        <v>23517</v>
      </c>
      <c r="RB60" s="133">
        <f t="shared" ref="RB60:RB78" si="731">QZ60-(QY60+RA60)</f>
        <v>2428301</v>
      </c>
      <c r="RC60" s="151">
        <f t="shared" ref="RC60:RC70" si="732">RB60/QZ60</f>
        <v>0.28319525000020407</v>
      </c>
      <c r="RD60" s="134">
        <v>545816</v>
      </c>
      <c r="RE60" s="134">
        <f>347253+200000</f>
        <v>547253</v>
      </c>
      <c r="RF60" s="134">
        <v>635070</v>
      </c>
      <c r="RG60" s="190">
        <f t="shared" ref="RG60:RG78" si="733">RB60-SUM(RD60:RF60)</f>
        <v>700162</v>
      </c>
      <c r="RH60" s="5380">
        <f t="shared" ref="RH60:RH70" si="734">RG60/QZ60</f>
        <v>8.1654849473209001E-2</v>
      </c>
      <c r="RI60" s="5376"/>
      <c r="RJ60" s="191">
        <f t="shared" ref="RJ60:RJ72" si="735">QZ60+QO60+QD60</f>
        <v>26534960</v>
      </c>
      <c r="RK60" s="191">
        <f t="shared" ref="RK60:RK72" si="736">RB60+QQ60+QF60</f>
        <v>7994847</v>
      </c>
      <c r="RL60" s="5380">
        <f t="shared" ref="RL60:RL72" si="737">RK60/RJ60</f>
        <v>0.3012948578026875</v>
      </c>
      <c r="RM60" s="1562">
        <f t="shared" ref="RM60:RO62" si="738">RI60-PX60</f>
        <v>-24</v>
      </c>
      <c r="RN60" s="128">
        <f t="shared" si="738"/>
        <v>296271</v>
      </c>
      <c r="RO60" s="139">
        <f t="shared" si="738"/>
        <v>950423</v>
      </c>
      <c r="RP60" s="442">
        <f t="shared" ref="RP60:RR64" si="739">RM60/PX60</f>
        <v>-1</v>
      </c>
      <c r="RQ60" s="442">
        <f t="shared" si="739"/>
        <v>1.1291379687453135E-2</v>
      </c>
      <c r="RR60" s="6339">
        <f t="shared" si="739"/>
        <v>0.13491848304417792</v>
      </c>
      <c r="RS60" s="6289">
        <v>19</v>
      </c>
      <c r="RT60" s="208">
        <v>5285362</v>
      </c>
      <c r="RU60" s="395">
        <v>7036615</v>
      </c>
      <c r="RV60" s="2563">
        <v>0</v>
      </c>
      <c r="RW60" s="133">
        <f t="shared" ref="RW60:RW75" si="740">RU60-(RT60+RV60)</f>
        <v>1751253</v>
      </c>
      <c r="RX60" s="151">
        <f t="shared" ref="RX60:RX70" si="741">RW60/RU60</f>
        <v>0.24887719450332296</v>
      </c>
      <c r="RY60" s="134">
        <v>145816</v>
      </c>
      <c r="RZ60" s="134">
        <f>425634.24+100000</f>
        <v>525634.24</v>
      </c>
      <c r="SA60" s="134">
        <f>435070-10554</f>
        <v>424516</v>
      </c>
      <c r="SB60" s="190">
        <f t="shared" ref="SB60:SB78" si="742">RW60-SUM(RY60:SA60)</f>
        <v>655286.76</v>
      </c>
      <c r="SC60" s="5380">
        <f t="shared" ref="SC60:SC69" si="743">SB60/RU60</f>
        <v>9.312528253997128E-2</v>
      </c>
      <c r="SD60" s="743">
        <v>17</v>
      </c>
      <c r="SE60" s="208">
        <f>3637018+248062+2575+20143+437372</f>
        <v>4345170</v>
      </c>
      <c r="SF60" s="459">
        <v>5500000</v>
      </c>
      <c r="SG60" s="3617">
        <f>82623+158018</f>
        <v>240641</v>
      </c>
      <c r="SH60" s="6361">
        <f>SF60-(SE60+SG60)</f>
        <v>914189</v>
      </c>
      <c r="SI60" s="6363">
        <f>SH60/SF60</f>
        <v>0.16621618181818182</v>
      </c>
      <c r="SJ60" s="134">
        <v>145816</v>
      </c>
      <c r="SK60" s="134">
        <f>125634.24</f>
        <v>125634.24000000001</v>
      </c>
      <c r="SL60" s="134">
        <f>235070-10554-73733</f>
        <v>150783</v>
      </c>
      <c r="SM60" s="190">
        <f>SH60-SUM(SJ60:SL60)</f>
        <v>491955.76</v>
      </c>
      <c r="SN60" s="5380">
        <f>SM60/SF60</f>
        <v>8.9446501818181826E-2</v>
      </c>
      <c r="SO60" s="134">
        <v>17</v>
      </c>
      <c r="SP60" s="134">
        <v>4452537</v>
      </c>
      <c r="SQ60" s="134">
        <v>4580500</v>
      </c>
      <c r="SR60" s="134">
        <v>0</v>
      </c>
      <c r="SS60" s="6361">
        <f>SQ60-(SP60+SR60)</f>
        <v>127963</v>
      </c>
      <c r="ST60" s="6363">
        <f>SS60/SQ60</f>
        <v>2.7936469817705492E-2</v>
      </c>
      <c r="SU60" s="134">
        <v>0</v>
      </c>
      <c r="SV60" s="134">
        <v>0</v>
      </c>
      <c r="SW60" s="134">
        <v>0</v>
      </c>
      <c r="SX60" s="190">
        <f>SS60-SUM(SU60:SW60)</f>
        <v>127963</v>
      </c>
      <c r="SY60" s="5380">
        <f>SX60/SQ60</f>
        <v>2.7936469817705492E-2</v>
      </c>
      <c r="SZ60" s="6270"/>
      <c r="TA60" s="118">
        <f>SQ60+SF60+RU60</f>
        <v>17117115</v>
      </c>
      <c r="TB60" s="118">
        <f>SS60+SH60+RW60</f>
        <v>2793405</v>
      </c>
      <c r="TC60" s="5380">
        <f>TB60/TA60</f>
        <v>0.16319368071079735</v>
      </c>
      <c r="TD60" s="1563">
        <v>16</v>
      </c>
      <c r="TE60" s="134">
        <v>3914151</v>
      </c>
      <c r="TF60" s="134">
        <v>5380500</v>
      </c>
      <c r="TG60" s="134">
        <v>35382</v>
      </c>
      <c r="TH60" s="133">
        <f t="shared" ref="TH60:TH62" si="744">TF60-(TE60+TG60)</f>
        <v>1430967</v>
      </c>
      <c r="TI60" s="151">
        <f t="shared" ref="TI60:TI62" si="745">TH60/TF60</f>
        <v>0.26595427934206856</v>
      </c>
      <c r="TJ60" s="134">
        <v>0</v>
      </c>
      <c r="TK60" s="134">
        <v>0</v>
      </c>
      <c r="TL60" s="134">
        <v>250000</v>
      </c>
      <c r="TM60" s="190">
        <f>TH60-SUM(TJ60:TL60)</f>
        <v>1180967</v>
      </c>
      <c r="TN60" s="5380">
        <f t="shared" ref="TN60:TN62" si="746">TM60/TF60</f>
        <v>0.21949019607843137</v>
      </c>
      <c r="TO60" s="134"/>
      <c r="TP60" s="134"/>
      <c r="TQ60" s="134"/>
      <c r="TR60" s="134"/>
      <c r="TS60" s="133">
        <f t="shared" ref="TS60:TS69" si="747">TQ60-(TP60+TR60)</f>
        <v>0</v>
      </c>
      <c r="TT60" s="151" t="e">
        <f t="shared" ref="TT60:TT69" si="748">TS60/TQ60</f>
        <v>#DIV/0!</v>
      </c>
      <c r="TU60" s="134"/>
      <c r="TV60" s="134"/>
      <c r="TW60" s="134"/>
      <c r="TX60" s="190">
        <f>TS60-SUM(TU60:TW60)</f>
        <v>0</v>
      </c>
      <c r="TY60" s="135" t="e">
        <f t="shared" ref="TY60:TY69" si="749">TX60/TQ60</f>
        <v>#DIV/0!</v>
      </c>
      <c r="TZ60" s="1563"/>
      <c r="UA60" s="134"/>
      <c r="UB60" s="134"/>
      <c r="UC60" s="134"/>
      <c r="UD60" s="133">
        <f t="shared" ref="UD60:UD78" si="750">UB60-(UA60+UC60)</f>
        <v>0</v>
      </c>
      <c r="UE60" s="151" t="e">
        <f t="shared" ref="UE60:UE69" si="751">UD60/UB60</f>
        <v>#DIV/0!</v>
      </c>
      <c r="UF60" s="134"/>
      <c r="UG60" s="134"/>
      <c r="UH60" s="134"/>
      <c r="UI60" s="190">
        <f t="shared" ref="UI60:UI78" si="752">UD60-SUM(UF60:UH60)</f>
        <v>0</v>
      </c>
      <c r="UJ60" s="5380" t="e">
        <f t="shared" ref="UJ60:UJ69" si="753">UI60/UB60</f>
        <v>#DIV/0!</v>
      </c>
      <c r="UK60" s="5376"/>
      <c r="UL60" s="191">
        <f t="shared" ref="UL60:UL79" si="754">OS60+PD60+PO60+QD60+QO60+QZ60+RU60+SF60+SQ60+TF60+TQ60+UB60</f>
        <v>75271264</v>
      </c>
      <c r="UM60" s="191">
        <f t="shared" ref="UM60:UM79" si="755">OU60+PF60+PQ60+QF60+QQ60+RB60+RW60+SH60+SS60+TH60+TS60+UD60</f>
        <v>19263643</v>
      </c>
      <c r="UN60" s="135">
        <f t="shared" ref="UN60:UN69" si="756">UM60/UL60</f>
        <v>0.25592293760338608</v>
      </c>
      <c r="UO60" s="191">
        <f t="shared" ref="UO60:UO79" si="757">OZ60+PK60+PV60+QK60+QV60+RG60+SB60+SM60+SX60+TM60+TX60+UI60</f>
        <v>8116125.7699999996</v>
      </c>
      <c r="UP60" s="5380">
        <f t="shared" ref="UP60:UP72" si="758">UO60/UL60</f>
        <v>0.10782502297291034</v>
      </c>
      <c r="UU60" s="79"/>
    </row>
    <row r="61" spans="1:581" x14ac:dyDescent="0.3">
      <c r="A61" s="5316">
        <v>2</v>
      </c>
      <c r="B61" s="5360" t="s">
        <v>54</v>
      </c>
      <c r="C61" s="578" t="s">
        <v>144</v>
      </c>
      <c r="D61" s="578" t="s">
        <v>142</v>
      </c>
      <c r="E61" s="6278" t="s">
        <v>145</v>
      </c>
      <c r="F61" s="774">
        <v>17</v>
      </c>
      <c r="G61" s="161">
        <v>3925560</v>
      </c>
      <c r="H61" s="161">
        <v>4536915</v>
      </c>
      <c r="I61" s="161">
        <v>609950</v>
      </c>
      <c r="J61" s="94">
        <f>I61/H61</f>
        <v>0.13444157538768084</v>
      </c>
      <c r="K61" s="136">
        <v>27</v>
      </c>
      <c r="L61" s="161">
        <v>5564957</v>
      </c>
      <c r="M61" s="161">
        <v>8613230</v>
      </c>
      <c r="N61" s="161">
        <v>3036102</v>
      </c>
      <c r="O61" s="158">
        <f>N61/M61</f>
        <v>0.35249285111392592</v>
      </c>
      <c r="P61" s="136">
        <v>23</v>
      </c>
      <c r="Q61" s="161">
        <v>5917317</v>
      </c>
      <c r="R61" s="161">
        <v>8591487</v>
      </c>
      <c r="S61" s="161">
        <v>2663142</v>
      </c>
      <c r="T61" s="94">
        <f>S61/R61</f>
        <v>0.30997451314306823</v>
      </c>
      <c r="U61" s="136">
        <v>24</v>
      </c>
      <c r="V61" s="161">
        <v>1881805</v>
      </c>
      <c r="W61" s="161">
        <v>1882296</v>
      </c>
      <c r="X61" s="161">
        <v>0</v>
      </c>
      <c r="Y61" s="759">
        <f>W61-(V61+X61)</f>
        <v>491</v>
      </c>
      <c r="Z61" s="94">
        <f>Y61/W61</f>
        <v>2.6085164076213306E-4</v>
      </c>
      <c r="AA61" s="422">
        <v>23</v>
      </c>
      <c r="AB61" s="161">
        <v>2056980</v>
      </c>
      <c r="AC61" s="161">
        <v>2959573</v>
      </c>
      <c r="AD61" s="161">
        <v>0</v>
      </c>
      <c r="AE61" s="775">
        <f>AC61-(AB61+AD61)</f>
        <v>902593</v>
      </c>
      <c r="AF61" s="422"/>
      <c r="AG61" s="583">
        <v>23</v>
      </c>
      <c r="AH61" s="584">
        <v>2238880</v>
      </c>
      <c r="AI61" s="584">
        <v>3418056</v>
      </c>
      <c r="AJ61" s="584">
        <v>1405</v>
      </c>
      <c r="AK61" s="96">
        <f>AI61-(AH61+AJ61)</f>
        <v>1177771</v>
      </c>
      <c r="AL61" s="116">
        <f>AK61/AI61</f>
        <v>0.34457334812536716</v>
      </c>
      <c r="AM61" s="585">
        <v>247672</v>
      </c>
      <c r="AN61" s="417">
        <v>97232</v>
      </c>
      <c r="AO61" s="417">
        <v>0</v>
      </c>
      <c r="AP61" s="417">
        <v>95475.060000000012</v>
      </c>
      <c r="AQ61" s="417">
        <f>AK61-AM61-AN61-AO61-AP61</f>
        <v>737391.94</v>
      </c>
      <c r="AR61" s="421">
        <f>AQ61/AI61</f>
        <v>0.21573430628403981</v>
      </c>
      <c r="AS61" s="583">
        <v>23</v>
      </c>
      <c r="AT61" s="760">
        <v>6179070</v>
      </c>
      <c r="AU61" s="761">
        <f>AI61+AC61+W61</f>
        <v>8259925</v>
      </c>
      <c r="AV61" s="761">
        <v>2037597</v>
      </c>
      <c r="AW61" s="116">
        <f>AV61/AU61</f>
        <v>0.2466846853936325</v>
      </c>
      <c r="AX61" s="776">
        <v>23</v>
      </c>
      <c r="AY61" s="587">
        <f t="shared" si="697"/>
        <v>21586904</v>
      </c>
      <c r="AZ61" s="587">
        <f t="shared" si="697"/>
        <v>30001557</v>
      </c>
      <c r="BA61" s="587">
        <f t="shared" si="697"/>
        <v>8346791</v>
      </c>
      <c r="BB61" s="588">
        <f>BA61/AZ61</f>
        <v>0.27821192746763107</v>
      </c>
      <c r="BC61" s="1514">
        <v>24</v>
      </c>
      <c r="BD61" s="759">
        <v>2311360</v>
      </c>
      <c r="BE61" s="759">
        <v>3200383</v>
      </c>
      <c r="BF61" s="759">
        <v>2349</v>
      </c>
      <c r="BG61" s="775">
        <f>BE61-(BD61+BF61)</f>
        <v>886674</v>
      </c>
      <c r="BH61" s="736">
        <f>BG61/BE61</f>
        <v>0.27705246528306143</v>
      </c>
      <c r="BI61" s="1514">
        <v>25</v>
      </c>
      <c r="BJ61" s="759">
        <v>2123014</v>
      </c>
      <c r="BK61" s="759">
        <v>2959796</v>
      </c>
      <c r="BL61" s="759">
        <v>16754</v>
      </c>
      <c r="BM61" s="775">
        <f>BK61-(BJ61+BL61)</f>
        <v>820028</v>
      </c>
      <c r="BN61" s="736">
        <f>BM61/BK61</f>
        <v>0.27705558085759963</v>
      </c>
      <c r="BO61" s="777">
        <v>13</v>
      </c>
      <c r="BP61" s="759">
        <v>1438729</v>
      </c>
      <c r="BQ61" s="759">
        <v>2123152</v>
      </c>
      <c r="BR61" s="759">
        <v>66815</v>
      </c>
      <c r="BS61" s="775">
        <f>BQ61-(BP61+BR61)</f>
        <v>617608</v>
      </c>
      <c r="BT61" s="239">
        <f>BS61/BQ61</f>
        <v>0.29089203222378801</v>
      </c>
      <c r="BU61" s="689">
        <v>13</v>
      </c>
      <c r="BV61" s="592">
        <f>BQ61+BK61+BE61</f>
        <v>8283331</v>
      </c>
      <c r="BW61" s="592">
        <f>BS61+BM61+BG61</f>
        <v>2324310</v>
      </c>
      <c r="BX61" s="593">
        <f>BW61/BV61</f>
        <v>0.28060088387147636</v>
      </c>
      <c r="BY61" s="654">
        <v>13</v>
      </c>
      <c r="BZ61" s="650">
        <v>1502305</v>
      </c>
      <c r="CA61" s="650">
        <v>2240275</v>
      </c>
      <c r="CB61" s="671"/>
      <c r="CC61" s="596">
        <f>CA61-(BZ61+CB61)</f>
        <v>737970</v>
      </c>
      <c r="CD61" s="655">
        <f>CC61/CA61</f>
        <v>0.32941045184184975</v>
      </c>
      <c r="CE61" s="670">
        <v>112500</v>
      </c>
      <c r="CF61" s="671">
        <v>135753</v>
      </c>
      <c r="CG61" s="671"/>
      <c r="CH61" s="671">
        <v>143104.11111111112</v>
      </c>
      <c r="CI61" s="599">
        <f>CC61-CE61-CF61-CG61-CH61</f>
        <v>346612.88888888888</v>
      </c>
      <c r="CJ61" s="597">
        <f>CI61/CA61</f>
        <v>0.15471890231729982</v>
      </c>
      <c r="CK61" s="651">
        <v>13</v>
      </c>
      <c r="CL61" s="652">
        <v>1511474</v>
      </c>
      <c r="CM61" s="652">
        <v>2024819</v>
      </c>
      <c r="CN61" s="778"/>
      <c r="CO61" s="360">
        <f>CM61-(CL61+CN61)</f>
        <v>513345</v>
      </c>
      <c r="CP61" s="602">
        <f>CO61/CM61</f>
        <v>0.25352636457875988</v>
      </c>
      <c r="CQ61" s="779">
        <v>217000</v>
      </c>
      <c r="CR61" s="778">
        <v>70250</v>
      </c>
      <c r="CS61" s="778"/>
      <c r="CT61" s="603">
        <v>163912.75050000002</v>
      </c>
      <c r="CU61" s="603">
        <f>CO61-CQ61-CR61-CS61-CT61</f>
        <v>62182.249499999976</v>
      </c>
      <c r="CV61" s="604">
        <f>CU61/CM61</f>
        <v>3.0710028649474336E-2</v>
      </c>
      <c r="CW61" s="129">
        <v>12</v>
      </c>
      <c r="CX61" s="130">
        <v>1459193</v>
      </c>
      <c r="CY61" s="130">
        <v>2044385</v>
      </c>
      <c r="CZ61" s="130"/>
      <c r="DA61" s="605">
        <f>CY61-(CX61+CZ61)</f>
        <v>585192</v>
      </c>
      <c r="DB61" s="114">
        <f>DA61/CY61</f>
        <v>0.2862435402333709</v>
      </c>
      <c r="DC61" s="129">
        <v>139223</v>
      </c>
      <c r="DD61" s="130">
        <v>106427</v>
      </c>
      <c r="DE61" s="130"/>
      <c r="DF61" s="130">
        <v>113315.85681818183</v>
      </c>
      <c r="DG61" s="128">
        <f>DA61-DC61-DD61-DE61-DF61</f>
        <v>226226.14318181819</v>
      </c>
      <c r="DH61" s="169">
        <f>DG61/CY61</f>
        <v>0.1106573092552617</v>
      </c>
      <c r="DI61" s="204">
        <f>(BY61+CK61+CW61)/3</f>
        <v>12.666666666666666</v>
      </c>
      <c r="DJ61" s="202">
        <f>CA61+CM61+CY61</f>
        <v>6309479</v>
      </c>
      <c r="DK61" s="202">
        <f>CC61+CO61+DA61</f>
        <v>1836507</v>
      </c>
      <c r="DL61" s="119">
        <f>DK61/DJ61</f>
        <v>0.29107110111627282</v>
      </c>
      <c r="DM61" s="202">
        <f>CI61+CU61+DG61</f>
        <v>635021.28157070698</v>
      </c>
      <c r="DN61" s="119">
        <f>DM61/DJ61</f>
        <v>0.1006455971357868</v>
      </c>
      <c r="DO61" s="607">
        <f t="shared" si="698"/>
        <v>-11</v>
      </c>
      <c r="DP61" s="137">
        <f t="shared" si="698"/>
        <v>-779687</v>
      </c>
      <c r="DQ61" s="137">
        <f t="shared" si="698"/>
        <v>-1373671</v>
      </c>
      <c r="DR61" s="137">
        <f>DA61-AK61</f>
        <v>-592579</v>
      </c>
      <c r="DS61" s="135">
        <f>DO61/AG61</f>
        <v>-0.47826086956521741</v>
      </c>
      <c r="DT61" s="135">
        <f>DP61/AI61</f>
        <v>-0.228108316540162</v>
      </c>
      <c r="DU61" s="135">
        <f>DQ61/AK61</f>
        <v>-1.1663311458679149</v>
      </c>
      <c r="DV61" s="151">
        <f>DR61/AQ61</f>
        <v>-0.8036146964123313</v>
      </c>
      <c r="DW61" s="607">
        <f>CW61-CK61</f>
        <v>-1</v>
      </c>
      <c r="DX61" s="780">
        <f>CY61-CM61</f>
        <v>19566</v>
      </c>
      <c r="DY61" s="780">
        <f>DA61-CO61</f>
        <v>71847</v>
      </c>
      <c r="DZ61" s="780">
        <f>DG61-CU61</f>
        <v>164043.89368181821</v>
      </c>
      <c r="EA61" s="135">
        <f>DW61/CK61</f>
        <v>-7.6923076923076927E-2</v>
      </c>
      <c r="EB61" s="135">
        <f>DX61/CM61</f>
        <v>9.6630859350885188E-3</v>
      </c>
      <c r="EC61" s="135">
        <f>DY61/CO61</f>
        <v>0.1399585074365193</v>
      </c>
      <c r="ED61" s="151">
        <f>DZ61/CU61</f>
        <v>2.6381144941020231</v>
      </c>
      <c r="EE61" s="129">
        <v>10</v>
      </c>
      <c r="EF61" s="130">
        <v>1353515</v>
      </c>
      <c r="EG61" s="130">
        <v>1592223</v>
      </c>
      <c r="EH61" s="130">
        <v>27950</v>
      </c>
      <c r="EI61" s="605">
        <f>EG61-(EF61+EH61)</f>
        <v>210758</v>
      </c>
      <c r="EJ61" s="114">
        <f>EI61/EG61</f>
        <v>0.13236713701535527</v>
      </c>
      <c r="EK61" s="129">
        <v>112500</v>
      </c>
      <c r="EL61" s="130"/>
      <c r="EM61" s="130"/>
      <c r="EN61" s="130">
        <v>0</v>
      </c>
      <c r="EO61" s="128">
        <f>EI61-EK61-EL61-EM61-EN61</f>
        <v>98258</v>
      </c>
      <c r="EP61" s="114">
        <f>EO61/EG61</f>
        <v>6.171120502592916E-2</v>
      </c>
      <c r="EQ61" s="129">
        <v>10</v>
      </c>
      <c r="ER61" s="130">
        <v>1312922</v>
      </c>
      <c r="ES61" s="130">
        <v>1783411</v>
      </c>
      <c r="ET61" s="130">
        <v>20790</v>
      </c>
      <c r="EU61" s="134">
        <f>ES61-(ER61+ET61)</f>
        <v>449699</v>
      </c>
      <c r="EV61" s="114">
        <f>EU61/ES61</f>
        <v>0.25215668177441991</v>
      </c>
      <c r="EW61" s="129">
        <v>118500</v>
      </c>
      <c r="EX61" s="130">
        <v>144936.7340909091</v>
      </c>
      <c r="EY61" s="130"/>
      <c r="EZ61" s="130">
        <v>132797.35583333333</v>
      </c>
      <c r="FA61" s="128">
        <f>EU61-EW61-EX61-EY61-EZ61</f>
        <v>53464.910075757565</v>
      </c>
      <c r="FB61" s="114">
        <f>FA61/ES61</f>
        <v>2.9979017778715936E-2</v>
      </c>
      <c r="FC61" s="609">
        <f>EQ61-AG61</f>
        <v>-13</v>
      </c>
      <c r="FD61" s="610">
        <f>ES61-AI61</f>
        <v>-1634645</v>
      </c>
      <c r="FE61" s="610">
        <f>EU61-AK61</f>
        <v>-728072</v>
      </c>
      <c r="FF61" s="610">
        <f>FA61-AQ61</f>
        <v>-683927.02992424241</v>
      </c>
      <c r="FG61" s="611">
        <f>FC61/AG61</f>
        <v>-0.56521739130434778</v>
      </c>
      <c r="FH61" s="611">
        <f>FD61/AI61</f>
        <v>-0.47823821493854984</v>
      </c>
      <c r="FI61" s="611">
        <f>FE61/AK61</f>
        <v>-0.61817789706148307</v>
      </c>
      <c r="FJ61" s="612">
        <f>FF61/AQ61</f>
        <v>-0.9274945830357767</v>
      </c>
      <c r="FK61" s="133">
        <v>11</v>
      </c>
      <c r="FL61" s="134">
        <v>1357205</v>
      </c>
      <c r="FM61" s="134">
        <v>1730917</v>
      </c>
      <c r="FN61" s="134">
        <v>135296</v>
      </c>
      <c r="FO61" s="134">
        <f>FM61-(FL61+FN61)</f>
        <v>238416</v>
      </c>
      <c r="FP61" s="135">
        <f>FO61/FM61</f>
        <v>0.13773970675659203</v>
      </c>
      <c r="FQ61" s="133">
        <v>81000</v>
      </c>
      <c r="FR61" s="134"/>
      <c r="FS61" s="134"/>
      <c r="FT61" s="191">
        <f>FO61-SUM(FQ61:FS61)</f>
        <v>157416</v>
      </c>
      <c r="FU61" s="151">
        <f>FT61/FM61</f>
        <v>9.0943702095478876E-2</v>
      </c>
      <c r="FV61" s="190">
        <f t="shared" si="699"/>
        <v>-12</v>
      </c>
      <c r="FW61" s="191">
        <f t="shared" si="699"/>
        <v>-881675</v>
      </c>
      <c r="FX61" s="191">
        <f t="shared" si="699"/>
        <v>-1687139</v>
      </c>
      <c r="FY61" s="191">
        <f>FO61-AK61</f>
        <v>-939355</v>
      </c>
      <c r="FZ61" s="191">
        <f>FT61-AQ61</f>
        <v>-579975.93999999994</v>
      </c>
      <c r="GA61" s="135">
        <f>FV61/AG61</f>
        <v>-0.52173913043478259</v>
      </c>
      <c r="GB61" s="135">
        <f>FX61/AI61</f>
        <v>-0.49359606747227081</v>
      </c>
      <c r="GC61" s="135">
        <f>FY61/AK61</f>
        <v>-0.79757015582825519</v>
      </c>
      <c r="GD61" s="151">
        <f>FZ61/AQ61</f>
        <v>-0.78652329723050673</v>
      </c>
      <c r="GE61" s="187">
        <f>(EE61+EQ61+FK61)/3</f>
        <v>10.333333333333334</v>
      </c>
      <c r="GF61" s="155">
        <f>EG61+ES61+FM61</f>
        <v>5106551</v>
      </c>
      <c r="GG61" s="155">
        <f>EI61+EU61+FO61</f>
        <v>898873</v>
      </c>
      <c r="GH61" s="74">
        <f>GG61/GF61</f>
        <v>0.17602350392662289</v>
      </c>
      <c r="GI61" s="613">
        <f>EO61+FA61+FT61</f>
        <v>309138.91007575754</v>
      </c>
      <c r="GJ61" s="187">
        <f t="shared" si="700"/>
        <v>-2.3333333333333321</v>
      </c>
      <c r="GK61" s="155">
        <f t="shared" si="700"/>
        <v>-1202928</v>
      </c>
      <c r="GL61" s="155">
        <f t="shared" si="700"/>
        <v>-937634</v>
      </c>
      <c r="GM61" s="613">
        <f>GI61-DM61</f>
        <v>-325882.37149494945</v>
      </c>
      <c r="GN61" s="133">
        <v>11</v>
      </c>
      <c r="GO61" s="134">
        <v>1306445</v>
      </c>
      <c r="GP61" s="134">
        <v>1277829</v>
      </c>
      <c r="GQ61" s="134">
        <v>0</v>
      </c>
      <c r="GR61" s="134">
        <f>GP61-(GO61+GQ61)</f>
        <v>-28616</v>
      </c>
      <c r="GS61" s="135">
        <f>GR61/GP61</f>
        <v>-2.2394232718149297E-2</v>
      </c>
      <c r="GT61" s="133">
        <v>87500</v>
      </c>
      <c r="GU61" s="134">
        <v>0</v>
      </c>
      <c r="GV61" s="134">
        <v>0</v>
      </c>
      <c r="GW61" s="134">
        <v>0</v>
      </c>
      <c r="GX61" s="190">
        <f>GR61-SUM(GT61:GW61)</f>
        <v>-116116</v>
      </c>
      <c r="GY61" s="151">
        <f>GX61/GP61</f>
        <v>-9.0869748612686055E-2</v>
      </c>
      <c r="GZ61" s="129">
        <v>11</v>
      </c>
      <c r="HA61" s="130">
        <v>1318245</v>
      </c>
      <c r="HB61" s="130">
        <v>1962597</v>
      </c>
      <c r="HC61" s="134"/>
      <c r="HD61" s="134">
        <f>HB61-(HA61+HC61)</f>
        <v>644352</v>
      </c>
      <c r="HE61" s="151">
        <f>HD61/HB61</f>
        <v>0.32831600170590297</v>
      </c>
      <c r="HF61" s="138">
        <v>50000</v>
      </c>
      <c r="HG61" s="130">
        <f>148707*2</f>
        <v>297414</v>
      </c>
      <c r="HH61" s="130"/>
      <c r="HI61" s="130">
        <v>437865.45833333331</v>
      </c>
      <c r="HJ61" s="197">
        <f>HD61-SUM(HF61:HI61)</f>
        <v>-140927.45833333326</v>
      </c>
      <c r="HK61" s="201">
        <f>HJ61/HB61</f>
        <v>-7.1806620683376801E-2</v>
      </c>
      <c r="HL61" s="133">
        <v>10</v>
      </c>
      <c r="HM61" s="656">
        <f>1302220</f>
        <v>1302220</v>
      </c>
      <c r="HN61" s="134">
        <v>2074069</v>
      </c>
      <c r="HO61" s="134">
        <v>2944</v>
      </c>
      <c r="HP61" s="615">
        <f>HN61-(HM61+HO61)</f>
        <v>768905</v>
      </c>
      <c r="HQ61" s="151">
        <f>HP61/HN61</f>
        <v>0.37072296051867126</v>
      </c>
      <c r="HR61" s="134">
        <v>50000</v>
      </c>
      <c r="HS61" s="109">
        <f>444257-55735</f>
        <v>388522</v>
      </c>
      <c r="HT61" s="134"/>
      <c r="HU61" s="134">
        <v>407616.64999999997</v>
      </c>
      <c r="HV61" s="191">
        <f>HP61-SUM(HR61:HU61)</f>
        <v>-77233.649999999907</v>
      </c>
      <c r="HW61" s="151">
        <f>HV61/HN61</f>
        <v>-3.7237743778051696E-2</v>
      </c>
      <c r="HX61" s="414">
        <v>10</v>
      </c>
      <c r="HY61" s="241">
        <f>HN61+HB61+GP61</f>
        <v>5314495</v>
      </c>
      <c r="HZ61" s="415">
        <f>HP61+HD61+GR61</f>
        <v>1384641</v>
      </c>
      <c r="IA61" s="135">
        <f>HZ61/HY61</f>
        <v>0.26054046527468744</v>
      </c>
      <c r="IB61" s="415">
        <f>HV61+HJ61+GX61</f>
        <v>-334277.10833333316</v>
      </c>
      <c r="IC61" s="141"/>
      <c r="ID61" s="642">
        <v>10</v>
      </c>
      <c r="IE61" s="141">
        <f t="shared" ref="IE61:IE79" si="759">HY61+GF61+DJ61+BV61</f>
        <v>25013856</v>
      </c>
      <c r="IF61" s="141">
        <f t="shared" ref="IF61:IF79" si="760">HZ61+GG61+DK61+BW61</f>
        <v>6444331</v>
      </c>
      <c r="IG61" s="74">
        <f t="shared" si="701"/>
        <v>0.2576304508988938</v>
      </c>
      <c r="IH61" s="1507"/>
      <c r="II61" s="69"/>
      <c r="IJ61" s="133">
        <v>10</v>
      </c>
      <c r="IK61" s="656">
        <f>1302220+36804</f>
        <v>1339024</v>
      </c>
      <c r="IL61" s="134">
        <v>1736598</v>
      </c>
      <c r="IM61" s="134">
        <v>0</v>
      </c>
      <c r="IN61" s="133">
        <f>IL61-(IK61+IM61)</f>
        <v>397574</v>
      </c>
      <c r="IO61" s="151">
        <f>IN61/IL61</f>
        <v>0.22893841867835849</v>
      </c>
      <c r="IP61" s="134">
        <v>122493</v>
      </c>
      <c r="IQ61" s="134">
        <v>100000</v>
      </c>
      <c r="IR61" s="134">
        <v>100000</v>
      </c>
      <c r="IS61" s="190">
        <f>IN61-SUM(IP61:IR61)</f>
        <v>75081</v>
      </c>
      <c r="IT61" s="151">
        <f>IS61/IL61</f>
        <v>4.3234530962260695E-2</v>
      </c>
      <c r="IU61" s="136">
        <v>8</v>
      </c>
      <c r="IV61" s="649">
        <f>1056252+35000+39712</f>
        <v>1130964</v>
      </c>
      <c r="IW61" s="358">
        <v>1626369</v>
      </c>
      <c r="IX61" s="134">
        <v>67463</v>
      </c>
      <c r="IY61" s="133">
        <f>IW61-(IV61+IX61)</f>
        <v>427942</v>
      </c>
      <c r="IZ61" s="151">
        <f>IY61/IW61</f>
        <v>0.26312724849034874</v>
      </c>
      <c r="JA61" s="134">
        <v>58333</v>
      </c>
      <c r="JB61" s="134">
        <v>200000</v>
      </c>
      <c r="JC61" s="134">
        <v>100000</v>
      </c>
      <c r="JD61" s="190">
        <f>IY61-SUM(JA61:JC61)</f>
        <v>69609</v>
      </c>
      <c r="JE61" s="151">
        <f>JD61/IW61</f>
        <v>4.280025012773854E-2</v>
      </c>
      <c r="JF61" s="136">
        <v>8</v>
      </c>
      <c r="JG61" s="649">
        <v>1122233</v>
      </c>
      <c r="JH61" s="358">
        <v>1629345</v>
      </c>
      <c r="JI61" s="358">
        <v>0</v>
      </c>
      <c r="JJ61" s="133">
        <f>JH61-(JG61+JI61)</f>
        <v>507112</v>
      </c>
      <c r="JK61" s="151">
        <f>JJ61/JH61</f>
        <v>0.31123672395962793</v>
      </c>
      <c r="JL61" s="134">
        <f>245146</f>
        <v>245146</v>
      </c>
      <c r="JM61" s="134">
        <v>222222</v>
      </c>
      <c r="JN61" s="134">
        <v>0</v>
      </c>
      <c r="JO61" s="190">
        <f>JJ61-SUM(JL61:JN61)</f>
        <v>39744</v>
      </c>
      <c r="JP61" s="151">
        <f>JO61/JH61</f>
        <v>2.4392624029901586E-2</v>
      </c>
      <c r="JQ61" s="136">
        <v>8</v>
      </c>
      <c r="JR61" s="191">
        <f t="shared" si="695"/>
        <v>4992312</v>
      </c>
      <c r="JS61" s="191">
        <f>JJ61+IY61+IN61</f>
        <v>1332628</v>
      </c>
      <c r="JT61" s="151">
        <f>JS61/JR61</f>
        <v>0.26693604085642081</v>
      </c>
      <c r="JU61" s="136">
        <v>7</v>
      </c>
      <c r="JV61" s="649">
        <v>1068871</v>
      </c>
      <c r="JW61" s="358">
        <v>1479191</v>
      </c>
      <c r="JX61" s="358">
        <v>0</v>
      </c>
      <c r="JY61" s="133">
        <f>JW61-(JV61+JX61)</f>
        <v>410320</v>
      </c>
      <c r="JZ61" s="151">
        <f>JY61/JW61</f>
        <v>0.27739487327870438</v>
      </c>
      <c r="KA61" s="134">
        <v>87500</v>
      </c>
      <c r="KB61" s="134">
        <v>111111</v>
      </c>
      <c r="KC61" s="134">
        <v>50000</v>
      </c>
      <c r="KD61" s="190">
        <f>JY61-SUM(KA61:KC61)</f>
        <v>161709</v>
      </c>
      <c r="KE61" s="151">
        <f>KD61/JW61</f>
        <v>0.10932259593250634</v>
      </c>
      <c r="KF61" s="136">
        <v>7</v>
      </c>
      <c r="KG61" s="649">
        <v>1066007</v>
      </c>
      <c r="KH61" s="358">
        <v>1498500</v>
      </c>
      <c r="KI61" s="358">
        <v>0</v>
      </c>
      <c r="KJ61" s="133">
        <f>KH61-(KG61+KI61)</f>
        <v>432493</v>
      </c>
      <c r="KK61" s="151">
        <f>KJ61/KH61</f>
        <v>0.28861728395061731</v>
      </c>
      <c r="KL61" s="134">
        <v>52500</v>
      </c>
      <c r="KM61" s="134">
        <v>100000</v>
      </c>
      <c r="KN61" s="134">
        <v>200000</v>
      </c>
      <c r="KO61" s="190">
        <f>KJ61-SUM(KL61:KN61)</f>
        <v>79993</v>
      </c>
      <c r="KP61" s="151">
        <f>KO61/KH61</f>
        <v>5.3382048715382047E-2</v>
      </c>
      <c r="KQ61" s="136">
        <v>9</v>
      </c>
      <c r="KR61" s="649">
        <f>1005137+487010</f>
        <v>1492147</v>
      </c>
      <c r="KS61" s="358">
        <v>1291161</v>
      </c>
      <c r="KT61" s="358">
        <v>114605</v>
      </c>
      <c r="KU61" s="133">
        <f>KS61-(KR61+KT61)</f>
        <v>-315591</v>
      </c>
      <c r="KV61" s="151">
        <f>KU61/KS61</f>
        <v>-0.24442420426267522</v>
      </c>
      <c r="KW61" s="134">
        <v>52500</v>
      </c>
      <c r="KX61" s="134">
        <v>0</v>
      </c>
      <c r="KY61" s="134">
        <v>100000</v>
      </c>
      <c r="KZ61" s="190">
        <f>KU61-SUM(KW61:KY61)</f>
        <v>-468091</v>
      </c>
      <c r="LA61" s="151">
        <f>KZ61/KS61</f>
        <v>-0.36253495884711512</v>
      </c>
      <c r="LB61" s="402">
        <v>9</v>
      </c>
      <c r="LC61" s="191">
        <f>KS61+KH61+JW61</f>
        <v>4268852</v>
      </c>
      <c r="LD61" s="191">
        <f>KU61+KJ61+JY61</f>
        <v>527222</v>
      </c>
      <c r="LE61" s="151">
        <f>LD61/LC61</f>
        <v>0.12350439884071877</v>
      </c>
      <c r="LF61" s="226">
        <f t="shared" ref="LF61:LH62" si="761">LB61-JQ61</f>
        <v>1</v>
      </c>
      <c r="LG61" s="128">
        <f t="shared" si="761"/>
        <v>-723460</v>
      </c>
      <c r="LH61" s="139">
        <f t="shared" si="761"/>
        <v>-805406</v>
      </c>
      <c r="LI61" s="442">
        <f t="shared" ref="LI61:LK62" si="762">LF61/JQ61</f>
        <v>0.125</v>
      </c>
      <c r="LJ61" s="442">
        <f t="shared" si="762"/>
        <v>-0.14491482102881389</v>
      </c>
      <c r="LK61" s="106">
        <f t="shared" si="762"/>
        <v>-0.60437421395918445</v>
      </c>
      <c r="LL61" s="583">
        <v>9</v>
      </c>
      <c r="LM61" s="623">
        <f>1344277+63870</f>
        <v>1408147</v>
      </c>
      <c r="LN61" s="772">
        <v>2407681</v>
      </c>
      <c r="LO61" s="358">
        <v>0</v>
      </c>
      <c r="LP61" s="133">
        <f>LN61-(LM61+LO61)</f>
        <v>999534</v>
      </c>
      <c r="LQ61" s="151">
        <f>LP61/LN61</f>
        <v>0.41514386665010855</v>
      </c>
      <c r="LR61" s="134">
        <v>52500</v>
      </c>
      <c r="LS61" s="134">
        <f>15000+345174</f>
        <v>360174</v>
      </c>
      <c r="LT61" s="134">
        <v>300000</v>
      </c>
      <c r="LU61" s="190">
        <f>LP61-SUM(LR61:LT61)</f>
        <v>286860</v>
      </c>
      <c r="LV61" s="151">
        <f>LU61/LN61</f>
        <v>0.11914369054704506</v>
      </c>
      <c r="LW61" s="134">
        <v>11</v>
      </c>
      <c r="LX61" s="134">
        <v>1691674</v>
      </c>
      <c r="LY61" s="134">
        <v>2848911</v>
      </c>
      <c r="LZ61" s="134"/>
      <c r="MA61" s="133">
        <f>LY61-(LX61+LZ61)</f>
        <v>1157237</v>
      </c>
      <c r="MB61" s="151">
        <f>MA61/LY61</f>
        <v>0.40620328258762733</v>
      </c>
      <c r="MC61" s="134">
        <v>219167</v>
      </c>
      <c r="MD61" s="134">
        <v>371930</v>
      </c>
      <c r="ME61" s="134">
        <v>300000</v>
      </c>
      <c r="MF61" s="190">
        <f>MA61-SUM(MC61:ME61)</f>
        <v>266140</v>
      </c>
      <c r="MG61" s="151">
        <f>MF61/LY61</f>
        <v>9.3418151707792912E-2</v>
      </c>
      <c r="MH61" s="134">
        <v>11</v>
      </c>
      <c r="MI61" s="134">
        <v>1529471</v>
      </c>
      <c r="MJ61" s="134">
        <v>2290474</v>
      </c>
      <c r="MK61" s="134"/>
      <c r="ML61" s="133">
        <f>MJ61-(MI61+MK61)</f>
        <v>761003</v>
      </c>
      <c r="MM61" s="151">
        <f>ML61/MJ61</f>
        <v>0.33224694975799768</v>
      </c>
      <c r="MN61" s="134">
        <v>52500</v>
      </c>
      <c r="MO61" s="134">
        <v>200000</v>
      </c>
      <c r="MP61" s="134">
        <v>300000</v>
      </c>
      <c r="MQ61" s="190">
        <f>ML61-SUM(MN61:MP61)</f>
        <v>208503</v>
      </c>
      <c r="MR61" s="151">
        <f>MQ61/MJ61</f>
        <v>9.103050285661396E-2</v>
      </c>
      <c r="MS61" s="1472">
        <v>11</v>
      </c>
      <c r="MT61" s="118">
        <f>MJ61+LY61+LN61</f>
        <v>7547066</v>
      </c>
      <c r="MU61" s="118">
        <f>ML61+MA61+LP61</f>
        <v>2917774</v>
      </c>
      <c r="MV61" s="135">
        <f t="shared" si="702"/>
        <v>0.38661037282567823</v>
      </c>
      <c r="MW61" s="133">
        <f t="shared" si="703"/>
        <v>2</v>
      </c>
      <c r="MX61" s="134">
        <f t="shared" si="704"/>
        <v>3278214</v>
      </c>
      <c r="MY61" s="134">
        <f t="shared" si="705"/>
        <v>2390552</v>
      </c>
      <c r="MZ61" s="135">
        <f t="shared" si="706"/>
        <v>0.22222222222222221</v>
      </c>
      <c r="NA61" s="135">
        <f t="shared" si="707"/>
        <v>0.76793807796569191</v>
      </c>
      <c r="NB61" s="151">
        <f t="shared" si="708"/>
        <v>4.5342417425676471</v>
      </c>
      <c r="NC61" s="134">
        <v>11</v>
      </c>
      <c r="ND61" s="134">
        <v>1476972</v>
      </c>
      <c r="NE61" s="134">
        <v>2106667</v>
      </c>
      <c r="NF61" s="134"/>
      <c r="NG61" s="133">
        <f>NE61-(ND61+NF61)</f>
        <v>629695</v>
      </c>
      <c r="NH61" s="151">
        <f t="shared" si="709"/>
        <v>0.29890580713515708</v>
      </c>
      <c r="NI61" s="134">
        <v>52500</v>
      </c>
      <c r="NJ61" s="134">
        <v>50000</v>
      </c>
      <c r="NK61" s="134">
        <v>300000</v>
      </c>
      <c r="NL61" s="190">
        <f>NG61-SUM(NI61:NK61)</f>
        <v>227195</v>
      </c>
      <c r="NM61" s="135">
        <f t="shared" si="710"/>
        <v>0.10784571078390652</v>
      </c>
      <c r="NN61" s="1563">
        <v>11</v>
      </c>
      <c r="NO61" s="134">
        <v>1575242</v>
      </c>
      <c r="NP61" s="134">
        <v>2898578</v>
      </c>
      <c r="NQ61" s="134">
        <v>0</v>
      </c>
      <c r="NR61" s="133">
        <f t="shared" si="711"/>
        <v>1323336</v>
      </c>
      <c r="NS61" s="151">
        <f t="shared" si="712"/>
        <v>0.45654662389626915</v>
      </c>
      <c r="NT61" s="134">
        <v>52500</v>
      </c>
      <c r="NU61" s="134">
        <v>50000</v>
      </c>
      <c r="NV61" s="134">
        <v>300000</v>
      </c>
      <c r="NW61" s="190">
        <f>NR61-SUM(NT61:NV61)</f>
        <v>920836</v>
      </c>
      <c r="NX61" s="135">
        <f t="shared" si="713"/>
        <v>0.31768543058009824</v>
      </c>
      <c r="NY61" s="1563">
        <v>9</v>
      </c>
      <c r="NZ61" s="134">
        <v>1533796</v>
      </c>
      <c r="OA61" s="134">
        <v>2891888</v>
      </c>
      <c r="OB61" s="134">
        <v>0</v>
      </c>
      <c r="OC61" s="133">
        <f>OA61-(NZ61+OB61)</f>
        <v>1358092</v>
      </c>
      <c r="OD61" s="151">
        <f t="shared" si="714"/>
        <v>0.46962123014445928</v>
      </c>
      <c r="OE61" s="134">
        <v>52500</v>
      </c>
      <c r="OF61" s="134">
        <v>50000</v>
      </c>
      <c r="OG61" s="134">
        <v>300000</v>
      </c>
      <c r="OH61" s="190">
        <f>OC61-SUM(OE61:OG61)</f>
        <v>955592</v>
      </c>
      <c r="OI61" s="5380">
        <f t="shared" si="715"/>
        <v>0.33043879984287083</v>
      </c>
      <c r="OJ61" s="69">
        <v>9</v>
      </c>
      <c r="OK61" s="155">
        <f t="shared" si="540"/>
        <v>24198251</v>
      </c>
      <c r="OL61" s="155">
        <f t="shared" si="541"/>
        <v>7581635</v>
      </c>
      <c r="OM61" s="74">
        <f>OL61/OK61</f>
        <v>0.31331334648938058</v>
      </c>
      <c r="ON61" s="155">
        <f t="shared" si="543"/>
        <v>2783427</v>
      </c>
      <c r="OO61" s="70"/>
      <c r="OP61" s="69"/>
      <c r="OQ61" s="2008">
        <v>9</v>
      </c>
      <c r="OR61" s="208">
        <v>1533796</v>
      </c>
      <c r="OS61" s="395">
        <v>2740338</v>
      </c>
      <c r="OT61" s="3546"/>
      <c r="OU61" s="133">
        <f>OS61-(OR61+OT61)</f>
        <v>1206542</v>
      </c>
      <c r="OV61" s="94">
        <f t="shared" si="716"/>
        <v>0.44028948253828543</v>
      </c>
      <c r="OW61" s="134">
        <f>95000+127299</f>
        <v>222299</v>
      </c>
      <c r="OX61" s="134">
        <v>200000</v>
      </c>
      <c r="OY61" s="134">
        <v>200000</v>
      </c>
      <c r="OZ61" s="190">
        <f>OU61-SUM(OW61:OY61)</f>
        <v>584243</v>
      </c>
      <c r="PA61" s="5361">
        <f>OZ61/OS61</f>
        <v>0.2132010722764856</v>
      </c>
      <c r="PB61" s="698">
        <v>8</v>
      </c>
      <c r="PC61" s="395">
        <v>1314006</v>
      </c>
      <c r="PD61" s="208">
        <v>2585545</v>
      </c>
      <c r="PE61" s="208">
        <v>32676</v>
      </c>
      <c r="PF61" s="133">
        <f t="shared" si="717"/>
        <v>1238863</v>
      </c>
      <c r="PG61" s="94">
        <f t="shared" si="718"/>
        <v>0.47914965703555729</v>
      </c>
      <c r="PH61" s="134">
        <v>100588</v>
      </c>
      <c r="PI61" s="134">
        <v>100000</v>
      </c>
      <c r="PJ61" s="134">
        <v>100000</v>
      </c>
      <c r="PK61" s="190">
        <f t="shared" ref="PK61:PK69" si="763">PF61-SUM(PH61:PJ61)</f>
        <v>938275</v>
      </c>
      <c r="PL61" s="135">
        <f t="shared" ref="PL61:PL69" si="764">PK61/PD61</f>
        <v>0.36289254296482948</v>
      </c>
      <c r="PM61" s="5316">
        <v>8</v>
      </c>
      <c r="PN61" s="358">
        <v>1314006</v>
      </c>
      <c r="PO61" s="358">
        <v>2446232</v>
      </c>
      <c r="PP61" s="358">
        <v>0</v>
      </c>
      <c r="PQ61" s="6293">
        <f t="shared" si="719"/>
        <v>1132226</v>
      </c>
      <c r="PR61" s="6295">
        <f t="shared" si="720"/>
        <v>0.46284489778565563</v>
      </c>
      <c r="PS61" s="134">
        <v>100000</v>
      </c>
      <c r="PT61" s="134">
        <v>222222</v>
      </c>
      <c r="PU61" s="134">
        <v>100000</v>
      </c>
      <c r="PV61" s="190">
        <f t="shared" si="721"/>
        <v>710004</v>
      </c>
      <c r="PW61" s="5380">
        <f t="shared" si="722"/>
        <v>0.29024393434473916</v>
      </c>
      <c r="PX61" s="422">
        <v>8</v>
      </c>
      <c r="PY61" s="191">
        <f t="shared" si="696"/>
        <v>7772115</v>
      </c>
      <c r="PZ61" s="191">
        <f t="shared" si="723"/>
        <v>3577631</v>
      </c>
      <c r="QA61" s="135">
        <f t="shared" si="724"/>
        <v>0.46031627169695766</v>
      </c>
      <c r="QB61" s="5390">
        <v>8</v>
      </c>
      <c r="QC61" s="395">
        <v>1121077</v>
      </c>
      <c r="QD61" s="395">
        <v>2121079</v>
      </c>
      <c r="QE61" s="772">
        <v>36598</v>
      </c>
      <c r="QF61" s="6293">
        <f t="shared" si="725"/>
        <v>963404</v>
      </c>
      <c r="QG61" s="6295">
        <f t="shared" si="726"/>
        <v>0.45420467601631059</v>
      </c>
      <c r="QH61" s="134">
        <v>87500</v>
      </c>
      <c r="QI61" s="134">
        <v>200000</v>
      </c>
      <c r="QJ61" s="134">
        <v>100000</v>
      </c>
      <c r="QK61" s="190">
        <f t="shared" ref="QK61:QK78" si="765">QF61-SUM(QH61:QJ61)</f>
        <v>575904</v>
      </c>
      <c r="QL61" s="5380">
        <f t="shared" ref="QL61:QL69" si="766">QK61/QD61</f>
        <v>0.27151463948301785</v>
      </c>
      <c r="QM61" s="5398">
        <v>8</v>
      </c>
      <c r="QN61" s="395">
        <f>1004053+258333</f>
        <v>1262386</v>
      </c>
      <c r="QO61" s="395">
        <v>2434240</v>
      </c>
      <c r="QP61" s="395">
        <v>6676</v>
      </c>
      <c r="QQ61" s="133">
        <f t="shared" si="727"/>
        <v>1165178</v>
      </c>
      <c r="QR61" s="151">
        <f t="shared" si="728"/>
        <v>0.47866192322860524</v>
      </c>
      <c r="QS61" s="134">
        <v>87500</v>
      </c>
      <c r="QT61" s="134">
        <v>200000</v>
      </c>
      <c r="QU61" s="134">
        <f>100000+59513</f>
        <v>159513</v>
      </c>
      <c r="QV61" s="190">
        <f t="shared" si="729"/>
        <v>718165</v>
      </c>
      <c r="QW61" s="5380">
        <f t="shared" si="730"/>
        <v>0.29502637373471802</v>
      </c>
      <c r="QX61" s="5316">
        <v>9</v>
      </c>
      <c r="QY61" s="649">
        <v>1321964</v>
      </c>
      <c r="QZ61" s="358">
        <v>2586106</v>
      </c>
      <c r="RA61" s="358">
        <v>0</v>
      </c>
      <c r="RB61" s="133">
        <f t="shared" si="731"/>
        <v>1264142</v>
      </c>
      <c r="RC61" s="151">
        <f t="shared" si="732"/>
        <v>0.48882064385605228</v>
      </c>
      <c r="RD61" s="134">
        <v>87500</v>
      </c>
      <c r="RE61" s="134">
        <v>100000</v>
      </c>
      <c r="RF61" s="134">
        <v>200000</v>
      </c>
      <c r="RG61" s="190">
        <f t="shared" si="733"/>
        <v>876642</v>
      </c>
      <c r="RH61" s="5380">
        <f t="shared" si="734"/>
        <v>0.33898146479687996</v>
      </c>
      <c r="RI61" s="5376"/>
      <c r="RJ61" s="191">
        <f t="shared" si="735"/>
        <v>7141425</v>
      </c>
      <c r="RK61" s="191">
        <f t="shared" si="736"/>
        <v>3392724</v>
      </c>
      <c r="RL61" s="5380">
        <f t="shared" si="737"/>
        <v>0.4750766128608786</v>
      </c>
      <c r="RM61" s="1562">
        <f t="shared" si="738"/>
        <v>-8</v>
      </c>
      <c r="RN61" s="128">
        <f t="shared" si="738"/>
        <v>-630690</v>
      </c>
      <c r="RO61" s="139">
        <f t="shared" si="738"/>
        <v>-184907</v>
      </c>
      <c r="RP61" s="442">
        <f t="shared" si="739"/>
        <v>-1</v>
      </c>
      <c r="RQ61" s="442">
        <f t="shared" si="739"/>
        <v>-8.1147795677238441E-2</v>
      </c>
      <c r="RR61" s="6339">
        <f t="shared" si="739"/>
        <v>-5.1684201081665493E-2</v>
      </c>
      <c r="RS61" s="6289">
        <v>9</v>
      </c>
      <c r="RT61" s="208">
        <v>1339787</v>
      </c>
      <c r="RU61" s="395">
        <v>2530052</v>
      </c>
      <c r="RV61" s="2563">
        <v>0</v>
      </c>
      <c r="RW61" s="133">
        <f t="shared" si="740"/>
        <v>1190265</v>
      </c>
      <c r="RX61" s="151">
        <f t="shared" si="741"/>
        <v>0.47045080496369246</v>
      </c>
      <c r="RY61" s="134">
        <v>187500</v>
      </c>
      <c r="RZ61" s="134">
        <v>100000</v>
      </c>
      <c r="SA61" s="134">
        <v>200000</v>
      </c>
      <c r="SB61" s="190">
        <f t="shared" si="742"/>
        <v>702765</v>
      </c>
      <c r="SC61" s="5380">
        <f t="shared" si="743"/>
        <v>0.27776701822729333</v>
      </c>
      <c r="SD61" s="5390">
        <v>9</v>
      </c>
      <c r="SE61" s="208">
        <v>1356137</v>
      </c>
      <c r="SF61" s="395">
        <v>2489688</v>
      </c>
      <c r="SG61" s="994">
        <v>0</v>
      </c>
      <c r="SH61" s="6361">
        <f>SF61-(SE61+SG61)</f>
        <v>1133551</v>
      </c>
      <c r="SI61" s="6363">
        <f>SH61/SF61</f>
        <v>0.45529841490178691</v>
      </c>
      <c r="SJ61" s="134">
        <v>187500</v>
      </c>
      <c r="SK61" s="134">
        <v>200000</v>
      </c>
      <c r="SL61" s="134">
        <v>200000</v>
      </c>
      <c r="SM61" s="190">
        <f>SH61-SUM(SJ61:SL61)</f>
        <v>546051</v>
      </c>
      <c r="SN61" s="5380">
        <f>SM61/SF61</f>
        <v>0.21932507205722163</v>
      </c>
      <c r="SO61" s="134">
        <v>11</v>
      </c>
      <c r="SP61" s="134">
        <v>1468547</v>
      </c>
      <c r="SQ61" s="134">
        <v>2221931</v>
      </c>
      <c r="SR61" s="134">
        <v>0</v>
      </c>
      <c r="SS61" s="6361">
        <f>SQ61-(SP61+SR61)</f>
        <v>753384</v>
      </c>
      <c r="ST61" s="6363">
        <f>SS61/SQ61</f>
        <v>0.33906723476111544</v>
      </c>
      <c r="SU61" s="134">
        <v>187500</v>
      </c>
      <c r="SV61" s="134">
        <v>200000</v>
      </c>
      <c r="SW61" s="134">
        <v>300000</v>
      </c>
      <c r="SX61" s="190">
        <f>SS61-SUM(SU61:SW61)</f>
        <v>65884</v>
      </c>
      <c r="SY61" s="5380">
        <f>SX61/SQ61</f>
        <v>2.9651685853431094E-2</v>
      </c>
      <c r="SZ61" s="6270"/>
      <c r="TA61" s="118">
        <f>SQ61+SF61+RU61</f>
        <v>7241671</v>
      </c>
      <c r="TB61" s="118">
        <f>SS61+SH61+RW61</f>
        <v>3077200</v>
      </c>
      <c r="TC61" s="5380">
        <f>TB61/TA61</f>
        <v>0.42492955009969385</v>
      </c>
      <c r="TD61" s="1563">
        <v>12</v>
      </c>
      <c r="TE61" s="134">
        <v>1461521</v>
      </c>
      <c r="TF61" s="134">
        <v>2396831</v>
      </c>
      <c r="TG61" s="134"/>
      <c r="TH61" s="133">
        <f t="shared" si="744"/>
        <v>935310</v>
      </c>
      <c r="TI61" s="151">
        <f t="shared" si="745"/>
        <v>0.39022776324238129</v>
      </c>
      <c r="TJ61" s="134">
        <v>187500</v>
      </c>
      <c r="TK61" s="134">
        <v>200000</v>
      </c>
      <c r="TL61" s="134">
        <v>100000</v>
      </c>
      <c r="TM61" s="190">
        <f>TH61-SUM(TJ61:TL61)</f>
        <v>447810</v>
      </c>
      <c r="TN61" s="5380">
        <f t="shared" si="746"/>
        <v>0.18683419899025006</v>
      </c>
      <c r="TO61" s="134"/>
      <c r="TP61" s="134"/>
      <c r="TQ61" s="134"/>
      <c r="TR61" s="134"/>
      <c r="TS61" s="133">
        <f t="shared" si="747"/>
        <v>0</v>
      </c>
      <c r="TT61" s="151" t="e">
        <f t="shared" si="748"/>
        <v>#DIV/0!</v>
      </c>
      <c r="TU61" s="134"/>
      <c r="TV61" s="134"/>
      <c r="TW61" s="134"/>
      <c r="TX61" s="190">
        <f>TS61-SUM(TU61:TW61)</f>
        <v>0</v>
      </c>
      <c r="TY61" s="135" t="e">
        <f t="shared" si="749"/>
        <v>#DIV/0!</v>
      </c>
      <c r="TZ61" s="1563"/>
      <c r="UA61" s="134"/>
      <c r="UB61" s="134"/>
      <c r="UC61" s="134"/>
      <c r="UD61" s="133">
        <f t="shared" si="750"/>
        <v>0</v>
      </c>
      <c r="UE61" s="151" t="e">
        <f t="shared" si="751"/>
        <v>#DIV/0!</v>
      </c>
      <c r="UF61" s="134"/>
      <c r="UG61" s="134"/>
      <c r="UH61" s="134"/>
      <c r="UI61" s="190">
        <f t="shared" si="752"/>
        <v>0</v>
      </c>
      <c r="UJ61" s="5380" t="e">
        <f t="shared" si="753"/>
        <v>#DIV/0!</v>
      </c>
      <c r="UK61" s="5376"/>
      <c r="UL61" s="191">
        <f t="shared" si="754"/>
        <v>24552042</v>
      </c>
      <c r="UM61" s="191">
        <f t="shared" si="755"/>
        <v>10982865</v>
      </c>
      <c r="UN61" s="135">
        <f t="shared" si="756"/>
        <v>0.44733000212365226</v>
      </c>
      <c r="UO61" s="191">
        <f t="shared" si="757"/>
        <v>6165743</v>
      </c>
      <c r="UP61" s="5380">
        <f t="shared" si="758"/>
        <v>0.25112953944930527</v>
      </c>
    </row>
    <row r="62" spans="1:581" x14ac:dyDescent="0.3">
      <c r="A62" s="5316">
        <v>3</v>
      </c>
      <c r="B62" s="5360" t="s">
        <v>119</v>
      </c>
      <c r="C62" s="578" t="s">
        <v>144</v>
      </c>
      <c r="D62" s="578" t="s">
        <v>142</v>
      </c>
      <c r="E62" s="6278" t="s">
        <v>145</v>
      </c>
      <c r="F62" s="422"/>
      <c r="G62" s="161"/>
      <c r="H62" s="161">
        <v>0</v>
      </c>
      <c r="I62" s="161">
        <v>0</v>
      </c>
      <c r="J62" s="94"/>
      <c r="K62" s="136"/>
      <c r="L62" s="161">
        <v>0</v>
      </c>
      <c r="M62" s="161"/>
      <c r="N62" s="161">
        <v>0</v>
      </c>
      <c r="O62" s="158"/>
      <c r="P62" s="136"/>
      <c r="Q62" s="161"/>
      <c r="R62" s="161"/>
      <c r="S62" s="161"/>
      <c r="T62" s="94"/>
      <c r="U62" s="136"/>
      <c r="V62" s="161"/>
      <c r="W62" s="161"/>
      <c r="X62" s="161">
        <v>0</v>
      </c>
      <c r="Y62" s="759">
        <f>W62-(V62+X62)</f>
        <v>0</v>
      </c>
      <c r="Z62" s="94"/>
      <c r="AA62" s="422"/>
      <c r="AB62" s="161">
        <v>0</v>
      </c>
      <c r="AC62" s="161">
        <v>0</v>
      </c>
      <c r="AD62" s="161">
        <v>0</v>
      </c>
      <c r="AE62" s="775">
        <f>AC62-(AB62+AD62)</f>
        <v>0</v>
      </c>
      <c r="AF62" s="422"/>
      <c r="AG62" s="113"/>
      <c r="AH62" s="616">
        <v>0</v>
      </c>
      <c r="AI62" s="616"/>
      <c r="AJ62" s="616"/>
      <c r="AK62" s="96">
        <f>AI62-(AH62+AJ62)</f>
        <v>0</v>
      </c>
      <c r="AL62" s="114"/>
      <c r="AM62" s="129">
        <v>0</v>
      </c>
      <c r="AN62" s="417">
        <v>0</v>
      </c>
      <c r="AO62" s="130">
        <v>0</v>
      </c>
      <c r="AP62" s="417"/>
      <c r="AQ62" s="417">
        <f>AK62-AM62-AN62-AO62-AP62</f>
        <v>0</v>
      </c>
      <c r="AR62" s="421"/>
      <c r="AS62" s="113"/>
      <c r="AT62" s="760">
        <v>0</v>
      </c>
      <c r="AU62" s="761">
        <f>AI62+AC62+W62</f>
        <v>0</v>
      </c>
      <c r="AV62" s="761">
        <f>AK62+AE62+Y62</f>
        <v>0</v>
      </c>
      <c r="AW62" s="116"/>
      <c r="AX62" s="776"/>
      <c r="AY62" s="587">
        <f t="shared" si="697"/>
        <v>0</v>
      </c>
      <c r="AZ62" s="587">
        <f t="shared" si="697"/>
        <v>0</v>
      </c>
      <c r="BA62" s="587">
        <f t="shared" si="697"/>
        <v>0</v>
      </c>
      <c r="BB62" s="588"/>
      <c r="BC62" s="1514">
        <v>1</v>
      </c>
      <c r="BD62" s="759">
        <v>55178</v>
      </c>
      <c r="BE62" s="759">
        <v>73000</v>
      </c>
      <c r="BF62" s="759"/>
      <c r="BG62" s="775">
        <f>BE62-(BD62+BF62)</f>
        <v>17822</v>
      </c>
      <c r="BH62" s="736">
        <f>BG62/BE62</f>
        <v>0.24413698630136987</v>
      </c>
      <c r="BI62" s="1514">
        <v>1</v>
      </c>
      <c r="BJ62" s="759">
        <v>81791</v>
      </c>
      <c r="BK62" s="759">
        <v>110000</v>
      </c>
      <c r="BL62" s="759"/>
      <c r="BM62" s="775">
        <f>BK62-(BJ62+BL62)</f>
        <v>28209</v>
      </c>
      <c r="BN62" s="736">
        <f>BM62/BK62</f>
        <v>0.25644545454545453</v>
      </c>
      <c r="BO62" s="777">
        <v>1</v>
      </c>
      <c r="BP62" s="759">
        <v>81791</v>
      </c>
      <c r="BQ62" s="759">
        <v>110000</v>
      </c>
      <c r="BR62" s="759"/>
      <c r="BS62" s="775">
        <f>BQ62-(BP62+BR62)</f>
        <v>28209</v>
      </c>
      <c r="BT62" s="239">
        <f>BS62/BQ62</f>
        <v>0.25644545454545453</v>
      </c>
      <c r="BU62" s="689">
        <v>1</v>
      </c>
      <c r="BV62" s="592">
        <f>BQ62+BK62+BE62</f>
        <v>293000</v>
      </c>
      <c r="BW62" s="592">
        <f>BS62+BM62+BG62</f>
        <v>74240</v>
      </c>
      <c r="BX62" s="593">
        <f>BW62/BV62</f>
        <v>0.25337883959044366</v>
      </c>
      <c r="BY62" s="654">
        <v>3</v>
      </c>
      <c r="BZ62" s="650">
        <v>143122</v>
      </c>
      <c r="CA62" s="650">
        <v>211672</v>
      </c>
      <c r="CB62" s="671"/>
      <c r="CC62" s="596">
        <f>CA62-(BZ62+CB62)</f>
        <v>68550</v>
      </c>
      <c r="CD62" s="655">
        <f>CC62/CA62</f>
        <v>0.32385010771382139</v>
      </c>
      <c r="CE62" s="670">
        <v>43140</v>
      </c>
      <c r="CF62" s="671">
        <v>135753</v>
      </c>
      <c r="CG62" s="671"/>
      <c r="CH62" s="671">
        <v>0</v>
      </c>
      <c r="CI62" s="599">
        <f>CC62-CE62-CF62-CG62-CH62</f>
        <v>-110343</v>
      </c>
      <c r="CJ62" s="597">
        <f>CI62/CA62</f>
        <v>-0.52129237688499186</v>
      </c>
      <c r="CK62" s="651">
        <v>4</v>
      </c>
      <c r="CL62" s="652">
        <v>233973</v>
      </c>
      <c r="CM62" s="652">
        <v>335563</v>
      </c>
      <c r="CN62" s="778"/>
      <c r="CO62" s="360">
        <f>CM62-(CL62+CN62)</f>
        <v>101590</v>
      </c>
      <c r="CP62" s="602">
        <f>CO62/CM62</f>
        <v>0.3027449391023444</v>
      </c>
      <c r="CQ62" s="779">
        <v>0</v>
      </c>
      <c r="CR62" s="778">
        <v>70250</v>
      </c>
      <c r="CS62" s="778"/>
      <c r="CT62" s="603">
        <v>163912.75050000002</v>
      </c>
      <c r="CU62" s="603">
        <f>CO62-CQ62-CR62-CS62-CT62</f>
        <v>-132572.75050000002</v>
      </c>
      <c r="CV62" s="604">
        <f>CU62/CM62</f>
        <v>-0.39507559087265287</v>
      </c>
      <c r="CW62" s="129">
        <v>2</v>
      </c>
      <c r="CX62" s="130">
        <v>112499</v>
      </c>
      <c r="CY62" s="130">
        <v>179960</v>
      </c>
      <c r="CZ62" s="130"/>
      <c r="DA62" s="605">
        <f>CY62-(CX62+CZ62)</f>
        <v>67461</v>
      </c>
      <c r="DB62" s="114">
        <f>DA62/CY62</f>
        <v>0.3748666370304512</v>
      </c>
      <c r="DC62" s="129"/>
      <c r="DD62" s="130">
        <v>106427</v>
      </c>
      <c r="DE62" s="130"/>
      <c r="DF62" s="130">
        <v>0</v>
      </c>
      <c r="DG62" s="128">
        <f>DA62-DC62-DD62-DE62-DF62</f>
        <v>-38966</v>
      </c>
      <c r="DH62" s="169">
        <f>DG62/CY62</f>
        <v>-0.21652589464325406</v>
      </c>
      <c r="DI62" s="204">
        <f>(BY62+CK62+CW62)/3</f>
        <v>3</v>
      </c>
      <c r="DJ62" s="202">
        <f>CA62+CM62+CY62</f>
        <v>727195</v>
      </c>
      <c r="DK62" s="202">
        <f>CC62+CO62+DA62</f>
        <v>237601</v>
      </c>
      <c r="DL62" s="119">
        <f>DK62/DJ62</f>
        <v>0.3267362949415219</v>
      </c>
      <c r="DM62" s="202">
        <f>CI62+CU62+DG62</f>
        <v>-281881.75050000002</v>
      </c>
      <c r="DN62" s="119">
        <f>DM62/DJ62</f>
        <v>-0.387628834769216</v>
      </c>
      <c r="DO62" s="607">
        <f t="shared" si="698"/>
        <v>2</v>
      </c>
      <c r="DP62" s="137">
        <f t="shared" si="698"/>
        <v>112499</v>
      </c>
      <c r="DQ62" s="137">
        <f t="shared" si="698"/>
        <v>179960</v>
      </c>
      <c r="DR62" s="137">
        <f>DA62-AK62</f>
        <v>67461</v>
      </c>
      <c r="DS62" s="135">
        <v>1</v>
      </c>
      <c r="DT62" s="135">
        <v>1</v>
      </c>
      <c r="DU62" s="135">
        <v>1</v>
      </c>
      <c r="DV62" s="151">
        <v>1</v>
      </c>
      <c r="DW62" s="607">
        <f>CW62-CK62</f>
        <v>-2</v>
      </c>
      <c r="DX62" s="780">
        <f>CY62-CM62</f>
        <v>-155603</v>
      </c>
      <c r="DY62" s="780">
        <f>DA62-CO62</f>
        <v>-34129</v>
      </c>
      <c r="DZ62" s="780">
        <f>DG62-CU62</f>
        <v>93606.750500000024</v>
      </c>
      <c r="EA62" s="135">
        <f>DW62/CK62</f>
        <v>-0.5</v>
      </c>
      <c r="EB62" s="135">
        <f>DX62/CM62</f>
        <v>-0.46370726212365487</v>
      </c>
      <c r="EC62" s="135">
        <f>DY62/CO62</f>
        <v>-0.33594842012009057</v>
      </c>
      <c r="ED62" s="151">
        <f>DZ62/CU62</f>
        <v>-0.70607836185762785</v>
      </c>
      <c r="EE62" s="129">
        <v>2</v>
      </c>
      <c r="EF62" s="130">
        <v>112499</v>
      </c>
      <c r="EG62" s="130">
        <v>129800</v>
      </c>
      <c r="EH62" s="130"/>
      <c r="EI62" s="605">
        <f>EG62-(EF62+EH62)</f>
        <v>17301</v>
      </c>
      <c r="EJ62" s="114">
        <f>EI62/EG62</f>
        <v>0.13328967642526965</v>
      </c>
      <c r="EK62" s="129">
        <v>36000</v>
      </c>
      <c r="EL62" s="130">
        <v>0</v>
      </c>
      <c r="EM62" s="130">
        <v>0</v>
      </c>
      <c r="EN62" s="130">
        <v>0</v>
      </c>
      <c r="EO62" s="128">
        <f>EI62-EK62-EL62-EM62-EN62</f>
        <v>-18699</v>
      </c>
      <c r="EP62" s="114">
        <f>EO62/EG62</f>
        <v>-0.14406009244992296</v>
      </c>
      <c r="EQ62" s="129">
        <v>2</v>
      </c>
      <c r="ER62" s="130">
        <v>111420</v>
      </c>
      <c r="ES62" s="130">
        <v>158840</v>
      </c>
      <c r="ET62" s="130"/>
      <c r="EU62" s="134">
        <f>ES62-(ER62+ET62)</f>
        <v>47420</v>
      </c>
      <c r="EV62" s="114">
        <f>EU62/ES62</f>
        <v>0.2985394107277764</v>
      </c>
      <c r="EW62" s="129">
        <v>38000</v>
      </c>
      <c r="EX62" s="130">
        <v>0</v>
      </c>
      <c r="EY62" s="130">
        <v>0</v>
      </c>
      <c r="EZ62" s="130">
        <v>0</v>
      </c>
      <c r="FA62" s="128">
        <f>EU62-EW62-EX62-EY62-EZ62</f>
        <v>9420</v>
      </c>
      <c r="FB62" s="114">
        <f>FA62/ES62</f>
        <v>5.9304960967010829E-2</v>
      </c>
      <c r="FC62" s="643">
        <f>EQ62-AG62</f>
        <v>2</v>
      </c>
      <c r="FD62" s="644">
        <f>ES62-AI62</f>
        <v>158840</v>
      </c>
      <c r="FE62" s="644">
        <f>EU62-AK62</f>
        <v>47420</v>
      </c>
      <c r="FF62" s="644">
        <f>FA62-AQ62</f>
        <v>9420</v>
      </c>
      <c r="FG62" s="74">
        <v>1</v>
      </c>
      <c r="FH62" s="74">
        <v>1</v>
      </c>
      <c r="FI62" s="74">
        <v>1</v>
      </c>
      <c r="FJ62" s="73">
        <v>1</v>
      </c>
      <c r="FK62" s="133">
        <v>2</v>
      </c>
      <c r="FL62" s="134">
        <v>110411</v>
      </c>
      <c r="FM62" s="134">
        <v>150040</v>
      </c>
      <c r="FN62" s="134"/>
      <c r="FO62" s="134">
        <f>FM62-(FL62+FN62)</f>
        <v>39629</v>
      </c>
      <c r="FP62" s="135">
        <f>FO62/FM62</f>
        <v>0.26412290055985072</v>
      </c>
      <c r="FQ62" s="133">
        <v>25000</v>
      </c>
      <c r="FR62" s="134"/>
      <c r="FS62" s="134"/>
      <c r="FT62" s="191">
        <f>FO62-SUM(FQ62:FS62)</f>
        <v>14629</v>
      </c>
      <c r="FU62" s="151">
        <f>FT62/FM62</f>
        <v>9.750066648893628E-2</v>
      </c>
      <c r="FV62" s="190">
        <f t="shared" si="699"/>
        <v>2</v>
      </c>
      <c r="FW62" s="191">
        <f t="shared" si="699"/>
        <v>110411</v>
      </c>
      <c r="FX62" s="191">
        <f t="shared" si="699"/>
        <v>150040</v>
      </c>
      <c r="FY62" s="191">
        <f>FO62-AK62</f>
        <v>39629</v>
      </c>
      <c r="FZ62" s="191">
        <f>FT62-AQ62</f>
        <v>14629</v>
      </c>
      <c r="GA62" s="135">
        <v>1</v>
      </c>
      <c r="GB62" s="135">
        <v>1</v>
      </c>
      <c r="GC62" s="135">
        <v>1</v>
      </c>
      <c r="GD62" s="151">
        <v>1</v>
      </c>
      <c r="GE62" s="187">
        <f>(EE62+EQ62+FK62)/3</f>
        <v>2</v>
      </c>
      <c r="GF62" s="155">
        <f>EG62+ES62+FM62</f>
        <v>438680</v>
      </c>
      <c r="GG62" s="155">
        <f>EI62+EU62+FO62</f>
        <v>104350</v>
      </c>
      <c r="GH62" s="74">
        <f>GG62/GF62</f>
        <v>0.2378727090361995</v>
      </c>
      <c r="GI62" s="613">
        <f>EO62+FA62+FT62</f>
        <v>5350</v>
      </c>
      <c r="GJ62" s="187">
        <f t="shared" si="700"/>
        <v>-1</v>
      </c>
      <c r="GK62" s="155">
        <f t="shared" si="700"/>
        <v>-288515</v>
      </c>
      <c r="GL62" s="155">
        <f t="shared" si="700"/>
        <v>-133251</v>
      </c>
      <c r="GM62" s="613">
        <f>GI62-DM62</f>
        <v>287231.75050000002</v>
      </c>
      <c r="GN62" s="133">
        <v>1</v>
      </c>
      <c r="GO62" s="134">
        <v>58316</v>
      </c>
      <c r="GP62" s="134">
        <v>51280</v>
      </c>
      <c r="GQ62" s="134">
        <v>0</v>
      </c>
      <c r="GR62" s="134">
        <f>GP62-(GO62+GQ62)</f>
        <v>-7036</v>
      </c>
      <c r="GS62" s="135">
        <f>GR62/GP62</f>
        <v>-0.13720748829953197</v>
      </c>
      <c r="GT62" s="133">
        <v>58333</v>
      </c>
      <c r="GU62" s="134">
        <v>0</v>
      </c>
      <c r="GV62" s="134">
        <v>0</v>
      </c>
      <c r="GW62" s="134">
        <v>0</v>
      </c>
      <c r="GX62" s="190">
        <f>GR62-SUM(GT62:GW62)</f>
        <v>-65369</v>
      </c>
      <c r="GY62" s="151">
        <f>GX62/GP62</f>
        <v>-1.2747464898595944</v>
      </c>
      <c r="GZ62" s="781">
        <v>2</v>
      </c>
      <c r="HA62" s="130">
        <v>165786</v>
      </c>
      <c r="HB62" s="130">
        <v>225280</v>
      </c>
      <c r="HC62" s="134"/>
      <c r="HD62" s="134">
        <f>HB62-(HA62+HC62)</f>
        <v>59494</v>
      </c>
      <c r="HE62" s="151">
        <f>HD62/HB62</f>
        <v>0.26408913352272728</v>
      </c>
      <c r="HF62" s="138">
        <v>58333</v>
      </c>
      <c r="HG62" s="130">
        <v>0</v>
      </c>
      <c r="HH62" s="130"/>
      <c r="HI62" s="130">
        <v>0</v>
      </c>
      <c r="HJ62" s="197">
        <f>HD62-SUM(HF62:HI62)</f>
        <v>1161</v>
      </c>
      <c r="HK62" s="201">
        <f>HJ62/HB62</f>
        <v>5.1535866477272728E-3</v>
      </c>
      <c r="HL62" s="133">
        <v>2</v>
      </c>
      <c r="HM62" s="134">
        <v>249999</v>
      </c>
      <c r="HN62" s="134">
        <v>405160</v>
      </c>
      <c r="HO62" s="134">
        <v>0</v>
      </c>
      <c r="HP62" s="615">
        <f>HN62-(HM62+HO62)</f>
        <v>155161</v>
      </c>
      <c r="HQ62" s="151">
        <f>HP62/HN62</f>
        <v>0.38296228650409714</v>
      </c>
      <c r="HR62" s="134">
        <v>58333</v>
      </c>
      <c r="HS62" s="134">
        <v>150000</v>
      </c>
      <c r="HT62" s="134"/>
      <c r="HU62" s="134">
        <v>0</v>
      </c>
      <c r="HV62" s="191">
        <f>HP62-SUM(HR62:HU62)</f>
        <v>-53172</v>
      </c>
      <c r="HW62" s="151">
        <f>HV62/HN62</f>
        <v>-0.1312370421561852</v>
      </c>
      <c r="HX62" s="414">
        <v>2</v>
      </c>
      <c r="HY62" s="241">
        <f>HN62+HB62+GP62</f>
        <v>681720</v>
      </c>
      <c r="HZ62" s="415">
        <f>HP62+HD62+GR62</f>
        <v>207619</v>
      </c>
      <c r="IA62" s="135">
        <f>HZ62/HY62</f>
        <v>0.3045517221146512</v>
      </c>
      <c r="IB62" s="415">
        <f>HV62+HJ62+GX62</f>
        <v>-117380</v>
      </c>
      <c r="IC62" s="141"/>
      <c r="ID62" s="642">
        <v>2</v>
      </c>
      <c r="IE62" s="141">
        <f t="shared" si="759"/>
        <v>2140595</v>
      </c>
      <c r="IF62" s="141">
        <f t="shared" si="760"/>
        <v>623810</v>
      </c>
      <c r="IG62" s="74">
        <f t="shared" si="701"/>
        <v>0.29141897463088534</v>
      </c>
      <c r="IH62" s="1507"/>
      <c r="II62" s="69"/>
      <c r="IJ62" s="133">
        <v>1</v>
      </c>
      <c r="IK62" s="134">
        <v>66666</v>
      </c>
      <c r="IL62" s="134">
        <v>71280</v>
      </c>
      <c r="IM62" s="134">
        <v>0</v>
      </c>
      <c r="IN62" s="133">
        <f>IL62-(IK62+IM62)</f>
        <v>4614</v>
      </c>
      <c r="IO62" s="151">
        <f>IN62/IL62</f>
        <v>6.4730639730639736E-2</v>
      </c>
      <c r="IP62" s="134">
        <v>58333</v>
      </c>
      <c r="IQ62" s="134">
        <v>0</v>
      </c>
      <c r="IR62" s="134">
        <v>0</v>
      </c>
      <c r="IS62" s="190">
        <f>IN62-SUM(IP62:IR62)</f>
        <v>-53719</v>
      </c>
      <c r="IT62" s="151">
        <f>IS62/IL62</f>
        <v>-0.75363355780022445</v>
      </c>
      <c r="IU62" s="136">
        <v>3</v>
      </c>
      <c r="IV62" s="358">
        <v>323060</v>
      </c>
      <c r="IW62" s="358">
        <v>501632</v>
      </c>
      <c r="IX62" s="134">
        <v>0</v>
      </c>
      <c r="IY62" s="133">
        <f>IW62-(IV62+IX62)</f>
        <v>178572</v>
      </c>
      <c r="IZ62" s="151">
        <f>IY62/IW62</f>
        <v>0.35598207450880326</v>
      </c>
      <c r="JA62" s="134">
        <v>91667</v>
      </c>
      <c r="JB62" s="134">
        <v>0</v>
      </c>
      <c r="JC62" s="134">
        <v>50000</v>
      </c>
      <c r="JD62" s="190">
        <f>IY62-SUM(JA62:JC62)</f>
        <v>36905</v>
      </c>
      <c r="JE62" s="151">
        <f>JD62/IW62</f>
        <v>7.3569867951007908E-2</v>
      </c>
      <c r="JF62" s="136">
        <v>5</v>
      </c>
      <c r="JG62" s="358">
        <v>515242</v>
      </c>
      <c r="JH62" s="358">
        <v>783528</v>
      </c>
      <c r="JI62" s="358">
        <v>0</v>
      </c>
      <c r="JJ62" s="133">
        <f>JH62-(JG62+JI62)</f>
        <v>268286</v>
      </c>
      <c r="JK62" s="151">
        <f>JJ62/JH62</f>
        <v>0.34240767400782102</v>
      </c>
      <c r="JL62" s="134">
        <f>100000</f>
        <v>100000</v>
      </c>
      <c r="JM62" s="134">
        <v>100000</v>
      </c>
      <c r="JN62" s="134">
        <v>50000</v>
      </c>
      <c r="JO62" s="190">
        <f>JJ62-SUM(JL62:JN62)</f>
        <v>18286</v>
      </c>
      <c r="JP62" s="151">
        <f>JO62/JH62</f>
        <v>2.3338030038492562E-2</v>
      </c>
      <c r="JQ62" s="136">
        <v>5</v>
      </c>
      <c r="JR62" s="191">
        <f t="shared" si="695"/>
        <v>1356440</v>
      </c>
      <c r="JS62" s="191">
        <f>JJ62+IY62+IN62</f>
        <v>451472</v>
      </c>
      <c r="JT62" s="151">
        <f>JS62/JR62</f>
        <v>0.33283595293562562</v>
      </c>
      <c r="JU62" s="136">
        <v>11</v>
      </c>
      <c r="JV62" s="358">
        <v>1765249</v>
      </c>
      <c r="JW62" s="358">
        <v>2838192</v>
      </c>
      <c r="JX62" s="358">
        <v>0</v>
      </c>
      <c r="JY62" s="133">
        <f>JW62-(JV62+JX62)</f>
        <v>1072943</v>
      </c>
      <c r="JZ62" s="151">
        <f>JY62/JW62</f>
        <v>0.37803749711083678</v>
      </c>
      <c r="KA62" s="134">
        <v>200165</v>
      </c>
      <c r="KB62" s="134">
        <v>200000</v>
      </c>
      <c r="KC62" s="134">
        <v>100000</v>
      </c>
      <c r="KD62" s="190">
        <f>JY62-SUM(KA62:KC62)</f>
        <v>572778</v>
      </c>
      <c r="KE62" s="151">
        <f>KD62/JW62</f>
        <v>0.2018108711461381</v>
      </c>
      <c r="KF62" s="136">
        <v>5</v>
      </c>
      <c r="KG62" s="358">
        <v>869959</v>
      </c>
      <c r="KH62" s="358">
        <v>1424992</v>
      </c>
      <c r="KI62" s="358">
        <v>0</v>
      </c>
      <c r="KJ62" s="133">
        <f>KH62-(KG62+KI62)</f>
        <v>555033</v>
      </c>
      <c r="KK62" s="151">
        <f>KJ62/KH62</f>
        <v>0.3894990287664773</v>
      </c>
      <c r="KL62" s="134">
        <v>142886</v>
      </c>
      <c r="KM62" s="134">
        <f>160000+100000</f>
        <v>260000</v>
      </c>
      <c r="KN62" s="134">
        <v>100000</v>
      </c>
      <c r="KO62" s="190">
        <f>KJ62-SUM(KL62:KN62)</f>
        <v>52147</v>
      </c>
      <c r="KP62" s="151">
        <f>KO62/KH62</f>
        <v>3.6594591408232464E-2</v>
      </c>
      <c r="KQ62" s="136">
        <v>7</v>
      </c>
      <c r="KR62" s="358">
        <v>1540074</v>
      </c>
      <c r="KS62" s="358">
        <v>2260088</v>
      </c>
      <c r="KT62" s="358"/>
      <c r="KU62" s="133">
        <f>KS62-(KR62+KT62)</f>
        <v>720014</v>
      </c>
      <c r="KV62" s="151">
        <f>KU62/KS62</f>
        <v>0.31857786068507066</v>
      </c>
      <c r="KW62" s="134">
        <f>161667+66666</f>
        <v>228333</v>
      </c>
      <c r="KX62" s="134">
        <v>572263</v>
      </c>
      <c r="KY62" s="134">
        <v>0</v>
      </c>
      <c r="KZ62" s="190">
        <f>KU62-SUM(KW62:KY62)</f>
        <v>-80582</v>
      </c>
      <c r="LA62" s="151">
        <f>KZ62/KS62</f>
        <v>-3.5654363900874654E-2</v>
      </c>
      <c r="LB62" s="402">
        <v>7</v>
      </c>
      <c r="LC62" s="191">
        <f>KS62+KH62+JW62</f>
        <v>6523272</v>
      </c>
      <c r="LD62" s="191">
        <f>KU62+KJ62+JY62</f>
        <v>2347990</v>
      </c>
      <c r="LE62" s="151">
        <f>LD62/LC62</f>
        <v>0.35994053291047806</v>
      </c>
      <c r="LF62" s="226">
        <f t="shared" si="761"/>
        <v>2</v>
      </c>
      <c r="LG62" s="128">
        <f t="shared" si="761"/>
        <v>5166832</v>
      </c>
      <c r="LH62" s="139">
        <f t="shared" si="761"/>
        <v>1896518</v>
      </c>
      <c r="LI62" s="442">
        <f t="shared" si="762"/>
        <v>0.4</v>
      </c>
      <c r="LJ62" s="442">
        <f t="shared" si="762"/>
        <v>3.8091120875232227</v>
      </c>
      <c r="LK62" s="106">
        <f t="shared" si="762"/>
        <v>4.2007433462097321</v>
      </c>
      <c r="LL62" s="136">
        <v>8</v>
      </c>
      <c r="LM62" s="358">
        <v>1361971</v>
      </c>
      <c r="LN62" s="358">
        <v>2234992</v>
      </c>
      <c r="LO62" s="358">
        <v>0</v>
      </c>
      <c r="LP62" s="133">
        <f>LN62-(LM62+LO62)</f>
        <v>873021</v>
      </c>
      <c r="LQ62" s="151">
        <f>LP62/LN62</f>
        <v>0.39061482099264783</v>
      </c>
      <c r="LR62" s="134">
        <v>347167</v>
      </c>
      <c r="LS62" s="134">
        <f>225000+40000+200000</f>
        <v>465000</v>
      </c>
      <c r="LT62" s="134">
        <v>50000</v>
      </c>
      <c r="LU62" s="190">
        <f>LP62-SUM(LR62:LT62)</f>
        <v>10854</v>
      </c>
      <c r="LV62" s="151">
        <f>LU62/LN62</f>
        <v>4.8563932219891611E-3</v>
      </c>
      <c r="LW62" s="134">
        <v>8</v>
      </c>
      <c r="LX62" s="134">
        <v>1321777</v>
      </c>
      <c r="LY62" s="134">
        <v>2406088</v>
      </c>
      <c r="LZ62" s="134">
        <v>4854</v>
      </c>
      <c r="MA62" s="133">
        <f>LY62-(LX62+LZ62)</f>
        <v>1079457</v>
      </c>
      <c r="MB62" s="151">
        <f>MA62/LY62</f>
        <v>0.44863571074707159</v>
      </c>
      <c r="MC62" s="134">
        <v>408206</v>
      </c>
      <c r="MD62" s="134">
        <v>200000</v>
      </c>
      <c r="ME62" s="134">
        <v>200000</v>
      </c>
      <c r="MF62" s="190">
        <f>MA62-SUM(MC62:ME62)</f>
        <v>271251</v>
      </c>
      <c r="MG62" s="151">
        <f>MF62/LY62</f>
        <v>0.11273527817768926</v>
      </c>
      <c r="MH62" s="134">
        <v>7</v>
      </c>
      <c r="MI62" s="134">
        <v>1241651</v>
      </c>
      <c r="MJ62" s="134">
        <v>2300880</v>
      </c>
      <c r="MK62" s="134"/>
      <c r="ML62" s="133">
        <f>MJ62-(MI62+MK62)</f>
        <v>1059229</v>
      </c>
      <c r="MM62" s="151">
        <f>ML62/MJ62</f>
        <v>0.46035821077153088</v>
      </c>
      <c r="MN62" s="134">
        <f>179169</f>
        <v>179169</v>
      </c>
      <c r="MO62" s="134">
        <v>300000</v>
      </c>
      <c r="MP62" s="134">
        <v>200000</v>
      </c>
      <c r="MQ62" s="190">
        <f>ML62-SUM(MN62:MP62)</f>
        <v>380060</v>
      </c>
      <c r="MR62" s="151">
        <f>MQ62/MJ62</f>
        <v>0.16518027884983136</v>
      </c>
      <c r="MS62" s="1472">
        <v>7</v>
      </c>
      <c r="MT62" s="118">
        <f>MJ62+LY62+LN62</f>
        <v>6941960</v>
      </c>
      <c r="MU62" s="118">
        <f>ML62+MA62+LP62</f>
        <v>3011707</v>
      </c>
      <c r="MV62" s="135">
        <f t="shared" si="702"/>
        <v>0.43384101896294419</v>
      </c>
      <c r="MW62" s="133">
        <f t="shared" si="703"/>
        <v>0</v>
      </c>
      <c r="MX62" s="134">
        <f t="shared" si="704"/>
        <v>418688</v>
      </c>
      <c r="MY62" s="134">
        <f t="shared" si="705"/>
        <v>663717</v>
      </c>
      <c r="MZ62" s="135">
        <f t="shared" si="706"/>
        <v>0</v>
      </c>
      <c r="NA62" s="135">
        <f t="shared" si="707"/>
        <v>6.418374092020078E-2</v>
      </c>
      <c r="NB62" s="151">
        <f t="shared" si="708"/>
        <v>0.28267454290691185</v>
      </c>
      <c r="NC62" s="134">
        <v>6</v>
      </c>
      <c r="ND62" s="134">
        <v>1415819</v>
      </c>
      <c r="NE62" s="134">
        <v>2222336</v>
      </c>
      <c r="NF62" s="134"/>
      <c r="NG62" s="133">
        <f>NE62-(ND62+NF62)</f>
        <v>806517</v>
      </c>
      <c r="NH62" s="151">
        <f t="shared" si="709"/>
        <v>0.36291406879967747</v>
      </c>
      <c r="NI62" s="134">
        <v>336667</v>
      </c>
      <c r="NJ62" s="134">
        <v>200000</v>
      </c>
      <c r="NK62" s="134">
        <v>200000</v>
      </c>
      <c r="NL62" s="190">
        <f>NG62-SUM(NI62:NK62)</f>
        <v>69850</v>
      </c>
      <c r="NM62" s="135">
        <f t="shared" si="710"/>
        <v>3.1430890738394196E-2</v>
      </c>
      <c r="NN62" s="1563">
        <v>10</v>
      </c>
      <c r="NO62" s="134">
        <v>1866073</v>
      </c>
      <c r="NP62" s="134">
        <v>2983188</v>
      </c>
      <c r="NQ62" s="134">
        <v>0</v>
      </c>
      <c r="NR62" s="133">
        <f t="shared" si="711"/>
        <v>1117115</v>
      </c>
      <c r="NS62" s="151">
        <f t="shared" si="712"/>
        <v>0.37447019765432149</v>
      </c>
      <c r="NT62" s="134">
        <v>347167</v>
      </c>
      <c r="NU62" s="134">
        <v>200000</v>
      </c>
      <c r="NV62" s="134">
        <v>200000</v>
      </c>
      <c r="NW62" s="190">
        <f>NR62-SUM(NT62:NV62)</f>
        <v>369948</v>
      </c>
      <c r="NX62" s="135">
        <f t="shared" si="713"/>
        <v>0.1240109574052993</v>
      </c>
      <c r="NY62" s="1563">
        <v>11</v>
      </c>
      <c r="NZ62" s="134">
        <v>2032454</v>
      </c>
      <c r="OA62" s="134">
        <v>3735664</v>
      </c>
      <c r="OB62" s="134">
        <v>0</v>
      </c>
      <c r="OC62" s="133">
        <f>OA62-(NZ62+OB62)</f>
        <v>1703210</v>
      </c>
      <c r="OD62" s="151">
        <f t="shared" si="714"/>
        <v>0.45593233224401336</v>
      </c>
      <c r="OE62" s="134">
        <v>347167</v>
      </c>
      <c r="OF62" s="134">
        <v>200000</v>
      </c>
      <c r="OG62" s="134">
        <v>200000</v>
      </c>
      <c r="OH62" s="190">
        <f>OC62-SUM(OE62:OG62)</f>
        <v>956043</v>
      </c>
      <c r="OI62" s="5380">
        <f t="shared" si="715"/>
        <v>0.25592317724506275</v>
      </c>
      <c r="OJ62" s="69">
        <v>11</v>
      </c>
      <c r="OK62" s="155">
        <f t="shared" si="540"/>
        <v>23494574</v>
      </c>
      <c r="OL62" s="155">
        <f t="shared" si="541"/>
        <v>9169725</v>
      </c>
      <c r="OM62" s="74">
        <f>OL62/OK62</f>
        <v>0.3902911795719301</v>
      </c>
      <c r="ON62" s="155">
        <f t="shared" si="543"/>
        <v>2635535</v>
      </c>
      <c r="OO62" s="70"/>
      <c r="OP62" s="69"/>
      <c r="OQ62" s="2008">
        <v>13</v>
      </c>
      <c r="OR62" s="208">
        <v>2165708</v>
      </c>
      <c r="OS62" s="208">
        <v>3555710</v>
      </c>
      <c r="OT62" s="3546">
        <v>14043</v>
      </c>
      <c r="OU62" s="133">
        <f>OS62-(OR62+OT62)</f>
        <v>1375959</v>
      </c>
      <c r="OV62" s="94">
        <f t="shared" si="716"/>
        <v>0.38697165966853314</v>
      </c>
      <c r="OW62" s="134">
        <v>157500</v>
      </c>
      <c r="OX62" s="134">
        <f>100000+262222</f>
        <v>362222</v>
      </c>
      <c r="OY62" s="134">
        <v>200000</v>
      </c>
      <c r="OZ62" s="190">
        <f>OU62-SUM(OW62:OY62)</f>
        <v>656237</v>
      </c>
      <c r="PA62" s="5361">
        <f>OZ62/OS62</f>
        <v>0.1845586394840974</v>
      </c>
      <c r="PB62" s="698">
        <v>14</v>
      </c>
      <c r="PC62" s="395">
        <f>2437602+53755</f>
        <v>2491357</v>
      </c>
      <c r="PD62" s="208">
        <v>4847900</v>
      </c>
      <c r="PE62" s="208"/>
      <c r="PF62" s="133">
        <f t="shared" si="717"/>
        <v>2356543</v>
      </c>
      <c r="PG62" s="94">
        <f t="shared" si="718"/>
        <v>0.48609562903525239</v>
      </c>
      <c r="PH62" s="134">
        <v>316271</v>
      </c>
      <c r="PI62" s="134">
        <v>200000</v>
      </c>
      <c r="PJ62" s="134">
        <v>200000</v>
      </c>
      <c r="PK62" s="190">
        <f t="shared" si="763"/>
        <v>1640272</v>
      </c>
      <c r="PL62" s="135">
        <f t="shared" si="764"/>
        <v>0.33834691309639225</v>
      </c>
      <c r="PM62" s="5316">
        <v>10</v>
      </c>
      <c r="PN62" s="358">
        <v>1831951</v>
      </c>
      <c r="PO62" s="358">
        <v>3011966</v>
      </c>
      <c r="PP62" s="358">
        <v>0</v>
      </c>
      <c r="PQ62" s="6293">
        <f t="shared" si="719"/>
        <v>1180015</v>
      </c>
      <c r="PR62" s="6295">
        <f t="shared" si="720"/>
        <v>0.39177567077450409</v>
      </c>
      <c r="PS62" s="134">
        <v>204651</v>
      </c>
      <c r="PT62" s="3758">
        <f>100000+127790+486400</f>
        <v>714190</v>
      </c>
      <c r="PU62" s="134">
        <v>100000</v>
      </c>
      <c r="PV62" s="190">
        <f t="shared" si="721"/>
        <v>161174</v>
      </c>
      <c r="PW62" s="5380">
        <f t="shared" si="722"/>
        <v>5.3511228214395516E-2</v>
      </c>
      <c r="PX62" s="422">
        <v>10</v>
      </c>
      <c r="PY62" s="191">
        <f t="shared" si="696"/>
        <v>11415576</v>
      </c>
      <c r="PZ62" s="191">
        <f t="shared" si="723"/>
        <v>4912517</v>
      </c>
      <c r="QA62" s="135">
        <f t="shared" si="724"/>
        <v>0.43033457094061656</v>
      </c>
      <c r="QB62" s="5390">
        <v>5</v>
      </c>
      <c r="QC62" s="395">
        <f>793197+46915</f>
        <v>840112</v>
      </c>
      <c r="QD62" s="395">
        <v>1714520</v>
      </c>
      <c r="QE62" s="772">
        <v>42947</v>
      </c>
      <c r="QF62" s="6293">
        <f t="shared" si="725"/>
        <v>831461</v>
      </c>
      <c r="QG62" s="6295">
        <f t="shared" si="726"/>
        <v>0.4849526398058932</v>
      </c>
      <c r="QH62" s="134">
        <v>200165</v>
      </c>
      <c r="QI62" s="134">
        <v>200000</v>
      </c>
      <c r="QJ62" s="134">
        <v>100000</v>
      </c>
      <c r="QK62" s="190">
        <f t="shared" si="765"/>
        <v>331296</v>
      </c>
      <c r="QL62" s="5380">
        <f t="shared" si="766"/>
        <v>0.19322959195576606</v>
      </c>
      <c r="QM62" s="5398">
        <v>6</v>
      </c>
      <c r="QN62" s="395">
        <v>1072716</v>
      </c>
      <c r="QO62" s="395">
        <v>1897528</v>
      </c>
      <c r="QP62" s="395">
        <v>0</v>
      </c>
      <c r="QQ62" s="133">
        <f t="shared" si="727"/>
        <v>824812</v>
      </c>
      <c r="QR62" s="151">
        <f t="shared" si="728"/>
        <v>0.43467711675400839</v>
      </c>
      <c r="QS62" s="134">
        <v>200165</v>
      </c>
      <c r="QT62" s="134">
        <v>200000</v>
      </c>
      <c r="QU62" s="134">
        <v>100000</v>
      </c>
      <c r="QV62" s="190">
        <f t="shared" si="729"/>
        <v>324647</v>
      </c>
      <c r="QW62" s="5380">
        <f t="shared" si="730"/>
        <v>0.17108943846941915</v>
      </c>
      <c r="QX62" s="5316">
        <v>5</v>
      </c>
      <c r="QY62" s="358">
        <v>1240429</v>
      </c>
      <c r="QZ62" s="358">
        <v>2222024</v>
      </c>
      <c r="RA62" s="358">
        <v>3751</v>
      </c>
      <c r="RB62" s="133">
        <f t="shared" si="731"/>
        <v>977844</v>
      </c>
      <c r="RC62" s="151">
        <f t="shared" si="732"/>
        <v>0.44006905415963105</v>
      </c>
      <c r="RD62" s="134">
        <v>200165</v>
      </c>
      <c r="RE62" s="134">
        <v>100000</v>
      </c>
      <c r="RF62" s="134">
        <v>100000</v>
      </c>
      <c r="RG62" s="190">
        <f t="shared" si="733"/>
        <v>577679</v>
      </c>
      <c r="RH62" s="5380">
        <f t="shared" si="734"/>
        <v>0.25997874010361727</v>
      </c>
      <c r="RI62" s="5376"/>
      <c r="RJ62" s="191">
        <f t="shared" si="735"/>
        <v>5834072</v>
      </c>
      <c r="RK62" s="191">
        <f t="shared" si="736"/>
        <v>2634117</v>
      </c>
      <c r="RL62" s="5380">
        <f t="shared" si="737"/>
        <v>0.4515057407587702</v>
      </c>
      <c r="RM62" s="1562">
        <f t="shared" si="738"/>
        <v>-10</v>
      </c>
      <c r="RN62" s="128">
        <f t="shared" si="738"/>
        <v>-5581504</v>
      </c>
      <c r="RO62" s="139">
        <f t="shared" si="738"/>
        <v>-2278400</v>
      </c>
      <c r="RP62" s="442">
        <f t="shared" si="739"/>
        <v>-1</v>
      </c>
      <c r="RQ62" s="442">
        <f t="shared" si="739"/>
        <v>-0.48893757091188389</v>
      </c>
      <c r="RR62" s="6339">
        <f t="shared" si="739"/>
        <v>-0.46379483266928134</v>
      </c>
      <c r="RS62" s="698">
        <v>6</v>
      </c>
      <c r="RT62" s="208">
        <v>1335897</v>
      </c>
      <c r="RU62" s="208">
        <v>2437592</v>
      </c>
      <c r="RV62" s="2563">
        <v>0</v>
      </c>
      <c r="RW62" s="133">
        <f t="shared" si="740"/>
        <v>1101695</v>
      </c>
      <c r="RX62" s="151">
        <f t="shared" si="741"/>
        <v>0.45196037729037508</v>
      </c>
      <c r="RY62" s="134">
        <v>200165</v>
      </c>
      <c r="RZ62" s="134">
        <f>100000+460000</f>
        <v>560000</v>
      </c>
      <c r="SA62" s="134">
        <v>100000</v>
      </c>
      <c r="SB62" s="190">
        <f t="shared" si="742"/>
        <v>241530</v>
      </c>
      <c r="SC62" s="5380">
        <f t="shared" si="743"/>
        <v>9.9085490927111677E-2</v>
      </c>
      <c r="SD62" s="110">
        <v>7</v>
      </c>
      <c r="SE62" s="208">
        <v>1394523</v>
      </c>
      <c r="SF62" s="208">
        <v>2496000</v>
      </c>
      <c r="SG62" s="994">
        <v>0</v>
      </c>
      <c r="SH62" s="6361">
        <f>SF62-(SE62+SG62)</f>
        <v>1101477</v>
      </c>
      <c r="SI62" s="6363">
        <f>SH62/SF62</f>
        <v>0.44129687499999998</v>
      </c>
      <c r="SJ62" s="134">
        <v>200165</v>
      </c>
      <c r="SK62" s="134">
        <f>200000</f>
        <v>200000</v>
      </c>
      <c r="SL62" s="134">
        <v>300000</v>
      </c>
      <c r="SM62" s="190">
        <f>SH62-SUM(SJ62:SL62)</f>
        <v>401312</v>
      </c>
      <c r="SN62" s="5380">
        <f>SM62/SF62</f>
        <v>0.16078205128205128</v>
      </c>
      <c r="SO62" s="134">
        <v>6</v>
      </c>
      <c r="SP62" s="134">
        <v>1353469</v>
      </c>
      <c r="SQ62" s="134">
        <v>2352144</v>
      </c>
      <c r="SR62" s="134">
        <v>0</v>
      </c>
      <c r="SS62" s="6361">
        <f>SQ62-(SP62+SR62)</f>
        <v>998675</v>
      </c>
      <c r="ST62" s="6363">
        <f>SS62/SQ62</f>
        <v>0.42458072294893512</v>
      </c>
      <c r="SU62" s="134">
        <v>200165</v>
      </c>
      <c r="SV62" s="134">
        <f>200000</f>
        <v>200000</v>
      </c>
      <c r="SW62" s="134">
        <v>300000</v>
      </c>
      <c r="SX62" s="190">
        <f>SS62-SUM(SU62:SW62)</f>
        <v>298510</v>
      </c>
      <c r="SY62" s="5380">
        <f>SX62/SQ62</f>
        <v>0.12690974702229116</v>
      </c>
      <c r="SZ62" s="6270"/>
      <c r="TA62" s="118">
        <f>SQ62+SF62+RU62</f>
        <v>7285736</v>
      </c>
      <c r="TB62" s="118">
        <f>SS62+SH62+RW62</f>
        <v>3201847</v>
      </c>
      <c r="TC62" s="5380">
        <f>TB62/TA62</f>
        <v>0.4394678862917899</v>
      </c>
      <c r="TD62" s="1563">
        <v>8</v>
      </c>
      <c r="TE62" s="134">
        <v>1688639</v>
      </c>
      <c r="TF62" s="134">
        <v>3042464</v>
      </c>
      <c r="TG62" s="134"/>
      <c r="TH62" s="133">
        <f t="shared" si="744"/>
        <v>1353825</v>
      </c>
      <c r="TI62" s="151">
        <f t="shared" si="745"/>
        <v>0.444976505884704</v>
      </c>
      <c r="TJ62" s="134">
        <v>200165</v>
      </c>
      <c r="TK62" s="134">
        <f>200000</f>
        <v>200000</v>
      </c>
      <c r="TL62" s="134">
        <v>300000</v>
      </c>
      <c r="TM62" s="190">
        <f>TH62-SUM(TJ62:TL62)</f>
        <v>653660</v>
      </c>
      <c r="TN62" s="5380">
        <f t="shared" si="746"/>
        <v>0.21484559883042165</v>
      </c>
      <c r="TO62" s="134"/>
      <c r="TP62" s="134"/>
      <c r="TQ62" s="134"/>
      <c r="TR62" s="134"/>
      <c r="TS62" s="133">
        <f t="shared" si="747"/>
        <v>0</v>
      </c>
      <c r="TT62" s="151" t="e">
        <f t="shared" si="748"/>
        <v>#DIV/0!</v>
      </c>
      <c r="TU62" s="134"/>
      <c r="TV62" s="134"/>
      <c r="TW62" s="134"/>
      <c r="TX62" s="190">
        <f>TS62-SUM(TU62:TW62)</f>
        <v>0</v>
      </c>
      <c r="TY62" s="135" t="e">
        <f t="shared" si="749"/>
        <v>#DIV/0!</v>
      </c>
      <c r="TZ62" s="1563"/>
      <c r="UA62" s="134"/>
      <c r="UB62" s="134"/>
      <c r="UC62" s="134"/>
      <c r="UD62" s="133">
        <f t="shared" si="750"/>
        <v>0</v>
      </c>
      <c r="UE62" s="151" t="e">
        <f t="shared" si="751"/>
        <v>#DIV/0!</v>
      </c>
      <c r="UF62" s="134"/>
      <c r="UG62" s="134"/>
      <c r="UH62" s="134"/>
      <c r="UI62" s="190">
        <f t="shared" si="752"/>
        <v>0</v>
      </c>
      <c r="UJ62" s="5380" t="e">
        <f t="shared" si="753"/>
        <v>#DIV/0!</v>
      </c>
      <c r="UK62" s="5376"/>
      <c r="UL62" s="191">
        <f t="shared" si="754"/>
        <v>27577848</v>
      </c>
      <c r="UM62" s="191">
        <f t="shared" si="755"/>
        <v>12102306</v>
      </c>
      <c r="UN62" s="135">
        <f t="shared" si="756"/>
        <v>0.43884156588287815</v>
      </c>
      <c r="UO62" s="191">
        <f t="shared" si="757"/>
        <v>5286317</v>
      </c>
      <c r="UP62" s="5380">
        <f t="shared" si="758"/>
        <v>0.19168707435039892</v>
      </c>
    </row>
    <row r="63" spans="1:581" s="122" customFormat="1" x14ac:dyDescent="0.3">
      <c r="A63" s="5316">
        <v>4</v>
      </c>
      <c r="B63" s="5375" t="s">
        <v>146</v>
      </c>
      <c r="C63" s="578" t="s">
        <v>144</v>
      </c>
      <c r="D63" s="773" t="s">
        <v>142</v>
      </c>
      <c r="E63" s="6278" t="s">
        <v>145</v>
      </c>
      <c r="F63" s="774">
        <v>38</v>
      </c>
      <c r="G63" s="161">
        <v>3892385</v>
      </c>
      <c r="H63" s="161">
        <v>5011698</v>
      </c>
      <c r="I63" s="361">
        <v>1084812</v>
      </c>
      <c r="J63" s="94">
        <f>I63/H63</f>
        <v>0.21645597959015089</v>
      </c>
      <c r="K63" s="770">
        <v>35</v>
      </c>
      <c r="L63" s="161">
        <v>4431720</v>
      </c>
      <c r="M63" s="361">
        <v>5701982</v>
      </c>
      <c r="N63" s="361">
        <v>1270262</v>
      </c>
      <c r="O63" s="158">
        <f>N63/M63</f>
        <v>0.22277551910896948</v>
      </c>
      <c r="P63" s="136">
        <v>42</v>
      </c>
      <c r="Q63" s="161">
        <v>5987559</v>
      </c>
      <c r="R63" s="161">
        <v>6568476</v>
      </c>
      <c r="S63" s="361">
        <v>427483</v>
      </c>
      <c r="T63" s="94">
        <f>S63/R63</f>
        <v>6.5081002046745703E-2</v>
      </c>
      <c r="U63" s="770">
        <v>40</v>
      </c>
      <c r="V63" s="161">
        <v>1676381</v>
      </c>
      <c r="W63" s="361">
        <v>2006626</v>
      </c>
      <c r="X63" s="161">
        <v>0</v>
      </c>
      <c r="Y63" s="759">
        <f>W63-(V63+X63)</f>
        <v>330245</v>
      </c>
      <c r="Z63" s="94">
        <f>Y63/W63</f>
        <v>0.16457725555235506</v>
      </c>
      <c r="AA63" s="774">
        <v>35</v>
      </c>
      <c r="AB63" s="161">
        <v>1556247</v>
      </c>
      <c r="AC63" s="361">
        <v>1908899</v>
      </c>
      <c r="AD63" s="161">
        <v>0</v>
      </c>
      <c r="AE63" s="775">
        <f>AC63-(AB63+AD63)</f>
        <v>352652</v>
      </c>
      <c r="AF63" s="774"/>
      <c r="AG63" s="583">
        <v>40</v>
      </c>
      <c r="AH63" s="584">
        <f>1523346+162500</f>
        <v>1685846</v>
      </c>
      <c r="AI63" s="584">
        <v>2041977</v>
      </c>
      <c r="AJ63" s="584">
        <v>0</v>
      </c>
      <c r="AK63" s="96">
        <f>AI63-(AH63+AJ63)</f>
        <v>356131</v>
      </c>
      <c r="AL63" s="116">
        <f>AK63/AI63</f>
        <v>0.17440500064398376</v>
      </c>
      <c r="AM63" s="585">
        <v>72800</v>
      </c>
      <c r="AN63" s="417">
        <v>97232</v>
      </c>
      <c r="AO63" s="417">
        <v>0</v>
      </c>
      <c r="AP63" s="417">
        <v>95475.060000000012</v>
      </c>
      <c r="AQ63" s="417">
        <f>AK63-AM63-AN63-AO63-AP63</f>
        <v>90623.939999999988</v>
      </c>
      <c r="AR63" s="421">
        <f>AQ63/AI63</f>
        <v>4.4380490083874589E-2</v>
      </c>
      <c r="AS63" s="583">
        <v>40</v>
      </c>
      <c r="AT63" s="760">
        <v>4918474</v>
      </c>
      <c r="AU63" s="761">
        <f>AI63+AC63+W63</f>
        <v>5957502</v>
      </c>
      <c r="AV63" s="761">
        <v>1033692</v>
      </c>
      <c r="AW63" s="116">
        <f>AV63/AU63</f>
        <v>0.17351097825900855</v>
      </c>
      <c r="AX63" s="776">
        <v>40</v>
      </c>
      <c r="AY63" s="587">
        <f t="shared" ref="AY63:BA64" si="767">AT63+Q63+L63+G63</f>
        <v>19230138</v>
      </c>
      <c r="AZ63" s="587">
        <f t="shared" si="767"/>
        <v>23239658</v>
      </c>
      <c r="BA63" s="587">
        <f t="shared" si="767"/>
        <v>3816249</v>
      </c>
      <c r="BB63" s="588">
        <f>BA63/AZ63</f>
        <v>0.16421278660813338</v>
      </c>
      <c r="BC63" s="1514">
        <v>39</v>
      </c>
      <c r="BD63" s="759">
        <v>1776110</v>
      </c>
      <c r="BE63" s="759">
        <v>2197475</v>
      </c>
      <c r="BF63" s="759">
        <v>10275</v>
      </c>
      <c r="BG63" s="775">
        <f>BE63-(BD63+BF63)</f>
        <v>411090</v>
      </c>
      <c r="BH63" s="736">
        <f>BG63/BE63</f>
        <v>0.18707380061206613</v>
      </c>
      <c r="BI63" s="1514">
        <v>39</v>
      </c>
      <c r="BJ63" s="759">
        <v>1607901</v>
      </c>
      <c r="BK63" s="759">
        <v>1980816</v>
      </c>
      <c r="BL63" s="759"/>
      <c r="BM63" s="775">
        <f>BK63-(BJ63+BL63)</f>
        <v>372915</v>
      </c>
      <c r="BN63" s="736">
        <f>BM63/BK63</f>
        <v>0.1882633217825381</v>
      </c>
      <c r="BO63" s="777">
        <v>40</v>
      </c>
      <c r="BP63" s="759">
        <v>1706860</v>
      </c>
      <c r="BQ63" s="759">
        <v>1963307</v>
      </c>
      <c r="BR63" s="759"/>
      <c r="BS63" s="775">
        <f>BQ63-(BP63+BR63)</f>
        <v>256447</v>
      </c>
      <c r="BT63" s="239">
        <f>BS63/BQ63</f>
        <v>0.13061991833167202</v>
      </c>
      <c r="BU63" s="689">
        <v>40</v>
      </c>
      <c r="BV63" s="592">
        <f>BQ63+BK63+BE63</f>
        <v>6141598</v>
      </c>
      <c r="BW63" s="592">
        <f>BS63+BM63+BG63</f>
        <v>1040452</v>
      </c>
      <c r="BX63" s="593">
        <f>BW63/BV63</f>
        <v>0.16941063221656644</v>
      </c>
      <c r="BY63" s="654">
        <v>38</v>
      </c>
      <c r="BZ63" s="650">
        <v>1438971</v>
      </c>
      <c r="CA63" s="650">
        <v>1784404</v>
      </c>
      <c r="CB63" s="671"/>
      <c r="CC63" s="596">
        <f>CA63-(BZ63+CB63)</f>
        <v>345433</v>
      </c>
      <c r="CD63" s="597">
        <f>CC63/CA63</f>
        <v>0.19358452458075637</v>
      </c>
      <c r="CE63" s="670">
        <v>74140</v>
      </c>
      <c r="CF63" s="671">
        <v>135753</v>
      </c>
      <c r="CG63" s="671"/>
      <c r="CH63" s="671">
        <v>143104.11111111112</v>
      </c>
      <c r="CI63" s="599">
        <f>CC63-CE63-CF63-CG63-CH63</f>
        <v>-7564.111111111124</v>
      </c>
      <c r="CJ63" s="597">
        <f>CI63/CA63</f>
        <v>-4.2390126401370565E-3</v>
      </c>
      <c r="CK63" s="600">
        <v>37</v>
      </c>
      <c r="CL63" s="601">
        <v>1399315</v>
      </c>
      <c r="CM63" s="601">
        <v>1672042</v>
      </c>
      <c r="CN63" s="778">
        <v>4238</v>
      </c>
      <c r="CO63" s="360">
        <f>CM63-(CL63+CN63)</f>
        <v>268489</v>
      </c>
      <c r="CP63" s="602">
        <f>CO63/CM63</f>
        <v>0.16057551185915186</v>
      </c>
      <c r="CQ63" s="779">
        <v>0</v>
      </c>
      <c r="CR63" s="778">
        <v>70250</v>
      </c>
      <c r="CS63" s="778"/>
      <c r="CT63" s="1839"/>
      <c r="CU63" s="603">
        <f>CO63-CQ63-CR63-CS63-CT63</f>
        <v>198239</v>
      </c>
      <c r="CV63" s="604">
        <f>CU63/CM63</f>
        <v>0.11856101700794597</v>
      </c>
      <c r="CW63" s="129">
        <v>37</v>
      </c>
      <c r="CX63" s="130">
        <v>1411359</v>
      </c>
      <c r="CY63" s="130">
        <v>1669363</v>
      </c>
      <c r="CZ63" s="130"/>
      <c r="DA63" s="605">
        <f>CY63-(CX63+CZ63)</f>
        <v>258004</v>
      </c>
      <c r="DB63" s="114">
        <f>DA63/CY63</f>
        <v>0.15455236518360596</v>
      </c>
      <c r="DC63" s="129">
        <f>26140*2</f>
        <v>52280</v>
      </c>
      <c r="DD63" s="130">
        <v>106427</v>
      </c>
      <c r="DE63" s="130"/>
      <c r="DF63" s="130">
        <v>113315.85681818183</v>
      </c>
      <c r="DG63" s="128">
        <f>DA63-DC63-DD63-DE63-DF63</f>
        <v>-14018.856818181826</v>
      </c>
      <c r="DH63" s="169">
        <f>DG63/CY63</f>
        <v>-8.3977282461524701E-3</v>
      </c>
      <c r="DI63" s="204">
        <f>(BY63+CK63+CW63)/3</f>
        <v>37.333333333333336</v>
      </c>
      <c r="DJ63" s="202">
        <f>CA63+CM63+CY63</f>
        <v>5125809</v>
      </c>
      <c r="DK63" s="202">
        <f>CC63+CO63+DA63</f>
        <v>871926</v>
      </c>
      <c r="DL63" s="119">
        <f>DK63/DJ63</f>
        <v>0.17010505073443041</v>
      </c>
      <c r="DM63" s="202">
        <f>CI63+CU63+DG63</f>
        <v>176656.03207070706</v>
      </c>
      <c r="DN63" s="119">
        <f>DM63/DJ63</f>
        <v>3.446402939920451E-2</v>
      </c>
      <c r="DO63" s="607">
        <f t="shared" ref="DO63:DQ64" si="768">CW63-AG63</f>
        <v>-3</v>
      </c>
      <c r="DP63" s="137">
        <f t="shared" si="768"/>
        <v>-274487</v>
      </c>
      <c r="DQ63" s="137">
        <f t="shared" si="768"/>
        <v>-372614</v>
      </c>
      <c r="DR63" s="137">
        <f>DA63-AK63</f>
        <v>-98127</v>
      </c>
      <c r="DS63" s="135">
        <f>DO63/AG63</f>
        <v>-7.4999999999999997E-2</v>
      </c>
      <c r="DT63" s="135">
        <f>DP63/AI63</f>
        <v>-0.13442218007352677</v>
      </c>
      <c r="DU63" s="135">
        <f>DQ63/AK63</f>
        <v>-1.0462835304986087</v>
      </c>
      <c r="DV63" s="151">
        <f>DR63/AQ63</f>
        <v>-1.0827933546036512</v>
      </c>
      <c r="DW63" s="607">
        <f>CW63-CK63</f>
        <v>0</v>
      </c>
      <c r="DX63" s="780">
        <f>CY63-CM63</f>
        <v>-2679</v>
      </c>
      <c r="DY63" s="780">
        <f>DA63-CO63</f>
        <v>-10485</v>
      </c>
      <c r="DZ63" s="780">
        <f>DG63-CU63</f>
        <v>-212257.85681818181</v>
      </c>
      <c r="EA63" s="135">
        <f>DW63/CK63</f>
        <v>0</v>
      </c>
      <c r="EB63" s="135">
        <f>DX63/CM63</f>
        <v>-1.6022324798061292E-3</v>
      </c>
      <c r="EC63" s="135">
        <f>DY63/CO63</f>
        <v>-3.9051879220377742E-2</v>
      </c>
      <c r="ED63" s="151">
        <f>DZ63/CU63</f>
        <v>-1.0707169468075495</v>
      </c>
      <c r="EE63" s="129">
        <v>39</v>
      </c>
      <c r="EF63" s="130">
        <v>1444514</v>
      </c>
      <c r="EG63" s="130">
        <v>1725661</v>
      </c>
      <c r="EH63" s="130">
        <v>0</v>
      </c>
      <c r="EI63" s="605">
        <f>EG63-(EF63+EH63)</f>
        <v>281147</v>
      </c>
      <c r="EJ63" s="114">
        <f>EI63/EG63</f>
        <v>0.16292133854795351</v>
      </c>
      <c r="EK63" s="129">
        <v>140363</v>
      </c>
      <c r="EL63" s="130">
        <v>0</v>
      </c>
      <c r="EM63" s="130"/>
      <c r="EN63" s="130">
        <v>137930.09027777778</v>
      </c>
      <c r="EO63" s="128">
        <f>EI63-EK63-EL63-EM63-EN63</f>
        <v>2853.909722222219</v>
      </c>
      <c r="EP63" s="114">
        <f>EO63/EG63</f>
        <v>1.6538066991270122E-3</v>
      </c>
      <c r="EQ63" s="129">
        <v>39</v>
      </c>
      <c r="ER63" s="130">
        <v>1468091</v>
      </c>
      <c r="ES63" s="130">
        <v>1781500</v>
      </c>
      <c r="ET63" s="130">
        <v>0</v>
      </c>
      <c r="EU63" s="134">
        <f>ES63-(ER63+ET63)</f>
        <v>313409</v>
      </c>
      <c r="EV63" s="114">
        <f>EU63/ES63</f>
        <v>0.17592422116194217</v>
      </c>
      <c r="EW63" s="129">
        <v>58333</v>
      </c>
      <c r="EX63" s="130">
        <v>144936.7340909091</v>
      </c>
      <c r="EY63" s="130"/>
      <c r="EZ63" s="130">
        <v>0</v>
      </c>
      <c r="FA63" s="128">
        <f>EU63-EW63-EX63-EY63-EZ63</f>
        <v>110139.2659090909</v>
      </c>
      <c r="FB63" s="114">
        <f>FA63/ES63</f>
        <v>6.1823893297272468E-2</v>
      </c>
      <c r="FC63" s="609">
        <f>EQ63-AG63</f>
        <v>-1</v>
      </c>
      <c r="FD63" s="610">
        <f>ES63-AI63</f>
        <v>-260477</v>
      </c>
      <c r="FE63" s="610">
        <f>EU63-AK63</f>
        <v>-42722</v>
      </c>
      <c r="FF63" s="610">
        <f>FA63-AQ63</f>
        <v>19515.325909090912</v>
      </c>
      <c r="FG63" s="611">
        <f>FC63/AG63</f>
        <v>-2.5000000000000001E-2</v>
      </c>
      <c r="FH63" s="611">
        <f>FD63/AI63</f>
        <v>-0.12756118212888784</v>
      </c>
      <c r="FI63" s="611">
        <f>FE63/AK63</f>
        <v>-0.11996147485054656</v>
      </c>
      <c r="FJ63" s="612">
        <f>FF63/AQ63</f>
        <v>0.2153440460555005</v>
      </c>
      <c r="FK63" s="133">
        <v>38</v>
      </c>
      <c r="FL63" s="134">
        <v>1198273</v>
      </c>
      <c r="FM63" s="134">
        <v>1469056</v>
      </c>
      <c r="FN63" s="759">
        <v>147961</v>
      </c>
      <c r="FO63" s="134">
        <f>FM63-(FL63+FN63)</f>
        <v>122822</v>
      </c>
      <c r="FP63" s="135">
        <f>FO63/FM63</f>
        <v>8.3606070837326824E-2</v>
      </c>
      <c r="FQ63" s="133">
        <v>50000</v>
      </c>
      <c r="FR63" s="134"/>
      <c r="FS63" s="759"/>
      <c r="FT63" s="191">
        <f>FO63-SUM(FQ63:FS63)</f>
        <v>72822</v>
      </c>
      <c r="FU63" s="151">
        <f>FT63/FM63</f>
        <v>4.9570608608521388E-2</v>
      </c>
      <c r="FV63" s="190">
        <f t="shared" ref="FV63:FX64" si="769">FK63-AG63</f>
        <v>-2</v>
      </c>
      <c r="FW63" s="191">
        <f t="shared" si="769"/>
        <v>-487573</v>
      </c>
      <c r="FX63" s="191">
        <f t="shared" si="769"/>
        <v>-572921</v>
      </c>
      <c r="FY63" s="191">
        <f>FO63-AK63</f>
        <v>-233309</v>
      </c>
      <c r="FZ63" s="191">
        <f>FT63-AQ63</f>
        <v>-17801.939999999988</v>
      </c>
      <c r="GA63" s="135">
        <f>FV63/AG63</f>
        <v>-0.05</v>
      </c>
      <c r="GB63" s="135">
        <f>FX63/AI63</f>
        <v>-0.28057172044543105</v>
      </c>
      <c r="GC63" s="135">
        <f>FY63/AK63</f>
        <v>-0.65512128963780181</v>
      </c>
      <c r="GD63" s="151">
        <f>FZ63/AQ63</f>
        <v>-0.19643749764135163</v>
      </c>
      <c r="GE63" s="187">
        <f>(EE63+EQ63+FK63)/3</f>
        <v>38.666666666666664</v>
      </c>
      <c r="GF63" s="155">
        <f>EG63+ES63+FM63</f>
        <v>4976217</v>
      </c>
      <c r="GG63" s="155">
        <f>EI63+EU63+FO63</f>
        <v>717378</v>
      </c>
      <c r="GH63" s="74">
        <f>GG63/GF63</f>
        <v>0.14416131772388543</v>
      </c>
      <c r="GI63" s="613">
        <f>EO63+FA63+FT63</f>
        <v>185815.17563131312</v>
      </c>
      <c r="GJ63" s="187">
        <f t="shared" ref="GJ63:GL64" si="770">GE63-DI63</f>
        <v>1.3333333333333286</v>
      </c>
      <c r="GK63" s="155">
        <f t="shared" si="770"/>
        <v>-149592</v>
      </c>
      <c r="GL63" s="155">
        <f t="shared" si="770"/>
        <v>-154548</v>
      </c>
      <c r="GM63" s="613">
        <f>GI63-DM63</f>
        <v>9159.143560606055</v>
      </c>
      <c r="GN63" s="133">
        <v>37</v>
      </c>
      <c r="GO63" s="134">
        <v>1170320</v>
      </c>
      <c r="GP63" s="134">
        <v>1447899</v>
      </c>
      <c r="GQ63" s="134">
        <v>3141</v>
      </c>
      <c r="GR63" s="134">
        <f>GP63-(GO63+GQ63)</f>
        <v>274438</v>
      </c>
      <c r="GS63" s="135">
        <f>GR63/GP63</f>
        <v>0.18954222635694892</v>
      </c>
      <c r="GT63" s="133">
        <v>60833</v>
      </c>
      <c r="GU63" s="134">
        <v>50000</v>
      </c>
      <c r="GV63" s="134">
        <v>0</v>
      </c>
      <c r="GW63" s="134">
        <v>100000</v>
      </c>
      <c r="GX63" s="190">
        <f>GR63-SUM(GT63:GW63)</f>
        <v>63605</v>
      </c>
      <c r="GY63" s="151">
        <f>GX63/GP63</f>
        <v>4.3929169092595546E-2</v>
      </c>
      <c r="GZ63" s="129">
        <v>37</v>
      </c>
      <c r="HA63" s="130">
        <v>1151192</v>
      </c>
      <c r="HB63" s="130">
        <v>1427630</v>
      </c>
      <c r="HC63" s="130">
        <v>2058</v>
      </c>
      <c r="HD63" s="134">
        <f>HB63-(HA63+HC63)</f>
        <v>274380</v>
      </c>
      <c r="HE63" s="151">
        <f>HD63/HB63</f>
        <v>0.19219265495961838</v>
      </c>
      <c r="HF63" s="138">
        <v>113333</v>
      </c>
      <c r="HG63" s="130">
        <v>148707</v>
      </c>
      <c r="HH63" s="130"/>
      <c r="HI63" s="130">
        <v>0</v>
      </c>
      <c r="HJ63" s="197">
        <f>HD63-SUM(HF63:HI63)</f>
        <v>12340</v>
      </c>
      <c r="HK63" s="201">
        <f>HJ63/HB63</f>
        <v>8.6436961957930269E-3</v>
      </c>
      <c r="HL63" s="133">
        <v>37</v>
      </c>
      <c r="HM63" s="134">
        <v>1162705</v>
      </c>
      <c r="HN63" s="134">
        <v>1468897</v>
      </c>
      <c r="HO63" s="134"/>
      <c r="HP63" s="615">
        <f>HN63-(HM63+HO63)</f>
        <v>306192</v>
      </c>
      <c r="HQ63" s="151">
        <f>HP63/HN63</f>
        <v>0.20845028616710362</v>
      </c>
      <c r="HR63" s="134">
        <v>25000</v>
      </c>
      <c r="HS63" s="134">
        <v>200000</v>
      </c>
      <c r="HT63" s="134"/>
      <c r="HU63" s="134"/>
      <c r="HV63" s="191">
        <f>HP63-SUM(HR63:HU63)</f>
        <v>81192</v>
      </c>
      <c r="HW63" s="151">
        <f>HV63/HN63</f>
        <v>5.5274127457541268E-2</v>
      </c>
      <c r="HX63" s="414">
        <v>37</v>
      </c>
      <c r="HY63" s="241">
        <f>HN63+HB63+GP63</f>
        <v>4344426</v>
      </c>
      <c r="HZ63" s="415">
        <f>HP63+HD63+GR63</f>
        <v>855010</v>
      </c>
      <c r="IA63" s="135">
        <f>HZ63/HY63</f>
        <v>0.19680620638952073</v>
      </c>
      <c r="IB63" s="415">
        <f>HV63+HJ63+GX63</f>
        <v>157137</v>
      </c>
      <c r="IC63" s="141"/>
      <c r="ID63" s="642">
        <v>37</v>
      </c>
      <c r="IE63" s="141">
        <f>HY63+GF63+DJ63+BV63+155206</f>
        <v>20743256</v>
      </c>
      <c r="IF63" s="141">
        <f>HZ63+GG63+DK63+BW63+83276</f>
        <v>3568042</v>
      </c>
      <c r="IG63" s="74">
        <f>IF63/IE63</f>
        <v>0.17200973656209034</v>
      </c>
      <c r="IH63" s="1507"/>
      <c r="II63" s="69"/>
      <c r="IJ63" s="133">
        <v>37</v>
      </c>
      <c r="IK63" s="134">
        <v>1162790</v>
      </c>
      <c r="IL63" s="134">
        <v>1464590</v>
      </c>
      <c r="IM63" s="134">
        <v>0</v>
      </c>
      <c r="IN63" s="133">
        <f>IL63-(IK63+IM63)</f>
        <v>301800</v>
      </c>
      <c r="IO63" s="151">
        <f>IN63/IL63</f>
        <v>0.20606449586573716</v>
      </c>
      <c r="IP63" s="134">
        <v>66666</v>
      </c>
      <c r="IQ63" s="134">
        <v>100000</v>
      </c>
      <c r="IR63" s="134">
        <v>100000</v>
      </c>
      <c r="IS63" s="190">
        <f>IN63-SUM(IP63:IR63)</f>
        <v>35134</v>
      </c>
      <c r="IT63" s="151">
        <f>IS63/IL63</f>
        <v>2.3988966195317461E-2</v>
      </c>
      <c r="IU63" s="770">
        <v>37</v>
      </c>
      <c r="IV63" s="358">
        <v>1164944</v>
      </c>
      <c r="IW63" s="358">
        <v>1468225</v>
      </c>
      <c r="IX63" s="134">
        <v>0</v>
      </c>
      <c r="IY63" s="133">
        <f>IW63-(IV63+IX63)</f>
        <v>303281</v>
      </c>
      <c r="IZ63" s="151">
        <f>IY63/IW63</f>
        <v>0.20656302678404195</v>
      </c>
      <c r="JA63" s="134">
        <v>66666</v>
      </c>
      <c r="JB63" s="134">
        <v>50000</v>
      </c>
      <c r="JC63" s="134">
        <v>100000</v>
      </c>
      <c r="JD63" s="190">
        <f>IY63-SUM(JA63:JC63)</f>
        <v>86615</v>
      </c>
      <c r="JE63" s="151">
        <f>JD63/IW63</f>
        <v>5.8993001753818386E-2</v>
      </c>
      <c r="JF63" s="770">
        <v>37</v>
      </c>
      <c r="JG63" s="358">
        <v>1168320</v>
      </c>
      <c r="JH63" s="358">
        <v>1471643</v>
      </c>
      <c r="JI63" s="358">
        <v>0</v>
      </c>
      <c r="JJ63" s="133">
        <f>JH63-(JG63+JI63)</f>
        <v>303323</v>
      </c>
      <c r="JK63" s="151">
        <f>JJ63/JH63</f>
        <v>0.20611180836656717</v>
      </c>
      <c r="JL63" s="134">
        <v>133390</v>
      </c>
      <c r="JM63" s="134">
        <v>133362.60000000009</v>
      </c>
      <c r="JN63" s="134">
        <v>0</v>
      </c>
      <c r="JO63" s="190">
        <f>JJ63-SUM(JL63:JN63)</f>
        <v>36570.399999999907</v>
      </c>
      <c r="JP63" s="151">
        <f>JO63/JH63</f>
        <v>2.485004855117709E-2</v>
      </c>
      <c r="JQ63" s="770">
        <v>37</v>
      </c>
      <c r="JR63" s="191">
        <f t="shared" si="695"/>
        <v>4404458</v>
      </c>
      <c r="JS63" s="191">
        <f>JJ63+IY63+IN63</f>
        <v>908404</v>
      </c>
      <c r="JT63" s="151">
        <f>JS63/JR63</f>
        <v>0.20624648935237888</v>
      </c>
      <c r="JU63" s="770">
        <v>39</v>
      </c>
      <c r="JV63" s="358">
        <v>1421319</v>
      </c>
      <c r="JW63" s="358">
        <v>1637428</v>
      </c>
      <c r="JX63" s="358">
        <v>0</v>
      </c>
      <c r="JY63" s="133">
        <f>JW63-(JV63+JX63)</f>
        <v>216109</v>
      </c>
      <c r="JZ63" s="151">
        <f>JY63/JW63</f>
        <v>0.1319807649557721</v>
      </c>
      <c r="KA63" s="134">
        <v>66430</v>
      </c>
      <c r="KB63" s="134">
        <v>53497</v>
      </c>
      <c r="KC63" s="134">
        <v>50000</v>
      </c>
      <c r="KD63" s="190">
        <f>JY63-SUM(KA63:KC63)</f>
        <v>46182</v>
      </c>
      <c r="KE63" s="151">
        <f>KD63/JW63</f>
        <v>2.8203988205893635E-2</v>
      </c>
      <c r="KF63" s="770">
        <v>40</v>
      </c>
      <c r="KG63" s="358">
        <v>1403546</v>
      </c>
      <c r="KH63" s="358">
        <v>2336686</v>
      </c>
      <c r="KI63" s="358">
        <v>0</v>
      </c>
      <c r="KJ63" s="133">
        <f>KH63-(KG63+KI63)</f>
        <v>933140</v>
      </c>
      <c r="KK63" s="151">
        <f>KJ63/KH63</f>
        <v>0.39934334352155149</v>
      </c>
      <c r="KL63" s="134">
        <v>201667</v>
      </c>
      <c r="KM63" s="134">
        <v>415245</v>
      </c>
      <c r="KN63" s="134">
        <v>200000</v>
      </c>
      <c r="KO63" s="190">
        <f>KJ63-SUM(KL63:KN63)</f>
        <v>116228</v>
      </c>
      <c r="KP63" s="151">
        <f>KO63/KH63</f>
        <v>4.9740529964231395E-2</v>
      </c>
      <c r="KQ63" s="770">
        <v>38</v>
      </c>
      <c r="KR63" s="358">
        <v>1325436</v>
      </c>
      <c r="KS63" s="358">
        <v>2284718</v>
      </c>
      <c r="KT63" s="358">
        <v>3401</v>
      </c>
      <c r="KU63" s="133">
        <f>KS63-(KR63+KT63)</f>
        <v>955881</v>
      </c>
      <c r="KV63" s="151">
        <f>KU63/KS63</f>
        <v>0.41838029901283219</v>
      </c>
      <c r="KW63" s="134">
        <v>201667</v>
      </c>
      <c r="KX63" s="134">
        <v>572263</v>
      </c>
      <c r="KY63" s="134">
        <v>100000</v>
      </c>
      <c r="KZ63" s="190">
        <f>KU63-SUM(KW63:KY63)</f>
        <v>81951</v>
      </c>
      <c r="LA63" s="151">
        <f>KZ63/KS63</f>
        <v>3.5869196986236376E-2</v>
      </c>
      <c r="LB63" s="402">
        <v>38</v>
      </c>
      <c r="LC63" s="191">
        <f>KS63+KH63+JW63</f>
        <v>6258832</v>
      </c>
      <c r="LD63" s="191">
        <f>KU63+KJ63+JY63</f>
        <v>2105130</v>
      </c>
      <c r="LE63" s="151">
        <f>LD63/LC63</f>
        <v>0.33634550344217579</v>
      </c>
      <c r="LF63" s="226">
        <f t="shared" ref="LF63:LH64" si="771">LB63-JQ63</f>
        <v>1</v>
      </c>
      <c r="LG63" s="128">
        <f t="shared" si="771"/>
        <v>1854374</v>
      </c>
      <c r="LH63" s="139">
        <f t="shared" si="771"/>
        <v>1196726</v>
      </c>
      <c r="LI63" s="442">
        <f t="shared" ref="LI63:LK64" si="772">LF63/JQ63</f>
        <v>2.7027027027027029E-2</v>
      </c>
      <c r="LJ63" s="442">
        <f t="shared" si="772"/>
        <v>0.42102206446286922</v>
      </c>
      <c r="LK63" s="106">
        <f t="shared" si="772"/>
        <v>1.3173940229237211</v>
      </c>
      <c r="LL63" s="583">
        <v>40</v>
      </c>
      <c r="LM63" s="395">
        <v>1341311</v>
      </c>
      <c r="LN63" s="772">
        <v>2240274</v>
      </c>
      <c r="LO63" s="358">
        <v>218567</v>
      </c>
      <c r="LP63" s="133">
        <f>LN63-(LM63+LO63)</f>
        <v>680396</v>
      </c>
      <c r="LQ63" s="151">
        <f>LP63/LN63</f>
        <v>0.30371106391450331</v>
      </c>
      <c r="LR63" s="134">
        <v>107500</v>
      </c>
      <c r="LS63" s="134">
        <v>345174.38550000003</v>
      </c>
      <c r="LT63" s="134">
        <v>100000</v>
      </c>
      <c r="LU63" s="190">
        <f>LP63-SUM(LR63:LT63)</f>
        <v>127721.61449999991</v>
      </c>
      <c r="LV63" s="151">
        <f>LU63/LN63</f>
        <v>5.7011604160919563E-2</v>
      </c>
      <c r="LW63" s="134">
        <v>39</v>
      </c>
      <c r="LX63" s="134">
        <v>1280158</v>
      </c>
      <c r="LY63" s="134">
        <v>1983800</v>
      </c>
      <c r="LZ63" s="134"/>
      <c r="MA63" s="133">
        <f>LY63-(LX63+LZ63)</f>
        <v>703642</v>
      </c>
      <c r="MB63" s="151">
        <f>MA63/LY63</f>
        <v>0.35469402157475555</v>
      </c>
      <c r="MC63" s="134">
        <v>292813</v>
      </c>
      <c r="MD63" s="134">
        <v>100000</v>
      </c>
      <c r="ME63" s="134">
        <v>100000</v>
      </c>
      <c r="MF63" s="190">
        <f>MA63-SUM(MC63:ME63)</f>
        <v>210829</v>
      </c>
      <c r="MG63" s="151">
        <f>MF63/LY63</f>
        <v>0.10627533017441275</v>
      </c>
      <c r="MH63" s="134">
        <v>38</v>
      </c>
      <c r="MI63" s="134">
        <v>1260256</v>
      </c>
      <c r="MJ63" s="134">
        <v>1972862</v>
      </c>
      <c r="MK63" s="134">
        <v>8927</v>
      </c>
      <c r="ML63" s="133">
        <f>MJ63-(MI63+MK63)</f>
        <v>703679</v>
      </c>
      <c r="MM63" s="151">
        <f>ML63/MJ63</f>
        <v>0.35667928116614339</v>
      </c>
      <c r="MN63" s="134">
        <v>0</v>
      </c>
      <c r="MO63" s="134">
        <v>300000</v>
      </c>
      <c r="MP63" s="134">
        <v>100000</v>
      </c>
      <c r="MQ63" s="190">
        <f>ML63-SUM(MN63:MP63)</f>
        <v>303679</v>
      </c>
      <c r="MR63" s="151">
        <f>MQ63/MJ63</f>
        <v>0.15392815108203209</v>
      </c>
      <c r="MS63" s="1472">
        <v>38</v>
      </c>
      <c r="MT63" s="118">
        <f>MJ63+LY63+LN63</f>
        <v>6196936</v>
      </c>
      <c r="MU63" s="118">
        <f>ML63+MA63+LP63</f>
        <v>2087717</v>
      </c>
      <c r="MV63" s="135">
        <f>MU63/MT63</f>
        <v>0.33689503974222101</v>
      </c>
      <c r="MW63" s="133">
        <f t="shared" ref="MW63:MY64" si="773">MS63-LB63</f>
        <v>0</v>
      </c>
      <c r="MX63" s="134">
        <f t="shared" si="773"/>
        <v>-61896</v>
      </c>
      <c r="MY63" s="134">
        <f t="shared" si="773"/>
        <v>-17413</v>
      </c>
      <c r="MZ63" s="135">
        <f t="shared" ref="MZ63:NB64" si="774">MW63/LB63</f>
        <v>0</v>
      </c>
      <c r="NA63" s="135">
        <f t="shared" si="774"/>
        <v>-9.8893851121103753E-3</v>
      </c>
      <c r="NB63" s="151">
        <f t="shared" si="774"/>
        <v>-8.2716981849101957E-3</v>
      </c>
      <c r="NC63" s="134">
        <v>37</v>
      </c>
      <c r="ND63" s="134">
        <v>1243026</v>
      </c>
      <c r="NE63" s="134">
        <v>1972862</v>
      </c>
      <c r="NF63" s="134"/>
      <c r="NG63" s="133">
        <f>NE63-(ND63+NF63)</f>
        <v>729836</v>
      </c>
      <c r="NH63" s="151">
        <f>NG63/NE63</f>
        <v>0.36993768444016867</v>
      </c>
      <c r="NI63" s="134">
        <v>47000</v>
      </c>
      <c r="NJ63" s="134">
        <v>200000</v>
      </c>
      <c r="NK63" s="134">
        <v>100000</v>
      </c>
      <c r="NL63" s="190">
        <f>NG63-SUM(NI63:NK63)</f>
        <v>382836</v>
      </c>
      <c r="NM63" s="135">
        <f>NL63/NE63</f>
        <v>0.19405107909220209</v>
      </c>
      <c r="NN63" s="1563">
        <v>38</v>
      </c>
      <c r="NO63" s="134">
        <v>1241176</v>
      </c>
      <c r="NP63" s="134">
        <v>1983800</v>
      </c>
      <c r="NQ63" s="134">
        <v>0</v>
      </c>
      <c r="NR63" s="133">
        <f>NP63-(NO63+NQ63)</f>
        <v>742624</v>
      </c>
      <c r="NS63" s="151">
        <f>NR63/NP63</f>
        <v>0.37434418792216956</v>
      </c>
      <c r="NT63" s="134">
        <v>47000</v>
      </c>
      <c r="NU63" s="134">
        <v>200000</v>
      </c>
      <c r="NV63" s="134">
        <v>100000</v>
      </c>
      <c r="NW63" s="190">
        <f>NR63-SUM(NT63:NV63)</f>
        <v>395624</v>
      </c>
      <c r="NX63" s="135">
        <f>NW63/NP63</f>
        <v>0.1994273616291965</v>
      </c>
      <c r="NY63" s="1563">
        <v>19</v>
      </c>
      <c r="NZ63" s="134">
        <v>2327219</v>
      </c>
      <c r="OA63" s="134">
        <v>3921792</v>
      </c>
      <c r="OB63" s="134">
        <v>0</v>
      </c>
      <c r="OC63" s="133">
        <f>OA63-(NZ63+OB63)</f>
        <v>1594573</v>
      </c>
      <c r="OD63" s="151">
        <f>OC63/OA63</f>
        <v>0.4065929554652567</v>
      </c>
      <c r="OE63" s="134">
        <v>47000</v>
      </c>
      <c r="OF63" s="134">
        <v>200000</v>
      </c>
      <c r="OG63" s="134">
        <v>100000</v>
      </c>
      <c r="OH63" s="190">
        <f>OC63-SUM(OE63:OG63)</f>
        <v>1247573</v>
      </c>
      <c r="OI63" s="5380">
        <f>OH63/OA63</f>
        <v>0.31811299528378861</v>
      </c>
      <c r="OJ63" s="1839">
        <v>19</v>
      </c>
      <c r="OK63" s="155">
        <f t="shared" si="540"/>
        <v>24435357</v>
      </c>
      <c r="OL63" s="155">
        <f t="shared" si="541"/>
        <v>7864961</v>
      </c>
      <c r="OM63" s="74">
        <f>OL63/OK63</f>
        <v>0.32186806192354789</v>
      </c>
      <c r="ON63" s="155">
        <f t="shared" si="543"/>
        <v>3034372.6145000001</v>
      </c>
      <c r="OO63" s="1660"/>
      <c r="OP63" s="69"/>
      <c r="OQ63" s="2008">
        <v>41</v>
      </c>
      <c r="OR63" s="208">
        <v>1579742</v>
      </c>
      <c r="OS63" s="208">
        <v>2316921</v>
      </c>
      <c r="OT63" s="3546">
        <v>1756</v>
      </c>
      <c r="OU63" s="133">
        <f>OS63-(OR63+OT63)</f>
        <v>735423</v>
      </c>
      <c r="OV63" s="94">
        <f>OU63/OS63</f>
        <v>0.31741392995272605</v>
      </c>
      <c r="OW63" s="134">
        <f>177167+91448</f>
        <v>268615</v>
      </c>
      <c r="OX63" s="134">
        <v>100000</v>
      </c>
      <c r="OY63" s="134">
        <v>400000</v>
      </c>
      <c r="OZ63" s="190">
        <f>OU63-SUM(OW63:OY63)</f>
        <v>-33192</v>
      </c>
      <c r="PA63" s="5361">
        <f>OZ63/OS63</f>
        <v>-1.4325909256293158E-2</v>
      </c>
      <c r="PB63" s="6289">
        <v>42</v>
      </c>
      <c r="PC63" s="395">
        <v>1746594</v>
      </c>
      <c r="PD63" s="208">
        <v>2601303</v>
      </c>
      <c r="PE63" s="208">
        <v>879</v>
      </c>
      <c r="PF63" s="133">
        <f t="shared" si="717"/>
        <v>853830</v>
      </c>
      <c r="PG63" s="94">
        <f t="shared" si="718"/>
        <v>0.32823165928767239</v>
      </c>
      <c r="PH63" s="134">
        <v>132500</v>
      </c>
      <c r="PI63" s="134">
        <v>50000</v>
      </c>
      <c r="PJ63" s="134">
        <v>100000</v>
      </c>
      <c r="PK63" s="190">
        <f t="shared" si="763"/>
        <v>571330</v>
      </c>
      <c r="PL63" s="135">
        <f t="shared" si="764"/>
        <v>0.21963223815141872</v>
      </c>
      <c r="PM63" s="5391">
        <v>40</v>
      </c>
      <c r="PN63" s="358">
        <v>1483718</v>
      </c>
      <c r="PO63" s="358">
        <v>2129206</v>
      </c>
      <c r="PP63" s="358">
        <v>0</v>
      </c>
      <c r="PQ63" s="6293">
        <f t="shared" si="719"/>
        <v>645488</v>
      </c>
      <c r="PR63" s="6295">
        <f t="shared" si="720"/>
        <v>0.30315901796256445</v>
      </c>
      <c r="PS63" s="134">
        <v>50000</v>
      </c>
      <c r="PT63" s="134">
        <v>133362.60000000009</v>
      </c>
      <c r="PU63" s="134">
        <v>50000</v>
      </c>
      <c r="PV63" s="190">
        <f t="shared" si="721"/>
        <v>412125.39999999991</v>
      </c>
      <c r="PW63" s="5380">
        <f t="shared" si="722"/>
        <v>0.19355825598838247</v>
      </c>
      <c r="PX63" s="774">
        <v>40</v>
      </c>
      <c r="PY63" s="191">
        <f t="shared" si="696"/>
        <v>7047430</v>
      </c>
      <c r="PZ63" s="191">
        <f t="shared" si="723"/>
        <v>2234741</v>
      </c>
      <c r="QA63" s="135">
        <f t="shared" si="724"/>
        <v>0.31710013437522616</v>
      </c>
      <c r="QB63" s="5390">
        <v>42</v>
      </c>
      <c r="QC63" s="395">
        <v>1527295</v>
      </c>
      <c r="QD63" s="395">
        <v>2244436</v>
      </c>
      <c r="QE63" s="772">
        <v>8802</v>
      </c>
      <c r="QF63" s="6293">
        <f t="shared" si="725"/>
        <v>708339</v>
      </c>
      <c r="QG63" s="6295">
        <f t="shared" si="726"/>
        <v>0.31559777155597218</v>
      </c>
      <c r="QH63" s="134">
        <v>66430</v>
      </c>
      <c r="QI63" s="134">
        <v>15000</v>
      </c>
      <c r="QJ63" s="134">
        <v>50000</v>
      </c>
      <c r="QK63" s="190">
        <f t="shared" si="765"/>
        <v>576909</v>
      </c>
      <c r="QL63" s="5380">
        <f t="shared" si="766"/>
        <v>0.25703963044613437</v>
      </c>
      <c r="QM63" s="5398">
        <v>44</v>
      </c>
      <c r="QN63" s="395">
        <v>1801395</v>
      </c>
      <c r="QO63" s="395">
        <v>2667918</v>
      </c>
      <c r="QP63" s="395">
        <v>0</v>
      </c>
      <c r="QQ63" s="133">
        <f t="shared" si="727"/>
        <v>866523</v>
      </c>
      <c r="QR63" s="151">
        <f t="shared" si="728"/>
        <v>0.32479371554897862</v>
      </c>
      <c r="QS63" s="134">
        <v>66430</v>
      </c>
      <c r="QT63" s="134">
        <v>100000</v>
      </c>
      <c r="QU63" s="134">
        <v>250000</v>
      </c>
      <c r="QV63" s="190">
        <f t="shared" si="729"/>
        <v>450093</v>
      </c>
      <c r="QW63" s="5380">
        <f t="shared" si="730"/>
        <v>0.16870570984565492</v>
      </c>
      <c r="QX63" s="5391">
        <v>57</v>
      </c>
      <c r="QY63" s="358">
        <v>2166410</v>
      </c>
      <c r="QZ63" s="358">
        <v>2708265</v>
      </c>
      <c r="RA63" s="358">
        <v>0</v>
      </c>
      <c r="RB63" s="133">
        <f t="shared" si="731"/>
        <v>541855</v>
      </c>
      <c r="RC63" s="151">
        <f t="shared" si="732"/>
        <v>0.20007458649725932</v>
      </c>
      <c r="RD63" s="134">
        <v>66430</v>
      </c>
      <c r="RE63" s="134">
        <v>100000</v>
      </c>
      <c r="RF63" s="134">
        <v>250000</v>
      </c>
      <c r="RG63" s="190">
        <f t="shared" si="733"/>
        <v>125425</v>
      </c>
      <c r="RH63" s="5380">
        <f t="shared" si="734"/>
        <v>4.6311937716582388E-2</v>
      </c>
      <c r="RI63" s="5376"/>
      <c r="RJ63" s="191">
        <f t="shared" si="735"/>
        <v>7620619</v>
      </c>
      <c r="RK63" s="191">
        <f t="shared" si="736"/>
        <v>2116717</v>
      </c>
      <c r="RL63" s="5380">
        <f t="shared" si="737"/>
        <v>0.27776181961071666</v>
      </c>
      <c r="RM63" s="1562">
        <f t="shared" ref="RM63:RO64" si="775">RI63-PX63</f>
        <v>-40</v>
      </c>
      <c r="RN63" s="128">
        <f t="shared" si="775"/>
        <v>573189</v>
      </c>
      <c r="RO63" s="139">
        <f t="shared" si="775"/>
        <v>-118024</v>
      </c>
      <c r="RP63" s="442">
        <f t="shared" si="739"/>
        <v>-1</v>
      </c>
      <c r="RQ63" s="442">
        <f t="shared" si="739"/>
        <v>8.1333053325822316E-2</v>
      </c>
      <c r="RR63" s="6339">
        <f t="shared" si="739"/>
        <v>-5.281327903323025E-2</v>
      </c>
      <c r="RS63" s="6289">
        <v>61</v>
      </c>
      <c r="RT63" s="208">
        <v>2751947</v>
      </c>
      <c r="RU63" s="395">
        <v>3453974</v>
      </c>
      <c r="RV63" s="2563">
        <v>0</v>
      </c>
      <c r="RW63" s="133">
        <f t="shared" si="740"/>
        <v>702027</v>
      </c>
      <c r="RX63" s="151">
        <f t="shared" si="741"/>
        <v>0.20325196425914033</v>
      </c>
      <c r="RY63" s="134">
        <v>66430</v>
      </c>
      <c r="RZ63" s="134">
        <v>100000</v>
      </c>
      <c r="SA63" s="134">
        <v>250000</v>
      </c>
      <c r="SB63" s="190">
        <f t="shared" si="742"/>
        <v>285597</v>
      </c>
      <c r="SC63" s="5380">
        <f t="shared" si="743"/>
        <v>8.268649387632912E-2</v>
      </c>
      <c r="SD63" s="110">
        <v>63</v>
      </c>
      <c r="SE63" s="208">
        <f>2415637+3000</f>
        <v>2418637</v>
      </c>
      <c r="SF63" s="395">
        <v>3320265</v>
      </c>
      <c r="SG63" s="994">
        <v>0</v>
      </c>
      <c r="SH63" s="6361">
        <f>SF63-(SE63+SG63)</f>
        <v>901628</v>
      </c>
      <c r="SI63" s="6363">
        <f>SH63/SF63</f>
        <v>0.27155302362913802</v>
      </c>
      <c r="SJ63" s="134">
        <v>66430</v>
      </c>
      <c r="SK63" s="134">
        <v>200000</v>
      </c>
      <c r="SL63" s="134">
        <v>350000</v>
      </c>
      <c r="SM63" s="190">
        <f>SH63-SUM(SJ63:SL63)</f>
        <v>285198</v>
      </c>
      <c r="SN63" s="5380">
        <f>SM63/SF63</f>
        <v>8.5896155879124109E-2</v>
      </c>
      <c r="SO63" s="134">
        <v>63</v>
      </c>
      <c r="SP63" s="134">
        <v>2390428</v>
      </c>
      <c r="SQ63" s="134">
        <v>3218665</v>
      </c>
      <c r="SR63" s="134">
        <v>2675</v>
      </c>
      <c r="SS63" s="6361">
        <f>SQ63-(SP63+SR63)</f>
        <v>825562</v>
      </c>
      <c r="ST63" s="6363">
        <f>SS63/SQ63</f>
        <v>0.25649205493581967</v>
      </c>
      <c r="SU63" s="134">
        <v>66430</v>
      </c>
      <c r="SV63" s="134">
        <v>200000</v>
      </c>
      <c r="SW63" s="134">
        <v>350000</v>
      </c>
      <c r="SX63" s="190">
        <f>SS63-SUM(SU63:SW63)</f>
        <v>209132</v>
      </c>
      <c r="SY63" s="5380">
        <f>SX63/SQ63</f>
        <v>6.4974764382127376E-2</v>
      </c>
      <c r="SZ63" s="6270"/>
      <c r="TA63" s="118">
        <f>SQ63+SF63+RU63</f>
        <v>9992904</v>
      </c>
      <c r="TB63" s="118">
        <f>SS63+SH63+RW63</f>
        <v>2429217</v>
      </c>
      <c r="TC63" s="5380">
        <f>TB63/TA63</f>
        <v>0.24309419964406742</v>
      </c>
      <c r="TD63" s="1563">
        <v>64</v>
      </c>
      <c r="TE63" s="134">
        <v>2433404</v>
      </c>
      <c r="TF63" s="134">
        <v>3601664</v>
      </c>
      <c r="TG63" s="134"/>
      <c r="TH63" s="133">
        <f>TF63-(TE63+TG63)</f>
        <v>1168260</v>
      </c>
      <c r="TI63" s="151">
        <f>TH63/TF63</f>
        <v>0.324366737152605</v>
      </c>
      <c r="TJ63" s="134">
        <v>66430</v>
      </c>
      <c r="TK63" s="134">
        <v>200000</v>
      </c>
      <c r="TL63" s="134">
        <v>350000</v>
      </c>
      <c r="TM63" s="190">
        <f>TH63-SUM(TJ63:TL63)</f>
        <v>551830</v>
      </c>
      <c r="TN63" s="5380">
        <f>TM63/TF63</f>
        <v>0.15321529159854999</v>
      </c>
      <c r="TO63" s="134"/>
      <c r="TP63" s="134"/>
      <c r="TQ63" s="134"/>
      <c r="TR63" s="134"/>
      <c r="TS63" s="133">
        <f>TQ63-(TP63+TR63)</f>
        <v>0</v>
      </c>
      <c r="TT63" s="151" t="e">
        <f>TS63/TQ63</f>
        <v>#DIV/0!</v>
      </c>
      <c r="TU63" s="134"/>
      <c r="TV63" s="134"/>
      <c r="TW63" s="134"/>
      <c r="TX63" s="190">
        <f>TS63-SUM(TU63:TW63)</f>
        <v>0</v>
      </c>
      <c r="TY63" s="135" t="e">
        <f>TX63/TQ63</f>
        <v>#DIV/0!</v>
      </c>
      <c r="TZ63" s="1563"/>
      <c r="UA63" s="134"/>
      <c r="UB63" s="134"/>
      <c r="UC63" s="134"/>
      <c r="UD63" s="133">
        <f>UB63-(UA63+UC63)</f>
        <v>0</v>
      </c>
      <c r="UE63" s="151" t="e">
        <f>UD63/UB63</f>
        <v>#DIV/0!</v>
      </c>
      <c r="UF63" s="134"/>
      <c r="UG63" s="134"/>
      <c r="UH63" s="134"/>
      <c r="UI63" s="190">
        <f>UD63-SUM(UF63:UH63)</f>
        <v>0</v>
      </c>
      <c r="UJ63" s="5380" t="e">
        <f>UI63/UB63</f>
        <v>#DIV/0!</v>
      </c>
      <c r="UK63" s="6423"/>
      <c r="UL63" s="191">
        <f t="shared" si="754"/>
        <v>28262617</v>
      </c>
      <c r="UM63" s="191">
        <f t="shared" si="755"/>
        <v>7948935</v>
      </c>
      <c r="UN63" s="135">
        <f t="shared" si="756"/>
        <v>0.28125261719394207</v>
      </c>
      <c r="UO63" s="191">
        <f t="shared" si="757"/>
        <v>3434447.4</v>
      </c>
      <c r="UP63" s="5380">
        <f t="shared" si="758"/>
        <v>0.12151908650214521</v>
      </c>
      <c r="UR63" s="63"/>
      <c r="US63" s="63"/>
      <c r="UT63" s="63"/>
      <c r="UU63" s="63"/>
      <c r="UV63" s="63"/>
      <c r="UW63" s="63"/>
      <c r="UX63" s="63"/>
      <c r="UY63" s="63"/>
      <c r="UZ63" s="63"/>
      <c r="VA63" s="63"/>
      <c r="VB63" s="63"/>
      <c r="VC63" s="63"/>
      <c r="VD63" s="63"/>
      <c r="VE63" s="63"/>
      <c r="VF63" s="63"/>
      <c r="VG63" s="63"/>
      <c r="VH63" s="63"/>
      <c r="VI63" s="63"/>
    </row>
    <row r="64" spans="1:581" ht="14" x14ac:dyDescent="0.3">
      <c r="A64" s="5316">
        <v>5</v>
      </c>
      <c r="B64" s="5360" t="s">
        <v>150</v>
      </c>
      <c r="C64" s="578" t="s">
        <v>144</v>
      </c>
      <c r="D64" s="578" t="s">
        <v>142</v>
      </c>
      <c r="E64" s="6278" t="s">
        <v>145</v>
      </c>
      <c r="F64" s="422">
        <v>9</v>
      </c>
      <c r="G64" s="161">
        <v>3202451</v>
      </c>
      <c r="H64" s="161">
        <v>6216452</v>
      </c>
      <c r="I64" s="161">
        <v>2849952</v>
      </c>
      <c r="J64" s="94">
        <f>I64/H64</f>
        <v>0.45845314980313528</v>
      </c>
      <c r="K64" s="113">
        <v>11</v>
      </c>
      <c r="L64" s="161">
        <v>2708238</v>
      </c>
      <c r="M64" s="161">
        <v>5375870</v>
      </c>
      <c r="N64" s="161">
        <v>2518981</v>
      </c>
      <c r="O64" s="158">
        <f>N64/M64</f>
        <v>0.46857178465997129</v>
      </c>
      <c r="P64" s="136">
        <v>8</v>
      </c>
      <c r="Q64" s="161">
        <v>2500121</v>
      </c>
      <c r="R64" s="161">
        <v>4635320</v>
      </c>
      <c r="S64" s="161">
        <v>2021257</v>
      </c>
      <c r="T64" s="94">
        <f>S64/R64</f>
        <v>0.43605554740557284</v>
      </c>
      <c r="U64" s="136">
        <v>7</v>
      </c>
      <c r="V64" s="161">
        <v>728460</v>
      </c>
      <c r="W64" s="161">
        <v>1316120</v>
      </c>
      <c r="X64" s="161">
        <v>0</v>
      </c>
      <c r="Y64" s="759">
        <f>W64-(V64+X64)</f>
        <v>587660</v>
      </c>
      <c r="Z64" s="94">
        <f>Y64/W64</f>
        <v>0.44650943682946842</v>
      </c>
      <c r="AA64" s="422">
        <v>8</v>
      </c>
      <c r="AB64" s="161">
        <v>847136</v>
      </c>
      <c r="AC64" s="161">
        <v>1472440</v>
      </c>
      <c r="AD64" s="782">
        <v>119731</v>
      </c>
      <c r="AE64" s="775">
        <f>AC64-(AB64+AD64)</f>
        <v>505573</v>
      </c>
      <c r="AF64" s="422"/>
      <c r="AG64" s="583">
        <v>7</v>
      </c>
      <c r="AH64" s="584">
        <v>728477</v>
      </c>
      <c r="AI64" s="584">
        <v>1335840</v>
      </c>
      <c r="AJ64" s="783">
        <v>44318</v>
      </c>
      <c r="AK64" s="96">
        <f>AI64-(AH64+AJ64)</f>
        <v>563045</v>
      </c>
      <c r="AL64" s="116">
        <f>AK64/AI64</f>
        <v>0.42149134626901424</v>
      </c>
      <c r="AM64" s="585">
        <v>85000</v>
      </c>
      <c r="AN64" s="417">
        <v>97232</v>
      </c>
      <c r="AO64" s="130">
        <v>0</v>
      </c>
      <c r="AP64" s="417">
        <v>95475.060000000012</v>
      </c>
      <c r="AQ64" s="417">
        <f>AK64-AM64-AN64-AO64-AP64</f>
        <v>285337.94</v>
      </c>
      <c r="AR64" s="421">
        <f>AQ64/AI64</f>
        <v>0.21360188345909689</v>
      </c>
      <c r="AS64" s="583">
        <v>7</v>
      </c>
      <c r="AT64" s="760">
        <v>2468122</v>
      </c>
      <c r="AU64" s="761">
        <f>AI64+AC64+W64</f>
        <v>4124400</v>
      </c>
      <c r="AV64" s="761">
        <v>1619694</v>
      </c>
      <c r="AW64" s="116">
        <f>AV64/AU64</f>
        <v>0.39271021239453013</v>
      </c>
      <c r="AX64" s="776">
        <v>7</v>
      </c>
      <c r="AY64" s="587">
        <f t="shared" si="767"/>
        <v>10878932</v>
      </c>
      <c r="AZ64" s="587">
        <f t="shared" si="767"/>
        <v>20352042</v>
      </c>
      <c r="BA64" s="587">
        <f t="shared" si="767"/>
        <v>9009884</v>
      </c>
      <c r="BB64" s="588">
        <f>BA64/AZ64</f>
        <v>0.44270172005344721</v>
      </c>
      <c r="BC64" s="1514">
        <v>6</v>
      </c>
      <c r="BD64" s="759">
        <v>601755</v>
      </c>
      <c r="BE64" s="759">
        <v>1138520</v>
      </c>
      <c r="BF64" s="759">
        <v>58699</v>
      </c>
      <c r="BG64" s="775">
        <f>BE64-(BD64+BF64)</f>
        <v>478066</v>
      </c>
      <c r="BH64" s="736">
        <f>BG64/BE64</f>
        <v>0.419901275339915</v>
      </c>
      <c r="BI64" s="1514">
        <v>6</v>
      </c>
      <c r="BJ64" s="759">
        <v>601755</v>
      </c>
      <c r="BK64" s="759">
        <v>1285080</v>
      </c>
      <c r="BL64" s="759"/>
      <c r="BM64" s="775">
        <f>BK64-(BJ64+BL64)</f>
        <v>683325</v>
      </c>
      <c r="BN64" s="736">
        <f>BM64/BK64</f>
        <v>0.5317373237463815</v>
      </c>
      <c r="BO64" s="777">
        <v>4</v>
      </c>
      <c r="BP64" s="759">
        <v>440762</v>
      </c>
      <c r="BQ64" s="759">
        <v>931360</v>
      </c>
      <c r="BR64" s="759">
        <v>22666</v>
      </c>
      <c r="BS64" s="775">
        <f>BQ64-(BP64+BR64)</f>
        <v>467932</v>
      </c>
      <c r="BT64" s="239">
        <f>BS64/BQ64</f>
        <v>0.50241796942106165</v>
      </c>
      <c r="BU64" s="689">
        <v>4</v>
      </c>
      <c r="BV64" s="592">
        <f>BQ64+BK64+BE64</f>
        <v>3354960</v>
      </c>
      <c r="BW64" s="592">
        <f>BS64+BM64+BG64</f>
        <v>1629323</v>
      </c>
      <c r="BX64" s="593">
        <f>BW64/BV64</f>
        <v>0.4856460285666595</v>
      </c>
      <c r="BY64" s="594">
        <v>3</v>
      </c>
      <c r="BZ64" s="650">
        <f>289518+81568</f>
        <v>371086</v>
      </c>
      <c r="CA64" s="595">
        <v>898290</v>
      </c>
      <c r="CB64" s="671"/>
      <c r="CC64" s="596">
        <f>CA64-(BZ64+CB64)</f>
        <v>527204</v>
      </c>
      <c r="CD64" s="597">
        <f>CC64/CA64</f>
        <v>0.58689732714379539</v>
      </c>
      <c r="CE64" s="670">
        <v>31000</v>
      </c>
      <c r="CF64" s="671">
        <v>135753</v>
      </c>
      <c r="CG64" s="671"/>
      <c r="CH64" s="671">
        <v>143104.11111111112</v>
      </c>
      <c r="CI64" s="599">
        <f>CC64-CE64-CF64-CG64-CH64</f>
        <v>217346.88888888888</v>
      </c>
      <c r="CJ64" s="597">
        <f>CI64/CA64</f>
        <v>0.24195626010407428</v>
      </c>
      <c r="CK64" s="600">
        <v>4</v>
      </c>
      <c r="CL64" s="601">
        <f>404011+200+98968</f>
        <v>503179</v>
      </c>
      <c r="CM64" s="601">
        <v>909760</v>
      </c>
      <c r="CN64" s="603">
        <v>18906</v>
      </c>
      <c r="CO64" s="360">
        <f>CM64-(CL64+CN64)</f>
        <v>387675</v>
      </c>
      <c r="CP64" s="602">
        <f>CO64/CM64</f>
        <v>0.42612886915230391</v>
      </c>
      <c r="CQ64" s="779">
        <v>0</v>
      </c>
      <c r="CR64" s="603">
        <v>764200</v>
      </c>
      <c r="CS64" s="603"/>
      <c r="CT64" s="603">
        <v>0</v>
      </c>
      <c r="CU64" s="603">
        <f>CO64-CQ64-CR64-CS64-CT64</f>
        <v>-376525</v>
      </c>
      <c r="CV64" s="604">
        <f>CU64/CM64</f>
        <v>-0.41387288955328877</v>
      </c>
      <c r="CW64" s="129">
        <v>3</v>
      </c>
      <c r="CX64" s="130">
        <v>291268</v>
      </c>
      <c r="CY64" s="130">
        <v>666160</v>
      </c>
      <c r="CZ64" s="130"/>
      <c r="DA64" s="605">
        <f>CY64-(CX64+CZ64)</f>
        <v>374892</v>
      </c>
      <c r="DB64" s="114">
        <f>DA64/CY64</f>
        <v>0.56276570193346942</v>
      </c>
      <c r="DC64" s="129">
        <v>100000</v>
      </c>
      <c r="DD64" s="130">
        <v>106427</v>
      </c>
      <c r="DE64" s="130"/>
      <c r="DF64" s="130">
        <v>113315.85681818183</v>
      </c>
      <c r="DG64" s="128">
        <f>DA64-DC64-DD64-DE64-DF64</f>
        <v>55149.143181818174</v>
      </c>
      <c r="DH64" s="169">
        <f>DG64/CY64</f>
        <v>8.2786632613513531E-2</v>
      </c>
      <c r="DI64" s="204">
        <f>(BY64+CK64+CW64)/3</f>
        <v>3.3333333333333335</v>
      </c>
      <c r="DJ64" s="202">
        <f>CA64+CM64+CY64</f>
        <v>2474210</v>
      </c>
      <c r="DK64" s="202">
        <f>CC64+CO64+DA64</f>
        <v>1289771</v>
      </c>
      <c r="DL64" s="119">
        <f>DK64/DJ64</f>
        <v>0.52128598623398981</v>
      </c>
      <c r="DM64" s="202">
        <f>CI64+CU64+DG64</f>
        <v>-104028.96792929295</v>
      </c>
      <c r="DN64" s="119">
        <f>DM64/DJ64</f>
        <v>-4.2045326762600164E-2</v>
      </c>
      <c r="DO64" s="607">
        <f t="shared" si="768"/>
        <v>-4</v>
      </c>
      <c r="DP64" s="137">
        <f t="shared" si="768"/>
        <v>-437209</v>
      </c>
      <c r="DQ64" s="137">
        <f t="shared" si="768"/>
        <v>-669680</v>
      </c>
      <c r="DR64" s="137">
        <f>DA64-AK64</f>
        <v>-188153</v>
      </c>
      <c r="DS64" s="135">
        <f>DO64/AG64</f>
        <v>-0.5714285714285714</v>
      </c>
      <c r="DT64" s="135">
        <f>DP64/AI64</f>
        <v>-0.3272914420888729</v>
      </c>
      <c r="DU64" s="135">
        <f>DQ64/AK64</f>
        <v>-1.1893898356259269</v>
      </c>
      <c r="DV64" s="151">
        <f>DR64/AQ64</f>
        <v>-0.65940407363983911</v>
      </c>
      <c r="DW64" s="607">
        <f>CW64-CK64</f>
        <v>-1</v>
      </c>
      <c r="DX64" s="780">
        <f>CY64-CM64</f>
        <v>-243600</v>
      </c>
      <c r="DY64" s="780">
        <f>DA64-CO64</f>
        <v>-12783</v>
      </c>
      <c r="DZ64" s="780">
        <f>DG64-CU64</f>
        <v>431674.14318181819</v>
      </c>
      <c r="EA64" s="135">
        <f>DW64/CK64</f>
        <v>-0.25</v>
      </c>
      <c r="EB64" s="135">
        <f>DX64/CM64</f>
        <v>-0.26776292648610622</v>
      </c>
      <c r="EC64" s="135">
        <f>DY64/CO64</f>
        <v>-3.2973495840588118E-2</v>
      </c>
      <c r="ED64" s="151">
        <f>DZ64/CU64</f>
        <v>-1.1464687422662989</v>
      </c>
      <c r="EE64" s="129">
        <v>4</v>
      </c>
      <c r="EF64" s="130">
        <v>325596</v>
      </c>
      <c r="EG64" s="130">
        <v>622520</v>
      </c>
      <c r="EH64" s="130"/>
      <c r="EI64" s="605">
        <f>EG64-(EF64+EH64)</f>
        <v>296924</v>
      </c>
      <c r="EJ64" s="114">
        <f>EI64/EG64</f>
        <v>0.47697102101137312</v>
      </c>
      <c r="EK64" s="129">
        <v>68500</v>
      </c>
      <c r="EL64" s="130">
        <v>157679.48636363636</v>
      </c>
      <c r="EM64" s="130">
        <v>0</v>
      </c>
      <c r="EN64" s="130">
        <v>137930.09027777778</v>
      </c>
      <c r="EO64" s="128">
        <f>EI64-EK64-EL64-EM64-EN64</f>
        <v>-67185.57664141414</v>
      </c>
      <c r="EP64" s="114">
        <f>EO64/EG64</f>
        <v>-0.10792516969963076</v>
      </c>
      <c r="EQ64" s="129">
        <v>4</v>
      </c>
      <c r="ER64" s="130">
        <v>374851</v>
      </c>
      <c r="ES64" s="130">
        <v>670160</v>
      </c>
      <c r="ET64" s="130"/>
      <c r="EU64" s="134">
        <f>ES64-(ER64+ET64)</f>
        <v>295309</v>
      </c>
      <c r="EV64" s="114">
        <f>EU64/ES64</f>
        <v>0.44065447057419121</v>
      </c>
      <c r="EW64" s="129">
        <v>61390</v>
      </c>
      <c r="EX64" s="130">
        <v>144936.7340909091</v>
      </c>
      <c r="EY64" s="130">
        <v>0</v>
      </c>
      <c r="EZ64" s="130">
        <v>0</v>
      </c>
      <c r="FA64" s="128">
        <f>EU64-EW64-EX64-EY64-EZ64</f>
        <v>88982.2659090909</v>
      </c>
      <c r="FB64" s="114">
        <f>FA64/ES64</f>
        <v>0.13277764400902903</v>
      </c>
      <c r="FC64" s="609">
        <f>EQ64-AG64</f>
        <v>-3</v>
      </c>
      <c r="FD64" s="610">
        <f>ES64-AI64</f>
        <v>-665680</v>
      </c>
      <c r="FE64" s="610">
        <f>EU64-AK64</f>
        <v>-267736</v>
      </c>
      <c r="FF64" s="610">
        <f>FA64-AQ64</f>
        <v>-196355.6740909091</v>
      </c>
      <c r="FG64" s="611">
        <f>FC64/AG64</f>
        <v>-0.42857142857142855</v>
      </c>
      <c r="FH64" s="611">
        <f>FD64/AI64</f>
        <v>-0.49832315247335013</v>
      </c>
      <c r="FI64" s="611">
        <f>FE64/AK64</f>
        <v>-0.47551439050164729</v>
      </c>
      <c r="FJ64" s="612">
        <f>FF64/AQ64</f>
        <v>-0.68815129909085737</v>
      </c>
      <c r="FK64" s="133">
        <v>5</v>
      </c>
      <c r="FL64" s="134">
        <v>503695</v>
      </c>
      <c r="FM64" s="134">
        <v>968360</v>
      </c>
      <c r="FN64" s="134"/>
      <c r="FO64" s="134">
        <f>FM64-(FL64+FN64)</f>
        <v>464665</v>
      </c>
      <c r="FP64" s="135">
        <f>FO64/FM64</f>
        <v>0.47984737081250772</v>
      </c>
      <c r="FQ64" s="133">
        <v>95833</v>
      </c>
      <c r="FR64" s="134"/>
      <c r="FS64" s="134">
        <v>179235</v>
      </c>
      <c r="FT64" s="191">
        <f>FO64-SUM(FQ64:FS64)</f>
        <v>189597</v>
      </c>
      <c r="FU64" s="151">
        <f>FT64/FM64</f>
        <v>0.19579185426907347</v>
      </c>
      <c r="FV64" s="190">
        <f t="shared" si="769"/>
        <v>-2</v>
      </c>
      <c r="FW64" s="191">
        <f t="shared" si="769"/>
        <v>-224782</v>
      </c>
      <c r="FX64" s="191">
        <f t="shared" si="769"/>
        <v>-367480</v>
      </c>
      <c r="FY64" s="191">
        <f>FO64-AK64</f>
        <v>-98380</v>
      </c>
      <c r="FZ64" s="191">
        <f>FT64-AQ64</f>
        <v>-95740.94</v>
      </c>
      <c r="GA64" s="135">
        <f>FV64/AG64</f>
        <v>-0.2857142857142857</v>
      </c>
      <c r="GB64" s="135">
        <f>FX64/AI64</f>
        <v>-0.27509282548808239</v>
      </c>
      <c r="GC64" s="135">
        <f>FY64/AK64</f>
        <v>-0.17472848528980811</v>
      </c>
      <c r="GD64" s="151">
        <f>FZ64/AQ64</f>
        <v>-0.33553526040035198</v>
      </c>
      <c r="GE64" s="187">
        <f>(EE64+EQ64+FK64)/3</f>
        <v>4.333333333333333</v>
      </c>
      <c r="GF64" s="155">
        <f>EG64+ES64+FM64</f>
        <v>2261040</v>
      </c>
      <c r="GG64" s="155">
        <f>EI64+EU64+FO64</f>
        <v>1056898</v>
      </c>
      <c r="GH64" s="74">
        <f>GG64/GF64</f>
        <v>0.46743887768460529</v>
      </c>
      <c r="GI64" s="613">
        <f>EO64+FA64+FT64</f>
        <v>211393.68926767676</v>
      </c>
      <c r="GJ64" s="187">
        <f t="shared" si="770"/>
        <v>0.99999999999999956</v>
      </c>
      <c r="GK64" s="155">
        <f t="shared" si="770"/>
        <v>-213170</v>
      </c>
      <c r="GL64" s="155">
        <f t="shared" si="770"/>
        <v>-232873</v>
      </c>
      <c r="GM64" s="613">
        <f>GI64-DM64</f>
        <v>315422.65719696973</v>
      </c>
      <c r="GN64" s="133">
        <v>3</v>
      </c>
      <c r="GO64" s="134">
        <v>271898</v>
      </c>
      <c r="GP64" s="134">
        <v>642800</v>
      </c>
      <c r="GQ64" s="134">
        <v>68069</v>
      </c>
      <c r="GR64" s="134">
        <f>GP64-(GO64+GQ64)</f>
        <v>302833</v>
      </c>
      <c r="GS64" s="135">
        <f>GR64/GP64</f>
        <v>0.47111543248288734</v>
      </c>
      <c r="GT64" s="133">
        <v>31000</v>
      </c>
      <c r="GU64" s="134">
        <v>50000</v>
      </c>
      <c r="GV64" s="134">
        <v>0</v>
      </c>
      <c r="GW64" s="134">
        <v>100000</v>
      </c>
      <c r="GX64" s="190">
        <f>GR64-SUM(GT64:GW64)</f>
        <v>121833</v>
      </c>
      <c r="GY64" s="151">
        <f>GX64/GP64</f>
        <v>0.18953484754200373</v>
      </c>
      <c r="GZ64" s="781">
        <v>3</v>
      </c>
      <c r="HA64" s="130">
        <v>271398</v>
      </c>
      <c r="HB64" s="130">
        <v>517200</v>
      </c>
      <c r="HC64" s="134"/>
      <c r="HD64" s="134">
        <f>HB64-(HA64+HC64)</f>
        <v>245802</v>
      </c>
      <c r="HE64" s="151">
        <f>HD64/HB64</f>
        <v>0.47525522041763341</v>
      </c>
      <c r="HF64" s="138">
        <v>184152</v>
      </c>
      <c r="HG64" s="130">
        <f>90790</f>
        <v>90790</v>
      </c>
      <c r="HH64" s="130"/>
      <c r="HI64" s="130">
        <v>0</v>
      </c>
      <c r="HJ64" s="197">
        <f>HD64-SUM(HF64:HI64)</f>
        <v>-29140</v>
      </c>
      <c r="HK64" s="201">
        <f>HJ64/HB64</f>
        <v>-5.6341840680587778E-2</v>
      </c>
      <c r="HL64" s="133">
        <v>4</v>
      </c>
      <c r="HM64" s="656">
        <f>393427</f>
        <v>393427</v>
      </c>
      <c r="HN64" s="134">
        <v>604900</v>
      </c>
      <c r="HO64" s="134">
        <v>0</v>
      </c>
      <c r="HP64" s="615">
        <f>HN64-(HM64+HO64)</f>
        <v>211473</v>
      </c>
      <c r="HQ64" s="151">
        <f>HP64/HN64</f>
        <v>0.34959993387336752</v>
      </c>
      <c r="HR64" s="134">
        <f>46962</f>
        <v>46962</v>
      </c>
      <c r="HS64" s="134">
        <v>150000</v>
      </c>
      <c r="HT64" s="134"/>
      <c r="HU64" s="134">
        <v>0</v>
      </c>
      <c r="HV64" s="191">
        <f>HP64-SUM(HR64:HU64)</f>
        <v>14511</v>
      </c>
      <c r="HW64" s="151">
        <f>HV64/HN64</f>
        <v>2.3989089105637296E-2</v>
      </c>
      <c r="HX64" s="414">
        <v>4</v>
      </c>
      <c r="HY64" s="241">
        <f>HN64+HB64+GP64</f>
        <v>1764900</v>
      </c>
      <c r="HZ64" s="415">
        <f>HP64+HD64+GR64</f>
        <v>760108</v>
      </c>
      <c r="IA64" s="135">
        <f>HZ64/HY64</f>
        <v>0.43068049181256729</v>
      </c>
      <c r="IB64" s="415">
        <f>HV64+HJ64+GX64</f>
        <v>107204</v>
      </c>
      <c r="IC64" s="141"/>
      <c r="ID64" s="642">
        <v>4</v>
      </c>
      <c r="IE64" s="141">
        <f>HY64+GF64+DJ64+BV64</f>
        <v>9855110</v>
      </c>
      <c r="IF64" s="141">
        <f>HZ64+GG64+DK64+BW64</f>
        <v>4736100</v>
      </c>
      <c r="IG64" s="74">
        <f>IF64/IE64</f>
        <v>0.48057302252334066</v>
      </c>
      <c r="IH64" s="1507"/>
      <c r="II64" s="69"/>
      <c r="IJ64" s="133">
        <v>5</v>
      </c>
      <c r="IK64" s="656">
        <f>551332+84990</f>
        <v>636322</v>
      </c>
      <c r="IL64" s="134">
        <v>880600</v>
      </c>
      <c r="IM64" s="134">
        <v>0</v>
      </c>
      <c r="IN64" s="133">
        <f>IL64-(IK64+IM64)</f>
        <v>244278</v>
      </c>
      <c r="IO64" s="151">
        <f>IN64/IL64</f>
        <v>0.27739950034067679</v>
      </c>
      <c r="IP64" s="134">
        <v>87500</v>
      </c>
      <c r="IQ64" s="134">
        <v>0</v>
      </c>
      <c r="IR64" s="134">
        <v>100000</v>
      </c>
      <c r="IS64" s="190">
        <f>IN64-SUM(IP64:IR64)</f>
        <v>56778</v>
      </c>
      <c r="IT64" s="151">
        <f>IS64/IL64</f>
        <v>6.4476493300022711E-2</v>
      </c>
      <c r="IU64" s="136">
        <v>6</v>
      </c>
      <c r="IV64" s="649">
        <v>833310</v>
      </c>
      <c r="IW64" s="358">
        <v>1047600</v>
      </c>
      <c r="IX64" s="134">
        <v>0</v>
      </c>
      <c r="IY64" s="133">
        <f>IW64-(IV64+IX64)</f>
        <v>214290</v>
      </c>
      <c r="IZ64" s="151">
        <f>IY64/IW64</f>
        <v>0.20455326460481099</v>
      </c>
      <c r="JA64" s="134">
        <v>87500</v>
      </c>
      <c r="JB64" s="134">
        <v>0</v>
      </c>
      <c r="JC64" s="134">
        <v>50000</v>
      </c>
      <c r="JD64" s="190">
        <f>IY64-SUM(JA64:JC64)</f>
        <v>76790</v>
      </c>
      <c r="JE64" s="151">
        <f>JD64/IW64</f>
        <v>7.3300878197785413E-2</v>
      </c>
      <c r="JF64" s="136">
        <v>6</v>
      </c>
      <c r="JG64" s="649">
        <v>877080</v>
      </c>
      <c r="JH64" s="358">
        <v>1371600</v>
      </c>
      <c r="JI64" s="358">
        <v>0</v>
      </c>
      <c r="JJ64" s="133">
        <f>JH64-(JG64+JI64)</f>
        <v>494520</v>
      </c>
      <c r="JK64" s="151">
        <f>JJ64/JH64</f>
        <v>0.36054243219597548</v>
      </c>
      <c r="JL64" s="134">
        <v>69892</v>
      </c>
      <c r="JM64" s="134">
        <v>337941.60000000003</v>
      </c>
      <c r="JN64" s="134">
        <v>50000</v>
      </c>
      <c r="JO64" s="190">
        <f>JJ64-SUM(JL64:JN64)</f>
        <v>36686.399999999965</v>
      </c>
      <c r="JP64" s="151">
        <f>JO64/JH64</f>
        <v>2.6747156605424295E-2</v>
      </c>
      <c r="JQ64" s="136">
        <v>6</v>
      </c>
      <c r="JR64" s="191">
        <f t="shared" si="695"/>
        <v>3299800</v>
      </c>
      <c r="JS64" s="191">
        <f>JJ64+IY64+IN64</f>
        <v>953088</v>
      </c>
      <c r="JT64" s="151">
        <f>JS64/JR64</f>
        <v>0.28883205042729865</v>
      </c>
      <c r="JU64" s="136">
        <v>6</v>
      </c>
      <c r="JV64" s="771">
        <f>773375+3000+96590</f>
        <v>872965</v>
      </c>
      <c r="JW64" s="358">
        <v>1291000</v>
      </c>
      <c r="JX64" s="358">
        <v>0</v>
      </c>
      <c r="JY64" s="133">
        <f>JW64-(JV64+JX64)</f>
        <v>418035</v>
      </c>
      <c r="JZ64" s="151">
        <f>JY64/JW64</f>
        <v>0.32380712625871416</v>
      </c>
      <c r="KA64" s="134">
        <v>55000</v>
      </c>
      <c r="KB64" s="134">
        <v>200000</v>
      </c>
      <c r="KC64" s="134">
        <v>50000</v>
      </c>
      <c r="KD64" s="190">
        <f>JY64-SUM(KA64:KC64)</f>
        <v>113035</v>
      </c>
      <c r="KE64" s="151">
        <f>KD64/JW64</f>
        <v>8.7556158017041058E-2</v>
      </c>
      <c r="KF64" s="136">
        <v>6</v>
      </c>
      <c r="KG64" s="771">
        <v>1096726</v>
      </c>
      <c r="KH64" s="358">
        <v>1454200</v>
      </c>
      <c r="KI64" s="358">
        <v>0</v>
      </c>
      <c r="KJ64" s="133">
        <f>KH64-(KG64+KI64)</f>
        <v>357474</v>
      </c>
      <c r="KK64" s="151">
        <f>KJ64/KH64</f>
        <v>0.24582175766744602</v>
      </c>
      <c r="KL64" s="134">
        <v>91667</v>
      </c>
      <c r="KM64" s="134">
        <v>100000</v>
      </c>
      <c r="KN64" s="134">
        <v>100000</v>
      </c>
      <c r="KO64" s="190">
        <f>KJ64-SUM(KL64:KN64)</f>
        <v>65807</v>
      </c>
      <c r="KP64" s="151">
        <f>KO64/KH64</f>
        <v>4.525306010177417E-2</v>
      </c>
      <c r="KQ64" s="136">
        <v>6</v>
      </c>
      <c r="KR64" s="771">
        <v>874654</v>
      </c>
      <c r="KS64" s="358">
        <v>1412340</v>
      </c>
      <c r="KT64" s="358"/>
      <c r="KU64" s="133">
        <f>KS64-(KR64+KT64)</f>
        <v>537686</v>
      </c>
      <c r="KV64" s="151">
        <f>KU64/KS64</f>
        <v>0.380705779061699</v>
      </c>
      <c r="KW64" s="134">
        <v>289940</v>
      </c>
      <c r="KX64" s="134">
        <v>572263</v>
      </c>
      <c r="KY64" s="134">
        <v>0</v>
      </c>
      <c r="KZ64" s="190">
        <f>KU64-SUM(KW64:KY64)</f>
        <v>-324517</v>
      </c>
      <c r="LA64" s="151">
        <f>KZ64/KS64</f>
        <v>-0.22977257600860981</v>
      </c>
      <c r="LB64" s="402">
        <v>6</v>
      </c>
      <c r="LC64" s="191">
        <f>KS64+KH64+JW64</f>
        <v>4157540</v>
      </c>
      <c r="LD64" s="191">
        <f>KU64+KJ64+JY64</f>
        <v>1313195</v>
      </c>
      <c r="LE64" s="151">
        <f>LD64/LC64</f>
        <v>0.31585865680185882</v>
      </c>
      <c r="LF64" s="226">
        <f t="shared" si="771"/>
        <v>0</v>
      </c>
      <c r="LG64" s="128">
        <f t="shared" si="771"/>
        <v>857740</v>
      </c>
      <c r="LH64" s="139">
        <f t="shared" si="771"/>
        <v>360107</v>
      </c>
      <c r="LI64" s="442">
        <f t="shared" si="772"/>
        <v>0</v>
      </c>
      <c r="LJ64" s="442">
        <f t="shared" si="772"/>
        <v>0.25993696587671983</v>
      </c>
      <c r="LK64" s="106">
        <f t="shared" si="772"/>
        <v>0.37783184763631478</v>
      </c>
      <c r="LL64" s="136">
        <v>6</v>
      </c>
      <c r="LM64" s="771">
        <v>900086</v>
      </c>
      <c r="LN64" s="358">
        <v>1346120</v>
      </c>
      <c r="LO64" s="358">
        <v>0</v>
      </c>
      <c r="LP64" s="133">
        <f>LN64-(LM64+LO64)</f>
        <v>446034</v>
      </c>
      <c r="LQ64" s="151">
        <f>LP64/LN64</f>
        <v>0.33134787388940062</v>
      </c>
      <c r="LR64" s="134">
        <v>66666</v>
      </c>
      <c r="LS64" s="134">
        <f>27500+204349</f>
        <v>231849</v>
      </c>
      <c r="LT64" s="134">
        <v>100000</v>
      </c>
      <c r="LU64" s="190">
        <f>LP64-SUM(LR64:LT64)</f>
        <v>47519</v>
      </c>
      <c r="LV64" s="151">
        <f>LU64/LN64</f>
        <v>3.5300716132291327E-2</v>
      </c>
      <c r="LW64" s="134">
        <v>8</v>
      </c>
      <c r="LX64" s="134">
        <v>1056034</v>
      </c>
      <c r="LY64" s="134">
        <v>1590120</v>
      </c>
      <c r="LZ64" s="134"/>
      <c r="MA64" s="133">
        <f>LY64-(LX64+LZ64)</f>
        <v>534086</v>
      </c>
      <c r="MB64" s="151">
        <f>MA64/LY64</f>
        <v>0.33587779538651169</v>
      </c>
      <c r="MC64" s="134">
        <f>346399-207500</f>
        <v>138899</v>
      </c>
      <c r="MD64" s="134">
        <v>100000</v>
      </c>
      <c r="ME64" s="134">
        <v>100000</v>
      </c>
      <c r="MF64" s="190">
        <f>MA64-SUM(MC64:ME64)</f>
        <v>195187</v>
      </c>
      <c r="MG64" s="151">
        <f>MF64/LY64</f>
        <v>0.12274985535682842</v>
      </c>
      <c r="MH64" s="134">
        <v>7</v>
      </c>
      <c r="MI64" s="134">
        <v>983369</v>
      </c>
      <c r="MJ64" s="134">
        <v>1801720</v>
      </c>
      <c r="MK64" s="134">
        <v>23631</v>
      </c>
      <c r="ML64" s="133">
        <f>MJ64-(MI64+MK64)</f>
        <v>794720</v>
      </c>
      <c r="MM64" s="151">
        <f>ML64/MJ64</f>
        <v>0.44108962546899627</v>
      </c>
      <c r="MN64" s="134">
        <v>153007</v>
      </c>
      <c r="MO64" s="134">
        <v>300000</v>
      </c>
      <c r="MP64" s="134">
        <v>100000</v>
      </c>
      <c r="MQ64" s="190">
        <f>ML64-SUM(MN64:MP64)</f>
        <v>241713</v>
      </c>
      <c r="MR64" s="151">
        <f>MQ64/MJ64</f>
        <v>0.13415680571897964</v>
      </c>
      <c r="MS64" s="1472">
        <v>7</v>
      </c>
      <c r="MT64" s="118">
        <f>MJ64+LY64+LN64</f>
        <v>4737960</v>
      </c>
      <c r="MU64" s="118">
        <f>ML64+MA64+LP64</f>
        <v>1774840</v>
      </c>
      <c r="MV64" s="135">
        <f>MU64/MT64</f>
        <v>0.37460003883527931</v>
      </c>
      <c r="MW64" s="133">
        <f t="shared" si="773"/>
        <v>1</v>
      </c>
      <c r="MX64" s="134">
        <f t="shared" si="773"/>
        <v>580420</v>
      </c>
      <c r="MY64" s="134">
        <f t="shared" si="773"/>
        <v>461645</v>
      </c>
      <c r="MZ64" s="135">
        <f t="shared" si="774"/>
        <v>0.16666666666666666</v>
      </c>
      <c r="NA64" s="135">
        <f t="shared" si="774"/>
        <v>0.13960659428411992</v>
      </c>
      <c r="NB64" s="151">
        <f t="shared" si="774"/>
        <v>0.35154337322332174</v>
      </c>
      <c r="NC64" s="134">
        <v>9</v>
      </c>
      <c r="ND64" s="134">
        <v>1216516</v>
      </c>
      <c r="NE64" s="134">
        <v>2107165</v>
      </c>
      <c r="NF64" s="134"/>
      <c r="NG64" s="133">
        <f>NE64-(ND64+NF64)</f>
        <v>890649</v>
      </c>
      <c r="NH64" s="151">
        <f>NG64/NE64</f>
        <v>0.42267643967131191</v>
      </c>
      <c r="NI64" s="134">
        <v>210500</v>
      </c>
      <c r="NJ64" s="134">
        <v>200000</v>
      </c>
      <c r="NK64" s="134">
        <v>100000</v>
      </c>
      <c r="NL64" s="190">
        <f>NG64-SUM(NI64:NK64)</f>
        <v>380149</v>
      </c>
      <c r="NM64" s="135">
        <f>NL64/NE64</f>
        <v>0.18040779910448398</v>
      </c>
      <c r="NN64" s="1563">
        <v>15</v>
      </c>
      <c r="NO64" s="134">
        <v>1954794</v>
      </c>
      <c r="NP64" s="134">
        <v>3024936</v>
      </c>
      <c r="NQ64" s="134">
        <v>5386</v>
      </c>
      <c r="NR64" s="133">
        <f>NP64-(NO64+NQ64)</f>
        <v>1064756</v>
      </c>
      <c r="NS64" s="151">
        <f>NR64/NP64</f>
        <v>0.35199290166800223</v>
      </c>
      <c r="NT64" s="134">
        <v>123000</v>
      </c>
      <c r="NU64" s="134">
        <v>200000</v>
      </c>
      <c r="NV64" s="134">
        <v>100000</v>
      </c>
      <c r="NW64" s="190">
        <f>NR64-SUM(NT64:NV64)</f>
        <v>641756</v>
      </c>
      <c r="NX64" s="135">
        <f>NW64/NP64</f>
        <v>0.21215523237516429</v>
      </c>
      <c r="NY64" s="1563">
        <v>6</v>
      </c>
      <c r="NZ64" s="134">
        <v>916600</v>
      </c>
      <c r="OA64" s="134">
        <v>1659887</v>
      </c>
      <c r="OB64" s="134">
        <v>0</v>
      </c>
      <c r="OC64" s="133">
        <f>OA64-(NZ64+OB64)</f>
        <v>743287</v>
      </c>
      <c r="OD64" s="151">
        <f>OC64/OA64</f>
        <v>0.44779373535668393</v>
      </c>
      <c r="OE64" s="134">
        <v>123000</v>
      </c>
      <c r="OF64" s="134">
        <v>200000</v>
      </c>
      <c r="OG64" s="134">
        <v>100000</v>
      </c>
      <c r="OH64" s="190">
        <f>OC64-SUM(OE64:OG64)</f>
        <v>320287</v>
      </c>
      <c r="OI64" s="5380">
        <f>OH64/OA64</f>
        <v>0.1929571109358649</v>
      </c>
      <c r="OJ64" s="69">
        <v>6</v>
      </c>
      <c r="OK64" s="155">
        <f t="shared" si="540"/>
        <v>18492768</v>
      </c>
      <c r="OL64" s="155">
        <f t="shared" si="541"/>
        <v>6245295</v>
      </c>
      <c r="OM64" s="74">
        <f>OL64/OK64</f>
        <v>0.33771553290453871</v>
      </c>
      <c r="ON64" s="155">
        <f t="shared" si="543"/>
        <v>1864504</v>
      </c>
      <c r="OO64" s="70"/>
      <c r="OP64" s="69"/>
      <c r="OQ64" s="2008">
        <v>19</v>
      </c>
      <c r="OR64" s="208">
        <v>2575391</v>
      </c>
      <c r="OS64" s="208">
        <v>4169360</v>
      </c>
      <c r="OT64" s="3546"/>
      <c r="OU64" s="133">
        <f>OS64-(OR64+OT64)</f>
        <v>1593969</v>
      </c>
      <c r="OV64" s="94">
        <f>OU64/OS64</f>
        <v>0.38230543776502868</v>
      </c>
      <c r="OW64" s="134">
        <v>70000</v>
      </c>
      <c r="OX64" s="134">
        <v>100000</v>
      </c>
      <c r="OY64" s="134">
        <v>100000</v>
      </c>
      <c r="OZ64" s="190">
        <f>OU64-SUM(OW64:OY64)</f>
        <v>1323969</v>
      </c>
      <c r="PA64" s="5361">
        <f>OZ64/OS64</f>
        <v>0.31754729742694321</v>
      </c>
      <c r="PB64" s="698">
        <v>18</v>
      </c>
      <c r="PC64" s="395">
        <f>2429790+4500</f>
        <v>2434290</v>
      </c>
      <c r="PD64" s="208">
        <v>4118272</v>
      </c>
      <c r="PE64" s="208"/>
      <c r="PF64" s="133">
        <f t="shared" si="717"/>
        <v>1683982</v>
      </c>
      <c r="PG64" s="94">
        <f t="shared" si="718"/>
        <v>0.40890499704730526</v>
      </c>
      <c r="PH64" s="134">
        <v>312500</v>
      </c>
      <c r="PI64" s="134">
        <v>100000</v>
      </c>
      <c r="PJ64" s="134">
        <v>200000</v>
      </c>
      <c r="PK64" s="190">
        <f t="shared" si="763"/>
        <v>1071482</v>
      </c>
      <c r="PL64" s="135">
        <f t="shared" si="764"/>
        <v>0.26017756962143346</v>
      </c>
      <c r="PM64" s="5316">
        <v>17</v>
      </c>
      <c r="PN64" s="358">
        <v>2442875</v>
      </c>
      <c r="PO64" s="358">
        <v>3627320</v>
      </c>
      <c r="PP64" s="358">
        <v>38849</v>
      </c>
      <c r="PQ64" s="6293">
        <f t="shared" si="719"/>
        <v>1145596</v>
      </c>
      <c r="PR64" s="6295">
        <f t="shared" si="720"/>
        <v>0.31582435517131108</v>
      </c>
      <c r="PS64" s="134">
        <v>167996</v>
      </c>
      <c r="PT64" s="134">
        <v>137941.6</v>
      </c>
      <c r="PU64" s="134">
        <v>100000</v>
      </c>
      <c r="PV64" s="190">
        <f t="shared" si="721"/>
        <v>739658.4</v>
      </c>
      <c r="PW64" s="5380">
        <f t="shared" si="722"/>
        <v>0.20391319210877454</v>
      </c>
      <c r="PX64" s="422">
        <v>17</v>
      </c>
      <c r="PY64" s="191">
        <f t="shared" si="696"/>
        <v>11914952</v>
      </c>
      <c r="PZ64" s="191">
        <f t="shared" si="723"/>
        <v>4423547</v>
      </c>
      <c r="QA64" s="135">
        <f t="shared" si="724"/>
        <v>0.37126016118235305</v>
      </c>
      <c r="QB64" s="5390">
        <v>15</v>
      </c>
      <c r="QC64" s="395">
        <f>2126176+4000</f>
        <v>2130176</v>
      </c>
      <c r="QD64" s="395">
        <v>3676984</v>
      </c>
      <c r="QE64" s="772">
        <v>0</v>
      </c>
      <c r="QF64" s="6293">
        <f t="shared" si="725"/>
        <v>1546808</v>
      </c>
      <c r="QG64" s="6295">
        <f t="shared" si="726"/>
        <v>0.42067302985272714</v>
      </c>
      <c r="QH64" s="134">
        <v>55000</v>
      </c>
      <c r="QI64" s="134">
        <v>300000</v>
      </c>
      <c r="QJ64" s="134">
        <v>100000</v>
      </c>
      <c r="QK64" s="190">
        <f t="shared" si="765"/>
        <v>1091808</v>
      </c>
      <c r="QL64" s="5380">
        <f t="shared" si="766"/>
        <v>0.29693031027603056</v>
      </c>
      <c r="QM64" s="5398">
        <v>11</v>
      </c>
      <c r="QN64" s="395">
        <f>1419293+10761</f>
        <v>1430054</v>
      </c>
      <c r="QO64" s="395">
        <v>2565688</v>
      </c>
      <c r="QP64" s="395">
        <v>4433</v>
      </c>
      <c r="QQ64" s="133">
        <f t="shared" si="727"/>
        <v>1131201</v>
      </c>
      <c r="QR64" s="151">
        <f t="shared" si="728"/>
        <v>0.44089577532420154</v>
      </c>
      <c r="QS64" s="134">
        <v>55000</v>
      </c>
      <c r="QT64" s="134">
        <v>200000</v>
      </c>
      <c r="QU64" s="134">
        <v>100000</v>
      </c>
      <c r="QV64" s="190">
        <f t="shared" si="729"/>
        <v>776201</v>
      </c>
      <c r="QW64" s="5380">
        <f t="shared" si="730"/>
        <v>0.30253132882875861</v>
      </c>
      <c r="QX64" s="5316">
        <v>11</v>
      </c>
      <c r="QY64" s="771">
        <v>1422171</v>
      </c>
      <c r="QZ64" s="358">
        <v>2527864</v>
      </c>
      <c r="RA64" s="358">
        <v>0</v>
      </c>
      <c r="RB64" s="133">
        <f t="shared" si="731"/>
        <v>1105693</v>
      </c>
      <c r="RC64" s="151">
        <f t="shared" si="732"/>
        <v>0.43740209125174456</v>
      </c>
      <c r="RD64" s="134">
        <v>55000</v>
      </c>
      <c r="RE64" s="134">
        <v>200000</v>
      </c>
      <c r="RF64" s="134">
        <v>100000</v>
      </c>
      <c r="RG64" s="190">
        <f t="shared" si="733"/>
        <v>750693</v>
      </c>
      <c r="RH64" s="5380">
        <f t="shared" si="734"/>
        <v>0.2969673210267641</v>
      </c>
      <c r="RI64" s="5376"/>
      <c r="RJ64" s="191">
        <f t="shared" si="735"/>
        <v>8770536</v>
      </c>
      <c r="RK64" s="191">
        <f t="shared" si="736"/>
        <v>3783702</v>
      </c>
      <c r="RL64" s="5380">
        <f t="shared" si="737"/>
        <v>0.43141057741510896</v>
      </c>
      <c r="RM64" s="1562">
        <f t="shared" si="775"/>
        <v>-17</v>
      </c>
      <c r="RN64" s="128">
        <f t="shared" si="775"/>
        <v>-3144416</v>
      </c>
      <c r="RO64" s="139">
        <f t="shared" si="775"/>
        <v>-639845</v>
      </c>
      <c r="RP64" s="442">
        <f t="shared" si="739"/>
        <v>-1</v>
      </c>
      <c r="RQ64" s="442">
        <f t="shared" si="739"/>
        <v>-0.2639050497223992</v>
      </c>
      <c r="RR64" s="6339">
        <f t="shared" si="739"/>
        <v>-0.14464523605152155</v>
      </c>
      <c r="RS64" s="698">
        <v>11</v>
      </c>
      <c r="RT64" s="208">
        <v>1376618</v>
      </c>
      <c r="RU64" s="208">
        <v>2676584</v>
      </c>
      <c r="RV64" s="2563">
        <v>5156</v>
      </c>
      <c r="RW64" s="133">
        <f t="shared" si="740"/>
        <v>1294810</v>
      </c>
      <c r="RX64" s="151">
        <f t="shared" si="741"/>
        <v>0.48375466639567449</v>
      </c>
      <c r="RY64" s="134">
        <v>55000</v>
      </c>
      <c r="RZ64" s="134">
        <v>200000</v>
      </c>
      <c r="SA64" s="134">
        <v>263438</v>
      </c>
      <c r="SB64" s="190">
        <f t="shared" si="742"/>
        <v>776372</v>
      </c>
      <c r="SC64" s="5380">
        <f t="shared" si="743"/>
        <v>0.29006076401861475</v>
      </c>
      <c r="SD64" s="110">
        <v>11</v>
      </c>
      <c r="SE64" s="208">
        <f>1431098+3000</f>
        <v>1434098</v>
      </c>
      <c r="SF64" s="208">
        <v>2377288</v>
      </c>
      <c r="SG64" s="994">
        <v>0</v>
      </c>
      <c r="SH64" s="6361">
        <f t="shared" ref="SH64:SH74" si="776">SF64-(SE64+SG64)</f>
        <v>943190</v>
      </c>
      <c r="SI64" s="6363">
        <f t="shared" ref="SI64:SI70" si="777">SH64/SF64</f>
        <v>0.39675041475832967</v>
      </c>
      <c r="SJ64" s="134">
        <v>55000</v>
      </c>
      <c r="SK64" s="134">
        <v>200000</v>
      </c>
      <c r="SL64" s="134">
        <v>263438</v>
      </c>
      <c r="SM64" s="190">
        <f>SH64-SUM(SJ64:SL64)</f>
        <v>424752</v>
      </c>
      <c r="SN64" s="5380">
        <f>SM64/SF64</f>
        <v>0.17867082154118474</v>
      </c>
      <c r="SO64" s="134">
        <v>12</v>
      </c>
      <c r="SP64" s="134">
        <v>1541109</v>
      </c>
      <c r="SQ64" s="134">
        <v>2554464</v>
      </c>
      <c r="SR64" s="134">
        <v>13567</v>
      </c>
      <c r="SS64" s="6361">
        <f>SQ64-(SP64+SR64)</f>
        <v>999788</v>
      </c>
      <c r="ST64" s="6363">
        <f>SS64/SQ64</f>
        <v>0.39138856527240157</v>
      </c>
      <c r="SU64" s="134">
        <f>55000+22639+145816</f>
        <v>223455</v>
      </c>
      <c r="SV64" s="134">
        <v>200000</v>
      </c>
      <c r="SW64" s="134">
        <v>263438</v>
      </c>
      <c r="SX64" s="190">
        <f>SS64-SUM(SU64:SW64)</f>
        <v>312895</v>
      </c>
      <c r="SY64" s="5380">
        <f>SX64/SQ64</f>
        <v>0.12248949290340361</v>
      </c>
      <c r="SZ64" s="6270"/>
      <c r="TA64" s="118">
        <f>SQ64+SF64+RU64</f>
        <v>7608336</v>
      </c>
      <c r="TB64" s="118">
        <f>SS64+SH64+RW64</f>
        <v>3237788</v>
      </c>
      <c r="TC64" s="5380">
        <f>TB64/TA64</f>
        <v>0.425557966945729</v>
      </c>
      <c r="TD64" s="1563">
        <v>8</v>
      </c>
      <c r="TE64" s="134">
        <v>1086423</v>
      </c>
      <c r="TF64" s="134">
        <v>2285104</v>
      </c>
      <c r="TG64" s="134">
        <v>4871</v>
      </c>
      <c r="TH64" s="133">
        <f>TF64-(TE64+TG64)</f>
        <v>1193810</v>
      </c>
      <c r="TI64" s="151">
        <f>TH64/TF64</f>
        <v>0.52243136417423452</v>
      </c>
      <c r="TJ64" s="134">
        <f>55000+22639+145816-65582</f>
        <v>157873</v>
      </c>
      <c r="TK64" s="134">
        <v>200000</v>
      </c>
      <c r="TL64" s="134">
        <v>263438</v>
      </c>
      <c r="TM64" s="190">
        <f>TH64-SUM(TJ64:TL64)</f>
        <v>572499</v>
      </c>
      <c r="TN64" s="5380">
        <f>TM64/TF64</f>
        <v>0.25053520539984175</v>
      </c>
      <c r="TO64" s="134"/>
      <c r="TP64" s="134"/>
      <c r="TQ64" s="134"/>
      <c r="TR64" s="134"/>
      <c r="TS64" s="133">
        <f>TQ64-(TP64+TR64)</f>
        <v>0</v>
      </c>
      <c r="TT64" s="151" t="e">
        <f>TS64/TQ64</f>
        <v>#DIV/0!</v>
      </c>
      <c r="TU64" s="134"/>
      <c r="TV64" s="134"/>
      <c r="TW64" s="134"/>
      <c r="TX64" s="190">
        <f>TS64-SUM(TU64:TW64)</f>
        <v>0</v>
      </c>
      <c r="TY64" s="135" t="e">
        <f>TX64/TQ64</f>
        <v>#DIV/0!</v>
      </c>
      <c r="TZ64" s="1563"/>
      <c r="UA64" s="134"/>
      <c r="UB64" s="134"/>
      <c r="UC64" s="134"/>
      <c r="UD64" s="133">
        <f>UB64-(UA64+UC64)</f>
        <v>0</v>
      </c>
      <c r="UE64" s="151" t="e">
        <f>UD64/UB64</f>
        <v>#DIV/0!</v>
      </c>
      <c r="UF64" s="134"/>
      <c r="UG64" s="134"/>
      <c r="UH64" s="134"/>
      <c r="UI64" s="190">
        <f>UD64-SUM(UF64:UH64)</f>
        <v>0</v>
      </c>
      <c r="UJ64" s="5380" t="e">
        <f>UI64/UB64</f>
        <v>#DIV/0!</v>
      </c>
      <c r="UK64" s="5376"/>
      <c r="UL64" s="191">
        <f t="shared" si="754"/>
        <v>30578928</v>
      </c>
      <c r="UM64" s="191">
        <f t="shared" si="755"/>
        <v>12638847</v>
      </c>
      <c r="UN64" s="135">
        <f t="shared" si="756"/>
        <v>0.41331883838439332</v>
      </c>
      <c r="UO64" s="191">
        <f t="shared" si="757"/>
        <v>7840329.4000000004</v>
      </c>
      <c r="UP64" s="5380">
        <f t="shared" si="758"/>
        <v>0.2563964766848596</v>
      </c>
    </row>
    <row r="65" spans="1:566" x14ac:dyDescent="0.3">
      <c r="A65" s="5316">
        <v>6</v>
      </c>
      <c r="B65" s="5376" t="s">
        <v>956</v>
      </c>
      <c r="C65" s="578" t="s">
        <v>144</v>
      </c>
      <c r="D65" s="578" t="s">
        <v>142</v>
      </c>
      <c r="E65" s="6278" t="s">
        <v>145</v>
      </c>
      <c r="F65" s="422"/>
      <c r="G65" s="161"/>
      <c r="H65" s="161"/>
      <c r="I65" s="161"/>
      <c r="J65" s="94"/>
      <c r="K65" s="136"/>
      <c r="L65" s="161"/>
      <c r="M65" s="161"/>
      <c r="N65" s="161"/>
      <c r="O65" s="158"/>
      <c r="P65" s="136"/>
      <c r="Q65" s="161"/>
      <c r="R65" s="161"/>
      <c r="S65" s="161"/>
      <c r="T65" s="94"/>
      <c r="U65" s="136"/>
      <c r="V65" s="161"/>
      <c r="W65" s="161"/>
      <c r="X65" s="161"/>
      <c r="Y65" s="759"/>
      <c r="Z65" s="94"/>
      <c r="AA65" s="422"/>
      <c r="AB65" s="161"/>
      <c r="AC65" s="161"/>
      <c r="AD65" s="161"/>
      <c r="AE65" s="775"/>
      <c r="AF65" s="422"/>
      <c r="AG65" s="113"/>
      <c r="AH65" s="616"/>
      <c r="AI65" s="616"/>
      <c r="AJ65" s="616"/>
      <c r="AK65" s="96"/>
      <c r="AL65" s="114"/>
      <c r="AM65" s="129"/>
      <c r="AN65" s="417"/>
      <c r="AO65" s="130"/>
      <c r="AP65" s="417"/>
      <c r="AQ65" s="417"/>
      <c r="AR65" s="421"/>
      <c r="AS65" s="113"/>
      <c r="AT65" s="760"/>
      <c r="AU65" s="761"/>
      <c r="AV65" s="761"/>
      <c r="AW65" s="116"/>
      <c r="AX65" s="776"/>
      <c r="AY65" s="587"/>
      <c r="AZ65" s="587"/>
      <c r="BA65" s="587"/>
      <c r="BB65" s="588"/>
      <c r="BC65" s="1514"/>
      <c r="BD65" s="759"/>
      <c r="BE65" s="759"/>
      <c r="BF65" s="759"/>
      <c r="BG65" s="775"/>
      <c r="BH65" s="736"/>
      <c r="BI65" s="1514"/>
      <c r="BJ65" s="759"/>
      <c r="BK65" s="759"/>
      <c r="BL65" s="759"/>
      <c r="BM65" s="775"/>
      <c r="BN65" s="736"/>
      <c r="BO65" s="777"/>
      <c r="BP65" s="759"/>
      <c r="BQ65" s="759"/>
      <c r="BR65" s="759"/>
      <c r="BS65" s="775"/>
      <c r="BT65" s="239"/>
      <c r="BU65" s="689"/>
      <c r="BV65" s="592"/>
      <c r="BW65" s="592"/>
      <c r="BX65" s="593"/>
      <c r="BY65" s="691"/>
      <c r="BZ65" s="692"/>
      <c r="CA65" s="692"/>
      <c r="CB65" s="690"/>
      <c r="CC65" s="596"/>
      <c r="CD65" s="798"/>
      <c r="CE65" s="690"/>
      <c r="CF65" s="690"/>
      <c r="CG65" s="690"/>
      <c r="CH65" s="690"/>
      <c r="CI65" s="109"/>
      <c r="CJ65" s="74"/>
      <c r="CK65" s="628"/>
      <c r="CL65" s="661"/>
      <c r="CM65" s="661"/>
      <c r="CN65" s="661"/>
      <c r="CO65" s="360"/>
      <c r="CP65" s="632"/>
      <c r="CQ65" s="109"/>
      <c r="CR65" s="644"/>
      <c r="CS65" s="644"/>
      <c r="CT65" s="109"/>
      <c r="CU65" s="109"/>
      <c r="CV65" s="74"/>
      <c r="CW65" s="133"/>
      <c r="CX65" s="138"/>
      <c r="CY65" s="130"/>
      <c r="CZ65" s="130"/>
      <c r="DA65" s="605"/>
      <c r="DB65" s="114"/>
      <c r="DC65" s="129"/>
      <c r="DD65" s="130"/>
      <c r="DE65" s="134"/>
      <c r="DF65" s="130"/>
      <c r="DG65" s="128"/>
      <c r="DH65" s="169"/>
      <c r="DI65" s="204"/>
      <c r="DJ65" s="202"/>
      <c r="DK65" s="202"/>
      <c r="DL65" s="119"/>
      <c r="DM65" s="202"/>
      <c r="DN65" s="119"/>
      <c r="DO65" s="607"/>
      <c r="DP65" s="137"/>
      <c r="DQ65" s="137"/>
      <c r="DR65" s="137"/>
      <c r="DS65" s="135"/>
      <c r="DT65" s="135"/>
      <c r="DU65" s="135"/>
      <c r="DV65" s="151"/>
      <c r="DW65" s="607"/>
      <c r="DX65" s="780"/>
      <c r="DY65" s="780"/>
      <c r="DZ65" s="780"/>
      <c r="EA65" s="135"/>
      <c r="EB65" s="135"/>
      <c r="EC65" s="135"/>
      <c r="ED65" s="151"/>
      <c r="EE65" s="133"/>
      <c r="EF65" s="138"/>
      <c r="EG65" s="130"/>
      <c r="EH65" s="130"/>
      <c r="EI65" s="605"/>
      <c r="EJ65" s="114"/>
      <c r="EK65" s="129"/>
      <c r="EL65" s="130"/>
      <c r="EM65" s="130"/>
      <c r="EN65" s="130"/>
      <c r="EO65" s="128"/>
      <c r="EP65" s="114"/>
      <c r="EQ65" s="129"/>
      <c r="ER65" s="130"/>
      <c r="ES65" s="130"/>
      <c r="ET65" s="130"/>
      <c r="EU65" s="134"/>
      <c r="EV65" s="114"/>
      <c r="EW65" s="129"/>
      <c r="EX65" s="130"/>
      <c r="EY65" s="130"/>
      <c r="EZ65" s="130"/>
      <c r="FA65" s="128"/>
      <c r="FB65" s="114"/>
      <c r="FC65" s="643"/>
      <c r="FD65" s="644"/>
      <c r="FE65" s="644"/>
      <c r="FF65" s="644"/>
      <c r="FG65" s="74"/>
      <c r="FH65" s="74"/>
      <c r="FI65" s="74"/>
      <c r="FJ65" s="73"/>
      <c r="FK65" s="133"/>
      <c r="FL65" s="134"/>
      <c r="FM65" s="134"/>
      <c r="FN65" s="134"/>
      <c r="FO65" s="134"/>
      <c r="FP65" s="135"/>
      <c r="FQ65" s="133"/>
      <c r="FR65" s="134"/>
      <c r="FS65" s="134"/>
      <c r="FT65" s="191"/>
      <c r="FU65" s="151"/>
      <c r="FV65" s="190"/>
      <c r="FW65" s="191"/>
      <c r="FX65" s="191"/>
      <c r="FY65" s="191"/>
      <c r="FZ65" s="191"/>
      <c r="GA65" s="135"/>
      <c r="GB65" s="135"/>
      <c r="GC65" s="135"/>
      <c r="GD65" s="151"/>
      <c r="GE65" s="187"/>
      <c r="GF65" s="155"/>
      <c r="GG65" s="155"/>
      <c r="GH65" s="74"/>
      <c r="GI65" s="613"/>
      <c r="GJ65" s="187"/>
      <c r="GK65" s="155"/>
      <c r="GL65" s="155"/>
      <c r="GM65" s="613"/>
      <c r="GN65" s="133"/>
      <c r="GO65" s="134"/>
      <c r="GP65" s="134"/>
      <c r="GQ65" s="134"/>
      <c r="GR65" s="134"/>
      <c r="GS65" s="135"/>
      <c r="GT65" s="133"/>
      <c r="GU65" s="134"/>
      <c r="GV65" s="134"/>
      <c r="GW65" s="134"/>
      <c r="GX65" s="190"/>
      <c r="GY65" s="151"/>
      <c r="GZ65" s="614"/>
      <c r="HA65" s="130"/>
      <c r="HB65" s="130"/>
      <c r="HC65" s="134"/>
      <c r="HD65" s="134"/>
      <c r="HE65" s="151"/>
      <c r="HF65" s="138"/>
      <c r="HG65" s="130"/>
      <c r="HH65" s="130"/>
      <c r="HI65" s="130"/>
      <c r="HJ65" s="197"/>
      <c r="HK65" s="201"/>
      <c r="HL65" s="147"/>
      <c r="HM65" s="148"/>
      <c r="HN65" s="148"/>
      <c r="HO65" s="148"/>
      <c r="HP65" s="615"/>
      <c r="HQ65" s="201"/>
      <c r="HR65" s="148"/>
      <c r="HS65" s="148"/>
      <c r="HT65" s="148"/>
      <c r="HU65" s="148"/>
      <c r="HV65" s="197"/>
      <c r="HW65" s="201"/>
      <c r="HX65" s="414"/>
      <c r="HY65" s="241"/>
      <c r="HZ65" s="415"/>
      <c r="IA65" s="135"/>
      <c r="IB65" s="415"/>
      <c r="IC65" s="141"/>
      <c r="ID65" s="642"/>
      <c r="IE65" s="141"/>
      <c r="IF65" s="141"/>
      <c r="IG65" s="74"/>
      <c r="IH65" s="1507"/>
      <c r="II65" s="69"/>
      <c r="IJ65" s="133"/>
      <c r="IK65" s="134"/>
      <c r="IL65" s="134"/>
      <c r="IM65" s="134"/>
      <c r="IN65" s="133"/>
      <c r="IO65" s="151"/>
      <c r="IP65" s="134"/>
      <c r="IQ65" s="134"/>
      <c r="IR65" s="134"/>
      <c r="IS65" s="190"/>
      <c r="IT65" s="151"/>
      <c r="IU65" s="770"/>
      <c r="IV65" s="622"/>
      <c r="IW65" s="622"/>
      <c r="IX65" s="134"/>
      <c r="IY65" s="133"/>
      <c r="IZ65" s="151"/>
      <c r="JA65" s="134"/>
      <c r="JB65" s="134"/>
      <c r="JC65" s="134"/>
      <c r="JD65" s="190"/>
      <c r="JE65" s="196"/>
      <c r="JF65" s="390"/>
      <c r="JG65" s="134"/>
      <c r="JH65" s="134"/>
      <c r="JI65" s="358"/>
      <c r="JJ65" s="133"/>
      <c r="JK65" s="151"/>
      <c r="JL65" s="134"/>
      <c r="JM65" s="134"/>
      <c r="JN65" s="134"/>
      <c r="JO65" s="190"/>
      <c r="JP65" s="196"/>
      <c r="JQ65" s="390"/>
      <c r="JR65" s="191"/>
      <c r="JS65" s="191"/>
      <c r="JT65" s="151"/>
      <c r="JU65" s="390"/>
      <c r="JV65" s="134"/>
      <c r="JW65" s="134"/>
      <c r="JX65" s="358"/>
      <c r="JY65" s="133"/>
      <c r="JZ65" s="151"/>
      <c r="KA65" s="134"/>
      <c r="KB65" s="759"/>
      <c r="KC65" s="134"/>
      <c r="KD65" s="190"/>
      <c r="KE65" s="151"/>
      <c r="KF65" s="390"/>
      <c r="KG65" s="134"/>
      <c r="KH65" s="134"/>
      <c r="KI65" s="358"/>
      <c r="KJ65" s="133"/>
      <c r="KK65" s="151"/>
      <c r="KL65" s="134"/>
      <c r="KM65" s="759"/>
      <c r="KN65" s="134"/>
      <c r="KO65" s="190"/>
      <c r="KP65" s="151"/>
      <c r="KQ65" s="390"/>
      <c r="KR65" s="134"/>
      <c r="KS65" s="134"/>
      <c r="KT65" s="358"/>
      <c r="KU65" s="133"/>
      <c r="KV65" s="151"/>
      <c r="KW65" s="134"/>
      <c r="KX65" s="759"/>
      <c r="KY65" s="134"/>
      <c r="KZ65" s="190"/>
      <c r="LA65" s="151"/>
      <c r="LB65" s="402"/>
      <c r="LC65" s="191"/>
      <c r="LD65" s="191"/>
      <c r="LE65" s="151"/>
      <c r="LF65" s="226"/>
      <c r="LG65" s="128"/>
      <c r="LH65" s="139"/>
      <c r="LI65" s="442"/>
      <c r="LJ65" s="442"/>
      <c r="LK65" s="106"/>
      <c r="LL65" s="390"/>
      <c r="LM65" s="134"/>
      <c r="LN65" s="134"/>
      <c r="LO65" s="358"/>
      <c r="LP65" s="133"/>
      <c r="LQ65" s="151"/>
      <c r="LR65" s="134"/>
      <c r="LS65" s="759"/>
      <c r="LT65" s="134"/>
      <c r="LU65" s="190"/>
      <c r="LV65" s="151"/>
      <c r="LW65" s="134"/>
      <c r="LX65" s="134"/>
      <c r="LY65" s="134"/>
      <c r="LZ65" s="134"/>
      <c r="MA65" s="133"/>
      <c r="MB65" s="151"/>
      <c r="MC65" s="134"/>
      <c r="MD65" s="134"/>
      <c r="ME65" s="134"/>
      <c r="MF65" s="190"/>
      <c r="MG65" s="151"/>
      <c r="MH65" s="134"/>
      <c r="MI65" s="134"/>
      <c r="MJ65" s="134"/>
      <c r="MK65" s="134"/>
      <c r="ML65" s="133"/>
      <c r="MM65" s="151"/>
      <c r="MN65" s="134"/>
      <c r="MO65" s="134"/>
      <c r="MP65" s="134"/>
      <c r="MQ65" s="190"/>
      <c r="MR65" s="151"/>
      <c r="MS65" s="1472"/>
      <c r="MT65" s="118"/>
      <c r="MU65" s="118"/>
      <c r="MV65" s="135"/>
      <c r="MW65" s="133"/>
      <c r="MX65" s="134"/>
      <c r="MY65" s="134"/>
      <c r="MZ65" s="135"/>
      <c r="NA65" s="135"/>
      <c r="NB65" s="151"/>
      <c r="NC65" s="134"/>
      <c r="ND65" s="134"/>
      <c r="NE65" s="134"/>
      <c r="NF65" s="134"/>
      <c r="NG65" s="133"/>
      <c r="NH65" s="196"/>
      <c r="NI65" s="134"/>
      <c r="NJ65" s="134"/>
      <c r="NK65" s="134"/>
      <c r="NL65" s="190"/>
      <c r="NM65" s="135"/>
      <c r="NN65" s="1563"/>
      <c r="NO65" s="134"/>
      <c r="NP65" s="134"/>
      <c r="NQ65" s="134"/>
      <c r="NR65" s="133"/>
      <c r="NS65" s="196"/>
      <c r="NT65" s="134"/>
      <c r="NU65" s="134"/>
      <c r="NV65" s="134"/>
      <c r="NW65" s="190"/>
      <c r="NX65" s="135"/>
      <c r="NY65" s="1563"/>
      <c r="NZ65" s="134"/>
      <c r="OA65" s="134"/>
      <c r="OB65" s="134"/>
      <c r="OC65" s="133"/>
      <c r="OD65" s="151"/>
      <c r="OE65" s="134"/>
      <c r="OF65" s="134"/>
      <c r="OG65" s="134"/>
      <c r="OH65" s="190"/>
      <c r="OI65" s="5380"/>
      <c r="OJ65" s="69"/>
      <c r="OK65" s="155"/>
      <c r="OL65" s="155"/>
      <c r="OM65" s="74"/>
      <c r="ON65" s="155"/>
      <c r="OO65" s="70"/>
      <c r="OP65" s="69"/>
      <c r="OQ65" s="2008"/>
      <c r="OR65" s="208"/>
      <c r="OS65" s="208"/>
      <c r="OT65" s="3546"/>
      <c r="OU65" s="133"/>
      <c r="OV65" s="94"/>
      <c r="OW65" s="134"/>
      <c r="OX65" s="134"/>
      <c r="OY65" s="134"/>
      <c r="OZ65" s="190"/>
      <c r="PA65" s="5361"/>
      <c r="PB65" s="698">
        <v>4</v>
      </c>
      <c r="PC65" s="208">
        <f>216075+(592470*2.25%)</f>
        <v>229405.57500000001</v>
      </c>
      <c r="PD65" s="208">
        <v>592470</v>
      </c>
      <c r="PE65" s="395"/>
      <c r="PF65" s="133">
        <f t="shared" si="717"/>
        <v>363064.42499999999</v>
      </c>
      <c r="PG65" s="94">
        <f t="shared" si="718"/>
        <v>0.61279798977163402</v>
      </c>
      <c r="PH65" s="134">
        <v>116253</v>
      </c>
      <c r="PI65" s="134">
        <v>0</v>
      </c>
      <c r="PJ65" s="134">
        <v>0</v>
      </c>
      <c r="PK65" s="190">
        <f>PF65-SUM(PH65:PJ65)</f>
        <v>246811.42499999999</v>
      </c>
      <c r="PL65" s="135">
        <f>PK65/PD65</f>
        <v>0.41658045977011493</v>
      </c>
      <c r="PM65" s="5379">
        <v>7</v>
      </c>
      <c r="PN65" s="134">
        <v>970615.82</v>
      </c>
      <c r="PO65" s="134">
        <v>1755192</v>
      </c>
      <c r="PP65" s="358">
        <v>0</v>
      </c>
      <c r="PQ65" s="6293">
        <f t="shared" si="719"/>
        <v>784576.18</v>
      </c>
      <c r="PR65" s="6295">
        <f t="shared" si="720"/>
        <v>0.44700305151801062</v>
      </c>
      <c r="PS65" s="134">
        <v>151584</v>
      </c>
      <c r="PT65" s="134">
        <v>0</v>
      </c>
      <c r="PU65" s="134">
        <v>100000</v>
      </c>
      <c r="PV65" s="190">
        <f t="shared" si="721"/>
        <v>532992.18000000005</v>
      </c>
      <c r="PW65" s="5380">
        <f t="shared" si="722"/>
        <v>0.30366602628088551</v>
      </c>
      <c r="PX65" s="5320">
        <v>7</v>
      </c>
      <c r="PY65" s="191">
        <f t="shared" si="696"/>
        <v>2347662</v>
      </c>
      <c r="PZ65" s="191">
        <f t="shared" si="723"/>
        <v>1147640.605</v>
      </c>
      <c r="QA65" s="135">
        <f t="shared" si="724"/>
        <v>0.48884405208245479</v>
      </c>
      <c r="QB65" s="5390">
        <v>7</v>
      </c>
      <c r="QC65" s="395">
        <f>1355329+(2857706*2.25%)</f>
        <v>1419627.385</v>
      </c>
      <c r="QD65" s="395">
        <v>2857706</v>
      </c>
      <c r="QE65" s="772">
        <v>0</v>
      </c>
      <c r="QF65" s="6293">
        <f t="shared" si="725"/>
        <v>1438078.615</v>
      </c>
      <c r="QG65" s="6295">
        <f t="shared" si="726"/>
        <v>0.50322832894636471</v>
      </c>
      <c r="QH65" s="134"/>
      <c r="QI65" s="759">
        <v>300000</v>
      </c>
      <c r="QJ65" s="134">
        <v>150000</v>
      </c>
      <c r="QK65" s="190">
        <f>QF65-SUM(QH65:QJ65)</f>
        <v>988078.61499999999</v>
      </c>
      <c r="QL65" s="5380">
        <f>QK65/QD65</f>
        <v>0.34575936607894586</v>
      </c>
      <c r="QM65" s="5396">
        <v>7</v>
      </c>
      <c r="QN65" s="208">
        <f>1146422+(2335807*2.25%)</f>
        <v>1198977.6575</v>
      </c>
      <c r="QO65" s="208">
        <v>2335807</v>
      </c>
      <c r="QP65" s="395">
        <v>0</v>
      </c>
      <c r="QQ65" s="133">
        <f t="shared" si="727"/>
        <v>1136829.3425</v>
      </c>
      <c r="QR65" s="151">
        <f t="shared" si="728"/>
        <v>0.48669660742518539</v>
      </c>
      <c r="QS65" s="134">
        <v>0</v>
      </c>
      <c r="QT65" s="759">
        <f>100000</f>
        <v>100000</v>
      </c>
      <c r="QU65" s="134">
        <v>250000</v>
      </c>
      <c r="QV65" s="190">
        <f t="shared" si="729"/>
        <v>786829.34250000003</v>
      </c>
      <c r="QW65" s="5380">
        <f t="shared" si="730"/>
        <v>0.33685546044686054</v>
      </c>
      <c r="QX65" s="5379">
        <v>8</v>
      </c>
      <c r="QY65" s="134">
        <v>1562719.365</v>
      </c>
      <c r="QZ65" s="134">
        <v>2648594</v>
      </c>
      <c r="RA65" s="358">
        <v>0</v>
      </c>
      <c r="RB65" s="133">
        <f t="shared" si="731"/>
        <v>1085874.635</v>
      </c>
      <c r="RC65" s="151">
        <f t="shared" si="732"/>
        <v>0.40998153548637506</v>
      </c>
      <c r="RD65" s="4138">
        <v>274000</v>
      </c>
      <c r="RE65" s="759">
        <f>100000</f>
        <v>100000</v>
      </c>
      <c r="RF65" s="134">
        <v>150000</v>
      </c>
      <c r="RG65" s="190">
        <f t="shared" si="733"/>
        <v>561874.63500000001</v>
      </c>
      <c r="RH65" s="5380">
        <f t="shared" si="734"/>
        <v>0.21214071881156568</v>
      </c>
      <c r="RI65" s="5376"/>
      <c r="RJ65" s="191">
        <f t="shared" si="735"/>
        <v>7842107</v>
      </c>
      <c r="RK65" s="191">
        <f t="shared" si="736"/>
        <v>3660782.5925000003</v>
      </c>
      <c r="RL65" s="5380">
        <f t="shared" si="737"/>
        <v>0.46681109968277662</v>
      </c>
      <c r="RM65" s="1562"/>
      <c r="RN65" s="128"/>
      <c r="RO65" s="139"/>
      <c r="RP65" s="442"/>
      <c r="RQ65" s="442"/>
      <c r="RR65" s="6339"/>
      <c r="RS65" s="6327">
        <v>8</v>
      </c>
      <c r="RT65" s="130">
        <v>1848357</v>
      </c>
      <c r="RU65" s="130">
        <v>3183507</v>
      </c>
      <c r="RV65" s="2563"/>
      <c r="RW65" s="133">
        <f t="shared" si="740"/>
        <v>1335150</v>
      </c>
      <c r="RX65" s="151">
        <f t="shared" si="741"/>
        <v>0.41939596803148227</v>
      </c>
      <c r="RY65" s="133">
        <v>263691</v>
      </c>
      <c r="RZ65" s="759">
        <f>100000</f>
        <v>100000</v>
      </c>
      <c r="SA65" s="134">
        <v>350000</v>
      </c>
      <c r="SB65" s="190">
        <f t="shared" si="742"/>
        <v>621459</v>
      </c>
      <c r="SC65" s="5380">
        <f>SB65/RU65</f>
        <v>0.19521207272357183</v>
      </c>
      <c r="SD65" s="110">
        <v>8</v>
      </c>
      <c r="SE65" s="208">
        <f>1674744+70000</f>
        <v>1744744</v>
      </c>
      <c r="SF65" s="395">
        <v>2953066</v>
      </c>
      <c r="SG65" s="994">
        <v>0</v>
      </c>
      <c r="SH65" s="6361">
        <f t="shared" si="776"/>
        <v>1208322</v>
      </c>
      <c r="SI65" s="6363">
        <f t="shared" si="777"/>
        <v>0.40917541294369986</v>
      </c>
      <c r="SJ65" s="134">
        <f>263691-9476</f>
        <v>254215</v>
      </c>
      <c r="SK65" s="759">
        <f>200000</f>
        <v>200000</v>
      </c>
      <c r="SL65" s="134">
        <v>250000</v>
      </c>
      <c r="SM65" s="190">
        <f t="shared" ref="SM65:SM78" si="778">SH65-SUM(SJ65:SL65)</f>
        <v>504107</v>
      </c>
      <c r="SN65" s="5380">
        <f t="shared" ref="SN65:SN73" si="779">SM65/SF65</f>
        <v>0.1707063099842672</v>
      </c>
      <c r="SO65" s="134">
        <v>7</v>
      </c>
      <c r="SP65" s="134">
        <v>1628098</v>
      </c>
      <c r="SQ65" s="134">
        <v>2789903</v>
      </c>
      <c r="SR65" s="134">
        <v>2809</v>
      </c>
      <c r="SS65" s="6361">
        <f t="shared" ref="SS65:SS74" si="780">SQ65-(SP65+SR65)</f>
        <v>1158996</v>
      </c>
      <c r="ST65" s="6363">
        <f t="shared" ref="ST65:ST73" si="781">SS65/SQ65</f>
        <v>0.41542519578637682</v>
      </c>
      <c r="SU65" s="134">
        <f>263691-9476</f>
        <v>254215</v>
      </c>
      <c r="SV65" s="759">
        <f>200000</f>
        <v>200000</v>
      </c>
      <c r="SW65" s="134">
        <v>350000</v>
      </c>
      <c r="SX65" s="190">
        <f t="shared" ref="SX65:SX78" si="782">SS65-SUM(SU65:SW65)</f>
        <v>354781</v>
      </c>
      <c r="SY65" s="5380">
        <f t="shared" ref="SY65:SY73" si="783">SX65/SQ65</f>
        <v>0.12716606993146357</v>
      </c>
      <c r="SZ65" s="6270"/>
      <c r="TA65" s="118">
        <f t="shared" ref="TA65:TA78" si="784">SQ65+SF65+RU65</f>
        <v>8926476</v>
      </c>
      <c r="TB65" s="118">
        <f t="shared" ref="TB65:TB78" si="785">SS65+SH65+RW65</f>
        <v>3702468</v>
      </c>
      <c r="TC65" s="5380">
        <f t="shared" ref="TC65:TC73" si="786">TB65/TA65</f>
        <v>0.41477375842381697</v>
      </c>
      <c r="TD65" s="1563">
        <v>6</v>
      </c>
      <c r="TE65" s="134">
        <v>1018879</v>
      </c>
      <c r="TF65" s="134">
        <v>1929679</v>
      </c>
      <c r="TG65" s="134">
        <v>1581</v>
      </c>
      <c r="TH65" s="133">
        <f t="shared" ref="TH65:TH74" si="787">TF65-(TE65+TG65)</f>
        <v>909219</v>
      </c>
      <c r="TI65" s="151">
        <f t="shared" ref="TI65:TI73" si="788">TH65/TF65</f>
        <v>0.47117629408829137</v>
      </c>
      <c r="TJ65" s="134">
        <f>263691-9476</f>
        <v>254215</v>
      </c>
      <c r="TK65" s="759">
        <f>200000</f>
        <v>200000</v>
      </c>
      <c r="TL65" s="134">
        <v>150000</v>
      </c>
      <c r="TM65" s="190">
        <f t="shared" ref="TM65:TM78" si="789">TH65-SUM(TJ65:TL65)</f>
        <v>305004</v>
      </c>
      <c r="TN65" s="5380">
        <f t="shared" ref="TN65:TN73" si="790">TM65/TF65</f>
        <v>0.15805944926591417</v>
      </c>
      <c r="TO65" s="134"/>
      <c r="TP65" s="134"/>
      <c r="TQ65" s="134"/>
      <c r="TR65" s="134"/>
      <c r="TS65" s="133"/>
      <c r="TT65" s="196"/>
      <c r="TU65" s="134"/>
      <c r="TV65" s="134"/>
      <c r="TW65" s="134"/>
      <c r="TX65" s="190"/>
      <c r="TY65" s="135"/>
      <c r="TZ65" s="1563"/>
      <c r="UA65" s="134"/>
      <c r="UB65" s="134"/>
      <c r="UC65" s="134"/>
      <c r="UD65" s="133"/>
      <c r="UE65" s="151"/>
      <c r="UF65" s="134"/>
      <c r="UG65" s="134"/>
      <c r="UH65" s="134"/>
      <c r="UI65" s="190"/>
      <c r="UJ65" s="5380"/>
      <c r="UK65" s="5376"/>
      <c r="UL65" s="191">
        <f t="shared" si="754"/>
        <v>21045924</v>
      </c>
      <c r="UM65" s="191">
        <f t="shared" si="755"/>
        <v>9420110.1974999998</v>
      </c>
      <c r="UN65" s="135">
        <f>UM65/UL65</f>
        <v>0.44759784353017712</v>
      </c>
      <c r="UO65" s="191">
        <f t="shared" si="757"/>
        <v>4901937.1974999998</v>
      </c>
      <c r="UP65" s="5380">
        <f t="shared" si="758"/>
        <v>0.23291622632011785</v>
      </c>
    </row>
    <row r="66" spans="1:566" x14ac:dyDescent="0.3">
      <c r="A66" s="5316">
        <v>7</v>
      </c>
      <c r="B66" s="5376" t="s">
        <v>964</v>
      </c>
      <c r="C66" s="578" t="s">
        <v>144</v>
      </c>
      <c r="D66" s="578" t="s">
        <v>142</v>
      </c>
      <c r="E66" s="6278" t="s">
        <v>145</v>
      </c>
      <c r="F66" s="422"/>
      <c r="G66" s="161"/>
      <c r="H66" s="161"/>
      <c r="I66" s="161"/>
      <c r="J66" s="94"/>
      <c r="K66" s="136"/>
      <c r="L66" s="161"/>
      <c r="M66" s="161"/>
      <c r="N66" s="161"/>
      <c r="O66" s="158"/>
      <c r="P66" s="136"/>
      <c r="Q66" s="161"/>
      <c r="R66" s="161"/>
      <c r="S66" s="161"/>
      <c r="T66" s="94"/>
      <c r="U66" s="136"/>
      <c r="V66" s="161"/>
      <c r="W66" s="161"/>
      <c r="X66" s="161"/>
      <c r="Y66" s="759"/>
      <c r="Z66" s="94"/>
      <c r="AA66" s="422"/>
      <c r="AB66" s="161"/>
      <c r="AC66" s="161"/>
      <c r="AD66" s="161"/>
      <c r="AE66" s="775"/>
      <c r="AF66" s="422"/>
      <c r="AG66" s="113"/>
      <c r="AH66" s="616"/>
      <c r="AI66" s="616"/>
      <c r="AJ66" s="616"/>
      <c r="AK66" s="96"/>
      <c r="AL66" s="114"/>
      <c r="AM66" s="129"/>
      <c r="AN66" s="417"/>
      <c r="AO66" s="130"/>
      <c r="AP66" s="417"/>
      <c r="AQ66" s="417"/>
      <c r="AR66" s="421"/>
      <c r="AS66" s="113"/>
      <c r="AT66" s="760"/>
      <c r="AU66" s="761"/>
      <c r="AV66" s="761"/>
      <c r="AW66" s="116"/>
      <c r="AX66" s="776"/>
      <c r="AY66" s="587"/>
      <c r="AZ66" s="587"/>
      <c r="BA66" s="587"/>
      <c r="BB66" s="588"/>
      <c r="BC66" s="1514"/>
      <c r="BD66" s="759"/>
      <c r="BE66" s="759"/>
      <c r="BF66" s="759"/>
      <c r="BG66" s="775"/>
      <c r="BH66" s="736"/>
      <c r="BI66" s="1514"/>
      <c r="BJ66" s="759"/>
      <c r="BK66" s="759"/>
      <c r="BL66" s="759"/>
      <c r="BM66" s="775"/>
      <c r="BN66" s="736"/>
      <c r="BO66" s="777"/>
      <c r="BP66" s="759"/>
      <c r="BQ66" s="759"/>
      <c r="BR66" s="759"/>
      <c r="BS66" s="775"/>
      <c r="BT66" s="239"/>
      <c r="BU66" s="689"/>
      <c r="BV66" s="592"/>
      <c r="BW66" s="592"/>
      <c r="BX66" s="593"/>
      <c r="BY66" s="691"/>
      <c r="BZ66" s="692"/>
      <c r="CA66" s="692"/>
      <c r="CB66" s="690"/>
      <c r="CC66" s="596"/>
      <c r="CD66" s="798"/>
      <c r="CE66" s="690"/>
      <c r="CF66" s="690"/>
      <c r="CG66" s="690"/>
      <c r="CH66" s="690"/>
      <c r="CI66" s="109"/>
      <c r="CJ66" s="74"/>
      <c r="CK66" s="628"/>
      <c r="CL66" s="661"/>
      <c r="CM66" s="661"/>
      <c r="CN66" s="661"/>
      <c r="CO66" s="360"/>
      <c r="CP66" s="632"/>
      <c r="CQ66" s="109"/>
      <c r="CR66" s="644"/>
      <c r="CS66" s="644"/>
      <c r="CT66" s="109"/>
      <c r="CU66" s="109"/>
      <c r="CV66" s="74"/>
      <c r="CW66" s="133"/>
      <c r="CX66" s="138"/>
      <c r="CY66" s="130"/>
      <c r="CZ66" s="130"/>
      <c r="DA66" s="605"/>
      <c r="DB66" s="114"/>
      <c r="DC66" s="129"/>
      <c r="DD66" s="130"/>
      <c r="DE66" s="134"/>
      <c r="DF66" s="130"/>
      <c r="DG66" s="128"/>
      <c r="DH66" s="169"/>
      <c r="DI66" s="204"/>
      <c r="DJ66" s="202"/>
      <c r="DK66" s="202"/>
      <c r="DL66" s="119"/>
      <c r="DM66" s="202"/>
      <c r="DN66" s="119"/>
      <c r="DO66" s="607"/>
      <c r="DP66" s="137"/>
      <c r="DQ66" s="137"/>
      <c r="DR66" s="137"/>
      <c r="DS66" s="135"/>
      <c r="DT66" s="135"/>
      <c r="DU66" s="135"/>
      <c r="DV66" s="151"/>
      <c r="DW66" s="607"/>
      <c r="DX66" s="780"/>
      <c r="DY66" s="780"/>
      <c r="DZ66" s="780"/>
      <c r="EA66" s="135"/>
      <c r="EB66" s="135"/>
      <c r="EC66" s="135"/>
      <c r="ED66" s="151"/>
      <c r="EE66" s="133"/>
      <c r="EF66" s="138"/>
      <c r="EG66" s="130"/>
      <c r="EH66" s="130"/>
      <c r="EI66" s="605"/>
      <c r="EJ66" s="114"/>
      <c r="EK66" s="129"/>
      <c r="EL66" s="130"/>
      <c r="EM66" s="130"/>
      <c r="EN66" s="130"/>
      <c r="EO66" s="128"/>
      <c r="EP66" s="114"/>
      <c r="EQ66" s="129"/>
      <c r="ER66" s="130"/>
      <c r="ES66" s="130"/>
      <c r="ET66" s="130"/>
      <c r="EU66" s="134"/>
      <c r="EV66" s="114"/>
      <c r="EW66" s="129"/>
      <c r="EX66" s="130"/>
      <c r="EY66" s="130"/>
      <c r="EZ66" s="130"/>
      <c r="FA66" s="128"/>
      <c r="FB66" s="114"/>
      <c r="FC66" s="643"/>
      <c r="FD66" s="644"/>
      <c r="FE66" s="644"/>
      <c r="FF66" s="644"/>
      <c r="FG66" s="74"/>
      <c r="FH66" s="74"/>
      <c r="FI66" s="74"/>
      <c r="FJ66" s="73"/>
      <c r="FK66" s="133"/>
      <c r="FL66" s="134"/>
      <c r="FM66" s="134"/>
      <c r="FN66" s="134"/>
      <c r="FO66" s="134"/>
      <c r="FP66" s="135"/>
      <c r="FQ66" s="133"/>
      <c r="FR66" s="134"/>
      <c r="FS66" s="134"/>
      <c r="FT66" s="191"/>
      <c r="FU66" s="151"/>
      <c r="FV66" s="190"/>
      <c r="FW66" s="191"/>
      <c r="FX66" s="191"/>
      <c r="FY66" s="191"/>
      <c r="FZ66" s="191"/>
      <c r="GA66" s="135"/>
      <c r="GB66" s="135"/>
      <c r="GC66" s="135"/>
      <c r="GD66" s="151"/>
      <c r="GE66" s="187"/>
      <c r="GF66" s="155"/>
      <c r="GG66" s="155"/>
      <c r="GH66" s="74"/>
      <c r="GI66" s="613"/>
      <c r="GJ66" s="187"/>
      <c r="GK66" s="155"/>
      <c r="GL66" s="155"/>
      <c r="GM66" s="613"/>
      <c r="GN66" s="133"/>
      <c r="GO66" s="134"/>
      <c r="GP66" s="134"/>
      <c r="GQ66" s="134"/>
      <c r="GR66" s="134"/>
      <c r="GS66" s="135"/>
      <c r="GT66" s="133"/>
      <c r="GU66" s="134"/>
      <c r="GV66" s="134"/>
      <c r="GW66" s="134"/>
      <c r="GX66" s="190"/>
      <c r="GY66" s="151"/>
      <c r="GZ66" s="614"/>
      <c r="HA66" s="130"/>
      <c r="HB66" s="130"/>
      <c r="HC66" s="134"/>
      <c r="HD66" s="134"/>
      <c r="HE66" s="151"/>
      <c r="HF66" s="138"/>
      <c r="HG66" s="130"/>
      <c r="HH66" s="130"/>
      <c r="HI66" s="130"/>
      <c r="HJ66" s="197"/>
      <c r="HK66" s="201"/>
      <c r="HL66" s="147"/>
      <c r="HM66" s="148"/>
      <c r="HN66" s="148"/>
      <c r="HO66" s="148"/>
      <c r="HP66" s="615"/>
      <c r="HQ66" s="201"/>
      <c r="HR66" s="148"/>
      <c r="HS66" s="148"/>
      <c r="HT66" s="148"/>
      <c r="HU66" s="148"/>
      <c r="HV66" s="197"/>
      <c r="HW66" s="201"/>
      <c r="HX66" s="414"/>
      <c r="HY66" s="241"/>
      <c r="HZ66" s="415"/>
      <c r="IA66" s="135"/>
      <c r="IB66" s="415"/>
      <c r="IC66" s="141"/>
      <c r="ID66" s="642"/>
      <c r="IE66" s="141"/>
      <c r="IF66" s="141"/>
      <c r="IG66" s="74"/>
      <c r="IH66" s="1507"/>
      <c r="II66" s="69"/>
      <c r="IJ66" s="133"/>
      <c r="IK66" s="134"/>
      <c r="IL66" s="134"/>
      <c r="IM66" s="134"/>
      <c r="IN66" s="133"/>
      <c r="IO66" s="151"/>
      <c r="IP66" s="134"/>
      <c r="IQ66" s="134"/>
      <c r="IR66" s="134"/>
      <c r="IS66" s="190"/>
      <c r="IT66" s="151"/>
      <c r="IU66" s="770"/>
      <c r="IV66" s="622"/>
      <c r="IW66" s="622"/>
      <c r="IX66" s="134"/>
      <c r="IY66" s="133"/>
      <c r="IZ66" s="151"/>
      <c r="JA66" s="134"/>
      <c r="JB66" s="134"/>
      <c r="JC66" s="134"/>
      <c r="JD66" s="190"/>
      <c r="JE66" s="196"/>
      <c r="JF66" s="390"/>
      <c r="JG66" s="134"/>
      <c r="JH66" s="134"/>
      <c r="JI66" s="358"/>
      <c r="JJ66" s="133"/>
      <c r="JK66" s="151"/>
      <c r="JL66" s="134"/>
      <c r="JM66" s="134"/>
      <c r="JN66" s="134"/>
      <c r="JO66" s="190"/>
      <c r="JP66" s="196"/>
      <c r="JQ66" s="390"/>
      <c r="JR66" s="191"/>
      <c r="JS66" s="191"/>
      <c r="JT66" s="151"/>
      <c r="JU66" s="390"/>
      <c r="JV66" s="134"/>
      <c r="JW66" s="134"/>
      <c r="JX66" s="358"/>
      <c r="JY66" s="133"/>
      <c r="JZ66" s="151"/>
      <c r="KA66" s="134"/>
      <c r="KB66" s="759"/>
      <c r="KC66" s="134"/>
      <c r="KD66" s="190"/>
      <c r="KE66" s="151"/>
      <c r="KF66" s="390"/>
      <c r="KG66" s="134"/>
      <c r="KH66" s="134"/>
      <c r="KI66" s="358"/>
      <c r="KJ66" s="133"/>
      <c r="KK66" s="151"/>
      <c r="KL66" s="134"/>
      <c r="KM66" s="759"/>
      <c r="KN66" s="134"/>
      <c r="KO66" s="190"/>
      <c r="KP66" s="151"/>
      <c r="KQ66" s="390"/>
      <c r="KR66" s="134"/>
      <c r="KS66" s="134"/>
      <c r="KT66" s="358"/>
      <c r="KU66" s="133"/>
      <c r="KV66" s="151"/>
      <c r="KW66" s="134"/>
      <c r="KX66" s="759"/>
      <c r="KY66" s="134"/>
      <c r="KZ66" s="190"/>
      <c r="LA66" s="151"/>
      <c r="LB66" s="402"/>
      <c r="LC66" s="191"/>
      <c r="LD66" s="191"/>
      <c r="LE66" s="151"/>
      <c r="LF66" s="226"/>
      <c r="LG66" s="128"/>
      <c r="LH66" s="139"/>
      <c r="LI66" s="442"/>
      <c r="LJ66" s="442"/>
      <c r="LK66" s="106"/>
      <c r="LL66" s="390"/>
      <c r="LM66" s="134"/>
      <c r="LN66" s="134"/>
      <c r="LO66" s="358"/>
      <c r="LP66" s="133"/>
      <c r="LQ66" s="151"/>
      <c r="LR66" s="134"/>
      <c r="LS66" s="759"/>
      <c r="LT66" s="134"/>
      <c r="LU66" s="190"/>
      <c r="LV66" s="151"/>
      <c r="LW66" s="134"/>
      <c r="LX66" s="134"/>
      <c r="LY66" s="134"/>
      <c r="LZ66" s="134"/>
      <c r="MA66" s="133"/>
      <c r="MB66" s="151"/>
      <c r="MC66" s="134"/>
      <c r="MD66" s="134"/>
      <c r="ME66" s="134"/>
      <c r="MF66" s="190"/>
      <c r="MG66" s="151"/>
      <c r="MH66" s="134"/>
      <c r="MI66" s="134"/>
      <c r="MJ66" s="134"/>
      <c r="MK66" s="134"/>
      <c r="ML66" s="133"/>
      <c r="MM66" s="151"/>
      <c r="MN66" s="134"/>
      <c r="MO66" s="134"/>
      <c r="MP66" s="134"/>
      <c r="MQ66" s="190"/>
      <c r="MR66" s="151"/>
      <c r="MS66" s="1472"/>
      <c r="MT66" s="118"/>
      <c r="MU66" s="118"/>
      <c r="MV66" s="135"/>
      <c r="MW66" s="133"/>
      <c r="MX66" s="134"/>
      <c r="MY66" s="134"/>
      <c r="MZ66" s="135"/>
      <c r="NA66" s="135"/>
      <c r="NB66" s="151"/>
      <c r="NC66" s="134"/>
      <c r="ND66" s="134"/>
      <c r="NE66" s="134"/>
      <c r="NF66" s="134"/>
      <c r="NG66" s="133"/>
      <c r="NH66" s="196"/>
      <c r="NI66" s="134"/>
      <c r="NJ66" s="134"/>
      <c r="NK66" s="134"/>
      <c r="NL66" s="190"/>
      <c r="NM66" s="135"/>
      <c r="NN66" s="1563"/>
      <c r="NO66" s="134"/>
      <c r="NP66" s="134"/>
      <c r="NQ66" s="134"/>
      <c r="NR66" s="133"/>
      <c r="NS66" s="196"/>
      <c r="NT66" s="134"/>
      <c r="NU66" s="134"/>
      <c r="NV66" s="134"/>
      <c r="NW66" s="190"/>
      <c r="NX66" s="135"/>
      <c r="NY66" s="1563"/>
      <c r="NZ66" s="134"/>
      <c r="OA66" s="134"/>
      <c r="OB66" s="134"/>
      <c r="OC66" s="133"/>
      <c r="OD66" s="151"/>
      <c r="OE66" s="134"/>
      <c r="OF66" s="134"/>
      <c r="OG66" s="134"/>
      <c r="OH66" s="190"/>
      <c r="OI66" s="5380"/>
      <c r="OJ66" s="69"/>
      <c r="OK66" s="155"/>
      <c r="OL66" s="155"/>
      <c r="OM66" s="74"/>
      <c r="ON66" s="155"/>
      <c r="OO66" s="70"/>
      <c r="OP66" s="69"/>
      <c r="OQ66" s="2008"/>
      <c r="OR66" s="208"/>
      <c r="OS66" s="208"/>
      <c r="OT66" s="3546"/>
      <c r="OU66" s="133"/>
      <c r="OV66" s="94"/>
      <c r="OW66" s="134"/>
      <c r="OX66" s="134"/>
      <c r="OY66" s="134"/>
      <c r="OZ66" s="190"/>
      <c r="PA66" s="5361"/>
      <c r="PB66" s="774"/>
      <c r="PC66" s="358"/>
      <c r="PD66" s="622"/>
      <c r="PE66" s="134"/>
      <c r="PF66" s="133"/>
      <c r="PG66" s="94"/>
      <c r="PH66" s="134"/>
      <c r="PI66" s="134"/>
      <c r="PJ66" s="134"/>
      <c r="PK66" s="190"/>
      <c r="PL66" s="135"/>
      <c r="PM66" s="5379">
        <v>2</v>
      </c>
      <c r="PN66" s="134">
        <v>188329</v>
      </c>
      <c r="PO66" s="134">
        <v>242680</v>
      </c>
      <c r="PP66" s="358"/>
      <c r="PQ66" s="6293">
        <f t="shared" si="719"/>
        <v>54351</v>
      </c>
      <c r="PR66" s="6295">
        <f t="shared" si="720"/>
        <v>0.22396159551672984</v>
      </c>
      <c r="PS66" s="134">
        <v>0</v>
      </c>
      <c r="PT66" s="134">
        <v>0</v>
      </c>
      <c r="PU66" s="134"/>
      <c r="PV66" s="190">
        <f t="shared" si="721"/>
        <v>54351</v>
      </c>
      <c r="PW66" s="5380">
        <f t="shared" si="722"/>
        <v>0.22396159551672984</v>
      </c>
      <c r="PX66" s="5320">
        <v>2</v>
      </c>
      <c r="PY66" s="191">
        <f t="shared" si="696"/>
        <v>242680</v>
      </c>
      <c r="PZ66" s="191">
        <f t="shared" si="723"/>
        <v>54351</v>
      </c>
      <c r="QA66" s="135">
        <f t="shared" si="724"/>
        <v>0.22396159551672984</v>
      </c>
      <c r="QB66" s="5390">
        <v>2</v>
      </c>
      <c r="QC66" s="395">
        <v>221726</v>
      </c>
      <c r="QD66" s="395">
        <v>276843</v>
      </c>
      <c r="QE66" s="772">
        <v>0</v>
      </c>
      <c r="QF66" s="6293">
        <f t="shared" si="725"/>
        <v>55117</v>
      </c>
      <c r="QG66" s="6295">
        <f t="shared" si="726"/>
        <v>0.19909118164446998</v>
      </c>
      <c r="QH66" s="134"/>
      <c r="QI66" s="759"/>
      <c r="QJ66" s="134"/>
      <c r="QK66" s="190">
        <f>QF66-SUM(QH66:QJ66)</f>
        <v>55117</v>
      </c>
      <c r="QL66" s="5380">
        <f>QK66/QD66</f>
        <v>0.19909118164446998</v>
      </c>
      <c r="QM66" s="5396">
        <v>2</v>
      </c>
      <c r="QN66" s="208">
        <v>228986</v>
      </c>
      <c r="QO66" s="208">
        <v>270479</v>
      </c>
      <c r="QP66" s="395">
        <v>0</v>
      </c>
      <c r="QQ66" s="133">
        <f t="shared" si="727"/>
        <v>41493</v>
      </c>
      <c r="QR66" s="151">
        <f t="shared" si="728"/>
        <v>0.1534056248359392</v>
      </c>
      <c r="QS66" s="134">
        <v>0</v>
      </c>
      <c r="QT66" s="759">
        <v>0</v>
      </c>
      <c r="QU66" s="134">
        <v>0</v>
      </c>
      <c r="QV66" s="190">
        <f t="shared" si="729"/>
        <v>41493</v>
      </c>
      <c r="QW66" s="5380">
        <f t="shared" si="730"/>
        <v>0.1534056248359392</v>
      </c>
      <c r="QX66" s="5379">
        <v>8</v>
      </c>
      <c r="QY66" s="134">
        <v>765967</v>
      </c>
      <c r="QZ66" s="134">
        <v>925834</v>
      </c>
      <c r="RA66" s="358">
        <v>0</v>
      </c>
      <c r="RB66" s="133">
        <f t="shared" si="731"/>
        <v>159867</v>
      </c>
      <c r="RC66" s="151">
        <f t="shared" si="732"/>
        <v>0.17267350302538037</v>
      </c>
      <c r="RD66" s="134">
        <v>0</v>
      </c>
      <c r="RE66" s="759">
        <v>0</v>
      </c>
      <c r="RF66" s="134">
        <v>50000</v>
      </c>
      <c r="RG66" s="190">
        <f t="shared" si="733"/>
        <v>109867</v>
      </c>
      <c r="RH66" s="5380">
        <f t="shared" si="734"/>
        <v>0.11866814137307552</v>
      </c>
      <c r="RI66" s="5376"/>
      <c r="RJ66" s="191">
        <f t="shared" si="735"/>
        <v>1473156</v>
      </c>
      <c r="RK66" s="191">
        <f t="shared" si="736"/>
        <v>256477</v>
      </c>
      <c r="RL66" s="5380">
        <f t="shared" si="737"/>
        <v>0.17410036683148289</v>
      </c>
      <c r="RM66" s="1562"/>
      <c r="RN66" s="128"/>
      <c r="RO66" s="139"/>
      <c r="RP66" s="442"/>
      <c r="RQ66" s="442"/>
      <c r="RR66" s="6339"/>
      <c r="RS66" s="6327">
        <v>10</v>
      </c>
      <c r="RT66" s="130">
        <v>915900</v>
      </c>
      <c r="RU66" s="130">
        <v>1058785</v>
      </c>
      <c r="RV66" s="2563"/>
      <c r="RW66" s="133">
        <f t="shared" si="740"/>
        <v>142885</v>
      </c>
      <c r="RX66" s="151">
        <f t="shared" si="741"/>
        <v>0.13495185519250841</v>
      </c>
      <c r="RY66" s="134">
        <v>82980</v>
      </c>
      <c r="RZ66" s="759">
        <v>0</v>
      </c>
      <c r="SA66" s="134">
        <v>0</v>
      </c>
      <c r="SB66" s="190">
        <f t="shared" si="742"/>
        <v>59905</v>
      </c>
      <c r="SC66" s="5380">
        <f>SB66/RU66</f>
        <v>5.657900329150866E-2</v>
      </c>
      <c r="SD66" s="5390">
        <v>9</v>
      </c>
      <c r="SE66" s="395">
        <v>853815</v>
      </c>
      <c r="SF66" s="395">
        <v>1106541</v>
      </c>
      <c r="SG66" s="994">
        <v>0</v>
      </c>
      <c r="SH66" s="6361">
        <f t="shared" si="776"/>
        <v>252726</v>
      </c>
      <c r="SI66" s="6363">
        <f t="shared" si="777"/>
        <v>0.22839280243569826</v>
      </c>
      <c r="SJ66" s="134">
        <v>82980</v>
      </c>
      <c r="SK66" s="759">
        <v>63861</v>
      </c>
      <c r="SL66" s="134">
        <v>0</v>
      </c>
      <c r="SM66" s="190">
        <f t="shared" si="778"/>
        <v>105885</v>
      </c>
      <c r="SN66" s="5380">
        <f t="shared" si="779"/>
        <v>9.5690082879893293E-2</v>
      </c>
      <c r="SO66" s="134">
        <v>10</v>
      </c>
      <c r="SP66" s="134">
        <v>935391</v>
      </c>
      <c r="SQ66" s="134">
        <v>1264449</v>
      </c>
      <c r="SR66" s="134">
        <v>0</v>
      </c>
      <c r="SS66" s="6361">
        <f t="shared" si="780"/>
        <v>329058</v>
      </c>
      <c r="ST66" s="6363">
        <f t="shared" si="781"/>
        <v>0.26023825397465616</v>
      </c>
      <c r="SU66" s="134">
        <v>82980</v>
      </c>
      <c r="SV66" s="759">
        <v>89495</v>
      </c>
      <c r="SW66" s="134">
        <v>66460</v>
      </c>
      <c r="SX66" s="190">
        <f t="shared" si="782"/>
        <v>90123</v>
      </c>
      <c r="SY66" s="5380">
        <f t="shared" si="783"/>
        <v>7.1274523527639314E-2</v>
      </c>
      <c r="SZ66" s="6270"/>
      <c r="TA66" s="118">
        <f t="shared" si="784"/>
        <v>3429775</v>
      </c>
      <c r="TB66" s="118">
        <f t="shared" si="785"/>
        <v>724669</v>
      </c>
      <c r="TC66" s="5380">
        <f t="shared" si="786"/>
        <v>0.21128762090807707</v>
      </c>
      <c r="TD66" s="1563">
        <v>10</v>
      </c>
      <c r="TE66" s="134">
        <v>942702</v>
      </c>
      <c r="TF66" s="134">
        <v>1403814</v>
      </c>
      <c r="TG66" s="134"/>
      <c r="TH66" s="133">
        <f t="shared" si="787"/>
        <v>461112</v>
      </c>
      <c r="TI66" s="151">
        <f t="shared" si="788"/>
        <v>0.32847086579846047</v>
      </c>
      <c r="TJ66" s="134">
        <v>82980</v>
      </c>
      <c r="TK66" s="759">
        <v>89495</v>
      </c>
      <c r="TL66" s="134">
        <v>66460</v>
      </c>
      <c r="TM66" s="190">
        <f t="shared" si="789"/>
        <v>222177</v>
      </c>
      <c r="TN66" s="5380">
        <f t="shared" si="790"/>
        <v>0.15826669345084177</v>
      </c>
      <c r="TO66" s="134"/>
      <c r="TP66" s="134"/>
      <c r="TQ66" s="134"/>
      <c r="TR66" s="134"/>
      <c r="TS66" s="133"/>
      <c r="TT66" s="196"/>
      <c r="TU66" s="134"/>
      <c r="TV66" s="134"/>
      <c r="TW66" s="134"/>
      <c r="TX66" s="190"/>
      <c r="TY66" s="135"/>
      <c r="TZ66" s="1563"/>
      <c r="UA66" s="134"/>
      <c r="UB66" s="134"/>
      <c r="UC66" s="134"/>
      <c r="UD66" s="133"/>
      <c r="UE66" s="151"/>
      <c r="UF66" s="134"/>
      <c r="UG66" s="134"/>
      <c r="UH66" s="134"/>
      <c r="UI66" s="190"/>
      <c r="UJ66" s="5380"/>
      <c r="UK66" s="5376"/>
      <c r="UL66" s="191">
        <f t="shared" si="754"/>
        <v>6549425</v>
      </c>
      <c r="UM66" s="191">
        <f t="shared" si="755"/>
        <v>1496609</v>
      </c>
      <c r="UN66" s="135">
        <f>UM66/UL66</f>
        <v>0.22850998370085923</v>
      </c>
      <c r="UO66" s="191">
        <f t="shared" si="757"/>
        <v>738918</v>
      </c>
      <c r="UP66" s="5380">
        <f t="shared" si="758"/>
        <v>0.11282181260186963</v>
      </c>
      <c r="UT66" s="63">
        <f>58</f>
        <v>58</v>
      </c>
    </row>
    <row r="67" spans="1:566" x14ac:dyDescent="0.3">
      <c r="A67" s="5316">
        <v>8</v>
      </c>
      <c r="B67" s="5376" t="s">
        <v>650</v>
      </c>
      <c r="C67" s="578" t="s">
        <v>144</v>
      </c>
      <c r="D67" s="578" t="s">
        <v>142</v>
      </c>
      <c r="E67" s="6278" t="s">
        <v>145</v>
      </c>
      <c r="F67" s="422"/>
      <c r="G67" s="161"/>
      <c r="H67" s="161"/>
      <c r="I67" s="161"/>
      <c r="J67" s="94"/>
      <c r="K67" s="136"/>
      <c r="L67" s="161"/>
      <c r="M67" s="161"/>
      <c r="N67" s="161"/>
      <c r="O67" s="158"/>
      <c r="P67" s="136"/>
      <c r="Q67" s="161"/>
      <c r="R67" s="161"/>
      <c r="S67" s="161"/>
      <c r="T67" s="94"/>
      <c r="U67" s="136"/>
      <c r="V67" s="161"/>
      <c r="W67" s="161"/>
      <c r="X67" s="161"/>
      <c r="Y67" s="759"/>
      <c r="Z67" s="94"/>
      <c r="AA67" s="422"/>
      <c r="AB67" s="161"/>
      <c r="AC67" s="161"/>
      <c r="AD67" s="161"/>
      <c r="AE67" s="775"/>
      <c r="AF67" s="422"/>
      <c r="AG67" s="113"/>
      <c r="AH67" s="616"/>
      <c r="AI67" s="616"/>
      <c r="AJ67" s="616"/>
      <c r="AK67" s="96"/>
      <c r="AL67" s="114"/>
      <c r="AM67" s="129"/>
      <c r="AN67" s="417"/>
      <c r="AO67" s="130"/>
      <c r="AP67" s="417"/>
      <c r="AQ67" s="417"/>
      <c r="AR67" s="421"/>
      <c r="AS67" s="113"/>
      <c r="AT67" s="760"/>
      <c r="AU67" s="761"/>
      <c r="AV67" s="761"/>
      <c r="AW67" s="116"/>
      <c r="AX67" s="776"/>
      <c r="AY67" s="587"/>
      <c r="AZ67" s="587"/>
      <c r="BA67" s="587"/>
      <c r="BB67" s="588"/>
      <c r="BC67" s="1514"/>
      <c r="BD67" s="759"/>
      <c r="BE67" s="759"/>
      <c r="BF67" s="759"/>
      <c r="BG67" s="775"/>
      <c r="BH67" s="736"/>
      <c r="BI67" s="1514"/>
      <c r="BJ67" s="759"/>
      <c r="BK67" s="759"/>
      <c r="BL67" s="759"/>
      <c r="BM67" s="775"/>
      <c r="BN67" s="736"/>
      <c r="BO67" s="777"/>
      <c r="BP67" s="759"/>
      <c r="BQ67" s="759"/>
      <c r="BR67" s="759"/>
      <c r="BS67" s="775"/>
      <c r="BT67" s="239"/>
      <c r="BU67" s="689"/>
      <c r="BV67" s="592"/>
      <c r="BW67" s="592"/>
      <c r="BX67" s="593"/>
      <c r="BY67" s="691"/>
      <c r="BZ67" s="692"/>
      <c r="CA67" s="692"/>
      <c r="CB67" s="690"/>
      <c r="CC67" s="596"/>
      <c r="CD67" s="798"/>
      <c r="CE67" s="690"/>
      <c r="CF67" s="690"/>
      <c r="CG67" s="690"/>
      <c r="CH67" s="690"/>
      <c r="CI67" s="109"/>
      <c r="CJ67" s="74"/>
      <c r="CK67" s="628"/>
      <c r="CL67" s="661"/>
      <c r="CM67" s="661"/>
      <c r="CN67" s="661"/>
      <c r="CO67" s="360"/>
      <c r="CP67" s="632"/>
      <c r="CQ67" s="109"/>
      <c r="CR67" s="644"/>
      <c r="CS67" s="644"/>
      <c r="CT67" s="109"/>
      <c r="CU67" s="109"/>
      <c r="CV67" s="74"/>
      <c r="CW67" s="133"/>
      <c r="CX67" s="138"/>
      <c r="CY67" s="130"/>
      <c r="CZ67" s="130"/>
      <c r="DA67" s="605"/>
      <c r="DB67" s="114"/>
      <c r="DC67" s="129"/>
      <c r="DD67" s="130"/>
      <c r="DE67" s="134"/>
      <c r="DF67" s="130"/>
      <c r="DG67" s="128"/>
      <c r="DH67" s="169"/>
      <c r="DI67" s="204"/>
      <c r="DJ67" s="202"/>
      <c r="DK67" s="202"/>
      <c r="DL67" s="119"/>
      <c r="DM67" s="202"/>
      <c r="DN67" s="119"/>
      <c r="DO67" s="607"/>
      <c r="DP67" s="137"/>
      <c r="DQ67" s="137"/>
      <c r="DR67" s="137"/>
      <c r="DS67" s="135"/>
      <c r="DT67" s="135"/>
      <c r="DU67" s="135"/>
      <c r="DV67" s="151"/>
      <c r="DW67" s="607"/>
      <c r="DX67" s="780"/>
      <c r="DY67" s="780"/>
      <c r="DZ67" s="780"/>
      <c r="EA67" s="135"/>
      <c r="EB67" s="135"/>
      <c r="EC67" s="135"/>
      <c r="ED67" s="151"/>
      <c r="EE67" s="133"/>
      <c r="EF67" s="138"/>
      <c r="EG67" s="130"/>
      <c r="EH67" s="130"/>
      <c r="EI67" s="605"/>
      <c r="EJ67" s="114"/>
      <c r="EK67" s="129"/>
      <c r="EL67" s="130"/>
      <c r="EM67" s="130"/>
      <c r="EN67" s="130"/>
      <c r="EO67" s="128"/>
      <c r="EP67" s="114"/>
      <c r="EQ67" s="129"/>
      <c r="ER67" s="130"/>
      <c r="ES67" s="130"/>
      <c r="ET67" s="130"/>
      <c r="EU67" s="134"/>
      <c r="EV67" s="114"/>
      <c r="EW67" s="129"/>
      <c r="EX67" s="130"/>
      <c r="EY67" s="130"/>
      <c r="EZ67" s="130"/>
      <c r="FA67" s="128"/>
      <c r="FB67" s="114"/>
      <c r="FC67" s="643"/>
      <c r="FD67" s="644"/>
      <c r="FE67" s="644"/>
      <c r="FF67" s="644"/>
      <c r="FG67" s="74"/>
      <c r="FH67" s="74"/>
      <c r="FI67" s="74"/>
      <c r="FJ67" s="73"/>
      <c r="FK67" s="133"/>
      <c r="FL67" s="134"/>
      <c r="FM67" s="134"/>
      <c r="FN67" s="134"/>
      <c r="FO67" s="134"/>
      <c r="FP67" s="135"/>
      <c r="FQ67" s="133"/>
      <c r="FR67" s="134"/>
      <c r="FS67" s="134"/>
      <c r="FT67" s="191"/>
      <c r="FU67" s="151"/>
      <c r="FV67" s="190"/>
      <c r="FW67" s="191"/>
      <c r="FX67" s="191"/>
      <c r="FY67" s="191"/>
      <c r="FZ67" s="191"/>
      <c r="GA67" s="135"/>
      <c r="GB67" s="135"/>
      <c r="GC67" s="135"/>
      <c r="GD67" s="151"/>
      <c r="GE67" s="187"/>
      <c r="GF67" s="155"/>
      <c r="GG67" s="155"/>
      <c r="GH67" s="74"/>
      <c r="GI67" s="613"/>
      <c r="GJ67" s="187"/>
      <c r="GK67" s="155"/>
      <c r="GL67" s="155"/>
      <c r="GM67" s="613"/>
      <c r="GN67" s="133"/>
      <c r="GO67" s="134"/>
      <c r="GP67" s="134"/>
      <c r="GQ67" s="134"/>
      <c r="GR67" s="134"/>
      <c r="GS67" s="135"/>
      <c r="GT67" s="133"/>
      <c r="GU67" s="134"/>
      <c r="GV67" s="134"/>
      <c r="GW67" s="134"/>
      <c r="GX67" s="190"/>
      <c r="GY67" s="151"/>
      <c r="GZ67" s="614"/>
      <c r="HA67" s="130"/>
      <c r="HB67" s="130"/>
      <c r="HC67" s="134"/>
      <c r="HD67" s="134"/>
      <c r="HE67" s="151"/>
      <c r="HF67" s="138"/>
      <c r="HG67" s="130"/>
      <c r="HH67" s="130"/>
      <c r="HI67" s="130"/>
      <c r="HJ67" s="197"/>
      <c r="HK67" s="201"/>
      <c r="HL67" s="147"/>
      <c r="HM67" s="148"/>
      <c r="HN67" s="148"/>
      <c r="HO67" s="148"/>
      <c r="HP67" s="615"/>
      <c r="HQ67" s="201"/>
      <c r="HR67" s="148"/>
      <c r="HS67" s="148"/>
      <c r="HT67" s="148"/>
      <c r="HU67" s="148"/>
      <c r="HV67" s="197"/>
      <c r="HW67" s="201"/>
      <c r="HX67" s="414"/>
      <c r="HY67" s="241"/>
      <c r="HZ67" s="415"/>
      <c r="IA67" s="135"/>
      <c r="IB67" s="415"/>
      <c r="IC67" s="141"/>
      <c r="ID67" s="642"/>
      <c r="IE67" s="141"/>
      <c r="IF67" s="141"/>
      <c r="IG67" s="74"/>
      <c r="IH67" s="1507"/>
      <c r="II67" s="69"/>
      <c r="IJ67" s="133"/>
      <c r="IK67" s="134"/>
      <c r="IL67" s="134"/>
      <c r="IM67" s="134"/>
      <c r="IN67" s="133"/>
      <c r="IO67" s="151"/>
      <c r="IP67" s="134"/>
      <c r="IQ67" s="134"/>
      <c r="IR67" s="134"/>
      <c r="IS67" s="190"/>
      <c r="IT67" s="151"/>
      <c r="IU67" s="770"/>
      <c r="IV67" s="622"/>
      <c r="IW67" s="622"/>
      <c r="IX67" s="134"/>
      <c r="IY67" s="133"/>
      <c r="IZ67" s="151"/>
      <c r="JA67" s="134"/>
      <c r="JB67" s="134"/>
      <c r="JC67" s="134"/>
      <c r="JD67" s="190"/>
      <c r="JE67" s="196"/>
      <c r="JF67" s="390"/>
      <c r="JG67" s="134"/>
      <c r="JH67" s="134"/>
      <c r="JI67" s="358"/>
      <c r="JJ67" s="133"/>
      <c r="JK67" s="151"/>
      <c r="JL67" s="134"/>
      <c r="JM67" s="134"/>
      <c r="JN67" s="134"/>
      <c r="JO67" s="190"/>
      <c r="JP67" s="196"/>
      <c r="JQ67" s="390"/>
      <c r="JR67" s="191"/>
      <c r="JS67" s="191"/>
      <c r="JT67" s="151"/>
      <c r="JU67" s="390"/>
      <c r="JV67" s="134"/>
      <c r="JW67" s="134"/>
      <c r="JX67" s="358"/>
      <c r="JY67" s="133"/>
      <c r="JZ67" s="151"/>
      <c r="KA67" s="134"/>
      <c r="KB67" s="759"/>
      <c r="KC67" s="134"/>
      <c r="KD67" s="190"/>
      <c r="KE67" s="151"/>
      <c r="KF67" s="390"/>
      <c r="KG67" s="134"/>
      <c r="KH67" s="134"/>
      <c r="KI67" s="358"/>
      <c r="KJ67" s="133"/>
      <c r="KK67" s="151"/>
      <c r="KL67" s="134"/>
      <c r="KM67" s="759"/>
      <c r="KN67" s="134"/>
      <c r="KO67" s="190"/>
      <c r="KP67" s="151"/>
      <c r="KQ67" s="390"/>
      <c r="KR67" s="134"/>
      <c r="KS67" s="134"/>
      <c r="KT67" s="358"/>
      <c r="KU67" s="133"/>
      <c r="KV67" s="151"/>
      <c r="KW67" s="134"/>
      <c r="KX67" s="759"/>
      <c r="KY67" s="134"/>
      <c r="KZ67" s="190"/>
      <c r="LA67" s="151"/>
      <c r="LB67" s="402"/>
      <c r="LC67" s="191"/>
      <c r="LD67" s="191"/>
      <c r="LE67" s="151"/>
      <c r="LF67" s="226"/>
      <c r="LG67" s="128"/>
      <c r="LH67" s="139"/>
      <c r="LI67" s="442"/>
      <c r="LJ67" s="442"/>
      <c r="LK67" s="106"/>
      <c r="LL67" s="390"/>
      <c r="LM67" s="134"/>
      <c r="LN67" s="134"/>
      <c r="LO67" s="358"/>
      <c r="LP67" s="133"/>
      <c r="LQ67" s="151"/>
      <c r="LR67" s="134"/>
      <c r="LS67" s="759"/>
      <c r="LT67" s="134"/>
      <c r="LU67" s="190"/>
      <c r="LV67" s="151"/>
      <c r="LW67" s="134"/>
      <c r="LX67" s="134"/>
      <c r="LY67" s="134"/>
      <c r="LZ67" s="134"/>
      <c r="MA67" s="133"/>
      <c r="MB67" s="151"/>
      <c r="MC67" s="134"/>
      <c r="MD67" s="134"/>
      <c r="ME67" s="134"/>
      <c r="MF67" s="190"/>
      <c r="MG67" s="151"/>
      <c r="MH67" s="134"/>
      <c r="MI67" s="134"/>
      <c r="MJ67" s="134"/>
      <c r="MK67" s="134"/>
      <c r="ML67" s="133"/>
      <c r="MM67" s="151"/>
      <c r="MN67" s="134"/>
      <c r="MO67" s="134"/>
      <c r="MP67" s="134"/>
      <c r="MQ67" s="190"/>
      <c r="MR67" s="151"/>
      <c r="MS67" s="1472"/>
      <c r="MT67" s="118"/>
      <c r="MU67" s="118"/>
      <c r="MV67" s="135"/>
      <c r="MW67" s="133"/>
      <c r="MX67" s="134"/>
      <c r="MY67" s="134"/>
      <c r="MZ67" s="135"/>
      <c r="NA67" s="135"/>
      <c r="NB67" s="151"/>
      <c r="NC67" s="134"/>
      <c r="ND67" s="134"/>
      <c r="NE67" s="134"/>
      <c r="NF67" s="134"/>
      <c r="NG67" s="133"/>
      <c r="NH67" s="196"/>
      <c r="NI67" s="134"/>
      <c r="NJ67" s="134"/>
      <c r="NK67" s="134"/>
      <c r="NL67" s="190"/>
      <c r="NM67" s="135"/>
      <c r="NN67" s="1563"/>
      <c r="NO67" s="134"/>
      <c r="NP67" s="134"/>
      <c r="NQ67" s="134"/>
      <c r="NR67" s="133"/>
      <c r="NS67" s="196"/>
      <c r="NT67" s="134"/>
      <c r="NU67" s="134"/>
      <c r="NV67" s="134"/>
      <c r="NW67" s="190">
        <f>NR67-SUM(NT67:NV67)</f>
        <v>0</v>
      </c>
      <c r="NX67" s="135"/>
      <c r="NY67" s="1563">
        <v>2</v>
      </c>
      <c r="NZ67" s="134">
        <v>283334</v>
      </c>
      <c r="OA67" s="134">
        <v>455400</v>
      </c>
      <c r="OB67" s="134">
        <v>0</v>
      </c>
      <c r="OC67" s="133">
        <f t="shared" ref="OC67:OC72" si="791">OA67-(NZ67+OB67)</f>
        <v>172066</v>
      </c>
      <c r="OD67" s="151">
        <f>OC67/OA67</f>
        <v>0.37783487044356612</v>
      </c>
      <c r="OE67" s="134">
        <v>0</v>
      </c>
      <c r="OF67" s="134">
        <v>0</v>
      </c>
      <c r="OG67" s="134">
        <v>0</v>
      </c>
      <c r="OH67" s="190">
        <f t="shared" ref="OH67:OH72" si="792">OC67-SUM(OE67:OG67)</f>
        <v>172066</v>
      </c>
      <c r="OI67" s="5380">
        <v>2</v>
      </c>
      <c r="OJ67" s="69">
        <v>2</v>
      </c>
      <c r="OK67" s="155">
        <f t="shared" ref="OK67:OK72" si="793">OA67+NP67+NE67+MJ67+LY67+LN67+KS67+KH67+JW67+JG67+IW67+IL67</f>
        <v>455400</v>
      </c>
      <c r="OL67" s="155">
        <f t="shared" ref="OL67:OL72" si="794">OC67+NR67+NG67+ML67+MA67+LP67+KU67+KJ67+JY67+JI67+IY67+IN67</f>
        <v>172066</v>
      </c>
      <c r="OM67" s="74">
        <f t="shared" ref="OM67:OM72" si="795">OL67/OK67</f>
        <v>0.37783487044356612</v>
      </c>
      <c r="ON67" s="155">
        <f t="shared" ref="ON67:ON72" si="796">OH67+NW67+NL67+MQ67+MF67+LU67+KZ67+KO67+KD67+JN67+JD67+IS67</f>
        <v>172066</v>
      </c>
      <c r="OO67" s="70"/>
      <c r="OP67" s="69"/>
      <c r="OQ67" s="2008">
        <v>2</v>
      </c>
      <c r="OR67" s="208">
        <v>277566</v>
      </c>
      <c r="OS67" s="208">
        <v>427700</v>
      </c>
      <c r="OT67" s="3546"/>
      <c r="OU67" s="133">
        <f t="shared" ref="OU67:OU72" si="797">OS67-(OR67+OT67)</f>
        <v>150134</v>
      </c>
      <c r="OV67" s="94">
        <f>OU67/OS67</f>
        <v>0.35102642038812254</v>
      </c>
      <c r="OW67" s="134"/>
      <c r="OX67" s="134">
        <v>50000</v>
      </c>
      <c r="OY67" s="134"/>
      <c r="OZ67" s="190">
        <f>OU67-SUM(OW67:OY67)</f>
        <v>100134</v>
      </c>
      <c r="PA67" s="5361">
        <f t="shared" ref="PA67:PA72" si="798">OZ67/OS67</f>
        <v>0.23412204816460136</v>
      </c>
      <c r="PB67" s="698">
        <v>5</v>
      </c>
      <c r="PC67" s="208">
        <v>379342</v>
      </c>
      <c r="PD67" s="208">
        <v>634000</v>
      </c>
      <c r="PE67" s="395">
        <v>1181</v>
      </c>
      <c r="PF67" s="133">
        <f t="shared" ref="PF67:PF72" si="799">PD67-(PC67+PE67)</f>
        <v>253477</v>
      </c>
      <c r="PG67" s="94">
        <f t="shared" ref="PG67:PG72" si="800">PF67/PD67</f>
        <v>0.39980599369085174</v>
      </c>
      <c r="PH67" s="134">
        <v>59204</v>
      </c>
      <c r="PI67" s="134">
        <v>0</v>
      </c>
      <c r="PJ67" s="134">
        <v>50000</v>
      </c>
      <c r="PK67" s="190">
        <f>PF67-SUM(PH67:PJ67)</f>
        <v>144273</v>
      </c>
      <c r="PL67" s="135">
        <f>PK67/PD67</f>
        <v>0.22755993690851736</v>
      </c>
      <c r="PM67" s="5379">
        <v>5</v>
      </c>
      <c r="PN67" s="134">
        <v>626766</v>
      </c>
      <c r="PO67" s="134">
        <v>890355</v>
      </c>
      <c r="PP67" s="358">
        <v>0</v>
      </c>
      <c r="PQ67" s="6293">
        <f t="shared" si="719"/>
        <v>263589</v>
      </c>
      <c r="PR67" s="6295">
        <f t="shared" si="720"/>
        <v>0.29604932863857675</v>
      </c>
      <c r="PS67" s="134">
        <v>60559</v>
      </c>
      <c r="PT67" s="134">
        <v>0</v>
      </c>
      <c r="PU67" s="134">
        <v>50000</v>
      </c>
      <c r="PV67" s="190">
        <f t="shared" si="721"/>
        <v>153030</v>
      </c>
      <c r="PW67" s="5380">
        <f t="shared" si="722"/>
        <v>0.17187526323769733</v>
      </c>
      <c r="PX67" s="5320">
        <v>5</v>
      </c>
      <c r="PY67" s="191">
        <f t="shared" si="696"/>
        <v>1952055</v>
      </c>
      <c r="PZ67" s="191">
        <f t="shared" si="723"/>
        <v>667200</v>
      </c>
      <c r="QA67" s="135">
        <f t="shared" si="724"/>
        <v>0.34179364823224756</v>
      </c>
      <c r="QB67" s="5390">
        <v>4</v>
      </c>
      <c r="QC67" s="395">
        <v>445395</v>
      </c>
      <c r="QD67" s="395">
        <v>809740</v>
      </c>
      <c r="QE67" s="772">
        <v>0</v>
      </c>
      <c r="QF67" s="6293">
        <f t="shared" si="725"/>
        <v>364345</v>
      </c>
      <c r="QG67" s="6295">
        <f t="shared" si="726"/>
        <v>0.4499530713562378</v>
      </c>
      <c r="QH67" s="134">
        <v>25125</v>
      </c>
      <c r="QI67" s="759"/>
      <c r="QJ67" s="134">
        <v>50000</v>
      </c>
      <c r="QK67" s="190">
        <f>QF67-SUM(QH67:QJ67)</f>
        <v>289220</v>
      </c>
      <c r="QL67" s="5380">
        <f>QK67/QD67</f>
        <v>0.35717637760268728</v>
      </c>
      <c r="QM67" s="5396">
        <v>3</v>
      </c>
      <c r="QN67" s="208">
        <v>397826</v>
      </c>
      <c r="QO67" s="208">
        <v>579860</v>
      </c>
      <c r="QP67" s="395">
        <v>0</v>
      </c>
      <c r="QQ67" s="133">
        <f t="shared" si="727"/>
        <v>182034</v>
      </c>
      <c r="QR67" s="151">
        <f t="shared" si="728"/>
        <v>0.3139274997413169</v>
      </c>
      <c r="QS67" s="134">
        <v>0</v>
      </c>
      <c r="QT67" s="759"/>
      <c r="QU67" s="134">
        <v>0</v>
      </c>
      <c r="QV67" s="190">
        <f t="shared" si="729"/>
        <v>182034</v>
      </c>
      <c r="QW67" s="5380">
        <f t="shared" si="730"/>
        <v>0.3139274997413169</v>
      </c>
      <c r="QX67" s="5379">
        <v>3</v>
      </c>
      <c r="QY67" s="134">
        <v>397826</v>
      </c>
      <c r="QZ67" s="134">
        <v>611550</v>
      </c>
      <c r="RA67" s="358">
        <v>0</v>
      </c>
      <c r="RB67" s="133">
        <f t="shared" si="731"/>
        <v>213724</v>
      </c>
      <c r="RC67" s="151">
        <f t="shared" si="732"/>
        <v>0.34947919221649903</v>
      </c>
      <c r="RD67" s="134">
        <v>35000</v>
      </c>
      <c r="RE67" s="759"/>
      <c r="RF67" s="134">
        <v>50000</v>
      </c>
      <c r="RG67" s="190">
        <f t="shared" si="733"/>
        <v>128724</v>
      </c>
      <c r="RH67" s="5380">
        <f t="shared" si="734"/>
        <v>0.21048810399803777</v>
      </c>
      <c r="RI67" s="5376"/>
      <c r="RJ67" s="191">
        <f t="shared" si="735"/>
        <v>2001150</v>
      </c>
      <c r="RK67" s="191">
        <f t="shared" si="736"/>
        <v>760103</v>
      </c>
      <c r="RL67" s="5380">
        <f t="shared" si="737"/>
        <v>0.37983309596981735</v>
      </c>
      <c r="RM67" s="1562"/>
      <c r="RN67" s="128"/>
      <c r="RO67" s="139"/>
      <c r="RP67" s="442"/>
      <c r="RQ67" s="442"/>
      <c r="RR67" s="6339"/>
      <c r="RS67" s="6327">
        <v>3</v>
      </c>
      <c r="RT67" s="130">
        <v>330641</v>
      </c>
      <c r="RU67" s="130">
        <v>471640</v>
      </c>
      <c r="RV67" s="2563"/>
      <c r="RW67" s="133">
        <f t="shared" si="740"/>
        <v>140999</v>
      </c>
      <c r="RX67" s="151">
        <f t="shared" si="741"/>
        <v>0.29895471122042233</v>
      </c>
      <c r="RY67" s="134">
        <v>40000</v>
      </c>
      <c r="RZ67" s="759">
        <v>0</v>
      </c>
      <c r="SA67" s="134">
        <v>0</v>
      </c>
      <c r="SB67" s="190">
        <f t="shared" si="742"/>
        <v>100999</v>
      </c>
      <c r="SC67" s="5380">
        <f>SB67/RU67</f>
        <v>0.214144262573149</v>
      </c>
      <c r="SD67" s="110">
        <v>3</v>
      </c>
      <c r="SE67" s="208">
        <v>349582</v>
      </c>
      <c r="SF67" s="395">
        <v>540400</v>
      </c>
      <c r="SG67" s="994">
        <v>0</v>
      </c>
      <c r="SH67" s="6361">
        <f t="shared" si="776"/>
        <v>190818</v>
      </c>
      <c r="SI67" s="6363">
        <f t="shared" si="777"/>
        <v>0.35310510732790523</v>
      </c>
      <c r="SJ67" s="134">
        <v>40000</v>
      </c>
      <c r="SK67" s="759">
        <v>0</v>
      </c>
      <c r="SL67" s="134">
        <v>0</v>
      </c>
      <c r="SM67" s="190">
        <f t="shared" si="778"/>
        <v>150818</v>
      </c>
      <c r="SN67" s="5380">
        <f t="shared" si="779"/>
        <v>0.27908586232420429</v>
      </c>
      <c r="SO67" s="134">
        <v>3</v>
      </c>
      <c r="SP67" s="134">
        <v>345556</v>
      </c>
      <c r="SQ67" s="134">
        <v>548220</v>
      </c>
      <c r="SR67" s="134">
        <v>0</v>
      </c>
      <c r="SS67" s="6361">
        <f t="shared" si="780"/>
        <v>202664</v>
      </c>
      <c r="ST67" s="6363">
        <f t="shared" si="781"/>
        <v>0.36967640728174822</v>
      </c>
      <c r="SU67" s="134">
        <v>40000</v>
      </c>
      <c r="SV67" s="134">
        <v>66027</v>
      </c>
      <c r="SW67" s="134">
        <v>0</v>
      </c>
      <c r="SX67" s="190">
        <f t="shared" si="782"/>
        <v>96637</v>
      </c>
      <c r="SY67" s="5380">
        <f t="shared" si="783"/>
        <v>0.17627412352705119</v>
      </c>
      <c r="SZ67" s="6270"/>
      <c r="TA67" s="118">
        <f t="shared" si="784"/>
        <v>1560260</v>
      </c>
      <c r="TB67" s="118">
        <f t="shared" si="785"/>
        <v>534481</v>
      </c>
      <c r="TC67" s="5380">
        <f t="shared" si="786"/>
        <v>0.34255893248561137</v>
      </c>
      <c r="TD67" s="1563">
        <v>3</v>
      </c>
      <c r="TE67" s="134">
        <v>349582</v>
      </c>
      <c r="TF67" s="134">
        <v>577440</v>
      </c>
      <c r="TG67" s="134">
        <v>3461</v>
      </c>
      <c r="TH67" s="133">
        <f t="shared" si="787"/>
        <v>224397</v>
      </c>
      <c r="TI67" s="151">
        <f t="shared" si="788"/>
        <v>0.38860660847880302</v>
      </c>
      <c r="TJ67" s="134">
        <v>40000</v>
      </c>
      <c r="TK67" s="134">
        <v>66027</v>
      </c>
      <c r="TL67" s="134">
        <v>1222</v>
      </c>
      <c r="TM67" s="190">
        <f t="shared" si="789"/>
        <v>117148</v>
      </c>
      <c r="TN67" s="5380">
        <f t="shared" si="790"/>
        <v>0.20287475755056802</v>
      </c>
      <c r="TO67" s="134"/>
      <c r="TP67" s="134"/>
      <c r="TQ67" s="134"/>
      <c r="TR67" s="134"/>
      <c r="TS67" s="133"/>
      <c r="TT67" s="196"/>
      <c r="TU67" s="134"/>
      <c r="TV67" s="134"/>
      <c r="TW67" s="134"/>
      <c r="TX67" s="190">
        <f>TS67-SUM(TU67:TW67)</f>
        <v>0</v>
      </c>
      <c r="TY67" s="135"/>
      <c r="TZ67" s="1563"/>
      <c r="UA67" s="134"/>
      <c r="UB67" s="134"/>
      <c r="UC67" s="134"/>
      <c r="UD67" s="133">
        <f>UB67-(UA67+UC67)</f>
        <v>0</v>
      </c>
      <c r="UE67" s="151" t="e">
        <f>UD67/UB67</f>
        <v>#DIV/0!</v>
      </c>
      <c r="UF67" s="134"/>
      <c r="UG67" s="134"/>
      <c r="UH67" s="134"/>
      <c r="UI67" s="190">
        <f>UD67-SUM(UF67:UH67)</f>
        <v>0</v>
      </c>
      <c r="UJ67" s="5380">
        <v>2</v>
      </c>
      <c r="UK67" s="5376"/>
      <c r="UL67" s="191">
        <f t="shared" si="754"/>
        <v>6090905</v>
      </c>
      <c r="UM67" s="191">
        <f t="shared" si="755"/>
        <v>2186181</v>
      </c>
      <c r="UN67" s="135">
        <f>UM67/UL67</f>
        <v>0.35892547987532231</v>
      </c>
      <c r="UO67" s="191">
        <f t="shared" si="757"/>
        <v>1463017</v>
      </c>
      <c r="UP67" s="5380">
        <f t="shared" si="758"/>
        <v>0.24019698222185373</v>
      </c>
      <c r="UT67" s="63">
        <f>10-UT66</f>
        <v>-48</v>
      </c>
    </row>
    <row r="68" spans="1:566" x14ac:dyDescent="0.3">
      <c r="A68" s="5316">
        <v>9</v>
      </c>
      <c r="B68" s="5360" t="s">
        <v>149</v>
      </c>
      <c r="C68" s="578" t="s">
        <v>144</v>
      </c>
      <c r="D68" s="578" t="s">
        <v>142</v>
      </c>
      <c r="E68" s="6278" t="s">
        <v>145</v>
      </c>
      <c r="F68" s="422">
        <v>4</v>
      </c>
      <c r="G68" s="161">
        <v>787116</v>
      </c>
      <c r="H68" s="161">
        <v>953662</v>
      </c>
      <c r="I68" s="161">
        <v>166546</v>
      </c>
      <c r="J68" s="94">
        <f>I68/H68</f>
        <v>0.17463839389636998</v>
      </c>
      <c r="K68" s="113">
        <v>3</v>
      </c>
      <c r="L68" s="161">
        <v>575829</v>
      </c>
      <c r="M68" s="161">
        <v>765051</v>
      </c>
      <c r="N68" s="161">
        <v>172504</v>
      </c>
      <c r="O68" s="158">
        <f>N68/M68</f>
        <v>0.22548039281041396</v>
      </c>
      <c r="P68" s="136">
        <v>3</v>
      </c>
      <c r="Q68" s="161">
        <v>398610</v>
      </c>
      <c r="R68" s="161">
        <v>486190</v>
      </c>
      <c r="S68" s="161">
        <v>80483</v>
      </c>
      <c r="T68" s="94">
        <f>S68/R68</f>
        <v>0.16553816409222732</v>
      </c>
      <c r="U68" s="136">
        <v>3</v>
      </c>
      <c r="V68" s="161">
        <v>132870</v>
      </c>
      <c r="W68" s="161">
        <v>168126</v>
      </c>
      <c r="X68" s="161">
        <v>0</v>
      </c>
      <c r="Y68" s="759">
        <f t="shared" ref="Y68:Y79" si="801">W68-(V68+X68)</f>
        <v>35256</v>
      </c>
      <c r="Z68" s="94">
        <f>Y68/W68</f>
        <v>0.20969986795617573</v>
      </c>
      <c r="AA68" s="422">
        <v>2</v>
      </c>
      <c r="AB68" s="161">
        <v>72081</v>
      </c>
      <c r="AC68" s="161">
        <v>97643</v>
      </c>
      <c r="AD68" s="161">
        <v>0</v>
      </c>
      <c r="AE68" s="775">
        <f t="shared" ref="AE68:AE79" si="802">AC68-(AB68+AD68)</f>
        <v>25562</v>
      </c>
      <c r="AF68" s="422"/>
      <c r="AG68" s="113">
        <v>2</v>
      </c>
      <c r="AH68" s="616">
        <v>82625</v>
      </c>
      <c r="AI68" s="616">
        <v>91153</v>
      </c>
      <c r="AJ68" s="616"/>
      <c r="AK68" s="96">
        <f t="shared" ref="AK68:AK78" si="803">AI68-(AH68+AJ68)</f>
        <v>8528</v>
      </c>
      <c r="AL68" s="114">
        <f>AK68/AI68</f>
        <v>9.3556986604938955E-2</v>
      </c>
      <c r="AM68" s="129">
        <v>0</v>
      </c>
      <c r="AN68" s="417">
        <v>97232</v>
      </c>
      <c r="AO68" s="130">
        <v>0</v>
      </c>
      <c r="AP68" s="417">
        <v>95475.060000000012</v>
      </c>
      <c r="AQ68" s="417">
        <f>AK68-AM68-AN68-AO68-AP68</f>
        <v>-184179.06</v>
      </c>
      <c r="AR68" s="421">
        <f>AQ68/AI68</f>
        <v>-2.0205485282985749</v>
      </c>
      <c r="AS68" s="113">
        <v>2</v>
      </c>
      <c r="AT68" s="760">
        <v>287576</v>
      </c>
      <c r="AU68" s="761">
        <f t="shared" ref="AU68:AU78" si="804">AI68+AC68+W68</f>
        <v>356922</v>
      </c>
      <c r="AV68" s="761">
        <v>69346</v>
      </c>
      <c r="AW68" s="116">
        <f>AV68/AU68</f>
        <v>0.19428894828561982</v>
      </c>
      <c r="AX68" s="776">
        <v>2</v>
      </c>
      <c r="AY68" s="587">
        <f t="shared" ref="AY68:AY78" si="805">AT68+Q68+L68+G68</f>
        <v>2049131</v>
      </c>
      <c r="AZ68" s="587">
        <f t="shared" ref="AZ68:AZ78" si="806">AU68+R68+M68+H68</f>
        <v>2561825</v>
      </c>
      <c r="BA68" s="587">
        <f t="shared" ref="BA68:BA78" si="807">AV68+S68+N68+I68</f>
        <v>488879</v>
      </c>
      <c r="BB68" s="588">
        <f>BA68/AZ68</f>
        <v>0.19083231680540239</v>
      </c>
      <c r="BC68" s="1514">
        <v>2</v>
      </c>
      <c r="BD68" s="759">
        <v>84490</v>
      </c>
      <c r="BE68" s="759">
        <v>100399</v>
      </c>
      <c r="BF68" s="759"/>
      <c r="BG68" s="775">
        <f t="shared" ref="BG68:BG78" si="808">BE68-(BD68+BF68)</f>
        <v>15909</v>
      </c>
      <c r="BH68" s="736">
        <f>BG68/BE68</f>
        <v>0.15845775356328251</v>
      </c>
      <c r="BI68" s="1514">
        <v>2</v>
      </c>
      <c r="BJ68" s="759">
        <v>84490</v>
      </c>
      <c r="BK68" s="759">
        <v>97769</v>
      </c>
      <c r="BL68" s="759"/>
      <c r="BM68" s="775">
        <f>BK68-(BJ68+BL68)</f>
        <v>13279</v>
      </c>
      <c r="BN68" s="736">
        <f>BM68/BK68</f>
        <v>0.13582014749051335</v>
      </c>
      <c r="BO68" s="777">
        <v>2</v>
      </c>
      <c r="BP68" s="759">
        <v>81620</v>
      </c>
      <c r="BQ68" s="759">
        <v>94064</v>
      </c>
      <c r="BR68" s="759">
        <v>57928</v>
      </c>
      <c r="BS68" s="775">
        <f>BQ68-(BP68+BR68)</f>
        <v>-45484</v>
      </c>
      <c r="BT68" s="239">
        <f>BS68/BQ68</f>
        <v>-0.48354311957815954</v>
      </c>
      <c r="BU68" s="689">
        <v>2</v>
      </c>
      <c r="BV68" s="592">
        <f t="shared" ref="BV68:BV77" si="809">BQ68+BK68+BE68</f>
        <v>292232</v>
      </c>
      <c r="BW68" s="592">
        <f>BS68+BM68+BG68</f>
        <v>-16296</v>
      </c>
      <c r="BX68" s="593">
        <f>BW68/BV68</f>
        <v>-5.5763913602890854E-2</v>
      </c>
      <c r="BY68" s="594">
        <v>1</v>
      </c>
      <c r="BZ68" s="595">
        <v>44140</v>
      </c>
      <c r="CA68" s="595">
        <v>51698</v>
      </c>
      <c r="CB68" s="671"/>
      <c r="CC68" s="596">
        <f>CA68-(BZ68+CB68)</f>
        <v>7558</v>
      </c>
      <c r="CD68" s="597">
        <f>CC68/CA68</f>
        <v>0.14619521064644667</v>
      </c>
      <c r="CE68" s="670"/>
      <c r="CF68" s="671"/>
      <c r="CG68" s="671"/>
      <c r="CH68" s="671"/>
      <c r="CI68" s="599">
        <f>CC68-CE68-CF68-CG68-CH68</f>
        <v>7558</v>
      </c>
      <c r="CJ68" s="597">
        <f>CI68/CA68</f>
        <v>0.14619521064644667</v>
      </c>
      <c r="CK68" s="600">
        <v>1</v>
      </c>
      <c r="CL68" s="601">
        <v>44140</v>
      </c>
      <c r="CM68" s="601">
        <v>51698</v>
      </c>
      <c r="CN68" s="778"/>
      <c r="CO68" s="360">
        <f t="shared" ref="CO68:CO78" si="810">CM68-(CL68+CN68)</f>
        <v>7558</v>
      </c>
      <c r="CP68" s="602">
        <f>CO68/CM68</f>
        <v>0.14619521064644667</v>
      </c>
      <c r="CQ68" s="779">
        <v>0</v>
      </c>
      <c r="CR68" s="778">
        <v>70250</v>
      </c>
      <c r="CS68" s="778"/>
      <c r="CT68" s="603">
        <v>163912.75050000002</v>
      </c>
      <c r="CU68" s="603">
        <f>CO68-CQ68-CR68-CS68-CT68</f>
        <v>-226604.75050000002</v>
      </c>
      <c r="CV68" s="604">
        <f>CU68/CM68</f>
        <v>-4.3832401737011111</v>
      </c>
      <c r="CW68" s="129">
        <v>2</v>
      </c>
      <c r="CX68" s="130">
        <v>85020</v>
      </c>
      <c r="CY68" s="130">
        <v>93080</v>
      </c>
      <c r="CZ68" s="130"/>
      <c r="DA68" s="605">
        <f>CY68-(CX68+CZ68)</f>
        <v>8060</v>
      </c>
      <c r="DB68" s="114">
        <f>DA68/CY68</f>
        <v>8.6592178770949726E-2</v>
      </c>
      <c r="DC68" s="129">
        <v>25000</v>
      </c>
      <c r="DD68" s="130">
        <v>106427</v>
      </c>
      <c r="DE68" s="130"/>
      <c r="DF68" s="130">
        <v>113315.85681818183</v>
      </c>
      <c r="DG68" s="128">
        <f>DA68-DC68-DD68-DE68-DF68</f>
        <v>-236682.85681818181</v>
      </c>
      <c r="DH68" s="169">
        <f>DG68/CY68</f>
        <v>-2.5427896091338829</v>
      </c>
      <c r="DI68" s="204">
        <f>(BY68+CK68+CW68)/3</f>
        <v>1.3333333333333333</v>
      </c>
      <c r="DJ68" s="202">
        <f t="shared" ref="DJ68:DJ78" si="811">CA68+CM68+CY68</f>
        <v>196476</v>
      </c>
      <c r="DK68" s="202">
        <f t="shared" ref="DK68:DK78" si="812">CC68+CO68+DA68</f>
        <v>23176</v>
      </c>
      <c r="DL68" s="119">
        <f>DK68/DJ68</f>
        <v>0.11795842749241638</v>
      </c>
      <c r="DM68" s="202">
        <f t="shared" ref="DM68:DM78" si="813">CI68+CU68+DG68</f>
        <v>-455729.60731818184</v>
      </c>
      <c r="DN68" s="119">
        <f>DM68/DJ68</f>
        <v>-2.3195179427420238</v>
      </c>
      <c r="DO68" s="607">
        <f t="shared" ref="DO68:DQ69" si="814">CW68-AG68</f>
        <v>0</v>
      </c>
      <c r="DP68" s="137">
        <f t="shared" si="814"/>
        <v>2395</v>
      </c>
      <c r="DQ68" s="137">
        <f t="shared" si="814"/>
        <v>1927</v>
      </c>
      <c r="DR68" s="137">
        <f>DA68-AK68</f>
        <v>-468</v>
      </c>
      <c r="DS68" s="135">
        <f>DO68/AG68</f>
        <v>0</v>
      </c>
      <c r="DT68" s="135">
        <f>DP68/AI68</f>
        <v>2.6274505501738835E-2</v>
      </c>
      <c r="DU68" s="135">
        <f>DQ68/AK68</f>
        <v>0.22596153846153846</v>
      </c>
      <c r="DV68" s="151">
        <f>DR68/AQ68</f>
        <v>2.5410054758668007E-3</v>
      </c>
      <c r="DW68" s="607">
        <f>CW68-CK68</f>
        <v>1</v>
      </c>
      <c r="DX68" s="780">
        <f>CY68-CM68</f>
        <v>41382</v>
      </c>
      <c r="DY68" s="780">
        <f>DA68-CO68</f>
        <v>502</v>
      </c>
      <c r="DZ68" s="780">
        <f>DG68-CU68</f>
        <v>-10078.106318181788</v>
      </c>
      <c r="EA68" s="135">
        <f>DW68/CK68</f>
        <v>1</v>
      </c>
      <c r="EB68" s="135">
        <f>DX68/CM68</f>
        <v>0.80045649734999424</v>
      </c>
      <c r="EC68" s="135">
        <f>DY68/CO68</f>
        <v>6.6419687748081505E-2</v>
      </c>
      <c r="ED68" s="151">
        <f>DZ68/CU68</f>
        <v>4.4474382359348585E-2</v>
      </c>
      <c r="EE68" s="129">
        <v>2</v>
      </c>
      <c r="EF68" s="130">
        <v>85020</v>
      </c>
      <c r="EG68" s="130">
        <v>93870</v>
      </c>
      <c r="EH68" s="130"/>
      <c r="EI68" s="605">
        <f>EG68-(EF68+EH68)</f>
        <v>8850</v>
      </c>
      <c r="EJ68" s="114">
        <f>EI68/EG68</f>
        <v>9.4279322467241924E-2</v>
      </c>
      <c r="EK68" s="129">
        <v>0</v>
      </c>
      <c r="EL68" s="130">
        <v>0</v>
      </c>
      <c r="EM68" s="130">
        <v>0</v>
      </c>
      <c r="EN68" s="130">
        <v>0</v>
      </c>
      <c r="EO68" s="128">
        <f>EI68-EK68-EL68-EM68-EN68</f>
        <v>8850</v>
      </c>
      <c r="EP68" s="114">
        <f>EO68/EG68</f>
        <v>9.4279322467241924E-2</v>
      </c>
      <c r="EQ68" s="129">
        <v>2</v>
      </c>
      <c r="ER68" s="130">
        <v>85020</v>
      </c>
      <c r="ES68" s="130">
        <v>99614</v>
      </c>
      <c r="ET68" s="130"/>
      <c r="EU68" s="134">
        <f>ES68-(ER68+ET68)</f>
        <v>14594</v>
      </c>
      <c r="EV68" s="114">
        <f>EU68/ES68</f>
        <v>0.14650551127351577</v>
      </c>
      <c r="EW68" s="129">
        <v>0</v>
      </c>
      <c r="EX68" s="130"/>
      <c r="EY68" s="130">
        <v>0</v>
      </c>
      <c r="EZ68" s="130">
        <v>0</v>
      </c>
      <c r="FA68" s="128">
        <f>EU68-EW68-EX68-EY68-EZ68</f>
        <v>14594</v>
      </c>
      <c r="FB68" s="114">
        <f>FA68/ES68</f>
        <v>0.14650551127351577</v>
      </c>
      <c r="FC68" s="643">
        <f t="shared" ref="FC68:FC78" si="815">EQ68-AG68</f>
        <v>0</v>
      </c>
      <c r="FD68" s="644">
        <f t="shared" ref="FD68:FD78" si="816">ES68-AI68</f>
        <v>8461</v>
      </c>
      <c r="FE68" s="644">
        <f t="shared" ref="FE68:FE78" si="817">EU68-AK68</f>
        <v>6066</v>
      </c>
      <c r="FF68" s="644">
        <f t="shared" ref="FF68:FF78" si="818">FA68-AQ68</f>
        <v>198773.06</v>
      </c>
      <c r="FG68" s="74">
        <f>FC68/AG68</f>
        <v>0</v>
      </c>
      <c r="FH68" s="74">
        <f>FD68/AI68</f>
        <v>9.2821958684848549E-2</v>
      </c>
      <c r="FI68" s="74">
        <f>FE68/AK68</f>
        <v>0.71130393996247654</v>
      </c>
      <c r="FJ68" s="73">
        <f>FF68/AQ68</f>
        <v>-1.0792381066555556</v>
      </c>
      <c r="FK68" s="133">
        <v>2</v>
      </c>
      <c r="FL68" s="134">
        <v>85020</v>
      </c>
      <c r="FM68" s="134">
        <v>97264</v>
      </c>
      <c r="FN68" s="134"/>
      <c r="FO68" s="134">
        <f>FM68-(FL68+FN68)</f>
        <v>12244</v>
      </c>
      <c r="FP68" s="135">
        <f>FO68/FM68</f>
        <v>0.12588419147886165</v>
      </c>
      <c r="FQ68" s="133"/>
      <c r="FR68" s="134"/>
      <c r="FS68" s="134"/>
      <c r="FT68" s="191">
        <f>FO68-SUM(FQ68:FS68)</f>
        <v>12244</v>
      </c>
      <c r="FU68" s="151">
        <f>FT68/FM68</f>
        <v>0.12588419147886165</v>
      </c>
      <c r="FV68" s="190">
        <f t="shared" ref="FV68:FV78" si="819">FK68-AG68</f>
        <v>0</v>
      </c>
      <c r="FW68" s="191">
        <f t="shared" ref="FW68:FW78" si="820">FL68-AH68</f>
        <v>2395</v>
      </c>
      <c r="FX68" s="191">
        <f t="shared" ref="FX68:FX78" si="821">FM68-AI68</f>
        <v>6111</v>
      </c>
      <c r="FY68" s="191">
        <f t="shared" ref="FY68:FY78" si="822">FO68-AK68</f>
        <v>3716</v>
      </c>
      <c r="FZ68" s="191">
        <f t="shared" ref="FZ68:FZ78" si="823">FT68-AQ68</f>
        <v>196423.06</v>
      </c>
      <c r="GA68" s="135">
        <f>FV68/AG68</f>
        <v>0</v>
      </c>
      <c r="GB68" s="135">
        <f>FX68/AI68</f>
        <v>6.7041128651827153E-2</v>
      </c>
      <c r="GC68" s="135">
        <f>FY68/AK68</f>
        <v>0.43574108818011259</v>
      </c>
      <c r="GD68" s="151">
        <f>FZ68/AQ68</f>
        <v>-1.0664787842874213</v>
      </c>
      <c r="GE68" s="187">
        <f>(EE68+EQ68+FK68)/3</f>
        <v>2</v>
      </c>
      <c r="GF68" s="155">
        <f t="shared" ref="GF68:GF78" si="824">EG68+ES68+FM68</f>
        <v>290748</v>
      </c>
      <c r="GG68" s="155">
        <f t="shared" ref="GG68:GG78" si="825">EI68+EU68+FO68</f>
        <v>35688</v>
      </c>
      <c r="GH68" s="74">
        <f>GG68/GF68</f>
        <v>0.12274547030418094</v>
      </c>
      <c r="GI68" s="613">
        <f t="shared" ref="GI68:GI78" si="826">EO68+FA68+FT68</f>
        <v>35688</v>
      </c>
      <c r="GJ68" s="187">
        <f t="shared" ref="GJ68:GJ78" si="827">GE68-DI68</f>
        <v>0.66666666666666674</v>
      </c>
      <c r="GK68" s="155">
        <f t="shared" ref="GK68:GK78" si="828">GF68-DJ68</f>
        <v>94272</v>
      </c>
      <c r="GL68" s="155">
        <f t="shared" ref="GL68:GL78" si="829">GG68-DK68</f>
        <v>12512</v>
      </c>
      <c r="GM68" s="613">
        <f t="shared" ref="GM68:GM78" si="830">GI68-DM68</f>
        <v>491417.60731818184</v>
      </c>
      <c r="GN68" s="133">
        <v>2</v>
      </c>
      <c r="GO68" s="134">
        <v>85020</v>
      </c>
      <c r="GP68" s="134">
        <v>99614</v>
      </c>
      <c r="GQ68" s="134">
        <v>0</v>
      </c>
      <c r="GR68" s="134">
        <f>GP68-(GO68+GQ68)</f>
        <v>14594</v>
      </c>
      <c r="GS68" s="135">
        <f>GR68/GP68</f>
        <v>0.14650551127351577</v>
      </c>
      <c r="GT68" s="133">
        <v>35494</v>
      </c>
      <c r="GU68" s="134">
        <v>0</v>
      </c>
      <c r="GV68" s="134">
        <v>0</v>
      </c>
      <c r="GW68" s="134">
        <v>0</v>
      </c>
      <c r="GX68" s="190">
        <f>GR68-SUM(GT68:GW68)</f>
        <v>-20900</v>
      </c>
      <c r="GY68" s="151">
        <f>GX68/GP68</f>
        <v>-0.20980986608308069</v>
      </c>
      <c r="GZ68" s="781">
        <v>2</v>
      </c>
      <c r="HA68" s="130">
        <v>85020</v>
      </c>
      <c r="HB68" s="130">
        <v>99614</v>
      </c>
      <c r="HC68" s="134"/>
      <c r="HD68" s="134">
        <f>HB68-(HA68+HC68)</f>
        <v>14594</v>
      </c>
      <c r="HE68" s="151">
        <f>HD68/HB68</f>
        <v>0.14650551127351577</v>
      </c>
      <c r="HF68" s="138">
        <v>0</v>
      </c>
      <c r="HG68" s="130">
        <v>0</v>
      </c>
      <c r="HH68" s="130"/>
      <c r="HI68" s="130">
        <v>0</v>
      </c>
      <c r="HJ68" s="197">
        <f>HD68-SUM(HF68:HI68)</f>
        <v>14594</v>
      </c>
      <c r="HK68" s="201">
        <f>HJ68/HB68</f>
        <v>0.14650551127351577</v>
      </c>
      <c r="HL68" s="133">
        <v>2</v>
      </c>
      <c r="HM68" s="656">
        <v>84990</v>
      </c>
      <c r="HN68" s="134">
        <v>99614</v>
      </c>
      <c r="HO68" s="134">
        <v>0</v>
      </c>
      <c r="HP68" s="615">
        <f>HN68-(HM68+HO68)</f>
        <v>14624</v>
      </c>
      <c r="HQ68" s="151">
        <f>HP68/HN68</f>
        <v>0.14680667376071638</v>
      </c>
      <c r="HR68" s="134">
        <v>0</v>
      </c>
      <c r="HS68" s="134">
        <v>0</v>
      </c>
      <c r="HT68" s="134"/>
      <c r="HU68" s="134">
        <v>0</v>
      </c>
      <c r="HV68" s="191">
        <f>HP68-SUM(HR68:HU68)</f>
        <v>14624</v>
      </c>
      <c r="HW68" s="151">
        <f>HV68/HN68</f>
        <v>0.14680667376071638</v>
      </c>
      <c r="HX68" s="414">
        <v>2</v>
      </c>
      <c r="HY68" s="241">
        <f>HN68+HB68+GP68</f>
        <v>298842</v>
      </c>
      <c r="HZ68" s="415">
        <f>HP68+HD68+GR68</f>
        <v>43812</v>
      </c>
      <c r="IA68" s="135">
        <f t="shared" ref="IA68:IA76" si="831">HZ68/HY68</f>
        <v>0.14660589876924932</v>
      </c>
      <c r="IB68" s="415">
        <f t="shared" ref="IB68:IB78" si="832">HV68+HJ68+GX68</f>
        <v>8318</v>
      </c>
      <c r="IC68" s="141"/>
      <c r="ID68" s="642">
        <v>2</v>
      </c>
      <c r="IE68" s="141">
        <f t="shared" si="759"/>
        <v>1078298</v>
      </c>
      <c r="IF68" s="141">
        <f t="shared" si="760"/>
        <v>86380</v>
      </c>
      <c r="IG68" s="74">
        <f t="shared" si="701"/>
        <v>8.0107725322684453E-2</v>
      </c>
      <c r="IH68" s="1507"/>
      <c r="II68" s="69"/>
      <c r="IJ68" s="133">
        <v>2</v>
      </c>
      <c r="IK68" s="656">
        <f>84990+1096</f>
        <v>86086</v>
      </c>
      <c r="IL68" s="134">
        <v>94444</v>
      </c>
      <c r="IM68" s="134">
        <v>0</v>
      </c>
      <c r="IN68" s="133">
        <f t="shared" ref="IN68:IN78" si="833">IL68-(IK68+IM68)</f>
        <v>8358</v>
      </c>
      <c r="IO68" s="151">
        <f>IN68/IL68</f>
        <v>8.8496887044174327E-2</v>
      </c>
      <c r="IP68" s="134">
        <v>0</v>
      </c>
      <c r="IQ68" s="134">
        <v>0</v>
      </c>
      <c r="IR68" s="134">
        <v>0</v>
      </c>
      <c r="IS68" s="190">
        <f>IN68-SUM(IP68:IR68)</f>
        <v>8358</v>
      </c>
      <c r="IT68" s="151">
        <f>IS68/IL68</f>
        <v>8.8496887044174327E-2</v>
      </c>
      <c r="IU68" s="136">
        <v>2</v>
      </c>
      <c r="IV68" s="649">
        <f>89958+1096</f>
        <v>91054</v>
      </c>
      <c r="IW68" s="358">
        <v>97029</v>
      </c>
      <c r="IX68" s="134">
        <v>0</v>
      </c>
      <c r="IY68" s="133">
        <f>IW68-(IV68+IX68)</f>
        <v>5975</v>
      </c>
      <c r="IZ68" s="151">
        <f>IY68/IW68</f>
        <v>6.1579527770048131E-2</v>
      </c>
      <c r="JA68" s="134">
        <v>0</v>
      </c>
      <c r="JB68" s="134">
        <v>0</v>
      </c>
      <c r="JC68" s="134">
        <v>0</v>
      </c>
      <c r="JD68" s="190">
        <f>IY68-SUM(JA68:JC68)</f>
        <v>5975</v>
      </c>
      <c r="JE68" s="151">
        <f>JD68/IW68</f>
        <v>6.1579527770048131E-2</v>
      </c>
      <c r="JF68" s="136">
        <v>2</v>
      </c>
      <c r="JG68" s="649">
        <v>97670</v>
      </c>
      <c r="JH68" s="358">
        <v>110787</v>
      </c>
      <c r="JI68" s="358">
        <v>0</v>
      </c>
      <c r="JJ68" s="133">
        <f>JH68-(JG68+JI68)</f>
        <v>13117</v>
      </c>
      <c r="JK68" s="151">
        <f>JJ68/JH68</f>
        <v>0.11839836803957143</v>
      </c>
      <c r="JL68" s="134">
        <v>0</v>
      </c>
      <c r="JM68" s="134"/>
      <c r="JN68" s="134">
        <v>0</v>
      </c>
      <c r="JO68" s="190">
        <f>JJ68-SUM(JL68:JN68)</f>
        <v>13117</v>
      </c>
      <c r="JP68" s="151">
        <f>JO68/JH68</f>
        <v>0.11839836803957143</v>
      </c>
      <c r="JQ68" s="136">
        <v>2</v>
      </c>
      <c r="JR68" s="191">
        <f>JH68+IW68+IL68</f>
        <v>302260</v>
      </c>
      <c r="JS68" s="191">
        <f>JJ68+IY68+IN68</f>
        <v>27450</v>
      </c>
      <c r="JT68" s="151">
        <f>JS68/JR68</f>
        <v>9.0815853900615362E-2</v>
      </c>
      <c r="JU68" s="136">
        <v>3</v>
      </c>
      <c r="JV68" s="649">
        <v>142671</v>
      </c>
      <c r="JW68" s="358">
        <v>165787</v>
      </c>
      <c r="JX68" s="358">
        <v>0</v>
      </c>
      <c r="JY68" s="133">
        <f>JW68-(JV68+JX68)</f>
        <v>23116</v>
      </c>
      <c r="JZ68" s="151">
        <f>JY68/JW68</f>
        <v>0.13943192168264099</v>
      </c>
      <c r="KA68" s="134">
        <v>20000</v>
      </c>
      <c r="KB68" s="134">
        <v>0</v>
      </c>
      <c r="KC68" s="134">
        <v>0</v>
      </c>
      <c r="KD68" s="190">
        <f>JY68-SUM(KA68:KC68)</f>
        <v>3116</v>
      </c>
      <c r="KE68" s="151">
        <f>KD68/JW68</f>
        <v>1.879520107125408E-2</v>
      </c>
      <c r="KF68" s="136">
        <v>3</v>
      </c>
      <c r="KG68" s="649">
        <v>139199</v>
      </c>
      <c r="KH68" s="358">
        <v>155887</v>
      </c>
      <c r="KI68" s="358">
        <v>0</v>
      </c>
      <c r="KJ68" s="133">
        <f>KH68-(KG68+KI68)</f>
        <v>16688</v>
      </c>
      <c r="KK68" s="151">
        <f>KJ68/KH68</f>
        <v>0.10705190298100548</v>
      </c>
      <c r="KL68" s="134">
        <v>0</v>
      </c>
      <c r="KM68" s="134">
        <v>0</v>
      </c>
      <c r="KN68" s="134">
        <v>0</v>
      </c>
      <c r="KO68" s="190">
        <f>KJ68-SUM(KL68:KN68)</f>
        <v>16688</v>
      </c>
      <c r="KP68" s="151">
        <f>KO68/KH68</f>
        <v>0.10705190298100548</v>
      </c>
      <c r="KQ68" s="136">
        <v>3</v>
      </c>
      <c r="KR68" s="649">
        <v>141235</v>
      </c>
      <c r="KS68" s="358">
        <v>164687</v>
      </c>
      <c r="KT68" s="358"/>
      <c r="KU68" s="133">
        <f>KS68-(KR68+KT68)</f>
        <v>23452</v>
      </c>
      <c r="KV68" s="151">
        <f>KU68/KS68</f>
        <v>0.14240346839762702</v>
      </c>
      <c r="KW68" s="134">
        <v>0</v>
      </c>
      <c r="KX68" s="134">
        <v>0</v>
      </c>
      <c r="KY68" s="134">
        <v>0</v>
      </c>
      <c r="KZ68" s="190">
        <f>KU68-SUM(KW68:KY68)</f>
        <v>23452</v>
      </c>
      <c r="LA68" s="151">
        <f>KZ68/KS68</f>
        <v>0.14240346839762702</v>
      </c>
      <c r="LB68" s="402">
        <v>3</v>
      </c>
      <c r="LC68" s="191">
        <f>KS68+KH68+JW68</f>
        <v>486361</v>
      </c>
      <c r="LD68" s="191">
        <f>KU68+KJ68+JY68</f>
        <v>63256</v>
      </c>
      <c r="LE68" s="151">
        <f>LD68/LC68</f>
        <v>0.13005977041744712</v>
      </c>
      <c r="LF68" s="226">
        <f t="shared" ref="LF68:LH69" si="834">LB68-JQ68</f>
        <v>1</v>
      </c>
      <c r="LG68" s="128">
        <f t="shared" si="834"/>
        <v>184101</v>
      </c>
      <c r="LH68" s="139">
        <f t="shared" si="834"/>
        <v>35806</v>
      </c>
      <c r="LI68" s="442">
        <f t="shared" ref="LI68:LK69" si="835">LF68/JQ68</f>
        <v>0.5</v>
      </c>
      <c r="LJ68" s="442">
        <f t="shared" si="835"/>
        <v>0.60908158539006152</v>
      </c>
      <c r="LK68" s="106">
        <f t="shared" si="835"/>
        <v>1.304408014571949</v>
      </c>
      <c r="LL68" s="136">
        <v>3</v>
      </c>
      <c r="LM68" s="649">
        <v>142671</v>
      </c>
      <c r="LN68" s="358">
        <v>165787</v>
      </c>
      <c r="LO68" s="358">
        <v>0</v>
      </c>
      <c r="LP68" s="133">
        <f>LN68-(LM68+LO68)</f>
        <v>23116</v>
      </c>
      <c r="LQ68" s="151">
        <f>LP68/LN68</f>
        <v>0.13943192168264099</v>
      </c>
      <c r="LR68" s="134">
        <v>0</v>
      </c>
      <c r="LS68" s="134">
        <v>0</v>
      </c>
      <c r="LT68" s="134">
        <v>0</v>
      </c>
      <c r="LU68" s="190">
        <f>LP68-SUM(LR68:LT68)</f>
        <v>23116</v>
      </c>
      <c r="LV68" s="151">
        <f>LU68/LN68</f>
        <v>0.13943192168264099</v>
      </c>
      <c r="LW68" s="134">
        <v>3</v>
      </c>
      <c r="LX68" s="134">
        <v>141953</v>
      </c>
      <c r="LY68" s="134">
        <v>165573</v>
      </c>
      <c r="LZ68" s="134"/>
      <c r="MA68" s="133">
        <f>LY68-(LX68+LZ68)</f>
        <v>23620</v>
      </c>
      <c r="MB68" s="151">
        <f>MA68/LY68</f>
        <v>0.14265610938981596</v>
      </c>
      <c r="MC68" s="134">
        <v>0</v>
      </c>
      <c r="MD68" s="134">
        <v>0</v>
      </c>
      <c r="ME68" s="134">
        <v>0</v>
      </c>
      <c r="MF68" s="190">
        <f t="shared" ref="MF68:MF78" si="836">MA68-SUM(MC68:ME68)</f>
        <v>23620</v>
      </c>
      <c r="MG68" s="151">
        <f>MF68/LY68</f>
        <v>0.14265610938981596</v>
      </c>
      <c r="MH68" s="134">
        <v>3</v>
      </c>
      <c r="MI68" s="134">
        <v>141575</v>
      </c>
      <c r="MJ68" s="134">
        <v>165787</v>
      </c>
      <c r="MK68" s="134"/>
      <c r="ML68" s="133">
        <f>MJ68-(MI68+MK68)</f>
        <v>24212</v>
      </c>
      <c r="MM68" s="151">
        <f>ML68/MJ68</f>
        <v>0.14604281397214497</v>
      </c>
      <c r="MN68" s="134">
        <v>22322</v>
      </c>
      <c r="MO68" s="134">
        <v>0</v>
      </c>
      <c r="MP68" s="134">
        <v>0</v>
      </c>
      <c r="MQ68" s="190">
        <f t="shared" ref="MQ68:MQ78" si="837">ML68-SUM(MN68:MP68)</f>
        <v>1890</v>
      </c>
      <c r="MR68" s="151">
        <f>MQ68/MJ68</f>
        <v>1.1400170097776063E-2</v>
      </c>
      <c r="MS68" s="1472">
        <v>3</v>
      </c>
      <c r="MT68" s="118">
        <f>MJ68+LY68+LN68</f>
        <v>497147</v>
      </c>
      <c r="MU68" s="118">
        <f>ML68+MA68+LP68</f>
        <v>70948</v>
      </c>
      <c r="MV68" s="135">
        <f t="shared" si="702"/>
        <v>0.14271030500033188</v>
      </c>
      <c r="MW68" s="133">
        <f t="shared" si="703"/>
        <v>0</v>
      </c>
      <c r="MX68" s="134">
        <f t="shared" si="704"/>
        <v>10786</v>
      </c>
      <c r="MY68" s="134">
        <f t="shared" si="705"/>
        <v>7692</v>
      </c>
      <c r="MZ68" s="135">
        <f t="shared" si="706"/>
        <v>0</v>
      </c>
      <c r="NA68" s="135">
        <f t="shared" si="707"/>
        <v>2.2176942641371326E-2</v>
      </c>
      <c r="NB68" s="151">
        <f t="shared" si="708"/>
        <v>0.12160111293790313</v>
      </c>
      <c r="NC68" s="134">
        <v>3</v>
      </c>
      <c r="ND68" s="134">
        <v>139494</v>
      </c>
      <c r="NE68" s="134">
        <v>162037</v>
      </c>
      <c r="NF68" s="134"/>
      <c r="NG68" s="133">
        <f t="shared" ref="NG68:NG78" si="838">NE68-(ND68+NF68)</f>
        <v>22543</v>
      </c>
      <c r="NH68" s="151">
        <f t="shared" si="709"/>
        <v>0.1391225460851534</v>
      </c>
      <c r="NI68" s="134">
        <v>23000</v>
      </c>
      <c r="NJ68" s="134">
        <v>0</v>
      </c>
      <c r="NK68" s="134">
        <v>0</v>
      </c>
      <c r="NL68" s="190">
        <f t="shared" ref="NL68:NL78" si="839">NG68-SUM(NI68:NK68)</f>
        <v>-457</v>
      </c>
      <c r="NM68" s="135">
        <f t="shared" si="710"/>
        <v>-2.8203435017928003E-3</v>
      </c>
      <c r="NN68" s="1563">
        <v>3</v>
      </c>
      <c r="NO68" s="134">
        <v>141575</v>
      </c>
      <c r="NP68" s="134">
        <v>165787</v>
      </c>
      <c r="NQ68" s="134">
        <v>0</v>
      </c>
      <c r="NR68" s="133">
        <f t="shared" si="711"/>
        <v>24212</v>
      </c>
      <c r="NS68" s="151">
        <f t="shared" si="712"/>
        <v>0.14604281397214497</v>
      </c>
      <c r="NT68" s="134">
        <v>0</v>
      </c>
      <c r="NU68" s="134">
        <v>0</v>
      </c>
      <c r="NV68" s="134">
        <v>0</v>
      </c>
      <c r="NW68" s="190">
        <f t="shared" ref="NW68:NW78" si="840">NR68-SUM(NT68:NV68)</f>
        <v>24212</v>
      </c>
      <c r="NX68" s="135">
        <f t="shared" si="713"/>
        <v>0.14604281397214497</v>
      </c>
      <c r="NY68" s="1563">
        <v>3</v>
      </c>
      <c r="NZ68" s="134">
        <v>141575</v>
      </c>
      <c r="OA68" s="134">
        <v>165787</v>
      </c>
      <c r="OB68" s="134">
        <v>0</v>
      </c>
      <c r="OC68" s="133">
        <f t="shared" si="791"/>
        <v>24212</v>
      </c>
      <c r="OD68" s="151">
        <f t="shared" si="714"/>
        <v>0.14604281397214497</v>
      </c>
      <c r="OE68" s="134">
        <v>0</v>
      </c>
      <c r="OF68" s="134">
        <v>0</v>
      </c>
      <c r="OG68" s="134">
        <v>0</v>
      </c>
      <c r="OH68" s="190">
        <f t="shared" si="792"/>
        <v>24212</v>
      </c>
      <c r="OI68" s="5380">
        <f t="shared" si="715"/>
        <v>0.14604281397214497</v>
      </c>
      <c r="OJ68" s="69">
        <v>3</v>
      </c>
      <c r="OK68" s="155">
        <f t="shared" si="793"/>
        <v>1766262</v>
      </c>
      <c r="OL68" s="155">
        <f t="shared" si="794"/>
        <v>219504</v>
      </c>
      <c r="OM68" s="74">
        <f t="shared" si="795"/>
        <v>0.12427601341137386</v>
      </c>
      <c r="ON68" s="155">
        <f t="shared" si="796"/>
        <v>154182</v>
      </c>
      <c r="OO68" s="70"/>
      <c r="OP68" s="69"/>
      <c r="OQ68" s="2008">
        <v>3</v>
      </c>
      <c r="OR68" s="208">
        <v>141573</v>
      </c>
      <c r="OS68" s="208">
        <v>165787</v>
      </c>
      <c r="OT68" s="3546"/>
      <c r="OU68" s="133">
        <f t="shared" si="797"/>
        <v>24214</v>
      </c>
      <c r="OV68" s="94">
        <f t="shared" si="716"/>
        <v>0.14605487764420613</v>
      </c>
      <c r="OW68" s="134">
        <v>0</v>
      </c>
      <c r="OX68" s="134">
        <v>0</v>
      </c>
      <c r="OY68" s="134">
        <v>0</v>
      </c>
      <c r="OZ68" s="190">
        <f t="shared" ref="OZ68:OZ77" si="841">OU68-SUM(OW68:OY68)</f>
        <v>24214</v>
      </c>
      <c r="PA68" s="5361">
        <f t="shared" si="798"/>
        <v>0.14605487764420613</v>
      </c>
      <c r="PB68" s="698">
        <v>3</v>
      </c>
      <c r="PC68" s="395">
        <v>141573</v>
      </c>
      <c r="PD68" s="208">
        <v>164670</v>
      </c>
      <c r="PE68" s="208"/>
      <c r="PF68" s="133">
        <f t="shared" si="799"/>
        <v>23097</v>
      </c>
      <c r="PG68" s="94">
        <f t="shared" si="800"/>
        <v>0.14026234286755329</v>
      </c>
      <c r="PH68" s="134">
        <v>0</v>
      </c>
      <c r="PI68" s="134">
        <v>0</v>
      </c>
      <c r="PJ68" s="134">
        <v>0</v>
      </c>
      <c r="PK68" s="190">
        <f t="shared" si="763"/>
        <v>23097</v>
      </c>
      <c r="PL68" s="135">
        <f t="shared" si="764"/>
        <v>0.14026234286755329</v>
      </c>
      <c r="PM68" s="5316">
        <v>4</v>
      </c>
      <c r="PN68" s="358">
        <v>231058</v>
      </c>
      <c r="PO68" s="358">
        <v>240613</v>
      </c>
      <c r="PP68" s="358">
        <v>0</v>
      </c>
      <c r="PQ68" s="6293">
        <f t="shared" ref="PQ68:PQ78" si="842">PO68-(PN68+PP68)</f>
        <v>9555</v>
      </c>
      <c r="PR68" s="6295">
        <f t="shared" si="720"/>
        <v>3.9711071305374192E-2</v>
      </c>
      <c r="PS68" s="134">
        <v>0</v>
      </c>
      <c r="PT68" s="759">
        <v>0</v>
      </c>
      <c r="PU68" s="134">
        <v>0</v>
      </c>
      <c r="PV68" s="190">
        <f t="shared" si="721"/>
        <v>9555</v>
      </c>
      <c r="PW68" s="5380">
        <f t="shared" si="722"/>
        <v>3.9711071305374192E-2</v>
      </c>
      <c r="PX68" s="422">
        <v>4</v>
      </c>
      <c r="PY68" s="191">
        <f t="shared" si="696"/>
        <v>571070</v>
      </c>
      <c r="PZ68" s="191">
        <f t="shared" si="723"/>
        <v>56866</v>
      </c>
      <c r="QA68" s="135">
        <f t="shared" si="724"/>
        <v>9.9577985185704029E-2</v>
      </c>
      <c r="QB68" s="5390">
        <v>4</v>
      </c>
      <c r="QC68" s="395">
        <v>288199</v>
      </c>
      <c r="QD68" s="395">
        <v>400864</v>
      </c>
      <c r="QE68" s="772">
        <v>0</v>
      </c>
      <c r="QF68" s="6293">
        <f t="shared" si="725"/>
        <v>112665</v>
      </c>
      <c r="QG68" s="6295">
        <f t="shared" si="726"/>
        <v>0.2810554202921689</v>
      </c>
      <c r="QH68" s="134">
        <v>20000</v>
      </c>
      <c r="QI68" s="134">
        <v>14500</v>
      </c>
      <c r="QJ68" s="134">
        <v>0</v>
      </c>
      <c r="QK68" s="190">
        <f t="shared" si="765"/>
        <v>78165</v>
      </c>
      <c r="QL68" s="5380">
        <f t="shared" si="766"/>
        <v>0.19499131875149678</v>
      </c>
      <c r="QM68" s="5396">
        <v>3</v>
      </c>
      <c r="QN68" s="208">
        <v>155721</v>
      </c>
      <c r="QO68" s="208">
        <v>176602</v>
      </c>
      <c r="QP68" s="395">
        <v>0</v>
      </c>
      <c r="QQ68" s="133">
        <f t="shared" si="727"/>
        <v>20881</v>
      </c>
      <c r="QR68" s="151">
        <f t="shared" si="728"/>
        <v>0.11823761905301186</v>
      </c>
      <c r="QS68" s="134">
        <v>0</v>
      </c>
      <c r="QT68" s="134">
        <v>0</v>
      </c>
      <c r="QU68" s="134">
        <v>0</v>
      </c>
      <c r="QV68" s="190">
        <f t="shared" si="729"/>
        <v>20881</v>
      </c>
      <c r="QW68" s="5380">
        <f t="shared" si="730"/>
        <v>0.11823761905301186</v>
      </c>
      <c r="QX68" s="5316">
        <v>3</v>
      </c>
      <c r="QY68" s="649">
        <v>155721</v>
      </c>
      <c r="QZ68" s="358">
        <v>176602</v>
      </c>
      <c r="RA68" s="358">
        <v>0</v>
      </c>
      <c r="RB68" s="133">
        <f t="shared" si="731"/>
        <v>20881</v>
      </c>
      <c r="RC68" s="151">
        <f t="shared" si="732"/>
        <v>0.11823761905301186</v>
      </c>
      <c r="RD68" s="134">
        <v>0</v>
      </c>
      <c r="RE68" s="134">
        <v>0</v>
      </c>
      <c r="RF68" s="134">
        <v>0</v>
      </c>
      <c r="RG68" s="190">
        <f t="shared" si="733"/>
        <v>20881</v>
      </c>
      <c r="RH68" s="5380">
        <f t="shared" si="734"/>
        <v>0.11823761905301186</v>
      </c>
      <c r="RI68" s="5376"/>
      <c r="RJ68" s="191">
        <f t="shared" si="735"/>
        <v>754068</v>
      </c>
      <c r="RK68" s="191">
        <f t="shared" si="736"/>
        <v>154427</v>
      </c>
      <c r="RL68" s="5380">
        <f t="shared" si="737"/>
        <v>0.20479187553377148</v>
      </c>
      <c r="RM68" s="1562">
        <f t="shared" ref="RM68:RO69" si="843">RI68-PX68</f>
        <v>-4</v>
      </c>
      <c r="RN68" s="128">
        <f t="shared" si="843"/>
        <v>182998</v>
      </c>
      <c r="RO68" s="139">
        <f t="shared" si="843"/>
        <v>97561</v>
      </c>
      <c r="RP68" s="442">
        <f t="shared" ref="RP68:RR69" si="844">RM68/PX68</f>
        <v>-1</v>
      </c>
      <c r="RQ68" s="442">
        <f t="shared" si="844"/>
        <v>0.32044758085698777</v>
      </c>
      <c r="RR68" s="6339">
        <f t="shared" si="844"/>
        <v>1.7156297260225795</v>
      </c>
      <c r="RS68" s="698">
        <v>3</v>
      </c>
      <c r="RT68" s="395">
        <v>155721</v>
      </c>
      <c r="RU68" s="208">
        <v>182364</v>
      </c>
      <c r="RV68" s="2563"/>
      <c r="RW68" s="133">
        <f t="shared" si="740"/>
        <v>26643</v>
      </c>
      <c r="RX68" s="151">
        <f t="shared" si="741"/>
        <v>0.14609791406198591</v>
      </c>
      <c r="RY68" s="134">
        <v>0</v>
      </c>
      <c r="RZ68" s="759">
        <v>0</v>
      </c>
      <c r="SA68" s="134">
        <v>0</v>
      </c>
      <c r="SB68" s="190">
        <f t="shared" si="742"/>
        <v>26643</v>
      </c>
      <c r="SC68" s="5380">
        <f t="shared" si="743"/>
        <v>0.14609791406198591</v>
      </c>
      <c r="SD68" s="110">
        <v>3</v>
      </c>
      <c r="SE68" s="208">
        <v>150173</v>
      </c>
      <c r="SF68" s="208">
        <v>165726</v>
      </c>
      <c r="SG68" s="994">
        <v>0</v>
      </c>
      <c r="SH68" s="6361">
        <f t="shared" si="776"/>
        <v>15553</v>
      </c>
      <c r="SI68" s="6363">
        <f t="shared" si="777"/>
        <v>9.3847676284952275E-2</v>
      </c>
      <c r="SJ68" s="134">
        <v>0</v>
      </c>
      <c r="SK68" s="759">
        <v>0</v>
      </c>
      <c r="SL68" s="134">
        <v>0</v>
      </c>
      <c r="SM68" s="190">
        <f t="shared" si="778"/>
        <v>15553</v>
      </c>
      <c r="SN68" s="5380">
        <f t="shared" si="779"/>
        <v>9.3847676284952275E-2</v>
      </c>
      <c r="SO68" s="134">
        <v>3</v>
      </c>
      <c r="SP68" s="134">
        <v>155721</v>
      </c>
      <c r="SQ68" s="134">
        <v>182364</v>
      </c>
      <c r="SR68" s="134">
        <v>0</v>
      </c>
      <c r="SS68" s="6361">
        <f t="shared" si="780"/>
        <v>26643</v>
      </c>
      <c r="ST68" s="6363">
        <f t="shared" si="781"/>
        <v>0.14609791406198591</v>
      </c>
      <c r="SU68" s="134">
        <v>0</v>
      </c>
      <c r="SV68" s="134">
        <v>0</v>
      </c>
      <c r="SW68" s="134">
        <v>0</v>
      </c>
      <c r="SX68" s="190">
        <f t="shared" si="782"/>
        <v>26643</v>
      </c>
      <c r="SY68" s="5380">
        <f t="shared" si="783"/>
        <v>0.14609791406198591</v>
      </c>
      <c r="SZ68" s="6270"/>
      <c r="TA68" s="118">
        <f t="shared" si="784"/>
        <v>530454</v>
      </c>
      <c r="TB68" s="118">
        <f t="shared" si="785"/>
        <v>68839</v>
      </c>
      <c r="TC68" s="5380">
        <f t="shared" si="786"/>
        <v>0.1297737409841381</v>
      </c>
      <c r="TD68" s="1563">
        <v>2</v>
      </c>
      <c r="TE68" s="134">
        <v>106224</v>
      </c>
      <c r="TF68" s="134">
        <v>121864</v>
      </c>
      <c r="TG68" s="134"/>
      <c r="TH68" s="133">
        <f t="shared" si="787"/>
        <v>15640</v>
      </c>
      <c r="TI68" s="151">
        <f t="shared" si="788"/>
        <v>0.12833978861681875</v>
      </c>
      <c r="TJ68" s="134">
        <v>0</v>
      </c>
      <c r="TK68" s="134">
        <v>0</v>
      </c>
      <c r="TL68" s="134">
        <v>0</v>
      </c>
      <c r="TM68" s="190">
        <f t="shared" si="789"/>
        <v>15640</v>
      </c>
      <c r="TN68" s="5380">
        <f t="shared" si="790"/>
        <v>0.12833978861681875</v>
      </c>
      <c r="TO68" s="134"/>
      <c r="TP68" s="134"/>
      <c r="TQ68" s="134"/>
      <c r="TR68" s="134"/>
      <c r="TS68" s="133">
        <f t="shared" si="747"/>
        <v>0</v>
      </c>
      <c r="TT68" s="151" t="e">
        <f t="shared" si="748"/>
        <v>#DIV/0!</v>
      </c>
      <c r="TU68" s="134"/>
      <c r="TV68" s="134"/>
      <c r="TW68" s="134"/>
      <c r="TX68" s="190">
        <f t="shared" ref="TX68:TX78" si="845">TS68-SUM(TU68:TW68)</f>
        <v>0</v>
      </c>
      <c r="TY68" s="135" t="e">
        <f t="shared" si="749"/>
        <v>#DIV/0!</v>
      </c>
      <c r="TZ68" s="1563"/>
      <c r="UA68" s="134"/>
      <c r="UB68" s="134"/>
      <c r="UC68" s="134"/>
      <c r="UD68" s="133">
        <f t="shared" si="750"/>
        <v>0</v>
      </c>
      <c r="UE68" s="151" t="e">
        <f t="shared" si="751"/>
        <v>#DIV/0!</v>
      </c>
      <c r="UF68" s="134"/>
      <c r="UG68" s="134"/>
      <c r="UH68" s="134"/>
      <c r="UI68" s="190">
        <f t="shared" si="752"/>
        <v>0</v>
      </c>
      <c r="UJ68" s="5380" t="e">
        <f t="shared" si="753"/>
        <v>#DIV/0!</v>
      </c>
      <c r="UK68" s="5376"/>
      <c r="UL68" s="191">
        <f t="shared" si="754"/>
        <v>1977456</v>
      </c>
      <c r="UM68" s="191">
        <f t="shared" si="755"/>
        <v>295772</v>
      </c>
      <c r="UN68" s="135">
        <f t="shared" si="756"/>
        <v>0.14957197530564523</v>
      </c>
      <c r="UO68" s="191">
        <f t="shared" si="757"/>
        <v>261272</v>
      </c>
      <c r="UP68" s="5380">
        <f t="shared" si="758"/>
        <v>0.13212531656835855</v>
      </c>
    </row>
    <row r="69" spans="1:566" x14ac:dyDescent="0.3">
      <c r="A69" s="5316">
        <v>10</v>
      </c>
      <c r="B69" s="5360" t="s">
        <v>153</v>
      </c>
      <c r="C69" s="578" t="s">
        <v>144</v>
      </c>
      <c r="D69" s="578" t="s">
        <v>142</v>
      </c>
      <c r="E69" s="6278" t="s">
        <v>145</v>
      </c>
      <c r="F69" s="422">
        <v>3</v>
      </c>
      <c r="G69" s="161">
        <v>917720</v>
      </c>
      <c r="H69" s="161">
        <v>1160232</v>
      </c>
      <c r="I69" s="161">
        <v>242512</v>
      </c>
      <c r="J69" s="94">
        <f>I69/H69</f>
        <v>0.20902026491253473</v>
      </c>
      <c r="K69" s="136">
        <v>1</v>
      </c>
      <c r="L69" s="161">
        <v>719020</v>
      </c>
      <c r="M69" s="161">
        <v>951396</v>
      </c>
      <c r="N69" s="161">
        <v>178455</v>
      </c>
      <c r="O69" s="158">
        <f>N69/M69</f>
        <v>0.18757173669008489</v>
      </c>
      <c r="P69" s="136">
        <v>4</v>
      </c>
      <c r="Q69" s="161">
        <v>623308</v>
      </c>
      <c r="R69" s="161">
        <v>909049</v>
      </c>
      <c r="S69" s="161">
        <v>219772</v>
      </c>
      <c r="T69" s="94">
        <f>S69/R69</f>
        <v>0.2417603451519115</v>
      </c>
      <c r="U69" s="136">
        <v>3</v>
      </c>
      <c r="V69" s="161">
        <v>225286</v>
      </c>
      <c r="W69" s="161">
        <v>324276</v>
      </c>
      <c r="X69" s="161">
        <v>0</v>
      </c>
      <c r="Y69" s="759">
        <f t="shared" si="801"/>
        <v>98990</v>
      </c>
      <c r="Z69" s="94">
        <f>Y69/W69</f>
        <v>0.30526465109968054</v>
      </c>
      <c r="AA69" s="422">
        <v>2</v>
      </c>
      <c r="AB69" s="161">
        <v>74686</v>
      </c>
      <c r="AC69" s="161">
        <v>93140</v>
      </c>
      <c r="AD69" s="161">
        <v>0</v>
      </c>
      <c r="AE69" s="775">
        <f t="shared" si="802"/>
        <v>18454</v>
      </c>
      <c r="AF69" s="422"/>
      <c r="AG69" s="113">
        <v>3</v>
      </c>
      <c r="AH69" s="616">
        <f>69736+30800</f>
        <v>100536</v>
      </c>
      <c r="AI69" s="616">
        <v>130988</v>
      </c>
      <c r="AJ69" s="616"/>
      <c r="AK69" s="96">
        <f t="shared" si="803"/>
        <v>30452</v>
      </c>
      <c r="AL69" s="114">
        <f>AK69/AI69</f>
        <v>0.23247931108193118</v>
      </c>
      <c r="AM69" s="129">
        <v>0</v>
      </c>
      <c r="AN69" s="417">
        <v>97232</v>
      </c>
      <c r="AO69" s="130">
        <v>0</v>
      </c>
      <c r="AP69" s="417">
        <v>0</v>
      </c>
      <c r="AQ69" s="417">
        <f>AK69-AM69-AN69-AO69-AP69</f>
        <v>-66780</v>
      </c>
      <c r="AR69" s="421">
        <f>AQ69/AI69</f>
        <v>-0.50981769322380677</v>
      </c>
      <c r="AS69" s="113">
        <v>3</v>
      </c>
      <c r="AT69" s="760">
        <v>400508</v>
      </c>
      <c r="AU69" s="761">
        <f t="shared" si="804"/>
        <v>548404</v>
      </c>
      <c r="AV69" s="761">
        <f>AK69+AE69+Y69</f>
        <v>147896</v>
      </c>
      <c r="AW69" s="116">
        <f>AV69/AU69</f>
        <v>0.26968439325752547</v>
      </c>
      <c r="AX69" s="776">
        <v>3</v>
      </c>
      <c r="AY69" s="587">
        <f t="shared" si="805"/>
        <v>2660556</v>
      </c>
      <c r="AZ69" s="587">
        <f t="shared" si="806"/>
        <v>3569081</v>
      </c>
      <c r="BA69" s="587">
        <f t="shared" si="807"/>
        <v>788635</v>
      </c>
      <c r="BB69" s="588">
        <f>BA69/AZ69</f>
        <v>0.2209630434277059</v>
      </c>
      <c r="BC69" s="1514">
        <v>2</v>
      </c>
      <c r="BD69" s="759">
        <v>86536</v>
      </c>
      <c r="BE69" s="759">
        <v>103108</v>
      </c>
      <c r="BF69" s="759"/>
      <c r="BG69" s="775">
        <f t="shared" si="808"/>
        <v>16572</v>
      </c>
      <c r="BH69" s="736">
        <f>BG69/BE69</f>
        <v>0.16072467703766924</v>
      </c>
      <c r="BI69" s="1514">
        <v>3</v>
      </c>
      <c r="BJ69" s="759">
        <v>109536</v>
      </c>
      <c r="BK69" s="759">
        <v>140148</v>
      </c>
      <c r="BL69" s="759"/>
      <c r="BM69" s="775">
        <f>BK69-(BJ69+BL69)</f>
        <v>30612</v>
      </c>
      <c r="BN69" s="736">
        <f>BM69/BK69</f>
        <v>0.2184262351228701</v>
      </c>
      <c r="BO69" s="777">
        <v>3</v>
      </c>
      <c r="BP69" s="759">
        <v>100536</v>
      </c>
      <c r="BQ69" s="759">
        <v>119908</v>
      </c>
      <c r="BR69" s="759"/>
      <c r="BS69" s="775">
        <f>BQ69-(BP69+BR69)</f>
        <v>19372</v>
      </c>
      <c r="BT69" s="239">
        <f>BS69/BQ69</f>
        <v>0.16155719384861728</v>
      </c>
      <c r="BU69" s="689">
        <v>3</v>
      </c>
      <c r="BV69" s="592">
        <f t="shared" si="809"/>
        <v>363164</v>
      </c>
      <c r="BW69" s="592">
        <f>BS69+BM69+BG69</f>
        <v>66556</v>
      </c>
      <c r="BX69" s="593">
        <f>BW69/BV69</f>
        <v>0.18326706391602693</v>
      </c>
      <c r="BY69" s="784"/>
      <c r="BZ69" s="785">
        <v>0</v>
      </c>
      <c r="CA69" s="785">
        <v>0</v>
      </c>
      <c r="CB69" s="786">
        <v>53099</v>
      </c>
      <c r="CC69" s="596">
        <f>CA69-(BZ69+CB69)</f>
        <v>-53099</v>
      </c>
      <c r="CD69" s="787"/>
      <c r="CE69" s="788"/>
      <c r="CF69" s="786"/>
      <c r="CG69" s="786"/>
      <c r="CH69" s="786"/>
      <c r="CI69" s="789">
        <f>CC69-CE69-CF69-CG69-CH69</f>
        <v>-53099</v>
      </c>
      <c r="CJ69" s="790">
        <v>0</v>
      </c>
      <c r="CK69" s="791"/>
      <c r="CL69" s="792">
        <v>0</v>
      </c>
      <c r="CM69" s="792"/>
      <c r="CN69" s="792"/>
      <c r="CO69" s="360">
        <f t="shared" si="810"/>
        <v>0</v>
      </c>
      <c r="CP69" s="793"/>
      <c r="CQ69" s="794">
        <v>0</v>
      </c>
      <c r="CR69" s="795">
        <v>0</v>
      </c>
      <c r="CS69" s="795"/>
      <c r="CT69" s="795"/>
      <c r="CU69" s="796">
        <f>CO69-CQ69-CR69-CS69</f>
        <v>0</v>
      </c>
      <c r="CV69" s="797"/>
      <c r="CW69" s="131"/>
      <c r="CX69" s="132"/>
      <c r="CY69" s="132"/>
      <c r="CZ69" s="132">
        <v>46713</v>
      </c>
      <c r="DA69" s="605">
        <f>CY69-(CX69+CZ69)</f>
        <v>-46713</v>
      </c>
      <c r="DB69" s="114"/>
      <c r="DC69" s="131"/>
      <c r="DD69" s="132"/>
      <c r="DE69" s="132"/>
      <c r="DF69" s="132">
        <v>0</v>
      </c>
      <c r="DG69" s="128">
        <f>DA69-DC69-DD69-DE69-DF69</f>
        <v>-46713</v>
      </c>
      <c r="DH69" s="169"/>
      <c r="DI69" s="204">
        <f>(BY69+CK69+CW69)/3</f>
        <v>0</v>
      </c>
      <c r="DJ69" s="202">
        <f t="shared" si="811"/>
        <v>0</v>
      </c>
      <c r="DK69" s="202">
        <f t="shared" si="812"/>
        <v>-99812</v>
      </c>
      <c r="DL69" s="119">
        <v>0</v>
      </c>
      <c r="DM69" s="202">
        <f t="shared" si="813"/>
        <v>-99812</v>
      </c>
      <c r="DN69" s="119">
        <v>0</v>
      </c>
      <c r="DO69" s="607">
        <f t="shared" si="814"/>
        <v>-3</v>
      </c>
      <c r="DP69" s="137">
        <f t="shared" si="814"/>
        <v>-100536</v>
      </c>
      <c r="DQ69" s="137">
        <f t="shared" si="814"/>
        <v>-130988</v>
      </c>
      <c r="DR69" s="137">
        <f>DA69-AK69</f>
        <v>-77165</v>
      </c>
      <c r="DS69" s="135">
        <f>DO69/AG69</f>
        <v>-1</v>
      </c>
      <c r="DT69" s="135">
        <f>DP69/AI69</f>
        <v>-0.76752068891806879</v>
      </c>
      <c r="DU69" s="135">
        <f>DQ69/AK69</f>
        <v>-4.3014580323131488</v>
      </c>
      <c r="DV69" s="151">
        <f>DR69/AQ69</f>
        <v>1.1555106319257262</v>
      </c>
      <c r="DW69" s="607">
        <f>CW69-CK69</f>
        <v>0</v>
      </c>
      <c r="DX69" s="152">
        <f>CY69-CM69</f>
        <v>0</v>
      </c>
      <c r="DY69" s="152">
        <f>DA69-CO69</f>
        <v>-46713</v>
      </c>
      <c r="DZ69" s="780">
        <f>DG69-CU69</f>
        <v>-46713</v>
      </c>
      <c r="EA69" s="135">
        <v>1</v>
      </c>
      <c r="EB69" s="135">
        <v>1</v>
      </c>
      <c r="EC69" s="135">
        <v>1</v>
      </c>
      <c r="ED69" s="151">
        <v>1</v>
      </c>
      <c r="EE69" s="129">
        <v>1</v>
      </c>
      <c r="EF69" s="130">
        <v>15200</v>
      </c>
      <c r="EG69" s="130">
        <v>17100</v>
      </c>
      <c r="EH69" s="132"/>
      <c r="EI69" s="605">
        <f>EG69-(EF69+EH69)</f>
        <v>1900</v>
      </c>
      <c r="EJ69" s="114">
        <f>EI69/EG69</f>
        <v>0.1111111111111111</v>
      </c>
      <c r="EK69" s="129">
        <v>0</v>
      </c>
      <c r="EL69" s="130">
        <v>0</v>
      </c>
      <c r="EM69" s="130">
        <v>0</v>
      </c>
      <c r="EN69" s="130">
        <v>0</v>
      </c>
      <c r="EO69" s="128">
        <f>EI69-EK69-EL69-EM69-EN69</f>
        <v>1900</v>
      </c>
      <c r="EP69" s="114">
        <f>EO69/EG69</f>
        <v>0.1111111111111111</v>
      </c>
      <c r="EQ69" s="129">
        <v>1</v>
      </c>
      <c r="ER69" s="130">
        <v>1600</v>
      </c>
      <c r="ES69" s="130">
        <v>1800</v>
      </c>
      <c r="ET69" s="132"/>
      <c r="EU69" s="134">
        <f>ES69-(ER69+ET69)</f>
        <v>200</v>
      </c>
      <c r="EV69" s="114">
        <f>EU69/ES69</f>
        <v>0.1111111111111111</v>
      </c>
      <c r="EW69" s="129">
        <v>0</v>
      </c>
      <c r="EX69" s="130">
        <v>0</v>
      </c>
      <c r="EY69" s="130">
        <v>0</v>
      </c>
      <c r="EZ69" s="130">
        <v>0</v>
      </c>
      <c r="FA69" s="128">
        <f>EU69-EW69-EX69-EY69-EZ69</f>
        <v>200</v>
      </c>
      <c r="FB69" s="114">
        <f>FA69/ES69</f>
        <v>0.1111111111111111</v>
      </c>
      <c r="FC69" s="643">
        <f t="shared" si="815"/>
        <v>-2</v>
      </c>
      <c r="FD69" s="644">
        <f t="shared" si="816"/>
        <v>-129188</v>
      </c>
      <c r="FE69" s="644">
        <f t="shared" si="817"/>
        <v>-30252</v>
      </c>
      <c r="FF69" s="644">
        <f t="shared" si="818"/>
        <v>66980</v>
      </c>
      <c r="FG69" s="74">
        <f>FC69/AG69</f>
        <v>-0.66666666666666663</v>
      </c>
      <c r="FH69" s="74">
        <f>FD69/AI69</f>
        <v>-0.98625828320151465</v>
      </c>
      <c r="FI69" s="74">
        <f>FE69/AK69</f>
        <v>-0.99343228687770924</v>
      </c>
      <c r="FJ69" s="73">
        <f>FF69/AQ69</f>
        <v>-1.0029949086552861</v>
      </c>
      <c r="FK69" s="133"/>
      <c r="FL69" s="134"/>
      <c r="FM69" s="134"/>
      <c r="FN69" s="134"/>
      <c r="FO69" s="134">
        <f>FM69-(FL69+FN69)</f>
        <v>0</v>
      </c>
      <c r="FP69" s="135"/>
      <c r="FQ69" s="133"/>
      <c r="FR69" s="134"/>
      <c r="FS69" s="134"/>
      <c r="FT69" s="191">
        <f>FO69-SUM(FQ69:FS69)</f>
        <v>0</v>
      </c>
      <c r="FU69" s="151"/>
      <c r="FV69" s="190">
        <f t="shared" si="819"/>
        <v>-3</v>
      </c>
      <c r="FW69" s="191">
        <f t="shared" si="820"/>
        <v>-100536</v>
      </c>
      <c r="FX69" s="191">
        <f t="shared" si="821"/>
        <v>-130988</v>
      </c>
      <c r="FY69" s="191">
        <f t="shared" si="822"/>
        <v>-30452</v>
      </c>
      <c r="FZ69" s="191">
        <f t="shared" si="823"/>
        <v>66780</v>
      </c>
      <c r="GA69" s="135">
        <f>FV69/AG69</f>
        <v>-1</v>
      </c>
      <c r="GB69" s="135">
        <f>FX69/AI69</f>
        <v>-1</v>
      </c>
      <c r="GC69" s="135">
        <f>FY69/AK69</f>
        <v>-1</v>
      </c>
      <c r="GD69" s="151">
        <f>FZ69/AQ69</f>
        <v>-1</v>
      </c>
      <c r="GE69" s="187">
        <f>(EE69+EQ69+FK69)/3</f>
        <v>0.66666666666666663</v>
      </c>
      <c r="GF69" s="155">
        <f t="shared" si="824"/>
        <v>18900</v>
      </c>
      <c r="GG69" s="155">
        <f t="shared" si="825"/>
        <v>2100</v>
      </c>
      <c r="GH69" s="74">
        <f>GG69/GF69</f>
        <v>0.1111111111111111</v>
      </c>
      <c r="GI69" s="613">
        <f t="shared" si="826"/>
        <v>2100</v>
      </c>
      <c r="GJ69" s="187">
        <f t="shared" si="827"/>
        <v>0.66666666666666663</v>
      </c>
      <c r="GK69" s="155">
        <f t="shared" si="828"/>
        <v>18900</v>
      </c>
      <c r="GL69" s="155">
        <f t="shared" si="829"/>
        <v>101912</v>
      </c>
      <c r="GM69" s="613">
        <f t="shared" si="830"/>
        <v>101912</v>
      </c>
      <c r="GN69" s="133">
        <v>2</v>
      </c>
      <c r="GO69" s="134">
        <v>80000</v>
      </c>
      <c r="GP69" s="134">
        <v>94100</v>
      </c>
      <c r="GQ69" s="134">
        <v>0</v>
      </c>
      <c r="GR69" s="134">
        <f>GP69-(GO69+GQ69)</f>
        <v>14100</v>
      </c>
      <c r="GS69" s="135"/>
      <c r="GT69" s="133">
        <v>0</v>
      </c>
      <c r="GU69" s="134">
        <v>0</v>
      </c>
      <c r="GV69" s="134">
        <v>0</v>
      </c>
      <c r="GW69" s="134">
        <v>0</v>
      </c>
      <c r="GX69" s="190">
        <f>GR69-SUM(GT69:GW69)</f>
        <v>14100</v>
      </c>
      <c r="GY69" s="151">
        <f>GX69/GP69</f>
        <v>0.14984059511158343</v>
      </c>
      <c r="GZ69" s="781">
        <v>3</v>
      </c>
      <c r="HA69" s="130">
        <v>106900</v>
      </c>
      <c r="HB69" s="130">
        <v>130000</v>
      </c>
      <c r="HC69" s="134"/>
      <c r="HD69" s="134">
        <f>HB69-(HA69+HC69)</f>
        <v>23100</v>
      </c>
      <c r="HE69" s="151">
        <f>HD69/HB69</f>
        <v>0.1776923076923077</v>
      </c>
      <c r="HF69" s="138">
        <v>0</v>
      </c>
      <c r="HG69" s="130">
        <v>0</v>
      </c>
      <c r="HH69" s="130"/>
      <c r="HI69" s="130">
        <v>0</v>
      </c>
      <c r="HJ69" s="197">
        <f>HD69-SUM(HF69:HI69)</f>
        <v>23100</v>
      </c>
      <c r="HK69" s="201">
        <f>HJ69/HB69</f>
        <v>0.1776923076923077</v>
      </c>
      <c r="HL69" s="133">
        <v>2</v>
      </c>
      <c r="HM69" s="134">
        <v>104900</v>
      </c>
      <c r="HN69" s="134">
        <v>122100</v>
      </c>
      <c r="HO69" s="134">
        <v>0</v>
      </c>
      <c r="HP69" s="615">
        <f>HN69-(HM69+HO69)</f>
        <v>17200</v>
      </c>
      <c r="HQ69" s="151">
        <f>HP69/HN69</f>
        <v>0.14086814086814087</v>
      </c>
      <c r="HR69" s="134">
        <v>0</v>
      </c>
      <c r="HS69" s="134">
        <v>0</v>
      </c>
      <c r="HT69" s="134"/>
      <c r="HU69" s="134">
        <v>0</v>
      </c>
      <c r="HV69" s="191">
        <f>HP69-SUM(HR69:HU69)</f>
        <v>17200</v>
      </c>
      <c r="HW69" s="151">
        <f>HV69/HN69</f>
        <v>0.14086814086814087</v>
      </c>
      <c r="HX69" s="414">
        <v>2</v>
      </c>
      <c r="HY69" s="241">
        <f>HN69+HB69+GP69</f>
        <v>346200</v>
      </c>
      <c r="HZ69" s="415">
        <f>HP69+HD69+GR69</f>
        <v>54400</v>
      </c>
      <c r="IA69" s="135">
        <f t="shared" si="831"/>
        <v>0.15713460427498555</v>
      </c>
      <c r="IB69" s="415">
        <f t="shared" si="832"/>
        <v>54400</v>
      </c>
      <c r="IC69" s="141"/>
      <c r="ID69" s="642">
        <v>2</v>
      </c>
      <c r="IE69" s="141">
        <f t="shared" si="759"/>
        <v>728264</v>
      </c>
      <c r="IF69" s="141">
        <f t="shared" si="760"/>
        <v>23244</v>
      </c>
      <c r="IG69" s="74">
        <f t="shared" si="701"/>
        <v>3.1916997132907847E-2</v>
      </c>
      <c r="IH69" s="1507"/>
      <c r="II69" s="69"/>
      <c r="IJ69" s="133">
        <v>2</v>
      </c>
      <c r="IK69" s="134">
        <v>69800</v>
      </c>
      <c r="IL69" s="134">
        <v>98000</v>
      </c>
      <c r="IM69" s="134">
        <v>0</v>
      </c>
      <c r="IN69" s="133">
        <f t="shared" si="833"/>
        <v>28200</v>
      </c>
      <c r="IO69" s="151">
        <f>IN69/IL69</f>
        <v>0.28775510204081634</v>
      </c>
      <c r="IP69" s="134">
        <v>0</v>
      </c>
      <c r="IQ69" s="134">
        <v>0</v>
      </c>
      <c r="IR69" s="134">
        <v>0</v>
      </c>
      <c r="IS69" s="190">
        <f>IN69-SUM(IP69:IR69)</f>
        <v>28200</v>
      </c>
      <c r="IT69" s="151">
        <f>IS69/IL69</f>
        <v>0.28775510204081634</v>
      </c>
      <c r="IU69" s="136">
        <v>2</v>
      </c>
      <c r="IV69" s="134">
        <v>62700</v>
      </c>
      <c r="IW69" s="134">
        <v>81300</v>
      </c>
      <c r="IX69" s="134">
        <v>0</v>
      </c>
      <c r="IY69" s="133">
        <f>IW69-(IV69+IX69)</f>
        <v>18600</v>
      </c>
      <c r="IZ69" s="151">
        <f>IY69/IW69</f>
        <v>0.22878228782287824</v>
      </c>
      <c r="JA69" s="134">
        <v>0</v>
      </c>
      <c r="JB69" s="134">
        <v>336664</v>
      </c>
      <c r="JC69" s="134">
        <v>0</v>
      </c>
      <c r="JD69" s="190">
        <f>IY69-SUM(JA69:JC69)</f>
        <v>-318064</v>
      </c>
      <c r="JE69" s="151">
        <f>JD69/IW69</f>
        <v>-3.9122263222632228</v>
      </c>
      <c r="JF69" s="136">
        <v>2</v>
      </c>
      <c r="JG69" s="134">
        <v>94925</v>
      </c>
      <c r="JH69" s="134">
        <v>118450</v>
      </c>
      <c r="JI69" s="358">
        <v>0</v>
      </c>
      <c r="JJ69" s="133">
        <f>JH69-(JG69+JI69)</f>
        <v>23525</v>
      </c>
      <c r="JK69" s="151">
        <f>JJ69/JH69</f>
        <v>0.19860700717602364</v>
      </c>
      <c r="JL69" s="134">
        <v>0</v>
      </c>
      <c r="JM69" s="759">
        <v>0</v>
      </c>
      <c r="JN69" s="134">
        <v>0</v>
      </c>
      <c r="JO69" s="190">
        <f>JJ69-SUM(JL69:JN69)</f>
        <v>23525</v>
      </c>
      <c r="JP69" s="151">
        <f>JO69/JH69</f>
        <v>0.19860700717602364</v>
      </c>
      <c r="JQ69" s="136">
        <v>2</v>
      </c>
      <c r="JR69" s="191">
        <f>JH69+IW69+IL69</f>
        <v>297750</v>
      </c>
      <c r="JS69" s="191">
        <f>JJ69+IY69+IN69</f>
        <v>70325</v>
      </c>
      <c r="JT69" s="151">
        <f>JS69/JR69</f>
        <v>0.23618807724601176</v>
      </c>
      <c r="JU69" s="136">
        <v>2</v>
      </c>
      <c r="JV69" s="134">
        <v>83600</v>
      </c>
      <c r="JW69" s="134">
        <v>104300</v>
      </c>
      <c r="JX69" s="358">
        <v>0</v>
      </c>
      <c r="JY69" s="133">
        <f>JW69-(JV69+JX69)</f>
        <v>20700</v>
      </c>
      <c r="JZ69" s="151">
        <f>JY69/JW69</f>
        <v>0.19846596356663471</v>
      </c>
      <c r="KA69" s="134">
        <v>0</v>
      </c>
      <c r="KB69" s="759">
        <v>0</v>
      </c>
      <c r="KC69" s="134">
        <v>0</v>
      </c>
      <c r="KD69" s="190">
        <f>JY69-SUM(KA69:KC69)</f>
        <v>20700</v>
      </c>
      <c r="KE69" s="151">
        <f>KD69/JW69</f>
        <v>0.19846596356663471</v>
      </c>
      <c r="KF69" s="136">
        <v>2</v>
      </c>
      <c r="KG69" s="134">
        <v>40600</v>
      </c>
      <c r="KH69" s="134">
        <v>50720</v>
      </c>
      <c r="KI69" s="358">
        <v>0</v>
      </c>
      <c r="KJ69" s="133">
        <f t="shared" ref="KJ69:KJ78" si="846">KH69-(KG69+KI69)</f>
        <v>10120</v>
      </c>
      <c r="KK69" s="151">
        <f>KJ69/KH69</f>
        <v>0.19952681388012619</v>
      </c>
      <c r="KL69" s="134">
        <v>0</v>
      </c>
      <c r="KM69" s="759">
        <v>0</v>
      </c>
      <c r="KN69" s="134">
        <v>0</v>
      </c>
      <c r="KO69" s="190">
        <f>KJ69-SUM(KL69:KN69)</f>
        <v>10120</v>
      </c>
      <c r="KP69" s="151">
        <f>KO69/KH69</f>
        <v>0.19952681388012619</v>
      </c>
      <c r="KQ69" s="136">
        <v>2</v>
      </c>
      <c r="KR69" s="134">
        <v>41150</v>
      </c>
      <c r="KS69" s="134">
        <v>55600</v>
      </c>
      <c r="KT69" s="358"/>
      <c r="KU69" s="133">
        <f t="shared" ref="KU69:KU78" si="847">KS69-(KR69+KT69)</f>
        <v>14450</v>
      </c>
      <c r="KV69" s="151">
        <f>KU69/KS69</f>
        <v>0.25989208633093525</v>
      </c>
      <c r="KW69" s="134">
        <v>0</v>
      </c>
      <c r="KX69" s="759">
        <v>0</v>
      </c>
      <c r="KY69" s="134">
        <v>0</v>
      </c>
      <c r="KZ69" s="190">
        <f>KU69-SUM(KW69:KY69)</f>
        <v>14450</v>
      </c>
      <c r="LA69" s="151">
        <f>KZ69/KS69</f>
        <v>0.25989208633093525</v>
      </c>
      <c r="LB69" s="402">
        <v>2</v>
      </c>
      <c r="LC69" s="191">
        <f>KS69+KH69+JW69</f>
        <v>210620</v>
      </c>
      <c r="LD69" s="191">
        <f>KU69+KJ69+JY69</f>
        <v>45270</v>
      </c>
      <c r="LE69" s="151">
        <f>LD69/LC69</f>
        <v>0.21493685310037033</v>
      </c>
      <c r="LF69" s="226">
        <f t="shared" si="834"/>
        <v>0</v>
      </c>
      <c r="LG69" s="128">
        <f t="shared" si="834"/>
        <v>-87130</v>
      </c>
      <c r="LH69" s="139">
        <f t="shared" si="834"/>
        <v>-25055</v>
      </c>
      <c r="LI69" s="442">
        <f t="shared" si="835"/>
        <v>0</v>
      </c>
      <c r="LJ69" s="442">
        <f t="shared" si="835"/>
        <v>-0.29262804366078926</v>
      </c>
      <c r="LK69" s="106">
        <f t="shared" si="835"/>
        <v>-0.35627444009953785</v>
      </c>
      <c r="LL69" s="136">
        <v>1</v>
      </c>
      <c r="LM69" s="134">
        <v>9750</v>
      </c>
      <c r="LN69" s="134">
        <v>14300</v>
      </c>
      <c r="LO69" s="358">
        <v>0</v>
      </c>
      <c r="LP69" s="133">
        <f t="shared" ref="LP69:LP78" si="848">LN69-(LM69+LO69)</f>
        <v>4550</v>
      </c>
      <c r="LQ69" s="151">
        <f>LP69/LN69</f>
        <v>0.31818181818181818</v>
      </c>
      <c r="LR69" s="134">
        <v>0</v>
      </c>
      <c r="LS69" s="759">
        <v>0</v>
      </c>
      <c r="LT69" s="134">
        <v>0</v>
      </c>
      <c r="LU69" s="190">
        <f>LP69-SUM(LR69:LT69)</f>
        <v>4550</v>
      </c>
      <c r="LV69" s="151">
        <f>LU69/LN69</f>
        <v>0.31818181818181818</v>
      </c>
      <c r="LW69" s="134">
        <v>2</v>
      </c>
      <c r="LX69" s="134">
        <v>36950</v>
      </c>
      <c r="LY69" s="134">
        <v>53100</v>
      </c>
      <c r="LZ69" s="134"/>
      <c r="MA69" s="133">
        <f>LY69-(LX69+LZ69)</f>
        <v>16150</v>
      </c>
      <c r="MB69" s="151">
        <f>MA69/LY69</f>
        <v>0.30414312617702449</v>
      </c>
      <c r="MC69" s="134">
        <v>0</v>
      </c>
      <c r="MD69" s="134">
        <v>0</v>
      </c>
      <c r="ME69" s="134">
        <v>0</v>
      </c>
      <c r="MF69" s="190">
        <f t="shared" si="836"/>
        <v>16150</v>
      </c>
      <c r="MG69" s="151">
        <f>MF69/LY69</f>
        <v>0.30414312617702449</v>
      </c>
      <c r="MH69" s="134">
        <v>3</v>
      </c>
      <c r="MI69" s="134">
        <v>20300</v>
      </c>
      <c r="MJ69" s="134">
        <v>25400</v>
      </c>
      <c r="MK69" s="134"/>
      <c r="ML69" s="133">
        <f>MJ69-(MI69+MK69)</f>
        <v>5100</v>
      </c>
      <c r="MM69" s="151">
        <f>ML69/MJ69</f>
        <v>0.20078740157480315</v>
      </c>
      <c r="MN69" s="134">
        <v>0</v>
      </c>
      <c r="MO69" s="134">
        <v>0</v>
      </c>
      <c r="MP69" s="134">
        <v>0</v>
      </c>
      <c r="MQ69" s="190">
        <f t="shared" si="837"/>
        <v>5100</v>
      </c>
      <c r="MR69" s="151">
        <f>MQ69/MJ69</f>
        <v>0.20078740157480315</v>
      </c>
      <c r="MS69" s="1472">
        <v>3</v>
      </c>
      <c r="MT69" s="118">
        <f>MJ69+LY69+LN69</f>
        <v>92800</v>
      </c>
      <c r="MU69" s="118">
        <f>ML69+MA69+LP69</f>
        <v>25800</v>
      </c>
      <c r="MV69" s="135">
        <f t="shared" si="702"/>
        <v>0.27801724137931033</v>
      </c>
      <c r="MW69" s="133">
        <f t="shared" si="703"/>
        <v>1</v>
      </c>
      <c r="MX69" s="134">
        <f t="shared" si="704"/>
        <v>-117820</v>
      </c>
      <c r="MY69" s="134">
        <f t="shared" si="705"/>
        <v>-19470</v>
      </c>
      <c r="MZ69" s="135">
        <f t="shared" si="706"/>
        <v>0.5</v>
      </c>
      <c r="NA69" s="135">
        <f t="shared" si="707"/>
        <v>-0.55939606874940651</v>
      </c>
      <c r="NB69" s="151">
        <f t="shared" si="708"/>
        <v>-0.43008614976805831</v>
      </c>
      <c r="NC69" s="134">
        <v>2</v>
      </c>
      <c r="ND69" s="134">
        <v>17650</v>
      </c>
      <c r="NE69" s="134">
        <v>24250</v>
      </c>
      <c r="NF69" s="134"/>
      <c r="NG69" s="133">
        <f t="shared" si="838"/>
        <v>6600</v>
      </c>
      <c r="NH69" s="151">
        <f t="shared" si="709"/>
        <v>0.27216494845360822</v>
      </c>
      <c r="NI69" s="134">
        <v>0</v>
      </c>
      <c r="NJ69" s="134">
        <v>0</v>
      </c>
      <c r="NK69" s="134">
        <v>0</v>
      </c>
      <c r="NL69" s="190">
        <f t="shared" si="839"/>
        <v>6600</v>
      </c>
      <c r="NM69" s="135">
        <f t="shared" si="710"/>
        <v>0.27216494845360822</v>
      </c>
      <c r="NN69" s="1563">
        <v>1</v>
      </c>
      <c r="NO69" s="134">
        <v>800</v>
      </c>
      <c r="NP69" s="134">
        <v>900</v>
      </c>
      <c r="NQ69" s="134">
        <v>0</v>
      </c>
      <c r="NR69" s="133">
        <f t="shared" si="711"/>
        <v>100</v>
      </c>
      <c r="NS69" s="151">
        <f t="shared" si="712"/>
        <v>0.1111111111111111</v>
      </c>
      <c r="NT69" s="134">
        <v>0</v>
      </c>
      <c r="NU69" s="134">
        <v>0</v>
      </c>
      <c r="NV69" s="134">
        <v>0</v>
      </c>
      <c r="NW69" s="190">
        <f t="shared" si="840"/>
        <v>100</v>
      </c>
      <c r="NX69" s="135">
        <f t="shared" si="713"/>
        <v>0.1111111111111111</v>
      </c>
      <c r="NY69" s="1563">
        <v>1</v>
      </c>
      <c r="NZ69" s="134">
        <v>24240</v>
      </c>
      <c r="OA69" s="134">
        <v>35552</v>
      </c>
      <c r="OB69" s="134">
        <v>0</v>
      </c>
      <c r="OC69" s="133">
        <f t="shared" si="791"/>
        <v>11312</v>
      </c>
      <c r="OD69" s="151">
        <f t="shared" si="714"/>
        <v>0.31818181818181818</v>
      </c>
      <c r="OE69" s="134">
        <v>0</v>
      </c>
      <c r="OF69" s="134">
        <v>0</v>
      </c>
      <c r="OG69" s="134">
        <v>0</v>
      </c>
      <c r="OH69" s="190">
        <f t="shared" si="792"/>
        <v>11312</v>
      </c>
      <c r="OI69" s="5380">
        <f t="shared" si="715"/>
        <v>0.31818181818181818</v>
      </c>
      <c r="OJ69" s="69">
        <v>1</v>
      </c>
      <c r="OK69" s="155">
        <f t="shared" si="793"/>
        <v>638347</v>
      </c>
      <c r="OL69" s="155">
        <f t="shared" si="794"/>
        <v>135882</v>
      </c>
      <c r="OM69" s="74">
        <f t="shared" si="795"/>
        <v>0.21286541645844659</v>
      </c>
      <c r="ON69" s="155">
        <f t="shared" si="796"/>
        <v>-200782</v>
      </c>
      <c r="OO69" s="70"/>
      <c r="OP69" s="69"/>
      <c r="OQ69" s="2008">
        <v>1</v>
      </c>
      <c r="OR69" s="208">
        <v>19500</v>
      </c>
      <c r="OS69" s="208">
        <v>28600</v>
      </c>
      <c r="OT69" s="3546"/>
      <c r="OU69" s="133">
        <f t="shared" si="797"/>
        <v>9100</v>
      </c>
      <c r="OV69" s="94">
        <f t="shared" si="716"/>
        <v>0.31818181818181818</v>
      </c>
      <c r="OW69" s="134">
        <v>0</v>
      </c>
      <c r="OX69" s="134">
        <v>0</v>
      </c>
      <c r="OY69" s="134">
        <v>0</v>
      </c>
      <c r="OZ69" s="190">
        <f t="shared" si="841"/>
        <v>9100</v>
      </c>
      <c r="PA69" s="5361">
        <f t="shared" si="798"/>
        <v>0.31818181818181818</v>
      </c>
      <c r="PB69" s="698">
        <v>4</v>
      </c>
      <c r="PC69" s="208">
        <f>47375+3200</f>
        <v>50575</v>
      </c>
      <c r="PD69" s="395">
        <v>71170</v>
      </c>
      <c r="PE69" s="208"/>
      <c r="PF69" s="133">
        <f t="shared" si="799"/>
        <v>20595</v>
      </c>
      <c r="PG69" s="94">
        <f t="shared" si="800"/>
        <v>0.28937754671912325</v>
      </c>
      <c r="PH69" s="134">
        <v>0</v>
      </c>
      <c r="PI69" s="134">
        <v>0</v>
      </c>
      <c r="PJ69" s="134">
        <v>0</v>
      </c>
      <c r="PK69" s="190">
        <f t="shared" si="763"/>
        <v>20595</v>
      </c>
      <c r="PL69" s="135">
        <f t="shared" si="764"/>
        <v>0.28937754671912325</v>
      </c>
      <c r="PM69" s="5316">
        <v>2</v>
      </c>
      <c r="PN69" s="134">
        <v>44660</v>
      </c>
      <c r="PO69" s="134">
        <v>61348</v>
      </c>
      <c r="PP69" s="358">
        <v>0</v>
      </c>
      <c r="PQ69" s="6293">
        <f t="shared" si="842"/>
        <v>16688</v>
      </c>
      <c r="PR69" s="6295">
        <f t="shared" si="720"/>
        <v>0.27202190780465541</v>
      </c>
      <c r="PS69" s="134">
        <v>0</v>
      </c>
      <c r="PT69" s="759">
        <v>0</v>
      </c>
      <c r="PU69" s="134">
        <v>0</v>
      </c>
      <c r="PV69" s="190">
        <f t="shared" si="721"/>
        <v>16688</v>
      </c>
      <c r="PW69" s="5380">
        <f t="shared" si="722"/>
        <v>0.27202190780465541</v>
      </c>
      <c r="PX69" s="422">
        <v>2</v>
      </c>
      <c r="PY69" s="191">
        <f t="shared" si="696"/>
        <v>161118</v>
      </c>
      <c r="PZ69" s="191">
        <f t="shared" si="723"/>
        <v>46383</v>
      </c>
      <c r="QA69" s="135">
        <f t="shared" si="724"/>
        <v>0.28788217331396865</v>
      </c>
      <c r="QB69" s="5390">
        <v>2</v>
      </c>
      <c r="QC69" s="395">
        <v>120735</v>
      </c>
      <c r="QD69" s="395">
        <v>172278</v>
      </c>
      <c r="QE69" s="772">
        <v>0</v>
      </c>
      <c r="QF69" s="6293">
        <f t="shared" si="725"/>
        <v>51543</v>
      </c>
      <c r="QG69" s="6295">
        <f t="shared" si="726"/>
        <v>0.29918503813603592</v>
      </c>
      <c r="QH69" s="134">
        <v>0</v>
      </c>
      <c r="QI69" s="759">
        <v>0</v>
      </c>
      <c r="QJ69" s="134">
        <v>0</v>
      </c>
      <c r="QK69" s="190">
        <f t="shared" si="765"/>
        <v>51543</v>
      </c>
      <c r="QL69" s="5380">
        <f t="shared" si="766"/>
        <v>0.29918503813603592</v>
      </c>
      <c r="QM69" s="5396">
        <v>2</v>
      </c>
      <c r="QN69" s="208">
        <f>16800+1200</f>
        <v>18000</v>
      </c>
      <c r="QO69" s="208">
        <v>42550</v>
      </c>
      <c r="QP69" s="395">
        <v>0</v>
      </c>
      <c r="QQ69" s="133">
        <f t="shared" si="727"/>
        <v>24550</v>
      </c>
      <c r="QR69" s="151">
        <f t="shared" si="728"/>
        <v>0.57696827262044659</v>
      </c>
      <c r="QS69" s="134">
        <v>0</v>
      </c>
      <c r="QT69" s="759">
        <v>0</v>
      </c>
      <c r="QU69" s="134">
        <v>0</v>
      </c>
      <c r="QV69" s="190">
        <f t="shared" si="729"/>
        <v>24550</v>
      </c>
      <c r="QW69" s="5380">
        <f t="shared" si="730"/>
        <v>0.57696827262044659</v>
      </c>
      <c r="QX69" s="5316">
        <v>2</v>
      </c>
      <c r="QY69" s="134">
        <v>30325</v>
      </c>
      <c r="QZ69" s="134">
        <v>40650</v>
      </c>
      <c r="RA69" s="358">
        <v>0</v>
      </c>
      <c r="RB69" s="133">
        <f t="shared" si="731"/>
        <v>10325</v>
      </c>
      <c r="RC69" s="151">
        <f t="shared" si="732"/>
        <v>0.25399753997539976</v>
      </c>
      <c r="RD69" s="134">
        <v>0</v>
      </c>
      <c r="RE69" s="759">
        <v>0</v>
      </c>
      <c r="RF69" s="134">
        <v>0</v>
      </c>
      <c r="RG69" s="190">
        <f t="shared" si="733"/>
        <v>10325</v>
      </c>
      <c r="RH69" s="5380">
        <f t="shared" si="734"/>
        <v>0.25399753997539976</v>
      </c>
      <c r="RI69" s="5376"/>
      <c r="RJ69" s="191">
        <f t="shared" si="735"/>
        <v>255478</v>
      </c>
      <c r="RK69" s="191">
        <f t="shared" si="736"/>
        <v>86418</v>
      </c>
      <c r="RL69" s="5380">
        <f t="shared" si="737"/>
        <v>0.33826004587479158</v>
      </c>
      <c r="RM69" s="1562">
        <f t="shared" si="843"/>
        <v>-2</v>
      </c>
      <c r="RN69" s="128">
        <f t="shared" si="843"/>
        <v>94360</v>
      </c>
      <c r="RO69" s="139">
        <f t="shared" si="843"/>
        <v>40035</v>
      </c>
      <c r="RP69" s="442">
        <f t="shared" si="844"/>
        <v>-1</v>
      </c>
      <c r="RQ69" s="442">
        <f t="shared" si="844"/>
        <v>0.58565771670452715</v>
      </c>
      <c r="RR69" s="6339">
        <f t="shared" si="844"/>
        <v>0.86313951232132458</v>
      </c>
      <c r="RS69" s="698">
        <v>2</v>
      </c>
      <c r="RT69" s="417">
        <v>13480</v>
      </c>
      <c r="RU69" s="130">
        <v>19224</v>
      </c>
      <c r="RV69" s="2563"/>
      <c r="RW69" s="133">
        <f t="shared" si="740"/>
        <v>5744</v>
      </c>
      <c r="RX69" s="151">
        <f t="shared" si="741"/>
        <v>0.29879317519766957</v>
      </c>
      <c r="RY69" s="134">
        <v>0</v>
      </c>
      <c r="RZ69" s="759">
        <v>0</v>
      </c>
      <c r="SA69" s="134">
        <v>0</v>
      </c>
      <c r="SB69" s="190">
        <f t="shared" si="742"/>
        <v>5744</v>
      </c>
      <c r="SC69" s="5380">
        <f t="shared" si="743"/>
        <v>0.29879317519766957</v>
      </c>
      <c r="SD69" s="5390">
        <v>2</v>
      </c>
      <c r="SE69" s="395">
        <v>47645</v>
      </c>
      <c r="SF69" s="395">
        <v>64876</v>
      </c>
      <c r="SG69" s="994">
        <v>0</v>
      </c>
      <c r="SH69" s="6361">
        <f t="shared" si="776"/>
        <v>17231</v>
      </c>
      <c r="SI69" s="6363">
        <f t="shared" si="777"/>
        <v>0.26559898884024907</v>
      </c>
      <c r="SJ69" s="134">
        <v>0</v>
      </c>
      <c r="SK69" s="759">
        <v>0</v>
      </c>
      <c r="SL69" s="134">
        <v>0</v>
      </c>
      <c r="SM69" s="190">
        <f t="shared" si="778"/>
        <v>17231</v>
      </c>
      <c r="SN69" s="5380">
        <f t="shared" si="779"/>
        <v>0.26559898884024907</v>
      </c>
      <c r="SO69" s="134">
        <v>2</v>
      </c>
      <c r="SP69" s="134">
        <v>22155</v>
      </c>
      <c r="SQ69" s="134">
        <v>27574</v>
      </c>
      <c r="SR69" s="134">
        <v>0</v>
      </c>
      <c r="SS69" s="6361">
        <f t="shared" si="780"/>
        <v>5419</v>
      </c>
      <c r="ST69" s="6363">
        <f t="shared" si="781"/>
        <v>0.19652571262783783</v>
      </c>
      <c r="SU69" s="134">
        <v>0</v>
      </c>
      <c r="SV69" s="134">
        <v>0</v>
      </c>
      <c r="SW69" s="134">
        <v>0</v>
      </c>
      <c r="SX69" s="190">
        <f t="shared" si="782"/>
        <v>5419</v>
      </c>
      <c r="SY69" s="5380">
        <f t="shared" si="783"/>
        <v>0.19652571262783783</v>
      </c>
      <c r="SZ69" s="6270"/>
      <c r="TA69" s="118">
        <f t="shared" si="784"/>
        <v>111674</v>
      </c>
      <c r="TB69" s="118">
        <f t="shared" si="785"/>
        <v>28394</v>
      </c>
      <c r="TC69" s="5380">
        <f t="shared" si="786"/>
        <v>0.25425792933001412</v>
      </c>
      <c r="TD69" s="1563">
        <v>1</v>
      </c>
      <c r="TE69" s="134">
        <v>12000</v>
      </c>
      <c r="TF69" s="134">
        <v>37800</v>
      </c>
      <c r="TG69" s="134"/>
      <c r="TH69" s="133">
        <f t="shared" si="787"/>
        <v>25800</v>
      </c>
      <c r="TI69" s="151">
        <f t="shared" si="788"/>
        <v>0.68253968253968256</v>
      </c>
      <c r="TJ69" s="134">
        <v>0</v>
      </c>
      <c r="TK69" s="134">
        <v>0</v>
      </c>
      <c r="TL69" s="134">
        <v>0</v>
      </c>
      <c r="TM69" s="190">
        <f t="shared" si="789"/>
        <v>25800</v>
      </c>
      <c r="TN69" s="5380">
        <f t="shared" si="790"/>
        <v>0.68253968253968256</v>
      </c>
      <c r="TO69" s="134"/>
      <c r="TP69" s="134"/>
      <c r="TQ69" s="134"/>
      <c r="TR69" s="134"/>
      <c r="TS69" s="133">
        <f t="shared" si="747"/>
        <v>0</v>
      </c>
      <c r="TT69" s="151" t="e">
        <f t="shared" si="748"/>
        <v>#DIV/0!</v>
      </c>
      <c r="TU69" s="134">
        <v>0</v>
      </c>
      <c r="TV69" s="134"/>
      <c r="TW69" s="134"/>
      <c r="TX69" s="190">
        <f t="shared" si="845"/>
        <v>0</v>
      </c>
      <c r="TY69" s="135" t="e">
        <f t="shared" si="749"/>
        <v>#DIV/0!</v>
      </c>
      <c r="TZ69" s="1563"/>
      <c r="UA69" s="134"/>
      <c r="UB69" s="134"/>
      <c r="UC69" s="134"/>
      <c r="UD69" s="133">
        <f t="shared" si="750"/>
        <v>0</v>
      </c>
      <c r="UE69" s="151" t="e">
        <f t="shared" si="751"/>
        <v>#DIV/0!</v>
      </c>
      <c r="UF69" s="134"/>
      <c r="UG69" s="134"/>
      <c r="UH69" s="134"/>
      <c r="UI69" s="190">
        <f t="shared" si="752"/>
        <v>0</v>
      </c>
      <c r="UJ69" s="5380" t="e">
        <f t="shared" si="753"/>
        <v>#DIV/0!</v>
      </c>
      <c r="UK69" s="5376"/>
      <c r="UL69" s="191">
        <f t="shared" si="754"/>
        <v>566070</v>
      </c>
      <c r="UM69" s="191">
        <f t="shared" si="755"/>
        <v>186995</v>
      </c>
      <c r="UN69" s="135">
        <f t="shared" si="756"/>
        <v>0.33033900401010474</v>
      </c>
      <c r="UO69" s="191">
        <f t="shared" si="757"/>
        <v>186995</v>
      </c>
      <c r="UP69" s="5380">
        <f t="shared" si="758"/>
        <v>0.33033900401010474</v>
      </c>
    </row>
    <row r="70" spans="1:566" x14ac:dyDescent="0.3">
      <c r="A70" s="5316">
        <v>11</v>
      </c>
      <c r="B70" s="5376" t="s">
        <v>649</v>
      </c>
      <c r="C70" s="578" t="s">
        <v>144</v>
      </c>
      <c r="D70" s="578" t="s">
        <v>142</v>
      </c>
      <c r="E70" s="6278" t="s">
        <v>145</v>
      </c>
      <c r="F70" s="422"/>
      <c r="G70" s="161"/>
      <c r="H70" s="161"/>
      <c r="I70" s="161"/>
      <c r="J70" s="94"/>
      <c r="K70" s="136"/>
      <c r="L70" s="161"/>
      <c r="M70" s="161"/>
      <c r="N70" s="161"/>
      <c r="O70" s="158"/>
      <c r="P70" s="136"/>
      <c r="Q70" s="161"/>
      <c r="R70" s="161"/>
      <c r="S70" s="161"/>
      <c r="T70" s="94"/>
      <c r="U70" s="136"/>
      <c r="V70" s="161"/>
      <c r="W70" s="161"/>
      <c r="X70" s="161"/>
      <c r="Y70" s="759"/>
      <c r="Z70" s="94"/>
      <c r="AA70" s="422"/>
      <c r="AB70" s="161"/>
      <c r="AC70" s="161"/>
      <c r="AD70" s="161"/>
      <c r="AE70" s="775"/>
      <c r="AF70" s="422"/>
      <c r="AG70" s="113"/>
      <c r="AH70" s="616"/>
      <c r="AI70" s="616"/>
      <c r="AJ70" s="616"/>
      <c r="AK70" s="96"/>
      <c r="AL70" s="114"/>
      <c r="AM70" s="129"/>
      <c r="AN70" s="417"/>
      <c r="AO70" s="130"/>
      <c r="AP70" s="417"/>
      <c r="AQ70" s="417"/>
      <c r="AR70" s="421"/>
      <c r="AS70" s="113"/>
      <c r="AT70" s="760"/>
      <c r="AU70" s="761"/>
      <c r="AV70" s="761"/>
      <c r="AW70" s="116"/>
      <c r="AX70" s="776"/>
      <c r="AY70" s="587"/>
      <c r="AZ70" s="587"/>
      <c r="BA70" s="587"/>
      <c r="BB70" s="588"/>
      <c r="BC70" s="1514"/>
      <c r="BD70" s="759"/>
      <c r="BE70" s="759"/>
      <c r="BF70" s="759"/>
      <c r="BG70" s="775"/>
      <c r="BH70" s="736"/>
      <c r="BI70" s="1514"/>
      <c r="BJ70" s="759"/>
      <c r="BK70" s="759"/>
      <c r="BL70" s="759"/>
      <c r="BM70" s="775"/>
      <c r="BN70" s="736"/>
      <c r="BO70" s="777"/>
      <c r="BP70" s="759"/>
      <c r="BQ70" s="759"/>
      <c r="BR70" s="759"/>
      <c r="BS70" s="775"/>
      <c r="BT70" s="239"/>
      <c r="BU70" s="689"/>
      <c r="BV70" s="592"/>
      <c r="BW70" s="592"/>
      <c r="BX70" s="593"/>
      <c r="BY70" s="691"/>
      <c r="BZ70" s="692"/>
      <c r="CA70" s="692"/>
      <c r="CB70" s="690"/>
      <c r="CC70" s="596"/>
      <c r="CD70" s="798"/>
      <c r="CE70" s="690"/>
      <c r="CF70" s="690"/>
      <c r="CG70" s="690"/>
      <c r="CH70" s="690"/>
      <c r="CI70" s="109"/>
      <c r="CJ70" s="74"/>
      <c r="CK70" s="628"/>
      <c r="CL70" s="661"/>
      <c r="CM70" s="661"/>
      <c r="CN70" s="661"/>
      <c r="CO70" s="360"/>
      <c r="CP70" s="632"/>
      <c r="CQ70" s="109"/>
      <c r="CR70" s="644"/>
      <c r="CS70" s="644"/>
      <c r="CT70" s="109"/>
      <c r="CU70" s="109"/>
      <c r="CV70" s="74"/>
      <c r="CW70" s="133"/>
      <c r="CX70" s="138"/>
      <c r="CY70" s="130"/>
      <c r="CZ70" s="130"/>
      <c r="DA70" s="605"/>
      <c r="DB70" s="114"/>
      <c r="DC70" s="129"/>
      <c r="DD70" s="130"/>
      <c r="DE70" s="134"/>
      <c r="DF70" s="130"/>
      <c r="DG70" s="128"/>
      <c r="DH70" s="169"/>
      <c r="DI70" s="204"/>
      <c r="DJ70" s="202"/>
      <c r="DK70" s="202"/>
      <c r="DL70" s="119"/>
      <c r="DM70" s="202"/>
      <c r="DN70" s="119"/>
      <c r="DO70" s="607"/>
      <c r="DP70" s="137"/>
      <c r="DQ70" s="137"/>
      <c r="DR70" s="137"/>
      <c r="DS70" s="135"/>
      <c r="DT70" s="135"/>
      <c r="DU70" s="135"/>
      <c r="DV70" s="151"/>
      <c r="DW70" s="607"/>
      <c r="DX70" s="780"/>
      <c r="DY70" s="780"/>
      <c r="DZ70" s="780"/>
      <c r="EA70" s="135"/>
      <c r="EB70" s="135"/>
      <c r="EC70" s="135"/>
      <c r="ED70" s="151"/>
      <c r="EE70" s="133"/>
      <c r="EF70" s="138"/>
      <c r="EG70" s="130"/>
      <c r="EH70" s="130"/>
      <c r="EI70" s="605"/>
      <c r="EJ70" s="114"/>
      <c r="EK70" s="129"/>
      <c r="EL70" s="130"/>
      <c r="EM70" s="130"/>
      <c r="EN70" s="130"/>
      <c r="EO70" s="128"/>
      <c r="EP70" s="114"/>
      <c r="EQ70" s="129"/>
      <c r="ER70" s="130"/>
      <c r="ES70" s="130"/>
      <c r="ET70" s="130"/>
      <c r="EU70" s="134"/>
      <c r="EV70" s="114"/>
      <c r="EW70" s="129"/>
      <c r="EX70" s="130"/>
      <c r="EY70" s="130"/>
      <c r="EZ70" s="130"/>
      <c r="FA70" s="128"/>
      <c r="FB70" s="114"/>
      <c r="FC70" s="643"/>
      <c r="FD70" s="644"/>
      <c r="FE70" s="644"/>
      <c r="FF70" s="644"/>
      <c r="FG70" s="74"/>
      <c r="FH70" s="74"/>
      <c r="FI70" s="74"/>
      <c r="FJ70" s="73"/>
      <c r="FK70" s="133"/>
      <c r="FL70" s="134"/>
      <c r="FM70" s="134"/>
      <c r="FN70" s="134"/>
      <c r="FO70" s="134"/>
      <c r="FP70" s="135"/>
      <c r="FQ70" s="133"/>
      <c r="FR70" s="134"/>
      <c r="FS70" s="134"/>
      <c r="FT70" s="191"/>
      <c r="FU70" s="151"/>
      <c r="FV70" s="190"/>
      <c r="FW70" s="191"/>
      <c r="FX70" s="191"/>
      <c r="FY70" s="191"/>
      <c r="FZ70" s="191"/>
      <c r="GA70" s="135"/>
      <c r="GB70" s="135"/>
      <c r="GC70" s="135"/>
      <c r="GD70" s="151"/>
      <c r="GE70" s="187"/>
      <c r="GF70" s="155"/>
      <c r="GG70" s="155"/>
      <c r="GH70" s="74"/>
      <c r="GI70" s="613"/>
      <c r="GJ70" s="187"/>
      <c r="GK70" s="155"/>
      <c r="GL70" s="155"/>
      <c r="GM70" s="613"/>
      <c r="GN70" s="133"/>
      <c r="GO70" s="134"/>
      <c r="GP70" s="134"/>
      <c r="GQ70" s="134"/>
      <c r="GR70" s="134"/>
      <c r="GS70" s="135"/>
      <c r="GT70" s="133"/>
      <c r="GU70" s="134"/>
      <c r="GV70" s="134"/>
      <c r="GW70" s="134"/>
      <c r="GX70" s="190"/>
      <c r="GY70" s="151"/>
      <c r="GZ70" s="614"/>
      <c r="HA70" s="130"/>
      <c r="HB70" s="130"/>
      <c r="HC70" s="134"/>
      <c r="HD70" s="134"/>
      <c r="HE70" s="151"/>
      <c r="HF70" s="138"/>
      <c r="HG70" s="130"/>
      <c r="HH70" s="130"/>
      <c r="HI70" s="130"/>
      <c r="HJ70" s="197"/>
      <c r="HK70" s="201"/>
      <c r="HL70" s="147"/>
      <c r="HM70" s="148"/>
      <c r="HN70" s="148"/>
      <c r="HO70" s="148"/>
      <c r="HP70" s="615"/>
      <c r="HQ70" s="201"/>
      <c r="HR70" s="148"/>
      <c r="HS70" s="148"/>
      <c r="HT70" s="148"/>
      <c r="HU70" s="148"/>
      <c r="HV70" s="197"/>
      <c r="HW70" s="201"/>
      <c r="HX70" s="414"/>
      <c r="HY70" s="241"/>
      <c r="HZ70" s="415"/>
      <c r="IA70" s="135"/>
      <c r="IB70" s="415"/>
      <c r="IC70" s="141"/>
      <c r="ID70" s="642"/>
      <c r="IE70" s="141"/>
      <c r="IF70" s="141"/>
      <c r="IG70" s="74"/>
      <c r="IH70" s="1507"/>
      <c r="II70" s="69"/>
      <c r="IJ70" s="133"/>
      <c r="IK70" s="134"/>
      <c r="IL70" s="134"/>
      <c r="IM70" s="134"/>
      <c r="IN70" s="133"/>
      <c r="IO70" s="151"/>
      <c r="IP70" s="134"/>
      <c r="IQ70" s="134"/>
      <c r="IR70" s="134"/>
      <c r="IS70" s="190"/>
      <c r="IT70" s="151"/>
      <c r="IU70" s="770"/>
      <c r="IV70" s="622"/>
      <c r="IW70" s="622"/>
      <c r="IX70" s="134"/>
      <c r="IY70" s="133"/>
      <c r="IZ70" s="151"/>
      <c r="JA70" s="134"/>
      <c r="JB70" s="134"/>
      <c r="JC70" s="134"/>
      <c r="JD70" s="190"/>
      <c r="JE70" s="196"/>
      <c r="JF70" s="390"/>
      <c r="JG70" s="134"/>
      <c r="JH70" s="134"/>
      <c r="JI70" s="358"/>
      <c r="JJ70" s="133"/>
      <c r="JK70" s="151"/>
      <c r="JL70" s="134"/>
      <c r="JM70" s="134"/>
      <c r="JN70" s="134"/>
      <c r="JO70" s="190"/>
      <c r="JP70" s="196"/>
      <c r="JQ70" s="390"/>
      <c r="JR70" s="191"/>
      <c r="JS70" s="191"/>
      <c r="JT70" s="151"/>
      <c r="JU70" s="390"/>
      <c r="JV70" s="134"/>
      <c r="JW70" s="134"/>
      <c r="JX70" s="358"/>
      <c r="JY70" s="133"/>
      <c r="JZ70" s="151"/>
      <c r="KA70" s="134"/>
      <c r="KB70" s="759"/>
      <c r="KC70" s="134"/>
      <c r="KD70" s="190"/>
      <c r="KE70" s="151"/>
      <c r="KF70" s="390"/>
      <c r="KG70" s="134"/>
      <c r="KH70" s="134"/>
      <c r="KI70" s="358"/>
      <c r="KJ70" s="133"/>
      <c r="KK70" s="151"/>
      <c r="KL70" s="134"/>
      <c r="KM70" s="759"/>
      <c r="KN70" s="134"/>
      <c r="KO70" s="190"/>
      <c r="KP70" s="151"/>
      <c r="KQ70" s="390"/>
      <c r="KR70" s="134"/>
      <c r="KS70" s="134"/>
      <c r="KT70" s="358"/>
      <c r="KU70" s="133"/>
      <c r="KV70" s="151"/>
      <c r="KW70" s="134"/>
      <c r="KX70" s="759"/>
      <c r="KY70" s="134"/>
      <c r="KZ70" s="190"/>
      <c r="LA70" s="151"/>
      <c r="LB70" s="402"/>
      <c r="LC70" s="191"/>
      <c r="LD70" s="191"/>
      <c r="LE70" s="151"/>
      <c r="LF70" s="226"/>
      <c r="LG70" s="128"/>
      <c r="LH70" s="139"/>
      <c r="LI70" s="442"/>
      <c r="LJ70" s="442"/>
      <c r="LK70" s="106"/>
      <c r="LL70" s="390"/>
      <c r="LM70" s="134"/>
      <c r="LN70" s="134"/>
      <c r="LO70" s="358"/>
      <c r="LP70" s="133"/>
      <c r="LQ70" s="151"/>
      <c r="LR70" s="134"/>
      <c r="LS70" s="759"/>
      <c r="LT70" s="134"/>
      <c r="LU70" s="190"/>
      <c r="LV70" s="151"/>
      <c r="LW70" s="134"/>
      <c r="LX70" s="134"/>
      <c r="LY70" s="134"/>
      <c r="LZ70" s="134"/>
      <c r="MA70" s="133"/>
      <c r="MB70" s="151"/>
      <c r="MC70" s="134"/>
      <c r="MD70" s="134"/>
      <c r="ME70" s="134"/>
      <c r="MF70" s="190"/>
      <c r="MG70" s="151"/>
      <c r="MH70" s="134"/>
      <c r="MI70" s="134"/>
      <c r="MJ70" s="134"/>
      <c r="MK70" s="134"/>
      <c r="ML70" s="133"/>
      <c r="MM70" s="151"/>
      <c r="MN70" s="134"/>
      <c r="MO70" s="134"/>
      <c r="MP70" s="134"/>
      <c r="MQ70" s="190"/>
      <c r="MR70" s="151"/>
      <c r="MS70" s="1472"/>
      <c r="MT70" s="118"/>
      <c r="MU70" s="118"/>
      <c r="MV70" s="135"/>
      <c r="MW70" s="133"/>
      <c r="MX70" s="134"/>
      <c r="MY70" s="134"/>
      <c r="MZ70" s="135"/>
      <c r="NA70" s="135"/>
      <c r="NB70" s="151"/>
      <c r="NC70" s="134"/>
      <c r="ND70" s="134"/>
      <c r="NE70" s="134"/>
      <c r="NF70" s="134"/>
      <c r="NG70" s="133"/>
      <c r="NH70" s="196"/>
      <c r="NI70" s="134"/>
      <c r="NJ70" s="134"/>
      <c r="NK70" s="134"/>
      <c r="NL70" s="190"/>
      <c r="NM70" s="135"/>
      <c r="NN70" s="1563"/>
      <c r="NO70" s="134"/>
      <c r="NP70" s="134"/>
      <c r="NQ70" s="134"/>
      <c r="NR70" s="133"/>
      <c r="NS70" s="196"/>
      <c r="NT70" s="134"/>
      <c r="NU70" s="134"/>
      <c r="NV70" s="134"/>
      <c r="NW70" s="190">
        <f>NR70-SUM(NT70:NV70)</f>
        <v>0</v>
      </c>
      <c r="NX70" s="135"/>
      <c r="NY70" s="1563">
        <v>1</v>
      </c>
      <c r="NZ70" s="134">
        <v>40914</v>
      </c>
      <c r="OA70" s="134">
        <v>84193.55</v>
      </c>
      <c r="OB70" s="134">
        <v>0</v>
      </c>
      <c r="OC70" s="133">
        <f t="shared" si="791"/>
        <v>43279.55</v>
      </c>
      <c r="OD70" s="151">
        <f>OC70/OA70</f>
        <v>0.51404828517148882</v>
      </c>
      <c r="OE70" s="134">
        <v>0</v>
      </c>
      <c r="OF70" s="134">
        <v>0</v>
      </c>
      <c r="OG70" s="134">
        <v>0</v>
      </c>
      <c r="OH70" s="190">
        <f t="shared" si="792"/>
        <v>43279.55</v>
      </c>
      <c r="OI70" s="5380">
        <v>1</v>
      </c>
      <c r="OJ70" s="69">
        <v>1</v>
      </c>
      <c r="OK70" s="155">
        <f t="shared" si="793"/>
        <v>84193.55</v>
      </c>
      <c r="OL70" s="155">
        <f t="shared" si="794"/>
        <v>43279.55</v>
      </c>
      <c r="OM70" s="74">
        <f t="shared" si="795"/>
        <v>0.51404828517148882</v>
      </c>
      <c r="ON70" s="155">
        <f t="shared" si="796"/>
        <v>43279.55</v>
      </c>
      <c r="OO70" s="70"/>
      <c r="OP70" s="69"/>
      <c r="OQ70" s="2008">
        <v>1</v>
      </c>
      <c r="OR70" s="208">
        <v>37017</v>
      </c>
      <c r="OS70" s="208">
        <v>75400</v>
      </c>
      <c r="OT70" s="3546"/>
      <c r="OU70" s="133">
        <f t="shared" si="797"/>
        <v>38383</v>
      </c>
      <c r="OV70" s="94">
        <f>OU70/OS70</f>
        <v>0.50905835543766575</v>
      </c>
      <c r="OW70" s="134"/>
      <c r="OX70" s="134">
        <v>29860</v>
      </c>
      <c r="OY70" s="134"/>
      <c r="OZ70" s="190">
        <f>OU70-SUM(OW70:OY70)</f>
        <v>8523</v>
      </c>
      <c r="PA70" s="5361">
        <f t="shared" si="798"/>
        <v>0.11303713527851458</v>
      </c>
      <c r="PB70" s="698">
        <v>1</v>
      </c>
      <c r="PC70" s="208">
        <v>40914</v>
      </c>
      <c r="PD70" s="395">
        <v>95000</v>
      </c>
      <c r="PE70" s="395"/>
      <c r="PF70" s="133">
        <f t="shared" si="799"/>
        <v>54086</v>
      </c>
      <c r="PG70" s="94">
        <f t="shared" si="800"/>
        <v>0.56932631578947368</v>
      </c>
      <c r="PH70" s="134">
        <v>0</v>
      </c>
      <c r="PI70" s="134">
        <v>0</v>
      </c>
      <c r="PJ70" s="134">
        <v>0</v>
      </c>
      <c r="PK70" s="190">
        <f>PF70-SUM(PH70:PJ70)</f>
        <v>54086</v>
      </c>
      <c r="PL70" s="135">
        <f>PK70/PD70</f>
        <v>0.56932631578947368</v>
      </c>
      <c r="PM70" s="5379">
        <v>1</v>
      </c>
      <c r="PN70" s="134">
        <v>40914</v>
      </c>
      <c r="PO70" s="134">
        <v>80575</v>
      </c>
      <c r="PP70" s="358">
        <v>0</v>
      </c>
      <c r="PQ70" s="6293">
        <f>PO70-(PN70+PP70)</f>
        <v>39661</v>
      </c>
      <c r="PR70" s="6295">
        <f t="shared" si="720"/>
        <v>0.49222463543282657</v>
      </c>
      <c r="PS70" s="134">
        <v>0</v>
      </c>
      <c r="PT70" s="134">
        <v>0</v>
      </c>
      <c r="PU70" s="134">
        <v>50000</v>
      </c>
      <c r="PV70" s="190">
        <f t="shared" si="721"/>
        <v>-10339</v>
      </c>
      <c r="PW70" s="5380">
        <f t="shared" si="722"/>
        <v>-0.12831523425380081</v>
      </c>
      <c r="PX70" s="5320">
        <v>1</v>
      </c>
      <c r="PY70" s="191">
        <f t="shared" si="696"/>
        <v>250975</v>
      </c>
      <c r="PZ70" s="191">
        <f t="shared" si="723"/>
        <v>132130</v>
      </c>
      <c r="QA70" s="135">
        <f t="shared" si="724"/>
        <v>0.5264667795597171</v>
      </c>
      <c r="QB70" s="5390">
        <v>1</v>
      </c>
      <c r="QC70" s="395">
        <v>39657</v>
      </c>
      <c r="QD70" s="395">
        <v>88871</v>
      </c>
      <c r="QE70" s="772">
        <v>0</v>
      </c>
      <c r="QF70" s="6293">
        <f t="shared" si="725"/>
        <v>49214</v>
      </c>
      <c r="QG70" s="6295">
        <f t="shared" si="726"/>
        <v>0.55376894600038262</v>
      </c>
      <c r="QH70" s="134">
        <v>48750</v>
      </c>
      <c r="QI70" s="759"/>
      <c r="QJ70" s="134">
        <v>0</v>
      </c>
      <c r="QK70" s="190">
        <f>QF70-SUM(QH70:QJ70)</f>
        <v>464</v>
      </c>
      <c r="QL70" s="5380">
        <f>QK70/QD70</f>
        <v>5.2210507364607124E-3</v>
      </c>
      <c r="QM70" s="5396">
        <v>2</v>
      </c>
      <c r="QN70" s="208">
        <v>232580</v>
      </c>
      <c r="QO70" s="208">
        <v>308709.68</v>
      </c>
      <c r="QP70" s="395">
        <v>0</v>
      </c>
      <c r="QQ70" s="133">
        <f t="shared" si="727"/>
        <v>76129.679999999993</v>
      </c>
      <c r="QR70" s="151">
        <f t="shared" si="728"/>
        <v>0.24660606690402451</v>
      </c>
      <c r="QS70" s="134">
        <v>0</v>
      </c>
      <c r="QT70" s="759"/>
      <c r="QU70" s="134">
        <v>0</v>
      </c>
      <c r="QV70" s="190">
        <f t="shared" si="729"/>
        <v>76129.679999999993</v>
      </c>
      <c r="QW70" s="5380">
        <f t="shared" si="730"/>
        <v>0.24660606690402451</v>
      </c>
      <c r="QX70" s="5379">
        <v>1</v>
      </c>
      <c r="QY70" s="134">
        <v>40914</v>
      </c>
      <c r="QZ70" s="134">
        <v>91833</v>
      </c>
      <c r="RA70" s="358">
        <v>0</v>
      </c>
      <c r="RB70" s="133">
        <f t="shared" si="731"/>
        <v>50919</v>
      </c>
      <c r="RC70" s="151">
        <f t="shared" si="732"/>
        <v>0.55447388193786551</v>
      </c>
      <c r="RD70" s="134">
        <v>0</v>
      </c>
      <c r="RE70" s="759"/>
      <c r="RF70" s="134">
        <v>0</v>
      </c>
      <c r="RG70" s="190">
        <f t="shared" si="733"/>
        <v>50919</v>
      </c>
      <c r="RH70" s="5380">
        <f t="shared" si="734"/>
        <v>0.55447388193786551</v>
      </c>
      <c r="RI70" s="5376"/>
      <c r="RJ70" s="191">
        <f t="shared" si="735"/>
        <v>489413.68</v>
      </c>
      <c r="RK70" s="191">
        <f t="shared" si="736"/>
        <v>176262.68</v>
      </c>
      <c r="RL70" s="5380">
        <f t="shared" si="737"/>
        <v>0.36015070114100611</v>
      </c>
      <c r="RM70" s="1562"/>
      <c r="RN70" s="128"/>
      <c r="RO70" s="139"/>
      <c r="RP70" s="442"/>
      <c r="RQ70" s="442"/>
      <c r="RR70" s="6339"/>
      <c r="RS70" s="6327">
        <v>1</v>
      </c>
      <c r="RT70" s="395">
        <f>40914+512013</f>
        <v>552927</v>
      </c>
      <c r="RU70" s="130">
        <v>90402</v>
      </c>
      <c r="RV70" s="2563"/>
      <c r="RW70" s="4138">
        <f t="shared" si="740"/>
        <v>-462525</v>
      </c>
      <c r="RX70" s="1332">
        <f t="shared" si="741"/>
        <v>-5.1163137983672931</v>
      </c>
      <c r="RY70" s="134">
        <v>0</v>
      </c>
      <c r="RZ70" s="759">
        <v>0</v>
      </c>
      <c r="SA70" s="134">
        <v>0</v>
      </c>
      <c r="SB70" s="4827">
        <f t="shared" si="742"/>
        <v>-462525</v>
      </c>
      <c r="SC70" s="5401">
        <f>SB70/RU70</f>
        <v>-5.1163137983672931</v>
      </c>
      <c r="SD70" s="110">
        <v>1</v>
      </c>
      <c r="SE70" s="208">
        <v>40914</v>
      </c>
      <c r="SF70" s="395">
        <v>91883</v>
      </c>
      <c r="SG70" s="772">
        <v>0</v>
      </c>
      <c r="SH70" s="6361">
        <f t="shared" si="776"/>
        <v>50969</v>
      </c>
      <c r="SI70" s="6363">
        <f t="shared" si="777"/>
        <v>0.55471632402076554</v>
      </c>
      <c r="SJ70" s="134">
        <v>0</v>
      </c>
      <c r="SK70" s="759">
        <v>0</v>
      </c>
      <c r="SL70" s="134">
        <v>0</v>
      </c>
      <c r="SM70" s="190">
        <f t="shared" si="778"/>
        <v>50969</v>
      </c>
      <c r="SN70" s="5380">
        <f t="shared" si="779"/>
        <v>0.55471632402076554</v>
      </c>
      <c r="SO70" s="134">
        <v>1</v>
      </c>
      <c r="SP70" s="134">
        <v>40914</v>
      </c>
      <c r="SQ70" s="134">
        <v>85806</v>
      </c>
      <c r="SR70" s="134">
        <v>0</v>
      </c>
      <c r="SS70" s="6361">
        <f t="shared" si="780"/>
        <v>44892</v>
      </c>
      <c r="ST70" s="6363">
        <f t="shared" si="781"/>
        <v>0.52318019718900777</v>
      </c>
      <c r="SU70" s="134">
        <v>0</v>
      </c>
      <c r="SV70" s="134">
        <v>0</v>
      </c>
      <c r="SW70" s="134">
        <v>0</v>
      </c>
      <c r="SX70" s="190">
        <f t="shared" si="782"/>
        <v>44892</v>
      </c>
      <c r="SY70" s="5380">
        <f t="shared" si="783"/>
        <v>0.52318019718900777</v>
      </c>
      <c r="SZ70" s="6270"/>
      <c r="TA70" s="118">
        <f t="shared" si="784"/>
        <v>268091</v>
      </c>
      <c r="TB70" s="118">
        <f t="shared" si="785"/>
        <v>-366664</v>
      </c>
      <c r="TC70" s="5380">
        <f t="shared" si="786"/>
        <v>-1.3676848532774319</v>
      </c>
      <c r="TD70" s="1563">
        <v>1</v>
      </c>
      <c r="TE70" s="134">
        <v>40285</v>
      </c>
      <c r="TF70" s="134">
        <v>152204</v>
      </c>
      <c r="TG70" s="134"/>
      <c r="TH70" s="133">
        <f t="shared" si="787"/>
        <v>111919</v>
      </c>
      <c r="TI70" s="151">
        <f t="shared" si="788"/>
        <v>0.73532233055635854</v>
      </c>
      <c r="TJ70" s="134">
        <v>0</v>
      </c>
      <c r="TK70" s="134">
        <v>0</v>
      </c>
      <c r="TL70" s="134">
        <v>0</v>
      </c>
      <c r="TM70" s="190">
        <f t="shared" si="789"/>
        <v>111919</v>
      </c>
      <c r="TN70" s="5380">
        <f t="shared" si="790"/>
        <v>0.73532233055635854</v>
      </c>
      <c r="TO70" s="134"/>
      <c r="TP70" s="134"/>
      <c r="TQ70" s="134"/>
      <c r="TR70" s="134"/>
      <c r="TS70" s="133"/>
      <c r="TT70" s="196"/>
      <c r="TU70" s="134"/>
      <c r="TV70" s="134"/>
      <c r="TW70" s="134"/>
      <c r="TX70" s="190">
        <f>TS70-SUM(TU70:TW70)</f>
        <v>0</v>
      </c>
      <c r="TY70" s="135"/>
      <c r="TZ70" s="1563"/>
      <c r="UA70" s="134"/>
      <c r="UB70" s="134"/>
      <c r="UC70" s="134"/>
      <c r="UD70" s="133">
        <f>UB70-(UA70+UC70)</f>
        <v>0</v>
      </c>
      <c r="UE70" s="151" t="e">
        <f>UD70/UB70</f>
        <v>#DIV/0!</v>
      </c>
      <c r="UF70" s="134"/>
      <c r="UG70" s="134"/>
      <c r="UH70" s="134"/>
      <c r="UI70" s="190">
        <f>UD70-SUM(UF70:UH70)</f>
        <v>0</v>
      </c>
      <c r="UJ70" s="5380">
        <v>1</v>
      </c>
      <c r="UK70" s="5376"/>
      <c r="UL70" s="191">
        <f t="shared" si="754"/>
        <v>1160683.68</v>
      </c>
      <c r="UM70" s="191">
        <f t="shared" si="755"/>
        <v>53647.679999999993</v>
      </c>
      <c r="UN70" s="135">
        <f>UM70/UL70</f>
        <v>4.6220758441266267E-2</v>
      </c>
      <c r="UO70" s="191">
        <f t="shared" si="757"/>
        <v>-74962.320000000007</v>
      </c>
      <c r="UP70" s="5380">
        <f t="shared" si="758"/>
        <v>-6.4584624813540936E-2</v>
      </c>
    </row>
    <row r="71" spans="1:566" x14ac:dyDescent="0.3">
      <c r="A71" s="5316">
        <v>12</v>
      </c>
      <c r="B71" s="5376" t="s">
        <v>408</v>
      </c>
      <c r="C71" s="578" t="s">
        <v>144</v>
      </c>
      <c r="D71" s="578" t="s">
        <v>142</v>
      </c>
      <c r="E71" s="6278" t="s">
        <v>145</v>
      </c>
      <c r="F71" s="422"/>
      <c r="G71" s="161"/>
      <c r="H71" s="161"/>
      <c r="I71" s="161"/>
      <c r="J71" s="94"/>
      <c r="K71" s="136"/>
      <c r="L71" s="161"/>
      <c r="M71" s="161"/>
      <c r="N71" s="161"/>
      <c r="O71" s="158"/>
      <c r="P71" s="136"/>
      <c r="Q71" s="161"/>
      <c r="R71" s="161"/>
      <c r="S71" s="161"/>
      <c r="T71" s="94"/>
      <c r="U71" s="136"/>
      <c r="V71" s="161"/>
      <c r="W71" s="161"/>
      <c r="X71" s="161"/>
      <c r="Y71" s="759"/>
      <c r="Z71" s="94"/>
      <c r="AA71" s="422"/>
      <c r="AB71" s="161"/>
      <c r="AC71" s="161"/>
      <c r="AD71" s="161"/>
      <c r="AE71" s="775"/>
      <c r="AF71" s="422"/>
      <c r="AG71" s="113"/>
      <c r="AH71" s="616"/>
      <c r="AI71" s="616"/>
      <c r="AJ71" s="616"/>
      <c r="AK71" s="96"/>
      <c r="AL71" s="114"/>
      <c r="AM71" s="129"/>
      <c r="AN71" s="417"/>
      <c r="AO71" s="130"/>
      <c r="AP71" s="417"/>
      <c r="AQ71" s="417"/>
      <c r="AR71" s="421"/>
      <c r="AS71" s="113"/>
      <c r="AT71" s="760"/>
      <c r="AU71" s="761"/>
      <c r="AV71" s="761"/>
      <c r="AW71" s="116"/>
      <c r="AX71" s="776"/>
      <c r="AY71" s="587"/>
      <c r="AZ71" s="587"/>
      <c r="BA71" s="587"/>
      <c r="BB71" s="588"/>
      <c r="BC71" s="1514"/>
      <c r="BD71" s="759"/>
      <c r="BE71" s="759"/>
      <c r="BF71" s="759"/>
      <c r="BG71" s="775"/>
      <c r="BH71" s="736"/>
      <c r="BI71" s="1514"/>
      <c r="BJ71" s="759"/>
      <c r="BK71" s="759"/>
      <c r="BL71" s="759"/>
      <c r="BM71" s="775"/>
      <c r="BN71" s="736"/>
      <c r="BO71" s="777"/>
      <c r="BP71" s="759"/>
      <c r="BQ71" s="759"/>
      <c r="BR71" s="759"/>
      <c r="BS71" s="775"/>
      <c r="BT71" s="239"/>
      <c r="BU71" s="689"/>
      <c r="BV71" s="592"/>
      <c r="BW71" s="592"/>
      <c r="BX71" s="593"/>
      <c r="BY71" s="691"/>
      <c r="BZ71" s="692"/>
      <c r="CA71" s="692"/>
      <c r="CB71" s="690"/>
      <c r="CC71" s="596"/>
      <c r="CD71" s="798"/>
      <c r="CE71" s="690"/>
      <c r="CF71" s="690"/>
      <c r="CG71" s="690"/>
      <c r="CH71" s="690"/>
      <c r="CI71" s="109"/>
      <c r="CJ71" s="74"/>
      <c r="CK71" s="628"/>
      <c r="CL71" s="661"/>
      <c r="CM71" s="661"/>
      <c r="CN71" s="661"/>
      <c r="CO71" s="360"/>
      <c r="CP71" s="632"/>
      <c r="CQ71" s="109"/>
      <c r="CR71" s="644"/>
      <c r="CS71" s="644"/>
      <c r="CT71" s="109"/>
      <c r="CU71" s="109"/>
      <c r="CV71" s="74"/>
      <c r="CW71" s="133"/>
      <c r="CX71" s="138"/>
      <c r="CY71" s="130"/>
      <c r="CZ71" s="130"/>
      <c r="DA71" s="605"/>
      <c r="DB71" s="114"/>
      <c r="DC71" s="129"/>
      <c r="DD71" s="130"/>
      <c r="DE71" s="134"/>
      <c r="DF71" s="130"/>
      <c r="DG71" s="128"/>
      <c r="DH71" s="169"/>
      <c r="DI71" s="204"/>
      <c r="DJ71" s="202"/>
      <c r="DK71" s="202"/>
      <c r="DL71" s="119"/>
      <c r="DM71" s="202"/>
      <c r="DN71" s="119"/>
      <c r="DO71" s="607"/>
      <c r="DP71" s="137"/>
      <c r="DQ71" s="137"/>
      <c r="DR71" s="137"/>
      <c r="DS71" s="135"/>
      <c r="DT71" s="135"/>
      <c r="DU71" s="135"/>
      <c r="DV71" s="151"/>
      <c r="DW71" s="607"/>
      <c r="DX71" s="780"/>
      <c r="DY71" s="780"/>
      <c r="DZ71" s="780"/>
      <c r="EA71" s="135"/>
      <c r="EB71" s="135"/>
      <c r="EC71" s="135"/>
      <c r="ED71" s="151"/>
      <c r="EE71" s="133"/>
      <c r="EF71" s="138"/>
      <c r="EG71" s="130"/>
      <c r="EH71" s="130"/>
      <c r="EI71" s="605"/>
      <c r="EJ71" s="114"/>
      <c r="EK71" s="129"/>
      <c r="EL71" s="130"/>
      <c r="EM71" s="130"/>
      <c r="EN71" s="130"/>
      <c r="EO71" s="128"/>
      <c r="EP71" s="114"/>
      <c r="EQ71" s="129"/>
      <c r="ER71" s="130"/>
      <c r="ES71" s="130"/>
      <c r="ET71" s="130"/>
      <c r="EU71" s="134"/>
      <c r="EV71" s="114"/>
      <c r="EW71" s="129"/>
      <c r="EX71" s="130"/>
      <c r="EY71" s="130"/>
      <c r="EZ71" s="130"/>
      <c r="FA71" s="128"/>
      <c r="FB71" s="114"/>
      <c r="FC71" s="643"/>
      <c r="FD71" s="644"/>
      <c r="FE71" s="644"/>
      <c r="FF71" s="644"/>
      <c r="FG71" s="74"/>
      <c r="FH71" s="74"/>
      <c r="FI71" s="74"/>
      <c r="FJ71" s="73"/>
      <c r="FK71" s="133"/>
      <c r="FL71" s="134"/>
      <c r="FM71" s="134"/>
      <c r="FN71" s="134"/>
      <c r="FO71" s="134"/>
      <c r="FP71" s="135"/>
      <c r="FQ71" s="133"/>
      <c r="FR71" s="134"/>
      <c r="FS71" s="134"/>
      <c r="FT71" s="191"/>
      <c r="FU71" s="151"/>
      <c r="FV71" s="190"/>
      <c r="FW71" s="191"/>
      <c r="FX71" s="191"/>
      <c r="FY71" s="191"/>
      <c r="FZ71" s="191"/>
      <c r="GA71" s="135"/>
      <c r="GB71" s="135"/>
      <c r="GC71" s="135"/>
      <c r="GD71" s="151"/>
      <c r="GE71" s="187"/>
      <c r="GF71" s="155"/>
      <c r="GG71" s="155"/>
      <c r="GH71" s="74"/>
      <c r="GI71" s="613"/>
      <c r="GJ71" s="187"/>
      <c r="GK71" s="155"/>
      <c r="GL71" s="155"/>
      <c r="GM71" s="613"/>
      <c r="GN71" s="133"/>
      <c r="GO71" s="134"/>
      <c r="GP71" s="134"/>
      <c r="GQ71" s="134"/>
      <c r="GR71" s="134"/>
      <c r="GS71" s="135"/>
      <c r="GT71" s="133"/>
      <c r="GU71" s="134"/>
      <c r="GV71" s="134"/>
      <c r="GW71" s="134"/>
      <c r="GX71" s="190"/>
      <c r="GY71" s="151"/>
      <c r="GZ71" s="614"/>
      <c r="HA71" s="130"/>
      <c r="HB71" s="130"/>
      <c r="HC71" s="134"/>
      <c r="HD71" s="134"/>
      <c r="HE71" s="151"/>
      <c r="HF71" s="138"/>
      <c r="HG71" s="130"/>
      <c r="HH71" s="130"/>
      <c r="HI71" s="130"/>
      <c r="HJ71" s="197"/>
      <c r="HK71" s="201"/>
      <c r="HL71" s="147"/>
      <c r="HM71" s="148"/>
      <c r="HN71" s="148"/>
      <c r="HO71" s="148"/>
      <c r="HP71" s="615"/>
      <c r="HQ71" s="201"/>
      <c r="HR71" s="148"/>
      <c r="HS71" s="148"/>
      <c r="HT71" s="148"/>
      <c r="HU71" s="148"/>
      <c r="HV71" s="197"/>
      <c r="HW71" s="201"/>
      <c r="HX71" s="414"/>
      <c r="HY71" s="241"/>
      <c r="HZ71" s="415"/>
      <c r="IA71" s="135"/>
      <c r="IB71" s="415"/>
      <c r="IC71" s="141"/>
      <c r="ID71" s="642"/>
      <c r="IE71" s="141">
        <f t="shared" ref="IE71:IF74" si="849">HY71+GF71+DJ71+BV71</f>
        <v>0</v>
      </c>
      <c r="IF71" s="141">
        <f t="shared" si="849"/>
        <v>0</v>
      </c>
      <c r="IG71" s="74">
        <v>0</v>
      </c>
      <c r="IH71" s="1507"/>
      <c r="II71" s="69"/>
      <c r="IJ71" s="133"/>
      <c r="IK71" s="134"/>
      <c r="IL71" s="134"/>
      <c r="IM71" s="134"/>
      <c r="IN71" s="133"/>
      <c r="IO71" s="151"/>
      <c r="IP71" s="134"/>
      <c r="IQ71" s="134"/>
      <c r="IR71" s="134"/>
      <c r="IS71" s="190"/>
      <c r="IT71" s="151"/>
      <c r="IU71" s="770"/>
      <c r="IV71" s="622"/>
      <c r="IW71" s="622"/>
      <c r="IX71" s="134"/>
      <c r="IY71" s="133"/>
      <c r="IZ71" s="151"/>
      <c r="JA71" s="134"/>
      <c r="JB71" s="134"/>
      <c r="JC71" s="134"/>
      <c r="JD71" s="190"/>
      <c r="JE71" s="196"/>
      <c r="JF71" s="390"/>
      <c r="JG71" s="134"/>
      <c r="JH71" s="134"/>
      <c r="JI71" s="358"/>
      <c r="JJ71" s="133"/>
      <c r="JK71" s="151"/>
      <c r="JL71" s="134"/>
      <c r="JM71" s="134"/>
      <c r="JN71" s="134"/>
      <c r="JO71" s="190"/>
      <c r="JP71" s="196"/>
      <c r="JQ71" s="390"/>
      <c r="JR71" s="191"/>
      <c r="JS71" s="191"/>
      <c r="JT71" s="151"/>
      <c r="JU71" s="390">
        <v>2</v>
      </c>
      <c r="JV71" s="134">
        <v>423569</v>
      </c>
      <c r="JW71" s="134">
        <v>503956</v>
      </c>
      <c r="JX71" s="358">
        <v>0</v>
      </c>
      <c r="JY71" s="133">
        <f>JW71-(JV71+JX71)</f>
        <v>80387</v>
      </c>
      <c r="JZ71" s="151">
        <f>JY71/JW71</f>
        <v>0.15951194151870401</v>
      </c>
      <c r="KA71" s="134">
        <v>35000</v>
      </c>
      <c r="KB71" s="759">
        <v>0</v>
      </c>
      <c r="KC71" s="134"/>
      <c r="KD71" s="190">
        <f>JY71-SUM(KA71:KC71)</f>
        <v>45387</v>
      </c>
      <c r="KE71" s="151">
        <f>KD71/JW71</f>
        <v>9.0061433934708585E-2</v>
      </c>
      <c r="KF71" s="390">
        <v>5</v>
      </c>
      <c r="KG71" s="134">
        <v>846263</v>
      </c>
      <c r="KH71" s="134">
        <v>1192114</v>
      </c>
      <c r="KI71" s="358">
        <v>0</v>
      </c>
      <c r="KJ71" s="133">
        <f>KH71-(KG71+KI71)</f>
        <v>345851</v>
      </c>
      <c r="KK71" s="151">
        <f>KJ71/KH71</f>
        <v>0.29011571041024597</v>
      </c>
      <c r="KL71" s="134">
        <v>106325</v>
      </c>
      <c r="KM71" s="759">
        <v>100000</v>
      </c>
      <c r="KN71" s="134">
        <v>100000</v>
      </c>
      <c r="KO71" s="190">
        <f t="shared" ref="KO71:KO78" si="850">KJ71-SUM(KL71:KN71)</f>
        <v>39526</v>
      </c>
      <c r="KP71" s="151">
        <f>KO71/KH71</f>
        <v>3.3156224991905139E-2</v>
      </c>
      <c r="KQ71" s="390">
        <v>7</v>
      </c>
      <c r="KR71" s="134">
        <v>1069706</v>
      </c>
      <c r="KS71" s="134">
        <v>1596528</v>
      </c>
      <c r="KT71" s="358"/>
      <c r="KU71" s="133">
        <f>KS71-(KR71+KT71)</f>
        <v>526822</v>
      </c>
      <c r="KV71" s="151">
        <f>KU71/KS71</f>
        <v>0.32997980617940931</v>
      </c>
      <c r="KW71" s="134">
        <v>140000</v>
      </c>
      <c r="KX71" s="759">
        <v>200000</v>
      </c>
      <c r="KY71" s="134">
        <v>150000</v>
      </c>
      <c r="KZ71" s="190">
        <f t="shared" ref="KZ71:KZ78" si="851">KU71-SUM(KW71:KY71)</f>
        <v>36822</v>
      </c>
      <c r="LA71" s="151">
        <f>KZ71/KS71</f>
        <v>2.3063798442620485E-2</v>
      </c>
      <c r="LB71" s="402">
        <v>7</v>
      </c>
      <c r="LC71" s="191">
        <f>KS71+KH71+JW71</f>
        <v>3292598</v>
      </c>
      <c r="LD71" s="191">
        <f>KU71+KJ71+JY71</f>
        <v>953060</v>
      </c>
      <c r="LE71" s="151">
        <f>LD71/LC71</f>
        <v>0.28945531765493387</v>
      </c>
      <c r="LF71" s="226">
        <f t="shared" ref="LF71:LH74" si="852">LB71-JQ71</f>
        <v>7</v>
      </c>
      <c r="LG71" s="128">
        <f t="shared" si="852"/>
        <v>3292598</v>
      </c>
      <c r="LH71" s="139">
        <f t="shared" si="852"/>
        <v>953060</v>
      </c>
      <c r="LI71" s="660">
        <v>0</v>
      </c>
      <c r="LJ71" s="660">
        <v>0</v>
      </c>
      <c r="LK71" s="799">
        <v>0</v>
      </c>
      <c r="LL71" s="390">
        <v>13</v>
      </c>
      <c r="LM71" s="134">
        <v>1486220</v>
      </c>
      <c r="LN71" s="134">
        <v>2670221</v>
      </c>
      <c r="LO71" s="358">
        <v>0</v>
      </c>
      <c r="LP71" s="133">
        <f>LN71-(LM71+LO71)</f>
        <v>1184001</v>
      </c>
      <c r="LQ71" s="151">
        <f>LP71/LN71</f>
        <v>0.44340936574163714</v>
      </c>
      <c r="LR71" s="134">
        <v>239336</v>
      </c>
      <c r="LS71" s="759">
        <f>340000+250000</f>
        <v>590000</v>
      </c>
      <c r="LT71" s="134">
        <v>150000</v>
      </c>
      <c r="LU71" s="190">
        <f>LP71-SUM(LR71:LT71)</f>
        <v>204665</v>
      </c>
      <c r="LV71" s="151">
        <f>LU71/LN71</f>
        <v>7.6647213844846546E-2</v>
      </c>
      <c r="LW71" s="134">
        <v>13</v>
      </c>
      <c r="LX71" s="134">
        <v>1975586</v>
      </c>
      <c r="LY71" s="134">
        <v>3371408</v>
      </c>
      <c r="LZ71" s="134"/>
      <c r="MA71" s="133">
        <f>LY71-(LX71+LZ71)</f>
        <v>1395822</v>
      </c>
      <c r="MB71" s="151">
        <f>MA71/LY71</f>
        <v>0.41401752620863447</v>
      </c>
      <c r="MC71" s="134">
        <v>307500</v>
      </c>
      <c r="MD71" s="134">
        <f>371930+216000</f>
        <v>587930</v>
      </c>
      <c r="ME71" s="134">
        <v>300000</v>
      </c>
      <c r="MF71" s="190">
        <f>MA71-SUM(MC71:ME71)</f>
        <v>200392</v>
      </c>
      <c r="MG71" s="151">
        <f>MF71/LY71</f>
        <v>5.9438667761362612E-2</v>
      </c>
      <c r="MH71" s="134">
        <v>10</v>
      </c>
      <c r="MI71" s="134">
        <v>1562890</v>
      </c>
      <c r="MJ71" s="134">
        <v>2497746</v>
      </c>
      <c r="MK71" s="134"/>
      <c r="ML71" s="133">
        <f>MJ71-(MI71+MK71)</f>
        <v>934856</v>
      </c>
      <c r="MM71" s="151">
        <f>ML71/MJ71</f>
        <v>0.37427985071340319</v>
      </c>
      <c r="MN71" s="134">
        <f>68000+100000</f>
        <v>168000</v>
      </c>
      <c r="MO71" s="134">
        <v>300000</v>
      </c>
      <c r="MP71" s="134">
        <v>300000</v>
      </c>
      <c r="MQ71" s="190">
        <f>ML71-SUM(MN71:MP71)</f>
        <v>166856</v>
      </c>
      <c r="MR71" s="151">
        <f>MQ71/MJ71</f>
        <v>6.6802629250532278E-2</v>
      </c>
      <c r="MS71" s="1472">
        <v>10</v>
      </c>
      <c r="MT71" s="118">
        <f>MJ71+LY71+LN71</f>
        <v>8539375</v>
      </c>
      <c r="MU71" s="118">
        <f>ML71+MA71+LP71</f>
        <v>3514679</v>
      </c>
      <c r="MV71" s="135">
        <f>MU71/MT71</f>
        <v>0.41158503988875061</v>
      </c>
      <c r="MW71" s="133">
        <f t="shared" ref="MW71:MY74" si="853">MS71-LB71</f>
        <v>3</v>
      </c>
      <c r="MX71" s="134">
        <f t="shared" si="853"/>
        <v>5246777</v>
      </c>
      <c r="MY71" s="134">
        <f t="shared" si="853"/>
        <v>2561619</v>
      </c>
      <c r="MZ71" s="135">
        <f t="shared" ref="MZ71:NB74" si="854">MW71/LB71</f>
        <v>0.42857142857142855</v>
      </c>
      <c r="NA71" s="135">
        <f t="shared" si="854"/>
        <v>1.5935067080767225</v>
      </c>
      <c r="NB71" s="151">
        <f t="shared" si="854"/>
        <v>2.6877835603214906</v>
      </c>
      <c r="NC71" s="134">
        <v>9</v>
      </c>
      <c r="ND71" s="134">
        <v>1317436</v>
      </c>
      <c r="NE71" s="134">
        <v>2410009</v>
      </c>
      <c r="NF71" s="134"/>
      <c r="NG71" s="133">
        <f>NE71-(ND71+NF71)</f>
        <v>1092573</v>
      </c>
      <c r="NH71" s="151">
        <f>NG71/NE71</f>
        <v>0.45334809952991878</v>
      </c>
      <c r="NI71" s="134">
        <v>203013</v>
      </c>
      <c r="NJ71" s="134">
        <v>200000</v>
      </c>
      <c r="NK71" s="134">
        <v>300000</v>
      </c>
      <c r="NL71" s="190">
        <f>NG71-SUM(NI71:NK71)</f>
        <v>389560</v>
      </c>
      <c r="NM71" s="135">
        <f>NL71/NE71</f>
        <v>0.1616425498825938</v>
      </c>
      <c r="NN71" s="1563">
        <v>9</v>
      </c>
      <c r="NO71" s="134">
        <v>1046494</v>
      </c>
      <c r="NP71" s="134">
        <v>1931182</v>
      </c>
      <c r="NQ71" s="134">
        <v>0</v>
      </c>
      <c r="NR71" s="133">
        <f>NP71-(NO71+NQ71)</f>
        <v>884688</v>
      </c>
      <c r="NS71" s="151">
        <f>NR71/NP71</f>
        <v>0.45810700389709513</v>
      </c>
      <c r="NT71" s="134">
        <v>157500</v>
      </c>
      <c r="NU71" s="134">
        <v>200000</v>
      </c>
      <c r="NV71" s="134">
        <v>300000</v>
      </c>
      <c r="NW71" s="190">
        <f>NR71-SUM(NT71:NV71)</f>
        <v>227188</v>
      </c>
      <c r="NX71" s="135">
        <f>NW71/NP71</f>
        <v>0.11764194156739241</v>
      </c>
      <c r="NY71" s="1563">
        <v>39</v>
      </c>
      <c r="NZ71" s="134">
        <v>1353762</v>
      </c>
      <c r="OA71" s="134">
        <v>2047733</v>
      </c>
      <c r="OB71" s="134">
        <v>0</v>
      </c>
      <c r="OC71" s="133">
        <f t="shared" si="791"/>
        <v>693971</v>
      </c>
      <c r="OD71" s="151">
        <f>OC71/OA71</f>
        <v>0.33889720974365312</v>
      </c>
      <c r="OE71" s="134">
        <v>157500</v>
      </c>
      <c r="OF71" s="134">
        <v>200000</v>
      </c>
      <c r="OG71" s="134">
        <v>300000</v>
      </c>
      <c r="OH71" s="190">
        <f t="shared" si="792"/>
        <v>36471</v>
      </c>
      <c r="OI71" s="5380">
        <f>OH71/OA71</f>
        <v>1.7810427433654682E-2</v>
      </c>
      <c r="OJ71" s="69">
        <v>39</v>
      </c>
      <c r="OK71" s="155">
        <f t="shared" si="793"/>
        <v>18220897</v>
      </c>
      <c r="OL71" s="155">
        <f t="shared" si="794"/>
        <v>7138971</v>
      </c>
      <c r="OM71" s="74">
        <f t="shared" si="795"/>
        <v>0.39180129276840764</v>
      </c>
      <c r="ON71" s="155">
        <f t="shared" si="796"/>
        <v>1346867</v>
      </c>
      <c r="OO71" s="70"/>
      <c r="OP71" s="69"/>
      <c r="OQ71" s="2008">
        <v>4</v>
      </c>
      <c r="OR71" s="208">
        <v>548133</v>
      </c>
      <c r="OS71" s="208">
        <v>970710</v>
      </c>
      <c r="OT71" s="3546"/>
      <c r="OU71" s="133">
        <f t="shared" si="797"/>
        <v>422577</v>
      </c>
      <c r="OV71" s="94">
        <f>OU71/OS71</f>
        <v>0.43532774979138983</v>
      </c>
      <c r="OW71" s="134">
        <v>100000</v>
      </c>
      <c r="OX71" s="134">
        <v>100000</v>
      </c>
      <c r="OY71" s="134">
        <v>200000</v>
      </c>
      <c r="OZ71" s="190">
        <f>OU71-SUM(OW71:OY71)</f>
        <v>22577</v>
      </c>
      <c r="PA71" s="5361">
        <f t="shared" si="798"/>
        <v>2.3258233664019121E-2</v>
      </c>
      <c r="PB71" s="698">
        <v>4</v>
      </c>
      <c r="PC71" s="395">
        <v>549533</v>
      </c>
      <c r="PD71" s="395">
        <v>1106903</v>
      </c>
      <c r="PE71" s="395"/>
      <c r="PF71" s="133">
        <f t="shared" si="799"/>
        <v>557370</v>
      </c>
      <c r="PG71" s="94">
        <f t="shared" si="800"/>
        <v>0.50354005725885642</v>
      </c>
      <c r="PH71" s="134">
        <v>132113</v>
      </c>
      <c r="PI71" s="134">
        <v>100000</v>
      </c>
      <c r="PJ71" s="134">
        <v>50000</v>
      </c>
      <c r="PK71" s="190">
        <f>PF71-SUM(PH71:PJ71)</f>
        <v>275257</v>
      </c>
      <c r="PL71" s="135">
        <f>PK71/PD71</f>
        <v>0.24867309963022957</v>
      </c>
      <c r="PM71" s="5379">
        <v>3</v>
      </c>
      <c r="PN71" s="134">
        <v>316498</v>
      </c>
      <c r="PO71" s="134">
        <v>708810</v>
      </c>
      <c r="PP71" s="358">
        <v>19257</v>
      </c>
      <c r="PQ71" s="6293">
        <f>PO71-(PN71+PP71)</f>
        <v>373055</v>
      </c>
      <c r="PR71" s="6295">
        <f t="shared" si="720"/>
        <v>0.52631170553462847</v>
      </c>
      <c r="PS71" s="134">
        <v>88378</v>
      </c>
      <c r="PT71" s="134">
        <v>40500</v>
      </c>
      <c r="PU71" s="134">
        <v>50000</v>
      </c>
      <c r="PV71" s="190">
        <f t="shared" si="721"/>
        <v>194177</v>
      </c>
      <c r="PW71" s="5380">
        <f t="shared" si="722"/>
        <v>0.27394788448244239</v>
      </c>
      <c r="PX71" s="5320">
        <v>3</v>
      </c>
      <c r="PY71" s="191">
        <f t="shared" si="696"/>
        <v>2786423</v>
      </c>
      <c r="PZ71" s="191">
        <f t="shared" si="723"/>
        <v>1353002</v>
      </c>
      <c r="QA71" s="135">
        <f t="shared" si="724"/>
        <v>0.48556949178211634</v>
      </c>
      <c r="QB71" s="5390">
        <v>3</v>
      </c>
      <c r="QC71" s="395">
        <v>316498</v>
      </c>
      <c r="QD71" s="395">
        <v>800030</v>
      </c>
      <c r="QE71" s="772">
        <v>11663</v>
      </c>
      <c r="QF71" s="6293">
        <f t="shared" si="725"/>
        <v>471869</v>
      </c>
      <c r="QG71" s="6295">
        <f t="shared" si="726"/>
        <v>0.58981413197005117</v>
      </c>
      <c r="QH71" s="134">
        <v>35000</v>
      </c>
      <c r="QI71" s="759">
        <v>100000</v>
      </c>
      <c r="QJ71" s="134">
        <v>50000</v>
      </c>
      <c r="QK71" s="190">
        <f>QF71-SUM(QH71:QJ71)</f>
        <v>286869</v>
      </c>
      <c r="QL71" s="5380">
        <f>QK71/QD71</f>
        <v>0.35857280351986798</v>
      </c>
      <c r="QM71" s="5396">
        <v>2</v>
      </c>
      <c r="QN71" s="208">
        <v>196564</v>
      </c>
      <c r="QO71" s="208">
        <v>499991</v>
      </c>
      <c r="QP71" s="395">
        <v>0</v>
      </c>
      <c r="QQ71" s="133">
        <f t="shared" si="727"/>
        <v>303427</v>
      </c>
      <c r="QR71" s="151">
        <f t="shared" si="728"/>
        <v>0.6068649235686242</v>
      </c>
      <c r="QS71" s="134">
        <v>35000</v>
      </c>
      <c r="QT71" s="759">
        <v>100000</v>
      </c>
      <c r="QU71" s="134">
        <v>50000</v>
      </c>
      <c r="QV71" s="190">
        <f t="shared" si="729"/>
        <v>118427</v>
      </c>
      <c r="QW71" s="5380">
        <f t="shared" si="730"/>
        <v>0.23685826344874208</v>
      </c>
      <c r="QX71" s="5379">
        <v>0</v>
      </c>
      <c r="QY71" s="134">
        <v>0</v>
      </c>
      <c r="QZ71" s="134">
        <v>0</v>
      </c>
      <c r="RA71" s="358">
        <v>107558</v>
      </c>
      <c r="RB71" s="133">
        <f t="shared" si="731"/>
        <v>-107558</v>
      </c>
      <c r="RC71" s="151">
        <v>0</v>
      </c>
      <c r="RD71" s="134">
        <v>0</v>
      </c>
      <c r="RE71" s="759"/>
      <c r="RF71" s="134">
        <v>0</v>
      </c>
      <c r="RG71" s="190">
        <f t="shared" si="733"/>
        <v>-107558</v>
      </c>
      <c r="RH71" s="5381">
        <v>0</v>
      </c>
      <c r="RI71" s="5376"/>
      <c r="RJ71" s="191">
        <f t="shared" si="735"/>
        <v>1300021</v>
      </c>
      <c r="RK71" s="191">
        <f t="shared" si="736"/>
        <v>667738</v>
      </c>
      <c r="RL71" s="5380">
        <f t="shared" si="737"/>
        <v>0.5136363181825524</v>
      </c>
      <c r="RM71" s="1562">
        <f t="shared" ref="RM71:RO74" si="855">RI71-PX71</f>
        <v>-3</v>
      </c>
      <c r="RN71" s="128">
        <f t="shared" si="855"/>
        <v>-1486402</v>
      </c>
      <c r="RO71" s="139">
        <f t="shared" si="855"/>
        <v>-685264</v>
      </c>
      <c r="RP71" s="660">
        <v>0</v>
      </c>
      <c r="RQ71" s="660">
        <v>0</v>
      </c>
      <c r="RR71" s="6351">
        <v>0</v>
      </c>
      <c r="RS71" s="6336"/>
      <c r="RT71" s="128">
        <v>0</v>
      </c>
      <c r="RU71" s="128">
        <v>0</v>
      </c>
      <c r="RV71" s="2563"/>
      <c r="RW71" s="133">
        <f t="shared" si="740"/>
        <v>0</v>
      </c>
      <c r="RX71" s="196">
        <v>0</v>
      </c>
      <c r="RY71" s="134">
        <v>0</v>
      </c>
      <c r="RZ71" s="759">
        <v>0</v>
      </c>
      <c r="SA71" s="134">
        <v>0</v>
      </c>
      <c r="SB71" s="190">
        <f t="shared" si="742"/>
        <v>0</v>
      </c>
      <c r="SC71" s="5381">
        <v>0</v>
      </c>
      <c r="SD71" s="5405"/>
      <c r="SE71" s="130"/>
      <c r="SF71" s="130"/>
      <c r="SG71" s="606"/>
      <c r="SH71" s="6361">
        <f t="shared" si="776"/>
        <v>0</v>
      </c>
      <c r="SI71" s="6377">
        <v>0</v>
      </c>
      <c r="SJ71" s="134">
        <v>0</v>
      </c>
      <c r="SK71" s="759">
        <v>0</v>
      </c>
      <c r="SL71" s="134">
        <v>0</v>
      </c>
      <c r="SM71" s="190">
        <f t="shared" si="778"/>
        <v>0</v>
      </c>
      <c r="SN71" s="5381">
        <v>0</v>
      </c>
      <c r="SO71" s="134"/>
      <c r="SP71" s="134"/>
      <c r="SQ71" s="134"/>
      <c r="SR71" s="134"/>
      <c r="SS71" s="6361">
        <f t="shared" si="780"/>
        <v>0</v>
      </c>
      <c r="ST71" s="6363"/>
      <c r="SU71" s="134">
        <v>0</v>
      </c>
      <c r="SV71" s="134">
        <v>0</v>
      </c>
      <c r="SW71" s="134">
        <v>0</v>
      </c>
      <c r="SX71" s="190">
        <f t="shared" si="782"/>
        <v>0</v>
      </c>
      <c r="SY71" s="5381">
        <v>0</v>
      </c>
      <c r="SZ71" s="6270"/>
      <c r="TA71" s="118">
        <f t="shared" si="784"/>
        <v>0</v>
      </c>
      <c r="TB71" s="118">
        <f t="shared" si="785"/>
        <v>0</v>
      </c>
      <c r="TC71" s="5381">
        <v>0</v>
      </c>
      <c r="TD71" s="1563"/>
      <c r="TE71" s="134">
        <v>0</v>
      </c>
      <c r="TF71" s="134">
        <v>0</v>
      </c>
      <c r="TG71" s="134"/>
      <c r="TH71" s="133">
        <f t="shared" si="787"/>
        <v>0</v>
      </c>
      <c r="TI71" s="196">
        <v>0</v>
      </c>
      <c r="TJ71" s="134">
        <v>0</v>
      </c>
      <c r="TK71" s="134">
        <v>0</v>
      </c>
      <c r="TL71" s="134">
        <v>0</v>
      </c>
      <c r="TM71" s="190">
        <f t="shared" si="789"/>
        <v>0</v>
      </c>
      <c r="TN71" s="5381">
        <v>0</v>
      </c>
      <c r="TO71" s="134"/>
      <c r="TP71" s="134"/>
      <c r="TQ71" s="134"/>
      <c r="TR71" s="134"/>
      <c r="TS71" s="133">
        <f>TQ71-(TP71+TR71)</f>
        <v>0</v>
      </c>
      <c r="TT71" s="151" t="e">
        <f>TS71/TQ71</f>
        <v>#DIV/0!</v>
      </c>
      <c r="TU71" s="134"/>
      <c r="TV71" s="134"/>
      <c r="TW71" s="134"/>
      <c r="TX71" s="190">
        <f>TS71-SUM(TU71:TW71)</f>
        <v>0</v>
      </c>
      <c r="TY71" s="135" t="e">
        <f>TX71/TQ71</f>
        <v>#DIV/0!</v>
      </c>
      <c r="TZ71" s="1563"/>
      <c r="UA71" s="134"/>
      <c r="UB71" s="134"/>
      <c r="UC71" s="134"/>
      <c r="UD71" s="133">
        <f>UB71-(UA71+UC71)</f>
        <v>0</v>
      </c>
      <c r="UE71" s="151" t="e">
        <f>UD71/UB71</f>
        <v>#DIV/0!</v>
      </c>
      <c r="UF71" s="134"/>
      <c r="UG71" s="134"/>
      <c r="UH71" s="134"/>
      <c r="UI71" s="190">
        <f>UD71-SUM(UF71:UH71)</f>
        <v>0</v>
      </c>
      <c r="UJ71" s="5380" t="e">
        <f>UI71/UB71</f>
        <v>#DIV/0!</v>
      </c>
      <c r="UK71" s="5376"/>
      <c r="UL71" s="191">
        <f t="shared" si="754"/>
        <v>4086444</v>
      </c>
      <c r="UM71" s="191">
        <f t="shared" si="755"/>
        <v>2020740</v>
      </c>
      <c r="UN71" s="135">
        <f>UM71/UL71</f>
        <v>0.49449839518172767</v>
      </c>
      <c r="UO71" s="191">
        <f t="shared" si="757"/>
        <v>789749</v>
      </c>
      <c r="UP71" s="5380">
        <f t="shared" si="758"/>
        <v>0.19326069316011671</v>
      </c>
    </row>
    <row r="72" spans="1:566" x14ac:dyDescent="0.3">
      <c r="A72" s="5316">
        <v>13</v>
      </c>
      <c r="B72" s="5360" t="s">
        <v>152</v>
      </c>
      <c r="C72" s="578" t="s">
        <v>144</v>
      </c>
      <c r="D72" s="578" t="s">
        <v>142</v>
      </c>
      <c r="E72" s="6278" t="s">
        <v>145</v>
      </c>
      <c r="F72" s="422"/>
      <c r="G72" s="161">
        <v>0</v>
      </c>
      <c r="H72" s="161">
        <v>0</v>
      </c>
      <c r="I72" s="161">
        <v>0</v>
      </c>
      <c r="J72" s="94"/>
      <c r="K72" s="136"/>
      <c r="L72" s="161">
        <v>0</v>
      </c>
      <c r="M72" s="161">
        <v>0</v>
      </c>
      <c r="N72" s="161">
        <v>0</v>
      </c>
      <c r="O72" s="158"/>
      <c r="P72" s="136"/>
      <c r="Q72" s="161">
        <v>0</v>
      </c>
      <c r="R72" s="161">
        <v>0</v>
      </c>
      <c r="S72" s="161">
        <v>0</v>
      </c>
      <c r="T72" s="94"/>
      <c r="U72" s="136"/>
      <c r="V72" s="161">
        <v>0</v>
      </c>
      <c r="W72" s="161">
        <v>0</v>
      </c>
      <c r="X72" s="161">
        <v>0</v>
      </c>
      <c r="Y72" s="759">
        <f>W72-(V72+X72)</f>
        <v>0</v>
      </c>
      <c r="Z72" s="94"/>
      <c r="AA72" s="422"/>
      <c r="AB72" s="161">
        <v>0</v>
      </c>
      <c r="AC72" s="161">
        <v>0</v>
      </c>
      <c r="AD72" s="161">
        <v>0</v>
      </c>
      <c r="AE72" s="775">
        <f>AC72-(AB72+AD72)</f>
        <v>0</v>
      </c>
      <c r="AF72" s="422"/>
      <c r="AG72" s="113"/>
      <c r="AH72" s="616">
        <v>0</v>
      </c>
      <c r="AI72" s="616"/>
      <c r="AJ72" s="616"/>
      <c r="AK72" s="96">
        <f>AI72-(AH72+AJ72)</f>
        <v>0</v>
      </c>
      <c r="AL72" s="114"/>
      <c r="AM72" s="129">
        <v>0</v>
      </c>
      <c r="AN72" s="417">
        <v>0</v>
      </c>
      <c r="AO72" s="130">
        <v>0</v>
      </c>
      <c r="AP72" s="417"/>
      <c r="AQ72" s="417">
        <f>AK72-AM72-AN72-AO72-AP72</f>
        <v>0</v>
      </c>
      <c r="AR72" s="421"/>
      <c r="AS72" s="113"/>
      <c r="AT72" s="760">
        <v>0</v>
      </c>
      <c r="AU72" s="761">
        <f>AI72+AC72+W72</f>
        <v>0</v>
      </c>
      <c r="AV72" s="761">
        <f>AK72+AE72+Y72</f>
        <v>0</v>
      </c>
      <c r="AW72" s="116"/>
      <c r="AX72" s="776"/>
      <c r="AY72" s="587">
        <f t="shared" ref="AY72:BA74" si="856">AT72+Q72+L72+G72</f>
        <v>0</v>
      </c>
      <c r="AZ72" s="587">
        <f t="shared" si="856"/>
        <v>0</v>
      </c>
      <c r="BA72" s="587">
        <f t="shared" si="856"/>
        <v>0</v>
      </c>
      <c r="BB72" s="588"/>
      <c r="BC72" s="1514"/>
      <c r="BD72" s="759"/>
      <c r="BE72" s="759"/>
      <c r="BF72" s="759"/>
      <c r="BG72" s="775">
        <f>BE72-(BD72+BF72)</f>
        <v>0</v>
      </c>
      <c r="BH72" s="736"/>
      <c r="BI72" s="1514">
        <v>2</v>
      </c>
      <c r="BJ72" s="759">
        <v>85244</v>
      </c>
      <c r="BK72" s="759">
        <v>117337</v>
      </c>
      <c r="BL72" s="759"/>
      <c r="BM72" s="775">
        <f>BK72-(BJ72+BL72)</f>
        <v>32093</v>
      </c>
      <c r="BN72" s="736">
        <f>BM72/BK72</f>
        <v>0.27351133913428843</v>
      </c>
      <c r="BO72" s="777">
        <v>2</v>
      </c>
      <c r="BP72" s="759">
        <v>126752</v>
      </c>
      <c r="BQ72" s="759">
        <v>175000</v>
      </c>
      <c r="BR72" s="759"/>
      <c r="BS72" s="775">
        <f>BQ72-(BP72+BR72)</f>
        <v>48248</v>
      </c>
      <c r="BT72" s="239">
        <f>BS72/BQ72</f>
        <v>0.27570285714285714</v>
      </c>
      <c r="BU72" s="689">
        <v>2</v>
      </c>
      <c r="BV72" s="592">
        <f>BQ72+BK72+BE72</f>
        <v>292337</v>
      </c>
      <c r="BW72" s="592">
        <f>BS72+BM72+BG72</f>
        <v>80341</v>
      </c>
      <c r="BX72" s="593">
        <f>BW72/BV72</f>
        <v>0.27482323482829746</v>
      </c>
      <c r="BY72" s="654">
        <v>4</v>
      </c>
      <c r="BZ72" s="650">
        <v>266240</v>
      </c>
      <c r="CA72" s="650">
        <v>175000</v>
      </c>
      <c r="CB72" s="671"/>
      <c r="CC72" s="596">
        <f>CA72-(BZ72+CB72)</f>
        <v>-91240</v>
      </c>
      <c r="CD72" s="655">
        <f>CC72/CA72</f>
        <v>-0.5213714285714286</v>
      </c>
      <c r="CE72" s="670">
        <v>100000</v>
      </c>
      <c r="CF72" s="671">
        <v>135753</v>
      </c>
      <c r="CG72" s="671"/>
      <c r="CH72" s="671"/>
      <c r="CI72" s="599">
        <f>CC72-CE72-CF72-CG72-CH72</f>
        <v>-326993</v>
      </c>
      <c r="CJ72" s="597">
        <f>CI72/CA72</f>
        <v>-1.8685314285714285</v>
      </c>
      <c r="CK72" s="600">
        <v>2</v>
      </c>
      <c r="CL72" s="601">
        <v>126752</v>
      </c>
      <c r="CM72" s="601">
        <v>172545</v>
      </c>
      <c r="CN72" s="601"/>
      <c r="CO72" s="360">
        <f>CM72-(CL72+CN72)</f>
        <v>45793</v>
      </c>
      <c r="CP72" s="602">
        <f>CO72/CM72</f>
        <v>0.26539743255382653</v>
      </c>
      <c r="CQ72" s="779">
        <v>140363</v>
      </c>
      <c r="CR72" s="778">
        <v>70250</v>
      </c>
      <c r="CS72" s="778"/>
      <c r="CT72" s="603">
        <v>0</v>
      </c>
      <c r="CU72" s="603">
        <f>CO72-CQ72-CR72-CS72-CT72</f>
        <v>-164820</v>
      </c>
      <c r="CV72" s="604">
        <f>CU72/CM72</f>
        <v>-0.95522907067721463</v>
      </c>
      <c r="CW72" s="129">
        <v>2</v>
      </c>
      <c r="CX72" s="130">
        <v>126752</v>
      </c>
      <c r="CY72" s="130">
        <v>175000</v>
      </c>
      <c r="CZ72" s="130"/>
      <c r="DA72" s="605">
        <f>CY72-(CX72+CZ72)</f>
        <v>48248</v>
      </c>
      <c r="DB72" s="114">
        <f>DA72/CY72</f>
        <v>0.27570285714285714</v>
      </c>
      <c r="DC72" s="129">
        <v>55907</v>
      </c>
      <c r="DD72" s="130"/>
      <c r="DE72" s="130"/>
      <c r="DF72" s="130">
        <v>0</v>
      </c>
      <c r="DG72" s="128">
        <f>DA72-DC72-DD72-DE72-DF72</f>
        <v>-7659</v>
      </c>
      <c r="DH72" s="169">
        <f>DG72/CY72</f>
        <v>-4.3765714285714283E-2</v>
      </c>
      <c r="DI72" s="204">
        <f>(BY72+CK72+CW72)/3</f>
        <v>2.6666666666666665</v>
      </c>
      <c r="DJ72" s="202">
        <f>CA72+CM72+CY72</f>
        <v>522545</v>
      </c>
      <c r="DK72" s="202">
        <f>CC72+CO72+DA72</f>
        <v>2801</v>
      </c>
      <c r="DL72" s="119">
        <f>DK72/DJ72</f>
        <v>5.3603038972720052E-3</v>
      </c>
      <c r="DM72" s="202">
        <f>CI72+CU72+DG72</f>
        <v>-499472</v>
      </c>
      <c r="DN72" s="119">
        <f>DM72/DJ72</f>
        <v>-0.95584495115253232</v>
      </c>
      <c r="DO72" s="607">
        <f t="shared" ref="DO72:DQ74" si="857">CW72-AG72</f>
        <v>2</v>
      </c>
      <c r="DP72" s="137">
        <f t="shared" si="857"/>
        <v>126752</v>
      </c>
      <c r="DQ72" s="137">
        <f t="shared" si="857"/>
        <v>175000</v>
      </c>
      <c r="DR72" s="137">
        <f>DA72-AK72</f>
        <v>48248</v>
      </c>
      <c r="DS72" s="135">
        <v>1</v>
      </c>
      <c r="DT72" s="135">
        <v>1</v>
      </c>
      <c r="DU72" s="135">
        <v>1</v>
      </c>
      <c r="DV72" s="151">
        <v>1</v>
      </c>
      <c r="DW72" s="607">
        <f>CW72-CK72</f>
        <v>0</v>
      </c>
      <c r="DX72" s="780">
        <f>CY72-CM72</f>
        <v>2455</v>
      </c>
      <c r="DY72" s="780">
        <f>DA72-CO72</f>
        <v>2455</v>
      </c>
      <c r="DZ72" s="780">
        <f>DG72-CU72</f>
        <v>157161</v>
      </c>
      <c r="EA72" s="135">
        <f>DW72/CK72</f>
        <v>0</v>
      </c>
      <c r="EB72" s="135">
        <f>DX72/CM72</f>
        <v>1.4228172360833406E-2</v>
      </c>
      <c r="EC72" s="135">
        <f>DY72/CO72</f>
        <v>5.361081387985063E-2</v>
      </c>
      <c r="ED72" s="151">
        <f>DZ72/CU72</f>
        <v>-0.95353112486348746</v>
      </c>
      <c r="EE72" s="129">
        <v>4</v>
      </c>
      <c r="EF72" s="130">
        <v>236988</v>
      </c>
      <c r="EG72" s="130">
        <v>359000</v>
      </c>
      <c r="EH72" s="130"/>
      <c r="EI72" s="605">
        <f>EG72-(EF72+EH72)</f>
        <v>122012</v>
      </c>
      <c r="EJ72" s="114">
        <f>EI72/EG72</f>
        <v>0.33986629526462397</v>
      </c>
      <c r="EK72" s="129">
        <v>64140</v>
      </c>
      <c r="EL72" s="130">
        <v>0</v>
      </c>
      <c r="EM72" s="130">
        <v>0</v>
      </c>
      <c r="EN72" s="130">
        <v>0</v>
      </c>
      <c r="EO72" s="128">
        <f>EI72-EK72-EL72-EM72-EN72</f>
        <v>57872</v>
      </c>
      <c r="EP72" s="114">
        <f>EO72/EG72</f>
        <v>0.1612033426183844</v>
      </c>
      <c r="EQ72" s="129">
        <v>4</v>
      </c>
      <c r="ER72" s="130">
        <v>236988</v>
      </c>
      <c r="ES72" s="130">
        <v>312545</v>
      </c>
      <c r="ET72" s="130"/>
      <c r="EU72" s="134">
        <f>ES72-(ER72+ET72)</f>
        <v>75557</v>
      </c>
      <c r="EV72" s="114">
        <f>EU72/ES72</f>
        <v>0.241747588347278</v>
      </c>
      <c r="EW72" s="129">
        <v>43140</v>
      </c>
      <c r="EX72" s="130">
        <v>0</v>
      </c>
      <c r="EY72" s="130">
        <v>0</v>
      </c>
      <c r="EZ72" s="130">
        <v>0</v>
      </c>
      <c r="FA72" s="128">
        <f>EU72-EW72-EX72-EY72-EZ72</f>
        <v>32417</v>
      </c>
      <c r="FB72" s="114">
        <f>FA72/ES72</f>
        <v>0.10371946439712681</v>
      </c>
      <c r="FC72" s="643">
        <f>EQ72-AG72</f>
        <v>4</v>
      </c>
      <c r="FD72" s="644">
        <f>ES72-AI72</f>
        <v>312545</v>
      </c>
      <c r="FE72" s="644">
        <f>EU72-AK72</f>
        <v>75557</v>
      </c>
      <c r="FF72" s="644">
        <f>FA72-AQ72</f>
        <v>32417</v>
      </c>
      <c r="FG72" s="74">
        <v>1</v>
      </c>
      <c r="FH72" s="74">
        <v>1</v>
      </c>
      <c r="FI72" s="74">
        <v>1</v>
      </c>
      <c r="FJ72" s="73">
        <v>1</v>
      </c>
      <c r="FK72" s="133">
        <v>3</v>
      </c>
      <c r="FL72" s="134">
        <v>163159</v>
      </c>
      <c r="FM72" s="134">
        <v>231727</v>
      </c>
      <c r="FN72" s="134"/>
      <c r="FO72" s="134">
        <f>FM72-(FL72+FN72)</f>
        <v>68568</v>
      </c>
      <c r="FP72" s="135">
        <f>FO72/FM72</f>
        <v>0.29589991671233823</v>
      </c>
      <c r="FQ72" s="133">
        <v>36390</v>
      </c>
      <c r="FR72" s="134"/>
      <c r="FS72" s="134">
        <v>27323.375</v>
      </c>
      <c r="FT72" s="191">
        <f>FO72-SUM(FQ72:FS72)</f>
        <v>4854.625</v>
      </c>
      <c r="FU72" s="151">
        <f>FT72/FM72</f>
        <v>2.0949759846716178E-2</v>
      </c>
      <c r="FV72" s="190">
        <f t="shared" ref="FV72:FX74" si="858">FK72-AG72</f>
        <v>3</v>
      </c>
      <c r="FW72" s="191">
        <f t="shared" si="858"/>
        <v>163159</v>
      </c>
      <c r="FX72" s="191">
        <f t="shared" si="858"/>
        <v>231727</v>
      </c>
      <c r="FY72" s="191">
        <f>FO72-AK72</f>
        <v>68568</v>
      </c>
      <c r="FZ72" s="191">
        <f>FT72-AQ72</f>
        <v>4854.625</v>
      </c>
      <c r="GA72" s="135">
        <v>1</v>
      </c>
      <c r="GB72" s="135">
        <v>1</v>
      </c>
      <c r="GC72" s="135">
        <v>1</v>
      </c>
      <c r="GD72" s="151">
        <v>1</v>
      </c>
      <c r="GE72" s="187">
        <f>(EE72+EQ72+FK72)/3</f>
        <v>3.6666666666666665</v>
      </c>
      <c r="GF72" s="155">
        <f>EG72+ES72+FM72</f>
        <v>903272</v>
      </c>
      <c r="GG72" s="155">
        <f>EI72+EU72+FO72</f>
        <v>266137</v>
      </c>
      <c r="GH72" s="74">
        <f>GG72/GF72</f>
        <v>0.2946366100133736</v>
      </c>
      <c r="GI72" s="613">
        <f>EO72+FA72+FT72</f>
        <v>95143.625</v>
      </c>
      <c r="GJ72" s="187">
        <f t="shared" ref="GJ72:GL74" si="859">GE72-DI72</f>
        <v>1</v>
      </c>
      <c r="GK72" s="155">
        <f t="shared" si="859"/>
        <v>380727</v>
      </c>
      <c r="GL72" s="155">
        <f t="shared" si="859"/>
        <v>263336</v>
      </c>
      <c r="GM72" s="613">
        <f>GI72-DM72</f>
        <v>594615.625</v>
      </c>
      <c r="GN72" s="133">
        <v>1</v>
      </c>
      <c r="GO72" s="134">
        <v>81751</v>
      </c>
      <c r="GP72" s="134">
        <v>121000</v>
      </c>
      <c r="GQ72" s="134">
        <v>8610</v>
      </c>
      <c r="GR72" s="134">
        <f>GP72-(GO72+GQ72)</f>
        <v>30639</v>
      </c>
      <c r="GS72" s="135">
        <f>GR72/GP72</f>
        <v>0.25321487603305787</v>
      </c>
      <c r="GT72" s="133">
        <v>25000</v>
      </c>
      <c r="GU72" s="134">
        <v>0</v>
      </c>
      <c r="GV72" s="134">
        <v>0</v>
      </c>
      <c r="GW72" s="134">
        <v>0</v>
      </c>
      <c r="GX72" s="190">
        <f>GR72-SUM(GT72:GW72)</f>
        <v>5639</v>
      </c>
      <c r="GY72" s="151">
        <f>GX72/GP72</f>
        <v>4.6603305785123963E-2</v>
      </c>
      <c r="GZ72" s="614">
        <v>2</v>
      </c>
      <c r="HA72" s="130">
        <v>117118</v>
      </c>
      <c r="HB72" s="130">
        <v>164950</v>
      </c>
      <c r="HC72" s="134"/>
      <c r="HD72" s="134">
        <f>HB72-(HA72+HC72)</f>
        <v>47832</v>
      </c>
      <c r="HE72" s="151">
        <f>HD72/HB72</f>
        <v>0.28997878144892392</v>
      </c>
      <c r="HF72" s="138">
        <v>0</v>
      </c>
      <c r="HG72" s="130"/>
      <c r="HH72" s="130"/>
      <c r="HI72" s="130"/>
      <c r="HJ72" s="197">
        <f>HD72-SUM(HF72:HI72)</f>
        <v>47832</v>
      </c>
      <c r="HK72" s="201">
        <f>HJ72/HB72</f>
        <v>0.28997878144892392</v>
      </c>
      <c r="HL72" s="147">
        <v>2</v>
      </c>
      <c r="HM72" s="148">
        <v>150498</v>
      </c>
      <c r="HN72" s="148">
        <v>215500</v>
      </c>
      <c r="HO72" s="148">
        <v>0</v>
      </c>
      <c r="HP72" s="615">
        <f>HN72-(HM72+HO72)</f>
        <v>65002</v>
      </c>
      <c r="HQ72" s="201">
        <f>HP72/HN72</f>
        <v>0.30163341067285382</v>
      </c>
      <c r="HR72" s="148">
        <v>0</v>
      </c>
      <c r="HS72" s="148">
        <v>0</v>
      </c>
      <c r="HT72" s="148"/>
      <c r="HU72" s="148">
        <v>0</v>
      </c>
      <c r="HV72" s="197">
        <f>HP72-SUM(HR72:HU72)</f>
        <v>65002</v>
      </c>
      <c r="HW72" s="201">
        <f>HV72/HN72</f>
        <v>0.30163341067285382</v>
      </c>
      <c r="HX72" s="414">
        <v>2</v>
      </c>
      <c r="HY72" s="241">
        <f>HN72+HB72+GP72</f>
        <v>501450</v>
      </c>
      <c r="HZ72" s="415">
        <f>HP72+HD72+GR72</f>
        <v>143473</v>
      </c>
      <c r="IA72" s="135">
        <f>HZ72/HY72</f>
        <v>0.28611626283777047</v>
      </c>
      <c r="IB72" s="415">
        <f>HV72+HJ72+GX72</f>
        <v>118473</v>
      </c>
      <c r="IC72" s="141"/>
      <c r="ID72" s="642">
        <v>2</v>
      </c>
      <c r="IE72" s="141">
        <f t="shared" si="849"/>
        <v>2219604</v>
      </c>
      <c r="IF72" s="141">
        <f t="shared" si="849"/>
        <v>492752</v>
      </c>
      <c r="IG72" s="74">
        <f>IF72/IE72</f>
        <v>0.22199996035328826</v>
      </c>
      <c r="IH72" s="1507"/>
      <c r="II72" s="69"/>
      <c r="IJ72" s="133">
        <v>2</v>
      </c>
      <c r="IK72" s="134">
        <v>150498</v>
      </c>
      <c r="IL72" s="134">
        <v>209950</v>
      </c>
      <c r="IM72" s="134">
        <v>0</v>
      </c>
      <c r="IN72" s="133">
        <f>IL72-(IK72+IM72)</f>
        <v>59452</v>
      </c>
      <c r="IO72" s="151">
        <f>IN72/IL72</f>
        <v>0.2831721838532984</v>
      </c>
      <c r="IP72" s="134">
        <v>0</v>
      </c>
      <c r="IQ72" s="134">
        <v>0</v>
      </c>
      <c r="IR72" s="134">
        <v>0</v>
      </c>
      <c r="IS72" s="190">
        <f>IN72-SUM(IP72:IR72)</f>
        <v>59452</v>
      </c>
      <c r="IT72" s="151">
        <f>IS72/IL72</f>
        <v>0.2831721838532984</v>
      </c>
      <c r="IU72" s="583">
        <v>3</v>
      </c>
      <c r="IV72" s="395">
        <v>384269</v>
      </c>
      <c r="IW72" s="395">
        <v>470091</v>
      </c>
      <c r="IX72" s="134">
        <v>0</v>
      </c>
      <c r="IY72" s="133">
        <f>IW72-(IV72+IX72)</f>
        <v>85822</v>
      </c>
      <c r="IZ72" s="151">
        <f>IY72/IW72</f>
        <v>0.18256465237581659</v>
      </c>
      <c r="JA72" s="134">
        <v>0</v>
      </c>
      <c r="JB72" s="134">
        <v>0</v>
      </c>
      <c r="JC72" s="134">
        <v>0</v>
      </c>
      <c r="JD72" s="190">
        <f>IY72-SUM(JA72:JC72)</f>
        <v>85822</v>
      </c>
      <c r="JE72" s="196">
        <v>0</v>
      </c>
      <c r="JF72" s="390">
        <v>3</v>
      </c>
      <c r="JG72" s="134">
        <v>481606</v>
      </c>
      <c r="JH72" s="134">
        <v>498056</v>
      </c>
      <c r="JI72" s="358">
        <v>0</v>
      </c>
      <c r="JJ72" s="133">
        <f>JH72-(JG72+JI72)</f>
        <v>16450</v>
      </c>
      <c r="JK72" s="151"/>
      <c r="JL72" s="134">
        <v>0</v>
      </c>
      <c r="JM72" s="134">
        <v>0</v>
      </c>
      <c r="JN72" s="134">
        <v>0</v>
      </c>
      <c r="JO72" s="190">
        <f>JJ72-SUM(JL72:JN72)</f>
        <v>16450</v>
      </c>
      <c r="JP72" s="196">
        <v>0</v>
      </c>
      <c r="JQ72" s="390">
        <v>3</v>
      </c>
      <c r="JR72" s="191">
        <f>JH72+IW72+IL72</f>
        <v>1178097</v>
      </c>
      <c r="JS72" s="191">
        <f>JJ72+IY72+IN72</f>
        <v>161724</v>
      </c>
      <c r="JT72" s="151">
        <f>JS72/JR72</f>
        <v>0.13727562331454879</v>
      </c>
      <c r="JU72" s="390">
        <v>2</v>
      </c>
      <c r="JV72" s="134">
        <v>342783</v>
      </c>
      <c r="JW72" s="134">
        <v>431000</v>
      </c>
      <c r="JX72" s="358">
        <v>0</v>
      </c>
      <c r="JY72" s="133">
        <f>JW72-(JV72+JX72)</f>
        <v>88217</v>
      </c>
      <c r="JZ72" s="151">
        <f>JY72/JW72</f>
        <v>0.20467981438515082</v>
      </c>
      <c r="KA72" s="134">
        <v>48750</v>
      </c>
      <c r="KB72" s="759">
        <v>0</v>
      </c>
      <c r="KC72" s="134">
        <v>0</v>
      </c>
      <c r="KD72" s="190">
        <f>JY72-SUM(KA72:KC72)</f>
        <v>39467</v>
      </c>
      <c r="KE72" s="151">
        <f>KD72/JW72</f>
        <v>9.1570765661252898E-2</v>
      </c>
      <c r="KF72" s="390">
        <v>2</v>
      </c>
      <c r="KG72" s="134">
        <v>342783</v>
      </c>
      <c r="KH72" s="134">
        <v>416909</v>
      </c>
      <c r="KI72" s="358">
        <v>0</v>
      </c>
      <c r="KJ72" s="133">
        <f>KH72-(KG72+KI72)</f>
        <v>74126</v>
      </c>
      <c r="KK72" s="151">
        <f>KJ72/KH72</f>
        <v>0.17779899210619104</v>
      </c>
      <c r="KL72" s="134">
        <v>0</v>
      </c>
      <c r="KM72" s="759">
        <v>0</v>
      </c>
      <c r="KN72" s="134">
        <v>0</v>
      </c>
      <c r="KO72" s="190">
        <f t="shared" si="850"/>
        <v>74126</v>
      </c>
      <c r="KP72" s="151">
        <f>KO72/KH72</f>
        <v>0.17779899210619104</v>
      </c>
      <c r="KQ72" s="390">
        <v>1</v>
      </c>
      <c r="KR72" s="134">
        <v>260995</v>
      </c>
      <c r="KS72" s="134">
        <v>294500</v>
      </c>
      <c r="KT72" s="358">
        <v>31395</v>
      </c>
      <c r="KU72" s="133">
        <f>KS72-(KR72+KT72)</f>
        <v>2110</v>
      </c>
      <c r="KV72" s="151">
        <f>KU72/KS72</f>
        <v>7.1646859083191851E-3</v>
      </c>
      <c r="KW72" s="134">
        <v>0</v>
      </c>
      <c r="KX72" s="759">
        <v>0</v>
      </c>
      <c r="KY72" s="134">
        <v>0</v>
      </c>
      <c r="KZ72" s="190">
        <f t="shared" si="851"/>
        <v>2110</v>
      </c>
      <c r="LA72" s="151">
        <f>KZ72/KS72</f>
        <v>7.1646859083191851E-3</v>
      </c>
      <c r="LB72" s="402">
        <v>1</v>
      </c>
      <c r="LC72" s="191">
        <f>KS72+KH72+JW72</f>
        <v>1142409</v>
      </c>
      <c r="LD72" s="191">
        <f>KU72+KJ72+JY72</f>
        <v>164453</v>
      </c>
      <c r="LE72" s="151">
        <f>LD72/LC72</f>
        <v>0.14395282250052302</v>
      </c>
      <c r="LF72" s="226">
        <f t="shared" si="852"/>
        <v>-2</v>
      </c>
      <c r="LG72" s="128">
        <f t="shared" si="852"/>
        <v>-35688</v>
      </c>
      <c r="LH72" s="139">
        <f t="shared" si="852"/>
        <v>2729</v>
      </c>
      <c r="LI72" s="442">
        <f t="shared" ref="LI72:LK74" si="860">LF72/JQ72</f>
        <v>-0.66666666666666663</v>
      </c>
      <c r="LJ72" s="442">
        <f t="shared" si="860"/>
        <v>-3.029292155060237E-2</v>
      </c>
      <c r="LK72" s="106">
        <f t="shared" si="860"/>
        <v>1.6874428037891718E-2</v>
      </c>
      <c r="LL72" s="390">
        <v>1</v>
      </c>
      <c r="LM72" s="134">
        <v>244282</v>
      </c>
      <c r="LN72" s="134">
        <v>265714</v>
      </c>
      <c r="LO72" s="358">
        <v>0</v>
      </c>
      <c r="LP72" s="133">
        <f>LN72-(LM72+LO72)</f>
        <v>21432</v>
      </c>
      <c r="LQ72" s="151">
        <f>LP72/LN72</f>
        <v>8.0658151245323925E-2</v>
      </c>
      <c r="LR72" s="134">
        <v>0</v>
      </c>
      <c r="LS72" s="759">
        <v>0</v>
      </c>
      <c r="LT72" s="134">
        <v>0</v>
      </c>
      <c r="LU72" s="190">
        <f>LP72-SUM(LR72:LT72)</f>
        <v>21432</v>
      </c>
      <c r="LV72" s="151">
        <f>LU72/LN72</f>
        <v>8.0658151245323925E-2</v>
      </c>
      <c r="LW72" s="134">
        <v>1</v>
      </c>
      <c r="LX72" s="134">
        <v>256677</v>
      </c>
      <c r="LY72" s="134">
        <v>280476.19</v>
      </c>
      <c r="LZ72" s="134"/>
      <c r="MA72" s="133">
        <f>LY72-(LX72+LZ72)</f>
        <v>23799.190000000002</v>
      </c>
      <c r="MB72" s="151">
        <f>MA72/LY72</f>
        <v>8.4852799804503914E-2</v>
      </c>
      <c r="MC72" s="134">
        <v>0</v>
      </c>
      <c r="MD72" s="134">
        <v>0</v>
      </c>
      <c r="ME72" s="134">
        <v>0</v>
      </c>
      <c r="MF72" s="190">
        <f>MA72-SUM(MC72:ME72)</f>
        <v>23799.190000000002</v>
      </c>
      <c r="MG72" s="151">
        <f>MF72/LY72</f>
        <v>8.4852799804503914E-2</v>
      </c>
      <c r="MH72" s="134">
        <v>1</v>
      </c>
      <c r="MI72" s="134">
        <v>260995</v>
      </c>
      <c r="MJ72" s="134">
        <v>280476.19</v>
      </c>
      <c r="MK72" s="134"/>
      <c r="ML72" s="133">
        <f>MJ72-(MI72+MK72)</f>
        <v>19481.190000000002</v>
      </c>
      <c r="MM72" s="151">
        <f>ML72/MJ72</f>
        <v>6.9457553598399932E-2</v>
      </c>
      <c r="MN72" s="134">
        <v>0</v>
      </c>
      <c r="MO72" s="134">
        <v>0</v>
      </c>
      <c r="MP72" s="134">
        <v>0</v>
      </c>
      <c r="MQ72" s="190">
        <f>ML72-SUM(MN72:MP72)</f>
        <v>19481.190000000002</v>
      </c>
      <c r="MR72" s="151">
        <f>MQ72/MJ72</f>
        <v>6.9457553598399932E-2</v>
      </c>
      <c r="MS72" s="1472">
        <v>1</v>
      </c>
      <c r="MT72" s="118">
        <f>MJ72+LY72+LN72</f>
        <v>826666.38</v>
      </c>
      <c r="MU72" s="118">
        <f>ML72+MA72+LP72</f>
        <v>64712.380000000005</v>
      </c>
      <c r="MV72" s="135">
        <f>MU72/MT72</f>
        <v>7.8281131984586097E-2</v>
      </c>
      <c r="MW72" s="133">
        <f t="shared" si="853"/>
        <v>0</v>
      </c>
      <c r="MX72" s="134">
        <f t="shared" si="853"/>
        <v>-315742.62</v>
      </c>
      <c r="MY72" s="134">
        <f t="shared" si="853"/>
        <v>-99740.62</v>
      </c>
      <c r="MZ72" s="135">
        <f t="shared" si="854"/>
        <v>0</v>
      </c>
      <c r="NA72" s="135">
        <f t="shared" si="854"/>
        <v>-0.27638316925024226</v>
      </c>
      <c r="NB72" s="151">
        <f t="shared" si="854"/>
        <v>-0.60649924294479274</v>
      </c>
      <c r="NC72" s="134"/>
      <c r="ND72" s="134"/>
      <c r="NE72" s="134"/>
      <c r="NF72" s="134"/>
      <c r="NG72" s="133">
        <f>NE72-(ND72+NF72)</f>
        <v>0</v>
      </c>
      <c r="NH72" s="196">
        <v>0</v>
      </c>
      <c r="NI72" s="134">
        <v>0</v>
      </c>
      <c r="NJ72" s="134">
        <v>0</v>
      </c>
      <c r="NK72" s="134">
        <v>0</v>
      </c>
      <c r="NL72" s="190">
        <f>NG72-SUM(NI72:NK72)</f>
        <v>0</v>
      </c>
      <c r="NM72" s="135">
        <v>0</v>
      </c>
      <c r="NN72" s="1563">
        <v>1</v>
      </c>
      <c r="NO72" s="134">
        <v>260995</v>
      </c>
      <c r="NP72" s="134">
        <v>280476.19</v>
      </c>
      <c r="NQ72" s="134">
        <v>0</v>
      </c>
      <c r="NR72" s="133">
        <f>NP72-(NO72+NQ72)</f>
        <v>19481.190000000002</v>
      </c>
      <c r="NS72" s="196">
        <v>0</v>
      </c>
      <c r="NT72" s="134">
        <v>0</v>
      </c>
      <c r="NU72" s="134">
        <v>0</v>
      </c>
      <c r="NV72" s="134">
        <v>0</v>
      </c>
      <c r="NW72" s="190">
        <f>NR72-SUM(NT72:NV72)</f>
        <v>19481.190000000002</v>
      </c>
      <c r="NX72" s="135">
        <v>0</v>
      </c>
      <c r="NY72" s="1563">
        <v>1</v>
      </c>
      <c r="NZ72" s="134">
        <v>260995</v>
      </c>
      <c r="OA72" s="134">
        <v>250952</v>
      </c>
      <c r="OB72" s="134">
        <v>0</v>
      </c>
      <c r="OC72" s="133">
        <f t="shared" si="791"/>
        <v>-10043</v>
      </c>
      <c r="OD72" s="196">
        <v>0</v>
      </c>
      <c r="OE72" s="134">
        <v>0</v>
      </c>
      <c r="OF72" s="134">
        <v>0</v>
      </c>
      <c r="OG72" s="134">
        <v>0</v>
      </c>
      <c r="OH72" s="190">
        <f t="shared" si="792"/>
        <v>-10043</v>
      </c>
      <c r="OI72" s="5380">
        <v>0</v>
      </c>
      <c r="OJ72" s="69">
        <v>1</v>
      </c>
      <c r="OK72" s="155">
        <f t="shared" si="793"/>
        <v>3662150.57</v>
      </c>
      <c r="OL72" s="155">
        <f t="shared" si="794"/>
        <v>383877.57</v>
      </c>
      <c r="OM72" s="74">
        <f t="shared" si="795"/>
        <v>0.10482298929615011</v>
      </c>
      <c r="ON72" s="155">
        <f t="shared" si="796"/>
        <v>335127.57</v>
      </c>
      <c r="OO72" s="70"/>
      <c r="OP72" s="69"/>
      <c r="OQ72" s="2008">
        <v>1</v>
      </c>
      <c r="OR72" s="208">
        <v>260995</v>
      </c>
      <c r="OS72" s="208">
        <v>280476.19</v>
      </c>
      <c r="OT72" s="3546"/>
      <c r="OU72" s="133">
        <f t="shared" si="797"/>
        <v>19481.190000000002</v>
      </c>
      <c r="OV72" s="94">
        <f>OU72/OS72</f>
        <v>6.9457553598399932E-2</v>
      </c>
      <c r="OW72" s="134">
        <v>0</v>
      </c>
      <c r="OX72" s="134">
        <v>0</v>
      </c>
      <c r="OY72" s="134">
        <v>0</v>
      </c>
      <c r="OZ72" s="190">
        <f>OU72-SUM(OW72:OY72)</f>
        <v>19481.190000000002</v>
      </c>
      <c r="PA72" s="5361">
        <f t="shared" si="798"/>
        <v>6.9457553598399932E-2</v>
      </c>
      <c r="PB72" s="6289">
        <v>1</v>
      </c>
      <c r="PC72" s="395">
        <v>260995</v>
      </c>
      <c r="PD72" s="395">
        <v>310000</v>
      </c>
      <c r="PE72" s="208"/>
      <c r="PF72" s="133">
        <f t="shared" si="799"/>
        <v>49005</v>
      </c>
      <c r="PG72" s="94">
        <f t="shared" si="800"/>
        <v>0.15808064516129033</v>
      </c>
      <c r="PH72" s="134">
        <v>0</v>
      </c>
      <c r="PI72" s="134">
        <v>0</v>
      </c>
      <c r="PJ72" s="134">
        <v>0</v>
      </c>
      <c r="PK72" s="190">
        <f>PF72-SUM(PH72:PJ72)</f>
        <v>49005</v>
      </c>
      <c r="PL72" s="135">
        <f>PK72/PD72</f>
        <v>0.15808064516129033</v>
      </c>
      <c r="PM72" s="5379">
        <v>1</v>
      </c>
      <c r="PN72" s="134">
        <v>260995</v>
      </c>
      <c r="PO72" s="134">
        <v>258333</v>
      </c>
      <c r="PP72" s="358">
        <v>0</v>
      </c>
      <c r="PQ72" s="6293">
        <f>PO72-(PN72+PP72)</f>
        <v>-2662</v>
      </c>
      <c r="PR72" s="6295">
        <f t="shared" si="720"/>
        <v>-1.0304529425199258E-2</v>
      </c>
      <c r="PS72" s="134">
        <v>0</v>
      </c>
      <c r="PT72" s="134">
        <v>0</v>
      </c>
      <c r="PU72" s="134">
        <v>0</v>
      </c>
      <c r="PV72" s="190">
        <f t="shared" si="721"/>
        <v>-2662</v>
      </c>
      <c r="PW72" s="5380">
        <f t="shared" si="722"/>
        <v>-1.0304529425199258E-2</v>
      </c>
      <c r="PX72" s="5320">
        <v>1</v>
      </c>
      <c r="PY72" s="191">
        <f t="shared" si="696"/>
        <v>848809.19</v>
      </c>
      <c r="PZ72" s="191">
        <f t="shared" si="723"/>
        <v>65824.19</v>
      </c>
      <c r="QA72" s="135">
        <f t="shared" si="724"/>
        <v>7.7548865841096756E-2</v>
      </c>
      <c r="QB72" s="5390"/>
      <c r="QC72" s="395"/>
      <c r="QD72" s="395"/>
      <c r="QE72" s="772">
        <v>0</v>
      </c>
      <c r="QF72" s="6293">
        <f t="shared" si="725"/>
        <v>0</v>
      </c>
      <c r="QG72" s="6296">
        <v>0</v>
      </c>
      <c r="QH72" s="134"/>
      <c r="QI72" s="759">
        <v>0</v>
      </c>
      <c r="QJ72" s="134">
        <v>0</v>
      </c>
      <c r="QK72" s="190">
        <f>QF72-SUM(QH72:QJ72)</f>
        <v>0</v>
      </c>
      <c r="QL72" s="5380">
        <v>0</v>
      </c>
      <c r="QM72" s="5396"/>
      <c r="QN72" s="208"/>
      <c r="QO72" s="208"/>
      <c r="QP72" s="395">
        <v>0</v>
      </c>
      <c r="QQ72" s="133">
        <f t="shared" si="727"/>
        <v>0</v>
      </c>
      <c r="QR72" s="196">
        <v>0</v>
      </c>
      <c r="QS72" s="134">
        <v>0</v>
      </c>
      <c r="QT72" s="759">
        <v>0</v>
      </c>
      <c r="QU72" s="134">
        <v>0</v>
      </c>
      <c r="QV72" s="190">
        <f t="shared" si="729"/>
        <v>0</v>
      </c>
      <c r="QW72" s="5380">
        <v>0</v>
      </c>
      <c r="QX72" s="5379"/>
      <c r="QY72" s="134">
        <v>0</v>
      </c>
      <c r="QZ72" s="134">
        <v>0</v>
      </c>
      <c r="RA72" s="358">
        <v>0</v>
      </c>
      <c r="RB72" s="133">
        <f t="shared" si="731"/>
        <v>0</v>
      </c>
      <c r="RC72" s="151">
        <v>0</v>
      </c>
      <c r="RD72" s="134">
        <v>0</v>
      </c>
      <c r="RE72" s="759">
        <v>0</v>
      </c>
      <c r="RF72" s="134">
        <v>0</v>
      </c>
      <c r="RG72" s="190">
        <f t="shared" si="733"/>
        <v>0</v>
      </c>
      <c r="RH72" s="5381">
        <v>0</v>
      </c>
      <c r="RI72" s="5376"/>
      <c r="RJ72" s="191">
        <f t="shared" si="735"/>
        <v>0</v>
      </c>
      <c r="RK72" s="191">
        <f t="shared" si="736"/>
        <v>0</v>
      </c>
      <c r="RL72" s="5380" t="e">
        <f t="shared" si="737"/>
        <v>#DIV/0!</v>
      </c>
      <c r="RM72" s="1562">
        <f t="shared" si="855"/>
        <v>-1</v>
      </c>
      <c r="RN72" s="128">
        <f t="shared" si="855"/>
        <v>-848809.19</v>
      </c>
      <c r="RO72" s="139">
        <f t="shared" si="855"/>
        <v>-65824.19</v>
      </c>
      <c r="RP72" s="442">
        <f t="shared" ref="RP72:RR74" si="861">RM72/PX72</f>
        <v>-1</v>
      </c>
      <c r="RQ72" s="442">
        <f t="shared" si="861"/>
        <v>-1</v>
      </c>
      <c r="RR72" s="6339">
        <f t="shared" si="861"/>
        <v>-1</v>
      </c>
      <c r="RS72" s="6327"/>
      <c r="RT72" s="130">
        <v>0</v>
      </c>
      <c r="RU72" s="130">
        <v>0</v>
      </c>
      <c r="RV72" s="2563"/>
      <c r="RW72" s="133">
        <f t="shared" si="740"/>
        <v>0</v>
      </c>
      <c r="RX72" s="196">
        <v>0</v>
      </c>
      <c r="RY72" s="134">
        <v>0</v>
      </c>
      <c r="RZ72" s="759">
        <v>0</v>
      </c>
      <c r="SA72" s="134">
        <v>0</v>
      </c>
      <c r="SB72" s="190">
        <f t="shared" si="742"/>
        <v>0</v>
      </c>
      <c r="SC72" s="5381">
        <v>0</v>
      </c>
      <c r="SD72" s="5405"/>
      <c r="SE72" s="130"/>
      <c r="SF72" s="130"/>
      <c r="SG72" s="606"/>
      <c r="SH72" s="6361">
        <f t="shared" si="776"/>
        <v>0</v>
      </c>
      <c r="SI72" s="6377">
        <v>0</v>
      </c>
      <c r="SJ72" s="134">
        <v>0</v>
      </c>
      <c r="SK72" s="759">
        <v>0</v>
      </c>
      <c r="SL72" s="134">
        <v>0</v>
      </c>
      <c r="SM72" s="190">
        <f t="shared" si="778"/>
        <v>0</v>
      </c>
      <c r="SN72" s="5381">
        <v>0</v>
      </c>
      <c r="SO72" s="134"/>
      <c r="SP72" s="134"/>
      <c r="SQ72" s="134"/>
      <c r="SR72" s="134"/>
      <c r="SS72" s="6361">
        <f t="shared" si="780"/>
        <v>0</v>
      </c>
      <c r="ST72" s="6363"/>
      <c r="SU72" s="134">
        <v>0</v>
      </c>
      <c r="SV72" s="134">
        <v>0</v>
      </c>
      <c r="SW72" s="134">
        <v>0</v>
      </c>
      <c r="SX72" s="190">
        <f t="shared" si="782"/>
        <v>0</v>
      </c>
      <c r="SY72" s="5381">
        <v>0</v>
      </c>
      <c r="SZ72" s="6270"/>
      <c r="TA72" s="118">
        <f t="shared" si="784"/>
        <v>0</v>
      </c>
      <c r="TB72" s="118">
        <f t="shared" si="785"/>
        <v>0</v>
      </c>
      <c r="TC72" s="5381">
        <v>0</v>
      </c>
      <c r="TD72" s="1563"/>
      <c r="TE72" s="134">
        <v>0</v>
      </c>
      <c r="TF72" s="134">
        <v>0</v>
      </c>
      <c r="TG72" s="134"/>
      <c r="TH72" s="133">
        <f t="shared" si="787"/>
        <v>0</v>
      </c>
      <c r="TI72" s="196">
        <v>0</v>
      </c>
      <c r="TJ72" s="134">
        <v>0</v>
      </c>
      <c r="TK72" s="134">
        <v>0</v>
      </c>
      <c r="TL72" s="134">
        <v>0</v>
      </c>
      <c r="TM72" s="190">
        <f t="shared" si="789"/>
        <v>0</v>
      </c>
      <c r="TN72" s="5381">
        <v>0</v>
      </c>
      <c r="TO72" s="134"/>
      <c r="TP72" s="134"/>
      <c r="TQ72" s="134"/>
      <c r="TR72" s="134"/>
      <c r="TS72" s="133">
        <f>TQ72-(TP72+TR72)</f>
        <v>0</v>
      </c>
      <c r="TT72" s="196">
        <v>0</v>
      </c>
      <c r="TU72" s="134">
        <v>0</v>
      </c>
      <c r="TV72" s="134"/>
      <c r="TW72" s="134"/>
      <c r="TX72" s="190">
        <f>TS72-SUM(TU72:TW72)</f>
        <v>0</v>
      </c>
      <c r="TY72" s="135">
        <v>0</v>
      </c>
      <c r="TZ72" s="1563"/>
      <c r="UA72" s="134"/>
      <c r="UB72" s="134"/>
      <c r="UC72" s="134"/>
      <c r="UD72" s="133">
        <f>UB72-(UA72+UC72)</f>
        <v>0</v>
      </c>
      <c r="UE72" s="196">
        <v>0</v>
      </c>
      <c r="UF72" s="134"/>
      <c r="UG72" s="134"/>
      <c r="UH72" s="134"/>
      <c r="UI72" s="190">
        <f>UD72-SUM(UF72:UH72)</f>
        <v>0</v>
      </c>
      <c r="UJ72" s="5380">
        <v>0</v>
      </c>
      <c r="UK72" s="5376"/>
      <c r="UL72" s="191">
        <f t="shared" si="754"/>
        <v>848809.19</v>
      </c>
      <c r="UM72" s="191">
        <f t="shared" si="755"/>
        <v>65824.19</v>
      </c>
      <c r="UN72" s="135">
        <f>UM72/UL72</f>
        <v>7.7548865841096756E-2</v>
      </c>
      <c r="UO72" s="191">
        <f t="shared" si="757"/>
        <v>65824.19</v>
      </c>
      <c r="UP72" s="5380">
        <f t="shared" si="758"/>
        <v>7.7548865841096756E-2</v>
      </c>
    </row>
    <row r="73" spans="1:566" x14ac:dyDescent="0.3">
      <c r="A73" s="5316">
        <v>14</v>
      </c>
      <c r="B73" s="5360" t="s">
        <v>1037</v>
      </c>
      <c r="C73" s="578" t="s">
        <v>144</v>
      </c>
      <c r="D73" s="578" t="s">
        <v>142</v>
      </c>
      <c r="E73" s="6278" t="s">
        <v>145</v>
      </c>
      <c r="F73" s="422"/>
      <c r="G73" s="161"/>
      <c r="H73" s="161"/>
      <c r="I73" s="161"/>
      <c r="J73" s="94"/>
      <c r="K73" s="136"/>
      <c r="L73" s="161"/>
      <c r="M73" s="161"/>
      <c r="N73" s="161"/>
      <c r="O73" s="158"/>
      <c r="P73" s="136"/>
      <c r="Q73" s="161"/>
      <c r="R73" s="161"/>
      <c r="S73" s="161"/>
      <c r="T73" s="94"/>
      <c r="U73" s="136"/>
      <c r="V73" s="161"/>
      <c r="W73" s="161"/>
      <c r="X73" s="161"/>
      <c r="Y73" s="759"/>
      <c r="Z73" s="94"/>
      <c r="AA73" s="422"/>
      <c r="AB73" s="161"/>
      <c r="AC73" s="161"/>
      <c r="AD73" s="161"/>
      <c r="AE73" s="775"/>
      <c r="AF73" s="422"/>
      <c r="AG73" s="113"/>
      <c r="AH73" s="616"/>
      <c r="AI73" s="616"/>
      <c r="AJ73" s="616"/>
      <c r="AK73" s="96"/>
      <c r="AL73" s="114"/>
      <c r="AM73" s="129"/>
      <c r="AN73" s="417"/>
      <c r="AO73" s="130"/>
      <c r="AP73" s="417"/>
      <c r="AQ73" s="417"/>
      <c r="AR73" s="421"/>
      <c r="AS73" s="113"/>
      <c r="AT73" s="760"/>
      <c r="AU73" s="761"/>
      <c r="AV73" s="761"/>
      <c r="AW73" s="116"/>
      <c r="AX73" s="776"/>
      <c r="AY73" s="587"/>
      <c r="AZ73" s="587"/>
      <c r="BA73" s="587"/>
      <c r="BB73" s="588"/>
      <c r="BC73" s="1514"/>
      <c r="BD73" s="759"/>
      <c r="BE73" s="759"/>
      <c r="BF73" s="759"/>
      <c r="BG73" s="775"/>
      <c r="BH73" s="736"/>
      <c r="BI73" s="1514"/>
      <c r="BJ73" s="759"/>
      <c r="BK73" s="759"/>
      <c r="BL73" s="759"/>
      <c r="BM73" s="775"/>
      <c r="BN73" s="736"/>
      <c r="BO73" s="777"/>
      <c r="BP73" s="759"/>
      <c r="BQ73" s="759"/>
      <c r="BR73" s="759"/>
      <c r="BS73" s="775"/>
      <c r="BT73" s="239"/>
      <c r="BU73" s="689"/>
      <c r="BV73" s="592"/>
      <c r="BW73" s="592"/>
      <c r="BX73" s="593"/>
      <c r="BY73" s="654"/>
      <c r="BZ73" s="650"/>
      <c r="CA73" s="650"/>
      <c r="CB73" s="671"/>
      <c r="CC73" s="596"/>
      <c r="CD73" s="655"/>
      <c r="CE73" s="670"/>
      <c r="CF73" s="671"/>
      <c r="CG73" s="671"/>
      <c r="CH73" s="671"/>
      <c r="CI73" s="599"/>
      <c r="CJ73" s="597"/>
      <c r="CK73" s="600"/>
      <c r="CL73" s="601"/>
      <c r="CM73" s="601"/>
      <c r="CN73" s="5308"/>
      <c r="CO73" s="360"/>
      <c r="CP73" s="602"/>
      <c r="CQ73" s="779"/>
      <c r="CR73" s="778"/>
      <c r="CS73" s="778"/>
      <c r="CT73" s="603"/>
      <c r="CU73" s="603"/>
      <c r="CV73" s="604"/>
      <c r="CW73" s="129"/>
      <c r="CX73" s="130"/>
      <c r="CY73" s="130"/>
      <c r="CZ73" s="130"/>
      <c r="DA73" s="605"/>
      <c r="DB73" s="114"/>
      <c r="DC73" s="129"/>
      <c r="DD73" s="130"/>
      <c r="DE73" s="130"/>
      <c r="DF73" s="130"/>
      <c r="DG73" s="128"/>
      <c r="DH73" s="169"/>
      <c r="DI73" s="204"/>
      <c r="DJ73" s="202"/>
      <c r="DK73" s="202"/>
      <c r="DL73" s="119"/>
      <c r="DM73" s="202"/>
      <c r="DN73" s="119"/>
      <c r="DO73" s="607"/>
      <c r="DP73" s="137"/>
      <c r="DQ73" s="137"/>
      <c r="DR73" s="137"/>
      <c r="DS73" s="135"/>
      <c r="DT73" s="135"/>
      <c r="DU73" s="135"/>
      <c r="DV73" s="151"/>
      <c r="DW73" s="607"/>
      <c r="DX73" s="780"/>
      <c r="DY73" s="780"/>
      <c r="DZ73" s="780"/>
      <c r="EA73" s="135"/>
      <c r="EB73" s="135"/>
      <c r="EC73" s="135"/>
      <c r="ED73" s="151"/>
      <c r="EE73" s="129"/>
      <c r="EF73" s="130"/>
      <c r="EG73" s="130"/>
      <c r="EH73" s="130"/>
      <c r="EI73" s="605"/>
      <c r="EJ73" s="114"/>
      <c r="EK73" s="129"/>
      <c r="EL73" s="130"/>
      <c r="EM73" s="130"/>
      <c r="EN73" s="130"/>
      <c r="EO73" s="128"/>
      <c r="EP73" s="114"/>
      <c r="EQ73" s="129"/>
      <c r="ER73" s="130"/>
      <c r="ES73" s="130"/>
      <c r="ET73" s="130"/>
      <c r="EU73" s="134"/>
      <c r="EV73" s="114"/>
      <c r="EW73" s="129"/>
      <c r="EX73" s="130"/>
      <c r="EY73" s="130"/>
      <c r="EZ73" s="130"/>
      <c r="FA73" s="128"/>
      <c r="FB73" s="114"/>
      <c r="FC73" s="643"/>
      <c r="FD73" s="644"/>
      <c r="FE73" s="644"/>
      <c r="FF73" s="644"/>
      <c r="FG73" s="74"/>
      <c r="FH73" s="74"/>
      <c r="FI73" s="74"/>
      <c r="FJ73" s="73"/>
      <c r="FK73" s="133"/>
      <c r="FL73" s="134"/>
      <c r="FM73" s="134"/>
      <c r="FN73" s="134"/>
      <c r="FO73" s="134"/>
      <c r="FP73" s="135"/>
      <c r="FQ73" s="133"/>
      <c r="FR73" s="134"/>
      <c r="FS73" s="134"/>
      <c r="FT73" s="191"/>
      <c r="FU73" s="151"/>
      <c r="FV73" s="190"/>
      <c r="FW73" s="191"/>
      <c r="FX73" s="191"/>
      <c r="FY73" s="191"/>
      <c r="FZ73" s="191"/>
      <c r="GA73" s="135"/>
      <c r="GB73" s="135"/>
      <c r="GC73" s="135"/>
      <c r="GD73" s="151"/>
      <c r="GE73" s="187"/>
      <c r="GF73" s="155"/>
      <c r="GG73" s="155"/>
      <c r="GH73" s="74"/>
      <c r="GI73" s="613"/>
      <c r="GJ73" s="187"/>
      <c r="GK73" s="155"/>
      <c r="GL73" s="155"/>
      <c r="GM73" s="613"/>
      <c r="GN73" s="133"/>
      <c r="GO73" s="134"/>
      <c r="GP73" s="134"/>
      <c r="GQ73" s="134"/>
      <c r="GR73" s="134"/>
      <c r="GS73" s="135"/>
      <c r="GT73" s="133"/>
      <c r="GU73" s="134"/>
      <c r="GV73" s="134"/>
      <c r="GW73" s="134"/>
      <c r="GX73" s="190"/>
      <c r="GY73" s="151"/>
      <c r="GZ73" s="614"/>
      <c r="HA73" s="130"/>
      <c r="HB73" s="130"/>
      <c r="HC73" s="134"/>
      <c r="HD73" s="134"/>
      <c r="HE73" s="151"/>
      <c r="HF73" s="138"/>
      <c r="HG73" s="130"/>
      <c r="HH73" s="130"/>
      <c r="HI73" s="130"/>
      <c r="HJ73" s="197"/>
      <c r="HK73" s="201"/>
      <c r="HL73" s="147"/>
      <c r="HM73" s="148"/>
      <c r="HN73" s="148"/>
      <c r="HO73" s="148"/>
      <c r="HP73" s="615"/>
      <c r="HQ73" s="201"/>
      <c r="HR73" s="148"/>
      <c r="HS73" s="148"/>
      <c r="HT73" s="148"/>
      <c r="HU73" s="148"/>
      <c r="HV73" s="197"/>
      <c r="HW73" s="201"/>
      <c r="HX73" s="414"/>
      <c r="HY73" s="241"/>
      <c r="HZ73" s="415"/>
      <c r="IA73" s="135"/>
      <c r="IB73" s="415"/>
      <c r="IC73" s="141"/>
      <c r="ID73" s="642"/>
      <c r="IE73" s="141"/>
      <c r="IF73" s="141"/>
      <c r="IG73" s="74"/>
      <c r="IH73" s="1507"/>
      <c r="II73" s="69"/>
      <c r="IJ73" s="133"/>
      <c r="IK73" s="134"/>
      <c r="IL73" s="134"/>
      <c r="IM73" s="134"/>
      <c r="IN73" s="133"/>
      <c r="IO73" s="151"/>
      <c r="IP73" s="134"/>
      <c r="IQ73" s="134"/>
      <c r="IR73" s="134"/>
      <c r="IS73" s="190"/>
      <c r="IT73" s="151"/>
      <c r="IU73" s="770"/>
      <c r="IV73" s="622"/>
      <c r="IW73" s="622"/>
      <c r="IX73" s="134"/>
      <c r="IY73" s="133"/>
      <c r="IZ73" s="151"/>
      <c r="JA73" s="134"/>
      <c r="JB73" s="134"/>
      <c r="JC73" s="134"/>
      <c r="JD73" s="190"/>
      <c r="JE73" s="196"/>
      <c r="JF73" s="390"/>
      <c r="JG73" s="134"/>
      <c r="JH73" s="134"/>
      <c r="JI73" s="358"/>
      <c r="JJ73" s="133"/>
      <c r="JK73" s="151"/>
      <c r="JL73" s="134"/>
      <c r="JM73" s="134"/>
      <c r="JN73" s="134"/>
      <c r="JO73" s="190"/>
      <c r="JP73" s="196"/>
      <c r="JQ73" s="390"/>
      <c r="JR73" s="191"/>
      <c r="JS73" s="191"/>
      <c r="JT73" s="151"/>
      <c r="JU73" s="390"/>
      <c r="JV73" s="134"/>
      <c r="JW73" s="134"/>
      <c r="JX73" s="358"/>
      <c r="JY73" s="133"/>
      <c r="JZ73" s="151"/>
      <c r="KA73" s="134"/>
      <c r="KB73" s="759"/>
      <c r="KC73" s="134"/>
      <c r="KD73" s="190"/>
      <c r="KE73" s="151"/>
      <c r="KF73" s="390"/>
      <c r="KG73" s="134"/>
      <c r="KH73" s="134"/>
      <c r="KI73" s="358"/>
      <c r="KJ73" s="133"/>
      <c r="KK73" s="151"/>
      <c r="KL73" s="134"/>
      <c r="KM73" s="759"/>
      <c r="KN73" s="134"/>
      <c r="KO73" s="190"/>
      <c r="KP73" s="151"/>
      <c r="KQ73" s="390"/>
      <c r="KR73" s="134"/>
      <c r="KS73" s="134"/>
      <c r="KT73" s="358"/>
      <c r="KU73" s="133"/>
      <c r="KV73" s="151"/>
      <c r="KW73" s="134"/>
      <c r="KX73" s="759"/>
      <c r="KY73" s="134"/>
      <c r="KZ73" s="190"/>
      <c r="LA73" s="151"/>
      <c r="LB73" s="402"/>
      <c r="LC73" s="191"/>
      <c r="LD73" s="191"/>
      <c r="LE73" s="151"/>
      <c r="LF73" s="226"/>
      <c r="LG73" s="128"/>
      <c r="LH73" s="139"/>
      <c r="LI73" s="442"/>
      <c r="LJ73" s="442"/>
      <c r="LK73" s="106"/>
      <c r="LL73" s="390"/>
      <c r="LM73" s="134"/>
      <c r="LN73" s="134"/>
      <c r="LO73" s="358"/>
      <c r="LP73" s="133"/>
      <c r="LQ73" s="151"/>
      <c r="LR73" s="134"/>
      <c r="LS73" s="759"/>
      <c r="LT73" s="134"/>
      <c r="LU73" s="190"/>
      <c r="LV73" s="151"/>
      <c r="LW73" s="134"/>
      <c r="LX73" s="134"/>
      <c r="LY73" s="134"/>
      <c r="LZ73" s="134"/>
      <c r="MA73" s="133"/>
      <c r="MB73" s="151"/>
      <c r="MC73" s="134"/>
      <c r="MD73" s="134"/>
      <c r="ME73" s="134"/>
      <c r="MF73" s="190"/>
      <c r="MG73" s="151"/>
      <c r="MH73" s="134"/>
      <c r="MI73" s="134"/>
      <c r="MJ73" s="134"/>
      <c r="MK73" s="134"/>
      <c r="ML73" s="133"/>
      <c r="MM73" s="151"/>
      <c r="MN73" s="134"/>
      <c r="MO73" s="134"/>
      <c r="MP73" s="134"/>
      <c r="MQ73" s="190"/>
      <c r="MR73" s="151"/>
      <c r="MS73" s="1472"/>
      <c r="MT73" s="118"/>
      <c r="MU73" s="118"/>
      <c r="MV73" s="135"/>
      <c r="MW73" s="133"/>
      <c r="MX73" s="134"/>
      <c r="MY73" s="134"/>
      <c r="MZ73" s="135"/>
      <c r="NA73" s="135"/>
      <c r="NB73" s="151"/>
      <c r="NC73" s="134"/>
      <c r="ND73" s="134"/>
      <c r="NE73" s="134"/>
      <c r="NF73" s="134"/>
      <c r="NG73" s="133"/>
      <c r="NH73" s="196"/>
      <c r="NI73" s="134"/>
      <c r="NJ73" s="134"/>
      <c r="NK73" s="134"/>
      <c r="NL73" s="190"/>
      <c r="NM73" s="135"/>
      <c r="NN73" s="1563"/>
      <c r="NO73" s="134"/>
      <c r="NP73" s="134"/>
      <c r="NQ73" s="134"/>
      <c r="NR73" s="133"/>
      <c r="NS73" s="196"/>
      <c r="NT73" s="134"/>
      <c r="NU73" s="134"/>
      <c r="NV73" s="134"/>
      <c r="NW73" s="190"/>
      <c r="NX73" s="135"/>
      <c r="NY73" s="1563"/>
      <c r="NZ73" s="134"/>
      <c r="OA73" s="134"/>
      <c r="OB73" s="134"/>
      <c r="OC73" s="133"/>
      <c r="OD73" s="196"/>
      <c r="OE73" s="134"/>
      <c r="OF73" s="134"/>
      <c r="OG73" s="134"/>
      <c r="OH73" s="190"/>
      <c r="OI73" s="5380"/>
      <c r="OJ73" s="69"/>
      <c r="OK73" s="155"/>
      <c r="OL73" s="155"/>
      <c r="OM73" s="74"/>
      <c r="ON73" s="155"/>
      <c r="OO73" s="70"/>
      <c r="OP73" s="69"/>
      <c r="OQ73" s="2008"/>
      <c r="OR73" s="208"/>
      <c r="OS73" s="208"/>
      <c r="OT73" s="3546"/>
      <c r="OU73" s="133"/>
      <c r="OV73" s="94"/>
      <c r="OW73" s="134"/>
      <c r="OX73" s="134"/>
      <c r="OY73" s="134"/>
      <c r="OZ73" s="190"/>
      <c r="PA73" s="5361"/>
      <c r="PB73" s="774"/>
      <c r="PC73" s="622"/>
      <c r="PD73" s="622"/>
      <c r="PE73" s="358"/>
      <c r="PF73" s="133"/>
      <c r="PG73" s="94"/>
      <c r="PH73" s="134"/>
      <c r="PI73" s="134"/>
      <c r="PJ73" s="134"/>
      <c r="PK73" s="190"/>
      <c r="PL73" s="135"/>
      <c r="PM73" s="5379"/>
      <c r="PN73" s="134"/>
      <c r="PO73" s="134"/>
      <c r="PP73" s="358"/>
      <c r="PQ73" s="6293"/>
      <c r="PR73" s="6295"/>
      <c r="PS73" s="134"/>
      <c r="PT73" s="134"/>
      <c r="PU73" s="134"/>
      <c r="PV73" s="190"/>
      <c r="PW73" s="5380"/>
      <c r="PX73" s="5320"/>
      <c r="PY73" s="191"/>
      <c r="PZ73" s="191"/>
      <c r="QA73" s="135"/>
      <c r="QB73" s="5391"/>
      <c r="QC73" s="622"/>
      <c r="QD73" s="622"/>
      <c r="QE73" s="622"/>
      <c r="QF73" s="6293"/>
      <c r="QG73" s="6296"/>
      <c r="QH73" s="134"/>
      <c r="QI73" s="759"/>
      <c r="QJ73" s="134"/>
      <c r="QK73" s="190"/>
      <c r="QL73" s="5380"/>
      <c r="QM73" s="5396">
        <v>1</v>
      </c>
      <c r="QN73" s="208">
        <v>106318</v>
      </c>
      <c r="QO73" s="208">
        <v>220000</v>
      </c>
      <c r="QP73" s="622"/>
      <c r="QQ73" s="133">
        <f t="shared" si="727"/>
        <v>113682</v>
      </c>
      <c r="QR73" s="196"/>
      <c r="QS73" s="134"/>
      <c r="QT73" s="759"/>
      <c r="QU73" s="134"/>
      <c r="QV73" s="190">
        <f t="shared" si="729"/>
        <v>113682</v>
      </c>
      <c r="QW73" s="5380">
        <f>QV73/QO73</f>
        <v>0.51673636363636366</v>
      </c>
      <c r="QX73" s="5396">
        <v>2</v>
      </c>
      <c r="QY73" s="208">
        <v>193353</v>
      </c>
      <c r="QZ73" s="395">
        <v>413333</v>
      </c>
      <c r="RA73" s="358"/>
      <c r="RB73" s="133">
        <f t="shared" si="731"/>
        <v>219980</v>
      </c>
      <c r="RC73" s="151"/>
      <c r="RD73" s="134"/>
      <c r="RE73" s="759"/>
      <c r="RF73" s="134"/>
      <c r="RG73" s="190">
        <f t="shared" si="733"/>
        <v>219980</v>
      </c>
      <c r="RH73" s="5380">
        <f>RG73/QZ73</f>
        <v>0.53221010662105372</v>
      </c>
      <c r="RI73" s="5376"/>
      <c r="RJ73" s="191"/>
      <c r="RK73" s="191"/>
      <c r="RL73" s="5380"/>
      <c r="RM73" s="1562"/>
      <c r="RN73" s="128"/>
      <c r="RO73" s="139"/>
      <c r="RP73" s="442"/>
      <c r="RQ73" s="442"/>
      <c r="RR73" s="6339"/>
      <c r="RS73" s="6289">
        <v>3</v>
      </c>
      <c r="RT73" s="395">
        <v>291246</v>
      </c>
      <c r="RU73" s="395">
        <v>650323</v>
      </c>
      <c r="RV73" s="2563"/>
      <c r="RW73" s="133">
        <f t="shared" si="740"/>
        <v>359077</v>
      </c>
      <c r="RX73" s="151">
        <f>RW73/RU73</f>
        <v>0.55215177688625494</v>
      </c>
      <c r="RY73" s="134"/>
      <c r="RZ73" s="759"/>
      <c r="SA73" s="134"/>
      <c r="SB73" s="190">
        <f t="shared" si="742"/>
        <v>359077</v>
      </c>
      <c r="SC73" s="5380">
        <f>SB73/RU73</f>
        <v>0.55215177688625494</v>
      </c>
      <c r="SD73" s="110">
        <v>3</v>
      </c>
      <c r="SE73" s="395">
        <v>242097</v>
      </c>
      <c r="SF73" s="395">
        <v>502500</v>
      </c>
      <c r="SG73" s="606"/>
      <c r="SH73" s="6361">
        <f t="shared" si="776"/>
        <v>260403</v>
      </c>
      <c r="SI73" s="6363">
        <f>SH73/SF73</f>
        <v>0.51821492537313429</v>
      </c>
      <c r="SJ73" s="134"/>
      <c r="SK73" s="759"/>
      <c r="SL73" s="134"/>
      <c r="SM73" s="190">
        <f t="shared" si="778"/>
        <v>260403</v>
      </c>
      <c r="SN73" s="5380">
        <f t="shared" si="779"/>
        <v>0.51821492537313429</v>
      </c>
      <c r="SO73" s="134">
        <v>5</v>
      </c>
      <c r="SP73" s="134">
        <v>516995</v>
      </c>
      <c r="SQ73" s="134">
        <v>979493.77</v>
      </c>
      <c r="SR73" s="134">
        <v>0</v>
      </c>
      <c r="SS73" s="6361">
        <f t="shared" si="780"/>
        <v>462498.77</v>
      </c>
      <c r="ST73" s="6363">
        <f t="shared" si="781"/>
        <v>0.47218143102635557</v>
      </c>
      <c r="SU73" s="134">
        <v>75500</v>
      </c>
      <c r="SV73" s="134">
        <v>0</v>
      </c>
      <c r="SW73" s="134">
        <v>0</v>
      </c>
      <c r="SX73" s="190">
        <f t="shared" si="782"/>
        <v>386998.77</v>
      </c>
      <c r="SY73" s="5380">
        <f t="shared" si="783"/>
        <v>0.39510079783355845</v>
      </c>
      <c r="SZ73" s="6270"/>
      <c r="TA73" s="118">
        <f t="shared" si="784"/>
        <v>2132316.77</v>
      </c>
      <c r="TB73" s="118">
        <f t="shared" si="785"/>
        <v>1081978.77</v>
      </c>
      <c r="TC73" s="5380">
        <f t="shared" si="786"/>
        <v>0.50741934088901808</v>
      </c>
      <c r="TD73" s="1563">
        <v>3</v>
      </c>
      <c r="TE73" s="134">
        <v>400866</v>
      </c>
      <c r="TF73" s="134">
        <v>743870.97</v>
      </c>
      <c r="TG73" s="134"/>
      <c r="TH73" s="133">
        <f t="shared" si="787"/>
        <v>343004.97</v>
      </c>
      <c r="TI73" s="151">
        <f t="shared" si="788"/>
        <v>0.4611081542811114</v>
      </c>
      <c r="TJ73" s="134">
        <v>75500</v>
      </c>
      <c r="TK73" s="134">
        <v>0</v>
      </c>
      <c r="TL73" s="134">
        <v>0</v>
      </c>
      <c r="TM73" s="190">
        <f t="shared" si="789"/>
        <v>267504.96999999997</v>
      </c>
      <c r="TN73" s="5380">
        <f t="shared" si="790"/>
        <v>0.3596120574513077</v>
      </c>
      <c r="TO73" s="134"/>
      <c r="TP73" s="134"/>
      <c r="TQ73" s="134"/>
      <c r="TR73" s="134"/>
      <c r="TS73" s="133"/>
      <c r="TT73" s="196"/>
      <c r="TU73" s="134"/>
      <c r="TV73" s="134"/>
      <c r="TW73" s="134"/>
      <c r="TX73" s="190"/>
      <c r="TY73" s="135"/>
      <c r="TZ73" s="1563"/>
      <c r="UA73" s="134"/>
      <c r="UB73" s="134"/>
      <c r="UC73" s="134"/>
      <c r="UD73" s="133"/>
      <c r="UE73" s="196"/>
      <c r="UF73" s="134"/>
      <c r="UG73" s="134"/>
      <c r="UH73" s="134"/>
      <c r="UI73" s="190"/>
      <c r="UJ73" s="5380"/>
      <c r="UK73" s="5376"/>
      <c r="UL73" s="191">
        <f t="shared" si="754"/>
        <v>3509520.74</v>
      </c>
      <c r="UM73" s="191">
        <f t="shared" si="755"/>
        <v>1758645.74</v>
      </c>
      <c r="UN73" s="135">
        <f>UM73/UL73</f>
        <v>0.50110709418403376</v>
      </c>
      <c r="UO73" s="191">
        <f t="shared" si="757"/>
        <v>1607645.74</v>
      </c>
      <c r="UP73" s="5380">
        <f>UO73/UL73</f>
        <v>0.45808127636253831</v>
      </c>
    </row>
    <row r="74" spans="1:566" x14ac:dyDescent="0.3">
      <c r="A74" s="5316"/>
      <c r="B74" s="5360" t="s">
        <v>147</v>
      </c>
      <c r="C74" s="578" t="s">
        <v>144</v>
      </c>
      <c r="D74" s="578" t="s">
        <v>142</v>
      </c>
      <c r="E74" s="6278" t="s">
        <v>145</v>
      </c>
      <c r="F74" s="422"/>
      <c r="G74" s="161"/>
      <c r="H74" s="161">
        <v>0</v>
      </c>
      <c r="I74" s="161">
        <v>0</v>
      </c>
      <c r="J74" s="94"/>
      <c r="K74" s="136"/>
      <c r="L74" s="161">
        <v>0</v>
      </c>
      <c r="M74" s="161">
        <v>0</v>
      </c>
      <c r="N74" s="161">
        <v>0</v>
      </c>
      <c r="O74" s="158"/>
      <c r="P74" s="136">
        <v>2</v>
      </c>
      <c r="Q74" s="161">
        <v>213605</v>
      </c>
      <c r="R74" s="161">
        <v>519533</v>
      </c>
      <c r="S74" s="161">
        <v>305928</v>
      </c>
      <c r="T74" s="94">
        <f>S74/R74</f>
        <v>0.58885191123566738</v>
      </c>
      <c r="U74" s="136">
        <v>2</v>
      </c>
      <c r="V74" s="161">
        <v>130880</v>
      </c>
      <c r="W74" s="161">
        <v>208702</v>
      </c>
      <c r="X74" s="161">
        <v>0</v>
      </c>
      <c r="Y74" s="759">
        <f>W74-(V74+X74)</f>
        <v>77822</v>
      </c>
      <c r="Z74" s="94">
        <f>Y74/W74</f>
        <v>0.37288574139203268</v>
      </c>
      <c r="AA74" s="422">
        <v>2</v>
      </c>
      <c r="AB74" s="161">
        <v>314789</v>
      </c>
      <c r="AC74" s="161">
        <v>416914</v>
      </c>
      <c r="AD74" s="161">
        <v>0</v>
      </c>
      <c r="AE74" s="775">
        <f>AC74-(AB74+AD74)</f>
        <v>102125</v>
      </c>
      <c r="AF74" s="422"/>
      <c r="AG74" s="583">
        <v>3</v>
      </c>
      <c r="AH74" s="584">
        <v>484630</v>
      </c>
      <c r="AI74" s="584">
        <v>542694</v>
      </c>
      <c r="AJ74" s="584"/>
      <c r="AK74" s="96">
        <f>AI74-(AH74+AJ74)</f>
        <v>58064</v>
      </c>
      <c r="AL74" s="114">
        <f>AK74/AI74</f>
        <v>0.10699215395784734</v>
      </c>
      <c r="AM74" s="129">
        <v>0</v>
      </c>
      <c r="AN74" s="417">
        <v>97232</v>
      </c>
      <c r="AO74" s="130">
        <v>0</v>
      </c>
      <c r="AP74" s="417">
        <v>95475.060000000012</v>
      </c>
      <c r="AQ74" s="417">
        <f>AK74-AM74-AN74-AO74-AP74</f>
        <v>-134643.06</v>
      </c>
      <c r="AR74" s="421">
        <f>AQ74/AI74</f>
        <v>-0.24810125042841821</v>
      </c>
      <c r="AS74" s="583">
        <v>3</v>
      </c>
      <c r="AT74" s="760">
        <v>930299</v>
      </c>
      <c r="AU74" s="761">
        <f>AI74+AC74+W74</f>
        <v>1168310</v>
      </c>
      <c r="AV74" s="761">
        <v>238011</v>
      </c>
      <c r="AW74" s="116">
        <f>AV74/AU74</f>
        <v>0.20372247091953335</v>
      </c>
      <c r="AX74" s="776">
        <v>3</v>
      </c>
      <c r="AY74" s="587">
        <f t="shared" si="856"/>
        <v>1143904</v>
      </c>
      <c r="AZ74" s="587">
        <f t="shared" si="856"/>
        <v>1687843</v>
      </c>
      <c r="BA74" s="587">
        <f t="shared" si="856"/>
        <v>543939</v>
      </c>
      <c r="BB74" s="588">
        <f>BA74/AZ74</f>
        <v>0.32226871812129448</v>
      </c>
      <c r="BC74" s="1514">
        <v>2</v>
      </c>
      <c r="BD74" s="759">
        <v>314789</v>
      </c>
      <c r="BE74" s="759">
        <v>376352</v>
      </c>
      <c r="BF74" s="759"/>
      <c r="BG74" s="775">
        <f>BE74-(BD74+BF74)</f>
        <v>61563</v>
      </c>
      <c r="BH74" s="736">
        <f>BG74/BE74</f>
        <v>0.1635782458974577</v>
      </c>
      <c r="BI74" s="1514">
        <v>2</v>
      </c>
      <c r="BJ74" s="759">
        <v>314789</v>
      </c>
      <c r="BK74" s="759">
        <v>376352</v>
      </c>
      <c r="BL74" s="759"/>
      <c r="BM74" s="775">
        <f>BK74-(BJ74+BL74)</f>
        <v>61563</v>
      </c>
      <c r="BN74" s="736">
        <f>BM74/BK74</f>
        <v>0.1635782458974577</v>
      </c>
      <c r="BO74" s="777">
        <v>2</v>
      </c>
      <c r="BP74" s="759">
        <v>314789</v>
      </c>
      <c r="BQ74" s="759">
        <v>407602</v>
      </c>
      <c r="BR74" s="759"/>
      <c r="BS74" s="775">
        <f>BQ74-(BP74+BR74)</f>
        <v>92813</v>
      </c>
      <c r="BT74" s="239">
        <f>BS74/BQ74</f>
        <v>0.22770496710025956</v>
      </c>
      <c r="BU74" s="689">
        <v>2</v>
      </c>
      <c r="BV74" s="592">
        <f>BQ74+BK74+BE74</f>
        <v>1160306</v>
      </c>
      <c r="BW74" s="592">
        <f>BS74+BM74+BG74</f>
        <v>215939</v>
      </c>
      <c r="BX74" s="593">
        <f>BW74/BV74</f>
        <v>0.18610521707204825</v>
      </c>
      <c r="BY74" s="654">
        <v>2</v>
      </c>
      <c r="BZ74" s="650">
        <v>314789</v>
      </c>
      <c r="CA74" s="650">
        <v>356951</v>
      </c>
      <c r="CB74" s="671"/>
      <c r="CC74" s="596">
        <f>CA74-(BZ74+CB74)</f>
        <v>42162</v>
      </c>
      <c r="CD74" s="655">
        <f>CC74/CA74</f>
        <v>0.11811705248059258</v>
      </c>
      <c r="CE74" s="670">
        <v>179166</v>
      </c>
      <c r="CF74" s="671">
        <v>135753</v>
      </c>
      <c r="CG74" s="671"/>
      <c r="CH74" s="671"/>
      <c r="CI74" s="599">
        <f>CC74-CE74-CF74-CG74-CH74</f>
        <v>-272757</v>
      </c>
      <c r="CJ74" s="597">
        <f>CI74/CA74</f>
        <v>-0.76413009068471582</v>
      </c>
      <c r="CK74" s="600">
        <v>2</v>
      </c>
      <c r="CL74" s="601">
        <v>314789</v>
      </c>
      <c r="CM74" s="601">
        <v>440250</v>
      </c>
      <c r="CN74" s="778"/>
      <c r="CO74" s="360">
        <f>CM74-(CL74+CN74)</f>
        <v>125461</v>
      </c>
      <c r="CP74" s="602">
        <f>CO74/CM74</f>
        <v>0.28497671777399203</v>
      </c>
      <c r="CQ74" s="779">
        <v>0</v>
      </c>
      <c r="CR74" s="778">
        <v>70250</v>
      </c>
      <c r="CS74" s="778"/>
      <c r="CT74" s="603">
        <v>163912.75050000002</v>
      </c>
      <c r="CU74" s="603">
        <f>CO74-CQ74-CR74-CS74-CT74</f>
        <v>-108701.75050000002</v>
      </c>
      <c r="CV74" s="604">
        <f>CU74/CM74</f>
        <v>-0.2469091436683703</v>
      </c>
      <c r="CW74" s="129">
        <v>2</v>
      </c>
      <c r="CX74" s="130">
        <v>314789</v>
      </c>
      <c r="CY74" s="130">
        <v>363685</v>
      </c>
      <c r="CZ74" s="130"/>
      <c r="DA74" s="605">
        <f>CY74-(CX74+CZ74)</f>
        <v>48896</v>
      </c>
      <c r="DB74" s="114">
        <f>DA74/CY74</f>
        <v>0.1344460178451132</v>
      </c>
      <c r="DC74" s="129">
        <v>68500</v>
      </c>
      <c r="DD74" s="130">
        <v>106427</v>
      </c>
      <c r="DE74" s="130"/>
      <c r="DF74" s="130">
        <v>113315.85681818183</v>
      </c>
      <c r="DG74" s="128">
        <f>DA74-DC74-DD74-DE74-DF74</f>
        <v>-239346.85681818181</v>
      </c>
      <c r="DH74" s="169">
        <f>DG74/CY74</f>
        <v>-0.65811583325730183</v>
      </c>
      <c r="DI74" s="204">
        <f>(BY74+CK74+CW74)/3</f>
        <v>2</v>
      </c>
      <c r="DJ74" s="202">
        <f>CA74+CM74+CY74</f>
        <v>1160886</v>
      </c>
      <c r="DK74" s="202">
        <f>CC74+CO74+DA74</f>
        <v>216519</v>
      </c>
      <c r="DL74" s="119">
        <f>DK74/DJ74</f>
        <v>0.18651185387712488</v>
      </c>
      <c r="DM74" s="202">
        <f>CI74+CU74+DG74</f>
        <v>-620805.60731818178</v>
      </c>
      <c r="DN74" s="119">
        <f>DM74/DJ74</f>
        <v>-0.53476879497054985</v>
      </c>
      <c r="DO74" s="607">
        <f t="shared" si="857"/>
        <v>-1</v>
      </c>
      <c r="DP74" s="137">
        <f t="shared" si="857"/>
        <v>-169841</v>
      </c>
      <c r="DQ74" s="137">
        <f t="shared" si="857"/>
        <v>-179009</v>
      </c>
      <c r="DR74" s="137">
        <f>DA74-AK74</f>
        <v>-9168</v>
      </c>
      <c r="DS74" s="135">
        <f>DO74/AG74</f>
        <v>-0.33333333333333331</v>
      </c>
      <c r="DT74" s="135">
        <f>DP74/AI74</f>
        <v>-0.31295905243102007</v>
      </c>
      <c r="DU74" s="135">
        <f>DQ74/AK74</f>
        <v>-3.0829601818682835</v>
      </c>
      <c r="DV74" s="151">
        <f>DR74/AQ74</f>
        <v>6.8091144096101203E-2</v>
      </c>
      <c r="DW74" s="607">
        <f>CW74-CK74</f>
        <v>0</v>
      </c>
      <c r="DX74" s="780">
        <f>CY74-CM74</f>
        <v>-76565</v>
      </c>
      <c r="DY74" s="780">
        <f>DA74-CO74</f>
        <v>-76565</v>
      </c>
      <c r="DZ74" s="780">
        <f>DG74-CU74</f>
        <v>-130645.10631818179</v>
      </c>
      <c r="EA74" s="135">
        <f>DW74/CK74</f>
        <v>0</v>
      </c>
      <c r="EB74" s="135">
        <f>DX74/CM74</f>
        <v>-0.17391254968767744</v>
      </c>
      <c r="EC74" s="135">
        <f>DY74/CO74</f>
        <v>-0.61026932672304546</v>
      </c>
      <c r="ED74" s="151">
        <f>DZ74/CU74</f>
        <v>1.2018675478292482</v>
      </c>
      <c r="EE74" s="129">
        <v>2</v>
      </c>
      <c r="EF74" s="130">
        <v>314789</v>
      </c>
      <c r="EG74" s="130">
        <v>414000</v>
      </c>
      <c r="EH74" s="130"/>
      <c r="EI74" s="605">
        <f>EG74-(EF74+EH74)</f>
        <v>99211</v>
      </c>
      <c r="EJ74" s="114">
        <f>EI74/EG74</f>
        <v>0.2396400966183575</v>
      </c>
      <c r="EK74" s="129">
        <v>47000</v>
      </c>
      <c r="EL74" s="130">
        <v>0</v>
      </c>
      <c r="EM74" s="130">
        <v>0</v>
      </c>
      <c r="EN74" s="130">
        <v>0</v>
      </c>
      <c r="EO74" s="128">
        <f>EI74-EK74-EL74-EM74-EN74</f>
        <v>52211</v>
      </c>
      <c r="EP74" s="114">
        <f>EO74/EG74</f>
        <v>0.12611352657004832</v>
      </c>
      <c r="EQ74" s="129">
        <v>2</v>
      </c>
      <c r="ER74" s="130">
        <v>314789</v>
      </c>
      <c r="ES74" s="130">
        <v>427582</v>
      </c>
      <c r="ET74" s="130"/>
      <c r="EU74" s="134">
        <f>ES74-(ER74+ET74)</f>
        <v>112793</v>
      </c>
      <c r="EV74" s="114">
        <f>EU74/ES74</f>
        <v>0.26379267602471573</v>
      </c>
      <c r="EW74" s="129">
        <v>0</v>
      </c>
      <c r="EX74" s="130"/>
      <c r="EY74" s="130">
        <v>0</v>
      </c>
      <c r="EZ74" s="130">
        <v>0</v>
      </c>
      <c r="FA74" s="128">
        <f>EU74-EW74-EX74-EY74-EZ74</f>
        <v>112793</v>
      </c>
      <c r="FB74" s="114">
        <f>FA74/ES74</f>
        <v>0.26379267602471573</v>
      </c>
      <c r="FC74" s="609">
        <f>EQ74-AG74</f>
        <v>-1</v>
      </c>
      <c r="FD74" s="610">
        <f>ES74-AI74</f>
        <v>-115112</v>
      </c>
      <c r="FE74" s="610">
        <f>EU74-AK74</f>
        <v>54729</v>
      </c>
      <c r="FF74" s="610">
        <f>FA74-AQ74</f>
        <v>247436.06</v>
      </c>
      <c r="FG74" s="611">
        <f>FC74/AG74</f>
        <v>-0.33333333333333331</v>
      </c>
      <c r="FH74" s="611">
        <f>FD74/AI74</f>
        <v>-0.21211216634051602</v>
      </c>
      <c r="FI74" s="611">
        <f>FE74/AK74</f>
        <v>0.94256337834114079</v>
      </c>
      <c r="FJ74" s="612">
        <f>FF74/AQ74</f>
        <v>-1.8377186317660932</v>
      </c>
      <c r="FK74" s="133">
        <v>2</v>
      </c>
      <c r="FL74" s="134">
        <v>314789</v>
      </c>
      <c r="FM74" s="134">
        <v>414728</v>
      </c>
      <c r="FN74" s="134"/>
      <c r="FO74" s="134">
        <f>FM74-(FL74+FN74)</f>
        <v>99939</v>
      </c>
      <c r="FP74" s="135">
        <f>FO74/FM74</f>
        <v>0.24097480758473022</v>
      </c>
      <c r="FQ74" s="133">
        <v>41666</v>
      </c>
      <c r="FR74" s="134"/>
      <c r="FS74" s="134"/>
      <c r="FT74" s="191">
        <f>FO74-SUM(FQ74:FS74)</f>
        <v>58273</v>
      </c>
      <c r="FU74" s="151">
        <f>FT74/FM74</f>
        <v>0.14050896008950445</v>
      </c>
      <c r="FV74" s="190">
        <f t="shared" si="858"/>
        <v>-1</v>
      </c>
      <c r="FW74" s="191">
        <f t="shared" si="858"/>
        <v>-169841</v>
      </c>
      <c r="FX74" s="191">
        <f t="shared" si="858"/>
        <v>-127966</v>
      </c>
      <c r="FY74" s="191">
        <f>FO74-AK74</f>
        <v>41875</v>
      </c>
      <c r="FZ74" s="191">
        <f>FT74-AQ74</f>
        <v>192916.06</v>
      </c>
      <c r="GA74" s="135">
        <f>FV74/AG74</f>
        <v>-0.33333333333333331</v>
      </c>
      <c r="GB74" s="135">
        <f>FX74/AI74</f>
        <v>-0.23579770552097498</v>
      </c>
      <c r="GC74" s="135">
        <f>FY74/AK74</f>
        <v>0.72118696610636535</v>
      </c>
      <c r="GD74" s="151">
        <f>FZ74/AQ74</f>
        <v>-1.4327961649118788</v>
      </c>
      <c r="GE74" s="187">
        <f>(EE74+EQ74+FK74)/3</f>
        <v>2</v>
      </c>
      <c r="GF74" s="155">
        <f>EG74+ES74+FM74</f>
        <v>1256310</v>
      </c>
      <c r="GG74" s="155">
        <f>EI74+EU74+FO74</f>
        <v>311943</v>
      </c>
      <c r="GH74" s="74">
        <f>GG74/GF74</f>
        <v>0.248300976669771</v>
      </c>
      <c r="GI74" s="613">
        <f>EO74+FA74+FT74</f>
        <v>223277</v>
      </c>
      <c r="GJ74" s="187">
        <f t="shared" si="859"/>
        <v>0</v>
      </c>
      <c r="GK74" s="155">
        <f t="shared" si="859"/>
        <v>95424</v>
      </c>
      <c r="GL74" s="155">
        <f t="shared" si="859"/>
        <v>95424</v>
      </c>
      <c r="GM74" s="613">
        <f>GI74-DM74</f>
        <v>844082.60731818178</v>
      </c>
      <c r="GN74" s="133">
        <v>1</v>
      </c>
      <c r="GO74" s="134">
        <v>232998</v>
      </c>
      <c r="GP74" s="134">
        <v>342027.36</v>
      </c>
      <c r="GQ74" s="134">
        <v>10645</v>
      </c>
      <c r="GR74" s="134">
        <f>GP74-(GO74+GQ74)</f>
        <v>98384.359999999986</v>
      </c>
      <c r="GS74" s="135">
        <f>GR74/GP74</f>
        <v>0.28765055520704541</v>
      </c>
      <c r="GT74" s="133">
        <v>70833</v>
      </c>
      <c r="GU74" s="134">
        <v>0</v>
      </c>
      <c r="GV74" s="134">
        <v>0</v>
      </c>
      <c r="GW74" s="134">
        <v>50000</v>
      </c>
      <c r="GX74" s="190">
        <f>GR74-SUM(GT74:GW74)</f>
        <v>-22448.640000000014</v>
      </c>
      <c r="GY74" s="151">
        <f>GX74/GP74</f>
        <v>-6.563404752181233E-2</v>
      </c>
      <c r="GZ74" s="129">
        <v>1</v>
      </c>
      <c r="HA74" s="130">
        <v>232998</v>
      </c>
      <c r="HB74" s="130">
        <v>270000</v>
      </c>
      <c r="HC74" s="134"/>
      <c r="HD74" s="134">
        <f>HB74-(HA74+HC74)</f>
        <v>37002</v>
      </c>
      <c r="HE74" s="151">
        <f>HD74/HB74</f>
        <v>0.13704444444444444</v>
      </c>
      <c r="HF74" s="138">
        <v>0</v>
      </c>
      <c r="HG74" s="130">
        <v>0</v>
      </c>
      <c r="HH74" s="130"/>
      <c r="HI74" s="130">
        <v>0</v>
      </c>
      <c r="HJ74" s="197">
        <f>HD74-SUM(HF74:HI74)</f>
        <v>37002</v>
      </c>
      <c r="HK74" s="201">
        <f>HJ74/HB74</f>
        <v>0.13704444444444444</v>
      </c>
      <c r="HL74" s="133">
        <v>1</v>
      </c>
      <c r="HM74" s="134">
        <v>232998</v>
      </c>
      <c r="HN74" s="134">
        <v>215350.56</v>
      </c>
      <c r="HO74" s="134">
        <v>0</v>
      </c>
      <c r="HP74" s="615">
        <f t="shared" ref="HP74:HP79" si="862">HN74-(HM74+HO74)</f>
        <v>-17647.440000000002</v>
      </c>
      <c r="HQ74" s="151">
        <f>HP74/HN74</f>
        <v>-8.194749992755998E-2</v>
      </c>
      <c r="HR74" s="134">
        <v>0</v>
      </c>
      <c r="HS74" s="134">
        <v>0</v>
      </c>
      <c r="HT74" s="134"/>
      <c r="HU74" s="134">
        <v>0</v>
      </c>
      <c r="HV74" s="191">
        <f>HP74-SUM(HR74:HU74)</f>
        <v>-17647.440000000002</v>
      </c>
      <c r="HW74" s="151">
        <f>HV74/HN74</f>
        <v>-8.194749992755998E-2</v>
      </c>
      <c r="HX74" s="414">
        <v>1</v>
      </c>
      <c r="HY74" s="241">
        <f>HN74+HB74+GP74</f>
        <v>827377.91999999993</v>
      </c>
      <c r="HZ74" s="415">
        <f>HP74+HD74+GR74</f>
        <v>117738.91999999998</v>
      </c>
      <c r="IA74" s="135">
        <f>HZ74/HY74</f>
        <v>0.14230367665600743</v>
      </c>
      <c r="IB74" s="415">
        <f>HV74+HJ74+GX74</f>
        <v>-3094.0800000000163</v>
      </c>
      <c r="IC74" s="141"/>
      <c r="ID74" s="642">
        <v>1</v>
      </c>
      <c r="IE74" s="141">
        <f t="shared" si="849"/>
        <v>4404879.92</v>
      </c>
      <c r="IF74" s="141">
        <f t="shared" si="849"/>
        <v>862139.91999999993</v>
      </c>
      <c r="IG74" s="74">
        <f>IF74/IE74</f>
        <v>0.19572381895940535</v>
      </c>
      <c r="IH74" s="1507"/>
      <c r="II74" s="69"/>
      <c r="IJ74" s="133">
        <v>1</v>
      </c>
      <c r="IK74" s="134">
        <v>232998</v>
      </c>
      <c r="IL74" s="134">
        <v>278688.96000000002</v>
      </c>
      <c r="IM74" s="134">
        <v>0</v>
      </c>
      <c r="IN74" s="133">
        <f>IL74-(IK74+IM74)</f>
        <v>45690.960000000021</v>
      </c>
      <c r="IO74" s="151">
        <f>IN74/IL74</f>
        <v>0.16394965914688553</v>
      </c>
      <c r="IP74" s="134">
        <v>0</v>
      </c>
      <c r="IQ74" s="134">
        <v>0</v>
      </c>
      <c r="IR74" s="134">
        <v>0</v>
      </c>
      <c r="IS74" s="190">
        <f>IN74-SUM(IP74:IR74)</f>
        <v>45690.960000000021</v>
      </c>
      <c r="IT74" s="151">
        <f>IS74/IL74</f>
        <v>0.16394965914688553</v>
      </c>
      <c r="IU74" s="136">
        <v>1</v>
      </c>
      <c r="IV74" s="358">
        <v>232998</v>
      </c>
      <c r="IW74" s="358">
        <v>252000</v>
      </c>
      <c r="IX74" s="134">
        <v>0</v>
      </c>
      <c r="IY74" s="133">
        <f>IW74-(IV74+IX74)</f>
        <v>19002</v>
      </c>
      <c r="IZ74" s="151">
        <f>IY74/IW74</f>
        <v>7.5404761904761905E-2</v>
      </c>
      <c r="JA74" s="134">
        <v>0</v>
      </c>
      <c r="JB74" s="134">
        <v>0</v>
      </c>
      <c r="JC74" s="134">
        <v>0</v>
      </c>
      <c r="JD74" s="190">
        <f>IY74-SUM(JA74:JC74)</f>
        <v>19002</v>
      </c>
      <c r="JE74" s="151">
        <f>JD74/IW74</f>
        <v>7.5404761904761905E-2</v>
      </c>
      <c r="JF74" s="136">
        <v>1</v>
      </c>
      <c r="JG74" s="358">
        <v>232998</v>
      </c>
      <c r="JH74" s="358">
        <v>253353.60000000001</v>
      </c>
      <c r="JI74" s="358">
        <v>0</v>
      </c>
      <c r="JJ74" s="133">
        <f>JH74-(JG74+JI74)</f>
        <v>20355.600000000006</v>
      </c>
      <c r="JK74" s="151">
        <f>JJ74/JH74</f>
        <v>8.034462506157404E-2</v>
      </c>
      <c r="JL74" s="134">
        <v>0</v>
      </c>
      <c r="JM74" s="134"/>
      <c r="JN74" s="134">
        <v>0</v>
      </c>
      <c r="JO74" s="190">
        <f>JJ74-SUM(JL74:JN74)</f>
        <v>20355.600000000006</v>
      </c>
      <c r="JP74" s="151">
        <f>JO74/JH74</f>
        <v>8.034462506157404E-2</v>
      </c>
      <c r="JQ74" s="136">
        <v>1</v>
      </c>
      <c r="JR74" s="191">
        <f t="shared" ref="JR74:JR79" si="863">JH74+IW74+IL74</f>
        <v>784042.56</v>
      </c>
      <c r="JS74" s="191">
        <f t="shared" ref="JS74:JS79" si="864">JJ74+IY74+IN74</f>
        <v>85048.560000000027</v>
      </c>
      <c r="JT74" s="151">
        <f>JS74/JR74</f>
        <v>0.10847441751121269</v>
      </c>
      <c r="JU74" s="136">
        <v>1</v>
      </c>
      <c r="JV74" s="358">
        <v>232998</v>
      </c>
      <c r="JW74" s="358">
        <v>291357</v>
      </c>
      <c r="JX74" s="358">
        <v>0</v>
      </c>
      <c r="JY74" s="133">
        <f>JW74-(JV74+JX74)</f>
        <v>58359</v>
      </c>
      <c r="JZ74" s="151">
        <f>JY74/JW74</f>
        <v>0.20030066207436237</v>
      </c>
      <c r="KA74" s="134">
        <v>25125</v>
      </c>
      <c r="KB74" s="134">
        <v>0</v>
      </c>
      <c r="KC74" s="134">
        <v>0</v>
      </c>
      <c r="KD74" s="190">
        <f>JY74-SUM(KA74:KC74)</f>
        <v>33234</v>
      </c>
      <c r="KE74" s="151">
        <f>KD74/JW74</f>
        <v>0.11406624862282355</v>
      </c>
      <c r="KF74" s="136">
        <v>1</v>
      </c>
      <c r="KG74" s="358">
        <v>232998</v>
      </c>
      <c r="KH74" s="358">
        <v>202682.88</v>
      </c>
      <c r="KI74" s="358">
        <v>0</v>
      </c>
      <c r="KJ74" s="133">
        <f>KH74-(KG74+KI74)</f>
        <v>-30315.119999999995</v>
      </c>
      <c r="KK74" s="151">
        <f>KJ74/KH74</f>
        <v>-0.14956921867303244</v>
      </c>
      <c r="KL74" s="134">
        <v>0</v>
      </c>
      <c r="KM74" s="134">
        <v>0</v>
      </c>
      <c r="KN74" s="134">
        <v>0</v>
      </c>
      <c r="KO74" s="190">
        <f t="shared" si="850"/>
        <v>-30315.119999999995</v>
      </c>
      <c r="KP74" s="151">
        <f>KO74/KH74</f>
        <v>-0.14956921867303244</v>
      </c>
      <c r="KQ74" s="136">
        <v>1</v>
      </c>
      <c r="KR74" s="358">
        <v>232998</v>
      </c>
      <c r="KS74" s="358">
        <v>250000</v>
      </c>
      <c r="KT74" s="358"/>
      <c r="KU74" s="133">
        <f>KS74-(KR74+KT74)</f>
        <v>17002</v>
      </c>
      <c r="KV74" s="151">
        <f>KU74/KS74</f>
        <v>6.8007999999999999E-2</v>
      </c>
      <c r="KW74" s="134">
        <v>0</v>
      </c>
      <c r="KX74" s="134">
        <v>0</v>
      </c>
      <c r="KY74" s="134">
        <v>0</v>
      </c>
      <c r="KZ74" s="190">
        <f t="shared" si="851"/>
        <v>17002</v>
      </c>
      <c r="LA74" s="151">
        <f>KZ74/KS74</f>
        <v>6.8007999999999999E-2</v>
      </c>
      <c r="LB74" s="402">
        <v>1</v>
      </c>
      <c r="LC74" s="191">
        <f t="shared" ref="LC74:LC79" si="865">KS74+KH74+JW74</f>
        <v>744039.88</v>
      </c>
      <c r="LD74" s="191">
        <f t="shared" ref="LD74:LD79" si="866">KU74+KJ74+JY74</f>
        <v>45045.880000000005</v>
      </c>
      <c r="LE74" s="151">
        <f>LD74/LC74</f>
        <v>6.0542292437335492E-2</v>
      </c>
      <c r="LF74" s="226">
        <f t="shared" si="852"/>
        <v>0</v>
      </c>
      <c r="LG74" s="128">
        <f t="shared" si="852"/>
        <v>-40002.680000000051</v>
      </c>
      <c r="LH74" s="139">
        <f t="shared" si="852"/>
        <v>-40002.680000000022</v>
      </c>
      <c r="LI74" s="442">
        <f t="shared" si="860"/>
        <v>0</v>
      </c>
      <c r="LJ74" s="442">
        <f t="shared" si="860"/>
        <v>-5.1021056816099433E-2</v>
      </c>
      <c r="LK74" s="106">
        <f t="shared" si="860"/>
        <v>-0.47035105591440945</v>
      </c>
      <c r="LL74" s="136">
        <v>1</v>
      </c>
      <c r="LM74" s="358">
        <v>232998</v>
      </c>
      <c r="LN74" s="358">
        <v>252012.16</v>
      </c>
      <c r="LO74" s="358">
        <v>0</v>
      </c>
      <c r="LP74" s="133">
        <f>LN74-(LM74+LO74)</f>
        <v>19014.160000000003</v>
      </c>
      <c r="LQ74" s="151">
        <f>LP74/LN74</f>
        <v>7.5449375141263042E-2</v>
      </c>
      <c r="LR74" s="134">
        <v>0</v>
      </c>
      <c r="LS74" s="134">
        <v>0</v>
      </c>
      <c r="LT74" s="134">
        <v>0</v>
      </c>
      <c r="LU74" s="190">
        <f>LP74-SUM(LR74:LT74)</f>
        <v>19014.160000000003</v>
      </c>
      <c r="LV74" s="151">
        <f>LU74/LN74</f>
        <v>7.5449375141263042E-2</v>
      </c>
      <c r="LW74" s="134">
        <v>1</v>
      </c>
      <c r="LX74" s="134">
        <v>232998</v>
      </c>
      <c r="LY74" s="358">
        <v>252012.16</v>
      </c>
      <c r="LZ74" s="134"/>
      <c r="MA74" s="133">
        <f>LY74-(LX74+LZ74)</f>
        <v>19014.160000000003</v>
      </c>
      <c r="MB74" s="151">
        <f>MA74/LY74</f>
        <v>7.5449375141263042E-2</v>
      </c>
      <c r="MC74" s="134">
        <v>0</v>
      </c>
      <c r="MD74" s="134">
        <v>0</v>
      </c>
      <c r="ME74" s="134">
        <v>0</v>
      </c>
      <c r="MF74" s="190">
        <f>MA74-SUM(MC74:ME74)</f>
        <v>19014.160000000003</v>
      </c>
      <c r="MG74" s="151">
        <f>MF74/LY74</f>
        <v>7.5449375141263042E-2</v>
      </c>
      <c r="MH74" s="134">
        <v>1</v>
      </c>
      <c r="MI74" s="134">
        <v>232998</v>
      </c>
      <c r="MJ74" s="358">
        <v>270676.8</v>
      </c>
      <c r="MK74" s="134"/>
      <c r="ML74" s="133">
        <f>MJ74-(MI74+MK74)</f>
        <v>37678.799999999988</v>
      </c>
      <c r="MM74" s="151">
        <f>ML74/MJ74</f>
        <v>0.13920217765246223</v>
      </c>
      <c r="MN74" s="134">
        <v>0</v>
      </c>
      <c r="MO74" s="134">
        <v>0</v>
      </c>
      <c r="MP74" s="134">
        <v>0</v>
      </c>
      <c r="MQ74" s="190">
        <f>ML74-SUM(MN74:MP74)</f>
        <v>37678.799999999988</v>
      </c>
      <c r="MR74" s="151">
        <f>MQ74/MJ74</f>
        <v>0.13920217765246223</v>
      </c>
      <c r="MS74" s="1472">
        <v>1</v>
      </c>
      <c r="MT74" s="118">
        <f>MJ74+LY74+LN74</f>
        <v>774701.12</v>
      </c>
      <c r="MU74" s="118">
        <f>ML74+MA74+LP74</f>
        <v>75707.12</v>
      </c>
      <c r="MV74" s="135">
        <f>MU74/MT74</f>
        <v>9.7724293983207353E-2</v>
      </c>
      <c r="MW74" s="133">
        <f t="shared" si="853"/>
        <v>0</v>
      </c>
      <c r="MX74" s="134">
        <f t="shared" si="853"/>
        <v>30661.239999999991</v>
      </c>
      <c r="MY74" s="134">
        <f t="shared" si="853"/>
        <v>30661.239999999991</v>
      </c>
      <c r="MZ74" s="135">
        <f t="shared" si="854"/>
        <v>0</v>
      </c>
      <c r="NA74" s="135">
        <f t="shared" si="854"/>
        <v>4.1209135187753633E-2</v>
      </c>
      <c r="NB74" s="151">
        <f t="shared" si="854"/>
        <v>0.68066691115813449</v>
      </c>
      <c r="NC74" s="134">
        <v>1</v>
      </c>
      <c r="ND74" s="134">
        <v>232998</v>
      </c>
      <c r="NE74" s="358">
        <v>291357</v>
      </c>
      <c r="NF74" s="134"/>
      <c r="NG74" s="133">
        <f>NE74-(ND74+NF74)</f>
        <v>58359</v>
      </c>
      <c r="NH74" s="151">
        <f>NG74/NE74</f>
        <v>0.20030066207436237</v>
      </c>
      <c r="NI74" s="134">
        <v>0</v>
      </c>
      <c r="NJ74" s="134">
        <v>0</v>
      </c>
      <c r="NK74" s="134">
        <v>0</v>
      </c>
      <c r="NL74" s="190">
        <f>NG74-SUM(NI74:NK74)</f>
        <v>58359</v>
      </c>
      <c r="NM74" s="135">
        <f>NL74/NE74</f>
        <v>0.20030066207436237</v>
      </c>
      <c r="NN74" s="1563">
        <v>1</v>
      </c>
      <c r="NO74" s="134">
        <v>232998</v>
      </c>
      <c r="NP74" s="358">
        <v>253353.60000000001</v>
      </c>
      <c r="NQ74" s="134">
        <v>0</v>
      </c>
      <c r="NR74" s="133">
        <f>NP74-(NO74+NQ74)</f>
        <v>20355.600000000006</v>
      </c>
      <c r="NS74" s="151">
        <f>NR74/NP74</f>
        <v>8.034462506157404E-2</v>
      </c>
      <c r="NT74" s="134">
        <v>0</v>
      </c>
      <c r="NU74" s="134">
        <v>0</v>
      </c>
      <c r="NV74" s="134">
        <v>0</v>
      </c>
      <c r="NW74" s="190">
        <f>NR74-SUM(NT74:NV74)</f>
        <v>20355.600000000006</v>
      </c>
      <c r="NX74" s="135">
        <f>NW74/NP74</f>
        <v>8.034462506157404E-2</v>
      </c>
      <c r="NY74" s="1563">
        <v>1</v>
      </c>
      <c r="NZ74" s="134">
        <v>60129</v>
      </c>
      <c r="OA74" s="358">
        <v>65000</v>
      </c>
      <c r="OB74" s="134">
        <v>64071</v>
      </c>
      <c r="OC74" s="133">
        <f>OA74-(NZ74+OB74)</f>
        <v>-59200</v>
      </c>
      <c r="OD74" s="151">
        <f>OC74/OA74</f>
        <v>-0.91076923076923078</v>
      </c>
      <c r="OE74" s="134">
        <v>0</v>
      </c>
      <c r="OF74" s="134">
        <v>0</v>
      </c>
      <c r="OG74" s="134">
        <v>0</v>
      </c>
      <c r="OH74" s="190">
        <f>OC74-SUM(OE74:OG74)</f>
        <v>-59200</v>
      </c>
      <c r="OI74" s="5380">
        <f>OH74/OA74</f>
        <v>-0.91076923076923078</v>
      </c>
      <c r="OJ74" s="69">
        <v>1</v>
      </c>
      <c r="OK74" s="155">
        <f t="shared" ref="OK74:OK80" si="867">OA74+NP74+NE74+MJ74+LY74+LN74+KS74+KH74+JW74+JG74+IW74+IL74</f>
        <v>2892138.5599999996</v>
      </c>
      <c r="OL74" s="155">
        <f t="shared" ref="OL74:OL80" si="868">OC74+NR74+NG74+ML74+MA74+LP74+KU74+KJ74+JY74+JI74+IY74+IN74</f>
        <v>204960.56000000003</v>
      </c>
      <c r="OM74" s="74">
        <f>OL74/OK74</f>
        <v>7.0868167533439358E-2</v>
      </c>
      <c r="ON74" s="155">
        <f t="shared" ref="ON74:ON80" si="869">OH74+NW74+NL74+MQ74+MF74+LU74+KZ74+KO74+KD74+JN74+JD74+IS74</f>
        <v>179835.56000000003</v>
      </c>
      <c r="OO74" s="70"/>
      <c r="OP74" s="69"/>
      <c r="OQ74" s="5405"/>
      <c r="OR74" s="130"/>
      <c r="OS74" s="130"/>
      <c r="OT74" s="3546"/>
      <c r="OU74" s="133">
        <f>OS74-(OR74+OT74)</f>
        <v>0</v>
      </c>
      <c r="OV74" s="94">
        <v>0</v>
      </c>
      <c r="OW74" s="134">
        <v>0</v>
      </c>
      <c r="OX74" s="134">
        <v>0</v>
      </c>
      <c r="OY74" s="134">
        <v>0</v>
      </c>
      <c r="OZ74" s="190">
        <f>OU74-SUM(OW74:OY74)</f>
        <v>0</v>
      </c>
      <c r="PA74" s="5361">
        <v>0</v>
      </c>
      <c r="PB74" s="422"/>
      <c r="PC74" s="358"/>
      <c r="PD74" s="358"/>
      <c r="PE74" s="3683">
        <v>0</v>
      </c>
      <c r="PF74" s="133">
        <f>PD74-(PC74+PE74)</f>
        <v>0</v>
      </c>
      <c r="PG74" s="4271">
        <v>0</v>
      </c>
      <c r="PH74" s="134">
        <v>0</v>
      </c>
      <c r="PI74" s="134">
        <v>0</v>
      </c>
      <c r="PJ74" s="134">
        <v>0</v>
      </c>
      <c r="PK74" s="190">
        <f>PF74-SUM(PH74:PJ74)</f>
        <v>0</v>
      </c>
      <c r="PL74" s="152">
        <v>0</v>
      </c>
      <c r="PM74" s="5316"/>
      <c r="PN74" s="358"/>
      <c r="PO74" s="358"/>
      <c r="PP74" s="358"/>
      <c r="PQ74" s="6293">
        <f>PO74-(PN74+PP74)</f>
        <v>0</v>
      </c>
      <c r="PR74" s="6295">
        <v>0</v>
      </c>
      <c r="PS74" s="134">
        <v>0</v>
      </c>
      <c r="PT74" s="759">
        <v>0</v>
      </c>
      <c r="PU74" s="134">
        <v>0</v>
      </c>
      <c r="PV74" s="190">
        <f>PQ74-SUM(PS74:PU74)</f>
        <v>0</v>
      </c>
      <c r="PW74" s="5381">
        <v>0</v>
      </c>
      <c r="PX74" s="422"/>
      <c r="PY74" s="191">
        <f t="shared" ref="PY74:PY79" si="870">PO74+PD74+OS74</f>
        <v>0</v>
      </c>
      <c r="PZ74" s="191">
        <f t="shared" ref="PZ74:PZ79" si="871">PQ74+PF74+OU74</f>
        <v>0</v>
      </c>
      <c r="QA74" s="135">
        <v>0</v>
      </c>
      <c r="QB74" s="5316"/>
      <c r="QC74" s="358"/>
      <c r="QD74" s="358"/>
      <c r="QE74" s="358"/>
      <c r="QF74" s="6293">
        <f>QD74-(QC74+QE74)</f>
        <v>0</v>
      </c>
      <c r="QG74" s="6295">
        <v>0</v>
      </c>
      <c r="QH74" s="134"/>
      <c r="QI74" s="134">
        <v>0</v>
      </c>
      <c r="QJ74" s="134">
        <v>0</v>
      </c>
      <c r="QK74" s="190">
        <f>QF74-SUM(QH74:QJ74)</f>
        <v>0</v>
      </c>
      <c r="QL74" s="5380"/>
      <c r="QM74" s="5316"/>
      <c r="QN74" s="358"/>
      <c r="QO74" s="358"/>
      <c r="QP74" s="358"/>
      <c r="QQ74" s="133">
        <f t="shared" si="727"/>
        <v>0</v>
      </c>
      <c r="QR74" s="151"/>
      <c r="QS74" s="134">
        <v>0</v>
      </c>
      <c r="QT74" s="134">
        <v>0</v>
      </c>
      <c r="QU74" s="134">
        <v>0</v>
      </c>
      <c r="QV74" s="190">
        <f t="shared" si="729"/>
        <v>0</v>
      </c>
      <c r="QW74" s="5380">
        <v>0</v>
      </c>
      <c r="QX74" s="5316"/>
      <c r="QY74" s="358"/>
      <c r="QZ74" s="358"/>
      <c r="RA74" s="358"/>
      <c r="RB74" s="133">
        <f t="shared" si="731"/>
        <v>0</v>
      </c>
      <c r="RC74" s="151"/>
      <c r="RD74" s="134">
        <v>0</v>
      </c>
      <c r="RE74" s="759">
        <v>0</v>
      </c>
      <c r="RF74" s="134">
        <v>0</v>
      </c>
      <c r="RG74" s="190">
        <f t="shared" si="733"/>
        <v>0</v>
      </c>
      <c r="RH74" s="5381">
        <v>0</v>
      </c>
      <c r="RI74" s="5376"/>
      <c r="RJ74" s="191">
        <f t="shared" ref="RJ74:RJ79" si="872">QZ74+QO74+QD74</f>
        <v>0</v>
      </c>
      <c r="RK74" s="191">
        <f t="shared" ref="RK74:RK79" si="873">RB74+QQ74+QF74</f>
        <v>0</v>
      </c>
      <c r="RL74" s="5380" t="e">
        <f>RK74/RJ74</f>
        <v>#DIV/0!</v>
      </c>
      <c r="RM74" s="1562">
        <f t="shared" si="855"/>
        <v>0</v>
      </c>
      <c r="RN74" s="128">
        <f t="shared" si="855"/>
        <v>0</v>
      </c>
      <c r="RO74" s="139">
        <f t="shared" si="855"/>
        <v>0</v>
      </c>
      <c r="RP74" s="442" t="e">
        <f t="shared" si="861"/>
        <v>#DIV/0!</v>
      </c>
      <c r="RQ74" s="442" t="e">
        <f t="shared" si="861"/>
        <v>#DIV/0!</v>
      </c>
      <c r="RR74" s="6339" t="e">
        <f t="shared" si="861"/>
        <v>#DIV/0!</v>
      </c>
      <c r="RS74" s="698"/>
      <c r="RT74" s="208"/>
      <c r="RU74" s="208"/>
      <c r="RV74" s="2563"/>
      <c r="RW74" s="133">
        <f t="shared" si="740"/>
        <v>0</v>
      </c>
      <c r="RX74" s="196">
        <v>0</v>
      </c>
      <c r="RY74" s="134"/>
      <c r="RZ74" s="134">
        <v>0</v>
      </c>
      <c r="SA74" s="134">
        <v>0</v>
      </c>
      <c r="SB74" s="190">
        <f t="shared" si="742"/>
        <v>0</v>
      </c>
      <c r="SC74" s="5381">
        <v>0</v>
      </c>
      <c r="SD74" s="5405"/>
      <c r="SE74" s="130"/>
      <c r="SF74" s="208"/>
      <c r="SG74" s="606"/>
      <c r="SH74" s="6361">
        <f t="shared" si="776"/>
        <v>0</v>
      </c>
      <c r="SI74" s="6363"/>
      <c r="SJ74" s="134"/>
      <c r="SK74" s="134">
        <v>0</v>
      </c>
      <c r="SL74" s="134">
        <v>0</v>
      </c>
      <c r="SM74" s="190">
        <f t="shared" si="778"/>
        <v>0</v>
      </c>
      <c r="SN74" s="5381">
        <v>0</v>
      </c>
      <c r="SO74" s="134"/>
      <c r="SP74" s="134"/>
      <c r="SQ74" s="358"/>
      <c r="SR74" s="134"/>
      <c r="SS74" s="6361">
        <f t="shared" si="780"/>
        <v>0</v>
      </c>
      <c r="ST74" s="6363"/>
      <c r="SU74" s="134">
        <v>0</v>
      </c>
      <c r="SV74" s="134">
        <v>0</v>
      </c>
      <c r="SW74" s="134">
        <v>0</v>
      </c>
      <c r="SX74" s="190">
        <f t="shared" si="782"/>
        <v>0</v>
      </c>
      <c r="SY74" s="5381">
        <v>0</v>
      </c>
      <c r="SZ74" s="6270"/>
      <c r="TA74" s="118">
        <f t="shared" si="784"/>
        <v>0</v>
      </c>
      <c r="TB74" s="118">
        <f t="shared" si="785"/>
        <v>0</v>
      </c>
      <c r="TC74" s="5381">
        <v>0</v>
      </c>
      <c r="TD74" s="1563"/>
      <c r="TE74" s="134">
        <v>0</v>
      </c>
      <c r="TF74" s="358">
        <v>0</v>
      </c>
      <c r="TG74" s="134"/>
      <c r="TH74" s="133">
        <f t="shared" si="787"/>
        <v>0</v>
      </c>
      <c r="TI74" s="196">
        <v>0</v>
      </c>
      <c r="TJ74" s="134"/>
      <c r="TK74" s="134">
        <v>0</v>
      </c>
      <c r="TL74" s="134">
        <v>0</v>
      </c>
      <c r="TM74" s="190">
        <f t="shared" si="789"/>
        <v>0</v>
      </c>
      <c r="TN74" s="5381">
        <v>0</v>
      </c>
      <c r="TO74" s="134"/>
      <c r="TP74" s="134"/>
      <c r="TQ74" s="358"/>
      <c r="TR74" s="134"/>
      <c r="TS74" s="133">
        <f>TQ74-(TP74+TR74)</f>
        <v>0</v>
      </c>
      <c r="TT74" s="151" t="e">
        <f>TS74/TQ74</f>
        <v>#DIV/0!</v>
      </c>
      <c r="TU74" s="134"/>
      <c r="TV74" s="134"/>
      <c r="TW74" s="134"/>
      <c r="TX74" s="190">
        <f>TS74-SUM(TU74:TW74)</f>
        <v>0</v>
      </c>
      <c r="TY74" s="135" t="e">
        <f>TX74/TQ74</f>
        <v>#DIV/0!</v>
      </c>
      <c r="TZ74" s="1563"/>
      <c r="UA74" s="134"/>
      <c r="UB74" s="358"/>
      <c r="UC74" s="134"/>
      <c r="UD74" s="133">
        <f>UB74-(UA74+UC74)</f>
        <v>0</v>
      </c>
      <c r="UE74" s="151" t="e">
        <f>UD74/UB74</f>
        <v>#DIV/0!</v>
      </c>
      <c r="UF74" s="134"/>
      <c r="UG74" s="134"/>
      <c r="UH74" s="134"/>
      <c r="UI74" s="190">
        <f>UD74-SUM(UF74:UH74)</f>
        <v>0</v>
      </c>
      <c r="UJ74" s="5380" t="e">
        <f>UI74/UB74</f>
        <v>#DIV/0!</v>
      </c>
      <c r="UK74" s="5376"/>
      <c r="UL74" s="191">
        <f t="shared" si="754"/>
        <v>0</v>
      </c>
      <c r="UM74" s="191">
        <f t="shared" si="755"/>
        <v>0</v>
      </c>
      <c r="UN74" s="135"/>
      <c r="UO74" s="191">
        <f t="shared" si="757"/>
        <v>0</v>
      </c>
      <c r="UP74" s="5380"/>
    </row>
    <row r="75" spans="1:566" x14ac:dyDescent="0.3">
      <c r="A75" s="5316"/>
      <c r="B75" s="5376" t="s">
        <v>154</v>
      </c>
      <c r="C75" s="578" t="s">
        <v>144</v>
      </c>
      <c r="D75" s="578" t="s">
        <v>142</v>
      </c>
      <c r="E75" s="6278" t="s">
        <v>145</v>
      </c>
      <c r="F75" s="422"/>
      <c r="G75" s="161">
        <v>0</v>
      </c>
      <c r="H75" s="161">
        <v>0</v>
      </c>
      <c r="I75" s="161">
        <v>0</v>
      </c>
      <c r="J75" s="94"/>
      <c r="K75" s="136"/>
      <c r="L75" s="161">
        <v>0</v>
      </c>
      <c r="M75" s="161">
        <v>0</v>
      </c>
      <c r="N75" s="161">
        <v>0</v>
      </c>
      <c r="O75" s="158"/>
      <c r="P75" s="136"/>
      <c r="Q75" s="161">
        <v>0</v>
      </c>
      <c r="R75" s="161">
        <v>0</v>
      </c>
      <c r="S75" s="161">
        <v>0</v>
      </c>
      <c r="T75" s="94"/>
      <c r="U75" s="136"/>
      <c r="V75" s="161">
        <v>0</v>
      </c>
      <c r="W75" s="161">
        <v>0</v>
      </c>
      <c r="X75" s="161">
        <v>0</v>
      </c>
      <c r="Y75" s="759">
        <f t="shared" si="801"/>
        <v>0</v>
      </c>
      <c r="Z75" s="94"/>
      <c r="AA75" s="422"/>
      <c r="AB75" s="161">
        <v>0</v>
      </c>
      <c r="AC75" s="161">
        <v>0</v>
      </c>
      <c r="AD75" s="161">
        <v>0</v>
      </c>
      <c r="AE75" s="775">
        <f t="shared" si="802"/>
        <v>0</v>
      </c>
      <c r="AF75" s="422"/>
      <c r="AG75" s="113"/>
      <c r="AH75" s="616"/>
      <c r="AI75" s="616"/>
      <c r="AJ75" s="616"/>
      <c r="AK75" s="96">
        <f t="shared" si="803"/>
        <v>0</v>
      </c>
      <c r="AL75" s="114"/>
      <c r="AM75" s="129"/>
      <c r="AN75" s="417"/>
      <c r="AO75" s="130"/>
      <c r="AP75" s="417"/>
      <c r="AQ75" s="417"/>
      <c r="AR75" s="421"/>
      <c r="AS75" s="113"/>
      <c r="AT75" s="760">
        <v>0</v>
      </c>
      <c r="AU75" s="761">
        <f t="shared" si="804"/>
        <v>0</v>
      </c>
      <c r="AV75" s="761">
        <f>AK75+AE75+Y75</f>
        <v>0</v>
      </c>
      <c r="AW75" s="116"/>
      <c r="AX75" s="776"/>
      <c r="AY75" s="587">
        <f t="shared" si="805"/>
        <v>0</v>
      </c>
      <c r="AZ75" s="587">
        <f t="shared" si="806"/>
        <v>0</v>
      </c>
      <c r="BA75" s="587">
        <f t="shared" si="807"/>
        <v>0</v>
      </c>
      <c r="BB75" s="588"/>
      <c r="BC75" s="1514"/>
      <c r="BD75" s="759"/>
      <c r="BE75" s="759"/>
      <c r="BF75" s="759"/>
      <c r="BG75" s="775">
        <f t="shared" si="808"/>
        <v>0</v>
      </c>
      <c r="BH75" s="736"/>
      <c r="BI75" s="1514"/>
      <c r="BJ75" s="759"/>
      <c r="BK75" s="759"/>
      <c r="BL75" s="759"/>
      <c r="BM75" s="775">
        <f>BK75-(BJ75+BL75)</f>
        <v>0</v>
      </c>
      <c r="BN75" s="736"/>
      <c r="BO75" s="777"/>
      <c r="BP75" s="759"/>
      <c r="BQ75" s="759"/>
      <c r="BR75" s="759"/>
      <c r="BS75" s="775">
        <f>BQ75-(BP75+BR75)</f>
        <v>0</v>
      </c>
      <c r="BT75" s="239"/>
      <c r="BU75" s="777"/>
      <c r="BV75" s="592">
        <f t="shared" si="809"/>
        <v>0</v>
      </c>
      <c r="BW75" s="592">
        <f>BS75+BM75+BG75</f>
        <v>0</v>
      </c>
      <c r="BX75" s="593"/>
      <c r="BY75" s="770"/>
      <c r="BZ75" s="800"/>
      <c r="CA75" s="800"/>
      <c r="CB75" s="800"/>
      <c r="CC75" s="596">
        <f>CA75-(BZ75+CB75)</f>
        <v>0</v>
      </c>
      <c r="CD75" s="801"/>
      <c r="CE75" s="759"/>
      <c r="CF75" s="759"/>
      <c r="CG75" s="759"/>
      <c r="CH75" s="759"/>
      <c r="CI75" s="134"/>
      <c r="CJ75" s="135"/>
      <c r="CK75" s="136"/>
      <c r="CL75" s="802"/>
      <c r="CM75" s="802"/>
      <c r="CN75" s="802"/>
      <c r="CO75" s="360">
        <f t="shared" si="810"/>
        <v>0</v>
      </c>
      <c r="CP75" s="114"/>
      <c r="CQ75" s="134"/>
      <c r="CR75" s="137"/>
      <c r="CS75" s="137"/>
      <c r="CT75" s="137"/>
      <c r="CU75" s="134"/>
      <c r="CV75" s="135"/>
      <c r="CW75" s="133">
        <v>1</v>
      </c>
      <c r="CX75" s="138">
        <v>45332</v>
      </c>
      <c r="CY75" s="130">
        <v>72614</v>
      </c>
      <c r="CZ75" s="130"/>
      <c r="DA75" s="605">
        <f>CY75-(CX75+CZ75)</f>
        <v>27282</v>
      </c>
      <c r="DB75" s="114">
        <f>DA75/CY75</f>
        <v>0.37571267248739915</v>
      </c>
      <c r="DC75" s="129"/>
      <c r="DD75" s="130"/>
      <c r="DE75" s="134"/>
      <c r="DF75" s="130">
        <v>0</v>
      </c>
      <c r="DG75" s="128">
        <f>DA75-DC75-DD75-DE75-DF75</f>
        <v>27282</v>
      </c>
      <c r="DH75" s="169">
        <f>DG75/CY75</f>
        <v>0.37571267248739915</v>
      </c>
      <c r="DI75" s="204">
        <f>(BY75+CK75+CW75)/3</f>
        <v>0.33333333333333331</v>
      </c>
      <c r="DJ75" s="202">
        <f t="shared" si="811"/>
        <v>72614</v>
      </c>
      <c r="DK75" s="202">
        <f t="shared" si="812"/>
        <v>27282</v>
      </c>
      <c r="DL75" s="119">
        <f>DK75/DJ75</f>
        <v>0.37571267248739915</v>
      </c>
      <c r="DM75" s="202">
        <f t="shared" si="813"/>
        <v>27282</v>
      </c>
      <c r="DN75" s="119">
        <f>DM75/DJ75</f>
        <v>0.37571267248739915</v>
      </c>
      <c r="DO75" s="607">
        <f>CW75-AG75</f>
        <v>1</v>
      </c>
      <c r="DP75" s="137">
        <f>CX75-AH75</f>
        <v>45332</v>
      </c>
      <c r="DQ75" s="137">
        <f>CY75-AI75</f>
        <v>72614</v>
      </c>
      <c r="DR75" s="137">
        <f>DA75-AK75</f>
        <v>27282</v>
      </c>
      <c r="DS75" s="135">
        <v>1</v>
      </c>
      <c r="DT75" s="135">
        <v>1</v>
      </c>
      <c r="DU75" s="135">
        <v>1</v>
      </c>
      <c r="DV75" s="151">
        <v>1</v>
      </c>
      <c r="DW75" s="607">
        <f>CW75-CK75</f>
        <v>1</v>
      </c>
      <c r="DX75" s="780">
        <f>CY75-CM75</f>
        <v>72614</v>
      </c>
      <c r="DY75" s="780">
        <f>DA75-CO75</f>
        <v>27282</v>
      </c>
      <c r="DZ75" s="780">
        <f>DG75-CU75</f>
        <v>27282</v>
      </c>
      <c r="EA75" s="135">
        <v>1</v>
      </c>
      <c r="EB75" s="135">
        <v>1</v>
      </c>
      <c r="EC75" s="135">
        <v>1</v>
      </c>
      <c r="ED75" s="151">
        <v>1</v>
      </c>
      <c r="EE75" s="133">
        <v>1</v>
      </c>
      <c r="EF75" s="138">
        <v>110405</v>
      </c>
      <c r="EG75" s="130">
        <v>105290.88</v>
      </c>
      <c r="EH75" s="130"/>
      <c r="EI75" s="605">
        <f>EG75-(EF75+EH75)</f>
        <v>-5114.1199999999953</v>
      </c>
      <c r="EJ75" s="114">
        <f>EI75/EG75</f>
        <v>-4.8571348249724908E-2</v>
      </c>
      <c r="EK75" s="129">
        <v>0</v>
      </c>
      <c r="EL75" s="130">
        <v>0</v>
      </c>
      <c r="EM75" s="130">
        <v>0</v>
      </c>
      <c r="EN75" s="130">
        <v>0</v>
      </c>
      <c r="EO75" s="128">
        <f>EI75-EK75-EL75-EM75-EN75</f>
        <v>-5114.1199999999953</v>
      </c>
      <c r="EP75" s="114">
        <f>EO75/EG75</f>
        <v>-4.8571348249724908E-2</v>
      </c>
      <c r="EQ75" s="129">
        <v>1</v>
      </c>
      <c r="ER75" s="130">
        <v>110405</v>
      </c>
      <c r="ES75" s="130">
        <v>137967</v>
      </c>
      <c r="ET75" s="130"/>
      <c r="EU75" s="134">
        <f>ES75-(ER75+ET75)</f>
        <v>27562</v>
      </c>
      <c r="EV75" s="114">
        <f>EU75/ES75</f>
        <v>0.19977240934426349</v>
      </c>
      <c r="EW75" s="129">
        <v>0</v>
      </c>
      <c r="EX75" s="130">
        <v>0</v>
      </c>
      <c r="EY75" s="130">
        <v>0</v>
      </c>
      <c r="EZ75" s="130">
        <v>0</v>
      </c>
      <c r="FA75" s="128">
        <f>EU75-EW75-EX75-EY75-EZ75</f>
        <v>27562</v>
      </c>
      <c r="FB75" s="114">
        <f>FA75/ES75</f>
        <v>0.19977240934426349</v>
      </c>
      <c r="FC75" s="643">
        <f t="shared" si="815"/>
        <v>1</v>
      </c>
      <c r="FD75" s="644">
        <f t="shared" si="816"/>
        <v>137967</v>
      </c>
      <c r="FE75" s="644">
        <f t="shared" si="817"/>
        <v>27562</v>
      </c>
      <c r="FF75" s="644">
        <f t="shared" si="818"/>
        <v>27562</v>
      </c>
      <c r="FG75" s="74">
        <v>1</v>
      </c>
      <c r="FH75" s="74">
        <v>1</v>
      </c>
      <c r="FI75" s="74">
        <v>1</v>
      </c>
      <c r="FJ75" s="73">
        <v>1</v>
      </c>
      <c r="FK75" s="133">
        <v>1</v>
      </c>
      <c r="FL75" s="134">
        <v>110405</v>
      </c>
      <c r="FM75" s="134">
        <v>167013.12</v>
      </c>
      <c r="FN75" s="134"/>
      <c r="FO75" s="134">
        <f>FM75-(FL75+FN75)</f>
        <v>56608.119999999995</v>
      </c>
      <c r="FP75" s="135">
        <f>FO75/FM75</f>
        <v>0.33894415001647771</v>
      </c>
      <c r="FQ75" s="133"/>
      <c r="FR75" s="134"/>
      <c r="FS75" s="134"/>
      <c r="FT75" s="191">
        <f>FO75-SUM(FQ75:FS75)</f>
        <v>56608.119999999995</v>
      </c>
      <c r="FU75" s="151">
        <f>FT75/FM75</f>
        <v>0.33894415001647771</v>
      </c>
      <c r="FV75" s="190">
        <f t="shared" si="819"/>
        <v>1</v>
      </c>
      <c r="FW75" s="191">
        <f t="shared" si="820"/>
        <v>110405</v>
      </c>
      <c r="FX75" s="191">
        <f t="shared" si="821"/>
        <v>167013.12</v>
      </c>
      <c r="FY75" s="191">
        <f t="shared" si="822"/>
        <v>56608.119999999995</v>
      </c>
      <c r="FZ75" s="191">
        <f t="shared" si="823"/>
        <v>56608.119999999995</v>
      </c>
      <c r="GA75" s="135">
        <v>1</v>
      </c>
      <c r="GB75" s="135">
        <v>1</v>
      </c>
      <c r="GC75" s="135">
        <v>1</v>
      </c>
      <c r="GD75" s="151">
        <v>1</v>
      </c>
      <c r="GE75" s="187">
        <f>(EE75+EQ75+FK75)/3</f>
        <v>1</v>
      </c>
      <c r="GF75" s="155">
        <f t="shared" si="824"/>
        <v>410271</v>
      </c>
      <c r="GG75" s="155">
        <f t="shared" si="825"/>
        <v>79056</v>
      </c>
      <c r="GH75" s="74">
        <f>GG75/GF75</f>
        <v>0.19269214738550861</v>
      </c>
      <c r="GI75" s="613">
        <f t="shared" si="826"/>
        <v>79056</v>
      </c>
      <c r="GJ75" s="187">
        <f t="shared" si="827"/>
        <v>0.66666666666666674</v>
      </c>
      <c r="GK75" s="155">
        <f t="shared" si="828"/>
        <v>337657</v>
      </c>
      <c r="GL75" s="155">
        <f t="shared" si="829"/>
        <v>51774</v>
      </c>
      <c r="GM75" s="613">
        <f t="shared" si="830"/>
        <v>51774</v>
      </c>
      <c r="GN75" s="133">
        <v>1</v>
      </c>
      <c r="GO75" s="134">
        <v>110405</v>
      </c>
      <c r="GP75" s="134">
        <v>137967.35999999999</v>
      </c>
      <c r="GQ75" s="134">
        <v>0</v>
      </c>
      <c r="GR75" s="134">
        <f>GP75-(GO75+GQ75)</f>
        <v>27562.359999999986</v>
      </c>
      <c r="GS75" s="135">
        <f>GR75/GP75</f>
        <v>0.19977449738836772</v>
      </c>
      <c r="GT75" s="133">
        <v>0</v>
      </c>
      <c r="GU75" s="134">
        <v>0</v>
      </c>
      <c r="GV75" s="134">
        <v>0</v>
      </c>
      <c r="GW75" s="134">
        <v>0</v>
      </c>
      <c r="GX75" s="190">
        <f>GR75-SUM(GT75:GW75)</f>
        <v>27562.359999999986</v>
      </c>
      <c r="GY75" s="151">
        <f>GX75/GP75</f>
        <v>0.19977449738836772</v>
      </c>
      <c r="GZ75" s="781">
        <v>1</v>
      </c>
      <c r="HA75" s="130">
        <v>110405</v>
      </c>
      <c r="HB75" s="130">
        <v>145228.79999999999</v>
      </c>
      <c r="HC75" s="134"/>
      <c r="HD75" s="134">
        <f>HB75-(HA75+HC75)</f>
        <v>34823.799999999988</v>
      </c>
      <c r="HE75" s="151">
        <f>HD75/HB75</f>
        <v>0.23978577251894934</v>
      </c>
      <c r="HF75" s="138">
        <v>0</v>
      </c>
      <c r="HG75" s="130">
        <v>0</v>
      </c>
      <c r="HH75" s="130"/>
      <c r="HI75" s="130">
        <v>0</v>
      </c>
      <c r="HJ75" s="197">
        <f>HD75-SUM(HF75:HI75)</f>
        <v>34823.799999999988</v>
      </c>
      <c r="HK75" s="201">
        <f>HJ75/HB75</f>
        <v>0.23978577251894934</v>
      </c>
      <c r="HL75" s="133">
        <v>1</v>
      </c>
      <c r="HM75" s="134">
        <v>110405</v>
      </c>
      <c r="HN75" s="134">
        <v>123444.48</v>
      </c>
      <c r="HO75" s="134">
        <v>0</v>
      </c>
      <c r="HP75" s="615">
        <f t="shared" si="862"/>
        <v>13039.479999999996</v>
      </c>
      <c r="HQ75" s="151">
        <f>HP75/HN75</f>
        <v>0.10563032061052868</v>
      </c>
      <c r="HR75" s="134">
        <v>0</v>
      </c>
      <c r="HS75" s="134">
        <v>0</v>
      </c>
      <c r="HT75" s="134"/>
      <c r="HU75" s="134">
        <v>0</v>
      </c>
      <c r="HV75" s="191">
        <f>HP75-SUM(HR75:HU75)</f>
        <v>13039.479999999996</v>
      </c>
      <c r="HW75" s="151">
        <f>HV75/HN75</f>
        <v>0.10563032061052868</v>
      </c>
      <c r="HX75" s="414">
        <v>1</v>
      </c>
      <c r="HY75" s="241">
        <f>HN75+HB75+GP75</f>
        <v>406640.63999999996</v>
      </c>
      <c r="HZ75" s="415">
        <f>HP75+HD75+GR75</f>
        <v>75425.63999999997</v>
      </c>
      <c r="IA75" s="135">
        <f t="shared" si="831"/>
        <v>0.18548475627030289</v>
      </c>
      <c r="IB75" s="415">
        <f t="shared" si="832"/>
        <v>75425.63999999997</v>
      </c>
      <c r="IC75" s="202"/>
      <c r="ID75" s="204">
        <v>1</v>
      </c>
      <c r="IE75" s="141">
        <f t="shared" si="759"/>
        <v>889525.6399999999</v>
      </c>
      <c r="IF75" s="141">
        <f t="shared" si="760"/>
        <v>181763.63999999996</v>
      </c>
      <c r="IG75" s="74">
        <f t="shared" si="701"/>
        <v>0.20433771869690004</v>
      </c>
      <c r="IH75" s="1446"/>
      <c r="II75" s="266"/>
      <c r="IJ75" s="133">
        <v>1</v>
      </c>
      <c r="IK75" s="134">
        <v>110405</v>
      </c>
      <c r="IL75" s="134">
        <v>174274.56</v>
      </c>
      <c r="IM75" s="134">
        <v>0</v>
      </c>
      <c r="IN75" s="133">
        <f t="shared" si="833"/>
        <v>63869.56</v>
      </c>
      <c r="IO75" s="151">
        <f>IN75/IL75</f>
        <v>0.36648814376579114</v>
      </c>
      <c r="IP75" s="134">
        <v>0</v>
      </c>
      <c r="IQ75" s="134">
        <v>0</v>
      </c>
      <c r="IR75" s="134">
        <v>0</v>
      </c>
      <c r="IS75" s="190">
        <f>IN75-SUM(IP75:IR75)</f>
        <v>63869.56</v>
      </c>
      <c r="IT75" s="151">
        <f>IS75/IL75</f>
        <v>0.36648814376579114</v>
      </c>
      <c r="IU75" s="164"/>
      <c r="IV75" s="134"/>
      <c r="IW75" s="134"/>
      <c r="IX75" s="772">
        <v>14461</v>
      </c>
      <c r="IY75" s="133">
        <f>IW75-(IV75+IX75)</f>
        <v>-14461</v>
      </c>
      <c r="IZ75" s="151"/>
      <c r="JA75" s="134">
        <v>0</v>
      </c>
      <c r="JB75" s="134">
        <v>0</v>
      </c>
      <c r="JC75" s="134">
        <v>0</v>
      </c>
      <c r="JD75" s="190">
        <f>IY75-SUM(JA75:JC75)</f>
        <v>-14461</v>
      </c>
      <c r="JE75" s="196">
        <v>0</v>
      </c>
      <c r="JF75" s="390"/>
      <c r="JG75" s="134"/>
      <c r="JH75" s="134"/>
      <c r="JI75" s="134"/>
      <c r="JJ75" s="133">
        <f>JH75-(JG75+JI75)</f>
        <v>0</v>
      </c>
      <c r="JK75" s="151"/>
      <c r="JL75" s="134">
        <v>0</v>
      </c>
      <c r="JM75" s="134">
        <v>0</v>
      </c>
      <c r="JN75" s="134">
        <v>0</v>
      </c>
      <c r="JO75" s="190">
        <f>JJ75-SUM(JL75:JN75)</f>
        <v>0</v>
      </c>
      <c r="JP75" s="196">
        <v>0</v>
      </c>
      <c r="JQ75" s="390"/>
      <c r="JR75" s="191">
        <f t="shared" si="863"/>
        <v>174274.56</v>
      </c>
      <c r="JS75" s="191">
        <f t="shared" si="864"/>
        <v>49408.56</v>
      </c>
      <c r="JT75" s="151">
        <f>JS75/JR75</f>
        <v>0.28350988233738761</v>
      </c>
      <c r="JU75" s="390"/>
      <c r="JV75" s="134"/>
      <c r="JW75" s="134"/>
      <c r="JX75" s="134"/>
      <c r="JY75" s="133">
        <f>JW75-(JV75+JX75)</f>
        <v>0</v>
      </c>
      <c r="JZ75" s="151"/>
      <c r="KA75" s="134">
        <v>0</v>
      </c>
      <c r="KB75" s="759">
        <v>0</v>
      </c>
      <c r="KC75" s="134">
        <v>0</v>
      </c>
      <c r="KD75" s="190">
        <f>JY75-SUM(KA75:KC75)</f>
        <v>0</v>
      </c>
      <c r="KE75" s="196">
        <v>0</v>
      </c>
      <c r="KF75" s="390"/>
      <c r="KG75" s="134">
        <v>0</v>
      </c>
      <c r="KH75" s="134">
        <v>0</v>
      </c>
      <c r="KI75" s="358">
        <v>0</v>
      </c>
      <c r="KJ75" s="133">
        <f t="shared" si="846"/>
        <v>0</v>
      </c>
      <c r="KK75" s="151"/>
      <c r="KL75" s="134">
        <v>0</v>
      </c>
      <c r="KM75" s="759">
        <v>0</v>
      </c>
      <c r="KN75" s="134">
        <v>0</v>
      </c>
      <c r="KO75" s="190">
        <f t="shared" si="850"/>
        <v>0</v>
      </c>
      <c r="KP75" s="196">
        <v>0</v>
      </c>
      <c r="KQ75" s="390"/>
      <c r="KR75" s="134">
        <v>0</v>
      </c>
      <c r="KS75" s="134">
        <v>0</v>
      </c>
      <c r="KT75" s="358">
        <v>0</v>
      </c>
      <c r="KU75" s="133">
        <f t="shared" si="847"/>
        <v>0</v>
      </c>
      <c r="KV75" s="151"/>
      <c r="KW75" s="134">
        <v>0</v>
      </c>
      <c r="KX75" s="759">
        <v>0</v>
      </c>
      <c r="KY75" s="134">
        <v>0</v>
      </c>
      <c r="KZ75" s="190">
        <f t="shared" si="851"/>
        <v>0</v>
      </c>
      <c r="LA75" s="196">
        <v>0</v>
      </c>
      <c r="LB75" s="402"/>
      <c r="LC75" s="191">
        <f t="shared" si="865"/>
        <v>0</v>
      </c>
      <c r="LD75" s="191">
        <f t="shared" si="866"/>
        <v>0</v>
      </c>
      <c r="LE75" s="151"/>
      <c r="LF75" s="226">
        <f t="shared" ref="LF75:LH76" si="874">LB75-JQ75</f>
        <v>0</v>
      </c>
      <c r="LG75" s="128">
        <f t="shared" si="874"/>
        <v>-174274.56</v>
      </c>
      <c r="LH75" s="139">
        <f t="shared" si="874"/>
        <v>-49408.56</v>
      </c>
      <c r="LI75" s="442">
        <v>0</v>
      </c>
      <c r="LJ75" s="442">
        <f>LG75/JR75</f>
        <v>-1</v>
      </c>
      <c r="LK75" s="106">
        <f>LH75/JS75</f>
        <v>-1</v>
      </c>
      <c r="LL75" s="390"/>
      <c r="LM75" s="134">
        <v>0</v>
      </c>
      <c r="LN75" s="134">
        <v>0</v>
      </c>
      <c r="LO75" s="358">
        <v>0</v>
      </c>
      <c r="LP75" s="133">
        <f t="shared" si="848"/>
        <v>0</v>
      </c>
      <c r="LQ75" s="151"/>
      <c r="LR75" s="134">
        <v>833333</v>
      </c>
      <c r="LS75" s="759">
        <v>0</v>
      </c>
      <c r="LT75" s="134">
        <v>0</v>
      </c>
      <c r="LU75" s="190">
        <f>LP75-SUM(LR75:LT75)</f>
        <v>-833333</v>
      </c>
      <c r="LV75" s="196">
        <v>0</v>
      </c>
      <c r="LW75" s="134"/>
      <c r="LX75" s="134"/>
      <c r="LY75" s="134"/>
      <c r="LZ75" s="134"/>
      <c r="MA75" s="133">
        <f>LY75-(LX75+LZ75)</f>
        <v>0</v>
      </c>
      <c r="MB75" s="151"/>
      <c r="MC75" s="134">
        <v>0</v>
      </c>
      <c r="MD75" s="134">
        <v>0</v>
      </c>
      <c r="ME75" s="134">
        <v>0</v>
      </c>
      <c r="MF75" s="190">
        <f t="shared" si="836"/>
        <v>0</v>
      </c>
      <c r="MG75" s="151"/>
      <c r="MH75" s="134"/>
      <c r="MI75" s="134">
        <v>0</v>
      </c>
      <c r="MJ75" s="134">
        <v>0</v>
      </c>
      <c r="MK75" s="134"/>
      <c r="ML75" s="133">
        <f>MJ75-(MI75+MK75)</f>
        <v>0</v>
      </c>
      <c r="MM75" s="196">
        <v>0</v>
      </c>
      <c r="MN75" s="134">
        <v>0</v>
      </c>
      <c r="MO75" s="134">
        <v>0</v>
      </c>
      <c r="MP75" s="134">
        <v>0</v>
      </c>
      <c r="MQ75" s="190">
        <f t="shared" si="837"/>
        <v>0</v>
      </c>
      <c r="MR75" s="196">
        <v>0</v>
      </c>
      <c r="MS75" s="1473"/>
      <c r="MT75" s="118">
        <f>MJ75+LY75+LN75</f>
        <v>0</v>
      </c>
      <c r="MU75" s="118">
        <f>ML75+MA75+LP75</f>
        <v>0</v>
      </c>
      <c r="MV75" s="135"/>
      <c r="MW75" s="133">
        <f t="shared" si="703"/>
        <v>0</v>
      </c>
      <c r="MX75" s="134">
        <f t="shared" si="704"/>
        <v>0</v>
      </c>
      <c r="MY75" s="134">
        <f t="shared" si="705"/>
        <v>0</v>
      </c>
      <c r="MZ75" s="135"/>
      <c r="NA75" s="135"/>
      <c r="NB75" s="151"/>
      <c r="NC75" s="134"/>
      <c r="ND75" s="134">
        <v>0</v>
      </c>
      <c r="NE75" s="134">
        <v>0</v>
      </c>
      <c r="NF75" s="134"/>
      <c r="NG75" s="133">
        <f t="shared" si="838"/>
        <v>0</v>
      </c>
      <c r="NH75" s="196">
        <v>0</v>
      </c>
      <c r="NI75" s="134">
        <v>0</v>
      </c>
      <c r="NJ75" s="134">
        <v>0</v>
      </c>
      <c r="NK75" s="134">
        <v>0</v>
      </c>
      <c r="NL75" s="190">
        <f t="shared" si="839"/>
        <v>0</v>
      </c>
      <c r="NM75" s="152">
        <v>0</v>
      </c>
      <c r="NN75" s="1563">
        <v>1</v>
      </c>
      <c r="NO75" s="134">
        <v>40914</v>
      </c>
      <c r="NP75" s="134">
        <v>82857</v>
      </c>
      <c r="NQ75" s="134">
        <v>0</v>
      </c>
      <c r="NR75" s="133">
        <f t="shared" si="711"/>
        <v>41943</v>
      </c>
      <c r="NS75" s="196">
        <v>0</v>
      </c>
      <c r="NT75" s="134">
        <v>0</v>
      </c>
      <c r="NU75" s="134">
        <v>0</v>
      </c>
      <c r="NV75" s="134">
        <v>0</v>
      </c>
      <c r="NW75" s="190">
        <f t="shared" si="840"/>
        <v>41943</v>
      </c>
      <c r="NX75" s="152">
        <v>0</v>
      </c>
      <c r="NY75" s="1563"/>
      <c r="NZ75" s="134">
        <v>0</v>
      </c>
      <c r="OA75" s="134">
        <v>0</v>
      </c>
      <c r="OB75" s="134">
        <v>0</v>
      </c>
      <c r="OC75" s="133">
        <f>OA75-(NZ75+OB75)</f>
        <v>0</v>
      </c>
      <c r="OD75" s="196">
        <v>0</v>
      </c>
      <c r="OE75" s="134">
        <v>0</v>
      </c>
      <c r="OF75" s="134">
        <v>0</v>
      </c>
      <c r="OG75" s="134">
        <v>0</v>
      </c>
      <c r="OH75" s="190">
        <f>OC75-SUM(OE75:OG75)</f>
        <v>0</v>
      </c>
      <c r="OI75" s="5380">
        <v>3</v>
      </c>
      <c r="OJ75" s="69"/>
      <c r="OK75" s="155">
        <f t="shared" si="867"/>
        <v>257131.56</v>
      </c>
      <c r="OL75" s="155">
        <f t="shared" si="868"/>
        <v>91351.56</v>
      </c>
      <c r="OM75" s="74">
        <f>OL75/OK75</f>
        <v>0.35527167493558548</v>
      </c>
      <c r="ON75" s="155">
        <f t="shared" si="869"/>
        <v>-741981.44</v>
      </c>
      <c r="OO75" s="70"/>
      <c r="OP75" s="69"/>
      <c r="OQ75" s="5405"/>
      <c r="OR75" s="130"/>
      <c r="OS75" s="130"/>
      <c r="OT75" s="3546"/>
      <c r="OU75" s="133">
        <f>OS75-(OR75+OT75)</f>
        <v>0</v>
      </c>
      <c r="OV75" s="4271">
        <v>0</v>
      </c>
      <c r="OW75" s="134">
        <v>0</v>
      </c>
      <c r="OX75" s="134">
        <v>0</v>
      </c>
      <c r="OY75" s="134">
        <v>0</v>
      </c>
      <c r="OZ75" s="190">
        <f t="shared" si="841"/>
        <v>0</v>
      </c>
      <c r="PA75" s="5361">
        <v>0</v>
      </c>
      <c r="PB75" s="161"/>
      <c r="PC75" s="134"/>
      <c r="PD75" s="134"/>
      <c r="PE75" s="772"/>
      <c r="PF75" s="133">
        <f>PD75-(PC75+PE75)</f>
        <v>0</v>
      </c>
      <c r="PG75" s="4271">
        <v>0</v>
      </c>
      <c r="PH75" s="134">
        <v>0</v>
      </c>
      <c r="PI75" s="134">
        <v>0</v>
      </c>
      <c r="PJ75" s="134">
        <v>0</v>
      </c>
      <c r="PK75" s="190">
        <f>PF75-SUM(PH75:PJ75)</f>
        <v>0</v>
      </c>
      <c r="PL75" s="152">
        <v>0</v>
      </c>
      <c r="PM75" s="5379"/>
      <c r="PN75" s="134"/>
      <c r="PO75" s="134"/>
      <c r="PP75" s="134"/>
      <c r="PQ75" s="6293">
        <f t="shared" si="842"/>
        <v>0</v>
      </c>
      <c r="PR75" s="6296">
        <v>0</v>
      </c>
      <c r="PS75" s="134">
        <v>0</v>
      </c>
      <c r="PT75" s="134">
        <v>0</v>
      </c>
      <c r="PU75" s="134">
        <v>0</v>
      </c>
      <c r="PV75" s="190">
        <f>PQ75-SUM(PS75:PU75)</f>
        <v>0</v>
      </c>
      <c r="PW75" s="5381">
        <v>0</v>
      </c>
      <c r="PX75" s="5320"/>
      <c r="PY75" s="191">
        <f t="shared" si="870"/>
        <v>0</v>
      </c>
      <c r="PZ75" s="191">
        <f t="shared" si="871"/>
        <v>0</v>
      </c>
      <c r="QA75" s="135">
        <v>0</v>
      </c>
      <c r="QB75" s="5379"/>
      <c r="QC75" s="134"/>
      <c r="QD75" s="134"/>
      <c r="QE75" s="134"/>
      <c r="QF75" s="6293">
        <f>QD75-(QC75+QE75)</f>
        <v>0</v>
      </c>
      <c r="QG75" s="6295"/>
      <c r="QH75" s="134">
        <v>0</v>
      </c>
      <c r="QI75" s="759">
        <v>0</v>
      </c>
      <c r="QJ75" s="134">
        <v>0</v>
      </c>
      <c r="QK75" s="190">
        <f t="shared" si="765"/>
        <v>0</v>
      </c>
      <c r="QL75" s="5380"/>
      <c r="QM75" s="5379"/>
      <c r="QN75" s="134">
        <v>0</v>
      </c>
      <c r="QO75" s="134">
        <v>0</v>
      </c>
      <c r="QP75" s="358">
        <v>0</v>
      </c>
      <c r="QQ75" s="133">
        <f t="shared" si="727"/>
        <v>0</v>
      </c>
      <c r="QR75" s="151"/>
      <c r="QS75" s="134">
        <v>0</v>
      </c>
      <c r="QT75" s="759">
        <v>0</v>
      </c>
      <c r="QU75" s="134">
        <v>0</v>
      </c>
      <c r="QV75" s="190">
        <f t="shared" si="729"/>
        <v>0</v>
      </c>
      <c r="QW75" s="5380"/>
      <c r="QX75" s="5379"/>
      <c r="QY75" s="134">
        <v>0</v>
      </c>
      <c r="QZ75" s="134">
        <v>0</v>
      </c>
      <c r="RA75" s="358">
        <v>0</v>
      </c>
      <c r="RB75" s="133">
        <f t="shared" si="731"/>
        <v>0</v>
      </c>
      <c r="RC75" s="151"/>
      <c r="RD75" s="134">
        <v>0</v>
      </c>
      <c r="RE75" s="759">
        <v>0</v>
      </c>
      <c r="RF75" s="134">
        <v>0</v>
      </c>
      <c r="RG75" s="190">
        <f t="shared" si="733"/>
        <v>0</v>
      </c>
      <c r="RH75" s="5381">
        <v>0</v>
      </c>
      <c r="RI75" s="5376"/>
      <c r="RJ75" s="191">
        <f t="shared" si="872"/>
        <v>0</v>
      </c>
      <c r="RK75" s="191">
        <f t="shared" si="873"/>
        <v>0</v>
      </c>
      <c r="RL75" s="5380"/>
      <c r="RM75" s="1562">
        <f t="shared" ref="RM75:RO76" si="875">RI75-PX75</f>
        <v>0</v>
      </c>
      <c r="RN75" s="128">
        <f t="shared" si="875"/>
        <v>0</v>
      </c>
      <c r="RO75" s="139">
        <f t="shared" si="875"/>
        <v>0</v>
      </c>
      <c r="RP75" s="442">
        <v>0</v>
      </c>
      <c r="RQ75" s="442" t="e">
        <f>RN75/PY75</f>
        <v>#DIV/0!</v>
      </c>
      <c r="RR75" s="6339" t="e">
        <f>RO75/PZ75</f>
        <v>#DIV/0!</v>
      </c>
      <c r="RS75" s="6327"/>
      <c r="RT75" s="130"/>
      <c r="RU75" s="130"/>
      <c r="RV75" s="2563"/>
      <c r="RW75" s="133">
        <f t="shared" si="740"/>
        <v>0</v>
      </c>
      <c r="RX75" s="151"/>
      <c r="RY75" s="134"/>
      <c r="RZ75" s="759">
        <v>0</v>
      </c>
      <c r="SA75" s="134">
        <v>0</v>
      </c>
      <c r="SB75" s="190">
        <f t="shared" si="742"/>
        <v>0</v>
      </c>
      <c r="SC75" s="5381">
        <v>0</v>
      </c>
      <c r="SD75" s="5405"/>
      <c r="SE75" s="130"/>
      <c r="SF75" s="130"/>
      <c r="SG75" s="606"/>
      <c r="SH75" s="6361">
        <f>SF75-(SE75+SG75)</f>
        <v>0</v>
      </c>
      <c r="SI75" s="6363"/>
      <c r="SJ75" s="134">
        <v>0</v>
      </c>
      <c r="SK75" s="134">
        <v>0</v>
      </c>
      <c r="SL75" s="134">
        <v>0</v>
      </c>
      <c r="SM75" s="190">
        <f t="shared" si="778"/>
        <v>0</v>
      </c>
      <c r="SN75" s="5381">
        <v>0</v>
      </c>
      <c r="SO75" s="134"/>
      <c r="SP75" s="134"/>
      <c r="SQ75" s="134"/>
      <c r="SR75" s="134"/>
      <c r="SS75" s="6361">
        <f>SQ75-(SP75+SR75)</f>
        <v>0</v>
      </c>
      <c r="ST75" s="6377">
        <v>0</v>
      </c>
      <c r="SU75" s="134">
        <v>0</v>
      </c>
      <c r="SV75" s="134">
        <v>0</v>
      </c>
      <c r="SW75" s="134">
        <v>0</v>
      </c>
      <c r="SX75" s="190">
        <f t="shared" si="782"/>
        <v>0</v>
      </c>
      <c r="SY75" s="5381">
        <v>0</v>
      </c>
      <c r="SZ75" s="6273"/>
      <c r="TA75" s="118">
        <f t="shared" si="784"/>
        <v>0</v>
      </c>
      <c r="TB75" s="118">
        <f t="shared" si="785"/>
        <v>0</v>
      </c>
      <c r="TC75" s="5381">
        <v>0</v>
      </c>
      <c r="TD75" s="1563"/>
      <c r="TE75" s="134">
        <v>0</v>
      </c>
      <c r="TF75" s="134">
        <v>0</v>
      </c>
      <c r="TG75" s="134"/>
      <c r="TH75" s="133">
        <f>TF75-(TE75+TG75)</f>
        <v>0</v>
      </c>
      <c r="TI75" s="196">
        <v>0</v>
      </c>
      <c r="TJ75" s="134"/>
      <c r="TK75" s="134">
        <v>0</v>
      </c>
      <c r="TL75" s="134">
        <v>0</v>
      </c>
      <c r="TM75" s="190">
        <f t="shared" si="789"/>
        <v>0</v>
      </c>
      <c r="TN75" s="5381">
        <v>0</v>
      </c>
      <c r="TO75" s="134"/>
      <c r="TP75" s="134"/>
      <c r="TQ75" s="134"/>
      <c r="TR75" s="134"/>
      <c r="TS75" s="133">
        <f>TQ75-(TP75+TR75)</f>
        <v>0</v>
      </c>
      <c r="TT75" s="196">
        <v>0</v>
      </c>
      <c r="TU75" s="134">
        <v>0</v>
      </c>
      <c r="TV75" s="134"/>
      <c r="TW75" s="134"/>
      <c r="TX75" s="190">
        <f t="shared" si="845"/>
        <v>0</v>
      </c>
      <c r="TY75" s="152">
        <v>0</v>
      </c>
      <c r="TZ75" s="1563"/>
      <c r="UA75" s="134">
        <v>0</v>
      </c>
      <c r="UB75" s="134">
        <v>0</v>
      </c>
      <c r="UC75" s="134">
        <v>0</v>
      </c>
      <c r="UD75" s="133">
        <f t="shared" si="750"/>
        <v>0</v>
      </c>
      <c r="UE75" s="196">
        <v>0</v>
      </c>
      <c r="UF75" s="134"/>
      <c r="UG75" s="134"/>
      <c r="UH75" s="134"/>
      <c r="UI75" s="190">
        <f t="shared" si="752"/>
        <v>0</v>
      </c>
      <c r="UJ75" s="5380">
        <v>3</v>
      </c>
      <c r="UK75" s="5376"/>
      <c r="UL75" s="191">
        <f t="shared" si="754"/>
        <v>0</v>
      </c>
      <c r="UM75" s="191">
        <f t="shared" si="755"/>
        <v>0</v>
      </c>
      <c r="UN75" s="135"/>
      <c r="UO75" s="191">
        <f t="shared" si="757"/>
        <v>0</v>
      </c>
      <c r="UP75" s="5380"/>
    </row>
    <row r="76" spans="1:566" x14ac:dyDescent="0.3">
      <c r="A76" s="5316"/>
      <c r="B76" s="5376" t="s">
        <v>167</v>
      </c>
      <c r="C76" s="578" t="s">
        <v>144</v>
      </c>
      <c r="D76" s="578" t="s">
        <v>142</v>
      </c>
      <c r="E76" s="6278" t="s">
        <v>145</v>
      </c>
      <c r="F76" s="422"/>
      <c r="G76" s="161">
        <v>0</v>
      </c>
      <c r="H76" s="161">
        <v>0</v>
      </c>
      <c r="I76" s="161">
        <v>0</v>
      </c>
      <c r="J76" s="94"/>
      <c r="K76" s="136"/>
      <c r="L76" s="161">
        <v>0</v>
      </c>
      <c r="M76" s="161">
        <v>0</v>
      </c>
      <c r="N76" s="161">
        <v>0</v>
      </c>
      <c r="O76" s="158"/>
      <c r="P76" s="136"/>
      <c r="Q76" s="161">
        <v>0</v>
      </c>
      <c r="R76" s="161">
        <v>0</v>
      </c>
      <c r="S76" s="161">
        <v>0</v>
      </c>
      <c r="T76" s="94"/>
      <c r="U76" s="136"/>
      <c r="V76" s="161">
        <v>0</v>
      </c>
      <c r="W76" s="161">
        <v>0</v>
      </c>
      <c r="X76" s="161">
        <v>0</v>
      </c>
      <c r="Y76" s="759">
        <f t="shared" si="801"/>
        <v>0</v>
      </c>
      <c r="Z76" s="94"/>
      <c r="AA76" s="422"/>
      <c r="AB76" s="161">
        <v>0</v>
      </c>
      <c r="AC76" s="161">
        <v>0</v>
      </c>
      <c r="AD76" s="161">
        <v>0</v>
      </c>
      <c r="AE76" s="775">
        <f t="shared" si="802"/>
        <v>0</v>
      </c>
      <c r="AF76" s="422"/>
      <c r="AG76" s="113"/>
      <c r="AH76" s="616"/>
      <c r="AI76" s="616"/>
      <c r="AJ76" s="616"/>
      <c r="AK76" s="96">
        <f t="shared" si="803"/>
        <v>0</v>
      </c>
      <c r="AL76" s="114"/>
      <c r="AM76" s="129"/>
      <c r="AN76" s="417"/>
      <c r="AO76" s="130"/>
      <c r="AP76" s="417"/>
      <c r="AQ76" s="417"/>
      <c r="AR76" s="421"/>
      <c r="AS76" s="113"/>
      <c r="AT76" s="760">
        <v>0</v>
      </c>
      <c r="AU76" s="761">
        <f t="shared" si="804"/>
        <v>0</v>
      </c>
      <c r="AV76" s="761">
        <f>AK76+AE76+Y76</f>
        <v>0</v>
      </c>
      <c r="AW76" s="116"/>
      <c r="AX76" s="776"/>
      <c r="AY76" s="587">
        <f t="shared" si="805"/>
        <v>0</v>
      </c>
      <c r="AZ76" s="587">
        <f t="shared" si="806"/>
        <v>0</v>
      </c>
      <c r="BA76" s="587">
        <f t="shared" si="807"/>
        <v>0</v>
      </c>
      <c r="BB76" s="588"/>
      <c r="BC76" s="1514"/>
      <c r="BD76" s="759"/>
      <c r="BE76" s="759"/>
      <c r="BF76" s="759"/>
      <c r="BG76" s="775">
        <f t="shared" si="808"/>
        <v>0</v>
      </c>
      <c r="BH76" s="736"/>
      <c r="BI76" s="1514"/>
      <c r="BJ76" s="759"/>
      <c r="BK76" s="759"/>
      <c r="BL76" s="759"/>
      <c r="BM76" s="775">
        <f>BK76-(BJ76+BL76)</f>
        <v>0</v>
      </c>
      <c r="BN76" s="736"/>
      <c r="BO76" s="777"/>
      <c r="BP76" s="759"/>
      <c r="BQ76" s="759"/>
      <c r="BR76" s="759"/>
      <c r="BS76" s="775">
        <f>BQ76-(BP76+BR76)</f>
        <v>0</v>
      </c>
      <c r="BT76" s="239"/>
      <c r="BU76" s="689"/>
      <c r="BV76" s="592">
        <f t="shared" si="809"/>
        <v>0</v>
      </c>
      <c r="BW76" s="592">
        <f>BS76+BM76+BG76</f>
        <v>0</v>
      </c>
      <c r="BX76" s="593"/>
      <c r="BY76" s="691"/>
      <c r="BZ76" s="692"/>
      <c r="CA76" s="692"/>
      <c r="CB76" s="692"/>
      <c r="CC76" s="596">
        <f>CA76-(BZ76+CB76)</f>
        <v>0</v>
      </c>
      <c r="CD76" s="798"/>
      <c r="CE76" s="690"/>
      <c r="CF76" s="690"/>
      <c r="CG76" s="690"/>
      <c r="CH76" s="690"/>
      <c r="CI76" s="109"/>
      <c r="CJ76" s="74"/>
      <c r="CK76" s="136"/>
      <c r="CL76" s="802"/>
      <c r="CM76" s="802"/>
      <c r="CN76" s="802"/>
      <c r="CO76" s="360">
        <f t="shared" si="810"/>
        <v>0</v>
      </c>
      <c r="CP76" s="114"/>
      <c r="CQ76" s="134"/>
      <c r="CR76" s="137"/>
      <c r="CS76" s="137"/>
      <c r="CT76" s="137"/>
      <c r="CU76" s="134"/>
      <c r="CV76" s="135"/>
      <c r="CW76" s="133"/>
      <c r="CX76" s="138"/>
      <c r="CY76" s="130"/>
      <c r="CZ76" s="130"/>
      <c r="DA76" s="605">
        <f>CY76-(CX76+CZ76)</f>
        <v>0</v>
      </c>
      <c r="DB76" s="114"/>
      <c r="DC76" s="129"/>
      <c r="DD76" s="130"/>
      <c r="DE76" s="134"/>
      <c r="DF76" s="130"/>
      <c r="DG76" s="130"/>
      <c r="DH76" s="169"/>
      <c r="DI76" s="204">
        <f>(BY76+CK76+CW76)/3</f>
        <v>0</v>
      </c>
      <c r="DJ76" s="202">
        <f t="shared" si="811"/>
        <v>0</v>
      </c>
      <c r="DK76" s="202">
        <f t="shared" si="812"/>
        <v>0</v>
      </c>
      <c r="DL76" s="119">
        <v>0</v>
      </c>
      <c r="DM76" s="202">
        <f t="shared" si="813"/>
        <v>0</v>
      </c>
      <c r="DN76" s="135"/>
      <c r="DO76" s="607"/>
      <c r="DP76" s="137"/>
      <c r="DQ76" s="137"/>
      <c r="DR76" s="137"/>
      <c r="DS76" s="135"/>
      <c r="DT76" s="135"/>
      <c r="DU76" s="135"/>
      <c r="DV76" s="151"/>
      <c r="DW76" s="607"/>
      <c r="DX76" s="152"/>
      <c r="DY76" s="152"/>
      <c r="DZ76" s="780"/>
      <c r="EA76" s="135"/>
      <c r="EB76" s="135"/>
      <c r="EC76" s="135"/>
      <c r="ED76" s="151"/>
      <c r="EE76" s="133">
        <v>2</v>
      </c>
      <c r="EF76" s="138">
        <v>187202</v>
      </c>
      <c r="EG76" s="130">
        <v>215000</v>
      </c>
      <c r="EH76" s="130"/>
      <c r="EI76" s="605">
        <f>EG76-(EF76+EH76)</f>
        <v>27798</v>
      </c>
      <c r="EJ76" s="114">
        <f>EI76/EG76</f>
        <v>0.12929302325581396</v>
      </c>
      <c r="EK76" s="129">
        <v>26140</v>
      </c>
      <c r="EL76" s="130">
        <v>0</v>
      </c>
      <c r="EM76" s="130">
        <v>0</v>
      </c>
      <c r="EN76" s="130">
        <v>0</v>
      </c>
      <c r="EO76" s="128">
        <f>EI76-EK76-EL76-EM76-EN76</f>
        <v>1658</v>
      </c>
      <c r="EP76" s="114">
        <f>EO76/EG76</f>
        <v>7.7116279069767441E-3</v>
      </c>
      <c r="EQ76" s="129">
        <v>2</v>
      </c>
      <c r="ER76" s="130">
        <v>212633</v>
      </c>
      <c r="ES76" s="130">
        <v>261102</v>
      </c>
      <c r="ET76" s="130"/>
      <c r="EU76" s="134">
        <f>ES76-(ER76+ET76)</f>
        <v>48469</v>
      </c>
      <c r="EV76" s="114">
        <f>EU76/ES76</f>
        <v>0.18563243483389633</v>
      </c>
      <c r="EW76" s="129">
        <v>0</v>
      </c>
      <c r="EX76" s="130">
        <v>0</v>
      </c>
      <c r="EY76" s="130">
        <v>0</v>
      </c>
      <c r="EZ76" s="130">
        <v>0</v>
      </c>
      <c r="FA76" s="128">
        <f>EU76-EW76-EX76-EY76-EZ76</f>
        <v>48469</v>
      </c>
      <c r="FB76" s="114">
        <f>FA76/ES76</f>
        <v>0.18563243483389633</v>
      </c>
      <c r="FC76" s="643">
        <f t="shared" si="815"/>
        <v>2</v>
      </c>
      <c r="FD76" s="644">
        <f t="shared" si="816"/>
        <v>261102</v>
      </c>
      <c r="FE76" s="644">
        <f t="shared" si="817"/>
        <v>48469</v>
      </c>
      <c r="FF76" s="644">
        <f t="shared" si="818"/>
        <v>48469</v>
      </c>
      <c r="FG76" s="74">
        <v>1</v>
      </c>
      <c r="FH76" s="74">
        <v>1</v>
      </c>
      <c r="FI76" s="74">
        <v>1</v>
      </c>
      <c r="FJ76" s="73">
        <v>1</v>
      </c>
      <c r="FK76" s="133">
        <v>2</v>
      </c>
      <c r="FL76" s="134">
        <v>212633</v>
      </c>
      <c r="FM76" s="134">
        <v>243742</v>
      </c>
      <c r="FN76" s="134"/>
      <c r="FO76" s="134">
        <f>FM76-(FL76+FN76)</f>
        <v>31109</v>
      </c>
      <c r="FP76" s="135">
        <f>FO76/FM76</f>
        <v>0.12763085557679843</v>
      </c>
      <c r="FQ76" s="133"/>
      <c r="FR76" s="134"/>
      <c r="FS76" s="134"/>
      <c r="FT76" s="191">
        <f>FO76-SUM(FQ76:FS76)</f>
        <v>31109</v>
      </c>
      <c r="FU76" s="151">
        <f>FT76/FM76</f>
        <v>0.12763085557679843</v>
      </c>
      <c r="FV76" s="803">
        <f t="shared" si="819"/>
        <v>2</v>
      </c>
      <c r="FW76" s="197">
        <f t="shared" si="820"/>
        <v>212633</v>
      </c>
      <c r="FX76" s="197">
        <f t="shared" si="821"/>
        <v>243742</v>
      </c>
      <c r="FY76" s="197">
        <f t="shared" si="822"/>
        <v>31109</v>
      </c>
      <c r="FZ76" s="197">
        <f t="shared" si="823"/>
        <v>31109</v>
      </c>
      <c r="GA76" s="198">
        <v>1</v>
      </c>
      <c r="GB76" s="198">
        <v>1</v>
      </c>
      <c r="GC76" s="198">
        <v>1</v>
      </c>
      <c r="GD76" s="201">
        <v>1</v>
      </c>
      <c r="GE76" s="187">
        <f>(EE76+EQ76+FK76)/3</f>
        <v>2</v>
      </c>
      <c r="GF76" s="155">
        <f t="shared" si="824"/>
        <v>719844</v>
      </c>
      <c r="GG76" s="155">
        <f t="shared" si="825"/>
        <v>107376</v>
      </c>
      <c r="GH76" s="74">
        <f>GG76/GF76</f>
        <v>0.14916565255805425</v>
      </c>
      <c r="GI76" s="613">
        <f t="shared" si="826"/>
        <v>81236</v>
      </c>
      <c r="GJ76" s="187">
        <f t="shared" si="827"/>
        <v>2</v>
      </c>
      <c r="GK76" s="155">
        <f t="shared" si="828"/>
        <v>719844</v>
      </c>
      <c r="GL76" s="155">
        <f t="shared" si="829"/>
        <v>107376</v>
      </c>
      <c r="GM76" s="613">
        <f t="shared" si="830"/>
        <v>81236</v>
      </c>
      <c r="GN76" s="133">
        <v>2</v>
      </c>
      <c r="GO76" s="134">
        <v>212633</v>
      </c>
      <c r="GP76" s="134">
        <v>244587</v>
      </c>
      <c r="GQ76" s="134">
        <v>0</v>
      </c>
      <c r="GR76" s="134">
        <f>GP76-(GO76+GQ76)</f>
        <v>31954</v>
      </c>
      <c r="GS76" s="135">
        <f>GR76/GP76</f>
        <v>0.13064471946587514</v>
      </c>
      <c r="GT76" s="133">
        <v>0</v>
      </c>
      <c r="GU76" s="134">
        <v>0</v>
      </c>
      <c r="GV76" s="134">
        <v>0</v>
      </c>
      <c r="GW76" s="134">
        <v>0</v>
      </c>
      <c r="GX76" s="190">
        <f>GR76-SUM(GT76:GW76)</f>
        <v>31954</v>
      </c>
      <c r="GY76" s="151">
        <f>GX76/GP76</f>
        <v>0.13064471946587514</v>
      </c>
      <c r="GZ76" s="781">
        <v>1</v>
      </c>
      <c r="HA76" s="130">
        <v>139018</v>
      </c>
      <c r="HB76" s="130">
        <v>131936</v>
      </c>
      <c r="HC76" s="134"/>
      <c r="HD76" s="134">
        <f>HB76-(HA76+HC76)</f>
        <v>-7082</v>
      </c>
      <c r="HE76" s="151">
        <f>HD76/HB76</f>
        <v>-5.3677540625757941E-2</v>
      </c>
      <c r="HF76" s="138">
        <v>0</v>
      </c>
      <c r="HG76" s="130">
        <v>0</v>
      </c>
      <c r="HH76" s="130"/>
      <c r="HI76" s="130">
        <v>0</v>
      </c>
      <c r="HJ76" s="197">
        <f>HD76-SUM(HF76:HI76)</f>
        <v>-7082</v>
      </c>
      <c r="HK76" s="201">
        <f>HJ76/HB76</f>
        <v>-5.3677540625757941E-2</v>
      </c>
      <c r="HL76" s="133">
        <v>1</v>
      </c>
      <c r="HM76" s="134">
        <v>139018</v>
      </c>
      <c r="HN76" s="134">
        <v>138880</v>
      </c>
      <c r="HO76" s="134">
        <v>0</v>
      </c>
      <c r="HP76" s="615">
        <f t="shared" si="862"/>
        <v>-138</v>
      </c>
      <c r="HQ76" s="151">
        <f>HP76/HN76</f>
        <v>-9.9366359447004599E-4</v>
      </c>
      <c r="HR76" s="134">
        <v>0</v>
      </c>
      <c r="HS76" s="134">
        <v>0</v>
      </c>
      <c r="HT76" s="134"/>
      <c r="HU76" s="134">
        <v>0</v>
      </c>
      <c r="HV76" s="191">
        <f>HP76-SUM(HR76:HU76)</f>
        <v>-138</v>
      </c>
      <c r="HW76" s="151">
        <f>HV76/HN76</f>
        <v>-9.9366359447004599E-4</v>
      </c>
      <c r="HX76" s="414">
        <v>1</v>
      </c>
      <c r="HY76" s="241">
        <f>HN76+HB76+GP76</f>
        <v>515403</v>
      </c>
      <c r="HZ76" s="415">
        <f>HP76+HD76+GR76</f>
        <v>24734</v>
      </c>
      <c r="IA76" s="135">
        <f t="shared" si="831"/>
        <v>4.7989631414640584E-2</v>
      </c>
      <c r="IB76" s="415">
        <f t="shared" si="832"/>
        <v>24734</v>
      </c>
      <c r="IC76" s="241"/>
      <c r="ID76" s="240">
        <v>1</v>
      </c>
      <c r="IE76" s="141">
        <f t="shared" si="759"/>
        <v>1235247</v>
      </c>
      <c r="IF76" s="141">
        <f t="shared" si="760"/>
        <v>132110</v>
      </c>
      <c r="IG76" s="74">
        <f t="shared" si="701"/>
        <v>0.10695026986505533</v>
      </c>
      <c r="IH76" s="415"/>
      <c r="II76" s="149"/>
      <c r="IJ76" s="133"/>
      <c r="IK76" s="134"/>
      <c r="IL76" s="134"/>
      <c r="IM76" s="134">
        <v>13707</v>
      </c>
      <c r="IN76" s="133">
        <f t="shared" si="833"/>
        <v>-13707</v>
      </c>
      <c r="IO76" s="151"/>
      <c r="IP76" s="134">
        <v>0</v>
      </c>
      <c r="IQ76" s="134">
        <v>0</v>
      </c>
      <c r="IR76" s="134">
        <v>0</v>
      </c>
      <c r="IS76" s="190">
        <f>IN76-SUM(IP76:IR76)</f>
        <v>-13707</v>
      </c>
      <c r="IT76" s="151">
        <v>0</v>
      </c>
      <c r="IU76" s="164"/>
      <c r="IV76" s="134"/>
      <c r="IW76" s="134"/>
      <c r="IX76" s="134"/>
      <c r="IY76" s="133">
        <f>IW76-(IV76+IX76)</f>
        <v>0</v>
      </c>
      <c r="IZ76" s="151"/>
      <c r="JA76" s="134">
        <v>0</v>
      </c>
      <c r="JB76" s="134">
        <v>0</v>
      </c>
      <c r="JC76" s="134">
        <v>0</v>
      </c>
      <c r="JD76" s="190">
        <f>IY76-SUM(JA76:JC76)</f>
        <v>0</v>
      </c>
      <c r="JE76" s="196">
        <v>0</v>
      </c>
      <c r="JF76" s="164"/>
      <c r="JG76" s="134"/>
      <c r="JH76" s="134"/>
      <c r="JI76" s="134"/>
      <c r="JJ76" s="133">
        <f>JH76-(JG76+JI76)</f>
        <v>0</v>
      </c>
      <c r="JK76" s="151"/>
      <c r="JL76" s="134">
        <v>0</v>
      </c>
      <c r="JM76" s="134">
        <v>0</v>
      </c>
      <c r="JN76" s="134">
        <v>0</v>
      </c>
      <c r="JO76" s="190">
        <f>JJ76-SUM(JL76:JN76)</f>
        <v>0</v>
      </c>
      <c r="JP76" s="196">
        <v>0</v>
      </c>
      <c r="JQ76" s="390"/>
      <c r="JR76" s="191">
        <f t="shared" si="863"/>
        <v>0</v>
      </c>
      <c r="JS76" s="191">
        <f t="shared" si="864"/>
        <v>-13707</v>
      </c>
      <c r="JT76" s="196">
        <v>0</v>
      </c>
      <c r="JU76" s="164"/>
      <c r="JV76" s="134"/>
      <c r="JW76" s="134"/>
      <c r="JX76" s="134"/>
      <c r="JY76" s="133">
        <f>JW76-(JV76+JX76)</f>
        <v>0</v>
      </c>
      <c r="JZ76" s="151"/>
      <c r="KA76" s="134">
        <v>0</v>
      </c>
      <c r="KB76" s="759">
        <v>0</v>
      </c>
      <c r="KC76" s="134">
        <v>0</v>
      </c>
      <c r="KD76" s="190">
        <f>JY76-SUM(KA76:KC76)</f>
        <v>0</v>
      </c>
      <c r="KE76" s="196">
        <v>0</v>
      </c>
      <c r="KF76" s="164"/>
      <c r="KG76" s="134">
        <v>0</v>
      </c>
      <c r="KH76" s="134">
        <v>0</v>
      </c>
      <c r="KI76" s="358">
        <v>0</v>
      </c>
      <c r="KJ76" s="133">
        <f t="shared" si="846"/>
        <v>0</v>
      </c>
      <c r="KK76" s="151"/>
      <c r="KL76" s="134">
        <v>0</v>
      </c>
      <c r="KM76" s="759">
        <v>0</v>
      </c>
      <c r="KN76" s="134">
        <v>0</v>
      </c>
      <c r="KO76" s="190">
        <f t="shared" si="850"/>
        <v>0</v>
      </c>
      <c r="KP76" s="196">
        <v>0</v>
      </c>
      <c r="KQ76" s="164"/>
      <c r="KR76" s="134">
        <v>0</v>
      </c>
      <c r="KS76" s="134">
        <v>0</v>
      </c>
      <c r="KT76" s="358">
        <v>0</v>
      </c>
      <c r="KU76" s="133">
        <f t="shared" si="847"/>
        <v>0</v>
      </c>
      <c r="KV76" s="151"/>
      <c r="KW76" s="134">
        <v>0</v>
      </c>
      <c r="KX76" s="759">
        <v>0</v>
      </c>
      <c r="KY76" s="134">
        <v>0</v>
      </c>
      <c r="KZ76" s="190">
        <f t="shared" si="851"/>
        <v>0</v>
      </c>
      <c r="LA76" s="196">
        <v>0</v>
      </c>
      <c r="LB76" s="402"/>
      <c r="LC76" s="191">
        <f t="shared" si="865"/>
        <v>0</v>
      </c>
      <c r="LD76" s="191">
        <f t="shared" si="866"/>
        <v>0</v>
      </c>
      <c r="LE76" s="151"/>
      <c r="LF76" s="226">
        <f t="shared" si="874"/>
        <v>0</v>
      </c>
      <c r="LG76" s="128">
        <f t="shared" si="874"/>
        <v>0</v>
      </c>
      <c r="LH76" s="139">
        <f t="shared" si="874"/>
        <v>13707</v>
      </c>
      <c r="LI76" s="660">
        <v>0</v>
      </c>
      <c r="LJ76" s="660">
        <v>0</v>
      </c>
      <c r="LK76" s="799">
        <v>0</v>
      </c>
      <c r="LL76" s="164"/>
      <c r="LM76" s="134">
        <v>0</v>
      </c>
      <c r="LN76" s="134">
        <v>0</v>
      </c>
      <c r="LO76" s="358">
        <v>0</v>
      </c>
      <c r="LP76" s="133">
        <f t="shared" si="848"/>
        <v>0</v>
      </c>
      <c r="LQ76" s="151"/>
      <c r="LR76" s="134">
        <v>0</v>
      </c>
      <c r="LS76" s="759">
        <v>0</v>
      </c>
      <c r="LT76" s="134">
        <v>0</v>
      </c>
      <c r="LU76" s="190">
        <f>LP76-SUM(LR76:LT76)</f>
        <v>0</v>
      </c>
      <c r="LV76" s="196">
        <v>0</v>
      </c>
      <c r="LW76" s="134"/>
      <c r="LX76" s="134"/>
      <c r="LY76" s="134"/>
      <c r="LZ76" s="134"/>
      <c r="MA76" s="133">
        <f>LY76-(LX76+LZ76)</f>
        <v>0</v>
      </c>
      <c r="MB76" s="151"/>
      <c r="MC76" s="134">
        <v>0</v>
      </c>
      <c r="MD76" s="134">
        <v>0</v>
      </c>
      <c r="ME76" s="134">
        <v>0</v>
      </c>
      <c r="MF76" s="190">
        <f t="shared" si="836"/>
        <v>0</v>
      </c>
      <c r="MG76" s="151"/>
      <c r="MH76" s="134"/>
      <c r="MI76" s="134">
        <v>0</v>
      </c>
      <c r="MJ76" s="134">
        <v>0</v>
      </c>
      <c r="MK76" s="134"/>
      <c r="ML76" s="133">
        <f>MJ76-(MI76+MK76)</f>
        <v>0</v>
      </c>
      <c r="MM76" s="151"/>
      <c r="MN76" s="134">
        <v>0</v>
      </c>
      <c r="MO76" s="134">
        <v>0</v>
      </c>
      <c r="MP76" s="134">
        <v>0</v>
      </c>
      <c r="MQ76" s="190">
        <f t="shared" si="837"/>
        <v>0</v>
      </c>
      <c r="MR76" s="196">
        <v>0</v>
      </c>
      <c r="MS76" s="1473"/>
      <c r="MT76" s="118">
        <f>MJ76+LY76+LN76</f>
        <v>0</v>
      </c>
      <c r="MU76" s="118">
        <f>ML76+MA76+LP76</f>
        <v>0</v>
      </c>
      <c r="MV76" s="135"/>
      <c r="MW76" s="133">
        <f t="shared" si="703"/>
        <v>0</v>
      </c>
      <c r="MX76" s="134">
        <f t="shared" si="704"/>
        <v>0</v>
      </c>
      <c r="MY76" s="134">
        <f t="shared" si="705"/>
        <v>0</v>
      </c>
      <c r="MZ76" s="135"/>
      <c r="NA76" s="135"/>
      <c r="NB76" s="151"/>
      <c r="NC76" s="134"/>
      <c r="ND76" s="134">
        <v>0</v>
      </c>
      <c r="NE76" s="134">
        <v>0</v>
      </c>
      <c r="NF76" s="134"/>
      <c r="NG76" s="133">
        <f t="shared" si="838"/>
        <v>0</v>
      </c>
      <c r="NH76" s="151"/>
      <c r="NI76" s="134">
        <v>0</v>
      </c>
      <c r="NJ76" s="134">
        <v>0</v>
      </c>
      <c r="NK76" s="134">
        <v>0</v>
      </c>
      <c r="NL76" s="190">
        <f t="shared" si="839"/>
        <v>0</v>
      </c>
      <c r="NM76" s="152">
        <v>0</v>
      </c>
      <c r="NN76" s="1563">
        <v>0</v>
      </c>
      <c r="NO76" s="134">
        <v>0</v>
      </c>
      <c r="NP76" s="134">
        <v>0</v>
      </c>
      <c r="NQ76" s="134"/>
      <c r="NR76" s="133">
        <f t="shared" si="711"/>
        <v>0</v>
      </c>
      <c r="NS76" s="151"/>
      <c r="NT76" s="134">
        <v>0</v>
      </c>
      <c r="NU76" s="134">
        <v>0</v>
      </c>
      <c r="NV76" s="134">
        <v>0</v>
      </c>
      <c r="NW76" s="190">
        <f t="shared" si="840"/>
        <v>0</v>
      </c>
      <c r="NX76" s="152">
        <v>0</v>
      </c>
      <c r="NY76" s="1563">
        <v>0</v>
      </c>
      <c r="NZ76" s="134">
        <v>0</v>
      </c>
      <c r="OA76" s="134">
        <v>0</v>
      </c>
      <c r="OB76" s="134">
        <v>0</v>
      </c>
      <c r="OC76" s="133">
        <f>OA76-(NZ76+OB76)</f>
        <v>0</v>
      </c>
      <c r="OD76" s="196">
        <v>0</v>
      </c>
      <c r="OE76" s="134">
        <v>0</v>
      </c>
      <c r="OF76" s="134">
        <v>0</v>
      </c>
      <c r="OG76" s="134">
        <v>0</v>
      </c>
      <c r="OH76" s="190">
        <f>OC76-SUM(OE76:OG76)</f>
        <v>0</v>
      </c>
      <c r="OI76" s="5380">
        <v>4</v>
      </c>
      <c r="OJ76" s="69">
        <v>0</v>
      </c>
      <c r="OK76" s="155">
        <f t="shared" si="867"/>
        <v>0</v>
      </c>
      <c r="OL76" s="155">
        <f t="shared" si="868"/>
        <v>-13707</v>
      </c>
      <c r="OM76" s="74"/>
      <c r="ON76" s="155">
        <f t="shared" si="869"/>
        <v>-13707</v>
      </c>
      <c r="OO76" s="70"/>
      <c r="OP76" s="69"/>
      <c r="OQ76" s="5405"/>
      <c r="OR76" s="130"/>
      <c r="OS76" s="130"/>
      <c r="OT76" s="3546"/>
      <c r="OU76" s="133">
        <f>OS76-(OR76+OT76)</f>
        <v>0</v>
      </c>
      <c r="OV76" s="4271">
        <v>0</v>
      </c>
      <c r="OW76" s="134">
        <v>0</v>
      </c>
      <c r="OX76" s="134">
        <v>0</v>
      </c>
      <c r="OY76" s="134">
        <v>0</v>
      </c>
      <c r="OZ76" s="190">
        <f t="shared" si="841"/>
        <v>0</v>
      </c>
      <c r="PA76" s="5361">
        <v>0</v>
      </c>
      <c r="PB76" s="161"/>
      <c r="PC76" s="134"/>
      <c r="PD76" s="134"/>
      <c r="PE76" s="134"/>
      <c r="PF76" s="133">
        <f>PD76-(PC76+PE76)</f>
        <v>0</v>
      </c>
      <c r="PG76" s="4271">
        <v>0</v>
      </c>
      <c r="PH76" s="134">
        <v>0</v>
      </c>
      <c r="PI76" s="134">
        <v>0</v>
      </c>
      <c r="PJ76" s="134">
        <v>0</v>
      </c>
      <c r="PK76" s="190">
        <f>PF76-SUM(PH76:PJ76)</f>
        <v>0</v>
      </c>
      <c r="PL76" s="152">
        <v>0</v>
      </c>
      <c r="PM76" s="5392"/>
      <c r="PN76" s="134"/>
      <c r="PO76" s="134"/>
      <c r="PP76" s="134"/>
      <c r="PQ76" s="6293">
        <f t="shared" si="842"/>
        <v>0</v>
      </c>
      <c r="PR76" s="6296">
        <v>0</v>
      </c>
      <c r="PS76" s="134">
        <v>0</v>
      </c>
      <c r="PT76" s="134">
        <v>0</v>
      </c>
      <c r="PU76" s="134">
        <v>0</v>
      </c>
      <c r="PV76" s="190">
        <f>PQ76-SUM(PS76:PU76)</f>
        <v>0</v>
      </c>
      <c r="PW76" s="5381">
        <v>0</v>
      </c>
      <c r="PX76" s="5320"/>
      <c r="PY76" s="191">
        <f t="shared" si="870"/>
        <v>0</v>
      </c>
      <c r="PZ76" s="191">
        <f t="shared" si="871"/>
        <v>0</v>
      </c>
      <c r="QA76" s="152">
        <v>0</v>
      </c>
      <c r="QB76" s="5392"/>
      <c r="QC76" s="134"/>
      <c r="QD76" s="134"/>
      <c r="QE76" s="134"/>
      <c r="QF76" s="6293">
        <f>QD76-(QC76+QE76)</f>
        <v>0</v>
      </c>
      <c r="QG76" s="6295"/>
      <c r="QH76" s="134">
        <v>0</v>
      </c>
      <c r="QI76" s="759">
        <v>0</v>
      </c>
      <c r="QJ76" s="134">
        <v>0</v>
      </c>
      <c r="QK76" s="190">
        <f t="shared" si="765"/>
        <v>0</v>
      </c>
      <c r="QL76" s="5380"/>
      <c r="QM76" s="5392"/>
      <c r="QN76" s="134">
        <v>0</v>
      </c>
      <c r="QO76" s="134">
        <v>0</v>
      </c>
      <c r="QP76" s="358">
        <v>0</v>
      </c>
      <c r="QQ76" s="133">
        <f t="shared" si="727"/>
        <v>0</v>
      </c>
      <c r="QR76" s="151"/>
      <c r="QS76" s="134">
        <v>0</v>
      </c>
      <c r="QT76" s="759">
        <v>0</v>
      </c>
      <c r="QU76" s="134">
        <v>0</v>
      </c>
      <c r="QV76" s="190">
        <f t="shared" si="729"/>
        <v>0</v>
      </c>
      <c r="QW76" s="5380"/>
      <c r="QX76" s="5392"/>
      <c r="QY76" s="134">
        <v>0</v>
      </c>
      <c r="QZ76" s="134">
        <v>0</v>
      </c>
      <c r="RA76" s="358">
        <v>0</v>
      </c>
      <c r="RB76" s="133">
        <f t="shared" si="731"/>
        <v>0</v>
      </c>
      <c r="RC76" s="151"/>
      <c r="RD76" s="134">
        <v>0</v>
      </c>
      <c r="RE76" s="759">
        <v>0</v>
      </c>
      <c r="RF76" s="134">
        <v>0</v>
      </c>
      <c r="RG76" s="190">
        <f t="shared" si="733"/>
        <v>0</v>
      </c>
      <c r="RH76" s="5381">
        <v>0</v>
      </c>
      <c r="RI76" s="5376"/>
      <c r="RJ76" s="191">
        <f t="shared" si="872"/>
        <v>0</v>
      </c>
      <c r="RK76" s="191">
        <f t="shared" si="873"/>
        <v>0</v>
      </c>
      <c r="RL76" s="5380"/>
      <c r="RM76" s="1562">
        <f t="shared" si="875"/>
        <v>0</v>
      </c>
      <c r="RN76" s="128">
        <f t="shared" si="875"/>
        <v>0</v>
      </c>
      <c r="RO76" s="139">
        <f t="shared" si="875"/>
        <v>0</v>
      </c>
      <c r="RP76" s="660">
        <v>0</v>
      </c>
      <c r="RQ76" s="660">
        <v>0</v>
      </c>
      <c r="RR76" s="6351">
        <v>0</v>
      </c>
      <c r="RS76" s="734"/>
      <c r="RT76" s="130"/>
      <c r="RU76" s="130"/>
      <c r="RV76" s="2563"/>
      <c r="RW76" s="133"/>
      <c r="RX76" s="151"/>
      <c r="RY76" s="134"/>
      <c r="RZ76" s="759">
        <v>0</v>
      </c>
      <c r="SA76" s="134">
        <v>0</v>
      </c>
      <c r="SB76" s="190">
        <f t="shared" si="742"/>
        <v>0</v>
      </c>
      <c r="SC76" s="5381">
        <v>0</v>
      </c>
      <c r="SD76" s="5405"/>
      <c r="SE76" s="130"/>
      <c r="SF76" s="130"/>
      <c r="SG76" s="606"/>
      <c r="SH76" s="6361">
        <f>SF76-(SE76+SG76)</f>
        <v>0</v>
      </c>
      <c r="SI76" s="6363"/>
      <c r="SJ76" s="134">
        <v>0</v>
      </c>
      <c r="SK76" s="134">
        <v>0</v>
      </c>
      <c r="SL76" s="134">
        <v>0</v>
      </c>
      <c r="SM76" s="190">
        <f t="shared" si="778"/>
        <v>0</v>
      </c>
      <c r="SN76" s="5381">
        <v>0</v>
      </c>
      <c r="SO76" s="134"/>
      <c r="SP76" s="134"/>
      <c r="SQ76" s="134"/>
      <c r="SR76" s="134"/>
      <c r="SS76" s="6361">
        <f>SQ76-(SP76+SR76)</f>
        <v>0</v>
      </c>
      <c r="ST76" s="6363"/>
      <c r="SU76" s="134">
        <v>0</v>
      </c>
      <c r="SV76" s="134">
        <v>0</v>
      </c>
      <c r="SW76" s="134">
        <v>0</v>
      </c>
      <c r="SX76" s="190">
        <f t="shared" si="782"/>
        <v>0</v>
      </c>
      <c r="SY76" s="5381">
        <v>0</v>
      </c>
      <c r="SZ76" s="6273"/>
      <c r="TA76" s="118">
        <f t="shared" si="784"/>
        <v>0</v>
      </c>
      <c r="TB76" s="118">
        <f t="shared" si="785"/>
        <v>0</v>
      </c>
      <c r="TC76" s="5381">
        <v>0</v>
      </c>
      <c r="TD76" s="1563"/>
      <c r="TE76" s="134">
        <v>0</v>
      </c>
      <c r="TF76" s="134">
        <v>0</v>
      </c>
      <c r="TG76" s="134"/>
      <c r="TH76" s="133">
        <f>TF76-(TE76+TG76)</f>
        <v>0</v>
      </c>
      <c r="TI76" s="196">
        <v>0</v>
      </c>
      <c r="TJ76" s="134"/>
      <c r="TK76" s="134">
        <v>0</v>
      </c>
      <c r="TL76" s="134">
        <v>0</v>
      </c>
      <c r="TM76" s="190">
        <f t="shared" si="789"/>
        <v>0</v>
      </c>
      <c r="TN76" s="5381">
        <v>0</v>
      </c>
      <c r="TO76" s="134">
        <v>0</v>
      </c>
      <c r="TP76" s="134">
        <v>0</v>
      </c>
      <c r="TQ76" s="134">
        <v>0</v>
      </c>
      <c r="TR76" s="134"/>
      <c r="TS76" s="133">
        <f>TQ76-(TP76+TR76)</f>
        <v>0</v>
      </c>
      <c r="TT76" s="151"/>
      <c r="TU76" s="134">
        <v>0</v>
      </c>
      <c r="TV76" s="134"/>
      <c r="TW76" s="134"/>
      <c r="TX76" s="190">
        <f t="shared" si="845"/>
        <v>0</v>
      </c>
      <c r="TY76" s="152">
        <v>0</v>
      </c>
      <c r="TZ76" s="1563">
        <v>0</v>
      </c>
      <c r="UA76" s="134">
        <v>0</v>
      </c>
      <c r="UB76" s="134">
        <v>0</v>
      </c>
      <c r="UC76" s="134">
        <v>0</v>
      </c>
      <c r="UD76" s="133">
        <f t="shared" si="750"/>
        <v>0</v>
      </c>
      <c r="UE76" s="196">
        <v>0</v>
      </c>
      <c r="UF76" s="134"/>
      <c r="UG76" s="134"/>
      <c r="UH76" s="134"/>
      <c r="UI76" s="190">
        <f t="shared" si="752"/>
        <v>0</v>
      </c>
      <c r="UJ76" s="5380">
        <v>4</v>
      </c>
      <c r="UK76" s="5376"/>
      <c r="UL76" s="191">
        <f t="shared" si="754"/>
        <v>0</v>
      </c>
      <c r="UM76" s="191">
        <f t="shared" si="755"/>
        <v>0</v>
      </c>
      <c r="UN76" s="135"/>
      <c r="UO76" s="191">
        <f t="shared" si="757"/>
        <v>0</v>
      </c>
      <c r="UP76" s="5380"/>
    </row>
    <row r="77" spans="1:566" x14ac:dyDescent="0.3">
      <c r="A77" s="5316"/>
      <c r="B77" s="5360" t="s">
        <v>151</v>
      </c>
      <c r="C77" s="578" t="s">
        <v>144</v>
      </c>
      <c r="D77" s="578" t="s">
        <v>142</v>
      </c>
      <c r="E77" s="6278" t="s">
        <v>145</v>
      </c>
      <c r="F77" s="422">
        <v>1</v>
      </c>
      <c r="G77" s="161">
        <v>46538</v>
      </c>
      <c r="H77" s="161">
        <v>71000</v>
      </c>
      <c r="I77" s="161">
        <v>24462</v>
      </c>
      <c r="J77" s="94">
        <f>I77/H77</f>
        <v>0.34453521126760561</v>
      </c>
      <c r="K77" s="136">
        <v>4</v>
      </c>
      <c r="L77" s="161">
        <v>139614</v>
      </c>
      <c r="M77" s="161">
        <v>213000</v>
      </c>
      <c r="N77" s="161">
        <v>73386</v>
      </c>
      <c r="O77" s="158">
        <f>N77/M77</f>
        <v>0.34453521126760561</v>
      </c>
      <c r="P77" s="136">
        <v>1</v>
      </c>
      <c r="Q77" s="161">
        <v>123614</v>
      </c>
      <c r="R77" s="161">
        <v>172869.56398229999</v>
      </c>
      <c r="S77" s="161">
        <v>49255.563982300009</v>
      </c>
      <c r="T77" s="94">
        <f>S77/R77</f>
        <v>0.28492906933775375</v>
      </c>
      <c r="U77" s="136"/>
      <c r="V77" s="161">
        <v>0</v>
      </c>
      <c r="W77" s="161">
        <v>0</v>
      </c>
      <c r="X77" s="161">
        <v>0</v>
      </c>
      <c r="Y77" s="759">
        <f t="shared" si="801"/>
        <v>0</v>
      </c>
      <c r="Z77" s="94"/>
      <c r="AA77" s="422">
        <v>1</v>
      </c>
      <c r="AB77" s="161">
        <v>57264</v>
      </c>
      <c r="AC77" s="161">
        <v>90000</v>
      </c>
      <c r="AD77" s="161">
        <v>0</v>
      </c>
      <c r="AE77" s="775">
        <f t="shared" si="802"/>
        <v>32736</v>
      </c>
      <c r="AF77" s="422"/>
      <c r="AG77" s="113">
        <v>1</v>
      </c>
      <c r="AH77" s="616">
        <v>57264</v>
      </c>
      <c r="AI77" s="616">
        <v>87096.77</v>
      </c>
      <c r="AJ77" s="616"/>
      <c r="AK77" s="96">
        <f t="shared" si="803"/>
        <v>29832.770000000004</v>
      </c>
      <c r="AL77" s="114">
        <f>AK77/AI77</f>
        <v>0.3425244127882125</v>
      </c>
      <c r="AM77" s="129">
        <v>56390</v>
      </c>
      <c r="AN77" s="417">
        <v>97232</v>
      </c>
      <c r="AO77" s="130">
        <v>0</v>
      </c>
      <c r="AP77" s="417">
        <v>0</v>
      </c>
      <c r="AQ77" s="417">
        <f>AK77-AM77-AN77-AO77-AP77</f>
        <v>-123789.23</v>
      </c>
      <c r="AR77" s="421">
        <f>AQ77/AI77</f>
        <v>-1.4212838202840357</v>
      </c>
      <c r="AS77" s="113">
        <v>1</v>
      </c>
      <c r="AT77" s="760">
        <v>114528.00000000001</v>
      </c>
      <c r="AU77" s="761">
        <f t="shared" si="804"/>
        <v>177096.77000000002</v>
      </c>
      <c r="AV77" s="161">
        <v>54394.770000000019</v>
      </c>
      <c r="AW77" s="116">
        <f>AV77/AU77</f>
        <v>0.30714716027853028</v>
      </c>
      <c r="AX77" s="776">
        <v>1</v>
      </c>
      <c r="AY77" s="587">
        <f t="shared" si="805"/>
        <v>424294</v>
      </c>
      <c r="AZ77" s="587">
        <f t="shared" si="806"/>
        <v>633966.33398230001</v>
      </c>
      <c r="BA77" s="587">
        <f t="shared" si="807"/>
        <v>201498.33398230001</v>
      </c>
      <c r="BB77" s="588">
        <f>BA77/AZ77</f>
        <v>0.31783759354629348</v>
      </c>
      <c r="BC77" s="1514">
        <v>2</v>
      </c>
      <c r="BD77" s="759">
        <v>126791</v>
      </c>
      <c r="BE77" s="759">
        <v>210000</v>
      </c>
      <c r="BF77" s="759"/>
      <c r="BG77" s="775">
        <f t="shared" si="808"/>
        <v>83209</v>
      </c>
      <c r="BH77" s="736">
        <f>BG77/BE77</f>
        <v>0.39623333333333333</v>
      </c>
      <c r="BI77" s="1514">
        <v>3</v>
      </c>
      <c r="BJ77" s="759">
        <v>255454</v>
      </c>
      <c r="BK77" s="759">
        <v>387806</v>
      </c>
      <c r="BL77" s="759"/>
      <c r="BM77" s="775">
        <f>BK77-(BJ77+BL77)</f>
        <v>132352</v>
      </c>
      <c r="BN77" s="736">
        <f>BM77/BK77</f>
        <v>0.34128404408389762</v>
      </c>
      <c r="BO77" s="777">
        <v>2</v>
      </c>
      <c r="BP77" s="759">
        <v>200370</v>
      </c>
      <c r="BQ77" s="759">
        <v>318500</v>
      </c>
      <c r="BR77" s="759"/>
      <c r="BS77" s="775">
        <f>BQ77-(BP77+BR77)</f>
        <v>118130</v>
      </c>
      <c r="BT77" s="239">
        <f>BS77/BQ77</f>
        <v>0.37089481946624803</v>
      </c>
      <c r="BU77" s="689">
        <v>2</v>
      </c>
      <c r="BV77" s="592">
        <f t="shared" si="809"/>
        <v>916306</v>
      </c>
      <c r="BW77" s="592">
        <f>BS77+BM77+BG77</f>
        <v>333691</v>
      </c>
      <c r="BX77" s="593">
        <f>BW77/BV77</f>
        <v>0.3641698297293699</v>
      </c>
      <c r="BY77" s="654">
        <v>2</v>
      </c>
      <c r="BZ77" s="650">
        <v>200370</v>
      </c>
      <c r="CA77" s="650">
        <v>323000</v>
      </c>
      <c r="CB77" s="650"/>
      <c r="CC77" s="596">
        <f>CA77-(BZ77+CB77)</f>
        <v>122630</v>
      </c>
      <c r="CD77" s="655">
        <f>CC77/CA77</f>
        <v>0.37965944272445823</v>
      </c>
      <c r="CE77" s="670">
        <v>69166</v>
      </c>
      <c r="CF77" s="671">
        <v>135753</v>
      </c>
      <c r="CG77" s="671"/>
      <c r="CH77" s="671">
        <v>143104.11111111112</v>
      </c>
      <c r="CI77" s="599">
        <f>CC77-CE77-CF77-CG77-CH77</f>
        <v>-225393.11111111112</v>
      </c>
      <c r="CJ77" s="597">
        <f>CI77/CA77</f>
        <v>-0.69781148950808403</v>
      </c>
      <c r="CK77" s="600">
        <v>1</v>
      </c>
      <c r="CL77" s="601">
        <v>130843</v>
      </c>
      <c r="CM77" s="601">
        <v>188000</v>
      </c>
      <c r="CN77" s="601"/>
      <c r="CO77" s="360">
        <f t="shared" si="810"/>
        <v>57157</v>
      </c>
      <c r="CP77" s="602">
        <f>CO77/CM77</f>
        <v>0.30402659574468083</v>
      </c>
      <c r="CQ77" s="779">
        <v>0</v>
      </c>
      <c r="CR77" s="778">
        <v>70250</v>
      </c>
      <c r="CS77" s="778"/>
      <c r="CT77" s="603">
        <v>163912.75050000002</v>
      </c>
      <c r="CU77" s="603">
        <f>CO77-CQ77-CR77-CS77-CT77</f>
        <v>-177005.75050000002</v>
      </c>
      <c r="CV77" s="604">
        <f>CU77/CM77</f>
        <v>-0.94151994946808526</v>
      </c>
      <c r="CW77" s="129">
        <v>1</v>
      </c>
      <c r="CX77" s="130">
        <v>130843</v>
      </c>
      <c r="CY77" s="130">
        <v>188000</v>
      </c>
      <c r="CZ77" s="130"/>
      <c r="DA77" s="605">
        <f>CY77-(CX77+CZ77)</f>
        <v>57157</v>
      </c>
      <c r="DB77" s="114">
        <f>DA77/CY77</f>
        <v>0.30402659574468083</v>
      </c>
      <c r="DC77" s="129">
        <v>62500</v>
      </c>
      <c r="DD77" s="130"/>
      <c r="DE77" s="130"/>
      <c r="DF77" s="130">
        <v>0</v>
      </c>
      <c r="DG77" s="128">
        <f>DA77-DC77-DD77-DE77-DF77</f>
        <v>-5343</v>
      </c>
      <c r="DH77" s="169">
        <f>DG77/CY77</f>
        <v>-2.8420212765957447E-2</v>
      </c>
      <c r="DI77" s="204">
        <f>(BY77+CK77+CW77)/3</f>
        <v>1.3333333333333333</v>
      </c>
      <c r="DJ77" s="202">
        <f t="shared" si="811"/>
        <v>699000</v>
      </c>
      <c r="DK77" s="202">
        <f t="shared" si="812"/>
        <v>236944</v>
      </c>
      <c r="DL77" s="119">
        <f>DK77/DJ77</f>
        <v>0.33897567954220315</v>
      </c>
      <c r="DM77" s="202">
        <f t="shared" si="813"/>
        <v>-407741.86161111115</v>
      </c>
      <c r="DN77" s="119">
        <f>DM77/DJ77</f>
        <v>-0.5833216904307742</v>
      </c>
      <c r="DO77" s="607">
        <f t="shared" ref="DO77:DQ78" si="876">CW77-AG77</f>
        <v>0</v>
      </c>
      <c r="DP77" s="137">
        <f t="shared" si="876"/>
        <v>73579</v>
      </c>
      <c r="DQ77" s="137">
        <f t="shared" si="876"/>
        <v>100903.23</v>
      </c>
      <c r="DR77" s="137">
        <f>DA77-AK77</f>
        <v>27324.229999999996</v>
      </c>
      <c r="DS77" s="135">
        <f>DO77/AG77</f>
        <v>0</v>
      </c>
      <c r="DT77" s="135">
        <f>DP77/AI77</f>
        <v>0.8447959666012872</v>
      </c>
      <c r="DU77" s="135">
        <f>DQ77/AK77</f>
        <v>3.3822950399845535</v>
      </c>
      <c r="DV77" s="151">
        <f>DR77/AQ77</f>
        <v>-0.22073188434890498</v>
      </c>
      <c r="DW77" s="607">
        <f>CW77-CK77</f>
        <v>0</v>
      </c>
      <c r="DX77" s="152">
        <f>CY77-CM77</f>
        <v>0</v>
      </c>
      <c r="DY77" s="152">
        <f>DA77-CO77</f>
        <v>0</v>
      </c>
      <c r="DZ77" s="780">
        <f>DG77-CU77</f>
        <v>171662.75050000002</v>
      </c>
      <c r="EA77" s="135">
        <f>DW77/CK77</f>
        <v>0</v>
      </c>
      <c r="EB77" s="135">
        <f>DX77/CM77</f>
        <v>0</v>
      </c>
      <c r="EC77" s="135">
        <f>DY77/CO77</f>
        <v>0</v>
      </c>
      <c r="ED77" s="151">
        <f>DZ77/CU77</f>
        <v>-0.96981454000840495</v>
      </c>
      <c r="EE77" s="129">
        <v>1</v>
      </c>
      <c r="EF77" s="130">
        <v>130843</v>
      </c>
      <c r="EG77" s="130">
        <v>188000</v>
      </c>
      <c r="EH77" s="130"/>
      <c r="EI77" s="605">
        <f>EG77-(EF77+EH77)</f>
        <v>57157</v>
      </c>
      <c r="EJ77" s="114">
        <f>EI77/EG77</f>
        <v>0.30402659574468083</v>
      </c>
      <c r="EK77" s="129">
        <v>3600</v>
      </c>
      <c r="EL77" s="130">
        <v>0</v>
      </c>
      <c r="EM77" s="130">
        <v>0</v>
      </c>
      <c r="EN77" s="130">
        <v>0</v>
      </c>
      <c r="EO77" s="128">
        <f>EI77-EK77-EL77-EM77-EN77</f>
        <v>53557</v>
      </c>
      <c r="EP77" s="114">
        <f>EO77/EG77</f>
        <v>0.28487765957446809</v>
      </c>
      <c r="EQ77" s="129">
        <v>1</v>
      </c>
      <c r="ER77" s="130">
        <v>130843</v>
      </c>
      <c r="ES77" s="130">
        <v>188000</v>
      </c>
      <c r="ET77" s="130"/>
      <c r="EU77" s="134">
        <f>ES77-(ER77+ET77)</f>
        <v>57157</v>
      </c>
      <c r="EV77" s="114">
        <f>EU77/ES77</f>
        <v>0.30402659574468083</v>
      </c>
      <c r="EW77" s="129">
        <v>0</v>
      </c>
      <c r="EX77" s="130">
        <v>0</v>
      </c>
      <c r="EY77" s="130">
        <v>0</v>
      </c>
      <c r="EZ77" s="130">
        <v>0</v>
      </c>
      <c r="FA77" s="128">
        <f>EU77-EW77-EX77-EY77-EZ77</f>
        <v>57157</v>
      </c>
      <c r="FB77" s="114">
        <f>FA77/ES77</f>
        <v>0.30402659574468083</v>
      </c>
      <c r="FC77" s="643">
        <f t="shared" si="815"/>
        <v>0</v>
      </c>
      <c r="FD77" s="644">
        <f t="shared" si="816"/>
        <v>100903.23</v>
      </c>
      <c r="FE77" s="644">
        <f t="shared" si="817"/>
        <v>27324.229999999996</v>
      </c>
      <c r="FF77" s="644">
        <f t="shared" si="818"/>
        <v>180946.22999999998</v>
      </c>
      <c r="FG77" s="74">
        <f>FC77/AG77</f>
        <v>0</v>
      </c>
      <c r="FH77" s="74">
        <f>FD77/AI77</f>
        <v>1.1585186224471928</v>
      </c>
      <c r="FI77" s="74">
        <f>FE77/AK77</f>
        <v>0.91591327255229704</v>
      </c>
      <c r="FJ77" s="73">
        <f>FF77/AQ77</f>
        <v>-1.461728374915976</v>
      </c>
      <c r="FK77" s="133">
        <v>1</v>
      </c>
      <c r="FL77" s="134">
        <v>130843</v>
      </c>
      <c r="FM77" s="134">
        <v>169806.45</v>
      </c>
      <c r="FN77" s="134"/>
      <c r="FO77" s="134">
        <f>FM77-(FL77+FN77)</f>
        <v>38963.450000000012</v>
      </c>
      <c r="FP77" s="135">
        <f>FO77/FM77</f>
        <v>0.2294580093983474</v>
      </c>
      <c r="FQ77" s="133"/>
      <c r="FR77" s="134"/>
      <c r="FS77" s="134"/>
      <c r="FT77" s="191">
        <f>FO77-SUM(FQ77:FS77)</f>
        <v>38963.450000000012</v>
      </c>
      <c r="FU77" s="151">
        <f>FT77/FM77</f>
        <v>0.2294580093983474</v>
      </c>
      <c r="FV77" s="190">
        <f t="shared" si="819"/>
        <v>0</v>
      </c>
      <c r="FW77" s="191">
        <f t="shared" si="820"/>
        <v>73579</v>
      </c>
      <c r="FX77" s="191">
        <f t="shared" si="821"/>
        <v>82709.680000000008</v>
      </c>
      <c r="FY77" s="191">
        <f t="shared" si="822"/>
        <v>9130.6800000000076</v>
      </c>
      <c r="FZ77" s="191">
        <f t="shared" si="823"/>
        <v>162752.68</v>
      </c>
      <c r="GA77" s="135">
        <f>FV77/AG77</f>
        <v>0</v>
      </c>
      <c r="GB77" s="135">
        <f>FX77/AI77</f>
        <v>0.94962970498217103</v>
      </c>
      <c r="GC77" s="135">
        <f>FY77/AK77</f>
        <v>0.30606209212218666</v>
      </c>
      <c r="GD77" s="151">
        <f>FZ77/AQ77</f>
        <v>-1.3147563806641336</v>
      </c>
      <c r="GE77" s="187">
        <f>(EE77+EQ77+FK77)/3</f>
        <v>1</v>
      </c>
      <c r="GF77" s="155">
        <f t="shared" si="824"/>
        <v>545806.44999999995</v>
      </c>
      <c r="GG77" s="155">
        <f t="shared" si="825"/>
        <v>153277.45000000001</v>
      </c>
      <c r="GH77" s="74">
        <f>GG77/GF77</f>
        <v>0.28082748014428927</v>
      </c>
      <c r="GI77" s="613">
        <f t="shared" si="826"/>
        <v>149677.45000000001</v>
      </c>
      <c r="GJ77" s="187">
        <f t="shared" si="827"/>
        <v>-0.33333333333333326</v>
      </c>
      <c r="GK77" s="155">
        <f t="shared" si="828"/>
        <v>-153193.55000000005</v>
      </c>
      <c r="GL77" s="155">
        <f t="shared" si="829"/>
        <v>-83666.549999999988</v>
      </c>
      <c r="GM77" s="613">
        <f t="shared" si="830"/>
        <v>557419.31161111116</v>
      </c>
      <c r="GN77" s="226"/>
      <c r="GO77" s="118">
        <v>0</v>
      </c>
      <c r="GP77" s="118">
        <v>0</v>
      </c>
      <c r="GQ77" s="134">
        <v>25779</v>
      </c>
      <c r="GR77" s="134">
        <f>GP77-(GO77+GQ77)</f>
        <v>-25779</v>
      </c>
      <c r="GS77" s="119"/>
      <c r="GT77" s="226">
        <v>0</v>
      </c>
      <c r="GU77" s="118">
        <v>0</v>
      </c>
      <c r="GV77" s="134">
        <v>0</v>
      </c>
      <c r="GW77" s="134">
        <v>0</v>
      </c>
      <c r="GX77" s="188">
        <f>GR77-SUM(GT77:GW77)</f>
        <v>-25779</v>
      </c>
      <c r="GY77" s="150"/>
      <c r="GZ77" s="804"/>
      <c r="HA77" s="128">
        <v>0</v>
      </c>
      <c r="HB77" s="128">
        <v>0</v>
      </c>
      <c r="HC77" s="118"/>
      <c r="HD77" s="134">
        <f>HB77-(HA77+HC77)</f>
        <v>0</v>
      </c>
      <c r="HE77" s="150"/>
      <c r="HF77" s="139">
        <v>0</v>
      </c>
      <c r="HG77" s="128">
        <v>0</v>
      </c>
      <c r="HH77" s="128"/>
      <c r="HI77" s="128">
        <v>0</v>
      </c>
      <c r="HJ77" s="197">
        <v>0</v>
      </c>
      <c r="HK77" s="201"/>
      <c r="HL77" s="133"/>
      <c r="HM77" s="134">
        <v>0</v>
      </c>
      <c r="HN77" s="134">
        <v>0</v>
      </c>
      <c r="HO77" s="134">
        <v>0</v>
      </c>
      <c r="HP77" s="615">
        <f t="shared" si="862"/>
        <v>0</v>
      </c>
      <c r="HQ77" s="151"/>
      <c r="HR77" s="134">
        <v>0</v>
      </c>
      <c r="HS77" s="134">
        <v>0</v>
      </c>
      <c r="HT77" s="134"/>
      <c r="HU77" s="134">
        <v>0</v>
      </c>
      <c r="HV77" s="191">
        <f>HP77-SUM(HR77:HU77)</f>
        <v>0</v>
      </c>
      <c r="HW77" s="196">
        <v>0</v>
      </c>
      <c r="HX77" s="805"/>
      <c r="HY77" s="241">
        <f>HN77+HB77+GP77</f>
        <v>0</v>
      </c>
      <c r="HZ77" s="415">
        <f>HP77+HD77+GR77</f>
        <v>-25779</v>
      </c>
      <c r="IA77" s="135"/>
      <c r="IB77" s="415">
        <f t="shared" si="832"/>
        <v>-25779</v>
      </c>
      <c r="IC77" s="241"/>
      <c r="ID77" s="240"/>
      <c r="IE77" s="141">
        <f t="shared" si="759"/>
        <v>2161112.4500000002</v>
      </c>
      <c r="IF77" s="141">
        <f t="shared" si="760"/>
        <v>698133.45</v>
      </c>
      <c r="IG77" s="74">
        <f t="shared" si="701"/>
        <v>0.32304355564653747</v>
      </c>
      <c r="IH77" s="415"/>
      <c r="II77" s="149"/>
      <c r="IJ77" s="133"/>
      <c r="IK77" s="134">
        <v>0</v>
      </c>
      <c r="IL77" s="134">
        <v>0</v>
      </c>
      <c r="IM77" s="134">
        <v>0</v>
      </c>
      <c r="IN77" s="133">
        <f t="shared" si="833"/>
        <v>0</v>
      </c>
      <c r="IO77" s="151"/>
      <c r="IP77" s="134">
        <v>0</v>
      </c>
      <c r="IQ77" s="134">
        <v>0</v>
      </c>
      <c r="IR77" s="134">
        <v>0</v>
      </c>
      <c r="IS77" s="190">
        <f>IN77-SUM(IP77:IR77)</f>
        <v>0</v>
      </c>
      <c r="IT77" s="196">
        <v>0</v>
      </c>
      <c r="IU77" s="164"/>
      <c r="IV77" s="134"/>
      <c r="IW77" s="134"/>
      <c r="IX77" s="134">
        <v>0</v>
      </c>
      <c r="IY77" s="133">
        <f>IW77-(IV77+IX77)</f>
        <v>0</v>
      </c>
      <c r="IZ77" s="151"/>
      <c r="JA77" s="134">
        <v>0</v>
      </c>
      <c r="JB77" s="134">
        <v>0</v>
      </c>
      <c r="JC77" s="134">
        <v>0</v>
      </c>
      <c r="JD77" s="190">
        <f>IY77-SUM(JA77:JC77)</f>
        <v>0</v>
      </c>
      <c r="JE77" s="196">
        <v>0</v>
      </c>
      <c r="JF77" s="164"/>
      <c r="JG77" s="134"/>
      <c r="JH77" s="134"/>
      <c r="JI77" s="134"/>
      <c r="JJ77" s="133">
        <f>JH77-(JG77+JI77)</f>
        <v>0</v>
      </c>
      <c r="JK77" s="151"/>
      <c r="JL77" s="134">
        <v>0</v>
      </c>
      <c r="JM77" s="134">
        <v>0</v>
      </c>
      <c r="JN77" s="134">
        <v>0</v>
      </c>
      <c r="JO77" s="190">
        <f>JJ77-SUM(JL77:JN77)</f>
        <v>0</v>
      </c>
      <c r="JP77" s="196">
        <v>0</v>
      </c>
      <c r="JQ77" s="390"/>
      <c r="JR77" s="191">
        <f t="shared" si="863"/>
        <v>0</v>
      </c>
      <c r="JS77" s="191">
        <f t="shared" si="864"/>
        <v>0</v>
      </c>
      <c r="JT77" s="196">
        <v>0</v>
      </c>
      <c r="JU77" s="164"/>
      <c r="JV77" s="134"/>
      <c r="JW77" s="134"/>
      <c r="JX77" s="134"/>
      <c r="JY77" s="133">
        <f>JW77-(JV77+JX77)</f>
        <v>0</v>
      </c>
      <c r="JZ77" s="151"/>
      <c r="KA77" s="134">
        <v>0</v>
      </c>
      <c r="KB77" s="759">
        <v>0</v>
      </c>
      <c r="KC77" s="134">
        <v>0</v>
      </c>
      <c r="KD77" s="190">
        <f>JY77-SUM(KA77:KC77)</f>
        <v>0</v>
      </c>
      <c r="KE77" s="196">
        <v>0</v>
      </c>
      <c r="KF77" s="164"/>
      <c r="KG77" s="134">
        <v>0</v>
      </c>
      <c r="KH77" s="134">
        <v>0</v>
      </c>
      <c r="KI77" s="358">
        <v>0</v>
      </c>
      <c r="KJ77" s="133">
        <f t="shared" si="846"/>
        <v>0</v>
      </c>
      <c r="KK77" s="151"/>
      <c r="KL77" s="134">
        <v>0</v>
      </c>
      <c r="KM77" s="759">
        <v>0</v>
      </c>
      <c r="KN77" s="134">
        <v>0</v>
      </c>
      <c r="KO77" s="190">
        <f t="shared" si="850"/>
        <v>0</v>
      </c>
      <c r="KP77" s="196">
        <v>0</v>
      </c>
      <c r="KQ77" s="164"/>
      <c r="KR77" s="134">
        <v>0</v>
      </c>
      <c r="KS77" s="134">
        <v>0</v>
      </c>
      <c r="KT77" s="358">
        <v>0</v>
      </c>
      <c r="KU77" s="133">
        <f t="shared" si="847"/>
        <v>0</v>
      </c>
      <c r="KV77" s="151"/>
      <c r="KW77" s="134">
        <v>0</v>
      </c>
      <c r="KX77" s="759">
        <v>0</v>
      </c>
      <c r="KY77" s="134">
        <v>0</v>
      </c>
      <c r="KZ77" s="190">
        <f t="shared" si="851"/>
        <v>0</v>
      </c>
      <c r="LA77" s="196">
        <v>0</v>
      </c>
      <c r="LB77" s="402"/>
      <c r="LC77" s="191">
        <f t="shared" si="865"/>
        <v>0</v>
      </c>
      <c r="LD77" s="191">
        <f t="shared" si="866"/>
        <v>0</v>
      </c>
      <c r="LE77" s="151"/>
      <c r="LF77" s="129">
        <f>KF77-HL77</f>
        <v>0</v>
      </c>
      <c r="LG77" s="128">
        <f t="shared" ref="LG77:LH79" si="877">JW77-HN77</f>
        <v>0</v>
      </c>
      <c r="LH77" s="139">
        <f t="shared" si="877"/>
        <v>0</v>
      </c>
      <c r="LI77" s="442"/>
      <c r="LJ77" s="442"/>
      <c r="LK77" s="106"/>
      <c r="LL77" s="164"/>
      <c r="LM77" s="134">
        <v>0</v>
      </c>
      <c r="LN77" s="134">
        <v>0</v>
      </c>
      <c r="LO77" s="358">
        <v>0</v>
      </c>
      <c r="LP77" s="133">
        <f t="shared" si="848"/>
        <v>0</v>
      </c>
      <c r="LQ77" s="151"/>
      <c r="LR77" s="134">
        <v>0</v>
      </c>
      <c r="LS77" s="759">
        <v>0</v>
      </c>
      <c r="LT77" s="134">
        <v>0</v>
      </c>
      <c r="LU77" s="190">
        <f>LP77-SUM(LR77:LT77)</f>
        <v>0</v>
      </c>
      <c r="LV77" s="196">
        <v>0</v>
      </c>
      <c r="LW77" s="134"/>
      <c r="LX77" s="134"/>
      <c r="LY77" s="134"/>
      <c r="LZ77" s="134"/>
      <c r="MA77" s="133">
        <f>LY77-(LX77+LZ77)</f>
        <v>0</v>
      </c>
      <c r="MB77" s="151"/>
      <c r="MC77" s="134"/>
      <c r="MD77" s="134"/>
      <c r="ME77" s="134">
        <v>0</v>
      </c>
      <c r="MF77" s="190">
        <f t="shared" si="836"/>
        <v>0</v>
      </c>
      <c r="MG77" s="151" t="e">
        <f>MF77/LY77</f>
        <v>#DIV/0!</v>
      </c>
      <c r="MH77" s="134"/>
      <c r="MI77" s="134"/>
      <c r="MJ77" s="134"/>
      <c r="MK77" s="134"/>
      <c r="ML77" s="133">
        <f>MJ77-(MI77+MK77)</f>
        <v>0</v>
      </c>
      <c r="MM77" s="151"/>
      <c r="MN77" s="134"/>
      <c r="MO77" s="134"/>
      <c r="MP77" s="134">
        <v>0</v>
      </c>
      <c r="MQ77" s="190">
        <f t="shared" si="837"/>
        <v>0</v>
      </c>
      <c r="MR77" s="196">
        <v>0</v>
      </c>
      <c r="MS77" s="1472"/>
      <c r="MT77" s="134"/>
      <c r="MU77" s="134"/>
      <c r="MV77" s="135"/>
      <c r="MW77" s="133">
        <f t="shared" si="703"/>
        <v>0</v>
      </c>
      <c r="MX77" s="134">
        <f t="shared" si="704"/>
        <v>0</v>
      </c>
      <c r="MY77" s="134">
        <f t="shared" si="705"/>
        <v>0</v>
      </c>
      <c r="MZ77" s="135"/>
      <c r="NA77" s="135"/>
      <c r="NB77" s="151"/>
      <c r="NC77" s="134"/>
      <c r="ND77" s="134"/>
      <c r="NE77" s="134"/>
      <c r="NF77" s="134"/>
      <c r="NG77" s="133">
        <f t="shared" si="838"/>
        <v>0</v>
      </c>
      <c r="NH77" s="151"/>
      <c r="NI77" s="134"/>
      <c r="NJ77" s="134"/>
      <c r="NK77" s="134">
        <v>0</v>
      </c>
      <c r="NL77" s="190">
        <f t="shared" si="839"/>
        <v>0</v>
      </c>
      <c r="NM77" s="152">
        <v>0</v>
      </c>
      <c r="NN77" s="1563">
        <v>0</v>
      </c>
      <c r="NO77" s="134">
        <v>0</v>
      </c>
      <c r="NP77" s="134">
        <v>0</v>
      </c>
      <c r="NQ77" s="134"/>
      <c r="NR77" s="133">
        <f t="shared" si="711"/>
        <v>0</v>
      </c>
      <c r="NS77" s="151"/>
      <c r="NT77" s="134">
        <v>0</v>
      </c>
      <c r="NU77" s="134"/>
      <c r="NV77" s="134">
        <v>0</v>
      </c>
      <c r="NW77" s="190">
        <f t="shared" si="840"/>
        <v>0</v>
      </c>
      <c r="NX77" s="152">
        <v>0</v>
      </c>
      <c r="NY77" s="1563">
        <v>0</v>
      </c>
      <c r="NZ77" s="134">
        <v>0</v>
      </c>
      <c r="OA77" s="134">
        <v>0</v>
      </c>
      <c r="OB77" s="134">
        <v>0</v>
      </c>
      <c r="OC77" s="133">
        <f>OA77-(NZ77+OB77)</f>
        <v>0</v>
      </c>
      <c r="OD77" s="196">
        <v>0</v>
      </c>
      <c r="OE77" s="134">
        <v>0</v>
      </c>
      <c r="OF77" s="134">
        <v>0</v>
      </c>
      <c r="OG77" s="134">
        <v>0</v>
      </c>
      <c r="OH77" s="190">
        <f>OC77-SUM(OE77:OG77)</f>
        <v>0</v>
      </c>
      <c r="OI77" s="5380">
        <v>5</v>
      </c>
      <c r="OJ77" s="69">
        <v>0</v>
      </c>
      <c r="OK77" s="155">
        <f t="shared" si="867"/>
        <v>0</v>
      </c>
      <c r="OL77" s="155">
        <f t="shared" si="868"/>
        <v>0</v>
      </c>
      <c r="OM77" s="74"/>
      <c r="ON77" s="155">
        <f t="shared" si="869"/>
        <v>0</v>
      </c>
      <c r="OO77" s="70"/>
      <c r="OP77" s="69"/>
      <c r="OQ77" s="5405"/>
      <c r="OR77" s="130"/>
      <c r="OS77" s="130"/>
      <c r="OT77" s="3546"/>
      <c r="OU77" s="133">
        <f>OS77-(OR77+OT77)</f>
        <v>0</v>
      </c>
      <c r="OV77" s="4271">
        <v>0</v>
      </c>
      <c r="OW77" s="134">
        <v>0</v>
      </c>
      <c r="OX77" s="134">
        <v>0</v>
      </c>
      <c r="OY77" s="134">
        <v>0</v>
      </c>
      <c r="OZ77" s="190">
        <f t="shared" si="841"/>
        <v>0</v>
      </c>
      <c r="PA77" s="5361">
        <v>0</v>
      </c>
      <c r="PB77" s="161"/>
      <c r="PC77" s="134"/>
      <c r="PD77" s="134"/>
      <c r="PE77" s="134"/>
      <c r="PF77" s="133">
        <f>PD77-(PC77+PE77)</f>
        <v>0</v>
      </c>
      <c r="PG77" s="4271">
        <v>0</v>
      </c>
      <c r="PH77" s="134">
        <v>0</v>
      </c>
      <c r="PI77" s="134">
        <v>0</v>
      </c>
      <c r="PJ77" s="134">
        <v>0</v>
      </c>
      <c r="PK77" s="190">
        <f>PF77-SUM(PH77:PJ77)</f>
        <v>0</v>
      </c>
      <c r="PL77" s="152">
        <v>0</v>
      </c>
      <c r="PM77" s="5392"/>
      <c r="PN77" s="134"/>
      <c r="PO77" s="134"/>
      <c r="PP77" s="134"/>
      <c r="PQ77" s="6293">
        <f t="shared" si="842"/>
        <v>0</v>
      </c>
      <c r="PR77" s="6296">
        <v>0</v>
      </c>
      <c r="PS77" s="134">
        <v>0</v>
      </c>
      <c r="PT77" s="134">
        <v>0</v>
      </c>
      <c r="PU77" s="134">
        <v>0</v>
      </c>
      <c r="PV77" s="190">
        <f>PQ77-SUM(PS77:PU77)</f>
        <v>0</v>
      </c>
      <c r="PW77" s="5381">
        <v>0</v>
      </c>
      <c r="PX77" s="5320"/>
      <c r="PY77" s="191">
        <f t="shared" si="870"/>
        <v>0</v>
      </c>
      <c r="PZ77" s="191">
        <f t="shared" si="871"/>
        <v>0</v>
      </c>
      <c r="QA77" s="152">
        <v>0</v>
      </c>
      <c r="QB77" s="5392"/>
      <c r="QC77" s="134"/>
      <c r="QD77" s="134"/>
      <c r="QE77" s="134"/>
      <c r="QF77" s="6293">
        <f>QD77-(QC77+QE77)</f>
        <v>0</v>
      </c>
      <c r="QG77" s="6295"/>
      <c r="QH77" s="134">
        <v>0</v>
      </c>
      <c r="QI77" s="759">
        <v>0</v>
      </c>
      <c r="QJ77" s="134">
        <v>0</v>
      </c>
      <c r="QK77" s="190">
        <f t="shared" si="765"/>
        <v>0</v>
      </c>
      <c r="QL77" s="5380"/>
      <c r="QM77" s="5392"/>
      <c r="QN77" s="134">
        <v>0</v>
      </c>
      <c r="QO77" s="134">
        <v>0</v>
      </c>
      <c r="QP77" s="358">
        <v>0</v>
      </c>
      <c r="QQ77" s="133">
        <f t="shared" si="727"/>
        <v>0</v>
      </c>
      <c r="QR77" s="151"/>
      <c r="QS77" s="134">
        <v>0</v>
      </c>
      <c r="QT77" s="759">
        <v>0</v>
      </c>
      <c r="QU77" s="134">
        <v>0</v>
      </c>
      <c r="QV77" s="190">
        <f t="shared" si="729"/>
        <v>0</v>
      </c>
      <c r="QW77" s="5380"/>
      <c r="QX77" s="5392"/>
      <c r="QY77" s="134">
        <v>0</v>
      </c>
      <c r="QZ77" s="134">
        <v>0</v>
      </c>
      <c r="RA77" s="358">
        <v>0</v>
      </c>
      <c r="RB77" s="133">
        <f t="shared" si="731"/>
        <v>0</v>
      </c>
      <c r="RC77" s="151"/>
      <c r="RD77" s="134">
        <v>0</v>
      </c>
      <c r="RE77" s="759">
        <v>0</v>
      </c>
      <c r="RF77" s="134">
        <v>0</v>
      </c>
      <c r="RG77" s="190">
        <f t="shared" si="733"/>
        <v>0</v>
      </c>
      <c r="RH77" s="5381">
        <v>0</v>
      </c>
      <c r="RI77" s="5376"/>
      <c r="RJ77" s="191">
        <f t="shared" si="872"/>
        <v>0</v>
      </c>
      <c r="RK77" s="191">
        <f t="shared" si="873"/>
        <v>0</v>
      </c>
      <c r="RL77" s="5380"/>
      <c r="RM77" s="5405">
        <f>QM77-NS77</f>
        <v>0</v>
      </c>
      <c r="RN77" s="128">
        <f t="shared" ref="RN77:RO79" si="878">QD77-NU77</f>
        <v>0</v>
      </c>
      <c r="RO77" s="139">
        <f t="shared" si="878"/>
        <v>0</v>
      </c>
      <c r="RP77" s="442"/>
      <c r="RQ77" s="442"/>
      <c r="RR77" s="6339"/>
      <c r="RS77" s="734"/>
      <c r="RT77" s="130"/>
      <c r="RU77" s="130"/>
      <c r="RV77" s="2563"/>
      <c r="RW77" s="133"/>
      <c r="RX77" s="151"/>
      <c r="RY77" s="134"/>
      <c r="RZ77" s="759">
        <v>0</v>
      </c>
      <c r="SA77" s="134">
        <v>0</v>
      </c>
      <c r="SB77" s="190">
        <f t="shared" si="742"/>
        <v>0</v>
      </c>
      <c r="SC77" s="5381">
        <v>0</v>
      </c>
      <c r="SD77" s="5405"/>
      <c r="SE77" s="130"/>
      <c r="SF77" s="130"/>
      <c r="SG77" s="606"/>
      <c r="SH77" s="6361">
        <f>SF77-(SE77+SG77)</f>
        <v>0</v>
      </c>
      <c r="SI77" s="6363"/>
      <c r="SJ77" s="134"/>
      <c r="SK77" s="134"/>
      <c r="SL77" s="134">
        <v>0</v>
      </c>
      <c r="SM77" s="190">
        <f t="shared" si="778"/>
        <v>0</v>
      </c>
      <c r="SN77" s="5381">
        <v>0</v>
      </c>
      <c r="SO77" s="134"/>
      <c r="SP77" s="134"/>
      <c r="SQ77" s="134"/>
      <c r="SR77" s="134"/>
      <c r="SS77" s="6361">
        <f>SQ77-(SP77+SR77)</f>
        <v>0</v>
      </c>
      <c r="ST77" s="6363"/>
      <c r="SU77" s="134">
        <v>0</v>
      </c>
      <c r="SV77" s="134">
        <v>0</v>
      </c>
      <c r="SW77" s="134">
        <v>0</v>
      </c>
      <c r="SX77" s="190">
        <f t="shared" si="782"/>
        <v>0</v>
      </c>
      <c r="SY77" s="5381">
        <v>0</v>
      </c>
      <c r="SZ77" s="6270"/>
      <c r="TA77" s="118">
        <f t="shared" si="784"/>
        <v>0</v>
      </c>
      <c r="TB77" s="118">
        <f t="shared" si="785"/>
        <v>0</v>
      </c>
      <c r="TC77" s="5381">
        <v>0</v>
      </c>
      <c r="TD77" s="1563"/>
      <c r="TE77" s="134">
        <v>0</v>
      </c>
      <c r="TF77" s="134">
        <v>0</v>
      </c>
      <c r="TG77" s="134"/>
      <c r="TH77" s="133">
        <f>TF77-(TE77+TG77)</f>
        <v>0</v>
      </c>
      <c r="TI77" s="196">
        <v>0</v>
      </c>
      <c r="TJ77" s="134"/>
      <c r="TK77" s="134">
        <v>0</v>
      </c>
      <c r="TL77" s="134">
        <v>0</v>
      </c>
      <c r="TM77" s="190">
        <f t="shared" si="789"/>
        <v>0</v>
      </c>
      <c r="TN77" s="5381">
        <v>0</v>
      </c>
      <c r="TO77" s="134">
        <v>0</v>
      </c>
      <c r="TP77" s="134">
        <v>0</v>
      </c>
      <c r="TQ77" s="134">
        <v>0</v>
      </c>
      <c r="TR77" s="134"/>
      <c r="TS77" s="133">
        <f>TQ77-(TP77+TR77)</f>
        <v>0</v>
      </c>
      <c r="TT77" s="151"/>
      <c r="TU77" s="134">
        <v>0</v>
      </c>
      <c r="TV77" s="134"/>
      <c r="TW77" s="134"/>
      <c r="TX77" s="190">
        <f t="shared" si="845"/>
        <v>0</v>
      </c>
      <c r="TY77" s="152">
        <v>0</v>
      </c>
      <c r="TZ77" s="1563">
        <v>0</v>
      </c>
      <c r="UA77" s="134">
        <v>0</v>
      </c>
      <c r="UB77" s="134">
        <v>0</v>
      </c>
      <c r="UC77" s="134">
        <v>0</v>
      </c>
      <c r="UD77" s="133">
        <f t="shared" si="750"/>
        <v>0</v>
      </c>
      <c r="UE77" s="196">
        <v>0</v>
      </c>
      <c r="UF77" s="134"/>
      <c r="UG77" s="134"/>
      <c r="UH77" s="134"/>
      <c r="UI77" s="190">
        <f t="shared" si="752"/>
        <v>0</v>
      </c>
      <c r="UJ77" s="5380">
        <v>5</v>
      </c>
      <c r="UK77" s="5376"/>
      <c r="UL77" s="191">
        <f t="shared" si="754"/>
        <v>0</v>
      </c>
      <c r="UM77" s="191">
        <f t="shared" si="755"/>
        <v>0</v>
      </c>
      <c r="UN77" s="135"/>
      <c r="UO77" s="191">
        <f t="shared" si="757"/>
        <v>0</v>
      </c>
      <c r="UP77" s="5380"/>
    </row>
    <row r="78" spans="1:566" x14ac:dyDescent="0.3">
      <c r="A78" s="5316"/>
      <c r="B78" s="5360" t="s">
        <v>148</v>
      </c>
      <c r="C78" s="578" t="s">
        <v>144</v>
      </c>
      <c r="D78" s="578" t="s">
        <v>142</v>
      </c>
      <c r="E78" s="6278" t="s">
        <v>145</v>
      </c>
      <c r="F78" s="422"/>
      <c r="G78" s="161">
        <v>0</v>
      </c>
      <c r="H78" s="161">
        <v>0</v>
      </c>
      <c r="I78" s="161">
        <v>0</v>
      </c>
      <c r="J78" s="94"/>
      <c r="K78" s="136"/>
      <c r="L78" s="161">
        <v>0</v>
      </c>
      <c r="M78" s="161">
        <v>0</v>
      </c>
      <c r="N78" s="161">
        <v>0</v>
      </c>
      <c r="O78" s="161"/>
      <c r="P78" s="136"/>
      <c r="Q78" s="161">
        <v>0</v>
      </c>
      <c r="R78" s="161">
        <v>0</v>
      </c>
      <c r="S78" s="161">
        <v>0</v>
      </c>
      <c r="T78" s="94"/>
      <c r="U78" s="136"/>
      <c r="V78" s="161">
        <v>0</v>
      </c>
      <c r="W78" s="161">
        <v>0</v>
      </c>
      <c r="X78" s="161">
        <v>0</v>
      </c>
      <c r="Y78" s="759">
        <f t="shared" si="801"/>
        <v>0</v>
      </c>
      <c r="Z78" s="94"/>
      <c r="AA78" s="422">
        <v>1</v>
      </c>
      <c r="AB78" s="161">
        <v>29237</v>
      </c>
      <c r="AC78" s="161">
        <v>48500</v>
      </c>
      <c r="AD78" s="161">
        <v>0</v>
      </c>
      <c r="AE78" s="775">
        <f t="shared" si="802"/>
        <v>19263</v>
      </c>
      <c r="AF78" s="422"/>
      <c r="AG78" s="113">
        <v>1</v>
      </c>
      <c r="AH78" s="616">
        <v>29237</v>
      </c>
      <c r="AI78" s="616">
        <v>46935.4</v>
      </c>
      <c r="AJ78" s="616"/>
      <c r="AK78" s="96">
        <f t="shared" si="803"/>
        <v>17698.400000000001</v>
      </c>
      <c r="AL78" s="114">
        <f>AK78/AI78</f>
        <v>0.37707998653468389</v>
      </c>
      <c r="AM78" s="129">
        <v>0</v>
      </c>
      <c r="AN78" s="417">
        <v>97232</v>
      </c>
      <c r="AO78" s="130">
        <v>0</v>
      </c>
      <c r="AP78" s="417">
        <v>95475.060000000012</v>
      </c>
      <c r="AQ78" s="417">
        <f>AK78-AM78-AN78-AO78-AP78</f>
        <v>-175008.66000000003</v>
      </c>
      <c r="AR78" s="421">
        <f>AQ78/AI78</f>
        <v>-3.7287135083540361</v>
      </c>
      <c r="AS78" s="113">
        <v>1</v>
      </c>
      <c r="AT78" s="760">
        <v>58473.999999999993</v>
      </c>
      <c r="AU78" s="761">
        <f t="shared" si="804"/>
        <v>95435.4</v>
      </c>
      <c r="AV78" s="161">
        <v>36961.4</v>
      </c>
      <c r="AW78" s="116">
        <f>AV78/AU78</f>
        <v>0.38729234644586813</v>
      </c>
      <c r="AX78" s="776">
        <v>1</v>
      </c>
      <c r="AY78" s="587">
        <f t="shared" si="805"/>
        <v>58473.999999999993</v>
      </c>
      <c r="AZ78" s="587">
        <f t="shared" si="806"/>
        <v>95435.4</v>
      </c>
      <c r="BA78" s="587">
        <f t="shared" si="807"/>
        <v>36961.4</v>
      </c>
      <c r="BB78" s="588">
        <f>BA78/AZ78</f>
        <v>0.38729234644586813</v>
      </c>
      <c r="BC78" s="1514">
        <v>1</v>
      </c>
      <c r="BD78" s="759">
        <v>29237</v>
      </c>
      <c r="BE78" s="759">
        <v>42242</v>
      </c>
      <c r="BF78" s="759"/>
      <c r="BG78" s="775">
        <f t="shared" si="808"/>
        <v>13005</v>
      </c>
      <c r="BH78" s="736">
        <f>BG78/BE78</f>
        <v>0.30786894559916672</v>
      </c>
      <c r="BI78" s="1514">
        <v>1</v>
      </c>
      <c r="BJ78" s="759">
        <v>27475</v>
      </c>
      <c r="BK78" s="759">
        <v>35201.550000000003</v>
      </c>
      <c r="BL78" s="759"/>
      <c r="BM78" s="775">
        <f>BK78-(BJ78+BL78)</f>
        <v>7726.5500000000029</v>
      </c>
      <c r="BN78" s="736">
        <f>BM78/BK78</f>
        <v>0.21949459611863689</v>
      </c>
      <c r="BO78" s="777">
        <v>2</v>
      </c>
      <c r="BP78" s="759">
        <v>134301</v>
      </c>
      <c r="BQ78" s="759">
        <v>205577</v>
      </c>
      <c r="BR78" s="759"/>
      <c r="BS78" s="775">
        <f>BQ78-(BP78+BR78)</f>
        <v>71276</v>
      </c>
      <c r="BT78" s="239">
        <f>BS78/BQ78</f>
        <v>0.34671193761948077</v>
      </c>
      <c r="BU78" s="689">
        <v>2</v>
      </c>
      <c r="BV78" s="592">
        <v>127815</v>
      </c>
      <c r="BW78" s="592">
        <v>34510.050000000003</v>
      </c>
      <c r="BX78" s="593">
        <f>BW78/BV78</f>
        <v>0.27</v>
      </c>
      <c r="BY78" s="654">
        <v>2</v>
      </c>
      <c r="BZ78" s="650">
        <v>160081</v>
      </c>
      <c r="CA78" s="650">
        <v>229280</v>
      </c>
      <c r="CB78" s="650"/>
      <c r="CC78" s="596">
        <f>CA78-(BZ78+CB78)</f>
        <v>69199</v>
      </c>
      <c r="CD78" s="655">
        <f>CC78/CA78</f>
        <v>0.30181001395673412</v>
      </c>
      <c r="CE78" s="670">
        <v>54500</v>
      </c>
      <c r="CF78" s="671">
        <v>135753</v>
      </c>
      <c r="CG78" s="671"/>
      <c r="CH78" s="671"/>
      <c r="CI78" s="599">
        <f>CC78-CE78-CF78-CG78-CH78</f>
        <v>-121054</v>
      </c>
      <c r="CJ78" s="597">
        <f>CI78/CA78</f>
        <v>-0.52797452896022334</v>
      </c>
      <c r="CK78" s="600">
        <v>2</v>
      </c>
      <c r="CL78" s="601">
        <v>160081</v>
      </c>
      <c r="CM78" s="601">
        <v>200884</v>
      </c>
      <c r="CN78" s="601"/>
      <c r="CO78" s="360">
        <f t="shared" si="810"/>
        <v>40803</v>
      </c>
      <c r="CP78" s="602">
        <f>CO78/CM78</f>
        <v>0.20311722187929351</v>
      </c>
      <c r="CQ78" s="779">
        <v>198140</v>
      </c>
      <c r="CR78" s="778">
        <v>0</v>
      </c>
      <c r="CS78" s="778"/>
      <c r="CT78" s="603">
        <v>0</v>
      </c>
      <c r="CU78" s="603">
        <f>CO78-CQ78-CR78-CS78-CT78</f>
        <v>-157337</v>
      </c>
      <c r="CV78" s="604">
        <f>CU78/CM78</f>
        <v>-0.78322315366081918</v>
      </c>
      <c r="CW78" s="129">
        <v>2</v>
      </c>
      <c r="CX78" s="130">
        <v>160081</v>
      </c>
      <c r="CY78" s="130">
        <v>231626</v>
      </c>
      <c r="CZ78" s="130"/>
      <c r="DA78" s="605">
        <f>CY78-(CX78+CZ78)</f>
        <v>71545</v>
      </c>
      <c r="DB78" s="114">
        <f>DA78/CY78</f>
        <v>0.3088815590650445</v>
      </c>
      <c r="DC78" s="129">
        <v>52000</v>
      </c>
      <c r="DD78" s="130">
        <v>106427</v>
      </c>
      <c r="DE78" s="130"/>
      <c r="DF78" s="130">
        <v>113315.85681818183</v>
      </c>
      <c r="DG78" s="128">
        <f>DA78-DC78-DD78-DE78-DF78</f>
        <v>-200197.85681818181</v>
      </c>
      <c r="DH78" s="169">
        <f>DG78/CY78</f>
        <v>-0.86431513223119083</v>
      </c>
      <c r="DI78" s="204">
        <f>(BY78+CK78+CW78)/3</f>
        <v>2</v>
      </c>
      <c r="DJ78" s="202">
        <f t="shared" si="811"/>
        <v>661790</v>
      </c>
      <c r="DK78" s="202">
        <f t="shared" si="812"/>
        <v>181547</v>
      </c>
      <c r="DL78" s="119">
        <f>DK78/DJ78</f>
        <v>0.27432720349355538</v>
      </c>
      <c r="DM78" s="202">
        <f t="shared" si="813"/>
        <v>-478588.85681818181</v>
      </c>
      <c r="DN78" s="119">
        <f>DM78/DJ78</f>
        <v>-0.7231732979014216</v>
      </c>
      <c r="DO78" s="806">
        <f t="shared" si="876"/>
        <v>1</v>
      </c>
      <c r="DP78" s="227">
        <f t="shared" si="876"/>
        <v>130844</v>
      </c>
      <c r="DQ78" s="227">
        <f t="shared" si="876"/>
        <v>184690.6</v>
      </c>
      <c r="DR78" s="227">
        <f>DA78-AK78</f>
        <v>53846.6</v>
      </c>
      <c r="DS78" s="198">
        <f>DO78/AG78</f>
        <v>1</v>
      </c>
      <c r="DT78" s="198">
        <f>DP78/AI78</f>
        <v>2.7877465622962623</v>
      </c>
      <c r="DU78" s="198">
        <f>DQ78/AK78</f>
        <v>10.435440491795868</v>
      </c>
      <c r="DV78" s="201">
        <f>DR78/AQ78</f>
        <v>-0.30767963139652627</v>
      </c>
      <c r="DW78" s="806">
        <f>CW78-CK78</f>
        <v>0</v>
      </c>
      <c r="DX78" s="807">
        <f>CY78-CM78</f>
        <v>30742</v>
      </c>
      <c r="DY78" s="807">
        <f>DA78-CO78</f>
        <v>30742</v>
      </c>
      <c r="DZ78" s="807">
        <f>DG78-CU78</f>
        <v>-42860.856818181812</v>
      </c>
      <c r="EA78" s="198">
        <f>DW78/CK78</f>
        <v>0</v>
      </c>
      <c r="EB78" s="198">
        <f>DX78/CM78</f>
        <v>0.15303359152545748</v>
      </c>
      <c r="EC78" s="198">
        <f>DY78/CO78</f>
        <v>0.75342499326029944</v>
      </c>
      <c r="ED78" s="201">
        <f>DZ78/CU78</f>
        <v>0.27241435147601523</v>
      </c>
      <c r="EE78" s="129">
        <v>2</v>
      </c>
      <c r="EF78" s="130">
        <v>160081</v>
      </c>
      <c r="EG78" s="130">
        <v>167794</v>
      </c>
      <c r="EH78" s="130"/>
      <c r="EI78" s="605">
        <f>EG78-(EF78+EH78)</f>
        <v>7713</v>
      </c>
      <c r="EJ78" s="114">
        <f>EI78/EG78</f>
        <v>4.5967078679809766E-2</v>
      </c>
      <c r="EK78" s="129">
        <v>0</v>
      </c>
      <c r="EL78" s="130">
        <v>0</v>
      </c>
      <c r="EM78" s="130">
        <v>0</v>
      </c>
      <c r="EN78" s="130">
        <v>0</v>
      </c>
      <c r="EO78" s="128">
        <f>EI78-EK78-EL78-EM78-EN78</f>
        <v>7713</v>
      </c>
      <c r="EP78" s="114">
        <f>EO78/EG78</f>
        <v>4.5967078679809766E-2</v>
      </c>
      <c r="EQ78" s="129">
        <v>2</v>
      </c>
      <c r="ER78" s="130">
        <v>160081</v>
      </c>
      <c r="ES78" s="130">
        <v>209567</v>
      </c>
      <c r="ET78" s="130"/>
      <c r="EU78" s="134">
        <f>ES78-(ER78+ET78)</f>
        <v>49486</v>
      </c>
      <c r="EV78" s="114">
        <f>EU78/ES78</f>
        <v>0.2361345059098045</v>
      </c>
      <c r="EW78" s="129">
        <v>0</v>
      </c>
      <c r="EX78" s="130"/>
      <c r="EY78" s="130">
        <v>0</v>
      </c>
      <c r="EZ78" s="130">
        <v>0</v>
      </c>
      <c r="FA78" s="128">
        <f>EU78-EW78-EX78-EY78-EZ78</f>
        <v>49486</v>
      </c>
      <c r="FB78" s="114">
        <f>FA78/ES78</f>
        <v>0.2361345059098045</v>
      </c>
      <c r="FC78" s="643">
        <f t="shared" si="815"/>
        <v>1</v>
      </c>
      <c r="FD78" s="644">
        <f t="shared" si="816"/>
        <v>162631.6</v>
      </c>
      <c r="FE78" s="644">
        <f t="shared" si="817"/>
        <v>31787.599999999999</v>
      </c>
      <c r="FF78" s="644">
        <f t="shared" si="818"/>
        <v>224494.66000000003</v>
      </c>
      <c r="FG78" s="74">
        <f>FC78/AG78</f>
        <v>1</v>
      </c>
      <c r="FH78" s="74">
        <f>FD78/AI78</f>
        <v>3.4650093532813186</v>
      </c>
      <c r="FI78" s="74">
        <f>FE78/AK78</f>
        <v>1.7960719613072367</v>
      </c>
      <c r="FJ78" s="73">
        <f>FF78/AQ78</f>
        <v>-1.2827631501206853</v>
      </c>
      <c r="FK78" s="133"/>
      <c r="FL78" s="134"/>
      <c r="FM78" s="134"/>
      <c r="FN78" s="134">
        <v>23882</v>
      </c>
      <c r="FO78" s="134">
        <f>FM78-(FL78+FN78)</f>
        <v>-23882</v>
      </c>
      <c r="FP78" s="135"/>
      <c r="FQ78" s="133"/>
      <c r="FR78" s="134"/>
      <c r="FS78" s="134"/>
      <c r="FT78" s="191">
        <f>FO78-SUM(FQ78:FS78)</f>
        <v>-23882</v>
      </c>
      <c r="FU78" s="151"/>
      <c r="FV78" s="190">
        <f t="shared" si="819"/>
        <v>-1</v>
      </c>
      <c r="FW78" s="191">
        <f t="shared" si="820"/>
        <v>-29237</v>
      </c>
      <c r="FX78" s="191">
        <f t="shared" si="821"/>
        <v>-46935.4</v>
      </c>
      <c r="FY78" s="191">
        <f t="shared" si="822"/>
        <v>-41580.400000000001</v>
      </c>
      <c r="FZ78" s="191">
        <f t="shared" si="823"/>
        <v>151126.66000000003</v>
      </c>
      <c r="GA78" s="135">
        <f>FV78/AG78</f>
        <v>-1</v>
      </c>
      <c r="GB78" s="135">
        <f>FX78/AI78</f>
        <v>-1</v>
      </c>
      <c r="GC78" s="135">
        <f>FY78/AK78</f>
        <v>-2.3493875152556161</v>
      </c>
      <c r="GD78" s="151">
        <f>FZ78/AQ78</f>
        <v>-0.86353818148199069</v>
      </c>
      <c r="GE78" s="187">
        <f>(EE78+EQ78+FK78)/3</f>
        <v>1.3333333333333333</v>
      </c>
      <c r="GF78" s="155">
        <f t="shared" si="824"/>
        <v>377361</v>
      </c>
      <c r="GG78" s="155">
        <f t="shared" si="825"/>
        <v>33317</v>
      </c>
      <c r="GH78" s="74">
        <f>GG78/GF78</f>
        <v>8.8289462875071875E-2</v>
      </c>
      <c r="GI78" s="613">
        <f t="shared" si="826"/>
        <v>33317</v>
      </c>
      <c r="GJ78" s="187">
        <f t="shared" si="827"/>
        <v>-0.66666666666666674</v>
      </c>
      <c r="GK78" s="155">
        <f t="shared" si="828"/>
        <v>-284429</v>
      </c>
      <c r="GL78" s="155">
        <f t="shared" si="829"/>
        <v>-148230</v>
      </c>
      <c r="GM78" s="613">
        <f t="shared" si="830"/>
        <v>511905.85681818181</v>
      </c>
      <c r="GN78" s="133"/>
      <c r="GO78" s="134">
        <v>0</v>
      </c>
      <c r="GP78" s="134">
        <v>0</v>
      </c>
      <c r="GQ78" s="134">
        <v>0</v>
      </c>
      <c r="GR78" s="134">
        <f>GP78-(GO78+GQ78)</f>
        <v>0</v>
      </c>
      <c r="GS78" s="135"/>
      <c r="GT78" s="133">
        <v>0</v>
      </c>
      <c r="GU78" s="134">
        <v>0</v>
      </c>
      <c r="GV78" s="134">
        <v>0</v>
      </c>
      <c r="GW78" s="134">
        <v>0</v>
      </c>
      <c r="GX78" s="190">
        <f>GR78-SUM(GT78:GW78)</f>
        <v>0</v>
      </c>
      <c r="GY78" s="151"/>
      <c r="GZ78" s="781"/>
      <c r="HA78" s="130">
        <v>0</v>
      </c>
      <c r="HB78" s="130">
        <v>0</v>
      </c>
      <c r="HC78" s="134"/>
      <c r="HD78" s="134">
        <f>HB78-(HA78+HC78)</f>
        <v>0</v>
      </c>
      <c r="HE78" s="151"/>
      <c r="HF78" s="138">
        <v>0</v>
      </c>
      <c r="HG78" s="130">
        <v>0</v>
      </c>
      <c r="HH78" s="130"/>
      <c r="HI78" s="130">
        <v>0</v>
      </c>
      <c r="HJ78" s="197">
        <v>0</v>
      </c>
      <c r="HK78" s="201"/>
      <c r="HL78" s="133"/>
      <c r="HM78" s="134">
        <v>0</v>
      </c>
      <c r="HN78" s="134">
        <v>0</v>
      </c>
      <c r="HO78" s="134">
        <v>0</v>
      </c>
      <c r="HP78" s="615">
        <f t="shared" si="862"/>
        <v>0</v>
      </c>
      <c r="HQ78" s="151"/>
      <c r="HR78" s="134">
        <v>0</v>
      </c>
      <c r="HS78" s="134">
        <v>0</v>
      </c>
      <c r="HT78" s="134"/>
      <c r="HU78" s="134">
        <v>0</v>
      </c>
      <c r="HV78" s="191">
        <f>HP78-SUM(HR78:HU78)</f>
        <v>0</v>
      </c>
      <c r="HW78" s="196">
        <v>0</v>
      </c>
      <c r="HX78" s="805"/>
      <c r="HY78" s="241">
        <f>HN78+HB78+GP78</f>
        <v>0</v>
      </c>
      <c r="HZ78" s="415">
        <f>HP78+HD78+GR78</f>
        <v>0</v>
      </c>
      <c r="IA78" s="135"/>
      <c r="IB78" s="415">
        <f t="shared" si="832"/>
        <v>0</v>
      </c>
      <c r="IC78" s="241"/>
      <c r="ID78" s="240"/>
      <c r="IE78" s="141">
        <f t="shared" si="759"/>
        <v>1166966</v>
      </c>
      <c r="IF78" s="141">
        <f t="shared" si="760"/>
        <v>249374.05</v>
      </c>
      <c r="IG78" s="74">
        <f t="shared" si="701"/>
        <v>0.21369435784761509</v>
      </c>
      <c r="IH78" s="415"/>
      <c r="II78" s="149"/>
      <c r="IJ78" s="133"/>
      <c r="IK78" s="134">
        <v>0</v>
      </c>
      <c r="IL78" s="134">
        <v>0</v>
      </c>
      <c r="IM78" s="134">
        <v>0</v>
      </c>
      <c r="IN78" s="133">
        <f t="shared" si="833"/>
        <v>0</v>
      </c>
      <c r="IO78" s="151"/>
      <c r="IP78" s="134">
        <v>0</v>
      </c>
      <c r="IQ78" s="808">
        <v>362400</v>
      </c>
      <c r="IR78" s="134">
        <v>0</v>
      </c>
      <c r="IS78" s="190">
        <f>IN78-SUM(IP78:IR78)</f>
        <v>-362400</v>
      </c>
      <c r="IT78" s="196">
        <v>0</v>
      </c>
      <c r="IU78" s="164"/>
      <c r="IV78" s="759"/>
      <c r="IW78" s="134"/>
      <c r="IX78" s="134">
        <v>0</v>
      </c>
      <c r="IY78" s="133">
        <f>IW78-(IV78+IX78)</f>
        <v>0</v>
      </c>
      <c r="IZ78" s="151"/>
      <c r="JA78" s="134">
        <v>0</v>
      </c>
      <c r="JB78" s="808">
        <v>336664</v>
      </c>
      <c r="JC78" s="134">
        <v>0</v>
      </c>
      <c r="JD78" s="190">
        <f>IY78-SUM(JA78:JC78)</f>
        <v>-336664</v>
      </c>
      <c r="JE78" s="196">
        <v>0</v>
      </c>
      <c r="JF78" s="164"/>
      <c r="JG78" s="134"/>
      <c r="JH78" s="134"/>
      <c r="JI78" s="134"/>
      <c r="JJ78" s="133">
        <f>JH78-(JG78+JI78)</f>
        <v>0</v>
      </c>
      <c r="JK78" s="151"/>
      <c r="JL78" s="134">
        <v>0</v>
      </c>
      <c r="JM78" s="808">
        <v>91661</v>
      </c>
      <c r="JN78" s="134">
        <v>0</v>
      </c>
      <c r="JO78" s="190">
        <f>JJ78-SUM(JL78:JN78)</f>
        <v>-91661</v>
      </c>
      <c r="JP78" s="196">
        <v>0</v>
      </c>
      <c r="JQ78" s="390"/>
      <c r="JR78" s="191">
        <f t="shared" si="863"/>
        <v>0</v>
      </c>
      <c r="JS78" s="191">
        <f t="shared" si="864"/>
        <v>0</v>
      </c>
      <c r="JT78" s="196">
        <v>0</v>
      </c>
      <c r="JU78" s="164"/>
      <c r="JV78" s="134"/>
      <c r="JW78" s="134"/>
      <c r="JX78" s="134"/>
      <c r="JY78" s="133">
        <f>JW78-(JV78+JX78)</f>
        <v>0</v>
      </c>
      <c r="JZ78" s="151"/>
      <c r="KA78" s="134">
        <v>0</v>
      </c>
      <c r="KB78" s="759">
        <v>0</v>
      </c>
      <c r="KC78" s="134">
        <v>0</v>
      </c>
      <c r="KD78" s="190">
        <f>JY78-SUM(KA78:KC78)</f>
        <v>0</v>
      </c>
      <c r="KE78" s="196">
        <v>0</v>
      </c>
      <c r="KF78" s="164"/>
      <c r="KG78" s="134">
        <v>0</v>
      </c>
      <c r="KH78" s="134">
        <v>0</v>
      </c>
      <c r="KI78" s="358">
        <v>0</v>
      </c>
      <c r="KJ78" s="133">
        <f t="shared" si="846"/>
        <v>0</v>
      </c>
      <c r="KK78" s="151"/>
      <c r="KL78" s="134">
        <v>0</v>
      </c>
      <c r="KM78" s="759">
        <v>0</v>
      </c>
      <c r="KN78" s="134">
        <v>0</v>
      </c>
      <c r="KO78" s="190">
        <f t="shared" si="850"/>
        <v>0</v>
      </c>
      <c r="KP78" s="196">
        <v>0</v>
      </c>
      <c r="KQ78" s="164"/>
      <c r="KR78" s="134">
        <v>0</v>
      </c>
      <c r="KS78" s="134">
        <v>0</v>
      </c>
      <c r="KT78" s="358">
        <v>0</v>
      </c>
      <c r="KU78" s="133">
        <f t="shared" si="847"/>
        <v>0</v>
      </c>
      <c r="KV78" s="151"/>
      <c r="KW78" s="134">
        <v>0</v>
      </c>
      <c r="KX78" s="759">
        <v>0</v>
      </c>
      <c r="KY78" s="134">
        <v>0</v>
      </c>
      <c r="KZ78" s="190">
        <f t="shared" si="851"/>
        <v>0</v>
      </c>
      <c r="LA78" s="196">
        <v>0</v>
      </c>
      <c r="LB78" s="402"/>
      <c r="LC78" s="191">
        <f t="shared" si="865"/>
        <v>0</v>
      </c>
      <c r="LD78" s="191">
        <f t="shared" si="866"/>
        <v>0</v>
      </c>
      <c r="LE78" s="151"/>
      <c r="LF78" s="129">
        <f>KF78-HL78</f>
        <v>0</v>
      </c>
      <c r="LG78" s="128">
        <f t="shared" si="877"/>
        <v>0</v>
      </c>
      <c r="LH78" s="139">
        <f t="shared" si="877"/>
        <v>0</v>
      </c>
      <c r="LI78" s="442"/>
      <c r="LJ78" s="442"/>
      <c r="LK78" s="106"/>
      <c r="LL78" s="164"/>
      <c r="LM78" s="134">
        <v>0</v>
      </c>
      <c r="LN78" s="134">
        <v>0</v>
      </c>
      <c r="LO78" s="358">
        <v>0</v>
      </c>
      <c r="LP78" s="133">
        <f t="shared" si="848"/>
        <v>0</v>
      </c>
      <c r="LQ78" s="151"/>
      <c r="LR78" s="134">
        <v>0</v>
      </c>
      <c r="LS78" s="759">
        <v>0</v>
      </c>
      <c r="LT78" s="134">
        <v>0</v>
      </c>
      <c r="LU78" s="190">
        <f>LP78-SUM(LR78:LT78)</f>
        <v>0</v>
      </c>
      <c r="LV78" s="196">
        <v>0</v>
      </c>
      <c r="LW78" s="134"/>
      <c r="LX78" s="134"/>
      <c r="LY78" s="134"/>
      <c r="LZ78" s="134"/>
      <c r="MA78" s="133">
        <f>LY78-(LX78+LZ78)</f>
        <v>0</v>
      </c>
      <c r="MB78" s="151"/>
      <c r="MC78" s="134"/>
      <c r="MD78" s="134"/>
      <c r="ME78" s="134">
        <v>0</v>
      </c>
      <c r="MF78" s="190">
        <f t="shared" si="836"/>
        <v>0</v>
      </c>
      <c r="MG78" s="151" t="e">
        <f>MF78/LY78</f>
        <v>#DIV/0!</v>
      </c>
      <c r="MH78" s="134"/>
      <c r="MI78" s="134"/>
      <c r="MJ78" s="134"/>
      <c r="MK78" s="134"/>
      <c r="ML78" s="133">
        <f>MJ78-(MI78+MK78)</f>
        <v>0</v>
      </c>
      <c r="MM78" s="151"/>
      <c r="MN78" s="134"/>
      <c r="MO78" s="134"/>
      <c r="MP78" s="134">
        <v>0</v>
      </c>
      <c r="MQ78" s="190">
        <f t="shared" si="837"/>
        <v>0</v>
      </c>
      <c r="MR78" s="196">
        <v>0</v>
      </c>
      <c r="MS78" s="1472"/>
      <c r="MT78" s="134"/>
      <c r="MU78" s="134"/>
      <c r="MV78" s="135"/>
      <c r="MW78" s="133">
        <f t="shared" si="703"/>
        <v>0</v>
      </c>
      <c r="MX78" s="134">
        <f t="shared" si="704"/>
        <v>0</v>
      </c>
      <c r="MY78" s="134">
        <f t="shared" si="705"/>
        <v>0</v>
      </c>
      <c r="MZ78" s="135"/>
      <c r="NA78" s="135"/>
      <c r="NB78" s="151"/>
      <c r="NC78" s="134"/>
      <c r="ND78" s="134"/>
      <c r="NE78" s="134"/>
      <c r="NF78" s="134"/>
      <c r="NG78" s="133">
        <f t="shared" si="838"/>
        <v>0</v>
      </c>
      <c r="NH78" s="151"/>
      <c r="NI78" s="134"/>
      <c r="NJ78" s="134"/>
      <c r="NK78" s="134">
        <v>0</v>
      </c>
      <c r="NL78" s="190">
        <f t="shared" si="839"/>
        <v>0</v>
      </c>
      <c r="NM78" s="152">
        <v>0</v>
      </c>
      <c r="NN78" s="1563">
        <v>0</v>
      </c>
      <c r="NO78" s="134">
        <v>0</v>
      </c>
      <c r="NP78" s="134">
        <v>0</v>
      </c>
      <c r="NQ78" s="134"/>
      <c r="NR78" s="133">
        <f t="shared" si="711"/>
        <v>0</v>
      </c>
      <c r="NS78" s="151"/>
      <c r="NT78" s="134">
        <v>0</v>
      </c>
      <c r="NU78" s="134"/>
      <c r="NV78" s="134">
        <v>0</v>
      </c>
      <c r="NW78" s="190">
        <f t="shared" si="840"/>
        <v>0</v>
      </c>
      <c r="NX78" s="152">
        <v>0</v>
      </c>
      <c r="NY78" s="1563">
        <v>0</v>
      </c>
      <c r="NZ78" s="134">
        <v>0</v>
      </c>
      <c r="OA78" s="134">
        <v>0</v>
      </c>
      <c r="OB78" s="134">
        <v>0</v>
      </c>
      <c r="OC78" s="133">
        <f>OA78-(NZ78+OB78)</f>
        <v>0</v>
      </c>
      <c r="OD78" s="151"/>
      <c r="OE78" s="134">
        <v>0</v>
      </c>
      <c r="OF78" s="134">
        <v>0</v>
      </c>
      <c r="OG78" s="134">
        <v>0</v>
      </c>
      <c r="OH78" s="190">
        <f>OC78-SUM(OE78:OG78)</f>
        <v>0</v>
      </c>
      <c r="OI78" s="5380">
        <v>6</v>
      </c>
      <c r="OJ78" s="69">
        <v>0</v>
      </c>
      <c r="OK78" s="155">
        <f t="shared" si="867"/>
        <v>0</v>
      </c>
      <c r="OL78" s="155">
        <f t="shared" si="868"/>
        <v>0</v>
      </c>
      <c r="OM78" s="74"/>
      <c r="ON78" s="155">
        <f t="shared" si="869"/>
        <v>-699064</v>
      </c>
      <c r="OO78" s="70"/>
      <c r="OP78" s="69"/>
      <c r="OQ78" s="5405"/>
      <c r="OR78" s="130"/>
      <c r="OS78" s="130"/>
      <c r="OT78" s="3546"/>
      <c r="OU78" s="133">
        <f>OS78-(OR78+OT78)</f>
        <v>0</v>
      </c>
      <c r="OV78" s="4271">
        <v>0</v>
      </c>
      <c r="OW78" s="134">
        <v>0</v>
      </c>
      <c r="OX78" s="134">
        <v>0</v>
      </c>
      <c r="OY78" s="134">
        <v>0</v>
      </c>
      <c r="OZ78" s="190">
        <f>OU78-SUM(OW78:OY78)</f>
        <v>0</v>
      </c>
      <c r="PA78" s="5372">
        <v>0</v>
      </c>
      <c r="PB78" s="161"/>
      <c r="PC78" s="759"/>
      <c r="PD78" s="134"/>
      <c r="PE78" s="134"/>
      <c r="PF78" s="133">
        <f>PD78-(PC78+PE78)</f>
        <v>0</v>
      </c>
      <c r="PG78" s="4271">
        <v>0</v>
      </c>
      <c r="PH78" s="134">
        <v>0</v>
      </c>
      <c r="PI78" s="808">
        <v>336664</v>
      </c>
      <c r="PJ78" s="134">
        <v>0</v>
      </c>
      <c r="PK78" s="190">
        <f>PF78-SUM(PH78:PJ78)</f>
        <v>-336664</v>
      </c>
      <c r="PL78" s="152">
        <v>0</v>
      </c>
      <c r="PM78" s="5392"/>
      <c r="PN78" s="134"/>
      <c r="PO78" s="134"/>
      <c r="PP78" s="134"/>
      <c r="PQ78" s="6293">
        <f t="shared" si="842"/>
        <v>0</v>
      </c>
      <c r="PR78" s="6296">
        <v>0</v>
      </c>
      <c r="PS78" s="134">
        <v>0</v>
      </c>
      <c r="PT78" s="134">
        <v>0</v>
      </c>
      <c r="PU78" s="134">
        <v>0</v>
      </c>
      <c r="PV78" s="190">
        <f>PQ78-SUM(PS78:PU78)</f>
        <v>0</v>
      </c>
      <c r="PW78" s="5381">
        <v>0</v>
      </c>
      <c r="PX78" s="5320"/>
      <c r="PY78" s="191">
        <f t="shared" si="870"/>
        <v>0</v>
      </c>
      <c r="PZ78" s="191">
        <f t="shared" si="871"/>
        <v>0</v>
      </c>
      <c r="QA78" s="152">
        <v>0</v>
      </c>
      <c r="QB78" s="5392"/>
      <c r="QC78" s="134"/>
      <c r="QD78" s="134"/>
      <c r="QE78" s="134"/>
      <c r="QF78" s="6293">
        <f>QD78-(QC78+QE78)</f>
        <v>0</v>
      </c>
      <c r="QG78" s="6295"/>
      <c r="QH78" s="134">
        <v>0</v>
      </c>
      <c r="QI78" s="759">
        <v>0</v>
      </c>
      <c r="QJ78" s="134">
        <v>0</v>
      </c>
      <c r="QK78" s="190">
        <f t="shared" si="765"/>
        <v>0</v>
      </c>
      <c r="QL78" s="5380"/>
      <c r="QM78" s="5392"/>
      <c r="QN78" s="134">
        <v>0</v>
      </c>
      <c r="QO78" s="134">
        <v>0</v>
      </c>
      <c r="QP78" s="358">
        <v>0</v>
      </c>
      <c r="QQ78" s="133">
        <f t="shared" si="727"/>
        <v>0</v>
      </c>
      <c r="QR78" s="151"/>
      <c r="QS78" s="134">
        <v>0</v>
      </c>
      <c r="QT78" s="759">
        <v>0</v>
      </c>
      <c r="QU78" s="134">
        <v>0</v>
      </c>
      <c r="QV78" s="190">
        <f t="shared" si="729"/>
        <v>0</v>
      </c>
      <c r="QW78" s="5380"/>
      <c r="QX78" s="5392"/>
      <c r="QY78" s="134">
        <v>0</v>
      </c>
      <c r="QZ78" s="134">
        <v>0</v>
      </c>
      <c r="RA78" s="358">
        <v>0</v>
      </c>
      <c r="RB78" s="133">
        <f t="shared" si="731"/>
        <v>0</v>
      </c>
      <c r="RC78" s="151"/>
      <c r="RD78" s="134">
        <v>0</v>
      </c>
      <c r="RE78" s="759">
        <v>0</v>
      </c>
      <c r="RF78" s="134">
        <v>0</v>
      </c>
      <c r="RG78" s="190">
        <f t="shared" si="733"/>
        <v>0</v>
      </c>
      <c r="RH78" s="5381">
        <v>0</v>
      </c>
      <c r="RI78" s="5376"/>
      <c r="RJ78" s="191">
        <f t="shared" si="872"/>
        <v>0</v>
      </c>
      <c r="RK78" s="191">
        <f t="shared" si="873"/>
        <v>0</v>
      </c>
      <c r="RL78" s="5380"/>
      <c r="RM78" s="5405">
        <f>QM78-NS78</f>
        <v>0</v>
      </c>
      <c r="RN78" s="128">
        <f t="shared" si="878"/>
        <v>0</v>
      </c>
      <c r="RO78" s="139">
        <f t="shared" si="878"/>
        <v>0</v>
      </c>
      <c r="RP78" s="442"/>
      <c r="RQ78" s="442"/>
      <c r="RR78" s="6339"/>
      <c r="RS78" s="734"/>
      <c r="RT78" s="130"/>
      <c r="RU78" s="130"/>
      <c r="RV78" s="2563"/>
      <c r="RW78" s="133"/>
      <c r="RX78" s="151"/>
      <c r="RY78" s="134"/>
      <c r="RZ78" s="759">
        <v>0</v>
      </c>
      <c r="SA78" s="134">
        <v>0</v>
      </c>
      <c r="SB78" s="190">
        <f t="shared" si="742"/>
        <v>0</v>
      </c>
      <c r="SC78" s="5381">
        <v>0</v>
      </c>
      <c r="SD78" s="5405"/>
      <c r="SE78" s="130"/>
      <c r="SF78" s="130"/>
      <c r="SG78" s="606"/>
      <c r="SH78" s="6361">
        <f>SF78-(SE78+SG78)</f>
        <v>0</v>
      </c>
      <c r="SI78" s="6363"/>
      <c r="SJ78" s="134"/>
      <c r="SK78" s="134"/>
      <c r="SL78" s="134">
        <v>0</v>
      </c>
      <c r="SM78" s="190">
        <f t="shared" si="778"/>
        <v>0</v>
      </c>
      <c r="SN78" s="5381">
        <v>0</v>
      </c>
      <c r="SO78" s="134"/>
      <c r="SP78" s="134"/>
      <c r="SQ78" s="134"/>
      <c r="SR78" s="134"/>
      <c r="SS78" s="6361">
        <f>SQ78-(SP78+SR78)</f>
        <v>0</v>
      </c>
      <c r="ST78" s="6363"/>
      <c r="SU78" s="134">
        <v>0</v>
      </c>
      <c r="SV78" s="134">
        <v>0</v>
      </c>
      <c r="SW78" s="134">
        <v>0</v>
      </c>
      <c r="SX78" s="190">
        <f t="shared" si="782"/>
        <v>0</v>
      </c>
      <c r="SY78" s="5381">
        <v>0</v>
      </c>
      <c r="SZ78" s="6270"/>
      <c r="TA78" s="118">
        <f t="shared" si="784"/>
        <v>0</v>
      </c>
      <c r="TB78" s="118">
        <f t="shared" si="785"/>
        <v>0</v>
      </c>
      <c r="TC78" s="5381">
        <v>0</v>
      </c>
      <c r="TD78" s="1563"/>
      <c r="TE78" s="134">
        <v>0</v>
      </c>
      <c r="TF78" s="134">
        <v>0</v>
      </c>
      <c r="TG78" s="134"/>
      <c r="TH78" s="133">
        <f>TF78-(TE78+TG78)</f>
        <v>0</v>
      </c>
      <c r="TI78" s="196">
        <v>0</v>
      </c>
      <c r="TJ78" s="134"/>
      <c r="TK78" s="134">
        <v>0</v>
      </c>
      <c r="TL78" s="134">
        <v>0</v>
      </c>
      <c r="TM78" s="190">
        <f t="shared" si="789"/>
        <v>0</v>
      </c>
      <c r="TN78" s="5381">
        <v>0</v>
      </c>
      <c r="TO78" s="134">
        <v>0</v>
      </c>
      <c r="TP78" s="134">
        <v>0</v>
      </c>
      <c r="TQ78" s="134">
        <v>0</v>
      </c>
      <c r="TR78" s="134"/>
      <c r="TS78" s="133">
        <f>TQ78-(TP78+TR78)</f>
        <v>0</v>
      </c>
      <c r="TT78" s="151"/>
      <c r="TU78" s="134">
        <v>0</v>
      </c>
      <c r="TV78" s="134"/>
      <c r="TW78" s="134"/>
      <c r="TX78" s="190">
        <f t="shared" si="845"/>
        <v>0</v>
      </c>
      <c r="TY78" s="152">
        <v>0</v>
      </c>
      <c r="TZ78" s="1563">
        <v>0</v>
      </c>
      <c r="UA78" s="134">
        <v>0</v>
      </c>
      <c r="UB78" s="134">
        <v>0</v>
      </c>
      <c r="UC78" s="134">
        <v>0</v>
      </c>
      <c r="UD78" s="133">
        <f t="shared" si="750"/>
        <v>0</v>
      </c>
      <c r="UE78" s="151"/>
      <c r="UF78" s="134"/>
      <c r="UG78" s="134"/>
      <c r="UH78" s="134"/>
      <c r="UI78" s="190">
        <f t="shared" si="752"/>
        <v>0</v>
      </c>
      <c r="UJ78" s="5380">
        <v>6</v>
      </c>
      <c r="UK78" s="5376"/>
      <c r="UL78" s="191">
        <f t="shared" si="754"/>
        <v>0</v>
      </c>
      <c r="UM78" s="191">
        <f t="shared" si="755"/>
        <v>0</v>
      </c>
      <c r="UN78" s="135"/>
      <c r="UO78" s="191">
        <f t="shared" si="757"/>
        <v>-336664</v>
      </c>
      <c r="UP78" s="5380"/>
    </row>
    <row r="79" spans="1:566" ht="14" thickBot="1" x14ac:dyDescent="0.35">
      <c r="A79" s="5317"/>
      <c r="B79" s="5362"/>
      <c r="C79" s="719"/>
      <c r="D79" s="719"/>
      <c r="E79" s="6279"/>
      <c r="F79" s="663"/>
      <c r="G79" s="380">
        <v>0</v>
      </c>
      <c r="H79" s="380">
        <v>0</v>
      </c>
      <c r="I79" s="380">
        <v>0</v>
      </c>
      <c r="J79" s="225"/>
      <c r="K79" s="664"/>
      <c r="L79" s="380">
        <v>0</v>
      </c>
      <c r="M79" s="380">
        <v>0</v>
      </c>
      <c r="N79" s="380">
        <v>0</v>
      </c>
      <c r="O79" s="666"/>
      <c r="P79" s="664"/>
      <c r="Q79" s="380">
        <v>0</v>
      </c>
      <c r="R79" s="380">
        <v>0</v>
      </c>
      <c r="S79" s="380">
        <v>0</v>
      </c>
      <c r="T79" s="225"/>
      <c r="U79" s="664"/>
      <c r="V79" s="380">
        <v>0</v>
      </c>
      <c r="W79" s="380">
        <v>0</v>
      </c>
      <c r="X79" s="380">
        <v>0</v>
      </c>
      <c r="Y79" s="5411">
        <f t="shared" si="801"/>
        <v>0</v>
      </c>
      <c r="Z79" s="225"/>
      <c r="AA79" s="663"/>
      <c r="AB79" s="380">
        <v>0</v>
      </c>
      <c r="AC79" s="380">
        <v>0</v>
      </c>
      <c r="AD79" s="380">
        <v>0</v>
      </c>
      <c r="AE79" s="148">
        <f t="shared" si="802"/>
        <v>0</v>
      </c>
      <c r="AF79" s="666"/>
      <c r="AG79" s="5412"/>
      <c r="AH79" s="668"/>
      <c r="AI79" s="668"/>
      <c r="AJ79" s="668"/>
      <c r="AK79" s="2146"/>
      <c r="AL79" s="117"/>
      <c r="AM79" s="131"/>
      <c r="AN79" s="429"/>
      <c r="AO79" s="132"/>
      <c r="AP79" s="429"/>
      <c r="AQ79" s="429"/>
      <c r="AR79" s="5413"/>
      <c r="AS79" s="5414"/>
      <c r="AT79" s="5415"/>
      <c r="AU79" s="5415"/>
      <c r="AV79" s="5415"/>
      <c r="AW79" s="701"/>
      <c r="AX79" s="702"/>
      <c r="AY79" s="704"/>
      <c r="AZ79" s="704"/>
      <c r="BA79" s="704"/>
      <c r="BB79" s="704"/>
      <c r="BC79" s="5416"/>
      <c r="BD79" s="5411"/>
      <c r="BE79" s="5411"/>
      <c r="BF79" s="5411"/>
      <c r="BG79" s="5411"/>
      <c r="BH79" s="705"/>
      <c r="BI79" s="5416"/>
      <c r="BJ79" s="5411"/>
      <c r="BK79" s="5411"/>
      <c r="BL79" s="5411"/>
      <c r="BM79" s="5411"/>
      <c r="BN79" s="5417"/>
      <c r="BO79" s="5418"/>
      <c r="BP79" s="5411"/>
      <c r="BQ79" s="5411"/>
      <c r="BR79" s="5411"/>
      <c r="BS79" s="5411"/>
      <c r="BT79" s="2013"/>
      <c r="BU79" s="5419"/>
      <c r="BV79" s="592">
        <f>BQ79+BK79+BE79</f>
        <v>0</v>
      </c>
      <c r="BW79" s="592">
        <f>BS79+BM79+BG79</f>
        <v>0</v>
      </c>
      <c r="BX79" s="5420"/>
      <c r="BY79" s="5421"/>
      <c r="BZ79" s="5422"/>
      <c r="CA79" s="5422"/>
      <c r="CB79" s="5422"/>
      <c r="CC79" s="5422"/>
      <c r="CD79" s="5423"/>
      <c r="CE79" s="5411"/>
      <c r="CF79" s="5411"/>
      <c r="CG79" s="5411"/>
      <c r="CH79" s="5411"/>
      <c r="CI79" s="148"/>
      <c r="CJ79" s="201"/>
      <c r="CK79" s="628"/>
      <c r="CL79" s="661"/>
      <c r="CM79" s="661"/>
      <c r="CN79" s="661"/>
      <c r="CO79" s="644"/>
      <c r="CP79" s="632"/>
      <c r="CQ79" s="109"/>
      <c r="CR79" s="644"/>
      <c r="CS79" s="644"/>
      <c r="CT79" s="644"/>
      <c r="CU79" s="109"/>
      <c r="CV79" s="74"/>
      <c r="CW79" s="165"/>
      <c r="CX79" s="109"/>
      <c r="CY79" s="109"/>
      <c r="CZ79" s="109"/>
      <c r="DA79" s="141"/>
      <c r="DB79" s="632"/>
      <c r="DC79" s="109"/>
      <c r="DD79" s="109"/>
      <c r="DE79" s="109"/>
      <c r="DF79" s="109"/>
      <c r="DG79" s="109"/>
      <c r="DH79" s="74"/>
      <c r="DI79" s="642"/>
      <c r="DJ79" s="141"/>
      <c r="DK79" s="141"/>
      <c r="DL79" s="74"/>
      <c r="DM79" s="141"/>
      <c r="DN79" s="74"/>
      <c r="DO79" s="643"/>
      <c r="DP79" s="644"/>
      <c r="DQ79" s="644"/>
      <c r="DR79" s="644"/>
      <c r="DS79" s="74"/>
      <c r="DT79" s="74"/>
      <c r="DU79" s="74"/>
      <c r="DV79" s="73"/>
      <c r="DW79" s="643"/>
      <c r="DX79" s="5307"/>
      <c r="DY79" s="5307"/>
      <c r="DZ79" s="706"/>
      <c r="EA79" s="74"/>
      <c r="EB79" s="74"/>
      <c r="EC79" s="74"/>
      <c r="ED79" s="73"/>
      <c r="EE79" s="165"/>
      <c r="EF79" s="109"/>
      <c r="EG79" s="109"/>
      <c r="EH79" s="109"/>
      <c r="EI79" s="141"/>
      <c r="EJ79" s="73"/>
      <c r="EK79" s="165"/>
      <c r="EL79" s="109"/>
      <c r="EM79" s="109"/>
      <c r="EN79" s="109"/>
      <c r="EO79" s="109"/>
      <c r="EP79" s="73"/>
      <c r="EQ79" s="165"/>
      <c r="ER79" s="109"/>
      <c r="ES79" s="109"/>
      <c r="ET79" s="109"/>
      <c r="EU79" s="141"/>
      <c r="EV79" s="73"/>
      <c r="EW79" s="165"/>
      <c r="EX79" s="109"/>
      <c r="EY79" s="109"/>
      <c r="EZ79" s="109"/>
      <c r="FA79" s="109"/>
      <c r="FB79" s="73"/>
      <c r="FC79" s="643"/>
      <c r="FD79" s="644"/>
      <c r="FE79" s="644"/>
      <c r="FF79" s="644"/>
      <c r="FG79" s="74"/>
      <c r="FH79" s="74"/>
      <c r="FI79" s="74"/>
      <c r="FJ79" s="73"/>
      <c r="FK79" s="147"/>
      <c r="FL79" s="148"/>
      <c r="FM79" s="148"/>
      <c r="FN79" s="148"/>
      <c r="FO79" s="148"/>
      <c r="FP79" s="198"/>
      <c r="FQ79" s="147"/>
      <c r="FR79" s="148"/>
      <c r="FS79" s="148"/>
      <c r="FT79" s="197"/>
      <c r="FU79" s="201"/>
      <c r="FV79" s="187"/>
      <c r="FW79" s="155"/>
      <c r="FX79" s="155"/>
      <c r="FY79" s="155"/>
      <c r="FZ79" s="155"/>
      <c r="GA79" s="74"/>
      <c r="GB79" s="74"/>
      <c r="GC79" s="74"/>
      <c r="GD79" s="73"/>
      <c r="GE79" s="187"/>
      <c r="GF79" s="155"/>
      <c r="GG79" s="155"/>
      <c r="GH79" s="74"/>
      <c r="GI79" s="613"/>
      <c r="GJ79" s="187"/>
      <c r="GK79" s="155"/>
      <c r="GL79" s="155"/>
      <c r="GM79" s="613"/>
      <c r="GN79" s="147"/>
      <c r="GO79" s="148"/>
      <c r="GP79" s="148"/>
      <c r="GQ79" s="148"/>
      <c r="GR79" s="148"/>
      <c r="GS79" s="198"/>
      <c r="GT79" s="147"/>
      <c r="GU79" s="148"/>
      <c r="GV79" s="148"/>
      <c r="GW79" s="148"/>
      <c r="GX79" s="803"/>
      <c r="GY79" s="201"/>
      <c r="GZ79" s="5424"/>
      <c r="HA79" s="148"/>
      <c r="HB79" s="148"/>
      <c r="HC79" s="148"/>
      <c r="HD79" s="148"/>
      <c r="HE79" s="198"/>
      <c r="HF79" s="165"/>
      <c r="HG79" s="109"/>
      <c r="HH79" s="109"/>
      <c r="HI79" s="109"/>
      <c r="HJ79" s="197">
        <v>0</v>
      </c>
      <c r="HK79" s="201"/>
      <c r="HL79" s="165"/>
      <c r="HM79" s="109"/>
      <c r="HN79" s="109"/>
      <c r="HO79" s="109"/>
      <c r="HP79" s="615">
        <f t="shared" si="862"/>
        <v>0</v>
      </c>
      <c r="HQ79" s="73"/>
      <c r="HR79" s="109"/>
      <c r="HS79" s="109"/>
      <c r="HT79" s="109"/>
      <c r="HU79" s="109"/>
      <c r="HV79" s="155"/>
      <c r="HW79" s="73"/>
      <c r="HX79" s="403"/>
      <c r="HY79" s="74"/>
      <c r="HZ79" s="73"/>
      <c r="IA79" s="74"/>
      <c r="IB79" s="73"/>
      <c r="IC79" s="74"/>
      <c r="ID79" s="403"/>
      <c r="IE79" s="141">
        <f t="shared" si="759"/>
        <v>0</v>
      </c>
      <c r="IF79" s="141">
        <f t="shared" si="760"/>
        <v>0</v>
      </c>
      <c r="IG79" s="74">
        <v>0</v>
      </c>
      <c r="IH79" s="201"/>
      <c r="II79" s="69"/>
      <c r="IJ79" s="165"/>
      <c r="IK79" s="109"/>
      <c r="IL79" s="109"/>
      <c r="IM79" s="109"/>
      <c r="IN79" s="165"/>
      <c r="IO79" s="73"/>
      <c r="IP79" s="109"/>
      <c r="IQ79" s="109"/>
      <c r="IR79" s="109"/>
      <c r="IS79" s="187"/>
      <c r="IT79" s="73"/>
      <c r="IU79" s="163"/>
      <c r="IV79" s="109"/>
      <c r="IW79" s="109"/>
      <c r="IX79" s="109"/>
      <c r="IY79" s="165"/>
      <c r="IZ79" s="73"/>
      <c r="JA79" s="109"/>
      <c r="JB79" s="109"/>
      <c r="JC79" s="109"/>
      <c r="JD79" s="187"/>
      <c r="JE79" s="73"/>
      <c r="JF79" s="163"/>
      <c r="JG79" s="109"/>
      <c r="JH79" s="109"/>
      <c r="JI79" s="109"/>
      <c r="JJ79" s="165"/>
      <c r="JK79" s="73"/>
      <c r="JL79" s="109"/>
      <c r="JM79" s="109"/>
      <c r="JN79" s="109"/>
      <c r="JO79" s="187"/>
      <c r="JP79" s="73"/>
      <c r="JQ79" s="713"/>
      <c r="JR79" s="197">
        <f t="shared" si="863"/>
        <v>0</v>
      </c>
      <c r="JS79" s="197">
        <f t="shared" si="864"/>
        <v>0</v>
      </c>
      <c r="JT79" s="364">
        <v>0</v>
      </c>
      <c r="JU79" s="163"/>
      <c r="JV79" s="109"/>
      <c r="JW79" s="109"/>
      <c r="JX79" s="109"/>
      <c r="JY79" s="165"/>
      <c r="JZ79" s="73"/>
      <c r="KA79" s="109"/>
      <c r="KB79" s="109"/>
      <c r="KC79" s="109"/>
      <c r="KD79" s="187"/>
      <c r="KE79" s="73"/>
      <c r="KF79" s="163"/>
      <c r="KG79" s="148">
        <v>0</v>
      </c>
      <c r="KH79" s="148">
        <v>0</v>
      </c>
      <c r="KI79" s="1585">
        <v>0</v>
      </c>
      <c r="KJ79" s="165"/>
      <c r="KK79" s="73"/>
      <c r="KL79" s="109"/>
      <c r="KM79" s="109"/>
      <c r="KN79" s="109"/>
      <c r="KO79" s="187"/>
      <c r="KP79" s="73"/>
      <c r="KQ79" s="163"/>
      <c r="KR79" s="148">
        <v>0</v>
      </c>
      <c r="KS79" s="148">
        <v>0</v>
      </c>
      <c r="KT79" s="1585">
        <v>0</v>
      </c>
      <c r="KU79" s="165"/>
      <c r="KV79" s="73"/>
      <c r="KW79" s="109"/>
      <c r="KX79" s="109"/>
      <c r="KY79" s="109"/>
      <c r="KZ79" s="187"/>
      <c r="LA79" s="73"/>
      <c r="LB79" s="3767"/>
      <c r="LC79" s="197">
        <f t="shared" si="865"/>
        <v>0</v>
      </c>
      <c r="LD79" s="197">
        <f t="shared" si="866"/>
        <v>0</v>
      </c>
      <c r="LE79" s="201"/>
      <c r="LF79" s="131">
        <f>KF79-HL79</f>
        <v>0</v>
      </c>
      <c r="LG79" s="639">
        <f t="shared" si="877"/>
        <v>0</v>
      </c>
      <c r="LH79" s="640">
        <f t="shared" si="877"/>
        <v>0</v>
      </c>
      <c r="LI79" s="809"/>
      <c r="LJ79" s="809"/>
      <c r="LK79" s="632"/>
      <c r="LL79" s="163"/>
      <c r="LM79" s="148">
        <v>0</v>
      </c>
      <c r="LN79" s="148">
        <v>0</v>
      </c>
      <c r="LO79" s="1585">
        <v>0</v>
      </c>
      <c r="LP79" s="165"/>
      <c r="LQ79" s="73"/>
      <c r="LR79" s="109"/>
      <c r="LS79" s="109"/>
      <c r="LT79" s="109"/>
      <c r="LU79" s="187"/>
      <c r="LV79" s="73"/>
      <c r="LW79" s="109"/>
      <c r="LX79" s="109"/>
      <c r="LY79" s="109"/>
      <c r="LZ79" s="109"/>
      <c r="MA79" s="147"/>
      <c r="MB79" s="201"/>
      <c r="MC79" s="109"/>
      <c r="MD79" s="109"/>
      <c r="ME79" s="109"/>
      <c r="MF79" s="165"/>
      <c r="MG79" s="73"/>
      <c r="MH79" s="147"/>
      <c r="MI79" s="109"/>
      <c r="MJ79" s="109"/>
      <c r="MK79" s="109"/>
      <c r="ML79" s="147"/>
      <c r="MM79" s="201"/>
      <c r="MN79" s="109"/>
      <c r="MO79" s="109"/>
      <c r="MP79" s="109"/>
      <c r="MQ79" s="165"/>
      <c r="MR79" s="201"/>
      <c r="MS79" s="1475"/>
      <c r="MT79" s="148"/>
      <c r="MU79" s="148"/>
      <c r="MV79" s="198"/>
      <c r="MW79" s="147">
        <f t="shared" si="703"/>
        <v>0</v>
      </c>
      <c r="MX79" s="148">
        <f t="shared" si="704"/>
        <v>0</v>
      </c>
      <c r="MY79" s="148">
        <f t="shared" si="705"/>
        <v>0</v>
      </c>
      <c r="MZ79" s="198"/>
      <c r="NA79" s="198"/>
      <c r="NB79" s="201"/>
      <c r="NC79" s="147"/>
      <c r="ND79" s="109"/>
      <c r="NE79" s="109"/>
      <c r="NF79" s="109"/>
      <c r="NG79" s="147"/>
      <c r="NH79" s="201"/>
      <c r="NI79" s="109"/>
      <c r="NJ79" s="109"/>
      <c r="NK79" s="109"/>
      <c r="NL79" s="165"/>
      <c r="NM79" s="198"/>
      <c r="NN79" s="1565"/>
      <c r="NO79" s="109"/>
      <c r="NP79" s="109"/>
      <c r="NQ79" s="109"/>
      <c r="NR79" s="147"/>
      <c r="NS79" s="201"/>
      <c r="NT79" s="148"/>
      <c r="NU79" s="109"/>
      <c r="NV79" s="109"/>
      <c r="NW79" s="165"/>
      <c r="NX79" s="198"/>
      <c r="NY79" s="1565"/>
      <c r="NZ79" s="109"/>
      <c r="OA79" s="109"/>
      <c r="OB79" s="109"/>
      <c r="OC79" s="147"/>
      <c r="OD79" s="201"/>
      <c r="OE79" s="148"/>
      <c r="OF79" s="109"/>
      <c r="OG79" s="109"/>
      <c r="OH79" s="165"/>
      <c r="OI79" s="5383"/>
      <c r="OJ79" s="69"/>
      <c r="OK79" s="155">
        <f t="shared" si="867"/>
        <v>0</v>
      </c>
      <c r="OL79" s="155">
        <f t="shared" si="868"/>
        <v>0</v>
      </c>
      <c r="OM79" s="74"/>
      <c r="ON79" s="155">
        <f t="shared" si="869"/>
        <v>0</v>
      </c>
      <c r="OO79" s="70"/>
      <c r="OP79" s="69"/>
      <c r="OQ79" s="5406"/>
      <c r="OR79" s="132"/>
      <c r="OS79" s="132"/>
      <c r="OT79" s="5311"/>
      <c r="OU79" s="165"/>
      <c r="OV79" s="7"/>
      <c r="OW79" s="109"/>
      <c r="OX79" s="109"/>
      <c r="OY79" s="109"/>
      <c r="OZ79" s="187"/>
      <c r="PA79" s="5425"/>
      <c r="PB79" s="160"/>
      <c r="PC79" s="109"/>
      <c r="PD79" s="109"/>
      <c r="PE79" s="109"/>
      <c r="PF79" s="165"/>
      <c r="PG79" s="7"/>
      <c r="PH79" s="109"/>
      <c r="PI79" s="109"/>
      <c r="PJ79" s="109"/>
      <c r="PK79" s="187"/>
      <c r="PL79" s="74"/>
      <c r="PM79" s="5394"/>
      <c r="PN79" s="109"/>
      <c r="PO79" s="109"/>
      <c r="PP79" s="109"/>
      <c r="PQ79" s="6313"/>
      <c r="PR79" s="6314"/>
      <c r="PS79" s="109"/>
      <c r="PT79" s="109"/>
      <c r="PU79" s="109"/>
      <c r="PV79" s="187"/>
      <c r="PW79" s="5426"/>
      <c r="PX79" s="5322"/>
      <c r="PY79" s="197">
        <f t="shared" si="870"/>
        <v>0</v>
      </c>
      <c r="PZ79" s="197">
        <f t="shared" si="871"/>
        <v>0</v>
      </c>
      <c r="QA79" s="363">
        <v>0</v>
      </c>
      <c r="QB79" s="5394"/>
      <c r="QC79" s="109"/>
      <c r="QD79" s="109"/>
      <c r="QE79" s="109"/>
      <c r="QF79" s="6313"/>
      <c r="QG79" s="6314"/>
      <c r="QH79" s="109"/>
      <c r="QI79" s="109"/>
      <c r="QJ79" s="109"/>
      <c r="QK79" s="187"/>
      <c r="QL79" s="5426"/>
      <c r="QM79" s="5394"/>
      <c r="QN79" s="148">
        <v>0</v>
      </c>
      <c r="QO79" s="148">
        <v>0</v>
      </c>
      <c r="QP79" s="1585">
        <v>0</v>
      </c>
      <c r="QQ79" s="165"/>
      <c r="QR79" s="73"/>
      <c r="QS79" s="109"/>
      <c r="QT79" s="109"/>
      <c r="QU79" s="109"/>
      <c r="QV79" s="187"/>
      <c r="QW79" s="5426"/>
      <c r="QX79" s="5394"/>
      <c r="QY79" s="148"/>
      <c r="QZ79" s="148"/>
      <c r="RA79" s="1585"/>
      <c r="RB79" s="147"/>
      <c r="RC79" s="201"/>
      <c r="RD79" s="148"/>
      <c r="RE79" s="5411"/>
      <c r="RF79" s="148"/>
      <c r="RG79" s="187"/>
      <c r="RH79" s="5426"/>
      <c r="RI79" s="6318"/>
      <c r="RJ79" s="197">
        <f t="shared" si="872"/>
        <v>0</v>
      </c>
      <c r="RK79" s="197">
        <f t="shared" si="873"/>
        <v>0</v>
      </c>
      <c r="RL79" s="5383"/>
      <c r="RM79" s="5406">
        <f>QM79-NS79</f>
        <v>0</v>
      </c>
      <c r="RN79" s="639">
        <f t="shared" si="878"/>
        <v>0</v>
      </c>
      <c r="RO79" s="640">
        <f t="shared" si="878"/>
        <v>0</v>
      </c>
      <c r="RP79" s="809"/>
      <c r="RQ79" s="809"/>
      <c r="RR79" s="6341"/>
      <c r="RS79" s="6335"/>
      <c r="RT79" s="132"/>
      <c r="RU79" s="132"/>
      <c r="RV79" s="4096"/>
      <c r="RW79" s="165"/>
      <c r="RX79" s="73"/>
      <c r="RY79" s="109"/>
      <c r="RZ79" s="109"/>
      <c r="SA79" s="109"/>
      <c r="SB79" s="187"/>
      <c r="SC79" s="5426"/>
      <c r="SD79" s="5427"/>
      <c r="SE79" s="639"/>
      <c r="SF79" s="639"/>
      <c r="SG79" s="646"/>
      <c r="SH79" s="6365"/>
      <c r="SI79" s="6366"/>
      <c r="SJ79" s="109"/>
      <c r="SK79" s="109"/>
      <c r="SL79" s="109"/>
      <c r="SM79" s="165"/>
      <c r="SN79" s="5428">
        <v>0</v>
      </c>
      <c r="SO79" s="148"/>
      <c r="SP79" s="109"/>
      <c r="SQ79" s="109"/>
      <c r="SR79" s="109"/>
      <c r="SS79" s="6365"/>
      <c r="ST79" s="6366"/>
      <c r="SU79" s="134"/>
      <c r="SV79" s="109"/>
      <c r="SW79" s="134"/>
      <c r="SX79" s="165"/>
      <c r="SY79" s="5383"/>
      <c r="SZ79" s="6271"/>
      <c r="TA79" s="148"/>
      <c r="TB79" s="148"/>
      <c r="TC79" s="5383"/>
      <c r="TD79" s="1565"/>
      <c r="TE79" s="109"/>
      <c r="TF79" s="109"/>
      <c r="TG79" s="109"/>
      <c r="TH79" s="147"/>
      <c r="TI79" s="201"/>
      <c r="TJ79" s="109"/>
      <c r="TK79" s="134"/>
      <c r="TL79" s="134"/>
      <c r="TM79" s="165"/>
      <c r="TN79" s="5383"/>
      <c r="TO79" s="148"/>
      <c r="TP79" s="109"/>
      <c r="TQ79" s="109"/>
      <c r="TR79" s="109"/>
      <c r="TS79" s="147"/>
      <c r="TT79" s="201"/>
      <c r="TU79" s="148"/>
      <c r="TV79" s="109"/>
      <c r="TW79" s="109"/>
      <c r="TX79" s="165"/>
      <c r="TY79" s="198"/>
      <c r="TZ79" s="1565"/>
      <c r="UA79" s="109"/>
      <c r="UB79" s="109"/>
      <c r="UC79" s="109"/>
      <c r="UD79" s="147"/>
      <c r="UE79" s="201"/>
      <c r="UF79" s="148"/>
      <c r="UG79" s="109"/>
      <c r="UH79" s="109"/>
      <c r="UI79" s="165"/>
      <c r="UJ79" s="5383"/>
      <c r="UK79" s="6318"/>
      <c r="UL79" s="197">
        <f t="shared" si="754"/>
        <v>0</v>
      </c>
      <c r="UM79" s="197">
        <f t="shared" si="755"/>
        <v>0</v>
      </c>
      <c r="UN79" s="198"/>
      <c r="UO79" s="197">
        <f t="shared" si="757"/>
        <v>0</v>
      </c>
      <c r="UP79" s="2196"/>
    </row>
    <row r="80" spans="1:566" s="4139" customFormat="1" ht="16.7" customHeight="1" thickBot="1" x14ac:dyDescent="0.35">
      <c r="A80" s="5429"/>
      <c r="B80" s="5430" t="s">
        <v>184</v>
      </c>
      <c r="C80" s="5431"/>
      <c r="D80" s="5431"/>
      <c r="E80" s="6285" t="s">
        <v>184</v>
      </c>
      <c r="F80" s="5433">
        <f>SUM(F60:F79)</f>
        <v>78</v>
      </c>
      <c r="G80" s="5433">
        <f>SUM(G60:G79)</f>
        <v>15233210</v>
      </c>
      <c r="H80" s="5433">
        <f>SUM(H60:H79)</f>
        <v>21941459</v>
      </c>
      <c r="I80" s="5433">
        <f>SUM(I60:I79)</f>
        <v>6420990</v>
      </c>
      <c r="J80" s="5434">
        <f>I80/H80</f>
        <v>0.29264188858179396</v>
      </c>
      <c r="K80" s="5432">
        <f>SUM(K60:K79)</f>
        <v>98</v>
      </c>
      <c r="L80" s="5433">
        <f>SUM(L60:L79)</f>
        <v>22497653</v>
      </c>
      <c r="M80" s="5433">
        <f>SUM(M60:M79)</f>
        <v>34009037</v>
      </c>
      <c r="N80" s="5433">
        <f>SUM(N60:N79)</f>
        <v>11246631</v>
      </c>
      <c r="O80" s="5434">
        <f>N80/M80</f>
        <v>0.33069536782238201</v>
      </c>
      <c r="P80" s="5432">
        <f>SUM(P60:P79)</f>
        <v>119</v>
      </c>
      <c r="Q80" s="5433">
        <f>SUM(Q60:Q79)</f>
        <v>34221336</v>
      </c>
      <c r="R80" s="5433">
        <f>SUM(R60:R79)</f>
        <v>49806847.5639823</v>
      </c>
      <c r="S80" s="5433">
        <f>SUM(S60:S79)</f>
        <v>15169384.5639823</v>
      </c>
      <c r="T80" s="5435">
        <f>S80/R80</f>
        <v>0.30456423776862368</v>
      </c>
      <c r="U80" s="5432">
        <f>SUM(U60:U79)</f>
        <v>128</v>
      </c>
      <c r="V80" s="5433">
        <f>SUM(V60:V79)</f>
        <v>15320215</v>
      </c>
      <c r="W80" s="5433">
        <f>SUM(W60:W79)</f>
        <v>21420601</v>
      </c>
      <c r="X80" s="5431"/>
      <c r="Y80" s="5433">
        <f>SUM(Y60:Y79)</f>
        <v>6100386</v>
      </c>
      <c r="Z80" s="5435">
        <f>Y80/W80</f>
        <v>0.28479060881625123</v>
      </c>
      <c r="AA80" s="5432">
        <f>SUM(AA60:AA79)</f>
        <v>136</v>
      </c>
      <c r="AB80" s="5433">
        <f>SUM(AB60:AB79)</f>
        <v>18029259</v>
      </c>
      <c r="AC80" s="5433">
        <f>SUM(AC60:AC79)</f>
        <v>27830753</v>
      </c>
      <c r="AD80" s="5433">
        <f>SUM(AD60:AD79)</f>
        <v>119731</v>
      </c>
      <c r="AE80" s="5433">
        <f>SUM(AE60:AE79)</f>
        <v>9681763</v>
      </c>
      <c r="AF80" s="5436"/>
      <c r="AG80" s="5433">
        <f>SUM(AG60:AG79)</f>
        <v>145</v>
      </c>
      <c r="AH80" s="5432">
        <f>SUM(AH60:AH79)</f>
        <v>19740796</v>
      </c>
      <c r="AI80" s="5432">
        <f>SUM(AI60:AI79)</f>
        <v>31370133.169999998</v>
      </c>
      <c r="AJ80" s="5432">
        <f>SUM(AJ60:AJ79)</f>
        <v>177345</v>
      </c>
      <c r="AK80" s="5432">
        <f>SUM(AK60:AK79)</f>
        <v>11451992.17</v>
      </c>
      <c r="AL80" s="5437">
        <f>AK80/AI80</f>
        <v>0.36506036196721703</v>
      </c>
      <c r="AM80" s="5432">
        <f>SUM(AM60:AM79)</f>
        <v>1062119</v>
      </c>
      <c r="AN80" s="5432">
        <f>SUM(AN60:AN79)</f>
        <v>2592864.1425000001</v>
      </c>
      <c r="AO80" s="5432">
        <f>SUM(AO60:AO79)</f>
        <v>0</v>
      </c>
      <c r="AP80" s="5432">
        <f>SUM(AP60:AP79)</f>
        <v>952750.42000000027</v>
      </c>
      <c r="AQ80" s="5432">
        <f>SUM(AQ60:AQ79)</f>
        <v>6844258.6075000018</v>
      </c>
      <c r="AR80" s="5438">
        <f>AQ80/AI80</f>
        <v>0.2181775439208313</v>
      </c>
      <c r="AS80" s="5432">
        <f>SUM(AS60:AS79)</f>
        <v>145</v>
      </c>
      <c r="AT80" s="5433">
        <f>SUM(AT60:AT79)</f>
        <v>53387346</v>
      </c>
      <c r="AU80" s="5433">
        <f>SUM(AU60:AU79)</f>
        <v>80621487.170000002</v>
      </c>
      <c r="AV80" s="5433">
        <f>SUM(AV60:AV79)</f>
        <v>27272411.169999998</v>
      </c>
      <c r="AW80" s="5437">
        <f>AV80/AU80</f>
        <v>0.3382772028565148</v>
      </c>
      <c r="AX80" s="5439">
        <f>SUM(AX60:AX79)</f>
        <v>145</v>
      </c>
      <c r="AY80" s="5433">
        <f>SUM(AY60:AY79)</f>
        <v>125339545</v>
      </c>
      <c r="AZ80" s="5433">
        <f>SUM(AZ60:AZ79)</f>
        <v>186378830.73398229</v>
      </c>
      <c r="BA80" s="5433">
        <f>SUM(BA60:BA79)</f>
        <v>60109416.733982302</v>
      </c>
      <c r="BB80" s="5437">
        <f>BA80/AZ80</f>
        <v>0.32251203904040054</v>
      </c>
      <c r="BC80" s="5432">
        <f>SUM(BC60:BC79)</f>
        <v>146</v>
      </c>
      <c r="BD80" s="5432">
        <f>SUM(BD60:BD79)</f>
        <v>20411310</v>
      </c>
      <c r="BE80" s="5432">
        <f>SUM(BE60:BE79)</f>
        <v>30471344</v>
      </c>
      <c r="BF80" s="5432">
        <f>SUM(BF60:BF79)</f>
        <v>149474</v>
      </c>
      <c r="BG80" s="5432">
        <f>SUM(BG60:BG79)</f>
        <v>9910560</v>
      </c>
      <c r="BH80" s="5440">
        <f>BG80/BE80</f>
        <v>0.32524197160453439</v>
      </c>
      <c r="BI80" s="5432">
        <f>SUM(BI60:BI79)</f>
        <v>151</v>
      </c>
      <c r="BJ80" s="5432">
        <f>SUM(BJ60:BJ79)</f>
        <v>20591991</v>
      </c>
      <c r="BK80" s="5432">
        <f>SUM(BK60:BK79)</f>
        <v>33057228.550000001</v>
      </c>
      <c r="BL80" s="5432">
        <f>SUM(BL60:BL79)</f>
        <v>16754</v>
      </c>
      <c r="BM80" s="5432">
        <f>SUM(BM60:BM79)</f>
        <v>12448483.550000001</v>
      </c>
      <c r="BN80" s="5440">
        <f>BM80/BK80</f>
        <v>0.37657372066661049</v>
      </c>
      <c r="BO80" s="5441">
        <f>SUM(BO60:BO79)</f>
        <v>141</v>
      </c>
      <c r="BP80" s="5432">
        <f>SUM(BP60:BP79)</f>
        <v>20436641</v>
      </c>
      <c r="BQ80" s="5432">
        <f>SUM(BQ60:BQ79)</f>
        <v>33008253</v>
      </c>
      <c r="BR80" s="5432">
        <f>SUM(BR60:BR79)</f>
        <v>167608</v>
      </c>
      <c r="BS80" s="5432">
        <f>SUM(BS60:BS79)</f>
        <v>12404004</v>
      </c>
      <c r="BT80" s="5440">
        <f>BS80/BQ80</f>
        <v>0.37578492869646873</v>
      </c>
      <c r="BU80" s="5441">
        <f>SUM(BU60:BU79)</f>
        <v>141</v>
      </c>
      <c r="BV80" s="5432">
        <f>SUM(BV60:BV79)</f>
        <v>96381620</v>
      </c>
      <c r="BW80" s="5432">
        <f>SUM(BW60:BW79)</f>
        <v>34705550.049999997</v>
      </c>
      <c r="BX80" s="5440">
        <f>BW80/BV80</f>
        <v>0.36008473451680928</v>
      </c>
      <c r="BY80" s="5432">
        <f>SUM(BY60:BY79)</f>
        <v>136</v>
      </c>
      <c r="BZ80" s="5433">
        <f>SUM(BZ60:BZ79)</f>
        <v>20528530</v>
      </c>
      <c r="CA80" s="5433">
        <f>SUM(CA60:CA79)</f>
        <v>31708284</v>
      </c>
      <c r="CB80" s="5433">
        <f>SUM(CB60:CB79)</f>
        <v>120082</v>
      </c>
      <c r="CC80" s="5433">
        <f>SUM(CC60:CC79)</f>
        <v>11059672</v>
      </c>
      <c r="CD80" s="5442">
        <f>CC80/CA80</f>
        <v>0.3487944033805172</v>
      </c>
      <c r="CE80" s="5432">
        <f>SUM(CE60:CE79)</f>
        <v>1632181</v>
      </c>
      <c r="CF80" s="5433">
        <f>SUM(CF60:CF79)</f>
        <v>3167587</v>
      </c>
      <c r="CG80" s="5433">
        <f>SUM(CG60:CG79)</f>
        <v>0</v>
      </c>
      <c r="CH80" s="5433">
        <f>SUM(CH60:CH79)</f>
        <v>1287936.5555555555</v>
      </c>
      <c r="CI80" s="5433">
        <f>SUM(CI60:CI79)</f>
        <v>4971967.444444445</v>
      </c>
      <c r="CJ80" s="5438">
        <f>CI80/CA80</f>
        <v>0.15680342223642393</v>
      </c>
      <c r="CK80" s="5432">
        <f>SUM(CK60:CK79)</f>
        <v>134</v>
      </c>
      <c r="CL80" s="5433">
        <f>SUM(CL60:CL79)</f>
        <v>20304626</v>
      </c>
      <c r="CM80" s="5433">
        <f>SUM(CM60:CM79)</f>
        <v>29499386</v>
      </c>
      <c r="CN80" s="5433">
        <f>SUM(CN60:CN79)</f>
        <v>316915</v>
      </c>
      <c r="CO80" s="5433">
        <f>SUM(CO60:CO79)</f>
        <v>8877845</v>
      </c>
      <c r="CP80" s="5443">
        <f>CO80/CM80</f>
        <v>0.30095016214913761</v>
      </c>
      <c r="CQ80" s="5432">
        <f>SUM(CQ60:CQ79)</f>
        <v>1350516</v>
      </c>
      <c r="CR80" s="5433">
        <f>SUM(CR60:CR79)</f>
        <v>2536959</v>
      </c>
      <c r="CS80" s="5433">
        <f>SUM(CS60:CS79)</f>
        <v>0</v>
      </c>
      <c r="CT80" s="5433">
        <f>SUM(CT60:CT79)</f>
        <v>1475214.7545000003</v>
      </c>
      <c r="CU80" s="5433">
        <f>SUM(CU60:CU79)</f>
        <v>3515155.2454999993</v>
      </c>
      <c r="CV80" s="5438">
        <f>CU80/CM80</f>
        <v>0.11916028508186574</v>
      </c>
      <c r="CW80" s="5432">
        <f>SUM(CW60:CW79)</f>
        <v>129</v>
      </c>
      <c r="CX80" s="5433">
        <f>SUM(CX60:CX79)</f>
        <v>20437668</v>
      </c>
      <c r="CY80" s="5433">
        <f>SUM(CY60:CY79)</f>
        <v>32213086</v>
      </c>
      <c r="CZ80" s="5433">
        <f>SUM(CZ60:CZ79)</f>
        <v>161655</v>
      </c>
      <c r="DA80" s="5433">
        <f>SUM(DA60:DA79)</f>
        <v>11613763</v>
      </c>
      <c r="DB80" s="5443">
        <f>DA80/CY80</f>
        <v>0.36052935133256092</v>
      </c>
      <c r="DC80" s="5432">
        <f>SUM(DC60:DC79)</f>
        <v>1240246</v>
      </c>
      <c r="DD80" s="5433">
        <f>SUM(DD60:DD79)</f>
        <v>1670699</v>
      </c>
      <c r="DE80" s="5433">
        <f>SUM(DE60:DE79)</f>
        <v>0</v>
      </c>
      <c r="DF80" s="5433">
        <f>SUM(DF60:DF79)</f>
        <v>1246474.425000001</v>
      </c>
      <c r="DG80" s="5433">
        <f>SUM(DG60:DG79)</f>
        <v>7456343.5750000011</v>
      </c>
      <c r="DH80" s="5438">
        <f>DG80/CY80</f>
        <v>0.23146939647446385</v>
      </c>
      <c r="DI80" s="5432">
        <f>SUM(DI60:DI79)</f>
        <v>133</v>
      </c>
      <c r="DJ80" s="5433">
        <f>SUM(DJ60:DJ79)</f>
        <v>93420756</v>
      </c>
      <c r="DK80" s="5433">
        <f>SUM(DK60:DK79)</f>
        <v>31551280</v>
      </c>
      <c r="DL80" s="5438">
        <f>DK80/DJ80</f>
        <v>0.33773308364149823</v>
      </c>
      <c r="DM80" s="5433">
        <f>SUM(DM60:DM79)</f>
        <v>15943466.264944442</v>
      </c>
      <c r="DN80" s="5438">
        <f>DM80/DJ80</f>
        <v>0.17066299768484469</v>
      </c>
      <c r="DO80" s="5432">
        <f>SUM(DO60:DO69)</f>
        <v>-19</v>
      </c>
      <c r="DP80" s="5433">
        <f>SUM(DP60:DP69)</f>
        <v>490206</v>
      </c>
      <c r="DQ80" s="5433">
        <f>SUM(DQ60:DQ69)</f>
        <v>488754</v>
      </c>
      <c r="DR80" s="5433">
        <f>SUM(DR60:DR69)</f>
        <v>14238</v>
      </c>
      <c r="DS80" s="5438">
        <f>DO80/AG80</f>
        <v>-0.1310344827586207</v>
      </c>
      <c r="DT80" s="5438">
        <f>DP80/AI80</f>
        <v>1.5626519573362717E-2</v>
      </c>
      <c r="DU80" s="5438">
        <f>DQ80/AK80</f>
        <v>4.2678513287876273E-2</v>
      </c>
      <c r="DV80" s="5437">
        <f>DR80/AQ80</f>
        <v>2.0802837555550383E-3</v>
      </c>
      <c r="DW80" s="5444">
        <f>CW80-CK80</f>
        <v>-5</v>
      </c>
      <c r="DX80" s="5445">
        <f>CY80-CM80</f>
        <v>2713700</v>
      </c>
      <c r="DY80" s="5445">
        <f>DA80-CO80</f>
        <v>2735918</v>
      </c>
      <c r="DZ80" s="5445">
        <f>DG80-CU80</f>
        <v>3941188.3295000019</v>
      </c>
      <c r="EA80" s="5438">
        <f>DW80/CK80</f>
        <v>-3.7313432835820892E-2</v>
      </c>
      <c r="EB80" s="5438">
        <f>DX80/CM80</f>
        <v>9.1991745184120108E-2</v>
      </c>
      <c r="EC80" s="5438">
        <f>DY80/CO80</f>
        <v>0.30817366151357678</v>
      </c>
      <c r="ED80" s="5437">
        <f>DZ80/CU80</f>
        <v>1.1211989383812844</v>
      </c>
      <c r="EE80" s="5432">
        <f>SUM(EE60:EE79)</f>
        <v>134</v>
      </c>
      <c r="EF80" s="5432">
        <f>SUM(EF60:EF79)</f>
        <v>19677893</v>
      </c>
      <c r="EG80" s="5432">
        <f>SUM(EG60:EG79)</f>
        <v>26712064.879999999</v>
      </c>
      <c r="EH80" s="5432">
        <f>SUM(EH60:EH79)</f>
        <v>316277</v>
      </c>
      <c r="EI80" s="5432">
        <f>SUM(EI60:EI79)</f>
        <v>6717894.8799999999</v>
      </c>
      <c r="EJ80" s="5437">
        <f>EI80/EG80</f>
        <v>0.25149290817385883</v>
      </c>
      <c r="EK80" s="5432">
        <f>SUM(EK60:EK79)</f>
        <v>1133264</v>
      </c>
      <c r="EL80" s="5432">
        <f>SUM(EL60:EL79)</f>
        <v>1734474.8363636364</v>
      </c>
      <c r="EM80" s="5432">
        <f>SUM(EM60:EM79)</f>
        <v>0</v>
      </c>
      <c r="EN80" s="5432">
        <f>SUM(EN60:EN79)</f>
        <v>1241370.1805555555</v>
      </c>
      <c r="EO80" s="5432">
        <f>SUM(EO60:EO79)</f>
        <v>2608785.8630808075</v>
      </c>
      <c r="EP80" s="5437">
        <f>EO80/EG80</f>
        <v>9.7663204802788256E-2</v>
      </c>
      <c r="EQ80" s="5432">
        <f>SUM(EQ60:EQ79)</f>
        <v>134</v>
      </c>
      <c r="ER80" s="5433">
        <f>SUM(ER60:ER79)</f>
        <v>19695066</v>
      </c>
      <c r="ES80" s="5433">
        <f>SUM(ES60:ES79)</f>
        <v>30210792</v>
      </c>
      <c r="ET80" s="5433">
        <f>SUM(ET60:ET79)</f>
        <v>192051</v>
      </c>
      <c r="EU80" s="5433">
        <f>SUM(EU60:EU79)</f>
        <v>10323675</v>
      </c>
      <c r="EV80" s="5437">
        <f>EU80/ES80</f>
        <v>0.34172142855440535</v>
      </c>
      <c r="EW80" s="5432">
        <f>SUM(EW60:EW79)</f>
        <v>1042735</v>
      </c>
      <c r="EX80" s="5433">
        <f>SUM(EX60:EX79)</f>
        <v>1669304.0749999995</v>
      </c>
      <c r="EY80" s="5433">
        <f>SUM(EY60:EY79)</f>
        <v>0</v>
      </c>
      <c r="EZ80" s="5433">
        <f>SUM(EZ60:EZ79)</f>
        <v>1195176.2024999973</v>
      </c>
      <c r="FA80" s="5433">
        <f>SUM(FA60:FA79)</f>
        <v>6416459.7225000029</v>
      </c>
      <c r="FB80" s="5437">
        <f>FA80/ES80</f>
        <v>0.21238965607058574</v>
      </c>
      <c r="FC80" s="5444">
        <f>EQ80-AG80</f>
        <v>-11</v>
      </c>
      <c r="FD80" s="5445">
        <f>ES80-AI80</f>
        <v>-1159341.1699999981</v>
      </c>
      <c r="FE80" s="5445">
        <f>EU80-AK80</f>
        <v>-1128317.17</v>
      </c>
      <c r="FF80" s="5446">
        <f>FA80-AQ80</f>
        <v>-427798.88499999885</v>
      </c>
      <c r="FG80" s="5438">
        <f>FC80/AG80</f>
        <v>-7.586206896551724E-2</v>
      </c>
      <c r="FH80" s="5438">
        <f>FD80/AI80</f>
        <v>-3.6956845663272592E-2</v>
      </c>
      <c r="FI80" s="5438">
        <f>FE80/AK80</f>
        <v>-9.8525841901619102E-2</v>
      </c>
      <c r="FJ80" s="5447">
        <f>FF80/AQ80</f>
        <v>-6.2504780946063737E-2</v>
      </c>
      <c r="FK80" s="5433">
        <f>SUM(FK60:FK79)</f>
        <v>132</v>
      </c>
      <c r="FL80" s="5433">
        <f>SUM(FL60:FL79)</f>
        <v>19771209</v>
      </c>
      <c r="FM80" s="5433">
        <f>SUM(FM60:FM79)</f>
        <v>30964668.57</v>
      </c>
      <c r="FN80" s="5433">
        <f>SUM(FN60:FN79)</f>
        <v>330152</v>
      </c>
      <c r="FO80" s="5433">
        <f>SUM(FO60:FO79)</f>
        <v>10863307.569999998</v>
      </c>
      <c r="FP80" s="5438">
        <f>FO80/FM80</f>
        <v>0.35082912466645522</v>
      </c>
      <c r="FQ80" s="5433">
        <f>SUM(FQ60:FQ79)</f>
        <v>883020</v>
      </c>
      <c r="FR80" s="5433">
        <f>SUM(FR60:FR79)</f>
        <v>2328900</v>
      </c>
      <c r="FS80" s="5433">
        <f>SUM(FS60:FS79)</f>
        <v>1433881.75</v>
      </c>
      <c r="FT80" s="5433">
        <f>SUM(FT60:FT79)</f>
        <v>6217505.8200000003</v>
      </c>
      <c r="FU80" s="5437">
        <f>FT80/FM80</f>
        <v>0.20079355301169949</v>
      </c>
      <c r="FV80" s="5448">
        <f>FK80-AG80</f>
        <v>-13</v>
      </c>
      <c r="FW80" s="5449">
        <f>FL80-AH80</f>
        <v>30413</v>
      </c>
      <c r="FX80" s="5449">
        <f>FM80-AI80</f>
        <v>-405464.59999999776</v>
      </c>
      <c r="FY80" s="5449">
        <f>FO80-AK80</f>
        <v>-588684.60000000149</v>
      </c>
      <c r="FZ80" s="5449">
        <f>FT80-AQ80</f>
        <v>-626752.78750000149</v>
      </c>
      <c r="GA80" s="5438">
        <f>FV80/AG80</f>
        <v>-8.9655172413793102E-2</v>
      </c>
      <c r="GB80" s="5438">
        <f>FX80/AI80</f>
        <v>-1.2925179431107841E-2</v>
      </c>
      <c r="GC80" s="5438">
        <f>FY80/AK80</f>
        <v>-5.1404558373881727E-2</v>
      </c>
      <c r="GD80" s="5437">
        <f>FZ80/AQ80</f>
        <v>-9.1573510506046632E-2</v>
      </c>
      <c r="GE80" s="5432">
        <f>SUM(GE60:GE76)</f>
        <v>131</v>
      </c>
      <c r="GF80" s="5433">
        <f>SUM(GF60:GF76)</f>
        <v>86964358</v>
      </c>
      <c r="GG80" s="5433">
        <f>SUM(GG60:GG76)</f>
        <v>27718283</v>
      </c>
      <c r="GH80" s="5438">
        <f>GG80/GF80</f>
        <v>0.31873153137058746</v>
      </c>
      <c r="GI80" s="5450">
        <f>SUM(GI60:GI76)</f>
        <v>15059756.95558081</v>
      </c>
      <c r="GJ80" s="5448">
        <f>GE80-DI80</f>
        <v>-2</v>
      </c>
      <c r="GK80" s="5449">
        <f>GF80-DJ80</f>
        <v>-6456398</v>
      </c>
      <c r="GL80" s="5449">
        <f>GG80-DK80</f>
        <v>-3832997</v>
      </c>
      <c r="GM80" s="5451">
        <f>GI80-DM80</f>
        <v>-883709.30936363153</v>
      </c>
      <c r="GN80" s="5433">
        <f>SUM(GN60:GN76)</f>
        <v>124</v>
      </c>
      <c r="GO80" s="5433">
        <f>SUM(GO60:GO76)</f>
        <v>19100837</v>
      </c>
      <c r="GP80" s="5433">
        <f>SUM(GP60:GP76)</f>
        <v>27992527.719999999</v>
      </c>
      <c r="GQ80" s="5433">
        <f>SUM(GQ60:GQ76)</f>
        <v>187979</v>
      </c>
      <c r="GR80" s="5433">
        <f>SUM(GR60:GR76)</f>
        <v>8703711.7199999988</v>
      </c>
      <c r="GS80" s="5438">
        <f>GR80/GP80</f>
        <v>0.31092982409664288</v>
      </c>
      <c r="GT80" s="5432">
        <f>SUM(GT60:GT76)</f>
        <v>1085537</v>
      </c>
      <c r="GU80" s="5433">
        <f>SUM(GU60:GU76)</f>
        <v>1980119</v>
      </c>
      <c r="GV80" s="5433">
        <f>SUM(GV60:GV76)</f>
        <v>0</v>
      </c>
      <c r="GW80" s="5433">
        <f>SUM(GW60:GW76)</f>
        <v>1535916</v>
      </c>
      <c r="GX80" s="5432">
        <f>SUM(GX60:GX76)</f>
        <v>4102139.7199999997</v>
      </c>
      <c r="GY80" s="5437">
        <f>GX80/GP80</f>
        <v>0.14654409780468372</v>
      </c>
      <c r="GZ80" s="5433">
        <f>SUM(GZ60:GZ76)</f>
        <v>124</v>
      </c>
      <c r="HA80" s="5433">
        <f>SUM(HA60:HA76)</f>
        <v>19212752</v>
      </c>
      <c r="HB80" s="5433">
        <f>SUM(HB60:HB76)</f>
        <v>27247319.800000001</v>
      </c>
      <c r="HC80" s="5433">
        <f>SUM(HC60:HC76)</f>
        <v>101409</v>
      </c>
      <c r="HD80" s="5433">
        <f>SUM(HD60:HD76)</f>
        <v>7933158.7999999998</v>
      </c>
      <c r="HE80" s="5438">
        <f>HD80/HB80</f>
        <v>0.29115373028359287</v>
      </c>
      <c r="HF80" s="5432">
        <f>SUM(HF60:HF76)</f>
        <v>1173005</v>
      </c>
      <c r="HG80" s="5433">
        <f>SUM(HG60:HG76)</f>
        <v>2018653</v>
      </c>
      <c r="HH80" s="5433"/>
      <c r="HI80" s="5433">
        <f>SUM(HI60:HI76)</f>
        <v>1313595.4583333333</v>
      </c>
      <c r="HJ80" s="5433">
        <f>SUM(HJ60:HJ76)</f>
        <v>3427905.3416666668</v>
      </c>
      <c r="HK80" s="5437">
        <f>HJ80/HB80</f>
        <v>0.12580706531240796</v>
      </c>
      <c r="HL80" s="5432">
        <f>SUM(HL60:HL79)</f>
        <v>121</v>
      </c>
      <c r="HM80" s="5433">
        <f>SUM(HM60:HM79)</f>
        <v>19578851</v>
      </c>
      <c r="HN80" s="5433">
        <f>SUM(HN60:HN79)</f>
        <v>29193508.039999999</v>
      </c>
      <c r="HO80" s="5433">
        <f>SUM(HO60:HO79)</f>
        <v>352105</v>
      </c>
      <c r="HP80" s="5433">
        <f>SUM(HP60:HP79)</f>
        <v>9262552.040000001</v>
      </c>
      <c r="HQ80" s="5437">
        <f>HP80/HN80</f>
        <v>0.31728122661068181</v>
      </c>
      <c r="HR80" s="5433">
        <f>SUM(HR60:HR79)</f>
        <v>1310139</v>
      </c>
      <c r="HS80" s="5433">
        <f>SUM(HS60:HS79)</f>
        <v>3865965</v>
      </c>
      <c r="HT80" s="5433"/>
      <c r="HU80" s="5433">
        <f>SUM(HU60:HU76)</f>
        <v>1222848.6499999999</v>
      </c>
      <c r="HV80" s="5433">
        <f>SUM(HV60:HV76)</f>
        <v>2863599.39</v>
      </c>
      <c r="HW80" s="5437">
        <f>HV80/HN80</f>
        <v>9.8090280417015632E-2</v>
      </c>
      <c r="HX80" s="5432">
        <f>SUM(HX60:HX79)</f>
        <v>121</v>
      </c>
      <c r="HY80" s="5433">
        <f>SUM(HY60:HY79)</f>
        <v>84433355.560000002</v>
      </c>
      <c r="HZ80" s="5450">
        <f>SUM(HZ60:HZ79)</f>
        <v>25873643.560000002</v>
      </c>
      <c r="IA80" s="5438"/>
      <c r="IB80" s="5450">
        <f>SUM(IB60:IB79)</f>
        <v>10367865.451666668</v>
      </c>
      <c r="IC80" s="5433"/>
      <c r="ID80" s="5432">
        <f>SUM(ID60:ID79)</f>
        <v>121</v>
      </c>
      <c r="IE80" s="5433">
        <f>SUM(IE60:IE79)</f>
        <v>362278463.00999999</v>
      </c>
      <c r="IF80" s="5433">
        <f>SUM(IF60:IF79)</f>
        <v>120118627.06</v>
      </c>
      <c r="IG80" s="5438">
        <f>IF80/IE80</f>
        <v>0.33156436091174529</v>
      </c>
      <c r="IH80" s="5450"/>
      <c r="II80" s="5452"/>
      <c r="IJ80" s="5432">
        <f>SUM(IJ60:IJ79)</f>
        <v>120</v>
      </c>
      <c r="IK80" s="5433">
        <f>SUM(IK60:IK79)</f>
        <v>18476359</v>
      </c>
      <c r="IL80" s="5433">
        <f>SUM(IL60:IL79)</f>
        <v>25339992.52</v>
      </c>
      <c r="IM80" s="5433">
        <f>SUM(IM60:IM79)</f>
        <v>138975</v>
      </c>
      <c r="IN80" s="5432">
        <f>SUM(IN60:IN79)</f>
        <v>6724658.5199999996</v>
      </c>
      <c r="IO80" s="5437">
        <f>IN80/IL80</f>
        <v>0.26537728906953917</v>
      </c>
      <c r="IP80" s="5432">
        <f>SUM(IP60:IP79)</f>
        <v>1220918</v>
      </c>
      <c r="IQ80" s="5433">
        <f>SUM(IQ60:IQ79)</f>
        <v>2702729</v>
      </c>
      <c r="IR80" s="5433">
        <f>SUM(IR60:IR79)</f>
        <v>1891942.2</v>
      </c>
      <c r="IS80" s="5432">
        <f>SUM(IS60:IS79)</f>
        <v>909069.31999999983</v>
      </c>
      <c r="IT80" s="5437">
        <f>IS80/IL80</f>
        <v>3.587488509645384E-2</v>
      </c>
      <c r="IU80" s="5432">
        <f>SUM(IU60:IU79)</f>
        <v>121</v>
      </c>
      <c r="IV80" s="5433">
        <f>SUM(IV60:IV79)</f>
        <v>19898236</v>
      </c>
      <c r="IW80" s="5433">
        <f>SUM(IW60:IW79)</f>
        <v>29156600</v>
      </c>
      <c r="IX80" s="5433">
        <f>SUM(IX60:IX79)</f>
        <v>201830</v>
      </c>
      <c r="IY80" s="5432">
        <f>SUM(IY60:IY79)</f>
        <v>9056534</v>
      </c>
      <c r="IZ80" s="5437">
        <f>IY80/IW80</f>
        <v>0.31061694436251142</v>
      </c>
      <c r="JA80" s="5432">
        <f>SUM(JA60:JA79)</f>
        <v>1140508</v>
      </c>
      <c r="JB80" s="5433">
        <f>SUM(JB60:JB79)</f>
        <v>2700932</v>
      </c>
      <c r="JC80" s="5433">
        <f>SUM(JC60:JC79)</f>
        <v>1765927.8</v>
      </c>
      <c r="JD80" s="5432">
        <f>SUM(JD60:JD79)</f>
        <v>3449166.2</v>
      </c>
      <c r="JE80" s="5437">
        <f>JD80/IW80</f>
        <v>0.11829795655186133</v>
      </c>
      <c r="JF80" s="5432">
        <f>SUM(JF60:JF79)</f>
        <v>122</v>
      </c>
      <c r="JG80" s="5433">
        <f>SUM(JG60:JG79)</f>
        <v>19632596</v>
      </c>
      <c r="JH80" s="5433">
        <f>SUM(JH60:JH79)</f>
        <v>28365626.600000001</v>
      </c>
      <c r="JI80" s="5433">
        <f>SUM(JI60:JI79)</f>
        <v>0</v>
      </c>
      <c r="JJ80" s="5432">
        <f>SUM(JJ60:JJ79)</f>
        <v>8733030.5999999996</v>
      </c>
      <c r="JK80" s="5437">
        <f>JJ80/JH80</f>
        <v>0.30787370655157675</v>
      </c>
      <c r="JL80" s="5433">
        <f>SUM(JL60:JL79)</f>
        <v>1390544</v>
      </c>
      <c r="JM80" s="5433">
        <f>SUM(JM60:JM79)</f>
        <v>2996122.2</v>
      </c>
      <c r="JN80" s="5433">
        <f>SUM(JN60:JN79)</f>
        <v>1757702.7</v>
      </c>
      <c r="JO80" s="5432">
        <f>SUM(JO60:JO79)</f>
        <v>2588661.6999999997</v>
      </c>
      <c r="JP80" s="5437">
        <f>JO80/JH80</f>
        <v>9.1260515288599325E-2</v>
      </c>
      <c r="JQ80" s="5433">
        <f>SUM(JQ60:JQ79)</f>
        <v>122</v>
      </c>
      <c r="JR80" s="5433">
        <f>SUM(JR60:JR79)</f>
        <v>82862219.120000005</v>
      </c>
      <c r="JS80" s="5433">
        <f>SUM(JS60:JS79)</f>
        <v>24514223.119999997</v>
      </c>
      <c r="JT80" s="5435">
        <f>JS80/JR80</f>
        <v>0.29584318861288056</v>
      </c>
      <c r="JU80" s="5432">
        <f>SUM(JU60:JU79)</f>
        <v>130</v>
      </c>
      <c r="JV80" s="5433">
        <f>SUM(JV60:JV79)</f>
        <v>21172675</v>
      </c>
      <c r="JW80" s="5433">
        <f>SUM(JW60:JW79)</f>
        <v>31187325</v>
      </c>
      <c r="JX80" s="5433">
        <f>SUM(JX60:JX79)</f>
        <v>184410</v>
      </c>
      <c r="JY80" s="5432">
        <f>SUM(JY60:JY79)</f>
        <v>9830240</v>
      </c>
      <c r="JZ80" s="5437">
        <f>JY80/JW80</f>
        <v>0.31519984480874841</v>
      </c>
      <c r="KA80" s="5433">
        <f>SUM(KA60:KA79)</f>
        <v>1692407</v>
      </c>
      <c r="KB80" s="5433">
        <f>SUM(KB60:KB79)</f>
        <v>2119802</v>
      </c>
      <c r="KC80" s="5433">
        <f>SUM(KC60:KC79)</f>
        <v>2323659.6</v>
      </c>
      <c r="KD80" s="5432">
        <f>SUM(KD60:KD79)</f>
        <v>3694371.4000000004</v>
      </c>
      <c r="KE80" s="5437">
        <f>KD80/JW80</f>
        <v>0.11845746308796924</v>
      </c>
      <c r="KF80" s="5432">
        <f>SUM(KF60:KF79)</f>
        <v>125</v>
      </c>
      <c r="KG80" s="5433">
        <f>SUM(KG60:KG79)</f>
        <v>20420042</v>
      </c>
      <c r="KH80" s="5433">
        <f>SUM(KH60:KH79)</f>
        <v>30584672.879999999</v>
      </c>
      <c r="KI80" s="5433">
        <f>SUM(KI60:KI79)</f>
        <v>230800</v>
      </c>
      <c r="KJ80" s="5432">
        <f>SUM(KJ60:KJ79)</f>
        <v>9933830.8800000008</v>
      </c>
      <c r="KK80" s="5437">
        <f>KJ80/KH80</f>
        <v>0.32479768277972837</v>
      </c>
      <c r="KL80" s="5433">
        <f>SUM(KL60:KL79)</f>
        <v>1858188</v>
      </c>
      <c r="KM80" s="5433">
        <f>SUM(KM60:KM79)</f>
        <v>1922587</v>
      </c>
      <c r="KN80" s="5433">
        <f>SUM(KN60:KN79)</f>
        <v>2089145</v>
      </c>
      <c r="KO80" s="5432">
        <f>SUM(KO60:KO79)</f>
        <v>4063910.88</v>
      </c>
      <c r="KP80" s="5437">
        <f>KO80/KH80</f>
        <v>0.13287409991092244</v>
      </c>
      <c r="KQ80" s="5432">
        <f>SUM(KQ60:KQ79)</f>
        <v>121</v>
      </c>
      <c r="KR80" s="5433">
        <f>SUM(KR60:KR79)</f>
        <v>19394843</v>
      </c>
      <c r="KS80" s="5433">
        <f>SUM(KS60:KS79)</f>
        <v>27232157</v>
      </c>
      <c r="KT80" s="5433">
        <f>SUM(KT60:KT79)</f>
        <v>284700</v>
      </c>
      <c r="KU80" s="5432">
        <f>SUM(KU60:KU79)</f>
        <v>7552614</v>
      </c>
      <c r="KV80" s="5437">
        <f>KU80/KS80</f>
        <v>0.2773417471116959</v>
      </c>
      <c r="KW80" s="5433">
        <f>SUM(KW60:KW79)</f>
        <v>2099627</v>
      </c>
      <c r="KX80" s="5433">
        <f>SUM(KX60:KX79)</f>
        <v>2961317</v>
      </c>
      <c r="KY80" s="5433">
        <f>SUM(KY60:KY79)</f>
        <v>2109453.3000000003</v>
      </c>
      <c r="KZ80" s="5432">
        <f>SUM(KZ60:KZ79)</f>
        <v>382216.69999999972</v>
      </c>
      <c r="LA80" s="5437">
        <f>KZ80/KS80</f>
        <v>1.4035491202551443E-2</v>
      </c>
      <c r="LB80" s="5432">
        <f>SUM(LB60:LB79)</f>
        <v>121</v>
      </c>
      <c r="LC80" s="5433">
        <f>SUM(LC60:LC79)</f>
        <v>89004154.879999995</v>
      </c>
      <c r="LD80" s="5433">
        <f>SUM(LD60:LD79)</f>
        <v>27316684.879999999</v>
      </c>
      <c r="LE80" s="5438">
        <f>LD80/LC80</f>
        <v>0.30691471557512978</v>
      </c>
      <c r="LF80" s="5453">
        <f>SUM(LF59:LF79)</f>
        <v>-1</v>
      </c>
      <c r="LG80" s="5454">
        <f>SUM(LG59:LG79)</f>
        <v>6141935.7600000007</v>
      </c>
      <c r="LH80" s="5454">
        <f>SUM(LH59:LH79)</f>
        <v>2802461.76</v>
      </c>
      <c r="LI80" s="5455">
        <f>LF80/JQ80</f>
        <v>-8.1967213114754103E-3</v>
      </c>
      <c r="LJ80" s="5455">
        <f>LG80/JR80</f>
        <v>7.4122269777802202E-2</v>
      </c>
      <c r="LK80" s="5443">
        <f>LH80/JS80</f>
        <v>0.11431982756629165</v>
      </c>
      <c r="LL80" s="5432">
        <f>SUM(LL60:LL79)</f>
        <v>123</v>
      </c>
      <c r="LM80" s="5433">
        <f>SUM(LM60:LM79)</f>
        <v>18243887</v>
      </c>
      <c r="LN80" s="5433">
        <f>SUM(LN60:LN79)</f>
        <v>27350986.16</v>
      </c>
      <c r="LO80" s="5433">
        <f>SUM(LO60:LO79)</f>
        <v>450562</v>
      </c>
      <c r="LP80" s="5432">
        <f>SUM(LP60:LP79)</f>
        <v>8656537.1600000001</v>
      </c>
      <c r="LQ80" s="5437">
        <f>LP80/LN80</f>
        <v>0.31649817338798286</v>
      </c>
      <c r="LR80" s="5433">
        <f>SUM(LR60:LR79)</f>
        <v>2835437</v>
      </c>
      <c r="LS80" s="5433">
        <f>SUM(LS60:LS79)</f>
        <v>2537371.3854999999</v>
      </c>
      <c r="LT80" s="5433">
        <f>SUM(LT60:LT79)</f>
        <v>2457304.2000000002</v>
      </c>
      <c r="LU80" s="5432">
        <f>SUM(LU60:LU79)</f>
        <v>826424.57449999964</v>
      </c>
      <c r="LV80" s="5437">
        <f>LU80/LN80</f>
        <v>3.0215531157286785E-2</v>
      </c>
      <c r="LW80" s="5432">
        <f>SUM(LW60:LW79)</f>
        <v>123</v>
      </c>
      <c r="LX80" s="5433">
        <f>SUM(LX60:LX79)</f>
        <v>17250714</v>
      </c>
      <c r="LY80" s="5433">
        <f>SUM(LY60:LY79)</f>
        <v>26401873.350000001</v>
      </c>
      <c r="LZ80" s="5433">
        <f>SUM(LZ60:LZ79)</f>
        <v>223212</v>
      </c>
      <c r="MA80" s="5433">
        <f>SUM(MA60:MA79)</f>
        <v>8927947.3499999996</v>
      </c>
      <c r="MB80" s="5437">
        <f>MA80/LY80</f>
        <v>0.33815582824921014</v>
      </c>
      <c r="MC80" s="5433">
        <f>SUM(MC60:MC79)</f>
        <v>2118435</v>
      </c>
      <c r="MD80" s="5433">
        <f>SUM(MD60:MD79)</f>
        <v>2075646</v>
      </c>
      <c r="ME80" s="5433">
        <f>SUM(ME60:ME79)</f>
        <v>2200763.7000000002</v>
      </c>
      <c r="MF80" s="5432">
        <f>SUM(MF60:MF79)</f>
        <v>2533102.65</v>
      </c>
      <c r="MG80" s="5437">
        <f>MF80/LY80</f>
        <v>9.5944049742970217E-2</v>
      </c>
      <c r="MH80" s="5432">
        <f>SUM(MH60:MH79)</f>
        <v>114</v>
      </c>
      <c r="MI80" s="5433">
        <f>SUM(MI60:MI79)</f>
        <v>14064310</v>
      </c>
      <c r="MJ80" s="5433">
        <f>SUM(MJ60:MJ79)</f>
        <v>19944482.990000002</v>
      </c>
      <c r="MK80" s="5433">
        <f>SUM(MK60:MK79)</f>
        <v>303476</v>
      </c>
      <c r="ML80" s="5432">
        <f>SUM(ML60:ML79)</f>
        <v>5576696.9900000002</v>
      </c>
      <c r="MM80" s="5437">
        <f>ML80/MJ80</f>
        <v>0.27961100785596243</v>
      </c>
      <c r="MN80" s="5433">
        <f>SUM(MN60:MN79)</f>
        <v>2252299</v>
      </c>
      <c r="MO80" s="5433">
        <f>SUM(MO60:MO79)</f>
        <v>2290173.75</v>
      </c>
      <c r="MP80" s="5433">
        <f>SUM(MP60:MP79)</f>
        <v>2169930.15</v>
      </c>
      <c r="MQ80" s="5432">
        <f>SUM(MQ60:MQ79)</f>
        <v>-1135705.9099999999</v>
      </c>
      <c r="MR80" s="5437">
        <f>MQ80/MJ80</f>
        <v>-5.6943361759210977E-2</v>
      </c>
      <c r="MS80" s="5432">
        <f>SUM(MS60:MS79)</f>
        <v>114</v>
      </c>
      <c r="MT80" s="5433">
        <f>SUM(MT60:MT79)</f>
        <v>73697342.5</v>
      </c>
      <c r="MU80" s="5433">
        <f>SUM(MU60:MU79)</f>
        <v>23161181.5</v>
      </c>
      <c r="MV80" s="5437">
        <f>MU80/MT80</f>
        <v>0.31427431050176607</v>
      </c>
      <c r="MW80" s="5432">
        <f t="shared" si="703"/>
        <v>-7</v>
      </c>
      <c r="MX80" s="5433">
        <f t="shared" si="704"/>
        <v>-15306812.379999995</v>
      </c>
      <c r="MY80" s="5433">
        <f t="shared" si="705"/>
        <v>-4155503.379999999</v>
      </c>
      <c r="MZ80" s="5438">
        <f>MW80/LB80</f>
        <v>-5.7851239669421489E-2</v>
      </c>
      <c r="NA80" s="5438">
        <f>MX80/LC80</f>
        <v>-0.17197862729709001</v>
      </c>
      <c r="NB80" s="5437">
        <f>MY80/LD80</f>
        <v>-0.15212326818773184</v>
      </c>
      <c r="NC80" s="5432">
        <f>SUM(NC60:NC79)</f>
        <v>111</v>
      </c>
      <c r="ND80" s="5433">
        <f>SUM(ND60:ND79)</f>
        <v>14826654</v>
      </c>
      <c r="NE80" s="5433">
        <f>SUM(NE60:NE79)</f>
        <v>22996298</v>
      </c>
      <c r="NF80" s="5433">
        <f>SUM(NF60:NF79)</f>
        <v>57729</v>
      </c>
      <c r="NG80" s="5432">
        <f>SUM(NG60:NG79)</f>
        <v>8111915</v>
      </c>
      <c r="NH80" s="5437">
        <f>NG80/NE80</f>
        <v>0.35274873373096832</v>
      </c>
      <c r="NI80" s="5433">
        <f>SUM(NI60:NI79)</f>
        <v>1999051</v>
      </c>
      <c r="NJ80" s="5433">
        <f>SUM(NJ60:NJ79)</f>
        <v>1530374</v>
      </c>
      <c r="NK80" s="5433">
        <f>SUM(NK60:NK79)</f>
        <v>2014676.1</v>
      </c>
      <c r="NL80" s="5432">
        <f>SUM(NL60:NL79)</f>
        <v>2567813.9</v>
      </c>
      <c r="NM80" s="5438">
        <f>NL80/NE80</f>
        <v>0.11166205534473418</v>
      </c>
      <c r="NN80" s="5456">
        <f>SUM(NN60:NN79)</f>
        <v>120</v>
      </c>
      <c r="NO80" s="5433">
        <f>SUM(NO60:NO79)</f>
        <v>15622919</v>
      </c>
      <c r="NP80" s="5433">
        <f>SUM(NP60:NP79)</f>
        <v>24802460.790000003</v>
      </c>
      <c r="NQ80" s="5433">
        <f>SUM(NQ60:NQ79)</f>
        <v>7398</v>
      </c>
      <c r="NR80" s="5432">
        <f>SUM(NR60:NR79)</f>
        <v>9172143.7899999991</v>
      </c>
      <c r="NS80" s="5437">
        <f>NR80/NP80</f>
        <v>0.36980781333189633</v>
      </c>
      <c r="NT80" s="5433">
        <f>SUM(NT60:NT79)</f>
        <v>1208226</v>
      </c>
      <c r="NU80" s="5433">
        <f>SUM(NU60:NU79)</f>
        <v>1524422</v>
      </c>
      <c r="NV80" s="5433">
        <f>SUM(NV60:NV79)</f>
        <v>2140056</v>
      </c>
      <c r="NW80" s="5432">
        <f>SUM(NW60:NW79)</f>
        <v>4299439.79</v>
      </c>
      <c r="NX80" s="5438">
        <f>NW80/NP80</f>
        <v>0.17334730720483479</v>
      </c>
      <c r="NY80" s="5456">
        <f>SUM(NY60:NY79)</f>
        <v>123</v>
      </c>
      <c r="NZ80" s="5433">
        <f>SUM(NZ60:NZ79)</f>
        <v>16070368</v>
      </c>
      <c r="OA80" s="5433">
        <f>SUM(OA60:OA79)</f>
        <v>26094233.550000001</v>
      </c>
      <c r="OB80" s="5433">
        <f>SUM(OB60:OB79)</f>
        <v>64071</v>
      </c>
      <c r="OC80" s="5432">
        <f>SUM(OC60:OC79)</f>
        <v>9959794.5500000007</v>
      </c>
      <c r="OD80" s="5437">
        <f>OC80/OA80</f>
        <v>0.38168565215436268</v>
      </c>
      <c r="OE80" s="5433">
        <f>SUM(OE60:OE79)</f>
        <v>1331334</v>
      </c>
      <c r="OF80" s="5433">
        <f>SUM(OF60:OF79)</f>
        <v>5105493.68</v>
      </c>
      <c r="OG80" s="5433">
        <f>SUM(OG60:OG79)</f>
        <v>1514729.07</v>
      </c>
      <c r="OH80" s="5432">
        <f>SUM(OH60:OH79)</f>
        <v>2008237.8</v>
      </c>
      <c r="OI80" s="5459">
        <f>OH80/OA80</f>
        <v>7.6960980522840464E-2</v>
      </c>
      <c r="OJ80" s="5452">
        <f>SUM(OJ60:OJ79)</f>
        <v>123</v>
      </c>
      <c r="OK80" s="5449">
        <f t="shared" si="867"/>
        <v>310723678.24000001</v>
      </c>
      <c r="OL80" s="5449">
        <f t="shared" si="868"/>
        <v>93502912.239999995</v>
      </c>
      <c r="OM80" s="5438">
        <f>OL80/OK80</f>
        <v>0.30091981650583849</v>
      </c>
      <c r="ON80" s="5449">
        <f t="shared" si="869"/>
        <v>25355750.004500002</v>
      </c>
      <c r="OO80" s="5437">
        <f>ON80/OK80</f>
        <v>8.1602245918688768E-2</v>
      </c>
      <c r="OP80" s="5457"/>
      <c r="OQ80" s="5456">
        <f>SUM(OQ60:OQ79)</f>
        <v>121</v>
      </c>
      <c r="OR80" s="5433">
        <f>SUM(OR60:OR79)</f>
        <v>15622301</v>
      </c>
      <c r="OS80" s="5433">
        <f>SUM(OS60:OS79)</f>
        <v>23960117.190000001</v>
      </c>
      <c r="OT80" s="5433">
        <f>SUM(OT60:OT79)</f>
        <v>24392</v>
      </c>
      <c r="OU80" s="5432">
        <f>SUM(OU60:OU79)</f>
        <v>8313424.1900000004</v>
      </c>
      <c r="OV80" s="5435">
        <f>OU80/OS80</f>
        <v>0.3469692624654479</v>
      </c>
      <c r="OW80" s="5432">
        <f>SUM(OW60:OW79)</f>
        <v>1257750</v>
      </c>
      <c r="OX80" s="5433">
        <f>SUM(OX60:OX79)</f>
        <v>1342082</v>
      </c>
      <c r="OY80" s="5433">
        <f>SUM(OY60:OY79)</f>
        <v>1692379.5</v>
      </c>
      <c r="OZ80" s="5432">
        <f>SUM(OZ60:OZ79)</f>
        <v>4021212.69</v>
      </c>
      <c r="PA80" s="5458">
        <f>OZ80/OS80</f>
        <v>0.16782942496117231</v>
      </c>
      <c r="PB80" s="5433">
        <f>SUM(PB60:PB79)</f>
        <v>129</v>
      </c>
      <c r="PC80" s="5433">
        <f>SUM(PC60:PC79)</f>
        <v>15860674.574999999</v>
      </c>
      <c r="PD80" s="5433">
        <f>SUM(PD60:PD79)</f>
        <v>25798598</v>
      </c>
      <c r="PE80" s="5433">
        <f>SUM(PE60:PE79)</f>
        <v>346665</v>
      </c>
      <c r="PF80" s="5432">
        <f>SUM(PF60:PF79)</f>
        <v>9591258.4250000007</v>
      </c>
      <c r="PG80" s="5435">
        <f>PF80/PD80</f>
        <v>0.37177440514403148</v>
      </c>
      <c r="PH80" s="5432">
        <f>SUM(PH60:PH79)</f>
        <v>1429456</v>
      </c>
      <c r="PI80" s="5433">
        <f>SUM(PI60:PI79)</f>
        <v>1015306.25</v>
      </c>
      <c r="PJ80" s="5433">
        <f>SUM(PJ60:PJ79)</f>
        <v>1507747</v>
      </c>
      <c r="PK80" s="5432">
        <f>SUM(PK60:PK79)</f>
        <v>5638749.1749999998</v>
      </c>
      <c r="PL80" s="5438">
        <f>PK80/PD80</f>
        <v>0.21856804679851208</v>
      </c>
      <c r="PM80" s="5456">
        <f>SUM(PM60:PM79)</f>
        <v>124</v>
      </c>
      <c r="PN80" s="5433">
        <f>SUM(PN60:PN79)</f>
        <v>15921158.82</v>
      </c>
      <c r="PO80" s="5433">
        <f>SUM(PO60:PO79)</f>
        <v>23790839</v>
      </c>
      <c r="PP80" s="5433">
        <f>SUM(PP60:PP79)</f>
        <v>58106</v>
      </c>
      <c r="PQ80" s="6311">
        <f>SUM(PQ60:PQ79)</f>
        <v>7811574.1799999997</v>
      </c>
      <c r="PR80" s="6312">
        <f>PQ80/PO80</f>
        <v>0.32834378728719904</v>
      </c>
      <c r="PS80" s="5433">
        <f>SUM(PS60:PS79)</f>
        <v>1188168</v>
      </c>
      <c r="PT80" s="5433">
        <f>SUM(PT60:PT79)</f>
        <v>1616023.2000000002</v>
      </c>
      <c r="PU80" s="5433">
        <f>SUM(PU60:PU79)</f>
        <v>1449415</v>
      </c>
      <c r="PV80" s="5432">
        <f>SUM(PV60:PV79)</f>
        <v>3557967.98</v>
      </c>
      <c r="PW80" s="5459">
        <f>PV80/PO80</f>
        <v>0.14955201790067177</v>
      </c>
      <c r="PX80" s="5433">
        <f>SUM(PX60:PX79)</f>
        <v>124</v>
      </c>
      <c r="PY80" s="5433">
        <f>SUM(PY60:PY79)</f>
        <v>73549554.189999998</v>
      </c>
      <c r="PZ80" s="5433">
        <f>SUM(PZ60:PZ79)</f>
        <v>25716256.795000002</v>
      </c>
      <c r="QA80" s="5434">
        <f>PZ80/PY80</f>
        <v>0.3496453116298624</v>
      </c>
      <c r="QB80" s="5456">
        <f>SUM(QB60:QB79)</f>
        <v>117</v>
      </c>
      <c r="QC80" s="5433">
        <f>SUM(QC60:QC79)</f>
        <v>14590187.385</v>
      </c>
      <c r="QD80" s="5433">
        <f>SUM(QD60:QD79)</f>
        <v>24073005</v>
      </c>
      <c r="QE80" s="5433">
        <f>SUM(QE60:QE79)</f>
        <v>100010</v>
      </c>
      <c r="QF80" s="6311">
        <f>SUM(QF60:QF79)</f>
        <v>9382807.6150000002</v>
      </c>
      <c r="QG80" s="6312">
        <f>QF80/QD80</f>
        <v>0.38976470178941103</v>
      </c>
      <c r="QH80" s="5433">
        <f>SUM(QH60:QH79)</f>
        <v>1192452</v>
      </c>
      <c r="QI80" s="5433">
        <f>SUM(QI60:QI79)</f>
        <v>1365500</v>
      </c>
      <c r="QJ80" s="5433">
        <f>SUM(QJ60:QJ79)</f>
        <v>1496339</v>
      </c>
      <c r="QK80" s="5432">
        <f>SUM(QK60:QK79)</f>
        <v>5328516.6150000002</v>
      </c>
      <c r="QL80" s="5459">
        <f>QK80/QD80</f>
        <v>0.22134821203252358</v>
      </c>
      <c r="QM80" s="5456">
        <f>SUM(QM60:QM79)</f>
        <v>115</v>
      </c>
      <c r="QN80" s="5433">
        <f>SUM(QN60:QN79)</f>
        <v>14375594.657500001</v>
      </c>
      <c r="QO80" s="5433">
        <f>SUM(QO60:QO79)</f>
        <v>23050025.68</v>
      </c>
      <c r="QP80" s="5433">
        <f>SUM(QP60:QP79)</f>
        <v>11109</v>
      </c>
      <c r="QQ80" s="5432">
        <f>SUM(QQ60:QQ79)</f>
        <v>8663322.0225000009</v>
      </c>
      <c r="QR80" s="5437">
        <f>QQ80/QO80</f>
        <v>0.37584869287225892</v>
      </c>
      <c r="QS80" s="5433">
        <f>SUM(QS60:QS79)</f>
        <v>1151935</v>
      </c>
      <c r="QT80" s="5433">
        <f>SUM(QT60:QT79)</f>
        <v>1197307</v>
      </c>
      <c r="QU80" s="5433">
        <f>SUM(QU60:QU79)</f>
        <v>1558370</v>
      </c>
      <c r="QV80" s="5432">
        <f>SUM(QV60:QV79)</f>
        <v>4755710.0225</v>
      </c>
      <c r="QW80" s="5459">
        <f>QV80/QO80</f>
        <v>0.20632124616791317</v>
      </c>
      <c r="QX80" s="5456">
        <f>SUM(QX60:QX79)</f>
        <v>132</v>
      </c>
      <c r="QY80" s="5433">
        <f>SUM(QY60:QY79)</f>
        <v>15420634.365</v>
      </c>
      <c r="QZ80" s="5433">
        <f>SUM(QZ60:QZ79)</f>
        <v>23527308</v>
      </c>
      <c r="RA80" s="5433">
        <f>SUM(RA60:RA79)</f>
        <v>134826</v>
      </c>
      <c r="RB80" s="5432">
        <f>SUM(RB60:RB79)</f>
        <v>7971847.6349999998</v>
      </c>
      <c r="RC80" s="5437">
        <f>RB80/QZ80</f>
        <v>0.33883381961931214</v>
      </c>
      <c r="RD80" s="5433">
        <f>SUM(RD60:RD79)</f>
        <v>1263911</v>
      </c>
      <c r="RE80" s="5433">
        <f>SUM(RE60:RE79)</f>
        <v>1147253</v>
      </c>
      <c r="RF80" s="5433">
        <f>SUM(RF60:RF79)</f>
        <v>1535070</v>
      </c>
      <c r="RG80" s="5432">
        <f>SUM(RG60:RG79)</f>
        <v>4025613.6349999998</v>
      </c>
      <c r="RH80" s="5459">
        <f>RG80/QZ80</f>
        <v>0.17110387788522172</v>
      </c>
      <c r="RI80" s="5456">
        <f>SUM(RI60:RI79)</f>
        <v>0</v>
      </c>
      <c r="RJ80" s="5433">
        <f>SUM(RJ60:RJ79)</f>
        <v>70017005.680000007</v>
      </c>
      <c r="RK80" s="5433">
        <f>SUM(RK60:RK79)</f>
        <v>25684315.272500001</v>
      </c>
      <c r="RL80" s="5459">
        <f>RK80/RJ80</f>
        <v>0.36682967263532368</v>
      </c>
      <c r="RM80" s="5460">
        <f>SUM(RM59:RM79)</f>
        <v>-109</v>
      </c>
      <c r="RN80" s="5454">
        <f>SUM(RN59:RN79)</f>
        <v>-10545003.189999999</v>
      </c>
      <c r="RO80" s="5454">
        <f>SUM(RO59:RO79)</f>
        <v>-2884245.19</v>
      </c>
      <c r="RP80" s="5455">
        <f>RM80/PX80</f>
        <v>-0.87903225806451613</v>
      </c>
      <c r="RQ80" s="5455">
        <f>RN80/PY80</f>
        <v>-0.14337276828026957</v>
      </c>
      <c r="RR80" s="6350">
        <f>RO80/PZ80</f>
        <v>-0.11215649357494292</v>
      </c>
      <c r="RS80" s="5433">
        <f>SUM(RS60:RS79)</f>
        <v>136</v>
      </c>
      <c r="RT80" s="5433">
        <f>SUM(RT60:RT79)</f>
        <v>16197883</v>
      </c>
      <c r="RU80" s="5433">
        <f>SUM(RU60:RU79)</f>
        <v>23791062</v>
      </c>
      <c r="RV80" s="5450">
        <f>SUM(RV60:RV79)</f>
        <v>5156</v>
      </c>
      <c r="RW80" s="5432">
        <f>SUM(RW60:RW79)</f>
        <v>7588023</v>
      </c>
      <c r="RX80" s="5437">
        <f>RW80/RU80</f>
        <v>0.31894427411437121</v>
      </c>
      <c r="RY80" s="5433">
        <f>SUM(RY60:RY79)</f>
        <v>1041582</v>
      </c>
      <c r="RZ80" s="5433">
        <f>SUM(RZ60:RZ79)</f>
        <v>1585634.24</v>
      </c>
      <c r="SA80" s="5433">
        <f>SUM(SA60:SA79)</f>
        <v>1587954</v>
      </c>
      <c r="SB80" s="5432">
        <f>SUM(SB60:SB79)</f>
        <v>3372852.76</v>
      </c>
      <c r="SC80" s="5459">
        <f>SB80/RU80</f>
        <v>0.14176974361211786</v>
      </c>
      <c r="SD80" s="5456">
        <f>SUM(SD60:SD79)</f>
        <v>136</v>
      </c>
      <c r="SE80" s="5433">
        <f>SUM(SE60:SE79)</f>
        <v>14377535</v>
      </c>
      <c r="SF80" s="6452">
        <f>SUM(SF60:SF79)</f>
        <v>21608233</v>
      </c>
      <c r="SG80" s="6357">
        <f>SUM(SG60:SG79)</f>
        <v>240641</v>
      </c>
      <c r="SH80" s="6378">
        <f>SUM(SH60:SH79)</f>
        <v>6990057</v>
      </c>
      <c r="SI80" s="6379">
        <f>SH80/SF80</f>
        <v>0.32349044921905462</v>
      </c>
      <c r="SJ80" s="5433">
        <f>SUM(SJ60:SJ79)</f>
        <v>1032106</v>
      </c>
      <c r="SK80" s="5433">
        <f>SUM(SK60:SK79)</f>
        <v>1189495.24</v>
      </c>
      <c r="SL80" s="5433">
        <f>SUM(SL60:SL79)</f>
        <v>1514221</v>
      </c>
      <c r="SM80" s="5432">
        <f>SUM(SM60:SM79)</f>
        <v>3254234.76</v>
      </c>
      <c r="SN80" s="5459">
        <f>SM80/SF80</f>
        <v>0.15060161374601985</v>
      </c>
      <c r="SO80" s="5433">
        <f>SUM(SO60:SO79)</f>
        <v>140</v>
      </c>
      <c r="SP80" s="5433">
        <f>SUM(SP60:SP79)</f>
        <v>14850920</v>
      </c>
      <c r="SQ80" s="5433">
        <f>SUM(SQ60:SQ79)</f>
        <v>20805513.77</v>
      </c>
      <c r="SR80" s="5433">
        <f>SUM(SR60:SR79)</f>
        <v>19051</v>
      </c>
      <c r="SS80" s="6378">
        <f>SUM(SS60:SS79)</f>
        <v>5935542.7699999996</v>
      </c>
      <c r="ST80" s="6379">
        <f>SS80/SQ80</f>
        <v>0.28528700783917244</v>
      </c>
      <c r="SU80" s="5433">
        <f>SUM(SU60:SU79)</f>
        <v>1130245</v>
      </c>
      <c r="SV80" s="5433">
        <f>SUM(SV60:SV79)</f>
        <v>1155522</v>
      </c>
      <c r="SW80" s="5433">
        <f>SUM(SW60:SW79)</f>
        <v>1629898</v>
      </c>
      <c r="SX80" s="5432">
        <f>SUM(SX60:SX79)</f>
        <v>2019877.77</v>
      </c>
      <c r="SY80" s="5459">
        <f>SX80/SQ80</f>
        <v>9.7083772711852631E-2</v>
      </c>
      <c r="SZ80" s="5456">
        <f>SUM(SZ60:SZ79)</f>
        <v>0</v>
      </c>
      <c r="TA80" s="5433">
        <f>SUM(TA60:TA79)</f>
        <v>66204808.770000003</v>
      </c>
      <c r="TB80" s="5433">
        <f>SUM(TB60:TB79)</f>
        <v>20513622.77</v>
      </c>
      <c r="TC80" s="5459">
        <f>TB80/TA80</f>
        <v>0.309850948157946</v>
      </c>
      <c r="TD80" s="5456">
        <f>SUM(TD60:TD79)</f>
        <v>134</v>
      </c>
      <c r="TE80" s="5433">
        <f>SUM(TE60:TE79)</f>
        <v>13454676</v>
      </c>
      <c r="TF80" s="5433">
        <f>SUM(TF60:TF79)</f>
        <v>21673234.969999999</v>
      </c>
      <c r="TG80" s="5433">
        <f>SUM(TG60:TG79)</f>
        <v>45295</v>
      </c>
      <c r="TH80" s="5432">
        <f>SUM(TH60:TH79)</f>
        <v>8173263.9699999997</v>
      </c>
      <c r="TI80" s="5437">
        <f>TH80/TF80</f>
        <v>0.37711324503764193</v>
      </c>
      <c r="TJ80" s="5433">
        <f>SUM(TJ60:TJ79)</f>
        <v>1064663</v>
      </c>
      <c r="TK80" s="5433">
        <f>SUM(TK60:TK79)</f>
        <v>1155522</v>
      </c>
      <c r="TL80" s="5433">
        <f>SUM(TL60:TL79)</f>
        <v>1481120</v>
      </c>
      <c r="TM80" s="5432">
        <f>SUM(TM60:TM79)</f>
        <v>4471958.97</v>
      </c>
      <c r="TN80" s="5459">
        <f>TM80/TF80</f>
        <v>0.20633555517623772</v>
      </c>
      <c r="TO80" s="5433">
        <f>SUM(TO60:TO79)</f>
        <v>0</v>
      </c>
      <c r="TP80" s="5433">
        <f>SUM(TP60:TP79)</f>
        <v>0</v>
      </c>
      <c r="TQ80" s="5433">
        <f>SUM(TQ60:TQ79)</f>
        <v>0</v>
      </c>
      <c r="TR80" s="5433">
        <f>SUM(TR60:TR79)</f>
        <v>0</v>
      </c>
      <c r="TS80" s="5432">
        <f>SUM(TS60:TS79)</f>
        <v>0</v>
      </c>
      <c r="TT80" s="5437" t="e">
        <f>TS80/TQ80</f>
        <v>#DIV/0!</v>
      </c>
      <c r="TU80" s="5433">
        <f>SUM(TU60:TU79)</f>
        <v>0</v>
      </c>
      <c r="TV80" s="5433">
        <f>SUM(TV60:TV79)</f>
        <v>0</v>
      </c>
      <c r="TW80" s="5433">
        <f>SUM(TW60:TW79)</f>
        <v>0</v>
      </c>
      <c r="TX80" s="5432">
        <f>SUM(TX60:TX79)</f>
        <v>0</v>
      </c>
      <c r="TY80" s="5438" t="e">
        <f>TX80/TQ80</f>
        <v>#DIV/0!</v>
      </c>
      <c r="TZ80" s="5456">
        <f>SUM(TZ60:TZ79)</f>
        <v>0</v>
      </c>
      <c r="UA80" s="5433">
        <f>SUM(UA60:UA79)</f>
        <v>0</v>
      </c>
      <c r="UB80" s="5433">
        <f>SUM(UB60:UB79)</f>
        <v>0</v>
      </c>
      <c r="UC80" s="5433">
        <f>SUM(UC60:UC79)</f>
        <v>0</v>
      </c>
      <c r="UD80" s="5432">
        <f>SUM(UD60:UD79)</f>
        <v>0</v>
      </c>
      <c r="UE80" s="5437" t="e">
        <f>UD80/UB80</f>
        <v>#DIV/0!</v>
      </c>
      <c r="UF80" s="5433">
        <f>SUM(UF60:UF79)</f>
        <v>0</v>
      </c>
      <c r="UG80" s="5433">
        <f>SUM(UG60:UG79)</f>
        <v>0</v>
      </c>
      <c r="UH80" s="5433">
        <f>SUM(UH60:UH79)</f>
        <v>0</v>
      </c>
      <c r="UI80" s="5432">
        <f>SUM(UI60:UI79)</f>
        <v>0</v>
      </c>
      <c r="UJ80" s="5459" t="e">
        <f>UI80/UB80</f>
        <v>#DIV/0!</v>
      </c>
      <c r="UK80" s="6424"/>
      <c r="UL80" s="5449">
        <f>SUM(UL59:UL79)</f>
        <v>232077936.61000001</v>
      </c>
      <c r="UM80" s="5449">
        <f>SUM(UM59:UM79)</f>
        <v>80421120.807500005</v>
      </c>
      <c r="UN80" s="5462">
        <f>UM80/UL80</f>
        <v>0.34652635223418621</v>
      </c>
      <c r="UO80" s="5449">
        <f>SUM(UO59:UO79)</f>
        <v>40446694.377499998</v>
      </c>
      <c r="UP80" s="5463">
        <f>UO80/UL80</f>
        <v>0.17428065316467137</v>
      </c>
      <c r="UR80" s="4274">
        <f>UL80/6</f>
        <v>38679656.101666667</v>
      </c>
      <c r="US80" s="4274">
        <f>UM80/6</f>
        <v>13403520.134583334</v>
      </c>
    </row>
    <row r="81" spans="1:562" s="65" customFormat="1" x14ac:dyDescent="0.3">
      <c r="A81" s="67"/>
      <c r="B81" s="6426"/>
      <c r="C81" s="6427"/>
      <c r="D81" s="6427"/>
      <c r="E81" s="6428"/>
      <c r="F81" s="6429"/>
      <c r="G81" s="6430"/>
      <c r="H81" s="6430"/>
      <c r="I81" s="6430"/>
      <c r="J81" s="6429"/>
      <c r="K81" s="6429"/>
      <c r="L81" s="6430"/>
      <c r="M81" s="6430"/>
      <c r="N81" s="6430"/>
      <c r="O81" s="6429"/>
      <c r="P81" s="6429"/>
      <c r="Q81" s="6430"/>
      <c r="R81" s="6430"/>
      <c r="S81" s="6430"/>
      <c r="T81" s="6431"/>
      <c r="U81" s="6429"/>
      <c r="V81" s="6429"/>
      <c r="W81" s="6429"/>
      <c r="X81" s="6429"/>
      <c r="Y81" s="6429"/>
      <c r="Z81" s="6429"/>
      <c r="AA81" s="6429"/>
      <c r="AB81" s="6429"/>
      <c r="AC81" s="6429"/>
      <c r="AD81" s="6429"/>
      <c r="AE81" s="6429"/>
      <c r="AF81" s="6429"/>
      <c r="AG81" s="6432"/>
      <c r="AH81" s="6432"/>
      <c r="AI81" s="6432"/>
      <c r="AJ81" s="6432"/>
      <c r="AK81" s="6432"/>
      <c r="AL81" s="6432"/>
      <c r="AM81" s="6433"/>
      <c r="AN81" s="6433"/>
      <c r="AO81" s="6433"/>
      <c r="AP81" s="6433"/>
      <c r="AQ81" s="6433"/>
      <c r="AR81" s="6432"/>
      <c r="AS81" s="6432"/>
      <c r="AT81" s="6432"/>
      <c r="AU81" s="6432"/>
      <c r="AV81" s="6432"/>
      <c r="AW81" s="6432"/>
      <c r="AX81" s="6429"/>
      <c r="AY81" s="6432"/>
      <c r="AZ81" s="6432"/>
      <c r="BA81" s="6432"/>
      <c r="BB81" s="6432"/>
      <c r="BC81" s="6433"/>
      <c r="BD81" s="6433"/>
      <c r="BE81" s="6433"/>
      <c r="BF81" s="6433"/>
      <c r="BG81" s="6433"/>
      <c r="BH81" s="6434"/>
      <c r="BI81" s="6433"/>
      <c r="BJ81" s="6433"/>
      <c r="BK81" s="6433"/>
      <c r="BL81" s="6433"/>
      <c r="BM81" s="6433"/>
      <c r="BN81" s="6434"/>
      <c r="BO81" s="6435"/>
      <c r="BP81" s="6433"/>
      <c r="BQ81" s="6433"/>
      <c r="BR81" s="6433"/>
      <c r="BS81" s="6433"/>
      <c r="BT81" s="6432"/>
      <c r="BU81" s="6432"/>
      <c r="BV81" s="6432"/>
      <c r="BW81" s="6432"/>
      <c r="BX81" s="6432"/>
      <c r="BY81" s="6429"/>
      <c r="BZ81" s="6432"/>
      <c r="CA81" s="6436"/>
      <c r="CB81" s="6436"/>
      <c r="CC81" s="6432"/>
      <c r="CD81" s="6437"/>
      <c r="CE81" s="6433"/>
      <c r="CF81" s="6433"/>
      <c r="CG81" s="6433"/>
      <c r="CH81" s="6433"/>
      <c r="CI81" s="6433"/>
      <c r="CJ81" s="6437"/>
      <c r="CK81" s="6429"/>
      <c r="CL81" s="6436"/>
      <c r="CM81" s="6436"/>
      <c r="CN81" s="6436"/>
      <c r="CO81" s="6432"/>
      <c r="CP81" s="6437"/>
      <c r="CQ81" s="6433"/>
      <c r="CR81" s="6433"/>
      <c r="CS81" s="6433"/>
      <c r="CT81" s="6433"/>
      <c r="CU81" s="6433"/>
      <c r="CV81" s="6437"/>
      <c r="CW81" s="6437"/>
      <c r="CX81" s="6437"/>
      <c r="CY81" s="6437"/>
      <c r="CZ81" s="6437"/>
      <c r="DA81" s="6437"/>
      <c r="DB81" s="6437"/>
      <c r="DC81" s="6433"/>
      <c r="DD81" s="6433"/>
      <c r="DE81" s="6433"/>
      <c r="DF81" s="6433"/>
      <c r="DG81" s="6433"/>
      <c r="DH81" s="6437"/>
      <c r="DI81" s="6437"/>
      <c r="DJ81" s="6437"/>
      <c r="DK81" s="6437"/>
      <c r="DL81" s="6437"/>
      <c r="DM81" s="6437"/>
      <c r="DN81" s="6437"/>
      <c r="DO81" s="6437"/>
      <c r="DP81" s="6432"/>
      <c r="DQ81" s="6433"/>
      <c r="DR81" s="6433"/>
      <c r="DS81" s="6437"/>
      <c r="DT81" s="6437"/>
      <c r="DU81" s="6437"/>
      <c r="DV81" s="6432"/>
      <c r="DW81" s="6432"/>
      <c r="DX81" s="6432"/>
      <c r="DY81" s="6432"/>
      <c r="DZ81" s="6433"/>
      <c r="EA81" s="6433"/>
      <c r="EB81" s="6432"/>
      <c r="EC81" s="6432"/>
      <c r="ED81" s="6432"/>
      <c r="EE81" s="6432"/>
      <c r="EF81" s="6432"/>
      <c r="EG81" s="6432"/>
      <c r="EH81" s="6432"/>
      <c r="EI81" s="6432"/>
      <c r="EJ81" s="6432"/>
      <c r="EK81" s="6432"/>
      <c r="EL81" s="6432"/>
      <c r="EM81" s="6432"/>
      <c r="EN81" s="6432"/>
      <c r="EO81" s="6432"/>
      <c r="EP81" s="6432"/>
      <c r="EQ81" s="6432"/>
      <c r="ER81" s="6432"/>
      <c r="ES81" s="6432"/>
      <c r="ET81" s="6432"/>
      <c r="EU81" s="6432"/>
      <c r="EV81" s="6432"/>
      <c r="EW81" s="6432"/>
      <c r="EX81" s="6432"/>
      <c r="EY81" s="6432"/>
      <c r="EZ81" s="6432"/>
      <c r="FA81" s="6432"/>
      <c r="FB81" s="6432"/>
      <c r="FC81" s="6432"/>
      <c r="FD81" s="6432"/>
      <c r="FE81" s="6432"/>
      <c r="FF81" s="6432"/>
      <c r="FG81" s="6432"/>
      <c r="FH81" s="6432"/>
      <c r="FI81" s="6432"/>
      <c r="FJ81" s="6437"/>
      <c r="FK81" s="6433"/>
      <c r="FL81" s="6433"/>
      <c r="FM81" s="6433"/>
      <c r="FN81" s="6433"/>
      <c r="FO81" s="6433"/>
      <c r="FP81" s="6432"/>
      <c r="FQ81" s="6433"/>
      <c r="FR81" s="6433"/>
      <c r="FS81" s="6433"/>
      <c r="FT81" s="6432"/>
      <c r="FU81" s="6437"/>
      <c r="FV81" s="6432"/>
      <c r="FW81" s="6432"/>
      <c r="FX81" s="6432"/>
      <c r="FY81" s="6432"/>
      <c r="FZ81" s="6432"/>
      <c r="GA81" s="6437"/>
      <c r="GB81" s="6437"/>
      <c r="GC81" s="6432"/>
      <c r="GD81" s="6432"/>
      <c r="GE81" s="6432"/>
      <c r="GF81" s="6432"/>
      <c r="GG81" s="6432"/>
      <c r="GH81" s="6437"/>
      <c r="GI81" s="6432"/>
      <c r="GJ81" s="6432"/>
      <c r="GK81" s="6432"/>
      <c r="GL81" s="6432"/>
      <c r="GM81" s="6432"/>
      <c r="GN81" s="6433"/>
      <c r="GO81" s="6433"/>
      <c r="GP81" s="6433"/>
      <c r="GQ81" s="6433"/>
      <c r="GR81" s="6433"/>
      <c r="GS81" s="6432"/>
      <c r="GT81" s="6433"/>
      <c r="GU81" s="6433"/>
      <c r="GV81" s="6433"/>
      <c r="GW81" s="6433"/>
      <c r="GX81" s="6432"/>
      <c r="GY81" s="6437"/>
      <c r="GZ81" s="6438"/>
      <c r="HA81" s="6438"/>
      <c r="HB81" s="6438"/>
      <c r="HC81" s="6438"/>
      <c r="HD81" s="6437"/>
      <c r="HE81" s="6437"/>
      <c r="HF81" s="6433"/>
      <c r="HG81" s="6433"/>
      <c r="HH81" s="6433"/>
      <c r="HI81" s="6433"/>
      <c r="HJ81" s="6437"/>
      <c r="HK81" s="6437"/>
      <c r="HL81" s="6437"/>
      <c r="HM81" s="6437"/>
      <c r="HN81" s="6437"/>
      <c r="HO81" s="6437"/>
      <c r="HP81" s="6437"/>
      <c r="HQ81" s="6437"/>
      <c r="HR81" s="6433"/>
      <c r="HS81" s="6433"/>
      <c r="HT81" s="6433"/>
      <c r="HU81" s="6433"/>
      <c r="HV81" s="6437"/>
      <c r="HW81" s="6437"/>
      <c r="HX81" s="6437"/>
      <c r="HY81" s="6437"/>
      <c r="HZ81" s="6437"/>
      <c r="IA81" s="6437"/>
      <c r="IB81" s="6437"/>
      <c r="IC81" s="6437"/>
      <c r="ID81" s="6437"/>
      <c r="IE81" s="6437"/>
      <c r="IF81" s="6437"/>
      <c r="IG81" s="6437"/>
      <c r="IH81" s="6437"/>
      <c r="II81" s="6432"/>
      <c r="IJ81" s="6433"/>
      <c r="IK81" s="6433"/>
      <c r="IL81" s="6433"/>
      <c r="IM81" s="6433"/>
      <c r="IN81" s="6433"/>
      <c r="IO81" s="6432"/>
      <c r="IP81" s="6432"/>
      <c r="IQ81" s="6439">
        <f>IQ80+IQ58</f>
        <v>3662770</v>
      </c>
      <c r="IR81" s="6440" t="s">
        <v>254</v>
      </c>
      <c r="IS81" s="6440" t="s">
        <v>409</v>
      </c>
      <c r="IT81" s="6432"/>
      <c r="IU81" s="6429"/>
      <c r="IV81" s="6432"/>
      <c r="IW81" s="6432"/>
      <c r="IX81" s="6432"/>
      <c r="IY81" s="6432"/>
      <c r="IZ81" s="6432"/>
      <c r="JA81" s="6432"/>
      <c r="JB81" s="6432"/>
      <c r="JC81" s="6439">
        <f>JC80+JC58</f>
        <v>2962927.8</v>
      </c>
      <c r="JD81" s="6432"/>
      <c r="JE81" s="6432"/>
      <c r="JF81" s="6432"/>
      <c r="JG81" s="6432"/>
      <c r="JH81" s="6432"/>
      <c r="JI81" s="6432"/>
      <c r="JJ81" s="6432"/>
      <c r="JK81" s="6432"/>
      <c r="JL81" s="6432"/>
      <c r="JM81" s="6432"/>
      <c r="JN81" s="6432"/>
      <c r="JO81" s="6432"/>
      <c r="JP81" s="6432"/>
      <c r="JQ81" s="6432"/>
      <c r="JR81" s="6432"/>
      <c r="JS81" s="6432"/>
      <c r="JT81" s="6432"/>
      <c r="JU81" s="6432"/>
      <c r="JV81" s="6432"/>
      <c r="JW81" s="6432"/>
      <c r="JX81" s="6432"/>
      <c r="JY81" s="6432"/>
      <c r="JZ81" s="6432"/>
      <c r="KA81" s="6432"/>
      <c r="KB81" s="6432"/>
      <c r="KC81" s="6432"/>
      <c r="KD81" s="6432"/>
      <c r="KE81" s="6432"/>
      <c r="KF81" s="6432"/>
      <c r="KG81" s="6432"/>
      <c r="KH81" s="6432"/>
      <c r="KI81" s="6432"/>
      <c r="KJ81" s="6432"/>
      <c r="KK81" s="6432"/>
      <c r="KL81" s="6439"/>
      <c r="KM81" s="6432"/>
      <c r="KN81" s="6432"/>
      <c r="KO81" s="6432"/>
      <c r="KP81" s="6432"/>
      <c r="KQ81" s="6437"/>
      <c r="KR81" s="6432"/>
      <c r="KS81" s="6439"/>
      <c r="KT81" s="6432"/>
      <c r="KU81" s="6439"/>
      <c r="KV81" s="6432"/>
      <c r="KW81" s="6439"/>
      <c r="KX81" s="6432"/>
      <c r="KY81" s="6432"/>
      <c r="KZ81" s="6432"/>
      <c r="LA81" s="6432"/>
      <c r="LB81" s="6439"/>
      <c r="LC81" s="6439"/>
      <c r="LD81" s="6439"/>
      <c r="LE81" s="6437"/>
      <c r="LF81" s="6433"/>
      <c r="LG81" s="6433"/>
      <c r="LH81" s="6433"/>
      <c r="LI81" s="6437"/>
      <c r="LJ81" s="6437"/>
      <c r="LK81" s="6437"/>
      <c r="LL81" s="6439"/>
      <c r="LM81" s="6439"/>
      <c r="LN81" s="6439"/>
      <c r="LO81" s="6439"/>
      <c r="LP81" s="6439"/>
      <c r="LQ81" s="6432"/>
      <c r="LR81" s="6439"/>
      <c r="LS81" s="6432"/>
      <c r="LT81" s="6432"/>
      <c r="LU81" s="6432"/>
      <c r="LV81" s="6432"/>
      <c r="LW81" s="6433"/>
      <c r="LX81" s="6433"/>
      <c r="LY81" s="6433"/>
      <c r="LZ81" s="6433"/>
      <c r="MA81" s="6432"/>
      <c r="MB81" s="6432"/>
      <c r="MC81" s="6432"/>
      <c r="MD81" s="6432"/>
      <c r="ME81" s="6432"/>
      <c r="MF81" s="6432"/>
      <c r="MG81" s="6432"/>
      <c r="MH81" s="6432"/>
      <c r="MI81" s="6432"/>
      <c r="MJ81" s="6432"/>
      <c r="MK81" s="6432"/>
      <c r="ML81" s="6432"/>
      <c r="MM81" s="6432"/>
      <c r="MN81" s="6432"/>
      <c r="MO81" s="6432"/>
      <c r="MP81" s="6432"/>
      <c r="MQ81" s="6432"/>
      <c r="MR81" s="6432"/>
      <c r="MS81" s="6435"/>
      <c r="MT81" s="6433"/>
      <c r="MU81" s="6433"/>
      <c r="MV81" s="6432"/>
      <c r="MW81" s="6433"/>
      <c r="MX81" s="6433"/>
      <c r="MY81" s="6433"/>
      <c r="MZ81" s="6433"/>
      <c r="NA81" s="6433"/>
      <c r="NB81" s="6432"/>
      <c r="NC81" s="6432"/>
      <c r="ND81" s="6432"/>
      <c r="NE81" s="6432"/>
      <c r="NF81" s="6432"/>
      <c r="NG81" s="6432"/>
      <c r="NH81" s="6432"/>
      <c r="NI81" s="6432"/>
      <c r="NJ81" s="6432"/>
      <c r="NK81" s="6432"/>
      <c r="NL81" s="6432"/>
      <c r="NM81" s="6432"/>
      <c r="NN81" s="6432"/>
      <c r="NO81" s="6432"/>
      <c r="NP81" s="6432"/>
      <c r="NQ81" s="6432"/>
      <c r="NR81" s="6432"/>
      <c r="NS81" s="6432"/>
      <c r="NT81" s="6432"/>
      <c r="NU81" s="6432"/>
      <c r="NV81" s="6432"/>
      <c r="NW81" s="6432"/>
      <c r="NX81" s="6432"/>
      <c r="NY81" s="6441"/>
      <c r="NZ81" s="6432"/>
      <c r="OA81" s="6432"/>
      <c r="OB81" s="6432"/>
      <c r="OC81" s="6432"/>
      <c r="OD81" s="6432"/>
      <c r="OE81" s="6432"/>
      <c r="OF81" s="6432"/>
      <c r="OG81" s="6432"/>
      <c r="OH81" s="6432"/>
      <c r="OI81" s="6442"/>
      <c r="OJ81" s="6439"/>
      <c r="OK81" s="6432"/>
      <c r="OL81" s="6432"/>
      <c r="OM81" s="6432"/>
      <c r="ON81" s="6432"/>
      <c r="OO81" s="6432"/>
      <c r="OP81" s="6432"/>
      <c r="OQ81" s="6441"/>
      <c r="OR81" s="6432"/>
      <c r="OS81" s="6432"/>
      <c r="OT81" s="6432"/>
      <c r="OU81" s="6432"/>
      <c r="OV81" s="6429"/>
      <c r="OW81" s="6432"/>
      <c r="OX81" s="6432"/>
      <c r="OY81" s="6432"/>
      <c r="OZ81" s="6432"/>
      <c r="PA81" s="6428"/>
      <c r="PB81" s="6432"/>
      <c r="PC81" s="6432"/>
      <c r="PD81" s="6432"/>
      <c r="PE81" s="6432"/>
      <c r="PF81" s="6432"/>
      <c r="PG81" s="6429"/>
      <c r="PH81" s="6432"/>
      <c r="PI81" s="6432"/>
      <c r="PJ81" s="6432"/>
      <c r="PK81" s="6432"/>
      <c r="PL81" s="6432"/>
      <c r="PM81" s="6441"/>
      <c r="PN81" s="6432"/>
      <c r="PO81" s="6432"/>
      <c r="PP81" s="6432"/>
      <c r="PQ81" s="6443"/>
      <c r="PR81" s="6444"/>
      <c r="PS81" s="6432"/>
      <c r="PT81" s="6432"/>
      <c r="PU81" s="6432"/>
      <c r="PV81" s="6432"/>
      <c r="PW81" s="6442"/>
      <c r="PX81" s="6441"/>
      <c r="PY81" s="6432"/>
      <c r="PZ81" s="6432"/>
      <c r="QA81" s="6442"/>
      <c r="QB81" s="6441"/>
      <c r="QC81" s="6432"/>
      <c r="QD81" s="6432"/>
      <c r="QE81" s="6432"/>
      <c r="QF81" s="6443"/>
      <c r="QG81" s="6444"/>
      <c r="QH81" s="6432"/>
      <c r="QI81" s="6432"/>
      <c r="QJ81" s="6432"/>
      <c r="QK81" s="6432"/>
      <c r="QL81" s="6442"/>
      <c r="QM81" s="6441"/>
      <c r="QN81" s="6432"/>
      <c r="QO81" s="6432"/>
      <c r="QP81" s="6432"/>
      <c r="QQ81" s="6432"/>
      <c r="QR81" s="6432"/>
      <c r="QS81" s="6432"/>
      <c r="QT81" s="6432"/>
      <c r="QU81" s="6432"/>
      <c r="QV81" s="6432"/>
      <c r="QW81" s="6442"/>
      <c r="QX81" s="6441"/>
      <c r="QY81" s="6432"/>
      <c r="QZ81" s="6432"/>
      <c r="RA81" s="6432"/>
      <c r="RB81" s="6432"/>
      <c r="RC81" s="6432"/>
      <c r="RD81" s="6432"/>
      <c r="RE81" s="6432"/>
      <c r="RF81" s="6432"/>
      <c r="RG81" s="6432"/>
      <c r="RH81" s="6442"/>
      <c r="RI81" s="6441"/>
      <c r="RJ81" s="6432"/>
      <c r="RK81" s="6432"/>
      <c r="RL81" s="6442"/>
      <c r="RM81" s="6441"/>
      <c r="RN81" s="6432"/>
      <c r="RO81" s="6432"/>
      <c r="RP81" s="6432"/>
      <c r="RQ81" s="6432"/>
      <c r="RR81" s="6442"/>
      <c r="RS81" s="6441"/>
      <c r="RT81" s="6432"/>
      <c r="RU81" s="6432"/>
      <c r="RV81" s="6432"/>
      <c r="RW81" s="6432"/>
      <c r="RX81" s="6432"/>
      <c r="RY81" s="6432"/>
      <c r="RZ81" s="6432"/>
      <c r="SA81" s="6432"/>
      <c r="SB81" s="6432"/>
      <c r="SC81" s="6442"/>
      <c r="SD81" s="6441"/>
      <c r="SE81" s="6432"/>
      <c r="SF81" s="6432"/>
      <c r="SG81" s="6432"/>
      <c r="SH81" s="6445"/>
      <c r="SI81" s="6446"/>
      <c r="SJ81" s="6432"/>
      <c r="SK81" s="6437"/>
      <c r="SL81" s="6437"/>
      <c r="SM81" s="6450"/>
      <c r="SN81" s="6442"/>
      <c r="SO81" s="6432"/>
      <c r="SP81" s="6432"/>
      <c r="SQ81" s="6432"/>
      <c r="SR81" s="6432"/>
      <c r="SS81" s="6445"/>
      <c r="ST81" s="6446"/>
      <c r="SU81" s="6432"/>
      <c r="SV81" s="6432"/>
      <c r="SW81" s="6432"/>
      <c r="SX81" s="6447">
        <f>SS81-SUM(SU81:SW81)</f>
        <v>0</v>
      </c>
      <c r="SY81" s="6448">
        <v>0</v>
      </c>
      <c r="SZ81" s="6286"/>
      <c r="TA81" s="67"/>
      <c r="TB81" s="67"/>
      <c r="TC81" s="6287"/>
      <c r="TD81" s="6432"/>
      <c r="TE81" s="6432"/>
      <c r="TF81" s="6432"/>
      <c r="TG81" s="6432"/>
      <c r="TH81" s="6445"/>
      <c r="TI81" s="6446"/>
      <c r="TJ81" s="6432"/>
      <c r="TK81" s="6432"/>
      <c r="TL81" s="6432"/>
      <c r="TM81" s="6447">
        <f>TH81-SUM(TJ81:TL81)</f>
        <v>0</v>
      </c>
      <c r="TN81" s="6448">
        <v>0</v>
      </c>
      <c r="TZ81" s="6286"/>
      <c r="UA81" s="67"/>
      <c r="UB81" s="67"/>
      <c r="UC81" s="67"/>
      <c r="UD81" s="67"/>
      <c r="UE81" s="67"/>
      <c r="UF81" s="67"/>
      <c r="UG81" s="67"/>
      <c r="UH81" s="67"/>
      <c r="UI81" s="67"/>
      <c r="UJ81" s="6287"/>
      <c r="UK81" s="6286"/>
      <c r="UL81" s="67"/>
      <c r="UM81" s="67"/>
      <c r="UN81" s="67"/>
      <c r="UO81" s="67"/>
      <c r="UP81" s="6425"/>
    </row>
    <row r="82" spans="1:562" s="65" customFormat="1" x14ac:dyDescent="0.3">
      <c r="A82" s="5316">
        <v>1</v>
      </c>
      <c r="B82" s="5360"/>
      <c r="C82" s="578" t="s">
        <v>1050</v>
      </c>
      <c r="D82" s="578" t="s">
        <v>142</v>
      </c>
      <c r="E82" s="6278" t="s">
        <v>1049</v>
      </c>
      <c r="F82" s="6385"/>
      <c r="G82" s="6386"/>
      <c r="H82" s="6386"/>
      <c r="I82" s="6386"/>
      <c r="J82" s="6385"/>
      <c r="K82" s="6385"/>
      <c r="L82" s="6386"/>
      <c r="M82" s="6386"/>
      <c r="N82" s="6386"/>
      <c r="O82" s="6385"/>
      <c r="P82" s="6385"/>
      <c r="Q82" s="6386"/>
      <c r="R82" s="6386"/>
      <c r="S82" s="6386"/>
      <c r="T82" s="408"/>
      <c r="U82" s="6385"/>
      <c r="V82" s="6385"/>
      <c r="W82" s="6385"/>
      <c r="X82" s="6385"/>
      <c r="Y82" s="6385"/>
      <c r="Z82" s="6385"/>
      <c r="AA82" s="6385"/>
      <c r="AB82" s="6385"/>
      <c r="AC82" s="6385"/>
      <c r="AD82" s="6385"/>
      <c r="AE82" s="6385"/>
      <c r="AF82" s="6385"/>
      <c r="AG82" s="6387"/>
      <c r="AH82" s="6387"/>
      <c r="AI82" s="6387"/>
      <c r="AJ82" s="6387"/>
      <c r="AK82" s="6387"/>
      <c r="AL82" s="6387"/>
      <c r="AM82" s="6388"/>
      <c r="AN82" s="6388"/>
      <c r="AO82" s="6388"/>
      <c r="AP82" s="6388"/>
      <c r="AQ82" s="6388"/>
      <c r="AR82" s="6387"/>
      <c r="AS82" s="6387"/>
      <c r="AT82" s="6387"/>
      <c r="AU82" s="6387"/>
      <c r="AV82" s="6387"/>
      <c r="AW82" s="6387"/>
      <c r="AX82" s="6385"/>
      <c r="AY82" s="6387"/>
      <c r="AZ82" s="6387"/>
      <c r="BA82" s="6387"/>
      <c r="BB82" s="6387"/>
      <c r="BC82" s="6388"/>
      <c r="BD82" s="6388"/>
      <c r="BE82" s="6388"/>
      <c r="BF82" s="6388"/>
      <c r="BG82" s="6388"/>
      <c r="BH82" s="6389"/>
      <c r="BI82" s="6388"/>
      <c r="BJ82" s="6388"/>
      <c r="BK82" s="6388"/>
      <c r="BL82" s="6388"/>
      <c r="BM82" s="6388"/>
      <c r="BN82" s="6389"/>
      <c r="BO82" s="6390"/>
      <c r="BP82" s="6388"/>
      <c r="BQ82" s="6388"/>
      <c r="BR82" s="6388"/>
      <c r="BS82" s="6388"/>
      <c r="BT82" s="6387"/>
      <c r="BU82" s="6387"/>
      <c r="BV82" s="6387"/>
      <c r="BW82" s="6387"/>
      <c r="BX82" s="6387"/>
      <c r="BY82" s="6385"/>
      <c r="BZ82" s="6387"/>
      <c r="CA82" s="6391"/>
      <c r="CB82" s="6391"/>
      <c r="CC82" s="6387"/>
      <c r="CD82" s="210"/>
      <c r="CE82" s="6388"/>
      <c r="CF82" s="6388"/>
      <c r="CG82" s="6388"/>
      <c r="CH82" s="6388"/>
      <c r="CI82" s="6388"/>
      <c r="CJ82" s="210"/>
      <c r="CK82" s="6385"/>
      <c r="CL82" s="6391"/>
      <c r="CM82" s="6391"/>
      <c r="CN82" s="6391"/>
      <c r="CO82" s="6387"/>
      <c r="CP82" s="210"/>
      <c r="CQ82" s="6388"/>
      <c r="CR82" s="6388"/>
      <c r="CS82" s="6388"/>
      <c r="CT82" s="6388"/>
      <c r="CU82" s="6388"/>
      <c r="CV82" s="210"/>
      <c r="CW82" s="210"/>
      <c r="CX82" s="210"/>
      <c r="CY82" s="210"/>
      <c r="CZ82" s="210"/>
      <c r="DA82" s="210"/>
      <c r="DB82" s="210"/>
      <c r="DC82" s="6388"/>
      <c r="DD82" s="6388"/>
      <c r="DE82" s="6388"/>
      <c r="DF82" s="6388"/>
      <c r="DG82" s="6388"/>
      <c r="DH82" s="210"/>
      <c r="DI82" s="210"/>
      <c r="DJ82" s="210"/>
      <c r="DK82" s="210"/>
      <c r="DL82" s="210"/>
      <c r="DM82" s="210"/>
      <c r="DN82" s="210"/>
      <c r="DO82" s="210"/>
      <c r="DP82" s="6387"/>
      <c r="DQ82" s="6388"/>
      <c r="DR82" s="6388"/>
      <c r="DS82" s="210"/>
      <c r="DT82" s="210"/>
      <c r="DU82" s="210"/>
      <c r="DV82" s="6387"/>
      <c r="DW82" s="6387"/>
      <c r="DX82" s="6387"/>
      <c r="DY82" s="6387"/>
      <c r="DZ82" s="6388"/>
      <c r="EA82" s="6388"/>
      <c r="EB82" s="6387"/>
      <c r="EC82" s="6387"/>
      <c r="ED82" s="6387"/>
      <c r="EE82" s="6387"/>
      <c r="EF82" s="6387"/>
      <c r="EG82" s="6387"/>
      <c r="EH82" s="6387"/>
      <c r="EI82" s="6387"/>
      <c r="EJ82" s="6387"/>
      <c r="EK82" s="6387"/>
      <c r="EL82" s="6387"/>
      <c r="EM82" s="6387"/>
      <c r="EN82" s="6387"/>
      <c r="EO82" s="6387"/>
      <c r="EP82" s="6387"/>
      <c r="EQ82" s="6387"/>
      <c r="ER82" s="6387"/>
      <c r="ES82" s="6387"/>
      <c r="ET82" s="6387"/>
      <c r="EU82" s="6387"/>
      <c r="EV82" s="6387"/>
      <c r="EW82" s="6387"/>
      <c r="EX82" s="6387"/>
      <c r="EY82" s="6387"/>
      <c r="EZ82" s="6387"/>
      <c r="FA82" s="6387"/>
      <c r="FB82" s="6387"/>
      <c r="FC82" s="6387"/>
      <c r="FD82" s="6387"/>
      <c r="FE82" s="6387"/>
      <c r="FF82" s="6387"/>
      <c r="FG82" s="6387"/>
      <c r="FH82" s="6387"/>
      <c r="FI82" s="6387"/>
      <c r="FJ82" s="210"/>
      <c r="FK82" s="6388"/>
      <c r="FL82" s="6388"/>
      <c r="FM82" s="6388"/>
      <c r="FN82" s="6388"/>
      <c r="FO82" s="6388"/>
      <c r="FP82" s="6387"/>
      <c r="FQ82" s="6388"/>
      <c r="FR82" s="6388"/>
      <c r="FS82" s="6388"/>
      <c r="FT82" s="6387"/>
      <c r="FU82" s="210"/>
      <c r="FV82" s="6387"/>
      <c r="FW82" s="6387"/>
      <c r="FX82" s="6387"/>
      <c r="FY82" s="6387"/>
      <c r="FZ82" s="6387"/>
      <c r="GA82" s="210"/>
      <c r="GB82" s="210"/>
      <c r="GC82" s="6387"/>
      <c r="GD82" s="6387"/>
      <c r="GE82" s="6387"/>
      <c r="GF82" s="6387"/>
      <c r="GG82" s="6387"/>
      <c r="GH82" s="210"/>
      <c r="GI82" s="6387"/>
      <c r="GJ82" s="6387"/>
      <c r="GK82" s="6387"/>
      <c r="GL82" s="6387"/>
      <c r="GM82" s="6387"/>
      <c r="GN82" s="6388"/>
      <c r="GO82" s="6388"/>
      <c r="GP82" s="6388"/>
      <c r="GQ82" s="6388"/>
      <c r="GR82" s="6388"/>
      <c r="GS82" s="6387"/>
      <c r="GT82" s="6388"/>
      <c r="GU82" s="6388"/>
      <c r="GV82" s="6388"/>
      <c r="GW82" s="6388"/>
      <c r="GX82" s="6387"/>
      <c r="GY82" s="210"/>
      <c r="GZ82" s="6392"/>
      <c r="HA82" s="6392"/>
      <c r="HB82" s="6392"/>
      <c r="HC82" s="6392"/>
      <c r="HD82" s="210"/>
      <c r="HE82" s="210"/>
      <c r="HF82" s="6388"/>
      <c r="HG82" s="6388"/>
      <c r="HH82" s="6388"/>
      <c r="HI82" s="6388"/>
      <c r="HJ82" s="210"/>
      <c r="HK82" s="210"/>
      <c r="HL82" s="210"/>
      <c r="HM82" s="210"/>
      <c r="HN82" s="210"/>
      <c r="HO82" s="210"/>
      <c r="HP82" s="210"/>
      <c r="HQ82" s="210"/>
      <c r="HR82" s="6388"/>
      <c r="HS82" s="6388"/>
      <c r="HT82" s="6388"/>
      <c r="HU82" s="6388"/>
      <c r="HV82" s="210"/>
      <c r="HW82" s="210"/>
      <c r="HX82" s="210"/>
      <c r="HY82" s="210"/>
      <c r="HZ82" s="210"/>
      <c r="IA82" s="210"/>
      <c r="IB82" s="210"/>
      <c r="IC82" s="210"/>
      <c r="ID82" s="210"/>
      <c r="IE82" s="210"/>
      <c r="IF82" s="210"/>
      <c r="IG82" s="210"/>
      <c r="IH82" s="210"/>
      <c r="II82" s="6387"/>
      <c r="IJ82" s="6388"/>
      <c r="IK82" s="6388"/>
      <c r="IL82" s="6388"/>
      <c r="IM82" s="6388"/>
      <c r="IN82" s="6388"/>
      <c r="IO82" s="6387"/>
      <c r="IP82" s="6387"/>
      <c r="IQ82" s="3708"/>
      <c r="IR82" s="6393"/>
      <c r="IS82" s="6393"/>
      <c r="IT82" s="6387"/>
      <c r="IU82" s="6385"/>
      <c r="IV82" s="6387"/>
      <c r="IW82" s="6387"/>
      <c r="IX82" s="6387"/>
      <c r="IY82" s="6387"/>
      <c r="IZ82" s="6387"/>
      <c r="JA82" s="6387"/>
      <c r="JB82" s="6387"/>
      <c r="JC82" s="3708"/>
      <c r="JD82" s="6387"/>
      <c r="JE82" s="6387"/>
      <c r="JF82" s="6387"/>
      <c r="JG82" s="6387"/>
      <c r="JH82" s="6387"/>
      <c r="JI82" s="6387"/>
      <c r="JJ82" s="6387"/>
      <c r="JK82" s="6387"/>
      <c r="JL82" s="6387"/>
      <c r="JM82" s="6387"/>
      <c r="JN82" s="6387"/>
      <c r="JO82" s="6387"/>
      <c r="JP82" s="6387"/>
      <c r="JQ82" s="6387"/>
      <c r="JR82" s="6387"/>
      <c r="JS82" s="6387"/>
      <c r="JT82" s="6387"/>
      <c r="JU82" s="6387"/>
      <c r="JV82" s="6387"/>
      <c r="JW82" s="6387"/>
      <c r="JX82" s="6387"/>
      <c r="JY82" s="6387"/>
      <c r="JZ82" s="6387"/>
      <c r="KA82" s="6387"/>
      <c r="KB82" s="6387"/>
      <c r="KC82" s="6387"/>
      <c r="KD82" s="6387"/>
      <c r="KE82" s="6387"/>
      <c r="KF82" s="6387"/>
      <c r="KG82" s="6387"/>
      <c r="KH82" s="6387"/>
      <c r="KI82" s="6387"/>
      <c r="KJ82" s="6387"/>
      <c r="KK82" s="6387"/>
      <c r="KL82" s="3708"/>
      <c r="KM82" s="6387"/>
      <c r="KN82" s="6387"/>
      <c r="KO82" s="6387"/>
      <c r="KP82" s="6387"/>
      <c r="KQ82" s="210"/>
      <c r="KR82" s="6387"/>
      <c r="KS82" s="3708"/>
      <c r="KT82" s="6387"/>
      <c r="KU82" s="3708"/>
      <c r="KV82" s="6387"/>
      <c r="KW82" s="3708"/>
      <c r="KX82" s="6387"/>
      <c r="KY82" s="6387"/>
      <c r="KZ82" s="6387"/>
      <c r="LA82" s="6387"/>
      <c r="LB82" s="3708"/>
      <c r="LC82" s="3708"/>
      <c r="LD82" s="3708"/>
      <c r="LE82" s="210"/>
      <c r="LF82" s="6388"/>
      <c r="LG82" s="6388"/>
      <c r="LH82" s="6388"/>
      <c r="LI82" s="210"/>
      <c r="LJ82" s="210"/>
      <c r="LK82" s="210"/>
      <c r="LL82" s="3708"/>
      <c r="LM82" s="3708"/>
      <c r="LN82" s="3708"/>
      <c r="LO82" s="3708"/>
      <c r="LP82" s="3708"/>
      <c r="LQ82" s="6387"/>
      <c r="LR82" s="3708"/>
      <c r="LS82" s="6387"/>
      <c r="LT82" s="6387"/>
      <c r="LU82" s="6387"/>
      <c r="LV82" s="6387"/>
      <c r="LW82" s="6388"/>
      <c r="LX82" s="6388"/>
      <c r="LY82" s="6388"/>
      <c r="LZ82" s="6388"/>
      <c r="MA82" s="6387"/>
      <c r="MB82" s="6387"/>
      <c r="MC82" s="6387"/>
      <c r="MD82" s="6387"/>
      <c r="ME82" s="6387"/>
      <c r="MF82" s="6387"/>
      <c r="MG82" s="6387"/>
      <c r="MH82" s="6387"/>
      <c r="MI82" s="6387"/>
      <c r="MJ82" s="6387"/>
      <c r="MK82" s="6387"/>
      <c r="ML82" s="6387"/>
      <c r="MM82" s="6387"/>
      <c r="MN82" s="6387"/>
      <c r="MO82" s="6387"/>
      <c r="MP82" s="6387"/>
      <c r="MQ82" s="6387"/>
      <c r="MR82" s="6387"/>
      <c r="MS82" s="6390"/>
      <c r="MT82" s="6388"/>
      <c r="MU82" s="6388"/>
      <c r="MV82" s="6387"/>
      <c r="MW82" s="6388"/>
      <c r="MX82" s="6388"/>
      <c r="MY82" s="6388"/>
      <c r="MZ82" s="6388"/>
      <c r="NA82" s="6388"/>
      <c r="NB82" s="6387"/>
      <c r="NC82" s="6387"/>
      <c r="ND82" s="6387"/>
      <c r="NE82" s="6387"/>
      <c r="NF82" s="6387"/>
      <c r="NG82" s="6387"/>
      <c r="NH82" s="6387"/>
      <c r="NI82" s="6387"/>
      <c r="NJ82" s="6387"/>
      <c r="NK82" s="6387"/>
      <c r="NL82" s="6387"/>
      <c r="NM82" s="6387"/>
      <c r="NN82" s="6387"/>
      <c r="NO82" s="6387"/>
      <c r="NP82" s="6387"/>
      <c r="NQ82" s="6387"/>
      <c r="NR82" s="6387"/>
      <c r="NS82" s="6387"/>
      <c r="NT82" s="6387"/>
      <c r="NU82" s="6387"/>
      <c r="NV82" s="6387"/>
      <c r="NW82" s="6387"/>
      <c r="NX82" s="6387"/>
      <c r="NY82" s="6394"/>
      <c r="NZ82" s="6387"/>
      <c r="OA82" s="6387"/>
      <c r="OB82" s="6387"/>
      <c r="OC82" s="6387"/>
      <c r="OD82" s="6387"/>
      <c r="OE82" s="6387"/>
      <c r="OF82" s="6387"/>
      <c r="OG82" s="6387"/>
      <c r="OH82" s="6387"/>
      <c r="OI82" s="6395"/>
      <c r="OJ82" s="3708"/>
      <c r="OK82" s="6387"/>
      <c r="OL82" s="6387"/>
      <c r="OM82" s="6387"/>
      <c r="ON82" s="6387"/>
      <c r="OO82" s="6387"/>
      <c r="OP82" s="6387"/>
      <c r="OQ82" s="6394"/>
      <c r="OR82" s="6387"/>
      <c r="OS82" s="6387"/>
      <c r="OT82" s="6387"/>
      <c r="OU82" s="6387"/>
      <c r="OV82" s="6385"/>
      <c r="OW82" s="6387"/>
      <c r="OX82" s="6387"/>
      <c r="OY82" s="6387"/>
      <c r="OZ82" s="6387"/>
      <c r="PA82" s="6396"/>
      <c r="PB82" s="6387"/>
      <c r="PC82" s="6387"/>
      <c r="PD82" s="6387"/>
      <c r="PE82" s="6387"/>
      <c r="PF82" s="6387"/>
      <c r="PG82" s="6385"/>
      <c r="PH82" s="6387"/>
      <c r="PI82" s="6387"/>
      <c r="PJ82" s="6387"/>
      <c r="PK82" s="6387"/>
      <c r="PL82" s="6387"/>
      <c r="PM82" s="6394"/>
      <c r="PN82" s="6387"/>
      <c r="PO82" s="6387"/>
      <c r="PP82" s="6387"/>
      <c r="PQ82" s="6397"/>
      <c r="PR82" s="6398"/>
      <c r="PS82" s="6387"/>
      <c r="PT82" s="6387"/>
      <c r="PU82" s="6387"/>
      <c r="PV82" s="6387"/>
      <c r="PW82" s="6395"/>
      <c r="PX82" s="6394"/>
      <c r="PY82" s="6387"/>
      <c r="PZ82" s="6387"/>
      <c r="QA82" s="6395"/>
      <c r="QB82" s="6394"/>
      <c r="QC82" s="6387"/>
      <c r="QD82" s="6387"/>
      <c r="QE82" s="6387"/>
      <c r="QF82" s="6397"/>
      <c r="QG82" s="6398"/>
      <c r="QH82" s="6387"/>
      <c r="QI82" s="6387"/>
      <c r="QJ82" s="6387"/>
      <c r="QK82" s="6387"/>
      <c r="QL82" s="6395"/>
      <c r="QM82" s="6394"/>
      <c r="QN82" s="6387"/>
      <c r="QO82" s="6387"/>
      <c r="QP82" s="6387"/>
      <c r="QQ82" s="6387"/>
      <c r="QR82" s="6387"/>
      <c r="QS82" s="6387"/>
      <c r="QT82" s="6387"/>
      <c r="QU82" s="6387"/>
      <c r="QV82" s="6387"/>
      <c r="QW82" s="6395"/>
      <c r="QX82" s="6394"/>
      <c r="QY82" s="6387"/>
      <c r="QZ82" s="6387"/>
      <c r="RA82" s="6387"/>
      <c r="RB82" s="6387"/>
      <c r="RC82" s="6387"/>
      <c r="RD82" s="6387"/>
      <c r="RE82" s="6387"/>
      <c r="RF82" s="6387"/>
      <c r="RG82" s="6387"/>
      <c r="RH82" s="6395"/>
      <c r="RI82" s="6394"/>
      <c r="RJ82" s="6387"/>
      <c r="RK82" s="6387"/>
      <c r="RL82" s="6395"/>
      <c r="RM82" s="6394"/>
      <c r="RN82" s="6387"/>
      <c r="RO82" s="6387"/>
      <c r="RP82" s="6387"/>
      <c r="RQ82" s="6387"/>
      <c r="RR82" s="6395"/>
      <c r="RS82" s="6394"/>
      <c r="RT82" s="6387"/>
      <c r="RU82" s="6387"/>
      <c r="RV82" s="6387"/>
      <c r="RW82" s="6387"/>
      <c r="RX82" s="6387"/>
      <c r="RY82" s="6387"/>
      <c r="RZ82" s="6387"/>
      <c r="SA82" s="6387"/>
      <c r="SB82" s="6387"/>
      <c r="SC82" s="6395"/>
      <c r="SD82" s="6394"/>
      <c r="SE82" s="6387"/>
      <c r="SF82" s="6387"/>
      <c r="SG82" s="6387"/>
      <c r="SH82" s="6399"/>
      <c r="SI82" s="6400"/>
      <c r="SJ82" s="6387"/>
      <c r="SK82" s="210"/>
      <c r="SL82" s="210"/>
      <c r="SM82" s="1870"/>
      <c r="SN82" s="6395"/>
      <c r="SO82" s="6387"/>
      <c r="SP82" s="6387"/>
      <c r="SQ82" s="6387"/>
      <c r="SR82" s="6387"/>
      <c r="SS82" s="6399"/>
      <c r="ST82" s="6400"/>
      <c r="SU82" s="6388">
        <v>454474</v>
      </c>
      <c r="SV82" s="6387"/>
      <c r="SW82" s="6387"/>
      <c r="SX82" s="190">
        <f t="shared" ref="SX82:SX88" si="879">SS82-SUM(SU82:SW82)</f>
        <v>-454474</v>
      </c>
      <c r="SY82" s="5381">
        <v>0</v>
      </c>
      <c r="SZ82" s="6383"/>
      <c r="TA82" s="118">
        <f>SQ82+SF82+RU82</f>
        <v>0</v>
      </c>
      <c r="TB82" s="118">
        <f>SS82+SH82+RW82</f>
        <v>0</v>
      </c>
      <c r="TC82" s="5380">
        <v>0</v>
      </c>
      <c r="TD82" s="6387"/>
      <c r="TE82" s="6449">
        <v>0</v>
      </c>
      <c r="TF82" s="6449">
        <v>0</v>
      </c>
      <c r="TG82" s="6387"/>
      <c r="TH82" s="133">
        <f>TF82-(TE82+TG82)</f>
        <v>0</v>
      </c>
      <c r="TI82" s="6400"/>
      <c r="TJ82" s="6388">
        <v>715297</v>
      </c>
      <c r="TK82" s="6388">
        <v>122890.5</v>
      </c>
      <c r="TL82" s="6388">
        <v>224266.90000000002</v>
      </c>
      <c r="TM82" s="190">
        <f t="shared" ref="TM82:TM88" si="880">TH82-SUM(TJ82:TL82)</f>
        <v>-1062454.3999999999</v>
      </c>
      <c r="TN82" s="5381">
        <v>0</v>
      </c>
      <c r="TO82" s="6382"/>
      <c r="TP82" s="6382"/>
      <c r="TQ82" s="6382"/>
      <c r="TR82" s="6382"/>
      <c r="TS82" s="6382"/>
      <c r="TT82" s="6382"/>
      <c r="TU82" s="6382"/>
      <c r="TV82" s="6382"/>
      <c r="TW82" s="6382"/>
      <c r="TX82" s="6382"/>
      <c r="TY82" s="6382"/>
      <c r="TZ82" s="6383"/>
      <c r="UA82" s="6382"/>
      <c r="UB82" s="6382"/>
      <c r="UC82" s="6382"/>
      <c r="UD82" s="6382"/>
      <c r="UE82" s="6382"/>
      <c r="UF82" s="6382"/>
      <c r="UG82" s="6382"/>
      <c r="UH82" s="6382"/>
      <c r="UI82" s="6382"/>
      <c r="UJ82" s="6384"/>
      <c r="UK82" s="6383"/>
      <c r="UL82" s="191">
        <f>OS82+PD82+PO82+QD82+QO82+QZ82+RU82+SF82+SQ82+TF82+TQ82+UB82</f>
        <v>0</v>
      </c>
      <c r="UM82" s="191">
        <f>OU82+PF82+PQ82+QF82+QQ82+RB82+RW82+SH82+SS82+TH82+TS82+UD82</f>
        <v>0</v>
      </c>
      <c r="UN82" s="152">
        <v>0</v>
      </c>
      <c r="UO82" s="191">
        <f>OZ82+PK82+PV82+QK82+QV82+RG82+SB82+SM82+SX82+TM82+TX82+UI82</f>
        <v>-1516928.4</v>
      </c>
      <c r="UP82" s="5381">
        <v>0</v>
      </c>
    </row>
    <row r="83" spans="1:562" s="65" customFormat="1" x14ac:dyDescent="0.3">
      <c r="A83" s="5316">
        <v>2</v>
      </c>
      <c r="B83" s="5360"/>
      <c r="C83" s="578" t="s">
        <v>1050</v>
      </c>
      <c r="D83" s="578" t="s">
        <v>142</v>
      </c>
      <c r="E83" s="6278" t="s">
        <v>1049</v>
      </c>
      <c r="F83" s="6385"/>
      <c r="G83" s="6386"/>
      <c r="H83" s="6386"/>
      <c r="I83" s="6386"/>
      <c r="J83" s="6385"/>
      <c r="K83" s="6385"/>
      <c r="L83" s="6386"/>
      <c r="M83" s="6386"/>
      <c r="N83" s="6386"/>
      <c r="O83" s="6385"/>
      <c r="P83" s="6385"/>
      <c r="Q83" s="6386"/>
      <c r="R83" s="6386"/>
      <c r="S83" s="6386"/>
      <c r="T83" s="408"/>
      <c r="U83" s="6385"/>
      <c r="V83" s="6385"/>
      <c r="W83" s="6385"/>
      <c r="X83" s="6385"/>
      <c r="Y83" s="6385"/>
      <c r="Z83" s="6385"/>
      <c r="AA83" s="6385"/>
      <c r="AB83" s="6385"/>
      <c r="AC83" s="6385"/>
      <c r="AD83" s="6385"/>
      <c r="AE83" s="6385"/>
      <c r="AF83" s="6385"/>
      <c r="AG83" s="6387"/>
      <c r="AH83" s="6387"/>
      <c r="AI83" s="6387"/>
      <c r="AJ83" s="6387"/>
      <c r="AK83" s="6387"/>
      <c r="AL83" s="6387"/>
      <c r="AM83" s="6388"/>
      <c r="AN83" s="6388"/>
      <c r="AO83" s="6388"/>
      <c r="AP83" s="6388"/>
      <c r="AQ83" s="6388"/>
      <c r="AR83" s="6387"/>
      <c r="AS83" s="6387"/>
      <c r="AT83" s="6387"/>
      <c r="AU83" s="6387"/>
      <c r="AV83" s="6387"/>
      <c r="AW83" s="6387"/>
      <c r="AX83" s="6385"/>
      <c r="AY83" s="6387"/>
      <c r="AZ83" s="6387"/>
      <c r="BA83" s="6387"/>
      <c r="BB83" s="6387"/>
      <c r="BC83" s="6388"/>
      <c r="BD83" s="6388"/>
      <c r="BE83" s="6388"/>
      <c r="BF83" s="6388"/>
      <c r="BG83" s="6388"/>
      <c r="BH83" s="6389"/>
      <c r="BI83" s="6388"/>
      <c r="BJ83" s="6388"/>
      <c r="BK83" s="6388"/>
      <c r="BL83" s="6388"/>
      <c r="BM83" s="6388"/>
      <c r="BN83" s="6389"/>
      <c r="BO83" s="6390"/>
      <c r="BP83" s="6388"/>
      <c r="BQ83" s="6388"/>
      <c r="BR83" s="6388"/>
      <c r="BS83" s="6388"/>
      <c r="BT83" s="6387"/>
      <c r="BU83" s="6387"/>
      <c r="BV83" s="6387"/>
      <c r="BW83" s="6387"/>
      <c r="BX83" s="6387"/>
      <c r="BY83" s="6385"/>
      <c r="BZ83" s="6387"/>
      <c r="CA83" s="6391"/>
      <c r="CB83" s="6391"/>
      <c r="CC83" s="6387"/>
      <c r="CD83" s="210"/>
      <c r="CE83" s="6388"/>
      <c r="CF83" s="6388"/>
      <c r="CG83" s="6388"/>
      <c r="CH83" s="6388"/>
      <c r="CI83" s="6388"/>
      <c r="CJ83" s="210"/>
      <c r="CK83" s="6385"/>
      <c r="CL83" s="6391"/>
      <c r="CM83" s="6391"/>
      <c r="CN83" s="6391"/>
      <c r="CO83" s="6387"/>
      <c r="CP83" s="210"/>
      <c r="CQ83" s="6388"/>
      <c r="CR83" s="6388"/>
      <c r="CS83" s="6388"/>
      <c r="CT83" s="6388"/>
      <c r="CU83" s="6388"/>
      <c r="CV83" s="210"/>
      <c r="CW83" s="210"/>
      <c r="CX83" s="210"/>
      <c r="CY83" s="210"/>
      <c r="CZ83" s="210"/>
      <c r="DA83" s="210"/>
      <c r="DB83" s="210"/>
      <c r="DC83" s="6388"/>
      <c r="DD83" s="6388"/>
      <c r="DE83" s="6388"/>
      <c r="DF83" s="6388"/>
      <c r="DG83" s="6388"/>
      <c r="DH83" s="210"/>
      <c r="DI83" s="210"/>
      <c r="DJ83" s="210"/>
      <c r="DK83" s="210"/>
      <c r="DL83" s="210"/>
      <c r="DM83" s="210"/>
      <c r="DN83" s="210"/>
      <c r="DO83" s="210"/>
      <c r="DP83" s="6387"/>
      <c r="DQ83" s="6388"/>
      <c r="DR83" s="6388"/>
      <c r="DS83" s="210"/>
      <c r="DT83" s="210"/>
      <c r="DU83" s="210"/>
      <c r="DV83" s="6387"/>
      <c r="DW83" s="6387"/>
      <c r="DX83" s="6387"/>
      <c r="DY83" s="6387"/>
      <c r="DZ83" s="6388"/>
      <c r="EA83" s="6388"/>
      <c r="EB83" s="6387"/>
      <c r="EC83" s="6387"/>
      <c r="ED83" s="6387"/>
      <c r="EE83" s="6387"/>
      <c r="EF83" s="6387"/>
      <c r="EG83" s="6387"/>
      <c r="EH83" s="6387"/>
      <c r="EI83" s="6387"/>
      <c r="EJ83" s="6387"/>
      <c r="EK83" s="6387"/>
      <c r="EL83" s="6387"/>
      <c r="EM83" s="6387"/>
      <c r="EN83" s="6387"/>
      <c r="EO83" s="6387"/>
      <c r="EP83" s="6387"/>
      <c r="EQ83" s="6387"/>
      <c r="ER83" s="6387"/>
      <c r="ES83" s="6387"/>
      <c r="ET83" s="6387"/>
      <c r="EU83" s="6387"/>
      <c r="EV83" s="6387"/>
      <c r="EW83" s="6387"/>
      <c r="EX83" s="6387"/>
      <c r="EY83" s="6387"/>
      <c r="EZ83" s="6387"/>
      <c r="FA83" s="6387"/>
      <c r="FB83" s="6387"/>
      <c r="FC83" s="6387"/>
      <c r="FD83" s="6387"/>
      <c r="FE83" s="6387"/>
      <c r="FF83" s="6387"/>
      <c r="FG83" s="6387"/>
      <c r="FH83" s="6387"/>
      <c r="FI83" s="6387"/>
      <c r="FJ83" s="210"/>
      <c r="FK83" s="6388"/>
      <c r="FL83" s="6388"/>
      <c r="FM83" s="6388"/>
      <c r="FN83" s="6388"/>
      <c r="FO83" s="6388"/>
      <c r="FP83" s="6387"/>
      <c r="FQ83" s="6388"/>
      <c r="FR83" s="6388"/>
      <c r="FS83" s="6388"/>
      <c r="FT83" s="6387"/>
      <c r="FU83" s="210"/>
      <c r="FV83" s="6387"/>
      <c r="FW83" s="6387"/>
      <c r="FX83" s="6387"/>
      <c r="FY83" s="6387"/>
      <c r="FZ83" s="6387"/>
      <c r="GA83" s="210"/>
      <c r="GB83" s="210"/>
      <c r="GC83" s="6387"/>
      <c r="GD83" s="6387"/>
      <c r="GE83" s="6387"/>
      <c r="GF83" s="6387"/>
      <c r="GG83" s="6387"/>
      <c r="GH83" s="210"/>
      <c r="GI83" s="6387"/>
      <c r="GJ83" s="6387"/>
      <c r="GK83" s="6387"/>
      <c r="GL83" s="6387"/>
      <c r="GM83" s="6387"/>
      <c r="GN83" s="6388"/>
      <c r="GO83" s="6388"/>
      <c r="GP83" s="6388"/>
      <c r="GQ83" s="6388"/>
      <c r="GR83" s="6388"/>
      <c r="GS83" s="6387"/>
      <c r="GT83" s="6388"/>
      <c r="GU83" s="6388"/>
      <c r="GV83" s="6388"/>
      <c r="GW83" s="6388"/>
      <c r="GX83" s="6387"/>
      <c r="GY83" s="210"/>
      <c r="GZ83" s="6392"/>
      <c r="HA83" s="6392"/>
      <c r="HB83" s="6392"/>
      <c r="HC83" s="6392"/>
      <c r="HD83" s="210"/>
      <c r="HE83" s="210"/>
      <c r="HF83" s="6388"/>
      <c r="HG83" s="6388"/>
      <c r="HH83" s="6388"/>
      <c r="HI83" s="6388"/>
      <c r="HJ83" s="210"/>
      <c r="HK83" s="210"/>
      <c r="HL83" s="210"/>
      <c r="HM83" s="210"/>
      <c r="HN83" s="210"/>
      <c r="HO83" s="210"/>
      <c r="HP83" s="210"/>
      <c r="HQ83" s="210"/>
      <c r="HR83" s="6388"/>
      <c r="HS83" s="6388"/>
      <c r="HT83" s="6388"/>
      <c r="HU83" s="6388"/>
      <c r="HV83" s="210"/>
      <c r="HW83" s="210"/>
      <c r="HX83" s="210"/>
      <c r="HY83" s="210"/>
      <c r="HZ83" s="210"/>
      <c r="IA83" s="210"/>
      <c r="IB83" s="210"/>
      <c r="IC83" s="210"/>
      <c r="ID83" s="210"/>
      <c r="IE83" s="210"/>
      <c r="IF83" s="210"/>
      <c r="IG83" s="210"/>
      <c r="IH83" s="210"/>
      <c r="II83" s="6387"/>
      <c r="IJ83" s="6388"/>
      <c r="IK83" s="6388"/>
      <c r="IL83" s="6388"/>
      <c r="IM83" s="6388"/>
      <c r="IN83" s="6388"/>
      <c r="IO83" s="6387"/>
      <c r="IP83" s="6387"/>
      <c r="IQ83" s="3708"/>
      <c r="IR83" s="6393"/>
      <c r="IS83" s="6393"/>
      <c r="IT83" s="6387"/>
      <c r="IU83" s="6385"/>
      <c r="IV83" s="6387"/>
      <c r="IW83" s="6387"/>
      <c r="IX83" s="6387"/>
      <c r="IY83" s="6387"/>
      <c r="IZ83" s="6387"/>
      <c r="JA83" s="6387"/>
      <c r="JB83" s="6387"/>
      <c r="JC83" s="3708"/>
      <c r="JD83" s="6387"/>
      <c r="JE83" s="6387"/>
      <c r="JF83" s="6387"/>
      <c r="JG83" s="6387"/>
      <c r="JH83" s="6387"/>
      <c r="JI83" s="6387"/>
      <c r="JJ83" s="6387"/>
      <c r="JK83" s="6387"/>
      <c r="JL83" s="6387"/>
      <c r="JM83" s="6387"/>
      <c r="JN83" s="6387"/>
      <c r="JO83" s="6387"/>
      <c r="JP83" s="6387"/>
      <c r="JQ83" s="6387"/>
      <c r="JR83" s="6387"/>
      <c r="JS83" s="6387"/>
      <c r="JT83" s="6387"/>
      <c r="JU83" s="6387"/>
      <c r="JV83" s="6387"/>
      <c r="JW83" s="6387"/>
      <c r="JX83" s="6387"/>
      <c r="JY83" s="6387"/>
      <c r="JZ83" s="6387"/>
      <c r="KA83" s="6387"/>
      <c r="KB83" s="6387"/>
      <c r="KC83" s="6387"/>
      <c r="KD83" s="6387"/>
      <c r="KE83" s="6387"/>
      <c r="KF83" s="6387"/>
      <c r="KG83" s="6387"/>
      <c r="KH83" s="6387"/>
      <c r="KI83" s="6387"/>
      <c r="KJ83" s="6387"/>
      <c r="KK83" s="6387"/>
      <c r="KL83" s="3708"/>
      <c r="KM83" s="6387"/>
      <c r="KN83" s="6387"/>
      <c r="KO83" s="6387"/>
      <c r="KP83" s="6387"/>
      <c r="KQ83" s="210"/>
      <c r="KR83" s="6387"/>
      <c r="KS83" s="3708"/>
      <c r="KT83" s="6387"/>
      <c r="KU83" s="3708"/>
      <c r="KV83" s="6387"/>
      <c r="KW83" s="3708"/>
      <c r="KX83" s="6387"/>
      <c r="KY83" s="6387"/>
      <c r="KZ83" s="6387"/>
      <c r="LA83" s="6387"/>
      <c r="LB83" s="3708"/>
      <c r="LC83" s="3708"/>
      <c r="LD83" s="3708"/>
      <c r="LE83" s="210"/>
      <c r="LF83" s="6388"/>
      <c r="LG83" s="6388"/>
      <c r="LH83" s="6388"/>
      <c r="LI83" s="210"/>
      <c r="LJ83" s="210"/>
      <c r="LK83" s="210"/>
      <c r="LL83" s="3708"/>
      <c r="LM83" s="3708"/>
      <c r="LN83" s="3708"/>
      <c r="LO83" s="3708"/>
      <c r="LP83" s="3708"/>
      <c r="LQ83" s="6387"/>
      <c r="LR83" s="3708"/>
      <c r="LS83" s="6387"/>
      <c r="LT83" s="6387"/>
      <c r="LU83" s="6387"/>
      <c r="LV83" s="6387"/>
      <c r="LW83" s="6388"/>
      <c r="LX83" s="6388"/>
      <c r="LY83" s="6388"/>
      <c r="LZ83" s="6388"/>
      <c r="MA83" s="6387"/>
      <c r="MB83" s="6387"/>
      <c r="MC83" s="6387"/>
      <c r="MD83" s="6387"/>
      <c r="ME83" s="6387"/>
      <c r="MF83" s="6387"/>
      <c r="MG83" s="6387"/>
      <c r="MH83" s="6387"/>
      <c r="MI83" s="6387"/>
      <c r="MJ83" s="6387"/>
      <c r="MK83" s="6387"/>
      <c r="ML83" s="6387"/>
      <c r="MM83" s="6387"/>
      <c r="MN83" s="6387"/>
      <c r="MO83" s="6387"/>
      <c r="MP83" s="6387"/>
      <c r="MQ83" s="6387"/>
      <c r="MR83" s="6387"/>
      <c r="MS83" s="6390"/>
      <c r="MT83" s="6388"/>
      <c r="MU83" s="6388"/>
      <c r="MV83" s="6387"/>
      <c r="MW83" s="6388"/>
      <c r="MX83" s="6388"/>
      <c r="MY83" s="6388"/>
      <c r="MZ83" s="6388"/>
      <c r="NA83" s="6388"/>
      <c r="NB83" s="6387"/>
      <c r="NC83" s="6387"/>
      <c r="ND83" s="6387"/>
      <c r="NE83" s="6387"/>
      <c r="NF83" s="6387"/>
      <c r="NG83" s="6387"/>
      <c r="NH83" s="6387"/>
      <c r="NI83" s="6387"/>
      <c r="NJ83" s="6387"/>
      <c r="NK83" s="6387"/>
      <c r="NL83" s="6387"/>
      <c r="NM83" s="6387"/>
      <c r="NN83" s="6387"/>
      <c r="NO83" s="6387"/>
      <c r="NP83" s="6387"/>
      <c r="NQ83" s="6387"/>
      <c r="NR83" s="6387"/>
      <c r="NS83" s="6387"/>
      <c r="NT83" s="6387"/>
      <c r="NU83" s="6387"/>
      <c r="NV83" s="6387"/>
      <c r="NW83" s="6387"/>
      <c r="NX83" s="6387"/>
      <c r="NY83" s="6394"/>
      <c r="NZ83" s="6387"/>
      <c r="OA83" s="6387"/>
      <c r="OB83" s="6387"/>
      <c r="OC83" s="6387"/>
      <c r="OD83" s="6387"/>
      <c r="OE83" s="6387"/>
      <c r="OF83" s="6387"/>
      <c r="OG83" s="6387"/>
      <c r="OH83" s="6387"/>
      <c r="OI83" s="6395"/>
      <c r="OJ83" s="3708"/>
      <c r="OK83" s="6387"/>
      <c r="OL83" s="6387"/>
      <c r="OM83" s="6387"/>
      <c r="ON83" s="6387"/>
      <c r="OO83" s="6387"/>
      <c r="OP83" s="6387"/>
      <c r="OQ83" s="6394"/>
      <c r="OR83" s="6387"/>
      <c r="OS83" s="6387"/>
      <c r="OT83" s="6387"/>
      <c r="OU83" s="6387"/>
      <c r="OV83" s="6385"/>
      <c r="OW83" s="6387"/>
      <c r="OX83" s="6387"/>
      <c r="OY83" s="6387"/>
      <c r="OZ83" s="6387"/>
      <c r="PA83" s="6396"/>
      <c r="PB83" s="6387"/>
      <c r="PC83" s="6387"/>
      <c r="PD83" s="6387"/>
      <c r="PE83" s="6387"/>
      <c r="PF83" s="6387"/>
      <c r="PG83" s="6385"/>
      <c r="PH83" s="6387"/>
      <c r="PI83" s="6387"/>
      <c r="PJ83" s="6387"/>
      <c r="PK83" s="6387"/>
      <c r="PL83" s="6387"/>
      <c r="PM83" s="6394"/>
      <c r="PN83" s="6387"/>
      <c r="PO83" s="6387"/>
      <c r="PP83" s="6387"/>
      <c r="PQ83" s="6397"/>
      <c r="PR83" s="6398"/>
      <c r="PS83" s="6387"/>
      <c r="PT83" s="6387"/>
      <c r="PU83" s="6387"/>
      <c r="PV83" s="6387"/>
      <c r="PW83" s="6395"/>
      <c r="PX83" s="6394"/>
      <c r="PY83" s="6387"/>
      <c r="PZ83" s="6387"/>
      <c r="QA83" s="6395"/>
      <c r="QB83" s="6394"/>
      <c r="QC83" s="6387"/>
      <c r="QD83" s="6387"/>
      <c r="QE83" s="6387"/>
      <c r="QF83" s="6397"/>
      <c r="QG83" s="6398"/>
      <c r="QH83" s="6387"/>
      <c r="QI83" s="6387"/>
      <c r="QJ83" s="6387"/>
      <c r="QK83" s="6387"/>
      <c r="QL83" s="6395"/>
      <c r="QM83" s="6394"/>
      <c r="QN83" s="6387"/>
      <c r="QO83" s="6387"/>
      <c r="QP83" s="6387"/>
      <c r="QQ83" s="6387"/>
      <c r="QR83" s="6387"/>
      <c r="QS83" s="6387"/>
      <c r="QT83" s="6387"/>
      <c r="QU83" s="6387"/>
      <c r="QV83" s="6387"/>
      <c r="QW83" s="6395"/>
      <c r="QX83" s="6394"/>
      <c r="QY83" s="6387"/>
      <c r="QZ83" s="6387"/>
      <c r="RA83" s="6387"/>
      <c r="RB83" s="6387"/>
      <c r="RC83" s="6387"/>
      <c r="RD83" s="6387"/>
      <c r="RE83" s="6387"/>
      <c r="RF83" s="6387"/>
      <c r="RG83" s="6387"/>
      <c r="RH83" s="6395"/>
      <c r="RI83" s="6394"/>
      <c r="RJ83" s="6387"/>
      <c r="RK83" s="6387"/>
      <c r="RL83" s="6395"/>
      <c r="RM83" s="6394"/>
      <c r="RN83" s="6387"/>
      <c r="RO83" s="6387"/>
      <c r="RP83" s="6387"/>
      <c r="RQ83" s="6387"/>
      <c r="RR83" s="6395"/>
      <c r="RS83" s="6394"/>
      <c r="RT83" s="6387"/>
      <c r="RU83" s="6387"/>
      <c r="RV83" s="6387"/>
      <c r="RW83" s="6387"/>
      <c r="RX83" s="6387"/>
      <c r="RY83" s="6387"/>
      <c r="RZ83" s="6387"/>
      <c r="SA83" s="6387"/>
      <c r="SB83" s="6387"/>
      <c r="SC83" s="6395"/>
      <c r="SD83" s="6394"/>
      <c r="SE83" s="6387"/>
      <c r="SF83" s="6387"/>
      <c r="SG83" s="6387"/>
      <c r="SH83" s="6399"/>
      <c r="SI83" s="6400"/>
      <c r="SJ83" s="6387"/>
      <c r="SK83" s="210"/>
      <c r="SL83" s="210"/>
      <c r="SM83" s="1870"/>
      <c r="SN83" s="6395"/>
      <c r="SO83" s="6387"/>
      <c r="SP83" s="6387"/>
      <c r="SQ83" s="6387"/>
      <c r="SR83" s="6387"/>
      <c r="SS83" s="6399"/>
      <c r="ST83" s="6400"/>
      <c r="SU83" s="6449">
        <v>0</v>
      </c>
      <c r="SV83" s="6387"/>
      <c r="SW83" s="6387"/>
      <c r="SX83" s="190">
        <f t="shared" si="879"/>
        <v>0</v>
      </c>
      <c r="SY83" s="5381">
        <v>0</v>
      </c>
      <c r="SZ83" s="6394"/>
      <c r="TA83" s="118">
        <f t="shared" ref="TA83:TA88" si="881">SQ83+SF83+RU83</f>
        <v>0</v>
      </c>
      <c r="TB83" s="118">
        <f t="shared" ref="TB83:TB88" si="882">SS83+SH83+RW83</f>
        <v>0</v>
      </c>
      <c r="TC83" s="5380">
        <v>0</v>
      </c>
      <c r="TD83" s="6387"/>
      <c r="TE83" s="6449">
        <v>0</v>
      </c>
      <c r="TF83" s="6449">
        <v>0</v>
      </c>
      <c r="TG83" s="6387"/>
      <c r="TH83" s="133">
        <f t="shared" ref="TH83:TH89" si="883">TF83-(TE83+TG83)</f>
        <v>0</v>
      </c>
      <c r="TI83" s="6400"/>
      <c r="TJ83" s="6449">
        <v>0</v>
      </c>
      <c r="TK83" s="6449">
        <v>0</v>
      </c>
      <c r="TL83" s="6449">
        <v>0</v>
      </c>
      <c r="TM83" s="190">
        <f t="shared" si="880"/>
        <v>0</v>
      </c>
      <c r="TN83" s="5381">
        <v>0</v>
      </c>
      <c r="TO83" s="6387"/>
      <c r="TP83" s="6387"/>
      <c r="TQ83" s="6387"/>
      <c r="TR83" s="6387"/>
      <c r="TS83" s="6387"/>
      <c r="TT83" s="6387"/>
      <c r="TU83" s="6387"/>
      <c r="TV83" s="6387"/>
      <c r="TW83" s="6387"/>
      <c r="TX83" s="6387"/>
      <c r="TY83" s="6387"/>
      <c r="TZ83" s="6394"/>
      <c r="UA83" s="6387"/>
      <c r="UB83" s="6387"/>
      <c r="UC83" s="6387"/>
      <c r="UD83" s="6387"/>
      <c r="UE83" s="6387"/>
      <c r="UF83" s="6387"/>
      <c r="UG83" s="6387"/>
      <c r="UH83" s="6387"/>
      <c r="UI83" s="6387"/>
      <c r="UJ83" s="6395"/>
      <c r="UK83" s="6394"/>
      <c r="UL83" s="191">
        <f t="shared" ref="UL83:UL89" si="884">OS83+PD83+PO83+QD83+QO83+QZ83+RU83+SF83+SQ83+TF83+TQ83+UB83</f>
        <v>0</v>
      </c>
      <c r="UM83" s="191">
        <f t="shared" ref="UM83:UM89" si="885">OU83+PF83+PQ83+QF83+QQ83+RB83+RW83+SH83+SS83+TH83+TS83+UD83</f>
        <v>0</v>
      </c>
      <c r="UN83" s="152">
        <v>0</v>
      </c>
      <c r="UO83" s="191">
        <f t="shared" ref="UO83:UO89" si="886">OZ83+PK83+PV83+QK83+QV83+RG83+SB83+SM83+SX83+TM83+TX83+UI83</f>
        <v>0</v>
      </c>
      <c r="UP83" s="5381">
        <v>0</v>
      </c>
    </row>
    <row r="84" spans="1:562" s="65" customFormat="1" x14ac:dyDescent="0.3">
      <c r="A84" s="5316">
        <v>3</v>
      </c>
      <c r="B84" s="5360"/>
      <c r="C84" s="578" t="s">
        <v>1050</v>
      </c>
      <c r="D84" s="578" t="s">
        <v>142</v>
      </c>
      <c r="E84" s="6278" t="s">
        <v>1049</v>
      </c>
      <c r="F84" s="6385"/>
      <c r="G84" s="6386"/>
      <c r="H84" s="6386"/>
      <c r="I84" s="6386"/>
      <c r="J84" s="6385"/>
      <c r="K84" s="6385"/>
      <c r="L84" s="6386"/>
      <c r="M84" s="6386"/>
      <c r="N84" s="6386"/>
      <c r="O84" s="6385"/>
      <c r="P84" s="6385"/>
      <c r="Q84" s="6386"/>
      <c r="R84" s="6386"/>
      <c r="S84" s="6386"/>
      <c r="T84" s="408"/>
      <c r="U84" s="6385"/>
      <c r="V84" s="6385"/>
      <c r="W84" s="6385"/>
      <c r="X84" s="6385"/>
      <c r="Y84" s="6385"/>
      <c r="Z84" s="6385"/>
      <c r="AA84" s="6385"/>
      <c r="AB84" s="6385"/>
      <c r="AC84" s="6385"/>
      <c r="AD84" s="6385"/>
      <c r="AE84" s="6385"/>
      <c r="AF84" s="6385"/>
      <c r="AG84" s="6387"/>
      <c r="AH84" s="6387"/>
      <c r="AI84" s="6387"/>
      <c r="AJ84" s="6387"/>
      <c r="AK84" s="6387"/>
      <c r="AL84" s="6387"/>
      <c r="AM84" s="6388"/>
      <c r="AN84" s="6388"/>
      <c r="AO84" s="6388"/>
      <c r="AP84" s="6388"/>
      <c r="AQ84" s="6388"/>
      <c r="AR84" s="6387"/>
      <c r="AS84" s="6387"/>
      <c r="AT84" s="6387"/>
      <c r="AU84" s="6387"/>
      <c r="AV84" s="6387"/>
      <c r="AW84" s="6387"/>
      <c r="AX84" s="6385"/>
      <c r="AY84" s="6387"/>
      <c r="AZ84" s="6387"/>
      <c r="BA84" s="6387"/>
      <c r="BB84" s="6387"/>
      <c r="BC84" s="6388"/>
      <c r="BD84" s="6388"/>
      <c r="BE84" s="6388"/>
      <c r="BF84" s="6388"/>
      <c r="BG84" s="6388"/>
      <c r="BH84" s="6389"/>
      <c r="BI84" s="6388"/>
      <c r="BJ84" s="6388"/>
      <c r="BK84" s="6388"/>
      <c r="BL84" s="6388"/>
      <c r="BM84" s="6388"/>
      <c r="BN84" s="6389"/>
      <c r="BO84" s="6390"/>
      <c r="BP84" s="6388"/>
      <c r="BQ84" s="6388"/>
      <c r="BR84" s="6388"/>
      <c r="BS84" s="6388"/>
      <c r="BT84" s="6387"/>
      <c r="BU84" s="6387"/>
      <c r="BV84" s="6387"/>
      <c r="BW84" s="6387"/>
      <c r="BX84" s="6387"/>
      <c r="BY84" s="6385"/>
      <c r="BZ84" s="6387"/>
      <c r="CA84" s="6391"/>
      <c r="CB84" s="6391"/>
      <c r="CC84" s="6387"/>
      <c r="CD84" s="210"/>
      <c r="CE84" s="6388"/>
      <c r="CF84" s="6388"/>
      <c r="CG84" s="6388"/>
      <c r="CH84" s="6388"/>
      <c r="CI84" s="6388"/>
      <c r="CJ84" s="210"/>
      <c r="CK84" s="6385"/>
      <c r="CL84" s="6391"/>
      <c r="CM84" s="6391"/>
      <c r="CN84" s="6391"/>
      <c r="CO84" s="6387"/>
      <c r="CP84" s="210"/>
      <c r="CQ84" s="6388"/>
      <c r="CR84" s="6388"/>
      <c r="CS84" s="6388"/>
      <c r="CT84" s="6388"/>
      <c r="CU84" s="6388"/>
      <c r="CV84" s="210"/>
      <c r="CW84" s="210"/>
      <c r="CX84" s="210"/>
      <c r="CY84" s="210"/>
      <c r="CZ84" s="210"/>
      <c r="DA84" s="210"/>
      <c r="DB84" s="210"/>
      <c r="DC84" s="6388"/>
      <c r="DD84" s="6388"/>
      <c r="DE84" s="6388"/>
      <c r="DF84" s="6388"/>
      <c r="DG84" s="6388"/>
      <c r="DH84" s="210"/>
      <c r="DI84" s="210"/>
      <c r="DJ84" s="210"/>
      <c r="DK84" s="210"/>
      <c r="DL84" s="210"/>
      <c r="DM84" s="210"/>
      <c r="DN84" s="210"/>
      <c r="DO84" s="210"/>
      <c r="DP84" s="6387"/>
      <c r="DQ84" s="6388"/>
      <c r="DR84" s="6388"/>
      <c r="DS84" s="210"/>
      <c r="DT84" s="210"/>
      <c r="DU84" s="210"/>
      <c r="DV84" s="6387"/>
      <c r="DW84" s="6387"/>
      <c r="DX84" s="6387"/>
      <c r="DY84" s="6387"/>
      <c r="DZ84" s="6388"/>
      <c r="EA84" s="6388"/>
      <c r="EB84" s="6387"/>
      <c r="EC84" s="6387"/>
      <c r="ED84" s="6387"/>
      <c r="EE84" s="6387"/>
      <c r="EF84" s="6387"/>
      <c r="EG84" s="6387"/>
      <c r="EH84" s="6387"/>
      <c r="EI84" s="6387"/>
      <c r="EJ84" s="6387"/>
      <c r="EK84" s="6387"/>
      <c r="EL84" s="6387"/>
      <c r="EM84" s="6387"/>
      <c r="EN84" s="6387"/>
      <c r="EO84" s="6387"/>
      <c r="EP84" s="6387"/>
      <c r="EQ84" s="6387"/>
      <c r="ER84" s="6387"/>
      <c r="ES84" s="6387"/>
      <c r="ET84" s="6387"/>
      <c r="EU84" s="6387"/>
      <c r="EV84" s="6387"/>
      <c r="EW84" s="6387"/>
      <c r="EX84" s="6387"/>
      <c r="EY84" s="6387"/>
      <c r="EZ84" s="6387"/>
      <c r="FA84" s="6387"/>
      <c r="FB84" s="6387"/>
      <c r="FC84" s="6387"/>
      <c r="FD84" s="6387"/>
      <c r="FE84" s="6387"/>
      <c r="FF84" s="6387"/>
      <c r="FG84" s="6387"/>
      <c r="FH84" s="6387"/>
      <c r="FI84" s="6387"/>
      <c r="FJ84" s="210"/>
      <c r="FK84" s="6388"/>
      <c r="FL84" s="6388"/>
      <c r="FM84" s="6388"/>
      <c r="FN84" s="6388"/>
      <c r="FO84" s="6388"/>
      <c r="FP84" s="6387"/>
      <c r="FQ84" s="6388"/>
      <c r="FR84" s="6388"/>
      <c r="FS84" s="6388"/>
      <c r="FT84" s="6387"/>
      <c r="FU84" s="210"/>
      <c r="FV84" s="6387"/>
      <c r="FW84" s="6387"/>
      <c r="FX84" s="6387"/>
      <c r="FY84" s="6387"/>
      <c r="FZ84" s="6387"/>
      <c r="GA84" s="210"/>
      <c r="GB84" s="210"/>
      <c r="GC84" s="6387"/>
      <c r="GD84" s="6387"/>
      <c r="GE84" s="6387"/>
      <c r="GF84" s="6387"/>
      <c r="GG84" s="6387"/>
      <c r="GH84" s="210"/>
      <c r="GI84" s="6387"/>
      <c r="GJ84" s="6387"/>
      <c r="GK84" s="6387"/>
      <c r="GL84" s="6387"/>
      <c r="GM84" s="6387"/>
      <c r="GN84" s="6388"/>
      <c r="GO84" s="6388"/>
      <c r="GP84" s="6388"/>
      <c r="GQ84" s="6388"/>
      <c r="GR84" s="6388"/>
      <c r="GS84" s="6387"/>
      <c r="GT84" s="6388"/>
      <c r="GU84" s="6388"/>
      <c r="GV84" s="6388"/>
      <c r="GW84" s="6388"/>
      <c r="GX84" s="6387"/>
      <c r="GY84" s="210"/>
      <c r="GZ84" s="6392"/>
      <c r="HA84" s="6392"/>
      <c r="HB84" s="6392"/>
      <c r="HC84" s="6392"/>
      <c r="HD84" s="210"/>
      <c r="HE84" s="210"/>
      <c r="HF84" s="6388"/>
      <c r="HG84" s="6388"/>
      <c r="HH84" s="6388"/>
      <c r="HI84" s="6388"/>
      <c r="HJ84" s="210"/>
      <c r="HK84" s="210"/>
      <c r="HL84" s="210"/>
      <c r="HM84" s="210"/>
      <c r="HN84" s="210"/>
      <c r="HO84" s="210"/>
      <c r="HP84" s="210"/>
      <c r="HQ84" s="210"/>
      <c r="HR84" s="6388"/>
      <c r="HS84" s="6388"/>
      <c r="HT84" s="6388"/>
      <c r="HU84" s="6388"/>
      <c r="HV84" s="210"/>
      <c r="HW84" s="210"/>
      <c r="HX84" s="210"/>
      <c r="HY84" s="210"/>
      <c r="HZ84" s="210"/>
      <c r="IA84" s="210"/>
      <c r="IB84" s="210"/>
      <c r="IC84" s="210"/>
      <c r="ID84" s="210"/>
      <c r="IE84" s="210"/>
      <c r="IF84" s="210"/>
      <c r="IG84" s="210"/>
      <c r="IH84" s="210"/>
      <c r="II84" s="6387"/>
      <c r="IJ84" s="6388"/>
      <c r="IK84" s="6388"/>
      <c r="IL84" s="6388"/>
      <c r="IM84" s="6388"/>
      <c r="IN84" s="6388"/>
      <c r="IO84" s="6387"/>
      <c r="IP84" s="6387"/>
      <c r="IQ84" s="3708"/>
      <c r="IR84" s="6393"/>
      <c r="IS84" s="6393"/>
      <c r="IT84" s="6387"/>
      <c r="IU84" s="6385"/>
      <c r="IV84" s="6387"/>
      <c r="IW84" s="6387"/>
      <c r="IX84" s="6387"/>
      <c r="IY84" s="6387"/>
      <c r="IZ84" s="6387"/>
      <c r="JA84" s="6387"/>
      <c r="JB84" s="6387"/>
      <c r="JC84" s="3708"/>
      <c r="JD84" s="6387"/>
      <c r="JE84" s="6387"/>
      <c r="JF84" s="6387"/>
      <c r="JG84" s="6387"/>
      <c r="JH84" s="6387"/>
      <c r="JI84" s="6387"/>
      <c r="JJ84" s="6387"/>
      <c r="JK84" s="6387"/>
      <c r="JL84" s="6387"/>
      <c r="JM84" s="6387"/>
      <c r="JN84" s="6387"/>
      <c r="JO84" s="6387"/>
      <c r="JP84" s="6387"/>
      <c r="JQ84" s="6387"/>
      <c r="JR84" s="6387"/>
      <c r="JS84" s="6387"/>
      <c r="JT84" s="6387"/>
      <c r="JU84" s="6387"/>
      <c r="JV84" s="6387"/>
      <c r="JW84" s="6387"/>
      <c r="JX84" s="6387"/>
      <c r="JY84" s="6387"/>
      <c r="JZ84" s="6387"/>
      <c r="KA84" s="6387"/>
      <c r="KB84" s="6387"/>
      <c r="KC84" s="6387"/>
      <c r="KD84" s="6387"/>
      <c r="KE84" s="6387"/>
      <c r="KF84" s="6387"/>
      <c r="KG84" s="6387"/>
      <c r="KH84" s="6387"/>
      <c r="KI84" s="6387"/>
      <c r="KJ84" s="6387"/>
      <c r="KK84" s="6387"/>
      <c r="KL84" s="3708"/>
      <c r="KM84" s="6387"/>
      <c r="KN84" s="6387"/>
      <c r="KO84" s="6387"/>
      <c r="KP84" s="6387"/>
      <c r="KQ84" s="210"/>
      <c r="KR84" s="6387"/>
      <c r="KS84" s="3708"/>
      <c r="KT84" s="6387"/>
      <c r="KU84" s="3708"/>
      <c r="KV84" s="6387"/>
      <c r="KW84" s="3708"/>
      <c r="KX84" s="6387"/>
      <c r="KY84" s="6387"/>
      <c r="KZ84" s="6387"/>
      <c r="LA84" s="6387"/>
      <c r="LB84" s="3708"/>
      <c r="LC84" s="3708"/>
      <c r="LD84" s="3708"/>
      <c r="LE84" s="210"/>
      <c r="LF84" s="6388"/>
      <c r="LG84" s="6388"/>
      <c r="LH84" s="6388"/>
      <c r="LI84" s="210"/>
      <c r="LJ84" s="210"/>
      <c r="LK84" s="210"/>
      <c r="LL84" s="3708"/>
      <c r="LM84" s="3708"/>
      <c r="LN84" s="3708"/>
      <c r="LO84" s="3708"/>
      <c r="LP84" s="3708"/>
      <c r="LQ84" s="6387"/>
      <c r="LR84" s="3708"/>
      <c r="LS84" s="6387"/>
      <c r="LT84" s="6387"/>
      <c r="LU84" s="6387"/>
      <c r="LV84" s="6387"/>
      <c r="LW84" s="6388"/>
      <c r="LX84" s="6388"/>
      <c r="LY84" s="6388"/>
      <c r="LZ84" s="6388"/>
      <c r="MA84" s="6387"/>
      <c r="MB84" s="6387"/>
      <c r="MC84" s="6387"/>
      <c r="MD84" s="6387"/>
      <c r="ME84" s="6387"/>
      <c r="MF84" s="6387"/>
      <c r="MG84" s="6387"/>
      <c r="MH84" s="6387"/>
      <c r="MI84" s="6387"/>
      <c r="MJ84" s="6387"/>
      <c r="MK84" s="6387"/>
      <c r="ML84" s="6387"/>
      <c r="MM84" s="6387"/>
      <c r="MN84" s="6387"/>
      <c r="MO84" s="6387"/>
      <c r="MP84" s="6387"/>
      <c r="MQ84" s="6387"/>
      <c r="MR84" s="6387"/>
      <c r="MS84" s="6390"/>
      <c r="MT84" s="6388"/>
      <c r="MU84" s="6388"/>
      <c r="MV84" s="6387"/>
      <c r="MW84" s="6388"/>
      <c r="MX84" s="6388"/>
      <c r="MY84" s="6388"/>
      <c r="MZ84" s="6388"/>
      <c r="NA84" s="6388"/>
      <c r="NB84" s="6387"/>
      <c r="NC84" s="6387"/>
      <c r="ND84" s="6387"/>
      <c r="NE84" s="6387"/>
      <c r="NF84" s="6387"/>
      <c r="NG84" s="6387"/>
      <c r="NH84" s="6387"/>
      <c r="NI84" s="6387"/>
      <c r="NJ84" s="6387"/>
      <c r="NK84" s="6387"/>
      <c r="NL84" s="6387"/>
      <c r="NM84" s="6387"/>
      <c r="NN84" s="6387"/>
      <c r="NO84" s="6387"/>
      <c r="NP84" s="6387"/>
      <c r="NQ84" s="6387"/>
      <c r="NR84" s="6387"/>
      <c r="NS84" s="6387"/>
      <c r="NT84" s="6387"/>
      <c r="NU84" s="6387"/>
      <c r="NV84" s="6387"/>
      <c r="NW84" s="6387"/>
      <c r="NX84" s="6387"/>
      <c r="NY84" s="6394"/>
      <c r="NZ84" s="6387"/>
      <c r="OA84" s="6387"/>
      <c r="OB84" s="6387"/>
      <c r="OC84" s="6387"/>
      <c r="OD84" s="6387"/>
      <c r="OE84" s="6387"/>
      <c r="OF84" s="6387"/>
      <c r="OG84" s="6387"/>
      <c r="OH84" s="6387"/>
      <c r="OI84" s="6395"/>
      <c r="OJ84" s="3708"/>
      <c r="OK84" s="6387"/>
      <c r="OL84" s="6387"/>
      <c r="OM84" s="6387"/>
      <c r="ON84" s="6387"/>
      <c r="OO84" s="6387"/>
      <c r="OP84" s="6387"/>
      <c r="OQ84" s="6394"/>
      <c r="OR84" s="6387"/>
      <c r="OS84" s="6387"/>
      <c r="OT84" s="6387"/>
      <c r="OU84" s="6387"/>
      <c r="OV84" s="6385"/>
      <c r="OW84" s="6387"/>
      <c r="OX84" s="6387"/>
      <c r="OY84" s="6387"/>
      <c r="OZ84" s="6387"/>
      <c r="PA84" s="6396"/>
      <c r="PB84" s="6387"/>
      <c r="PC84" s="6387"/>
      <c r="PD84" s="6387"/>
      <c r="PE84" s="6387"/>
      <c r="PF84" s="6387"/>
      <c r="PG84" s="6385"/>
      <c r="PH84" s="6387"/>
      <c r="PI84" s="6387"/>
      <c r="PJ84" s="6387"/>
      <c r="PK84" s="6387"/>
      <c r="PL84" s="6387"/>
      <c r="PM84" s="6394"/>
      <c r="PN84" s="6387"/>
      <c r="PO84" s="6387"/>
      <c r="PP84" s="6387"/>
      <c r="PQ84" s="6397"/>
      <c r="PR84" s="6398"/>
      <c r="PS84" s="6387"/>
      <c r="PT84" s="6387"/>
      <c r="PU84" s="6387"/>
      <c r="PV84" s="6387"/>
      <c r="PW84" s="6395"/>
      <c r="PX84" s="6394"/>
      <c r="PY84" s="6387"/>
      <c r="PZ84" s="6387"/>
      <c r="QA84" s="6395"/>
      <c r="QB84" s="6394"/>
      <c r="QC84" s="6387"/>
      <c r="QD84" s="6387"/>
      <c r="QE84" s="6387"/>
      <c r="QF84" s="6397"/>
      <c r="QG84" s="6398"/>
      <c r="QH84" s="6387"/>
      <c r="QI84" s="6387"/>
      <c r="QJ84" s="6387"/>
      <c r="QK84" s="6387"/>
      <c r="QL84" s="6395"/>
      <c r="QM84" s="6394"/>
      <c r="QN84" s="6387"/>
      <c r="QO84" s="6387"/>
      <c r="QP84" s="6387"/>
      <c r="QQ84" s="6387"/>
      <c r="QR84" s="6387"/>
      <c r="QS84" s="6387"/>
      <c r="QT84" s="6387"/>
      <c r="QU84" s="6387"/>
      <c r="QV84" s="6387"/>
      <c r="QW84" s="6395"/>
      <c r="QX84" s="6394"/>
      <c r="QY84" s="6387"/>
      <c r="QZ84" s="6387"/>
      <c r="RA84" s="6387"/>
      <c r="RB84" s="6387"/>
      <c r="RC84" s="6387"/>
      <c r="RD84" s="6387"/>
      <c r="RE84" s="6387"/>
      <c r="RF84" s="6387"/>
      <c r="RG84" s="6387"/>
      <c r="RH84" s="6395"/>
      <c r="RI84" s="6394"/>
      <c r="RJ84" s="6387"/>
      <c r="RK84" s="6387"/>
      <c r="RL84" s="6395"/>
      <c r="RM84" s="6394"/>
      <c r="RN84" s="6387"/>
      <c r="RO84" s="6387"/>
      <c r="RP84" s="6387"/>
      <c r="RQ84" s="6387"/>
      <c r="RR84" s="6395"/>
      <c r="RS84" s="6394"/>
      <c r="RT84" s="6387"/>
      <c r="RU84" s="6387"/>
      <c r="RV84" s="6387"/>
      <c r="RW84" s="6387"/>
      <c r="RX84" s="6387"/>
      <c r="RY84" s="6387"/>
      <c r="RZ84" s="6387"/>
      <c r="SA84" s="6387"/>
      <c r="SB84" s="6387"/>
      <c r="SC84" s="6395"/>
      <c r="SD84" s="6394"/>
      <c r="SE84" s="6387"/>
      <c r="SF84" s="6387"/>
      <c r="SG84" s="6387"/>
      <c r="SH84" s="6399"/>
      <c r="SI84" s="6400"/>
      <c r="SJ84" s="6387"/>
      <c r="SK84" s="210"/>
      <c r="SL84" s="210"/>
      <c r="SM84" s="1870"/>
      <c r="SN84" s="6395"/>
      <c r="SO84" s="6387"/>
      <c r="SP84" s="6387"/>
      <c r="SQ84" s="6387"/>
      <c r="SR84" s="6387"/>
      <c r="SS84" s="6399"/>
      <c r="ST84" s="6400"/>
      <c r="SU84" s="6449">
        <v>0</v>
      </c>
      <c r="SV84" s="6387"/>
      <c r="SW84" s="6387"/>
      <c r="SX84" s="190">
        <f t="shared" si="879"/>
        <v>0</v>
      </c>
      <c r="SY84" s="5381">
        <v>0</v>
      </c>
      <c r="SZ84" s="6394"/>
      <c r="TA84" s="118">
        <f t="shared" si="881"/>
        <v>0</v>
      </c>
      <c r="TB84" s="118">
        <f t="shared" si="882"/>
        <v>0</v>
      </c>
      <c r="TC84" s="5380">
        <v>0</v>
      </c>
      <c r="TD84" s="6387"/>
      <c r="TE84" s="6449">
        <v>0</v>
      </c>
      <c r="TF84" s="6449">
        <v>0</v>
      </c>
      <c r="TG84" s="6387"/>
      <c r="TH84" s="133">
        <f t="shared" si="883"/>
        <v>0</v>
      </c>
      <c r="TI84" s="6400"/>
      <c r="TJ84" s="6449">
        <v>0</v>
      </c>
      <c r="TK84" s="6449">
        <v>0</v>
      </c>
      <c r="TL84" s="6449">
        <v>0</v>
      </c>
      <c r="TM84" s="190">
        <f t="shared" si="880"/>
        <v>0</v>
      </c>
      <c r="TN84" s="5381">
        <v>0</v>
      </c>
      <c r="TO84" s="6387"/>
      <c r="TP84" s="6387"/>
      <c r="TQ84" s="6387"/>
      <c r="TR84" s="6387"/>
      <c r="TS84" s="6387"/>
      <c r="TT84" s="6387"/>
      <c r="TU84" s="6387"/>
      <c r="TV84" s="6387"/>
      <c r="TW84" s="6387"/>
      <c r="TX84" s="6387"/>
      <c r="TY84" s="6387"/>
      <c r="TZ84" s="6394"/>
      <c r="UA84" s="6387"/>
      <c r="UB84" s="6387"/>
      <c r="UC84" s="6387"/>
      <c r="UD84" s="6387"/>
      <c r="UE84" s="6387"/>
      <c r="UF84" s="6387"/>
      <c r="UG84" s="6387"/>
      <c r="UH84" s="6387"/>
      <c r="UI84" s="6387"/>
      <c r="UJ84" s="6395"/>
      <c r="UK84" s="6394"/>
      <c r="UL84" s="191">
        <f t="shared" si="884"/>
        <v>0</v>
      </c>
      <c r="UM84" s="191">
        <f t="shared" si="885"/>
        <v>0</v>
      </c>
      <c r="UN84" s="152">
        <v>0</v>
      </c>
      <c r="UO84" s="191">
        <f t="shared" si="886"/>
        <v>0</v>
      </c>
      <c r="UP84" s="5381">
        <v>0</v>
      </c>
    </row>
    <row r="85" spans="1:562" s="65" customFormat="1" x14ac:dyDescent="0.3">
      <c r="A85" s="5316">
        <v>4</v>
      </c>
      <c r="B85" s="5375"/>
      <c r="C85" s="578" t="s">
        <v>1050</v>
      </c>
      <c r="D85" s="578" t="s">
        <v>142</v>
      </c>
      <c r="E85" s="6278" t="s">
        <v>1049</v>
      </c>
      <c r="F85" s="6385"/>
      <c r="G85" s="6386"/>
      <c r="H85" s="6386"/>
      <c r="I85" s="6386"/>
      <c r="J85" s="6385"/>
      <c r="K85" s="6385"/>
      <c r="L85" s="6386"/>
      <c r="M85" s="6386"/>
      <c r="N85" s="6386"/>
      <c r="O85" s="6385"/>
      <c r="P85" s="6385"/>
      <c r="Q85" s="6386"/>
      <c r="R85" s="6386"/>
      <c r="S85" s="6386"/>
      <c r="T85" s="408"/>
      <c r="U85" s="6385"/>
      <c r="V85" s="6385"/>
      <c r="W85" s="6385"/>
      <c r="X85" s="6385"/>
      <c r="Y85" s="6385"/>
      <c r="Z85" s="6385"/>
      <c r="AA85" s="6385"/>
      <c r="AB85" s="6385"/>
      <c r="AC85" s="6385"/>
      <c r="AD85" s="6385"/>
      <c r="AE85" s="6385"/>
      <c r="AF85" s="6385"/>
      <c r="AG85" s="6387"/>
      <c r="AH85" s="6387"/>
      <c r="AI85" s="6387"/>
      <c r="AJ85" s="6387"/>
      <c r="AK85" s="6387"/>
      <c r="AL85" s="6387"/>
      <c r="AM85" s="6388"/>
      <c r="AN85" s="6388"/>
      <c r="AO85" s="6388"/>
      <c r="AP85" s="6388"/>
      <c r="AQ85" s="6388"/>
      <c r="AR85" s="6387"/>
      <c r="AS85" s="6387"/>
      <c r="AT85" s="6387"/>
      <c r="AU85" s="6387"/>
      <c r="AV85" s="6387"/>
      <c r="AW85" s="6387"/>
      <c r="AX85" s="6385"/>
      <c r="AY85" s="6387"/>
      <c r="AZ85" s="6387"/>
      <c r="BA85" s="6387"/>
      <c r="BB85" s="6387"/>
      <c r="BC85" s="6388"/>
      <c r="BD85" s="6388"/>
      <c r="BE85" s="6388"/>
      <c r="BF85" s="6388"/>
      <c r="BG85" s="6388"/>
      <c r="BH85" s="6389"/>
      <c r="BI85" s="6388"/>
      <c r="BJ85" s="6388"/>
      <c r="BK85" s="6388"/>
      <c r="BL85" s="6388"/>
      <c r="BM85" s="6388"/>
      <c r="BN85" s="6389"/>
      <c r="BO85" s="6390"/>
      <c r="BP85" s="6388"/>
      <c r="BQ85" s="6388"/>
      <c r="BR85" s="6388"/>
      <c r="BS85" s="6388"/>
      <c r="BT85" s="6387"/>
      <c r="BU85" s="6387"/>
      <c r="BV85" s="6387"/>
      <c r="BW85" s="6387"/>
      <c r="BX85" s="6387"/>
      <c r="BY85" s="6385"/>
      <c r="BZ85" s="6387"/>
      <c r="CA85" s="6391"/>
      <c r="CB85" s="6391"/>
      <c r="CC85" s="6387"/>
      <c r="CD85" s="210"/>
      <c r="CE85" s="6388"/>
      <c r="CF85" s="6388"/>
      <c r="CG85" s="6388"/>
      <c r="CH85" s="6388"/>
      <c r="CI85" s="6388"/>
      <c r="CJ85" s="210"/>
      <c r="CK85" s="6385"/>
      <c r="CL85" s="6391"/>
      <c r="CM85" s="6391"/>
      <c r="CN85" s="6391"/>
      <c r="CO85" s="6387"/>
      <c r="CP85" s="210"/>
      <c r="CQ85" s="6388"/>
      <c r="CR85" s="6388"/>
      <c r="CS85" s="6388"/>
      <c r="CT85" s="6388"/>
      <c r="CU85" s="6388"/>
      <c r="CV85" s="210"/>
      <c r="CW85" s="210"/>
      <c r="CX85" s="210"/>
      <c r="CY85" s="210"/>
      <c r="CZ85" s="210"/>
      <c r="DA85" s="210"/>
      <c r="DB85" s="210"/>
      <c r="DC85" s="6388"/>
      <c r="DD85" s="6388"/>
      <c r="DE85" s="6388"/>
      <c r="DF85" s="6388"/>
      <c r="DG85" s="6388"/>
      <c r="DH85" s="210"/>
      <c r="DI85" s="210"/>
      <c r="DJ85" s="210"/>
      <c r="DK85" s="210"/>
      <c r="DL85" s="210"/>
      <c r="DM85" s="210"/>
      <c r="DN85" s="210"/>
      <c r="DO85" s="210"/>
      <c r="DP85" s="6387"/>
      <c r="DQ85" s="6388"/>
      <c r="DR85" s="6388"/>
      <c r="DS85" s="210"/>
      <c r="DT85" s="210"/>
      <c r="DU85" s="210"/>
      <c r="DV85" s="6387"/>
      <c r="DW85" s="6387"/>
      <c r="DX85" s="6387"/>
      <c r="DY85" s="6387"/>
      <c r="DZ85" s="6388"/>
      <c r="EA85" s="6388"/>
      <c r="EB85" s="6387"/>
      <c r="EC85" s="6387"/>
      <c r="ED85" s="6387"/>
      <c r="EE85" s="6387"/>
      <c r="EF85" s="6387"/>
      <c r="EG85" s="6387"/>
      <c r="EH85" s="6387"/>
      <c r="EI85" s="6387"/>
      <c r="EJ85" s="6387"/>
      <c r="EK85" s="6387"/>
      <c r="EL85" s="6387"/>
      <c r="EM85" s="6387"/>
      <c r="EN85" s="6387"/>
      <c r="EO85" s="6387"/>
      <c r="EP85" s="6387"/>
      <c r="EQ85" s="6387"/>
      <c r="ER85" s="6387"/>
      <c r="ES85" s="6387"/>
      <c r="ET85" s="6387"/>
      <c r="EU85" s="6387"/>
      <c r="EV85" s="6387"/>
      <c r="EW85" s="6387"/>
      <c r="EX85" s="6387"/>
      <c r="EY85" s="6387"/>
      <c r="EZ85" s="6387"/>
      <c r="FA85" s="6387"/>
      <c r="FB85" s="6387"/>
      <c r="FC85" s="6387"/>
      <c r="FD85" s="6387"/>
      <c r="FE85" s="6387"/>
      <c r="FF85" s="6387"/>
      <c r="FG85" s="6387"/>
      <c r="FH85" s="6387"/>
      <c r="FI85" s="6387"/>
      <c r="FJ85" s="210"/>
      <c r="FK85" s="6388"/>
      <c r="FL85" s="6388"/>
      <c r="FM85" s="6388"/>
      <c r="FN85" s="6388"/>
      <c r="FO85" s="6388"/>
      <c r="FP85" s="6387"/>
      <c r="FQ85" s="6388"/>
      <c r="FR85" s="6388"/>
      <c r="FS85" s="6388"/>
      <c r="FT85" s="6387"/>
      <c r="FU85" s="210"/>
      <c r="FV85" s="6387"/>
      <c r="FW85" s="6387"/>
      <c r="FX85" s="6387"/>
      <c r="FY85" s="6387"/>
      <c r="FZ85" s="6387"/>
      <c r="GA85" s="210"/>
      <c r="GB85" s="210"/>
      <c r="GC85" s="6387"/>
      <c r="GD85" s="6387"/>
      <c r="GE85" s="6387"/>
      <c r="GF85" s="6387"/>
      <c r="GG85" s="6387"/>
      <c r="GH85" s="210"/>
      <c r="GI85" s="6387"/>
      <c r="GJ85" s="6387"/>
      <c r="GK85" s="6387"/>
      <c r="GL85" s="6387"/>
      <c r="GM85" s="6387"/>
      <c r="GN85" s="6388"/>
      <c r="GO85" s="6388"/>
      <c r="GP85" s="6388"/>
      <c r="GQ85" s="6388"/>
      <c r="GR85" s="6388"/>
      <c r="GS85" s="6387"/>
      <c r="GT85" s="6388"/>
      <c r="GU85" s="6388"/>
      <c r="GV85" s="6388"/>
      <c r="GW85" s="6388"/>
      <c r="GX85" s="6387"/>
      <c r="GY85" s="210"/>
      <c r="GZ85" s="6392"/>
      <c r="HA85" s="6392"/>
      <c r="HB85" s="6392"/>
      <c r="HC85" s="6392"/>
      <c r="HD85" s="210"/>
      <c r="HE85" s="210"/>
      <c r="HF85" s="6388"/>
      <c r="HG85" s="6388"/>
      <c r="HH85" s="6388"/>
      <c r="HI85" s="6388"/>
      <c r="HJ85" s="210"/>
      <c r="HK85" s="210"/>
      <c r="HL85" s="210"/>
      <c r="HM85" s="210"/>
      <c r="HN85" s="210"/>
      <c r="HO85" s="210"/>
      <c r="HP85" s="210"/>
      <c r="HQ85" s="210"/>
      <c r="HR85" s="6388"/>
      <c r="HS85" s="6388"/>
      <c r="HT85" s="6388"/>
      <c r="HU85" s="6388"/>
      <c r="HV85" s="210"/>
      <c r="HW85" s="210"/>
      <c r="HX85" s="210"/>
      <c r="HY85" s="210"/>
      <c r="HZ85" s="210"/>
      <c r="IA85" s="210"/>
      <c r="IB85" s="210"/>
      <c r="IC85" s="210"/>
      <c r="ID85" s="210"/>
      <c r="IE85" s="210"/>
      <c r="IF85" s="210"/>
      <c r="IG85" s="210"/>
      <c r="IH85" s="210"/>
      <c r="II85" s="6387"/>
      <c r="IJ85" s="6388"/>
      <c r="IK85" s="6388"/>
      <c r="IL85" s="6388"/>
      <c r="IM85" s="6388"/>
      <c r="IN85" s="6388"/>
      <c r="IO85" s="6387"/>
      <c r="IP85" s="6387"/>
      <c r="IQ85" s="3708"/>
      <c r="IR85" s="6393"/>
      <c r="IS85" s="6393"/>
      <c r="IT85" s="6387"/>
      <c r="IU85" s="6385"/>
      <c r="IV85" s="6387"/>
      <c r="IW85" s="6387"/>
      <c r="IX85" s="6387"/>
      <c r="IY85" s="6387"/>
      <c r="IZ85" s="6387"/>
      <c r="JA85" s="6387"/>
      <c r="JB85" s="6387"/>
      <c r="JC85" s="3708"/>
      <c r="JD85" s="6387"/>
      <c r="JE85" s="6387"/>
      <c r="JF85" s="6387"/>
      <c r="JG85" s="6387"/>
      <c r="JH85" s="6387"/>
      <c r="JI85" s="6387"/>
      <c r="JJ85" s="6387"/>
      <c r="JK85" s="6387"/>
      <c r="JL85" s="6387"/>
      <c r="JM85" s="6387"/>
      <c r="JN85" s="6387"/>
      <c r="JO85" s="6387"/>
      <c r="JP85" s="6387"/>
      <c r="JQ85" s="6387"/>
      <c r="JR85" s="6387"/>
      <c r="JS85" s="6387"/>
      <c r="JT85" s="6387"/>
      <c r="JU85" s="6387"/>
      <c r="JV85" s="6387"/>
      <c r="JW85" s="6387"/>
      <c r="JX85" s="6387"/>
      <c r="JY85" s="6387"/>
      <c r="JZ85" s="6387"/>
      <c r="KA85" s="6387"/>
      <c r="KB85" s="6387"/>
      <c r="KC85" s="6387"/>
      <c r="KD85" s="6387"/>
      <c r="KE85" s="6387"/>
      <c r="KF85" s="6387"/>
      <c r="KG85" s="6387"/>
      <c r="KH85" s="6387"/>
      <c r="KI85" s="6387"/>
      <c r="KJ85" s="6387"/>
      <c r="KK85" s="6387"/>
      <c r="KL85" s="3708"/>
      <c r="KM85" s="6387"/>
      <c r="KN85" s="6387"/>
      <c r="KO85" s="6387"/>
      <c r="KP85" s="6387"/>
      <c r="KQ85" s="210"/>
      <c r="KR85" s="6387"/>
      <c r="KS85" s="3708"/>
      <c r="KT85" s="6387"/>
      <c r="KU85" s="3708"/>
      <c r="KV85" s="6387"/>
      <c r="KW85" s="3708"/>
      <c r="KX85" s="6387"/>
      <c r="KY85" s="6387"/>
      <c r="KZ85" s="6387"/>
      <c r="LA85" s="6387"/>
      <c r="LB85" s="3708"/>
      <c r="LC85" s="3708"/>
      <c r="LD85" s="3708"/>
      <c r="LE85" s="210"/>
      <c r="LF85" s="6388"/>
      <c r="LG85" s="6388"/>
      <c r="LH85" s="6388"/>
      <c r="LI85" s="210"/>
      <c r="LJ85" s="210"/>
      <c r="LK85" s="210"/>
      <c r="LL85" s="3708"/>
      <c r="LM85" s="3708"/>
      <c r="LN85" s="3708"/>
      <c r="LO85" s="3708"/>
      <c r="LP85" s="3708"/>
      <c r="LQ85" s="6387"/>
      <c r="LR85" s="3708"/>
      <c r="LS85" s="6387"/>
      <c r="LT85" s="6387"/>
      <c r="LU85" s="6387"/>
      <c r="LV85" s="6387"/>
      <c r="LW85" s="6388"/>
      <c r="LX85" s="6388"/>
      <c r="LY85" s="6388"/>
      <c r="LZ85" s="6388"/>
      <c r="MA85" s="6387"/>
      <c r="MB85" s="6387"/>
      <c r="MC85" s="6387"/>
      <c r="MD85" s="6387"/>
      <c r="ME85" s="6387"/>
      <c r="MF85" s="6387"/>
      <c r="MG85" s="6387"/>
      <c r="MH85" s="6387"/>
      <c r="MI85" s="6387"/>
      <c r="MJ85" s="6387"/>
      <c r="MK85" s="6387"/>
      <c r="ML85" s="6387"/>
      <c r="MM85" s="6387"/>
      <c r="MN85" s="6387"/>
      <c r="MO85" s="6387"/>
      <c r="MP85" s="6387"/>
      <c r="MQ85" s="6387"/>
      <c r="MR85" s="6387"/>
      <c r="MS85" s="6390"/>
      <c r="MT85" s="6388"/>
      <c r="MU85" s="6388"/>
      <c r="MV85" s="6387"/>
      <c r="MW85" s="6388"/>
      <c r="MX85" s="6388"/>
      <c r="MY85" s="6388"/>
      <c r="MZ85" s="6388"/>
      <c r="NA85" s="6388"/>
      <c r="NB85" s="6387"/>
      <c r="NC85" s="6387"/>
      <c r="ND85" s="6387"/>
      <c r="NE85" s="6387"/>
      <c r="NF85" s="6387"/>
      <c r="NG85" s="6387"/>
      <c r="NH85" s="6387"/>
      <c r="NI85" s="6387"/>
      <c r="NJ85" s="6387"/>
      <c r="NK85" s="6387"/>
      <c r="NL85" s="6387"/>
      <c r="NM85" s="6387"/>
      <c r="NN85" s="6387"/>
      <c r="NO85" s="6387"/>
      <c r="NP85" s="6387"/>
      <c r="NQ85" s="6387"/>
      <c r="NR85" s="6387"/>
      <c r="NS85" s="6387"/>
      <c r="NT85" s="6387"/>
      <c r="NU85" s="6387"/>
      <c r="NV85" s="6387"/>
      <c r="NW85" s="6387"/>
      <c r="NX85" s="6387"/>
      <c r="NY85" s="6394"/>
      <c r="NZ85" s="6387"/>
      <c r="OA85" s="6387"/>
      <c r="OB85" s="6387"/>
      <c r="OC85" s="6387"/>
      <c r="OD85" s="6387"/>
      <c r="OE85" s="6387"/>
      <c r="OF85" s="6387"/>
      <c r="OG85" s="6387"/>
      <c r="OH85" s="6387"/>
      <c r="OI85" s="6395"/>
      <c r="OJ85" s="3708"/>
      <c r="OK85" s="6387"/>
      <c r="OL85" s="6387"/>
      <c r="OM85" s="6387"/>
      <c r="ON85" s="6387"/>
      <c r="OO85" s="6387"/>
      <c r="OP85" s="6387"/>
      <c r="OQ85" s="6394"/>
      <c r="OR85" s="6387"/>
      <c r="OS85" s="6387"/>
      <c r="OT85" s="6387"/>
      <c r="OU85" s="6387"/>
      <c r="OV85" s="6385"/>
      <c r="OW85" s="6387"/>
      <c r="OX85" s="6387"/>
      <c r="OY85" s="6387"/>
      <c r="OZ85" s="6387"/>
      <c r="PA85" s="6396"/>
      <c r="PB85" s="6387"/>
      <c r="PC85" s="6387"/>
      <c r="PD85" s="6387"/>
      <c r="PE85" s="6387"/>
      <c r="PF85" s="6387"/>
      <c r="PG85" s="6385"/>
      <c r="PH85" s="6387"/>
      <c r="PI85" s="6387"/>
      <c r="PJ85" s="6387"/>
      <c r="PK85" s="6387"/>
      <c r="PL85" s="6387"/>
      <c r="PM85" s="6394"/>
      <c r="PN85" s="6387"/>
      <c r="PO85" s="6387"/>
      <c r="PP85" s="6387"/>
      <c r="PQ85" s="6397"/>
      <c r="PR85" s="6398"/>
      <c r="PS85" s="6387"/>
      <c r="PT85" s="6387"/>
      <c r="PU85" s="6387"/>
      <c r="PV85" s="6387"/>
      <c r="PW85" s="6395"/>
      <c r="PX85" s="6394"/>
      <c r="PY85" s="6387"/>
      <c r="PZ85" s="6387"/>
      <c r="QA85" s="6395"/>
      <c r="QB85" s="6394"/>
      <c r="QC85" s="6387"/>
      <c r="QD85" s="6387"/>
      <c r="QE85" s="6387"/>
      <c r="QF85" s="6397"/>
      <c r="QG85" s="6398"/>
      <c r="QH85" s="6387"/>
      <c r="QI85" s="6387"/>
      <c r="QJ85" s="6387"/>
      <c r="QK85" s="6387"/>
      <c r="QL85" s="6395"/>
      <c r="QM85" s="6394"/>
      <c r="QN85" s="6387"/>
      <c r="QO85" s="6387"/>
      <c r="QP85" s="6387"/>
      <c r="QQ85" s="6387"/>
      <c r="QR85" s="6387"/>
      <c r="QS85" s="6387"/>
      <c r="QT85" s="6387"/>
      <c r="QU85" s="6387"/>
      <c r="QV85" s="6387"/>
      <c r="QW85" s="6395"/>
      <c r="QX85" s="6394"/>
      <c r="QY85" s="6387"/>
      <c r="QZ85" s="6387"/>
      <c r="RA85" s="6387"/>
      <c r="RB85" s="6387"/>
      <c r="RC85" s="6387"/>
      <c r="RD85" s="6387"/>
      <c r="RE85" s="6387"/>
      <c r="RF85" s="6387"/>
      <c r="RG85" s="6387"/>
      <c r="RH85" s="6395"/>
      <c r="RI85" s="6394"/>
      <c r="RJ85" s="6387"/>
      <c r="RK85" s="6387"/>
      <c r="RL85" s="6395"/>
      <c r="RM85" s="6394"/>
      <c r="RN85" s="6387"/>
      <c r="RO85" s="6387"/>
      <c r="RP85" s="6387"/>
      <c r="RQ85" s="6387"/>
      <c r="RR85" s="6395"/>
      <c r="RS85" s="6394"/>
      <c r="RT85" s="6387"/>
      <c r="RU85" s="6387"/>
      <c r="RV85" s="6387"/>
      <c r="RW85" s="6387"/>
      <c r="RX85" s="6387"/>
      <c r="RY85" s="6387"/>
      <c r="RZ85" s="6387"/>
      <c r="SA85" s="6387"/>
      <c r="SB85" s="6387"/>
      <c r="SC85" s="6395"/>
      <c r="SD85" s="6394"/>
      <c r="SE85" s="6387"/>
      <c r="SF85" s="6387"/>
      <c r="SG85" s="6387"/>
      <c r="SH85" s="6399"/>
      <c r="SI85" s="6400"/>
      <c r="SJ85" s="6387"/>
      <c r="SK85" s="210"/>
      <c r="SL85" s="210"/>
      <c r="SM85" s="1870"/>
      <c r="SN85" s="6395"/>
      <c r="SO85" s="6387"/>
      <c r="SP85" s="6387"/>
      <c r="SQ85" s="6387"/>
      <c r="SR85" s="6387"/>
      <c r="SS85" s="6399"/>
      <c r="ST85" s="6400"/>
      <c r="SU85" s="6449">
        <v>0</v>
      </c>
      <c r="SV85" s="6387"/>
      <c r="SW85" s="6387"/>
      <c r="SX85" s="190">
        <f t="shared" si="879"/>
        <v>0</v>
      </c>
      <c r="SY85" s="5381">
        <v>0</v>
      </c>
      <c r="SZ85" s="6394"/>
      <c r="TA85" s="118">
        <f t="shared" si="881"/>
        <v>0</v>
      </c>
      <c r="TB85" s="118">
        <f t="shared" si="882"/>
        <v>0</v>
      </c>
      <c r="TC85" s="5380">
        <v>0</v>
      </c>
      <c r="TD85" s="6387"/>
      <c r="TE85" s="6449">
        <v>0</v>
      </c>
      <c r="TF85" s="6449">
        <v>0</v>
      </c>
      <c r="TG85" s="6387"/>
      <c r="TH85" s="133">
        <f t="shared" si="883"/>
        <v>0</v>
      </c>
      <c r="TI85" s="6400"/>
      <c r="TJ85" s="6449">
        <v>0</v>
      </c>
      <c r="TK85" s="6449">
        <v>0</v>
      </c>
      <c r="TL85" s="6449">
        <v>0</v>
      </c>
      <c r="TM85" s="190">
        <f t="shared" si="880"/>
        <v>0</v>
      </c>
      <c r="TN85" s="5381">
        <v>0</v>
      </c>
      <c r="TO85" s="6387"/>
      <c r="TP85" s="6387"/>
      <c r="TQ85" s="6387"/>
      <c r="TR85" s="6387"/>
      <c r="TS85" s="6387"/>
      <c r="TT85" s="6387"/>
      <c r="TU85" s="6387"/>
      <c r="TV85" s="6387"/>
      <c r="TW85" s="6387"/>
      <c r="TX85" s="6387"/>
      <c r="TY85" s="6387"/>
      <c r="TZ85" s="6394"/>
      <c r="UA85" s="6387"/>
      <c r="UB85" s="6387"/>
      <c r="UC85" s="6387"/>
      <c r="UD85" s="6387"/>
      <c r="UE85" s="6387"/>
      <c r="UF85" s="6387"/>
      <c r="UG85" s="6387"/>
      <c r="UH85" s="6387"/>
      <c r="UI85" s="6387"/>
      <c r="UJ85" s="6395"/>
      <c r="UK85" s="6394"/>
      <c r="UL85" s="191">
        <f t="shared" si="884"/>
        <v>0</v>
      </c>
      <c r="UM85" s="191">
        <f t="shared" si="885"/>
        <v>0</v>
      </c>
      <c r="UN85" s="152">
        <v>0</v>
      </c>
      <c r="UO85" s="191">
        <f t="shared" si="886"/>
        <v>0</v>
      </c>
      <c r="UP85" s="5381">
        <v>0</v>
      </c>
    </row>
    <row r="86" spans="1:562" s="65" customFormat="1" x14ac:dyDescent="0.3">
      <c r="A86" s="5316">
        <v>5</v>
      </c>
      <c r="B86" s="5360"/>
      <c r="C86" s="578" t="s">
        <v>1050</v>
      </c>
      <c r="D86" s="578" t="s">
        <v>142</v>
      </c>
      <c r="E86" s="6278" t="s">
        <v>1049</v>
      </c>
      <c r="F86" s="6385"/>
      <c r="G86" s="6386"/>
      <c r="H86" s="6386"/>
      <c r="I86" s="6386"/>
      <c r="J86" s="6385"/>
      <c r="K86" s="6385"/>
      <c r="L86" s="6386"/>
      <c r="M86" s="6386"/>
      <c r="N86" s="6386"/>
      <c r="O86" s="6385"/>
      <c r="P86" s="6385"/>
      <c r="Q86" s="6386"/>
      <c r="R86" s="6386"/>
      <c r="S86" s="6386"/>
      <c r="T86" s="408"/>
      <c r="U86" s="6385"/>
      <c r="V86" s="6385"/>
      <c r="W86" s="6385"/>
      <c r="X86" s="6385"/>
      <c r="Y86" s="6385"/>
      <c r="Z86" s="6385"/>
      <c r="AA86" s="6385"/>
      <c r="AB86" s="6385"/>
      <c r="AC86" s="6385"/>
      <c r="AD86" s="6385"/>
      <c r="AE86" s="6385"/>
      <c r="AF86" s="6385"/>
      <c r="AG86" s="6387"/>
      <c r="AH86" s="6387"/>
      <c r="AI86" s="6387"/>
      <c r="AJ86" s="6387"/>
      <c r="AK86" s="6387"/>
      <c r="AL86" s="6387"/>
      <c r="AM86" s="6388"/>
      <c r="AN86" s="6388"/>
      <c r="AO86" s="6388"/>
      <c r="AP86" s="6388"/>
      <c r="AQ86" s="6388"/>
      <c r="AR86" s="6387"/>
      <c r="AS86" s="6387"/>
      <c r="AT86" s="6387"/>
      <c r="AU86" s="6387"/>
      <c r="AV86" s="6387"/>
      <c r="AW86" s="6387"/>
      <c r="AX86" s="6385"/>
      <c r="AY86" s="6387"/>
      <c r="AZ86" s="6387"/>
      <c r="BA86" s="6387"/>
      <c r="BB86" s="6387"/>
      <c r="BC86" s="6388"/>
      <c r="BD86" s="6388"/>
      <c r="BE86" s="6388"/>
      <c r="BF86" s="6388"/>
      <c r="BG86" s="6388"/>
      <c r="BH86" s="6389"/>
      <c r="BI86" s="6388"/>
      <c r="BJ86" s="6388"/>
      <c r="BK86" s="6388"/>
      <c r="BL86" s="6388"/>
      <c r="BM86" s="6388"/>
      <c r="BN86" s="6389"/>
      <c r="BO86" s="6390"/>
      <c r="BP86" s="6388"/>
      <c r="BQ86" s="6388"/>
      <c r="BR86" s="6388"/>
      <c r="BS86" s="6388"/>
      <c r="BT86" s="6387"/>
      <c r="BU86" s="6387"/>
      <c r="BV86" s="6387"/>
      <c r="BW86" s="6387"/>
      <c r="BX86" s="6387"/>
      <c r="BY86" s="6385"/>
      <c r="BZ86" s="6387"/>
      <c r="CA86" s="6391"/>
      <c r="CB86" s="6391"/>
      <c r="CC86" s="6387"/>
      <c r="CD86" s="210"/>
      <c r="CE86" s="6388"/>
      <c r="CF86" s="6388"/>
      <c r="CG86" s="6388"/>
      <c r="CH86" s="6388"/>
      <c r="CI86" s="6388"/>
      <c r="CJ86" s="210"/>
      <c r="CK86" s="6385"/>
      <c r="CL86" s="6391"/>
      <c r="CM86" s="6391"/>
      <c r="CN86" s="6391"/>
      <c r="CO86" s="6387"/>
      <c r="CP86" s="210"/>
      <c r="CQ86" s="6388"/>
      <c r="CR86" s="6388"/>
      <c r="CS86" s="6388"/>
      <c r="CT86" s="6388"/>
      <c r="CU86" s="6388"/>
      <c r="CV86" s="210"/>
      <c r="CW86" s="210"/>
      <c r="CX86" s="210"/>
      <c r="CY86" s="210"/>
      <c r="CZ86" s="210"/>
      <c r="DA86" s="210"/>
      <c r="DB86" s="210"/>
      <c r="DC86" s="6388"/>
      <c r="DD86" s="6388"/>
      <c r="DE86" s="6388"/>
      <c r="DF86" s="6388"/>
      <c r="DG86" s="6388"/>
      <c r="DH86" s="210"/>
      <c r="DI86" s="210"/>
      <c r="DJ86" s="210"/>
      <c r="DK86" s="210"/>
      <c r="DL86" s="210"/>
      <c r="DM86" s="210"/>
      <c r="DN86" s="210"/>
      <c r="DO86" s="210"/>
      <c r="DP86" s="6387"/>
      <c r="DQ86" s="6388"/>
      <c r="DR86" s="6388"/>
      <c r="DS86" s="210"/>
      <c r="DT86" s="210"/>
      <c r="DU86" s="210"/>
      <c r="DV86" s="6387"/>
      <c r="DW86" s="6387"/>
      <c r="DX86" s="6387"/>
      <c r="DY86" s="6387"/>
      <c r="DZ86" s="6388"/>
      <c r="EA86" s="6388"/>
      <c r="EB86" s="6387"/>
      <c r="EC86" s="6387"/>
      <c r="ED86" s="6387"/>
      <c r="EE86" s="6387"/>
      <c r="EF86" s="6387"/>
      <c r="EG86" s="6387"/>
      <c r="EH86" s="6387"/>
      <c r="EI86" s="6387"/>
      <c r="EJ86" s="6387"/>
      <c r="EK86" s="6387"/>
      <c r="EL86" s="6387"/>
      <c r="EM86" s="6387"/>
      <c r="EN86" s="6387"/>
      <c r="EO86" s="6387"/>
      <c r="EP86" s="6387"/>
      <c r="EQ86" s="6387"/>
      <c r="ER86" s="6387"/>
      <c r="ES86" s="6387"/>
      <c r="ET86" s="6387"/>
      <c r="EU86" s="6387"/>
      <c r="EV86" s="6387"/>
      <c r="EW86" s="6387"/>
      <c r="EX86" s="6387"/>
      <c r="EY86" s="6387"/>
      <c r="EZ86" s="6387"/>
      <c r="FA86" s="6387"/>
      <c r="FB86" s="6387"/>
      <c r="FC86" s="6387"/>
      <c r="FD86" s="6387"/>
      <c r="FE86" s="6387"/>
      <c r="FF86" s="6387"/>
      <c r="FG86" s="6387"/>
      <c r="FH86" s="6387"/>
      <c r="FI86" s="6387"/>
      <c r="FJ86" s="210"/>
      <c r="FK86" s="6388"/>
      <c r="FL86" s="6388"/>
      <c r="FM86" s="6388"/>
      <c r="FN86" s="6388"/>
      <c r="FO86" s="6388"/>
      <c r="FP86" s="6387"/>
      <c r="FQ86" s="6388"/>
      <c r="FR86" s="6388"/>
      <c r="FS86" s="6388"/>
      <c r="FT86" s="6387"/>
      <c r="FU86" s="210"/>
      <c r="FV86" s="6387"/>
      <c r="FW86" s="6387"/>
      <c r="FX86" s="6387"/>
      <c r="FY86" s="6387"/>
      <c r="FZ86" s="6387"/>
      <c r="GA86" s="210"/>
      <c r="GB86" s="210"/>
      <c r="GC86" s="6387"/>
      <c r="GD86" s="6387"/>
      <c r="GE86" s="6387"/>
      <c r="GF86" s="6387"/>
      <c r="GG86" s="6387"/>
      <c r="GH86" s="210"/>
      <c r="GI86" s="6387"/>
      <c r="GJ86" s="6387"/>
      <c r="GK86" s="6387"/>
      <c r="GL86" s="6387"/>
      <c r="GM86" s="6387"/>
      <c r="GN86" s="6388"/>
      <c r="GO86" s="6388"/>
      <c r="GP86" s="6388"/>
      <c r="GQ86" s="6388"/>
      <c r="GR86" s="6388"/>
      <c r="GS86" s="6387"/>
      <c r="GT86" s="6388"/>
      <c r="GU86" s="6388"/>
      <c r="GV86" s="6388"/>
      <c r="GW86" s="6388"/>
      <c r="GX86" s="6387"/>
      <c r="GY86" s="210"/>
      <c r="GZ86" s="6392"/>
      <c r="HA86" s="6392"/>
      <c r="HB86" s="6392"/>
      <c r="HC86" s="6392"/>
      <c r="HD86" s="210"/>
      <c r="HE86" s="210"/>
      <c r="HF86" s="6388"/>
      <c r="HG86" s="6388"/>
      <c r="HH86" s="6388"/>
      <c r="HI86" s="6388"/>
      <c r="HJ86" s="210"/>
      <c r="HK86" s="210"/>
      <c r="HL86" s="210"/>
      <c r="HM86" s="210"/>
      <c r="HN86" s="210"/>
      <c r="HO86" s="210"/>
      <c r="HP86" s="210"/>
      <c r="HQ86" s="210"/>
      <c r="HR86" s="6388"/>
      <c r="HS86" s="6388"/>
      <c r="HT86" s="6388"/>
      <c r="HU86" s="6388"/>
      <c r="HV86" s="210"/>
      <c r="HW86" s="210"/>
      <c r="HX86" s="210"/>
      <c r="HY86" s="210"/>
      <c r="HZ86" s="210"/>
      <c r="IA86" s="210"/>
      <c r="IB86" s="210"/>
      <c r="IC86" s="210"/>
      <c r="ID86" s="210"/>
      <c r="IE86" s="210"/>
      <c r="IF86" s="210"/>
      <c r="IG86" s="210"/>
      <c r="IH86" s="210"/>
      <c r="II86" s="6387"/>
      <c r="IJ86" s="6388"/>
      <c r="IK86" s="6388"/>
      <c r="IL86" s="6388"/>
      <c r="IM86" s="6388"/>
      <c r="IN86" s="6388"/>
      <c r="IO86" s="6387"/>
      <c r="IP86" s="6387"/>
      <c r="IQ86" s="3708"/>
      <c r="IR86" s="6393"/>
      <c r="IS86" s="6393"/>
      <c r="IT86" s="6387"/>
      <c r="IU86" s="6385"/>
      <c r="IV86" s="6387"/>
      <c r="IW86" s="6387"/>
      <c r="IX86" s="6387"/>
      <c r="IY86" s="6387"/>
      <c r="IZ86" s="6387"/>
      <c r="JA86" s="6387"/>
      <c r="JB86" s="6387"/>
      <c r="JC86" s="3708"/>
      <c r="JD86" s="6387"/>
      <c r="JE86" s="6387"/>
      <c r="JF86" s="6387"/>
      <c r="JG86" s="6387"/>
      <c r="JH86" s="6387"/>
      <c r="JI86" s="6387"/>
      <c r="JJ86" s="6387"/>
      <c r="JK86" s="6387"/>
      <c r="JL86" s="6387"/>
      <c r="JM86" s="6387"/>
      <c r="JN86" s="6387"/>
      <c r="JO86" s="6387"/>
      <c r="JP86" s="6387"/>
      <c r="JQ86" s="6387"/>
      <c r="JR86" s="6387"/>
      <c r="JS86" s="6387"/>
      <c r="JT86" s="6387"/>
      <c r="JU86" s="6387"/>
      <c r="JV86" s="6387"/>
      <c r="JW86" s="6387"/>
      <c r="JX86" s="6387"/>
      <c r="JY86" s="6387"/>
      <c r="JZ86" s="6387"/>
      <c r="KA86" s="6387"/>
      <c r="KB86" s="6387"/>
      <c r="KC86" s="6387"/>
      <c r="KD86" s="6387"/>
      <c r="KE86" s="6387"/>
      <c r="KF86" s="6387"/>
      <c r="KG86" s="6387"/>
      <c r="KH86" s="6387"/>
      <c r="KI86" s="6387"/>
      <c r="KJ86" s="6387"/>
      <c r="KK86" s="6387"/>
      <c r="KL86" s="3708"/>
      <c r="KM86" s="6387"/>
      <c r="KN86" s="6387"/>
      <c r="KO86" s="6387"/>
      <c r="KP86" s="6387"/>
      <c r="KQ86" s="210"/>
      <c r="KR86" s="6387"/>
      <c r="KS86" s="3708"/>
      <c r="KT86" s="6387"/>
      <c r="KU86" s="3708"/>
      <c r="KV86" s="6387"/>
      <c r="KW86" s="3708"/>
      <c r="KX86" s="6387"/>
      <c r="KY86" s="6387"/>
      <c r="KZ86" s="6387"/>
      <c r="LA86" s="6387"/>
      <c r="LB86" s="3708"/>
      <c r="LC86" s="3708"/>
      <c r="LD86" s="3708"/>
      <c r="LE86" s="210"/>
      <c r="LF86" s="6388"/>
      <c r="LG86" s="6388"/>
      <c r="LH86" s="6388"/>
      <c r="LI86" s="210"/>
      <c r="LJ86" s="210"/>
      <c r="LK86" s="210"/>
      <c r="LL86" s="3708"/>
      <c r="LM86" s="3708"/>
      <c r="LN86" s="3708"/>
      <c r="LO86" s="3708"/>
      <c r="LP86" s="3708"/>
      <c r="LQ86" s="6387"/>
      <c r="LR86" s="3708"/>
      <c r="LS86" s="6387"/>
      <c r="LT86" s="6387"/>
      <c r="LU86" s="6387"/>
      <c r="LV86" s="6387"/>
      <c r="LW86" s="6388"/>
      <c r="LX86" s="6388"/>
      <c r="LY86" s="6388"/>
      <c r="LZ86" s="6388"/>
      <c r="MA86" s="6387"/>
      <c r="MB86" s="6387"/>
      <c r="MC86" s="6387"/>
      <c r="MD86" s="6387"/>
      <c r="ME86" s="6387"/>
      <c r="MF86" s="6387"/>
      <c r="MG86" s="6387"/>
      <c r="MH86" s="6387"/>
      <c r="MI86" s="6387"/>
      <c r="MJ86" s="6387"/>
      <c r="MK86" s="6387"/>
      <c r="ML86" s="6387"/>
      <c r="MM86" s="6387"/>
      <c r="MN86" s="6387"/>
      <c r="MO86" s="6387"/>
      <c r="MP86" s="6387"/>
      <c r="MQ86" s="6387"/>
      <c r="MR86" s="6387"/>
      <c r="MS86" s="6390"/>
      <c r="MT86" s="6388"/>
      <c r="MU86" s="6388"/>
      <c r="MV86" s="6387"/>
      <c r="MW86" s="6388"/>
      <c r="MX86" s="6388"/>
      <c r="MY86" s="6388"/>
      <c r="MZ86" s="6388"/>
      <c r="NA86" s="6388"/>
      <c r="NB86" s="6387"/>
      <c r="NC86" s="6387"/>
      <c r="ND86" s="6387"/>
      <c r="NE86" s="6387"/>
      <c r="NF86" s="6387"/>
      <c r="NG86" s="6387"/>
      <c r="NH86" s="6387"/>
      <c r="NI86" s="6387"/>
      <c r="NJ86" s="6387"/>
      <c r="NK86" s="6387"/>
      <c r="NL86" s="6387"/>
      <c r="NM86" s="6387"/>
      <c r="NN86" s="6387"/>
      <c r="NO86" s="6387"/>
      <c r="NP86" s="6387"/>
      <c r="NQ86" s="6387"/>
      <c r="NR86" s="6387"/>
      <c r="NS86" s="6387"/>
      <c r="NT86" s="6387"/>
      <c r="NU86" s="6387"/>
      <c r="NV86" s="6387"/>
      <c r="NW86" s="6387"/>
      <c r="NX86" s="6387"/>
      <c r="NY86" s="6394"/>
      <c r="NZ86" s="6387"/>
      <c r="OA86" s="6387"/>
      <c r="OB86" s="6387"/>
      <c r="OC86" s="6387"/>
      <c r="OD86" s="6387"/>
      <c r="OE86" s="6387"/>
      <c r="OF86" s="6387"/>
      <c r="OG86" s="6387"/>
      <c r="OH86" s="6387"/>
      <c r="OI86" s="6395"/>
      <c r="OJ86" s="3708"/>
      <c r="OK86" s="6387"/>
      <c r="OL86" s="6387"/>
      <c r="OM86" s="6387"/>
      <c r="ON86" s="6387"/>
      <c r="OO86" s="6387"/>
      <c r="OP86" s="6387"/>
      <c r="OQ86" s="6394"/>
      <c r="OR86" s="6387"/>
      <c r="OS86" s="6387"/>
      <c r="OT86" s="6387"/>
      <c r="OU86" s="6387"/>
      <c r="OV86" s="6385"/>
      <c r="OW86" s="6387"/>
      <c r="OX86" s="6387"/>
      <c r="OY86" s="6387"/>
      <c r="OZ86" s="6387"/>
      <c r="PA86" s="6396"/>
      <c r="PB86" s="6387"/>
      <c r="PC86" s="6387"/>
      <c r="PD86" s="6387"/>
      <c r="PE86" s="6387"/>
      <c r="PF86" s="6387"/>
      <c r="PG86" s="6385"/>
      <c r="PH86" s="6387"/>
      <c r="PI86" s="6387"/>
      <c r="PJ86" s="6387"/>
      <c r="PK86" s="6387"/>
      <c r="PL86" s="6387"/>
      <c r="PM86" s="6394"/>
      <c r="PN86" s="6387"/>
      <c r="PO86" s="6387"/>
      <c r="PP86" s="6387"/>
      <c r="PQ86" s="6397"/>
      <c r="PR86" s="6398"/>
      <c r="PS86" s="6387"/>
      <c r="PT86" s="6387"/>
      <c r="PU86" s="6387"/>
      <c r="PV86" s="6387"/>
      <c r="PW86" s="6395"/>
      <c r="PX86" s="6394"/>
      <c r="PY86" s="6387"/>
      <c r="PZ86" s="6387"/>
      <c r="QA86" s="6395"/>
      <c r="QB86" s="6394"/>
      <c r="QC86" s="6387"/>
      <c r="QD86" s="6387"/>
      <c r="QE86" s="6387"/>
      <c r="QF86" s="6397"/>
      <c r="QG86" s="6398"/>
      <c r="QH86" s="6387"/>
      <c r="QI86" s="6387"/>
      <c r="QJ86" s="6387"/>
      <c r="QK86" s="6387"/>
      <c r="QL86" s="6395"/>
      <c r="QM86" s="6394"/>
      <c r="QN86" s="6387"/>
      <c r="QO86" s="6387"/>
      <c r="QP86" s="6387"/>
      <c r="QQ86" s="6387"/>
      <c r="QR86" s="6387"/>
      <c r="QS86" s="6387"/>
      <c r="QT86" s="6387"/>
      <c r="QU86" s="6387"/>
      <c r="QV86" s="6387"/>
      <c r="QW86" s="6395"/>
      <c r="QX86" s="6394"/>
      <c r="QY86" s="6387"/>
      <c r="QZ86" s="6387"/>
      <c r="RA86" s="6387"/>
      <c r="RB86" s="6387"/>
      <c r="RC86" s="6387"/>
      <c r="RD86" s="6387"/>
      <c r="RE86" s="6387"/>
      <c r="RF86" s="6387"/>
      <c r="RG86" s="6387"/>
      <c r="RH86" s="6395"/>
      <c r="RI86" s="6394"/>
      <c r="RJ86" s="6387"/>
      <c r="RK86" s="6387"/>
      <c r="RL86" s="6395"/>
      <c r="RM86" s="6394"/>
      <c r="RN86" s="6387"/>
      <c r="RO86" s="6387"/>
      <c r="RP86" s="6387"/>
      <c r="RQ86" s="6387"/>
      <c r="RR86" s="6395"/>
      <c r="RS86" s="6394"/>
      <c r="RT86" s="6387"/>
      <c r="RU86" s="6387"/>
      <c r="RV86" s="6387"/>
      <c r="RW86" s="6387"/>
      <c r="RX86" s="6387"/>
      <c r="RY86" s="6387"/>
      <c r="RZ86" s="6387"/>
      <c r="SA86" s="6387"/>
      <c r="SB86" s="6387"/>
      <c r="SC86" s="6395"/>
      <c r="SD86" s="6394"/>
      <c r="SE86" s="6387"/>
      <c r="SF86" s="6387"/>
      <c r="SG86" s="6387"/>
      <c r="SH86" s="6399"/>
      <c r="SI86" s="6400"/>
      <c r="SJ86" s="6387"/>
      <c r="SK86" s="210"/>
      <c r="SL86" s="210"/>
      <c r="SM86" s="1870"/>
      <c r="SN86" s="6395"/>
      <c r="SO86" s="6387"/>
      <c r="SP86" s="6387"/>
      <c r="SQ86" s="6387"/>
      <c r="SR86" s="6387"/>
      <c r="SS86" s="6399"/>
      <c r="ST86" s="6400"/>
      <c r="SU86" s="6449">
        <v>0</v>
      </c>
      <c r="SV86" s="6387"/>
      <c r="SW86" s="6387"/>
      <c r="SX86" s="190">
        <f t="shared" si="879"/>
        <v>0</v>
      </c>
      <c r="SY86" s="5381">
        <v>0</v>
      </c>
      <c r="SZ86" s="6394"/>
      <c r="TA86" s="118">
        <f t="shared" si="881"/>
        <v>0</v>
      </c>
      <c r="TB86" s="118">
        <f t="shared" si="882"/>
        <v>0</v>
      </c>
      <c r="TC86" s="5380">
        <v>0</v>
      </c>
      <c r="TD86" s="6387"/>
      <c r="TE86" s="6449">
        <v>0</v>
      </c>
      <c r="TF86" s="6449">
        <v>0</v>
      </c>
      <c r="TG86" s="6387"/>
      <c r="TH86" s="133">
        <f t="shared" si="883"/>
        <v>0</v>
      </c>
      <c r="TI86" s="6400"/>
      <c r="TJ86" s="6449">
        <v>0</v>
      </c>
      <c r="TK86" s="6449">
        <v>0</v>
      </c>
      <c r="TL86" s="6449">
        <v>0</v>
      </c>
      <c r="TM86" s="190">
        <f t="shared" si="880"/>
        <v>0</v>
      </c>
      <c r="TN86" s="5381">
        <v>0</v>
      </c>
      <c r="TO86" s="6387"/>
      <c r="TP86" s="6387"/>
      <c r="TQ86" s="6387"/>
      <c r="TR86" s="6387"/>
      <c r="TS86" s="6387"/>
      <c r="TT86" s="6387"/>
      <c r="TU86" s="6387"/>
      <c r="TV86" s="6387"/>
      <c r="TW86" s="6387"/>
      <c r="TX86" s="6387"/>
      <c r="TY86" s="6387"/>
      <c r="TZ86" s="6394"/>
      <c r="UA86" s="6387"/>
      <c r="UB86" s="6387"/>
      <c r="UC86" s="6387"/>
      <c r="UD86" s="6387"/>
      <c r="UE86" s="6387"/>
      <c r="UF86" s="6387"/>
      <c r="UG86" s="6387"/>
      <c r="UH86" s="6387"/>
      <c r="UI86" s="6387"/>
      <c r="UJ86" s="6395"/>
      <c r="UK86" s="6394"/>
      <c r="UL86" s="191">
        <f t="shared" si="884"/>
        <v>0</v>
      </c>
      <c r="UM86" s="191">
        <f t="shared" si="885"/>
        <v>0</v>
      </c>
      <c r="UN86" s="152">
        <v>0</v>
      </c>
      <c r="UO86" s="191">
        <f t="shared" si="886"/>
        <v>0</v>
      </c>
      <c r="UP86" s="5381">
        <v>0</v>
      </c>
    </row>
    <row r="87" spans="1:562" s="65" customFormat="1" x14ac:dyDescent="0.3">
      <c r="A87" s="5316">
        <v>6</v>
      </c>
      <c r="B87" s="5376"/>
      <c r="C87" s="578" t="s">
        <v>1050</v>
      </c>
      <c r="D87" s="578" t="s">
        <v>142</v>
      </c>
      <c r="E87" s="6278" t="s">
        <v>1049</v>
      </c>
      <c r="F87" s="6385"/>
      <c r="G87" s="6386"/>
      <c r="H87" s="6386"/>
      <c r="I87" s="6386"/>
      <c r="J87" s="6385"/>
      <c r="K87" s="6385"/>
      <c r="L87" s="6386"/>
      <c r="M87" s="6386"/>
      <c r="N87" s="6386"/>
      <c r="O87" s="6385"/>
      <c r="P87" s="6385"/>
      <c r="Q87" s="6386"/>
      <c r="R87" s="6386"/>
      <c r="S87" s="6386"/>
      <c r="T87" s="408"/>
      <c r="U87" s="6385"/>
      <c r="V87" s="6385"/>
      <c r="W87" s="6385"/>
      <c r="X87" s="6385"/>
      <c r="Y87" s="6385"/>
      <c r="Z87" s="6385"/>
      <c r="AA87" s="6385"/>
      <c r="AB87" s="6385"/>
      <c r="AC87" s="6385"/>
      <c r="AD87" s="6385"/>
      <c r="AE87" s="6385"/>
      <c r="AF87" s="6385"/>
      <c r="AG87" s="6387"/>
      <c r="AH87" s="6387"/>
      <c r="AI87" s="6387"/>
      <c r="AJ87" s="6387"/>
      <c r="AK87" s="6387"/>
      <c r="AL87" s="6387"/>
      <c r="AM87" s="6388"/>
      <c r="AN87" s="6388"/>
      <c r="AO87" s="6388"/>
      <c r="AP87" s="6388"/>
      <c r="AQ87" s="6388"/>
      <c r="AR87" s="6387"/>
      <c r="AS87" s="6387"/>
      <c r="AT87" s="6387"/>
      <c r="AU87" s="6387"/>
      <c r="AV87" s="6387"/>
      <c r="AW87" s="6387"/>
      <c r="AX87" s="6385"/>
      <c r="AY87" s="6387"/>
      <c r="AZ87" s="6387"/>
      <c r="BA87" s="6387"/>
      <c r="BB87" s="6387"/>
      <c r="BC87" s="6388"/>
      <c r="BD87" s="6388"/>
      <c r="BE87" s="6388"/>
      <c r="BF87" s="6388"/>
      <c r="BG87" s="6388"/>
      <c r="BH87" s="6389"/>
      <c r="BI87" s="6388"/>
      <c r="BJ87" s="6388"/>
      <c r="BK87" s="6388"/>
      <c r="BL87" s="6388"/>
      <c r="BM87" s="6388"/>
      <c r="BN87" s="6389"/>
      <c r="BO87" s="6390"/>
      <c r="BP87" s="6388"/>
      <c r="BQ87" s="6388"/>
      <c r="BR87" s="6388"/>
      <c r="BS87" s="6388"/>
      <c r="BT87" s="6387"/>
      <c r="BU87" s="6387"/>
      <c r="BV87" s="6387"/>
      <c r="BW87" s="6387"/>
      <c r="BX87" s="6387"/>
      <c r="BY87" s="6385"/>
      <c r="BZ87" s="6387"/>
      <c r="CA87" s="6391"/>
      <c r="CB87" s="6391"/>
      <c r="CC87" s="6387"/>
      <c r="CD87" s="210"/>
      <c r="CE87" s="6388"/>
      <c r="CF87" s="6388"/>
      <c r="CG87" s="6388"/>
      <c r="CH87" s="6388"/>
      <c r="CI87" s="6388"/>
      <c r="CJ87" s="210"/>
      <c r="CK87" s="6385"/>
      <c r="CL87" s="6391"/>
      <c r="CM87" s="6391"/>
      <c r="CN87" s="6391"/>
      <c r="CO87" s="6387"/>
      <c r="CP87" s="210"/>
      <c r="CQ87" s="6388"/>
      <c r="CR87" s="6388"/>
      <c r="CS87" s="6388"/>
      <c r="CT87" s="6388"/>
      <c r="CU87" s="6388"/>
      <c r="CV87" s="210"/>
      <c r="CW87" s="210"/>
      <c r="CX87" s="210"/>
      <c r="CY87" s="210"/>
      <c r="CZ87" s="210"/>
      <c r="DA87" s="210"/>
      <c r="DB87" s="210"/>
      <c r="DC87" s="6388"/>
      <c r="DD87" s="6388"/>
      <c r="DE87" s="6388"/>
      <c r="DF87" s="6388"/>
      <c r="DG87" s="6388"/>
      <c r="DH87" s="210"/>
      <c r="DI87" s="210"/>
      <c r="DJ87" s="210"/>
      <c r="DK87" s="210"/>
      <c r="DL87" s="210"/>
      <c r="DM87" s="210"/>
      <c r="DN87" s="210"/>
      <c r="DO87" s="210"/>
      <c r="DP87" s="6387"/>
      <c r="DQ87" s="6388"/>
      <c r="DR87" s="6388"/>
      <c r="DS87" s="210"/>
      <c r="DT87" s="210"/>
      <c r="DU87" s="210"/>
      <c r="DV87" s="6387"/>
      <c r="DW87" s="6387"/>
      <c r="DX87" s="6387"/>
      <c r="DY87" s="6387"/>
      <c r="DZ87" s="6388"/>
      <c r="EA87" s="6388"/>
      <c r="EB87" s="6387"/>
      <c r="EC87" s="6387"/>
      <c r="ED87" s="6387"/>
      <c r="EE87" s="6387"/>
      <c r="EF87" s="6387"/>
      <c r="EG87" s="6387"/>
      <c r="EH87" s="6387"/>
      <c r="EI87" s="6387"/>
      <c r="EJ87" s="6387"/>
      <c r="EK87" s="6387"/>
      <c r="EL87" s="6387"/>
      <c r="EM87" s="6387"/>
      <c r="EN87" s="6387"/>
      <c r="EO87" s="6387"/>
      <c r="EP87" s="6387"/>
      <c r="EQ87" s="6387"/>
      <c r="ER87" s="6387"/>
      <c r="ES87" s="6387"/>
      <c r="ET87" s="6387"/>
      <c r="EU87" s="6387"/>
      <c r="EV87" s="6387"/>
      <c r="EW87" s="6387"/>
      <c r="EX87" s="6387"/>
      <c r="EY87" s="6387"/>
      <c r="EZ87" s="6387"/>
      <c r="FA87" s="6387"/>
      <c r="FB87" s="6387"/>
      <c r="FC87" s="6387"/>
      <c r="FD87" s="6387"/>
      <c r="FE87" s="6387"/>
      <c r="FF87" s="6387"/>
      <c r="FG87" s="6387"/>
      <c r="FH87" s="6387"/>
      <c r="FI87" s="6387"/>
      <c r="FJ87" s="210"/>
      <c r="FK87" s="6388"/>
      <c r="FL87" s="6388"/>
      <c r="FM87" s="6388"/>
      <c r="FN87" s="6388"/>
      <c r="FO87" s="6388"/>
      <c r="FP87" s="6387"/>
      <c r="FQ87" s="6388"/>
      <c r="FR87" s="6388"/>
      <c r="FS87" s="6388"/>
      <c r="FT87" s="6387"/>
      <c r="FU87" s="210"/>
      <c r="FV87" s="6387"/>
      <c r="FW87" s="6387"/>
      <c r="FX87" s="6387"/>
      <c r="FY87" s="6387"/>
      <c r="FZ87" s="6387"/>
      <c r="GA87" s="210"/>
      <c r="GB87" s="210"/>
      <c r="GC87" s="6387"/>
      <c r="GD87" s="6387"/>
      <c r="GE87" s="6387"/>
      <c r="GF87" s="6387"/>
      <c r="GG87" s="6387"/>
      <c r="GH87" s="210"/>
      <c r="GI87" s="6387"/>
      <c r="GJ87" s="6387"/>
      <c r="GK87" s="6387"/>
      <c r="GL87" s="6387"/>
      <c r="GM87" s="6387"/>
      <c r="GN87" s="6388"/>
      <c r="GO87" s="6388"/>
      <c r="GP87" s="6388"/>
      <c r="GQ87" s="6388"/>
      <c r="GR87" s="6388"/>
      <c r="GS87" s="6387"/>
      <c r="GT87" s="6388"/>
      <c r="GU87" s="6388"/>
      <c r="GV87" s="6388"/>
      <c r="GW87" s="6388"/>
      <c r="GX87" s="6387"/>
      <c r="GY87" s="210"/>
      <c r="GZ87" s="6392"/>
      <c r="HA87" s="6392"/>
      <c r="HB87" s="6392"/>
      <c r="HC87" s="6392"/>
      <c r="HD87" s="210"/>
      <c r="HE87" s="210"/>
      <c r="HF87" s="6388"/>
      <c r="HG87" s="6388"/>
      <c r="HH87" s="6388"/>
      <c r="HI87" s="6388"/>
      <c r="HJ87" s="210"/>
      <c r="HK87" s="210"/>
      <c r="HL87" s="210"/>
      <c r="HM87" s="210"/>
      <c r="HN87" s="210"/>
      <c r="HO87" s="210"/>
      <c r="HP87" s="210"/>
      <c r="HQ87" s="210"/>
      <c r="HR87" s="6388"/>
      <c r="HS87" s="6388"/>
      <c r="HT87" s="6388"/>
      <c r="HU87" s="6388"/>
      <c r="HV87" s="210"/>
      <c r="HW87" s="210"/>
      <c r="HX87" s="210"/>
      <c r="HY87" s="210"/>
      <c r="HZ87" s="210"/>
      <c r="IA87" s="210"/>
      <c r="IB87" s="210"/>
      <c r="IC87" s="210"/>
      <c r="ID87" s="210"/>
      <c r="IE87" s="210"/>
      <c r="IF87" s="210"/>
      <c r="IG87" s="210"/>
      <c r="IH87" s="210"/>
      <c r="II87" s="6387"/>
      <c r="IJ87" s="6388"/>
      <c r="IK87" s="6388"/>
      <c r="IL87" s="6388"/>
      <c r="IM87" s="6388"/>
      <c r="IN87" s="6388"/>
      <c r="IO87" s="6387"/>
      <c r="IP87" s="6387"/>
      <c r="IQ87" s="3708"/>
      <c r="IR87" s="6393"/>
      <c r="IS87" s="6393"/>
      <c r="IT87" s="6387"/>
      <c r="IU87" s="6385"/>
      <c r="IV87" s="6387"/>
      <c r="IW87" s="6387"/>
      <c r="IX87" s="6387"/>
      <c r="IY87" s="6387"/>
      <c r="IZ87" s="6387"/>
      <c r="JA87" s="6387"/>
      <c r="JB87" s="6387"/>
      <c r="JC87" s="3708"/>
      <c r="JD87" s="6387"/>
      <c r="JE87" s="6387"/>
      <c r="JF87" s="6387"/>
      <c r="JG87" s="6387"/>
      <c r="JH87" s="6387"/>
      <c r="JI87" s="6387"/>
      <c r="JJ87" s="6387"/>
      <c r="JK87" s="6387"/>
      <c r="JL87" s="6387"/>
      <c r="JM87" s="6387"/>
      <c r="JN87" s="6387"/>
      <c r="JO87" s="6387"/>
      <c r="JP87" s="6387"/>
      <c r="JQ87" s="6387"/>
      <c r="JR87" s="6387"/>
      <c r="JS87" s="6387"/>
      <c r="JT87" s="6387"/>
      <c r="JU87" s="6387"/>
      <c r="JV87" s="6387"/>
      <c r="JW87" s="6387"/>
      <c r="JX87" s="6387"/>
      <c r="JY87" s="6387"/>
      <c r="JZ87" s="6387"/>
      <c r="KA87" s="6387"/>
      <c r="KB87" s="6387"/>
      <c r="KC87" s="6387"/>
      <c r="KD87" s="6387"/>
      <c r="KE87" s="6387"/>
      <c r="KF87" s="6387"/>
      <c r="KG87" s="6387"/>
      <c r="KH87" s="6387"/>
      <c r="KI87" s="6387"/>
      <c r="KJ87" s="6387"/>
      <c r="KK87" s="6387"/>
      <c r="KL87" s="3708"/>
      <c r="KM87" s="6387"/>
      <c r="KN87" s="6387"/>
      <c r="KO87" s="6387"/>
      <c r="KP87" s="6387"/>
      <c r="KQ87" s="210"/>
      <c r="KR87" s="6387"/>
      <c r="KS87" s="3708"/>
      <c r="KT87" s="6387"/>
      <c r="KU87" s="3708"/>
      <c r="KV87" s="6387"/>
      <c r="KW87" s="3708"/>
      <c r="KX87" s="6387"/>
      <c r="KY87" s="6387"/>
      <c r="KZ87" s="6387"/>
      <c r="LA87" s="6387"/>
      <c r="LB87" s="3708"/>
      <c r="LC87" s="3708"/>
      <c r="LD87" s="3708"/>
      <c r="LE87" s="210"/>
      <c r="LF87" s="6388"/>
      <c r="LG87" s="6388"/>
      <c r="LH87" s="6388"/>
      <c r="LI87" s="210"/>
      <c r="LJ87" s="210"/>
      <c r="LK87" s="210"/>
      <c r="LL87" s="3708"/>
      <c r="LM87" s="3708"/>
      <c r="LN87" s="3708"/>
      <c r="LO87" s="3708"/>
      <c r="LP87" s="3708"/>
      <c r="LQ87" s="6387"/>
      <c r="LR87" s="3708"/>
      <c r="LS87" s="6387"/>
      <c r="LT87" s="6387"/>
      <c r="LU87" s="6387"/>
      <c r="LV87" s="6387"/>
      <c r="LW87" s="6388"/>
      <c r="LX87" s="6388"/>
      <c r="LY87" s="6388"/>
      <c r="LZ87" s="6388"/>
      <c r="MA87" s="6387"/>
      <c r="MB87" s="6387"/>
      <c r="MC87" s="6387"/>
      <c r="MD87" s="6387"/>
      <c r="ME87" s="6387"/>
      <c r="MF87" s="6387"/>
      <c r="MG87" s="6387"/>
      <c r="MH87" s="6387"/>
      <c r="MI87" s="6387"/>
      <c r="MJ87" s="6387"/>
      <c r="MK87" s="6387"/>
      <c r="ML87" s="6387"/>
      <c r="MM87" s="6387"/>
      <c r="MN87" s="6387"/>
      <c r="MO87" s="6387"/>
      <c r="MP87" s="6387"/>
      <c r="MQ87" s="6387"/>
      <c r="MR87" s="6387"/>
      <c r="MS87" s="6390"/>
      <c r="MT87" s="6388"/>
      <c r="MU87" s="6388"/>
      <c r="MV87" s="6387"/>
      <c r="MW87" s="6388"/>
      <c r="MX87" s="6388"/>
      <c r="MY87" s="6388"/>
      <c r="MZ87" s="6388"/>
      <c r="NA87" s="6388"/>
      <c r="NB87" s="6387"/>
      <c r="NC87" s="6387"/>
      <c r="ND87" s="6387"/>
      <c r="NE87" s="6387"/>
      <c r="NF87" s="6387"/>
      <c r="NG87" s="6387"/>
      <c r="NH87" s="6387"/>
      <c r="NI87" s="6387"/>
      <c r="NJ87" s="6387"/>
      <c r="NK87" s="6387"/>
      <c r="NL87" s="6387"/>
      <c r="NM87" s="6387"/>
      <c r="NN87" s="6387"/>
      <c r="NO87" s="6387"/>
      <c r="NP87" s="6387"/>
      <c r="NQ87" s="6387"/>
      <c r="NR87" s="6387"/>
      <c r="NS87" s="6387"/>
      <c r="NT87" s="6387"/>
      <c r="NU87" s="6387"/>
      <c r="NV87" s="6387"/>
      <c r="NW87" s="6387"/>
      <c r="NX87" s="6387"/>
      <c r="NY87" s="6394"/>
      <c r="NZ87" s="6387"/>
      <c r="OA87" s="6387"/>
      <c r="OB87" s="6387"/>
      <c r="OC87" s="6387"/>
      <c r="OD87" s="6387"/>
      <c r="OE87" s="6387"/>
      <c r="OF87" s="6387"/>
      <c r="OG87" s="6387"/>
      <c r="OH87" s="6387"/>
      <c r="OI87" s="6395"/>
      <c r="OJ87" s="3708"/>
      <c r="OK87" s="6387"/>
      <c r="OL87" s="6387"/>
      <c r="OM87" s="6387"/>
      <c r="ON87" s="6387"/>
      <c r="OO87" s="6387"/>
      <c r="OP87" s="6387"/>
      <c r="OQ87" s="6394"/>
      <c r="OR87" s="6387"/>
      <c r="OS87" s="6387"/>
      <c r="OT87" s="6387"/>
      <c r="OU87" s="6387"/>
      <c r="OV87" s="6385"/>
      <c r="OW87" s="6387"/>
      <c r="OX87" s="6387"/>
      <c r="OY87" s="6387"/>
      <c r="OZ87" s="6387"/>
      <c r="PA87" s="6396"/>
      <c r="PB87" s="6387"/>
      <c r="PC87" s="6387"/>
      <c r="PD87" s="6387"/>
      <c r="PE87" s="6387"/>
      <c r="PF87" s="6387"/>
      <c r="PG87" s="6385"/>
      <c r="PH87" s="6387"/>
      <c r="PI87" s="6387"/>
      <c r="PJ87" s="6387"/>
      <c r="PK87" s="6387"/>
      <c r="PL87" s="6387"/>
      <c r="PM87" s="6394"/>
      <c r="PN87" s="6387"/>
      <c r="PO87" s="6387"/>
      <c r="PP87" s="6387"/>
      <c r="PQ87" s="6397"/>
      <c r="PR87" s="6398"/>
      <c r="PS87" s="6387"/>
      <c r="PT87" s="6387"/>
      <c r="PU87" s="6387"/>
      <c r="PV87" s="6387"/>
      <c r="PW87" s="6395"/>
      <c r="PX87" s="6394"/>
      <c r="PY87" s="6387"/>
      <c r="PZ87" s="6387"/>
      <c r="QA87" s="6395"/>
      <c r="QB87" s="6394"/>
      <c r="QC87" s="6387"/>
      <c r="QD87" s="6387"/>
      <c r="QE87" s="6387"/>
      <c r="QF87" s="6397"/>
      <c r="QG87" s="6398"/>
      <c r="QH87" s="6387"/>
      <c r="QI87" s="6387"/>
      <c r="QJ87" s="6387"/>
      <c r="QK87" s="6387"/>
      <c r="QL87" s="6395"/>
      <c r="QM87" s="6394"/>
      <c r="QN87" s="6387"/>
      <c r="QO87" s="6387"/>
      <c r="QP87" s="6387"/>
      <c r="QQ87" s="6387"/>
      <c r="QR87" s="6387"/>
      <c r="QS87" s="6387"/>
      <c r="QT87" s="6387"/>
      <c r="QU87" s="6387"/>
      <c r="QV87" s="6387"/>
      <c r="QW87" s="6395"/>
      <c r="QX87" s="6394"/>
      <c r="QY87" s="6387"/>
      <c r="QZ87" s="6387"/>
      <c r="RA87" s="6387"/>
      <c r="RB87" s="6387"/>
      <c r="RC87" s="6387"/>
      <c r="RD87" s="6387"/>
      <c r="RE87" s="6387"/>
      <c r="RF87" s="6387"/>
      <c r="RG87" s="6387"/>
      <c r="RH87" s="6395"/>
      <c r="RI87" s="6394"/>
      <c r="RJ87" s="6387"/>
      <c r="RK87" s="6387"/>
      <c r="RL87" s="6395"/>
      <c r="RM87" s="6394"/>
      <c r="RN87" s="6387"/>
      <c r="RO87" s="6387"/>
      <c r="RP87" s="6387"/>
      <c r="RQ87" s="6387"/>
      <c r="RR87" s="6395"/>
      <c r="RS87" s="6394"/>
      <c r="RT87" s="6387"/>
      <c r="RU87" s="6387"/>
      <c r="RV87" s="6387"/>
      <c r="RW87" s="6387"/>
      <c r="RX87" s="6387"/>
      <c r="RY87" s="6387"/>
      <c r="RZ87" s="6387"/>
      <c r="SA87" s="6387"/>
      <c r="SB87" s="6387"/>
      <c r="SC87" s="6395"/>
      <c r="SD87" s="6394"/>
      <c r="SE87" s="6387"/>
      <c r="SF87" s="6387"/>
      <c r="SG87" s="6387"/>
      <c r="SH87" s="6399"/>
      <c r="SI87" s="6400"/>
      <c r="SJ87" s="6387"/>
      <c r="SK87" s="210"/>
      <c r="SL87" s="210"/>
      <c r="SM87" s="1870"/>
      <c r="SN87" s="6395"/>
      <c r="SO87" s="6387"/>
      <c r="SP87" s="6387"/>
      <c r="SQ87" s="6387"/>
      <c r="SR87" s="6387"/>
      <c r="SS87" s="6399"/>
      <c r="ST87" s="6400"/>
      <c r="SU87" s="6449">
        <v>0</v>
      </c>
      <c r="SV87" s="6387"/>
      <c r="SW87" s="6387"/>
      <c r="SX87" s="190">
        <f t="shared" si="879"/>
        <v>0</v>
      </c>
      <c r="SY87" s="5381">
        <v>0</v>
      </c>
      <c r="SZ87" s="6394"/>
      <c r="TA87" s="118">
        <f t="shared" si="881"/>
        <v>0</v>
      </c>
      <c r="TB87" s="118">
        <f t="shared" si="882"/>
        <v>0</v>
      </c>
      <c r="TC87" s="5380">
        <v>0</v>
      </c>
      <c r="TD87" s="6387"/>
      <c r="TE87" s="6449">
        <v>0</v>
      </c>
      <c r="TF87" s="6449">
        <v>0</v>
      </c>
      <c r="TG87" s="6387"/>
      <c r="TH87" s="133">
        <f t="shared" si="883"/>
        <v>0</v>
      </c>
      <c r="TI87" s="6400"/>
      <c r="TJ87" s="6449">
        <v>0</v>
      </c>
      <c r="TK87" s="6449">
        <v>0</v>
      </c>
      <c r="TL87" s="6449">
        <v>0</v>
      </c>
      <c r="TM87" s="190">
        <f t="shared" si="880"/>
        <v>0</v>
      </c>
      <c r="TN87" s="5381">
        <v>0</v>
      </c>
      <c r="TO87" s="6387"/>
      <c r="TP87" s="6387"/>
      <c r="TQ87" s="6387"/>
      <c r="TR87" s="6387"/>
      <c r="TS87" s="6387"/>
      <c r="TT87" s="6387"/>
      <c r="TU87" s="6387"/>
      <c r="TV87" s="6387"/>
      <c r="TW87" s="6387"/>
      <c r="TX87" s="6387"/>
      <c r="TY87" s="6387"/>
      <c r="TZ87" s="6394"/>
      <c r="UA87" s="6387"/>
      <c r="UB87" s="6387"/>
      <c r="UC87" s="6387"/>
      <c r="UD87" s="6387"/>
      <c r="UE87" s="6387"/>
      <c r="UF87" s="6387"/>
      <c r="UG87" s="6387"/>
      <c r="UH87" s="6387"/>
      <c r="UI87" s="6387"/>
      <c r="UJ87" s="6395"/>
      <c r="UK87" s="6394"/>
      <c r="UL87" s="191">
        <f t="shared" si="884"/>
        <v>0</v>
      </c>
      <c r="UM87" s="191">
        <f t="shared" si="885"/>
        <v>0</v>
      </c>
      <c r="UN87" s="152">
        <v>0</v>
      </c>
      <c r="UO87" s="191">
        <f t="shared" si="886"/>
        <v>0</v>
      </c>
      <c r="UP87" s="5381">
        <v>0</v>
      </c>
    </row>
    <row r="88" spans="1:562" s="65" customFormat="1" x14ac:dyDescent="0.3">
      <c r="A88" s="5316">
        <v>7</v>
      </c>
      <c r="B88" s="5376"/>
      <c r="C88" s="578" t="s">
        <v>1050</v>
      </c>
      <c r="D88" s="578" t="s">
        <v>142</v>
      </c>
      <c r="E88" s="6278" t="s">
        <v>1049</v>
      </c>
      <c r="F88" s="6385"/>
      <c r="G88" s="6386"/>
      <c r="H88" s="6386"/>
      <c r="I88" s="6386"/>
      <c r="J88" s="6385"/>
      <c r="K88" s="6385"/>
      <c r="L88" s="6386"/>
      <c r="M88" s="6386"/>
      <c r="N88" s="6386"/>
      <c r="O88" s="6385"/>
      <c r="P88" s="6385"/>
      <c r="Q88" s="6386"/>
      <c r="R88" s="6386"/>
      <c r="S88" s="6386"/>
      <c r="T88" s="408"/>
      <c r="U88" s="6385"/>
      <c r="V88" s="6385"/>
      <c r="W88" s="6385"/>
      <c r="X88" s="6385"/>
      <c r="Y88" s="6385"/>
      <c r="Z88" s="6385"/>
      <c r="AA88" s="6385"/>
      <c r="AB88" s="6385"/>
      <c r="AC88" s="6385"/>
      <c r="AD88" s="6385"/>
      <c r="AE88" s="6385"/>
      <c r="AF88" s="6385"/>
      <c r="AG88" s="6387"/>
      <c r="AH88" s="6387"/>
      <c r="AI88" s="6387"/>
      <c r="AJ88" s="6387"/>
      <c r="AK88" s="6387"/>
      <c r="AL88" s="6387"/>
      <c r="AM88" s="6388"/>
      <c r="AN88" s="6388"/>
      <c r="AO88" s="6388"/>
      <c r="AP88" s="6388"/>
      <c r="AQ88" s="6388"/>
      <c r="AR88" s="6387"/>
      <c r="AS88" s="6387"/>
      <c r="AT88" s="6387"/>
      <c r="AU88" s="6387"/>
      <c r="AV88" s="6387"/>
      <c r="AW88" s="6387"/>
      <c r="AX88" s="6385"/>
      <c r="AY88" s="6387"/>
      <c r="AZ88" s="6387"/>
      <c r="BA88" s="6387"/>
      <c r="BB88" s="6387"/>
      <c r="BC88" s="6388"/>
      <c r="BD88" s="6388"/>
      <c r="BE88" s="6388"/>
      <c r="BF88" s="6388"/>
      <c r="BG88" s="6388"/>
      <c r="BH88" s="6389"/>
      <c r="BI88" s="6388"/>
      <c r="BJ88" s="6388"/>
      <c r="BK88" s="6388"/>
      <c r="BL88" s="6388"/>
      <c r="BM88" s="6388"/>
      <c r="BN88" s="6389"/>
      <c r="BO88" s="6390"/>
      <c r="BP88" s="6388"/>
      <c r="BQ88" s="6388"/>
      <c r="BR88" s="6388"/>
      <c r="BS88" s="6388"/>
      <c r="BT88" s="6387"/>
      <c r="BU88" s="6387"/>
      <c r="BV88" s="6387"/>
      <c r="BW88" s="6387"/>
      <c r="BX88" s="6387"/>
      <c r="BY88" s="6385"/>
      <c r="BZ88" s="6387"/>
      <c r="CA88" s="6391"/>
      <c r="CB88" s="6391"/>
      <c r="CC88" s="6387"/>
      <c r="CD88" s="210"/>
      <c r="CE88" s="6388"/>
      <c r="CF88" s="6388"/>
      <c r="CG88" s="6388"/>
      <c r="CH88" s="6388"/>
      <c r="CI88" s="6388"/>
      <c r="CJ88" s="210"/>
      <c r="CK88" s="6385"/>
      <c r="CL88" s="6391"/>
      <c r="CM88" s="6391"/>
      <c r="CN88" s="6391"/>
      <c r="CO88" s="6387"/>
      <c r="CP88" s="210"/>
      <c r="CQ88" s="6388"/>
      <c r="CR88" s="6388"/>
      <c r="CS88" s="6388"/>
      <c r="CT88" s="6388"/>
      <c r="CU88" s="6388"/>
      <c r="CV88" s="210"/>
      <c r="CW88" s="210"/>
      <c r="CX88" s="210"/>
      <c r="CY88" s="210"/>
      <c r="CZ88" s="210"/>
      <c r="DA88" s="210"/>
      <c r="DB88" s="210"/>
      <c r="DC88" s="6388"/>
      <c r="DD88" s="6388"/>
      <c r="DE88" s="6388"/>
      <c r="DF88" s="6388"/>
      <c r="DG88" s="6388"/>
      <c r="DH88" s="210"/>
      <c r="DI88" s="210"/>
      <c r="DJ88" s="210"/>
      <c r="DK88" s="210"/>
      <c r="DL88" s="210"/>
      <c r="DM88" s="210"/>
      <c r="DN88" s="210"/>
      <c r="DO88" s="210"/>
      <c r="DP88" s="6387"/>
      <c r="DQ88" s="6388"/>
      <c r="DR88" s="6388"/>
      <c r="DS88" s="210"/>
      <c r="DT88" s="210"/>
      <c r="DU88" s="210"/>
      <c r="DV88" s="6387"/>
      <c r="DW88" s="6387"/>
      <c r="DX88" s="6387"/>
      <c r="DY88" s="6387"/>
      <c r="DZ88" s="6388"/>
      <c r="EA88" s="6388"/>
      <c r="EB88" s="6387"/>
      <c r="EC88" s="6387"/>
      <c r="ED88" s="6387"/>
      <c r="EE88" s="6387"/>
      <c r="EF88" s="6387"/>
      <c r="EG88" s="6387"/>
      <c r="EH88" s="6387"/>
      <c r="EI88" s="6387"/>
      <c r="EJ88" s="6387"/>
      <c r="EK88" s="6387"/>
      <c r="EL88" s="6387"/>
      <c r="EM88" s="6387"/>
      <c r="EN88" s="6387"/>
      <c r="EO88" s="6387"/>
      <c r="EP88" s="6387"/>
      <c r="EQ88" s="6387"/>
      <c r="ER88" s="6387"/>
      <c r="ES88" s="6387"/>
      <c r="ET88" s="6387"/>
      <c r="EU88" s="6387"/>
      <c r="EV88" s="6387"/>
      <c r="EW88" s="6387"/>
      <c r="EX88" s="6387"/>
      <c r="EY88" s="6387"/>
      <c r="EZ88" s="6387"/>
      <c r="FA88" s="6387"/>
      <c r="FB88" s="6387"/>
      <c r="FC88" s="6387"/>
      <c r="FD88" s="6387"/>
      <c r="FE88" s="6387"/>
      <c r="FF88" s="6387"/>
      <c r="FG88" s="6387"/>
      <c r="FH88" s="6387"/>
      <c r="FI88" s="6387"/>
      <c r="FJ88" s="210"/>
      <c r="FK88" s="6388"/>
      <c r="FL88" s="6388"/>
      <c r="FM88" s="6388"/>
      <c r="FN88" s="6388"/>
      <c r="FO88" s="6388"/>
      <c r="FP88" s="6387"/>
      <c r="FQ88" s="6388"/>
      <c r="FR88" s="6388"/>
      <c r="FS88" s="6388"/>
      <c r="FT88" s="6387"/>
      <c r="FU88" s="210"/>
      <c r="FV88" s="6387"/>
      <c r="FW88" s="6387"/>
      <c r="FX88" s="6387"/>
      <c r="FY88" s="6387"/>
      <c r="FZ88" s="6387"/>
      <c r="GA88" s="210"/>
      <c r="GB88" s="210"/>
      <c r="GC88" s="6387"/>
      <c r="GD88" s="6387"/>
      <c r="GE88" s="6387"/>
      <c r="GF88" s="6387"/>
      <c r="GG88" s="6387"/>
      <c r="GH88" s="210"/>
      <c r="GI88" s="6387"/>
      <c r="GJ88" s="6387"/>
      <c r="GK88" s="6387"/>
      <c r="GL88" s="6387"/>
      <c r="GM88" s="6387"/>
      <c r="GN88" s="6388"/>
      <c r="GO88" s="6388"/>
      <c r="GP88" s="6388"/>
      <c r="GQ88" s="6388"/>
      <c r="GR88" s="6388"/>
      <c r="GS88" s="6387"/>
      <c r="GT88" s="6388"/>
      <c r="GU88" s="6388"/>
      <c r="GV88" s="6388"/>
      <c r="GW88" s="6388"/>
      <c r="GX88" s="6387"/>
      <c r="GY88" s="210"/>
      <c r="GZ88" s="6392"/>
      <c r="HA88" s="6392"/>
      <c r="HB88" s="6392"/>
      <c r="HC88" s="6392"/>
      <c r="HD88" s="210"/>
      <c r="HE88" s="210"/>
      <c r="HF88" s="6388"/>
      <c r="HG88" s="6388"/>
      <c r="HH88" s="6388"/>
      <c r="HI88" s="6388"/>
      <c r="HJ88" s="210"/>
      <c r="HK88" s="210"/>
      <c r="HL88" s="210"/>
      <c r="HM88" s="210"/>
      <c r="HN88" s="210"/>
      <c r="HO88" s="210"/>
      <c r="HP88" s="210"/>
      <c r="HQ88" s="210"/>
      <c r="HR88" s="6388"/>
      <c r="HS88" s="6388"/>
      <c r="HT88" s="6388"/>
      <c r="HU88" s="6388"/>
      <c r="HV88" s="210"/>
      <c r="HW88" s="210"/>
      <c r="HX88" s="210"/>
      <c r="HY88" s="210"/>
      <c r="HZ88" s="210"/>
      <c r="IA88" s="210"/>
      <c r="IB88" s="210"/>
      <c r="IC88" s="210"/>
      <c r="ID88" s="210"/>
      <c r="IE88" s="210"/>
      <c r="IF88" s="210"/>
      <c r="IG88" s="210"/>
      <c r="IH88" s="210"/>
      <c r="II88" s="6387"/>
      <c r="IJ88" s="6388"/>
      <c r="IK88" s="6388"/>
      <c r="IL88" s="6388"/>
      <c r="IM88" s="6388"/>
      <c r="IN88" s="6388"/>
      <c r="IO88" s="6387"/>
      <c r="IP88" s="6387"/>
      <c r="IQ88" s="3708"/>
      <c r="IR88" s="6393"/>
      <c r="IS88" s="6393"/>
      <c r="IT88" s="6387"/>
      <c r="IU88" s="6385"/>
      <c r="IV88" s="6387"/>
      <c r="IW88" s="6387"/>
      <c r="IX88" s="6387"/>
      <c r="IY88" s="6387"/>
      <c r="IZ88" s="6387"/>
      <c r="JA88" s="6387"/>
      <c r="JB88" s="6387"/>
      <c r="JC88" s="3708"/>
      <c r="JD88" s="6387"/>
      <c r="JE88" s="6387"/>
      <c r="JF88" s="6387"/>
      <c r="JG88" s="6387"/>
      <c r="JH88" s="6387"/>
      <c r="JI88" s="6387"/>
      <c r="JJ88" s="6387"/>
      <c r="JK88" s="6387"/>
      <c r="JL88" s="6387"/>
      <c r="JM88" s="6387"/>
      <c r="JN88" s="6387"/>
      <c r="JO88" s="6387"/>
      <c r="JP88" s="6387"/>
      <c r="JQ88" s="6387"/>
      <c r="JR88" s="6387"/>
      <c r="JS88" s="6387"/>
      <c r="JT88" s="6387"/>
      <c r="JU88" s="6387"/>
      <c r="JV88" s="6387"/>
      <c r="JW88" s="6387"/>
      <c r="JX88" s="6387"/>
      <c r="JY88" s="6387"/>
      <c r="JZ88" s="6387"/>
      <c r="KA88" s="6387"/>
      <c r="KB88" s="6387"/>
      <c r="KC88" s="6387"/>
      <c r="KD88" s="6387"/>
      <c r="KE88" s="6387"/>
      <c r="KF88" s="6387"/>
      <c r="KG88" s="6387"/>
      <c r="KH88" s="6387"/>
      <c r="KI88" s="6387"/>
      <c r="KJ88" s="6387"/>
      <c r="KK88" s="6387"/>
      <c r="KL88" s="3708"/>
      <c r="KM88" s="6387"/>
      <c r="KN88" s="6387"/>
      <c r="KO88" s="6387"/>
      <c r="KP88" s="6387"/>
      <c r="KQ88" s="210"/>
      <c r="KR88" s="6387"/>
      <c r="KS88" s="3708"/>
      <c r="KT88" s="6387"/>
      <c r="KU88" s="3708"/>
      <c r="KV88" s="6387"/>
      <c r="KW88" s="3708"/>
      <c r="KX88" s="6387"/>
      <c r="KY88" s="6387"/>
      <c r="KZ88" s="6387"/>
      <c r="LA88" s="6387"/>
      <c r="LB88" s="3708"/>
      <c r="LC88" s="3708"/>
      <c r="LD88" s="3708"/>
      <c r="LE88" s="210"/>
      <c r="LF88" s="6388"/>
      <c r="LG88" s="6388"/>
      <c r="LH88" s="6388"/>
      <c r="LI88" s="210"/>
      <c r="LJ88" s="210"/>
      <c r="LK88" s="210"/>
      <c r="LL88" s="3708"/>
      <c r="LM88" s="3708"/>
      <c r="LN88" s="3708"/>
      <c r="LO88" s="3708"/>
      <c r="LP88" s="3708"/>
      <c r="LQ88" s="6387"/>
      <c r="LR88" s="3708"/>
      <c r="LS88" s="6387"/>
      <c r="LT88" s="6387"/>
      <c r="LU88" s="6387"/>
      <c r="LV88" s="6387"/>
      <c r="LW88" s="6388"/>
      <c r="LX88" s="6388"/>
      <c r="LY88" s="6388"/>
      <c r="LZ88" s="6388"/>
      <c r="MA88" s="6387"/>
      <c r="MB88" s="6387"/>
      <c r="MC88" s="6387"/>
      <c r="MD88" s="6387"/>
      <c r="ME88" s="6387"/>
      <c r="MF88" s="6387"/>
      <c r="MG88" s="6387"/>
      <c r="MH88" s="6387"/>
      <c r="MI88" s="6387"/>
      <c r="MJ88" s="6387"/>
      <c r="MK88" s="6387"/>
      <c r="ML88" s="6387"/>
      <c r="MM88" s="6387"/>
      <c r="MN88" s="6387"/>
      <c r="MO88" s="6387"/>
      <c r="MP88" s="6387"/>
      <c r="MQ88" s="6387"/>
      <c r="MR88" s="6387"/>
      <c r="MS88" s="6390"/>
      <c r="MT88" s="6388"/>
      <c r="MU88" s="6388"/>
      <c r="MV88" s="6387"/>
      <c r="MW88" s="6388"/>
      <c r="MX88" s="6388"/>
      <c r="MY88" s="6388"/>
      <c r="MZ88" s="6388"/>
      <c r="NA88" s="6388"/>
      <c r="NB88" s="6387"/>
      <c r="NC88" s="6387"/>
      <c r="ND88" s="6387"/>
      <c r="NE88" s="6387"/>
      <c r="NF88" s="6387"/>
      <c r="NG88" s="6387"/>
      <c r="NH88" s="6387"/>
      <c r="NI88" s="6387"/>
      <c r="NJ88" s="6387"/>
      <c r="NK88" s="6387"/>
      <c r="NL88" s="6387"/>
      <c r="NM88" s="6387"/>
      <c r="NN88" s="6387"/>
      <c r="NO88" s="6387"/>
      <c r="NP88" s="6387"/>
      <c r="NQ88" s="6387"/>
      <c r="NR88" s="6387"/>
      <c r="NS88" s="6387"/>
      <c r="NT88" s="6387"/>
      <c r="NU88" s="6387"/>
      <c r="NV88" s="6387"/>
      <c r="NW88" s="6387"/>
      <c r="NX88" s="6387"/>
      <c r="NY88" s="6394"/>
      <c r="NZ88" s="6387"/>
      <c r="OA88" s="6387"/>
      <c r="OB88" s="6387"/>
      <c r="OC88" s="6387"/>
      <c r="OD88" s="6387"/>
      <c r="OE88" s="6387"/>
      <c r="OF88" s="6387"/>
      <c r="OG88" s="6387"/>
      <c r="OH88" s="6387"/>
      <c r="OI88" s="6395"/>
      <c r="OJ88" s="3708"/>
      <c r="OK88" s="6387"/>
      <c r="OL88" s="6387"/>
      <c r="OM88" s="6387"/>
      <c r="ON88" s="6387"/>
      <c r="OO88" s="6387"/>
      <c r="OP88" s="6387"/>
      <c r="OQ88" s="6394"/>
      <c r="OR88" s="6387"/>
      <c r="OS88" s="6387"/>
      <c r="OT88" s="6387"/>
      <c r="OU88" s="6387"/>
      <c r="OV88" s="6385"/>
      <c r="OW88" s="6387"/>
      <c r="OX88" s="6387"/>
      <c r="OY88" s="6387"/>
      <c r="OZ88" s="6387"/>
      <c r="PA88" s="6396"/>
      <c r="PB88" s="6387"/>
      <c r="PC88" s="6387"/>
      <c r="PD88" s="6387"/>
      <c r="PE88" s="6387"/>
      <c r="PF88" s="6387"/>
      <c r="PG88" s="6385"/>
      <c r="PH88" s="6387"/>
      <c r="PI88" s="6387"/>
      <c r="PJ88" s="6387"/>
      <c r="PK88" s="6387"/>
      <c r="PL88" s="6387"/>
      <c r="PM88" s="6394"/>
      <c r="PN88" s="6387"/>
      <c r="PO88" s="6387"/>
      <c r="PP88" s="6387"/>
      <c r="PQ88" s="6397"/>
      <c r="PR88" s="6398"/>
      <c r="PS88" s="6387"/>
      <c r="PT88" s="6387"/>
      <c r="PU88" s="6387"/>
      <c r="PV88" s="6387"/>
      <c r="PW88" s="6395"/>
      <c r="PX88" s="6394"/>
      <c r="PY88" s="6387"/>
      <c r="PZ88" s="6387"/>
      <c r="QA88" s="6395"/>
      <c r="QB88" s="6394"/>
      <c r="QC88" s="6387"/>
      <c r="QD88" s="6387"/>
      <c r="QE88" s="6387"/>
      <c r="QF88" s="6397"/>
      <c r="QG88" s="6398"/>
      <c r="QH88" s="6387"/>
      <c r="QI88" s="6387"/>
      <c r="QJ88" s="6387"/>
      <c r="QK88" s="6387"/>
      <c r="QL88" s="6395"/>
      <c r="QM88" s="6394"/>
      <c r="QN88" s="6387"/>
      <c r="QO88" s="6387"/>
      <c r="QP88" s="6387"/>
      <c r="QQ88" s="6387"/>
      <c r="QR88" s="6387"/>
      <c r="QS88" s="6387"/>
      <c r="QT88" s="6387"/>
      <c r="QU88" s="6387"/>
      <c r="QV88" s="6387"/>
      <c r="QW88" s="6395"/>
      <c r="QX88" s="6394"/>
      <c r="QY88" s="6387"/>
      <c r="QZ88" s="6387"/>
      <c r="RA88" s="6387"/>
      <c r="RB88" s="6387"/>
      <c r="RC88" s="6387"/>
      <c r="RD88" s="6387"/>
      <c r="RE88" s="6387"/>
      <c r="RF88" s="6387"/>
      <c r="RG88" s="6387"/>
      <c r="RH88" s="6395"/>
      <c r="RI88" s="6394"/>
      <c r="RJ88" s="6387"/>
      <c r="RK88" s="6387"/>
      <c r="RL88" s="6395"/>
      <c r="RM88" s="6394"/>
      <c r="RN88" s="6387"/>
      <c r="RO88" s="6387"/>
      <c r="RP88" s="6387"/>
      <c r="RQ88" s="6387"/>
      <c r="RR88" s="6395"/>
      <c r="RS88" s="6394"/>
      <c r="RT88" s="6387"/>
      <c r="RU88" s="6387"/>
      <c r="RV88" s="6387"/>
      <c r="RW88" s="6387"/>
      <c r="RX88" s="6387"/>
      <c r="RY88" s="6387"/>
      <c r="RZ88" s="6387"/>
      <c r="SA88" s="6387"/>
      <c r="SB88" s="6387"/>
      <c r="SC88" s="6395"/>
      <c r="SD88" s="6394"/>
      <c r="SE88" s="6387"/>
      <c r="SF88" s="6387"/>
      <c r="SG88" s="6387"/>
      <c r="SH88" s="6399"/>
      <c r="SI88" s="6400"/>
      <c r="SJ88" s="6387"/>
      <c r="SK88" s="210"/>
      <c r="SL88" s="210"/>
      <c r="SM88" s="1870"/>
      <c r="SN88" s="6395"/>
      <c r="SO88" s="6387"/>
      <c r="SP88" s="6387"/>
      <c r="SQ88" s="6387"/>
      <c r="SR88" s="6387"/>
      <c r="SS88" s="6399"/>
      <c r="ST88" s="6400"/>
      <c r="SU88" s="6449">
        <v>0</v>
      </c>
      <c r="SV88" s="6387"/>
      <c r="SW88" s="6387"/>
      <c r="SX88" s="190">
        <f t="shared" si="879"/>
        <v>0</v>
      </c>
      <c r="SY88" s="5381">
        <v>0</v>
      </c>
      <c r="SZ88" s="6394"/>
      <c r="TA88" s="118">
        <f t="shared" si="881"/>
        <v>0</v>
      </c>
      <c r="TB88" s="118">
        <f t="shared" si="882"/>
        <v>0</v>
      </c>
      <c r="TC88" s="5380">
        <v>0</v>
      </c>
      <c r="TD88" s="6387"/>
      <c r="TE88" s="6449">
        <v>0</v>
      </c>
      <c r="TF88" s="6449">
        <v>0</v>
      </c>
      <c r="TG88" s="6387"/>
      <c r="TH88" s="133">
        <f t="shared" si="883"/>
        <v>0</v>
      </c>
      <c r="TI88" s="6400"/>
      <c r="TJ88" s="6449">
        <v>0</v>
      </c>
      <c r="TK88" s="6449">
        <v>0</v>
      </c>
      <c r="TL88" s="6449">
        <v>0</v>
      </c>
      <c r="TM88" s="190">
        <f t="shared" si="880"/>
        <v>0</v>
      </c>
      <c r="TN88" s="5381">
        <v>0</v>
      </c>
      <c r="TO88" s="6387"/>
      <c r="TP88" s="6387"/>
      <c r="TQ88" s="6387"/>
      <c r="TR88" s="6387"/>
      <c r="TS88" s="6387"/>
      <c r="TT88" s="6387"/>
      <c r="TU88" s="6387"/>
      <c r="TV88" s="6387"/>
      <c r="TW88" s="6387"/>
      <c r="TX88" s="6387"/>
      <c r="TY88" s="6387"/>
      <c r="TZ88" s="6394"/>
      <c r="UA88" s="6387"/>
      <c r="UB88" s="6387"/>
      <c r="UC88" s="6387"/>
      <c r="UD88" s="6387"/>
      <c r="UE88" s="6387"/>
      <c r="UF88" s="6387"/>
      <c r="UG88" s="6387"/>
      <c r="UH88" s="6387"/>
      <c r="UI88" s="6387"/>
      <c r="UJ88" s="6395"/>
      <c r="UK88" s="6394"/>
      <c r="UL88" s="191">
        <f t="shared" si="884"/>
        <v>0</v>
      </c>
      <c r="UM88" s="191">
        <f t="shared" si="885"/>
        <v>0</v>
      </c>
      <c r="UN88" s="152">
        <v>0</v>
      </c>
      <c r="UO88" s="191">
        <f t="shared" si="886"/>
        <v>0</v>
      </c>
      <c r="UP88" s="5381">
        <v>0</v>
      </c>
    </row>
    <row r="89" spans="1:562" s="65" customFormat="1" ht="14" thickBot="1" x14ac:dyDescent="0.35">
      <c r="A89" s="5316">
        <v>8</v>
      </c>
      <c r="B89" s="5376"/>
      <c r="C89" s="578" t="s">
        <v>1050</v>
      </c>
      <c r="D89" s="578" t="s">
        <v>142</v>
      </c>
      <c r="E89" s="6278" t="s">
        <v>1049</v>
      </c>
      <c r="F89" s="6401"/>
      <c r="G89" s="6402"/>
      <c r="H89" s="6402"/>
      <c r="I89" s="6402"/>
      <c r="J89" s="6401"/>
      <c r="K89" s="6401"/>
      <c r="L89" s="6402"/>
      <c r="M89" s="6402"/>
      <c r="N89" s="6402"/>
      <c r="O89" s="6401"/>
      <c r="P89" s="6401"/>
      <c r="Q89" s="6402"/>
      <c r="R89" s="6402"/>
      <c r="S89" s="6402"/>
      <c r="T89" s="4029"/>
      <c r="U89" s="6401"/>
      <c r="V89" s="6401"/>
      <c r="W89" s="6401"/>
      <c r="X89" s="6401"/>
      <c r="Y89" s="6401"/>
      <c r="Z89" s="6401"/>
      <c r="AA89" s="6401"/>
      <c r="AB89" s="6401"/>
      <c r="AC89" s="6401"/>
      <c r="AD89" s="6401"/>
      <c r="AE89" s="6401"/>
      <c r="AF89" s="6401"/>
      <c r="AG89" s="6403"/>
      <c r="AH89" s="6403"/>
      <c r="AI89" s="6403"/>
      <c r="AJ89" s="6403"/>
      <c r="AK89" s="6403"/>
      <c r="AL89" s="6403"/>
      <c r="AM89" s="6404"/>
      <c r="AN89" s="6404"/>
      <c r="AO89" s="6404"/>
      <c r="AP89" s="6404"/>
      <c r="AQ89" s="6404"/>
      <c r="AR89" s="6403"/>
      <c r="AS89" s="6403"/>
      <c r="AT89" s="6403"/>
      <c r="AU89" s="6403"/>
      <c r="AV89" s="6403"/>
      <c r="AW89" s="6403"/>
      <c r="AX89" s="6401"/>
      <c r="AY89" s="6403"/>
      <c r="AZ89" s="6403"/>
      <c r="BA89" s="6403"/>
      <c r="BB89" s="6403"/>
      <c r="BC89" s="6404"/>
      <c r="BD89" s="6404"/>
      <c r="BE89" s="6404"/>
      <c r="BF89" s="6404"/>
      <c r="BG89" s="6404"/>
      <c r="BH89" s="6405"/>
      <c r="BI89" s="6404"/>
      <c r="BJ89" s="6404"/>
      <c r="BK89" s="6404"/>
      <c r="BL89" s="6404"/>
      <c r="BM89" s="6404"/>
      <c r="BN89" s="6405"/>
      <c r="BO89" s="6406"/>
      <c r="BP89" s="6404"/>
      <c r="BQ89" s="6404"/>
      <c r="BR89" s="6404"/>
      <c r="BS89" s="6404"/>
      <c r="BT89" s="6403"/>
      <c r="BU89" s="6403"/>
      <c r="BV89" s="6403"/>
      <c r="BW89" s="6403"/>
      <c r="BX89" s="6403"/>
      <c r="BY89" s="6401"/>
      <c r="BZ89" s="6403"/>
      <c r="CA89" s="6407"/>
      <c r="CB89" s="6407"/>
      <c r="CC89" s="6403"/>
      <c r="CD89" s="4028"/>
      <c r="CE89" s="6404"/>
      <c r="CF89" s="6404"/>
      <c r="CG89" s="6404"/>
      <c r="CH89" s="6404"/>
      <c r="CI89" s="6404"/>
      <c r="CJ89" s="4028"/>
      <c r="CK89" s="6401"/>
      <c r="CL89" s="6407"/>
      <c r="CM89" s="6407"/>
      <c r="CN89" s="6407"/>
      <c r="CO89" s="6403"/>
      <c r="CP89" s="4028"/>
      <c r="CQ89" s="6404"/>
      <c r="CR89" s="6404"/>
      <c r="CS89" s="6404"/>
      <c r="CT89" s="6404"/>
      <c r="CU89" s="6404"/>
      <c r="CV89" s="4028"/>
      <c r="CW89" s="4028"/>
      <c r="CX89" s="4028"/>
      <c r="CY89" s="4028"/>
      <c r="CZ89" s="4028"/>
      <c r="DA89" s="4028"/>
      <c r="DB89" s="4028"/>
      <c r="DC89" s="6404"/>
      <c r="DD89" s="6404"/>
      <c r="DE89" s="6404"/>
      <c r="DF89" s="6404"/>
      <c r="DG89" s="6404"/>
      <c r="DH89" s="4028"/>
      <c r="DI89" s="4028"/>
      <c r="DJ89" s="4028"/>
      <c r="DK89" s="4028"/>
      <c r="DL89" s="4028"/>
      <c r="DM89" s="4028"/>
      <c r="DN89" s="4028"/>
      <c r="DO89" s="4028"/>
      <c r="DP89" s="6403"/>
      <c r="DQ89" s="6404"/>
      <c r="DR89" s="6404"/>
      <c r="DS89" s="4028"/>
      <c r="DT89" s="4028"/>
      <c r="DU89" s="4028"/>
      <c r="DV89" s="6403"/>
      <c r="DW89" s="6403"/>
      <c r="DX89" s="6403"/>
      <c r="DY89" s="6403"/>
      <c r="DZ89" s="6404"/>
      <c r="EA89" s="6404"/>
      <c r="EB89" s="6403"/>
      <c r="EC89" s="6403"/>
      <c r="ED89" s="6403"/>
      <c r="EE89" s="6403"/>
      <c r="EF89" s="6403"/>
      <c r="EG89" s="6403"/>
      <c r="EH89" s="6403"/>
      <c r="EI89" s="6403"/>
      <c r="EJ89" s="6403"/>
      <c r="EK89" s="6403"/>
      <c r="EL89" s="6403"/>
      <c r="EM89" s="6403"/>
      <c r="EN89" s="6403"/>
      <c r="EO89" s="6403"/>
      <c r="EP89" s="6403"/>
      <c r="EQ89" s="6403"/>
      <c r="ER89" s="6403"/>
      <c r="ES89" s="6403"/>
      <c r="ET89" s="6403"/>
      <c r="EU89" s="6403"/>
      <c r="EV89" s="6403"/>
      <c r="EW89" s="6403"/>
      <c r="EX89" s="6403"/>
      <c r="EY89" s="6403"/>
      <c r="EZ89" s="6403"/>
      <c r="FA89" s="6403"/>
      <c r="FB89" s="6403"/>
      <c r="FC89" s="6403"/>
      <c r="FD89" s="6403"/>
      <c r="FE89" s="6403"/>
      <c r="FF89" s="6403"/>
      <c r="FG89" s="6403"/>
      <c r="FH89" s="6403"/>
      <c r="FI89" s="6403"/>
      <c r="FJ89" s="4028"/>
      <c r="FK89" s="6404"/>
      <c r="FL89" s="6404"/>
      <c r="FM89" s="6404"/>
      <c r="FN89" s="6404"/>
      <c r="FO89" s="6404"/>
      <c r="FP89" s="6403"/>
      <c r="FQ89" s="6404"/>
      <c r="FR89" s="6404"/>
      <c r="FS89" s="6404"/>
      <c r="FT89" s="6403"/>
      <c r="FU89" s="4028"/>
      <c r="FV89" s="6403"/>
      <c r="FW89" s="6403"/>
      <c r="FX89" s="6403"/>
      <c r="FY89" s="6403"/>
      <c r="FZ89" s="6403"/>
      <c r="GA89" s="4028"/>
      <c r="GB89" s="4028"/>
      <c r="GC89" s="6403"/>
      <c r="GD89" s="6403"/>
      <c r="GE89" s="6403"/>
      <c r="GF89" s="6403"/>
      <c r="GG89" s="6403"/>
      <c r="GH89" s="4028"/>
      <c r="GI89" s="6403"/>
      <c r="GJ89" s="6403"/>
      <c r="GK89" s="6403"/>
      <c r="GL89" s="6403"/>
      <c r="GM89" s="6403"/>
      <c r="GN89" s="6404"/>
      <c r="GO89" s="6404"/>
      <c r="GP89" s="6404"/>
      <c r="GQ89" s="6404"/>
      <c r="GR89" s="6404"/>
      <c r="GS89" s="6403"/>
      <c r="GT89" s="6404"/>
      <c r="GU89" s="6404"/>
      <c r="GV89" s="6404"/>
      <c r="GW89" s="6404"/>
      <c r="GX89" s="6403"/>
      <c r="GY89" s="4028"/>
      <c r="GZ89" s="6408"/>
      <c r="HA89" s="6408"/>
      <c r="HB89" s="6408"/>
      <c r="HC89" s="6408"/>
      <c r="HD89" s="4028"/>
      <c r="HE89" s="4028"/>
      <c r="HF89" s="6404"/>
      <c r="HG89" s="6404"/>
      <c r="HH89" s="6404"/>
      <c r="HI89" s="6404"/>
      <c r="HJ89" s="4028"/>
      <c r="HK89" s="4028"/>
      <c r="HL89" s="4028"/>
      <c r="HM89" s="4028"/>
      <c r="HN89" s="4028"/>
      <c r="HO89" s="4028"/>
      <c r="HP89" s="4028"/>
      <c r="HQ89" s="4028"/>
      <c r="HR89" s="6404"/>
      <c r="HS89" s="6404"/>
      <c r="HT89" s="6404"/>
      <c r="HU89" s="6404"/>
      <c r="HV89" s="4028"/>
      <c r="HW89" s="4028"/>
      <c r="HX89" s="4028"/>
      <c r="HY89" s="4028"/>
      <c r="HZ89" s="4028"/>
      <c r="IA89" s="4028"/>
      <c r="IB89" s="4028"/>
      <c r="IC89" s="4028"/>
      <c r="ID89" s="4028"/>
      <c r="IE89" s="4028"/>
      <c r="IF89" s="4028"/>
      <c r="IG89" s="4028"/>
      <c r="IH89" s="4028"/>
      <c r="II89" s="6403"/>
      <c r="IJ89" s="6404"/>
      <c r="IK89" s="6404"/>
      <c r="IL89" s="6404"/>
      <c r="IM89" s="6404"/>
      <c r="IN89" s="6404"/>
      <c r="IO89" s="6403"/>
      <c r="IP89" s="6403"/>
      <c r="IQ89" s="3714"/>
      <c r="IR89" s="6409"/>
      <c r="IS89" s="6409"/>
      <c r="IT89" s="6403"/>
      <c r="IU89" s="6401"/>
      <c r="IV89" s="6403"/>
      <c r="IW89" s="6403"/>
      <c r="IX89" s="6403"/>
      <c r="IY89" s="6403"/>
      <c r="IZ89" s="6403"/>
      <c r="JA89" s="6403"/>
      <c r="JB89" s="6403"/>
      <c r="JC89" s="3714"/>
      <c r="JD89" s="6403"/>
      <c r="JE89" s="6403"/>
      <c r="JF89" s="6403"/>
      <c r="JG89" s="6403"/>
      <c r="JH89" s="6403"/>
      <c r="JI89" s="6403"/>
      <c r="JJ89" s="6403"/>
      <c r="JK89" s="6403"/>
      <c r="JL89" s="6403"/>
      <c r="JM89" s="6403"/>
      <c r="JN89" s="6403"/>
      <c r="JO89" s="6403"/>
      <c r="JP89" s="6403"/>
      <c r="JQ89" s="6403"/>
      <c r="JR89" s="6403"/>
      <c r="JS89" s="6403"/>
      <c r="JT89" s="6403"/>
      <c r="JU89" s="6403"/>
      <c r="JV89" s="6403"/>
      <c r="JW89" s="6403"/>
      <c r="JX89" s="6403"/>
      <c r="JY89" s="6403"/>
      <c r="JZ89" s="6403"/>
      <c r="KA89" s="6403"/>
      <c r="KB89" s="6403"/>
      <c r="KC89" s="6403"/>
      <c r="KD89" s="6403"/>
      <c r="KE89" s="6403"/>
      <c r="KF89" s="6403"/>
      <c r="KG89" s="6403"/>
      <c r="KH89" s="6403"/>
      <c r="KI89" s="6403"/>
      <c r="KJ89" s="6403"/>
      <c r="KK89" s="6403"/>
      <c r="KL89" s="3714"/>
      <c r="KM89" s="6403"/>
      <c r="KN89" s="6403"/>
      <c r="KO89" s="6403"/>
      <c r="KP89" s="6403"/>
      <c r="KQ89" s="4028"/>
      <c r="KR89" s="6403"/>
      <c r="KS89" s="3714"/>
      <c r="KT89" s="6403"/>
      <c r="KU89" s="3714"/>
      <c r="KV89" s="6403"/>
      <c r="KW89" s="3714"/>
      <c r="KX89" s="6403"/>
      <c r="KY89" s="6403"/>
      <c r="KZ89" s="6403"/>
      <c r="LA89" s="6403"/>
      <c r="LB89" s="3714"/>
      <c r="LC89" s="3714"/>
      <c r="LD89" s="3714"/>
      <c r="LE89" s="4028"/>
      <c r="LF89" s="6404"/>
      <c r="LG89" s="6404"/>
      <c r="LH89" s="6404"/>
      <c r="LI89" s="4028"/>
      <c r="LJ89" s="4028"/>
      <c r="LK89" s="4028"/>
      <c r="LL89" s="3714"/>
      <c r="LM89" s="3714"/>
      <c r="LN89" s="3714"/>
      <c r="LO89" s="3714"/>
      <c r="LP89" s="3714"/>
      <c r="LQ89" s="6403"/>
      <c r="LR89" s="3714"/>
      <c r="LS89" s="6403"/>
      <c r="LT89" s="6403"/>
      <c r="LU89" s="6403"/>
      <c r="LV89" s="6403"/>
      <c r="LW89" s="6404"/>
      <c r="LX89" s="6404"/>
      <c r="LY89" s="6404"/>
      <c r="LZ89" s="6404"/>
      <c r="MA89" s="6403"/>
      <c r="MB89" s="6403"/>
      <c r="MC89" s="6403"/>
      <c r="MD89" s="6403"/>
      <c r="ME89" s="6403"/>
      <c r="MF89" s="6403"/>
      <c r="MG89" s="6403"/>
      <c r="MH89" s="6403"/>
      <c r="MI89" s="6403"/>
      <c r="MJ89" s="6403"/>
      <c r="MK89" s="6403"/>
      <c r="ML89" s="6403"/>
      <c r="MM89" s="6403"/>
      <c r="MN89" s="6403"/>
      <c r="MO89" s="6403"/>
      <c r="MP89" s="6403"/>
      <c r="MQ89" s="6403"/>
      <c r="MR89" s="6403"/>
      <c r="MS89" s="6406"/>
      <c r="MT89" s="6404"/>
      <c r="MU89" s="6404"/>
      <c r="MV89" s="6403"/>
      <c r="MW89" s="6404"/>
      <c r="MX89" s="6404"/>
      <c r="MY89" s="6404"/>
      <c r="MZ89" s="6404"/>
      <c r="NA89" s="6404"/>
      <c r="NB89" s="6403"/>
      <c r="NC89" s="6403"/>
      <c r="ND89" s="6403"/>
      <c r="NE89" s="6403"/>
      <c r="NF89" s="6403"/>
      <c r="NG89" s="6403"/>
      <c r="NH89" s="6403"/>
      <c r="NI89" s="6403"/>
      <c r="NJ89" s="6403"/>
      <c r="NK89" s="6403"/>
      <c r="NL89" s="6403"/>
      <c r="NM89" s="6403"/>
      <c r="NN89" s="6403"/>
      <c r="NO89" s="6403"/>
      <c r="NP89" s="6403"/>
      <c r="NQ89" s="6403"/>
      <c r="NR89" s="6403"/>
      <c r="NS89" s="6403"/>
      <c r="NT89" s="6403"/>
      <c r="NU89" s="6403"/>
      <c r="NV89" s="6403"/>
      <c r="NW89" s="6403"/>
      <c r="NX89" s="6403"/>
      <c r="NY89" s="6410"/>
      <c r="NZ89" s="6403"/>
      <c r="OA89" s="6403"/>
      <c r="OB89" s="6403"/>
      <c r="OC89" s="6403"/>
      <c r="OD89" s="6403"/>
      <c r="OE89" s="6403"/>
      <c r="OF89" s="6403"/>
      <c r="OG89" s="6403"/>
      <c r="OH89" s="6403"/>
      <c r="OI89" s="6411"/>
      <c r="OJ89" s="3714"/>
      <c r="OK89" s="6403"/>
      <c r="OL89" s="6403"/>
      <c r="OM89" s="6403"/>
      <c r="ON89" s="6403"/>
      <c r="OO89" s="6403"/>
      <c r="OP89" s="6403"/>
      <c r="OQ89" s="6410"/>
      <c r="OR89" s="6403"/>
      <c r="OS89" s="6403"/>
      <c r="OT89" s="6403"/>
      <c r="OU89" s="6403"/>
      <c r="OV89" s="6401"/>
      <c r="OW89" s="6403"/>
      <c r="OX89" s="6403"/>
      <c r="OY89" s="6403"/>
      <c r="OZ89" s="6403"/>
      <c r="PA89" s="6412"/>
      <c r="PB89" s="6403"/>
      <c r="PC89" s="6403"/>
      <c r="PD89" s="6403"/>
      <c r="PE89" s="6403"/>
      <c r="PF89" s="6403"/>
      <c r="PG89" s="6401"/>
      <c r="PH89" s="6403"/>
      <c r="PI89" s="6403"/>
      <c r="PJ89" s="6403"/>
      <c r="PK89" s="6403"/>
      <c r="PL89" s="6403"/>
      <c r="PM89" s="6410"/>
      <c r="PN89" s="6403"/>
      <c r="PO89" s="6403"/>
      <c r="PP89" s="6403"/>
      <c r="PQ89" s="6413"/>
      <c r="PR89" s="6414"/>
      <c r="PS89" s="6403"/>
      <c r="PT89" s="6403"/>
      <c r="PU89" s="6403"/>
      <c r="PV89" s="6403"/>
      <c r="PW89" s="6411"/>
      <c r="PX89" s="6410"/>
      <c r="PY89" s="6403"/>
      <c r="PZ89" s="6403"/>
      <c r="QA89" s="6411"/>
      <c r="QB89" s="6410"/>
      <c r="QC89" s="6403"/>
      <c r="QD89" s="6403"/>
      <c r="QE89" s="6403"/>
      <c r="QF89" s="6413"/>
      <c r="QG89" s="6414"/>
      <c r="QH89" s="6403"/>
      <c r="QI89" s="6403"/>
      <c r="QJ89" s="6403"/>
      <c r="QK89" s="6403"/>
      <c r="QL89" s="6411"/>
      <c r="QM89" s="6410"/>
      <c r="QN89" s="6403"/>
      <c r="QO89" s="6403"/>
      <c r="QP89" s="6403"/>
      <c r="QQ89" s="6403"/>
      <c r="QR89" s="6403"/>
      <c r="QS89" s="6403"/>
      <c r="QT89" s="6403"/>
      <c r="QU89" s="6403"/>
      <c r="QV89" s="6403"/>
      <c r="QW89" s="6411"/>
      <c r="QX89" s="6410"/>
      <c r="QY89" s="6403"/>
      <c r="QZ89" s="6403"/>
      <c r="RA89" s="6403"/>
      <c r="RB89" s="6403"/>
      <c r="RC89" s="6403"/>
      <c r="RD89" s="6403"/>
      <c r="RE89" s="6403"/>
      <c r="RF89" s="6403"/>
      <c r="RG89" s="6403"/>
      <c r="RH89" s="6411"/>
      <c r="RI89" s="6410"/>
      <c r="RJ89" s="6403"/>
      <c r="RK89" s="6403"/>
      <c r="RL89" s="6411"/>
      <c r="RM89" s="6410"/>
      <c r="RN89" s="6403"/>
      <c r="RO89" s="6403"/>
      <c r="RP89" s="6403"/>
      <c r="RQ89" s="6403"/>
      <c r="RR89" s="6411"/>
      <c r="RS89" s="6410"/>
      <c r="RT89" s="6403"/>
      <c r="RU89" s="6403"/>
      <c r="RV89" s="6403"/>
      <c r="RW89" s="6403"/>
      <c r="RX89" s="6403"/>
      <c r="RY89" s="6403"/>
      <c r="RZ89" s="6403"/>
      <c r="SA89" s="6403"/>
      <c r="SB89" s="6403"/>
      <c r="SC89" s="6411"/>
      <c r="SD89" s="6410"/>
      <c r="SE89" s="6403"/>
      <c r="SF89" s="6403"/>
      <c r="SG89" s="6403"/>
      <c r="SH89" s="6415"/>
      <c r="SI89" s="6416"/>
      <c r="SJ89" s="6403"/>
      <c r="SK89" s="4028"/>
      <c r="SL89" s="4028"/>
      <c r="SM89" s="6451"/>
      <c r="SN89" s="6411"/>
      <c r="SO89" s="6403"/>
      <c r="SP89" s="6403"/>
      <c r="SQ89" s="6403"/>
      <c r="SR89" s="6403"/>
      <c r="SS89" s="6415"/>
      <c r="ST89" s="6416"/>
      <c r="SU89" s="6449">
        <v>0</v>
      </c>
      <c r="SV89" s="6403"/>
      <c r="SW89" s="6403"/>
      <c r="SX89" s="147"/>
      <c r="SY89" s="5383"/>
      <c r="SZ89" s="6410"/>
      <c r="TA89" s="6403"/>
      <c r="TB89" s="6403"/>
      <c r="TC89" s="6411"/>
      <c r="TD89" s="6403"/>
      <c r="TE89" s="6449">
        <v>0</v>
      </c>
      <c r="TF89" s="6449">
        <v>0</v>
      </c>
      <c r="TG89" s="6403"/>
      <c r="TH89" s="133">
        <f t="shared" si="883"/>
        <v>0</v>
      </c>
      <c r="TI89" s="6416"/>
      <c r="TJ89" s="6449">
        <v>0</v>
      </c>
      <c r="TK89" s="6449">
        <v>0</v>
      </c>
      <c r="TL89" s="6449">
        <v>0</v>
      </c>
      <c r="TM89" s="147"/>
      <c r="TN89" s="5383"/>
      <c r="TO89" s="6403"/>
      <c r="TP89" s="6403"/>
      <c r="TQ89" s="6403"/>
      <c r="TR89" s="6403"/>
      <c r="TS89" s="6403"/>
      <c r="TT89" s="6403"/>
      <c r="TU89" s="6403"/>
      <c r="TV89" s="6403"/>
      <c r="TW89" s="6403"/>
      <c r="TX89" s="6403"/>
      <c r="TY89" s="6403"/>
      <c r="TZ89" s="6410"/>
      <c r="UA89" s="6403"/>
      <c r="UB89" s="6403"/>
      <c r="UC89" s="6403"/>
      <c r="UD89" s="6403"/>
      <c r="UE89" s="6403"/>
      <c r="UF89" s="6403"/>
      <c r="UG89" s="6403"/>
      <c r="UH89" s="6403"/>
      <c r="UI89" s="6403"/>
      <c r="UJ89" s="6411"/>
      <c r="UK89" s="6410"/>
      <c r="UL89" s="191">
        <f t="shared" si="884"/>
        <v>0</v>
      </c>
      <c r="UM89" s="191">
        <f t="shared" si="885"/>
        <v>0</v>
      </c>
      <c r="UN89" s="152">
        <v>0</v>
      </c>
      <c r="UO89" s="191">
        <f t="shared" si="886"/>
        <v>0</v>
      </c>
      <c r="UP89" s="5381">
        <v>0</v>
      </c>
    </row>
    <row r="90" spans="1:562" s="65" customFormat="1" ht="15.6" thickBot="1" x14ac:dyDescent="0.35">
      <c r="A90" s="5429"/>
      <c r="B90" s="5430" t="s">
        <v>184</v>
      </c>
      <c r="C90" s="5431"/>
      <c r="D90" s="5431"/>
      <c r="E90" s="6285" t="s">
        <v>184</v>
      </c>
      <c r="F90" s="87"/>
      <c r="G90" s="426"/>
      <c r="H90" s="426"/>
      <c r="I90" s="426"/>
      <c r="J90" s="87"/>
      <c r="K90" s="87"/>
      <c r="L90" s="426"/>
      <c r="M90" s="426"/>
      <c r="N90" s="426"/>
      <c r="O90" s="87"/>
      <c r="P90" s="87"/>
      <c r="Q90" s="426"/>
      <c r="R90" s="426"/>
      <c r="S90" s="426"/>
      <c r="T90" s="423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M90" s="102"/>
      <c r="AN90" s="102"/>
      <c r="AO90" s="102"/>
      <c r="AP90" s="102"/>
      <c r="AQ90" s="102"/>
      <c r="AX90" s="66"/>
      <c r="BC90" s="102"/>
      <c r="BD90" s="102"/>
      <c r="BE90" s="102"/>
      <c r="BF90" s="102"/>
      <c r="BG90" s="102"/>
      <c r="BH90" s="574"/>
      <c r="BI90" s="102"/>
      <c r="BJ90" s="102"/>
      <c r="BK90" s="102"/>
      <c r="BL90" s="102"/>
      <c r="BM90" s="102"/>
      <c r="BN90" s="574"/>
      <c r="BO90" s="419"/>
      <c r="BP90" s="102"/>
      <c r="BQ90" s="102"/>
      <c r="BR90" s="102"/>
      <c r="BS90" s="102"/>
      <c r="BY90" s="66"/>
      <c r="CA90" s="575"/>
      <c r="CB90" s="575"/>
      <c r="CD90" s="64"/>
      <c r="CE90" s="102"/>
      <c r="CF90" s="102"/>
      <c r="CG90" s="102"/>
      <c r="CH90" s="102"/>
      <c r="CI90" s="102"/>
      <c r="CJ90" s="64"/>
      <c r="CK90" s="66"/>
      <c r="CL90" s="575"/>
      <c r="CM90" s="575"/>
      <c r="CN90" s="575"/>
      <c r="CP90" s="64"/>
      <c r="CQ90" s="102"/>
      <c r="CR90" s="102"/>
      <c r="CS90" s="102"/>
      <c r="CT90" s="102"/>
      <c r="CU90" s="102"/>
      <c r="CV90" s="64"/>
      <c r="CW90" s="64"/>
      <c r="CX90" s="64"/>
      <c r="CY90" s="64"/>
      <c r="CZ90" s="64"/>
      <c r="DA90" s="64"/>
      <c r="DB90" s="64"/>
      <c r="DC90" s="102"/>
      <c r="DD90" s="102"/>
      <c r="DE90" s="102"/>
      <c r="DF90" s="102"/>
      <c r="DG90" s="102"/>
      <c r="DH90" s="64"/>
      <c r="DI90" s="64"/>
      <c r="DJ90" s="64"/>
      <c r="DK90" s="64"/>
      <c r="DL90" s="64"/>
      <c r="DM90" s="64"/>
      <c r="DN90" s="64"/>
      <c r="DO90" s="64"/>
      <c r="DQ90" s="102"/>
      <c r="DR90" s="102"/>
      <c r="DS90" s="64"/>
      <c r="DT90" s="64"/>
      <c r="DU90" s="64"/>
      <c r="DZ90" s="102"/>
      <c r="EA90" s="102"/>
      <c r="FJ90" s="64"/>
      <c r="FK90" s="102"/>
      <c r="FL90" s="102"/>
      <c r="FM90" s="102"/>
      <c r="FN90" s="102"/>
      <c r="FO90" s="102"/>
      <c r="FQ90" s="102"/>
      <c r="FR90" s="102"/>
      <c r="FS90" s="102"/>
      <c r="FU90" s="64"/>
      <c r="GA90" s="64"/>
      <c r="GB90" s="64"/>
      <c r="GH90" s="64"/>
      <c r="GN90" s="102"/>
      <c r="GO90" s="102"/>
      <c r="GP90" s="102"/>
      <c r="GQ90" s="102"/>
      <c r="GR90" s="102"/>
      <c r="GT90" s="102"/>
      <c r="GU90" s="102"/>
      <c r="GV90" s="102"/>
      <c r="GW90" s="102"/>
      <c r="GY90" s="64"/>
      <c r="GZ90" s="576"/>
      <c r="HA90" s="576"/>
      <c r="HB90" s="576"/>
      <c r="HC90" s="576"/>
      <c r="HD90" s="64"/>
      <c r="HE90" s="64"/>
      <c r="HF90" s="102"/>
      <c r="HG90" s="102"/>
      <c r="HH90" s="102"/>
      <c r="HI90" s="102"/>
      <c r="HJ90" s="64"/>
      <c r="HK90" s="64"/>
      <c r="HL90" s="64"/>
      <c r="HM90" s="64"/>
      <c r="HN90" s="64"/>
      <c r="HO90" s="64"/>
      <c r="HP90" s="64"/>
      <c r="HQ90" s="64"/>
      <c r="HR90" s="102"/>
      <c r="HS90" s="102"/>
      <c r="HT90" s="102"/>
      <c r="HU90" s="102"/>
      <c r="HV90" s="64"/>
      <c r="HW90" s="64"/>
      <c r="HX90" s="64"/>
      <c r="HY90" s="64"/>
      <c r="HZ90" s="64"/>
      <c r="IA90" s="64"/>
      <c r="IB90" s="64"/>
      <c r="IC90" s="64"/>
      <c r="ID90" s="64"/>
      <c r="IE90" s="64"/>
      <c r="IF90" s="64"/>
      <c r="IG90" s="64"/>
      <c r="IH90" s="64"/>
      <c r="IJ90" s="102"/>
      <c r="IK90" s="102"/>
      <c r="IL90" s="102"/>
      <c r="IM90" s="102"/>
      <c r="IN90" s="102"/>
      <c r="IQ90" s="428"/>
      <c r="IR90" s="810"/>
      <c r="IS90" s="810"/>
      <c r="IU90" s="66"/>
      <c r="JC90" s="428"/>
      <c r="KL90" s="428"/>
      <c r="KQ90" s="64"/>
      <c r="KS90" s="428"/>
      <c r="KU90" s="428"/>
      <c r="KW90" s="428"/>
      <c r="LB90" s="428"/>
      <c r="LC90" s="428"/>
      <c r="LD90" s="428"/>
      <c r="LE90" s="64"/>
      <c r="LF90" s="102"/>
      <c r="LG90" s="102"/>
      <c r="LH90" s="102"/>
      <c r="LI90" s="64"/>
      <c r="LJ90" s="64"/>
      <c r="LK90" s="64"/>
      <c r="LL90" s="428"/>
      <c r="LM90" s="428"/>
      <c r="LN90" s="428"/>
      <c r="LO90" s="428"/>
      <c r="LP90" s="428"/>
      <c r="LR90" s="428"/>
      <c r="LW90" s="102"/>
      <c r="LX90" s="102"/>
      <c r="LY90" s="102"/>
      <c r="LZ90" s="102"/>
      <c r="MS90" s="419"/>
      <c r="MT90" s="102"/>
      <c r="MU90" s="102"/>
      <c r="MW90" s="102"/>
      <c r="MX90" s="102"/>
      <c r="MY90" s="102"/>
      <c r="MZ90" s="102"/>
      <c r="NA90" s="102"/>
      <c r="NY90" s="5456">
        <f>SUM(NY82:NY89)</f>
        <v>0</v>
      </c>
      <c r="NZ90" s="5433">
        <f t="shared" ref="NZ90:QK90" si="887">SUM(NZ82:NZ89)</f>
        <v>0</v>
      </c>
      <c r="OA90" s="5433">
        <f t="shared" si="887"/>
        <v>0</v>
      </c>
      <c r="OB90" s="5433">
        <f t="shared" si="887"/>
        <v>0</v>
      </c>
      <c r="OC90" s="5433">
        <f t="shared" si="887"/>
        <v>0</v>
      </c>
      <c r="OD90" s="5433">
        <f t="shared" si="887"/>
        <v>0</v>
      </c>
      <c r="OE90" s="5433">
        <f t="shared" si="887"/>
        <v>0</v>
      </c>
      <c r="OF90" s="5433">
        <f t="shared" si="887"/>
        <v>0</v>
      </c>
      <c r="OG90" s="5433">
        <f t="shared" si="887"/>
        <v>0</v>
      </c>
      <c r="OH90" s="5433">
        <f t="shared" si="887"/>
        <v>0</v>
      </c>
      <c r="OI90" s="6264">
        <f t="shared" si="887"/>
        <v>0</v>
      </c>
      <c r="OJ90" s="5433">
        <f t="shared" si="887"/>
        <v>0</v>
      </c>
      <c r="OK90" s="5433">
        <f t="shared" si="887"/>
        <v>0</v>
      </c>
      <c r="OL90" s="5433">
        <f t="shared" si="887"/>
        <v>0</v>
      </c>
      <c r="OM90" s="5433">
        <f t="shared" si="887"/>
        <v>0</v>
      </c>
      <c r="ON90" s="5433">
        <f t="shared" si="887"/>
        <v>0</v>
      </c>
      <c r="OO90" s="5433">
        <f t="shared" si="887"/>
        <v>0</v>
      </c>
      <c r="OP90" s="5433">
        <f t="shared" si="887"/>
        <v>0</v>
      </c>
      <c r="OQ90" s="5456">
        <f t="shared" si="887"/>
        <v>0</v>
      </c>
      <c r="OR90" s="5433">
        <f t="shared" si="887"/>
        <v>0</v>
      </c>
      <c r="OS90" s="5433">
        <f t="shared" si="887"/>
        <v>0</v>
      </c>
      <c r="OT90" s="5433">
        <f t="shared" si="887"/>
        <v>0</v>
      </c>
      <c r="OU90" s="5433">
        <f t="shared" si="887"/>
        <v>0</v>
      </c>
      <c r="OV90" s="5433">
        <f t="shared" si="887"/>
        <v>0</v>
      </c>
      <c r="OW90" s="5433">
        <f t="shared" si="887"/>
        <v>0</v>
      </c>
      <c r="OX90" s="5433">
        <f t="shared" si="887"/>
        <v>0</v>
      </c>
      <c r="OY90" s="5433">
        <f t="shared" si="887"/>
        <v>0</v>
      </c>
      <c r="OZ90" s="5433">
        <f t="shared" si="887"/>
        <v>0</v>
      </c>
      <c r="PA90" s="6264">
        <f t="shared" si="887"/>
        <v>0</v>
      </c>
      <c r="PB90" s="5433">
        <f t="shared" si="887"/>
        <v>0</v>
      </c>
      <c r="PC90" s="5433">
        <f t="shared" si="887"/>
        <v>0</v>
      </c>
      <c r="PD90" s="5433">
        <f t="shared" si="887"/>
        <v>0</v>
      </c>
      <c r="PE90" s="5433">
        <f t="shared" si="887"/>
        <v>0</v>
      </c>
      <c r="PF90" s="5433">
        <f t="shared" si="887"/>
        <v>0</v>
      </c>
      <c r="PG90" s="5433">
        <f t="shared" si="887"/>
        <v>0</v>
      </c>
      <c r="PH90" s="5433">
        <f t="shared" si="887"/>
        <v>0</v>
      </c>
      <c r="PI90" s="5433">
        <f t="shared" si="887"/>
        <v>0</v>
      </c>
      <c r="PJ90" s="5433">
        <f t="shared" si="887"/>
        <v>0</v>
      </c>
      <c r="PK90" s="5433">
        <f t="shared" si="887"/>
        <v>0</v>
      </c>
      <c r="PL90" s="5433">
        <f t="shared" si="887"/>
        <v>0</v>
      </c>
      <c r="PM90" s="5456">
        <f t="shared" si="887"/>
        <v>0</v>
      </c>
      <c r="PN90" s="5433">
        <f t="shared" si="887"/>
        <v>0</v>
      </c>
      <c r="PO90" s="5433">
        <f t="shared" si="887"/>
        <v>0</v>
      </c>
      <c r="PP90" s="5433">
        <f t="shared" si="887"/>
        <v>0</v>
      </c>
      <c r="PQ90" s="6311">
        <f t="shared" si="887"/>
        <v>0</v>
      </c>
      <c r="PR90" s="6315">
        <f t="shared" si="887"/>
        <v>0</v>
      </c>
      <c r="PS90" s="5433">
        <f t="shared" si="887"/>
        <v>0</v>
      </c>
      <c r="PT90" s="5433">
        <f t="shared" si="887"/>
        <v>0</v>
      </c>
      <c r="PU90" s="5433">
        <f t="shared" si="887"/>
        <v>0</v>
      </c>
      <c r="PV90" s="5433">
        <f t="shared" si="887"/>
        <v>0</v>
      </c>
      <c r="PW90" s="6264">
        <f t="shared" si="887"/>
        <v>0</v>
      </c>
      <c r="PX90" s="5456">
        <f t="shared" si="887"/>
        <v>0</v>
      </c>
      <c r="PY90" s="5433">
        <f t="shared" si="887"/>
        <v>0</v>
      </c>
      <c r="PZ90" s="5433">
        <f t="shared" si="887"/>
        <v>0</v>
      </c>
      <c r="QA90" s="6264">
        <f t="shared" si="887"/>
        <v>0</v>
      </c>
      <c r="QB90" s="5456">
        <f t="shared" si="887"/>
        <v>0</v>
      </c>
      <c r="QC90" s="5433">
        <f t="shared" si="887"/>
        <v>0</v>
      </c>
      <c r="QD90" s="5433">
        <f t="shared" si="887"/>
        <v>0</v>
      </c>
      <c r="QE90" s="5433">
        <f t="shared" si="887"/>
        <v>0</v>
      </c>
      <c r="QF90" s="6311">
        <f t="shared" si="887"/>
        <v>0</v>
      </c>
      <c r="QG90" s="6315">
        <f t="shared" si="887"/>
        <v>0</v>
      </c>
      <c r="QH90" s="5433">
        <f t="shared" si="887"/>
        <v>0</v>
      </c>
      <c r="QI90" s="5433">
        <f t="shared" si="887"/>
        <v>0</v>
      </c>
      <c r="QJ90" s="5433">
        <f t="shared" si="887"/>
        <v>0</v>
      </c>
      <c r="QK90" s="5433">
        <f t="shared" si="887"/>
        <v>0</v>
      </c>
      <c r="QL90" s="6264">
        <f t="shared" ref="QL90:SW90" si="888">SUM(QL82:QL89)</f>
        <v>0</v>
      </c>
      <c r="QM90" s="5456">
        <f t="shared" si="888"/>
        <v>0</v>
      </c>
      <c r="QN90" s="5433">
        <f t="shared" si="888"/>
        <v>0</v>
      </c>
      <c r="QO90" s="5433">
        <f t="shared" si="888"/>
        <v>0</v>
      </c>
      <c r="QP90" s="5433">
        <f t="shared" si="888"/>
        <v>0</v>
      </c>
      <c r="QQ90" s="5433">
        <f t="shared" si="888"/>
        <v>0</v>
      </c>
      <c r="QR90" s="5433">
        <f t="shared" si="888"/>
        <v>0</v>
      </c>
      <c r="QS90" s="5433">
        <f t="shared" si="888"/>
        <v>0</v>
      </c>
      <c r="QT90" s="5433">
        <f t="shared" si="888"/>
        <v>0</v>
      </c>
      <c r="QU90" s="5433">
        <f t="shared" si="888"/>
        <v>0</v>
      </c>
      <c r="QV90" s="5433">
        <f t="shared" si="888"/>
        <v>0</v>
      </c>
      <c r="QW90" s="6264">
        <f t="shared" si="888"/>
        <v>0</v>
      </c>
      <c r="QX90" s="5456">
        <f t="shared" si="888"/>
        <v>0</v>
      </c>
      <c r="QY90" s="5433">
        <f t="shared" si="888"/>
        <v>0</v>
      </c>
      <c r="QZ90" s="5433">
        <f t="shared" si="888"/>
        <v>0</v>
      </c>
      <c r="RA90" s="5433">
        <f t="shared" si="888"/>
        <v>0</v>
      </c>
      <c r="RB90" s="5433">
        <f t="shared" si="888"/>
        <v>0</v>
      </c>
      <c r="RC90" s="5433">
        <f t="shared" si="888"/>
        <v>0</v>
      </c>
      <c r="RD90" s="5433">
        <f t="shared" si="888"/>
        <v>0</v>
      </c>
      <c r="RE90" s="5433">
        <f t="shared" si="888"/>
        <v>0</v>
      </c>
      <c r="RF90" s="5433">
        <f t="shared" si="888"/>
        <v>0</v>
      </c>
      <c r="RG90" s="5433">
        <f t="shared" si="888"/>
        <v>0</v>
      </c>
      <c r="RH90" s="6264">
        <f t="shared" si="888"/>
        <v>0</v>
      </c>
      <c r="RI90" s="5456">
        <f t="shared" si="888"/>
        <v>0</v>
      </c>
      <c r="RJ90" s="5433">
        <f t="shared" si="888"/>
        <v>0</v>
      </c>
      <c r="RK90" s="5433">
        <f t="shared" si="888"/>
        <v>0</v>
      </c>
      <c r="RL90" s="6264">
        <f t="shared" si="888"/>
        <v>0</v>
      </c>
      <c r="RM90" s="5456">
        <f t="shared" si="888"/>
        <v>0</v>
      </c>
      <c r="RN90" s="5433">
        <f t="shared" si="888"/>
        <v>0</v>
      </c>
      <c r="RO90" s="5433">
        <f t="shared" si="888"/>
        <v>0</v>
      </c>
      <c r="RP90" s="5433">
        <f t="shared" si="888"/>
        <v>0</v>
      </c>
      <c r="RQ90" s="5433">
        <f t="shared" si="888"/>
        <v>0</v>
      </c>
      <c r="RR90" s="6264">
        <f t="shared" si="888"/>
        <v>0</v>
      </c>
      <c r="RS90" s="5456">
        <f t="shared" si="888"/>
        <v>0</v>
      </c>
      <c r="RT90" s="5433">
        <f t="shared" si="888"/>
        <v>0</v>
      </c>
      <c r="RU90" s="5433">
        <f t="shared" si="888"/>
        <v>0</v>
      </c>
      <c r="RV90" s="5433">
        <f t="shared" si="888"/>
        <v>0</v>
      </c>
      <c r="RW90" s="5433">
        <f t="shared" si="888"/>
        <v>0</v>
      </c>
      <c r="RX90" s="5433">
        <f t="shared" si="888"/>
        <v>0</v>
      </c>
      <c r="RY90" s="5433">
        <f t="shared" si="888"/>
        <v>0</v>
      </c>
      <c r="RZ90" s="5433">
        <f t="shared" si="888"/>
        <v>0</v>
      </c>
      <c r="SA90" s="5433">
        <f t="shared" si="888"/>
        <v>0</v>
      </c>
      <c r="SB90" s="5433">
        <f t="shared" si="888"/>
        <v>0</v>
      </c>
      <c r="SC90" s="6264">
        <f t="shared" si="888"/>
        <v>0</v>
      </c>
      <c r="SD90" s="5456">
        <f t="shared" si="888"/>
        <v>0</v>
      </c>
      <c r="SE90" s="5433">
        <f t="shared" si="888"/>
        <v>0</v>
      </c>
      <c r="SF90" s="5433">
        <f t="shared" si="888"/>
        <v>0</v>
      </c>
      <c r="SG90" s="5433">
        <f t="shared" si="888"/>
        <v>0</v>
      </c>
      <c r="SH90" s="6378">
        <f t="shared" si="888"/>
        <v>0</v>
      </c>
      <c r="SI90" s="6381">
        <f t="shared" si="888"/>
        <v>0</v>
      </c>
      <c r="SJ90" s="5433">
        <f t="shared" si="888"/>
        <v>0</v>
      </c>
      <c r="SK90" s="5433">
        <f t="shared" si="888"/>
        <v>0</v>
      </c>
      <c r="SL90" s="5433">
        <f t="shared" si="888"/>
        <v>0</v>
      </c>
      <c r="SM90" s="5432">
        <f t="shared" si="888"/>
        <v>0</v>
      </c>
      <c r="SN90" s="6264">
        <f t="shared" si="888"/>
        <v>0</v>
      </c>
      <c r="SO90" s="5433">
        <f t="shared" si="888"/>
        <v>0</v>
      </c>
      <c r="SP90" s="5433">
        <f t="shared" si="888"/>
        <v>0</v>
      </c>
      <c r="SQ90" s="5433">
        <f t="shared" si="888"/>
        <v>0</v>
      </c>
      <c r="SR90" s="5433">
        <f t="shared" si="888"/>
        <v>0</v>
      </c>
      <c r="SS90" s="6378">
        <f t="shared" si="888"/>
        <v>0</v>
      </c>
      <c r="ST90" s="6381">
        <f t="shared" si="888"/>
        <v>0</v>
      </c>
      <c r="SU90" s="5433">
        <f t="shared" si="888"/>
        <v>454474</v>
      </c>
      <c r="SV90" s="5433">
        <f t="shared" si="888"/>
        <v>0</v>
      </c>
      <c r="SW90" s="5433">
        <f t="shared" si="888"/>
        <v>0</v>
      </c>
      <c r="SX90" s="5432">
        <f>SUM(SX82:SX89)</f>
        <v>-454474</v>
      </c>
      <c r="SY90" s="6532">
        <v>0</v>
      </c>
      <c r="SZ90" s="5456">
        <f t="shared" ref="SZ90:UP90" si="889">SUM(SZ82:SZ89)</f>
        <v>0</v>
      </c>
      <c r="TA90" s="5433">
        <f t="shared" si="889"/>
        <v>0</v>
      </c>
      <c r="TB90" s="5433">
        <f t="shared" si="889"/>
        <v>0</v>
      </c>
      <c r="TC90" s="6264">
        <f t="shared" si="889"/>
        <v>0</v>
      </c>
      <c r="TD90" s="5433">
        <f t="shared" si="889"/>
        <v>0</v>
      </c>
      <c r="TE90" s="5433">
        <f t="shared" si="889"/>
        <v>0</v>
      </c>
      <c r="TF90" s="5433">
        <f t="shared" si="889"/>
        <v>0</v>
      </c>
      <c r="TG90" s="5433">
        <f t="shared" si="889"/>
        <v>0</v>
      </c>
      <c r="TH90" s="6378">
        <f t="shared" si="889"/>
        <v>0</v>
      </c>
      <c r="TI90" s="6381">
        <f t="shared" si="889"/>
        <v>0</v>
      </c>
      <c r="TJ90" s="5433">
        <f t="shared" si="889"/>
        <v>715297</v>
      </c>
      <c r="TK90" s="5433">
        <f t="shared" si="889"/>
        <v>122890.5</v>
      </c>
      <c r="TL90" s="5433">
        <f t="shared" si="889"/>
        <v>224266.90000000002</v>
      </c>
      <c r="TM90" s="5432">
        <f>SUM(TM82:TM89)</f>
        <v>-1062454.3999999999</v>
      </c>
      <c r="TN90" s="6532">
        <v>0</v>
      </c>
      <c r="TO90" s="5433">
        <f t="shared" si="889"/>
        <v>0</v>
      </c>
      <c r="TP90" s="5433">
        <f t="shared" si="889"/>
        <v>0</v>
      </c>
      <c r="TQ90" s="5433">
        <f t="shared" si="889"/>
        <v>0</v>
      </c>
      <c r="TR90" s="5433">
        <f t="shared" si="889"/>
        <v>0</v>
      </c>
      <c r="TS90" s="5433">
        <f t="shared" si="889"/>
        <v>0</v>
      </c>
      <c r="TT90" s="5433">
        <f t="shared" si="889"/>
        <v>0</v>
      </c>
      <c r="TU90" s="5433">
        <f t="shared" si="889"/>
        <v>0</v>
      </c>
      <c r="TV90" s="5433">
        <f t="shared" si="889"/>
        <v>0</v>
      </c>
      <c r="TW90" s="5433">
        <f t="shared" si="889"/>
        <v>0</v>
      </c>
      <c r="TX90" s="5433">
        <f t="shared" si="889"/>
        <v>0</v>
      </c>
      <c r="TY90" s="5433">
        <f t="shared" si="889"/>
        <v>0</v>
      </c>
      <c r="TZ90" s="5456">
        <f t="shared" si="889"/>
        <v>0</v>
      </c>
      <c r="UA90" s="5433">
        <f t="shared" si="889"/>
        <v>0</v>
      </c>
      <c r="UB90" s="5433">
        <f t="shared" si="889"/>
        <v>0</v>
      </c>
      <c r="UC90" s="5433">
        <f t="shared" si="889"/>
        <v>0</v>
      </c>
      <c r="UD90" s="5433">
        <f t="shared" si="889"/>
        <v>0</v>
      </c>
      <c r="UE90" s="5433">
        <f t="shared" si="889"/>
        <v>0</v>
      </c>
      <c r="UF90" s="5433">
        <f t="shared" si="889"/>
        <v>0</v>
      </c>
      <c r="UG90" s="5433">
        <f t="shared" si="889"/>
        <v>0</v>
      </c>
      <c r="UH90" s="5433">
        <f t="shared" si="889"/>
        <v>0</v>
      </c>
      <c r="UI90" s="5433">
        <f t="shared" si="889"/>
        <v>0</v>
      </c>
      <c r="UJ90" s="6264">
        <f t="shared" si="889"/>
        <v>0</v>
      </c>
      <c r="UK90" s="5456">
        <f t="shared" si="889"/>
        <v>0</v>
      </c>
      <c r="UL90" s="5433">
        <f t="shared" si="889"/>
        <v>0</v>
      </c>
      <c r="UM90" s="5433">
        <f t="shared" si="889"/>
        <v>0</v>
      </c>
      <c r="UN90" s="5433">
        <f t="shared" si="889"/>
        <v>0</v>
      </c>
      <c r="UO90" s="5433">
        <f t="shared" si="889"/>
        <v>-1516928.4</v>
      </c>
      <c r="UP90" s="6264">
        <f t="shared" si="889"/>
        <v>0</v>
      </c>
    </row>
    <row r="91" spans="1:562" s="65" customFormat="1" x14ac:dyDescent="0.3">
      <c r="A91" s="67"/>
      <c r="B91" s="123"/>
      <c r="C91" s="391"/>
      <c r="D91" s="391"/>
      <c r="E91" s="87"/>
      <c r="F91" s="87"/>
      <c r="G91" s="426"/>
      <c r="H91" s="426"/>
      <c r="I91" s="426"/>
      <c r="J91" s="87"/>
      <c r="K91" s="87"/>
      <c r="L91" s="426"/>
      <c r="M91" s="426"/>
      <c r="N91" s="426"/>
      <c r="O91" s="87"/>
      <c r="P91" s="87"/>
      <c r="Q91" s="426"/>
      <c r="R91" s="426"/>
      <c r="S91" s="426"/>
      <c r="T91" s="423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M91" s="102"/>
      <c r="AN91" s="102"/>
      <c r="AO91" s="102"/>
      <c r="AP91" s="102"/>
      <c r="AQ91" s="102"/>
      <c r="AX91" s="66"/>
      <c r="BC91" s="102"/>
      <c r="BD91" s="102"/>
      <c r="BE91" s="102"/>
      <c r="BF91" s="102"/>
      <c r="BG91" s="102"/>
      <c r="BH91" s="574"/>
      <c r="BI91" s="102"/>
      <c r="BJ91" s="102"/>
      <c r="BK91" s="102"/>
      <c r="BL91" s="102"/>
      <c r="BM91" s="102"/>
      <c r="BN91" s="574"/>
      <c r="BO91" s="419"/>
      <c r="BP91" s="102"/>
      <c r="BQ91" s="102"/>
      <c r="BR91" s="102"/>
      <c r="BS91" s="102"/>
      <c r="BY91" s="66"/>
      <c r="CA91" s="575"/>
      <c r="CB91" s="575"/>
      <c r="CD91" s="64"/>
      <c r="CE91" s="102"/>
      <c r="CF91" s="102"/>
      <c r="CG91" s="102"/>
      <c r="CH91" s="102"/>
      <c r="CI91" s="102"/>
      <c r="CJ91" s="64"/>
      <c r="CK91" s="66"/>
      <c r="CL91" s="575"/>
      <c r="CM91" s="575"/>
      <c r="CN91" s="575"/>
      <c r="CP91" s="64"/>
      <c r="CQ91" s="102"/>
      <c r="CR91" s="102"/>
      <c r="CS91" s="102"/>
      <c r="CT91" s="102"/>
      <c r="CU91" s="102"/>
      <c r="CV91" s="64"/>
      <c r="CW91" s="64"/>
      <c r="CX91" s="64"/>
      <c r="CY91" s="64"/>
      <c r="CZ91" s="64"/>
      <c r="DA91" s="64"/>
      <c r="DB91" s="64"/>
      <c r="DC91" s="102"/>
      <c r="DD91" s="102"/>
      <c r="DE91" s="102"/>
      <c r="DF91" s="102"/>
      <c r="DG91" s="102"/>
      <c r="DH91" s="64"/>
      <c r="DI91" s="64"/>
      <c r="DJ91" s="64"/>
      <c r="DK91" s="64"/>
      <c r="DL91" s="64"/>
      <c r="DM91" s="64"/>
      <c r="DN91" s="64"/>
      <c r="DO91" s="64"/>
      <c r="DQ91" s="102"/>
      <c r="DR91" s="102"/>
      <c r="DS91" s="64"/>
      <c r="DT91" s="64"/>
      <c r="DU91" s="64"/>
      <c r="DZ91" s="102"/>
      <c r="EA91" s="102"/>
      <c r="FJ91" s="64"/>
      <c r="FK91" s="102"/>
      <c r="FL91" s="102"/>
      <c r="FM91" s="102"/>
      <c r="FN91" s="102"/>
      <c r="FO91" s="102"/>
      <c r="FQ91" s="102"/>
      <c r="FR91" s="102"/>
      <c r="FS91" s="102"/>
      <c r="FU91" s="64"/>
      <c r="GA91" s="64"/>
      <c r="GB91" s="64"/>
      <c r="GH91" s="64"/>
      <c r="GN91" s="102"/>
      <c r="GO91" s="102"/>
      <c r="GP91" s="102"/>
      <c r="GQ91" s="102"/>
      <c r="GR91" s="102"/>
      <c r="GT91" s="102"/>
      <c r="GU91" s="102"/>
      <c r="GV91" s="102"/>
      <c r="GW91" s="102"/>
      <c r="GY91" s="64"/>
      <c r="GZ91" s="576"/>
      <c r="HA91" s="576"/>
      <c r="HB91" s="576"/>
      <c r="HC91" s="576"/>
      <c r="HD91" s="64"/>
      <c r="HE91" s="64"/>
      <c r="HF91" s="102"/>
      <c r="HG91" s="102"/>
      <c r="HH91" s="102"/>
      <c r="HI91" s="102"/>
      <c r="HJ91" s="64"/>
      <c r="HK91" s="64"/>
      <c r="HL91" s="64"/>
      <c r="HM91" s="64"/>
      <c r="HN91" s="64"/>
      <c r="HO91" s="64"/>
      <c r="HP91" s="64"/>
      <c r="HQ91" s="64"/>
      <c r="HR91" s="102"/>
      <c r="HS91" s="102"/>
      <c r="HT91" s="102"/>
      <c r="HU91" s="102"/>
      <c r="HV91" s="64"/>
      <c r="HW91" s="64"/>
      <c r="HX91" s="64"/>
      <c r="HY91" s="64"/>
      <c r="HZ91" s="64"/>
      <c r="IA91" s="64"/>
      <c r="IB91" s="64"/>
      <c r="IC91" s="64"/>
      <c r="ID91" s="64"/>
      <c r="IE91" s="64"/>
      <c r="IF91" s="64"/>
      <c r="IG91" s="64"/>
      <c r="IH91" s="64"/>
      <c r="IJ91" s="102"/>
      <c r="IK91" s="102"/>
      <c r="IL91" s="102"/>
      <c r="IM91" s="102"/>
      <c r="IN91" s="102"/>
      <c r="IQ91" s="428"/>
      <c r="IR91" s="810"/>
      <c r="IS91" s="810"/>
      <c r="IU91" s="66"/>
      <c r="JC91" s="428"/>
      <c r="KL91" s="428"/>
      <c r="KQ91" s="64"/>
      <c r="KS91" s="428"/>
      <c r="KU91" s="428"/>
      <c r="KW91" s="428"/>
      <c r="LB91" s="428"/>
      <c r="LC91" s="428"/>
      <c r="LD91" s="428"/>
      <c r="LE91" s="64"/>
      <c r="LF91" s="102"/>
      <c r="LG91" s="102"/>
      <c r="LH91" s="102"/>
      <c r="LI91" s="64"/>
      <c r="LJ91" s="64"/>
      <c r="LK91" s="64"/>
      <c r="LL91" s="428"/>
      <c r="LM91" s="428"/>
      <c r="LN91" s="428"/>
      <c r="LO91" s="428"/>
      <c r="LP91" s="428"/>
      <c r="LR91" s="428"/>
      <c r="LW91" s="102"/>
      <c r="LX91" s="102"/>
      <c r="LY91" s="102"/>
      <c r="LZ91" s="102"/>
      <c r="MS91" s="419"/>
      <c r="MT91" s="102"/>
      <c r="MU91" s="102"/>
      <c r="MW91" s="102"/>
      <c r="MX91" s="102"/>
      <c r="MY91" s="102"/>
      <c r="MZ91" s="102"/>
      <c r="NA91" s="102"/>
      <c r="OJ91" s="428"/>
      <c r="OV91" s="66"/>
      <c r="PA91" s="66"/>
      <c r="PG91" s="66"/>
      <c r="SK91" s="64"/>
      <c r="SL91" s="64"/>
      <c r="UP91" s="63"/>
    </row>
    <row r="92" spans="1:562" s="69" customFormat="1" x14ac:dyDescent="0.3">
      <c r="A92" s="67" t="s">
        <v>255</v>
      </c>
      <c r="C92" s="811"/>
      <c r="D92" s="811"/>
      <c r="E92" s="71"/>
      <c r="F92" s="71"/>
      <c r="G92" s="160"/>
      <c r="H92" s="160"/>
      <c r="I92" s="160"/>
      <c r="J92" s="71"/>
      <c r="K92" s="71"/>
      <c r="L92" s="160"/>
      <c r="M92" s="160"/>
      <c r="N92" s="160"/>
      <c r="O92" s="71"/>
      <c r="P92" s="71"/>
      <c r="Q92" s="160"/>
      <c r="R92" s="160"/>
      <c r="S92" s="160"/>
      <c r="T92" s="85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M92" s="109"/>
      <c r="AN92" s="109"/>
      <c r="AO92" s="109"/>
      <c r="AP92" s="109">
        <v>2386876.5</v>
      </c>
      <c r="AQ92" s="109"/>
      <c r="AX92" s="71"/>
      <c r="AZ92" s="155"/>
      <c r="BA92" s="155"/>
      <c r="BC92" s="109"/>
      <c r="BD92" s="109"/>
      <c r="BE92" s="109"/>
      <c r="BF92" s="109"/>
      <c r="BG92" s="109"/>
      <c r="BH92" s="813"/>
      <c r="BI92" s="109"/>
      <c r="BJ92" s="109"/>
      <c r="BK92" s="109"/>
      <c r="BL92" s="109"/>
      <c r="BM92" s="109"/>
      <c r="BN92" s="813"/>
      <c r="BO92" s="812"/>
      <c r="BP92" s="109"/>
      <c r="BQ92" s="109"/>
      <c r="BR92" s="109"/>
      <c r="BS92" s="109"/>
      <c r="BX92" s="67"/>
      <c r="BY92" s="71"/>
      <c r="CA92" s="661"/>
      <c r="CB92" s="661"/>
      <c r="CD92" s="74"/>
      <c r="CE92" s="109"/>
      <c r="CF92" s="109"/>
      <c r="CG92" s="109"/>
      <c r="CH92" s="109">
        <v>3219842.5</v>
      </c>
      <c r="CI92" s="109"/>
      <c r="CJ92" s="74"/>
      <c r="CK92" s="71"/>
      <c r="CL92" s="661"/>
      <c r="CM92" s="74"/>
      <c r="CN92" s="74"/>
      <c r="CP92" s="74"/>
      <c r="CQ92" s="109"/>
      <c r="CR92" s="74"/>
      <c r="CS92" s="109"/>
      <c r="CT92" s="109">
        <v>5463758.3499999996</v>
      </c>
      <c r="CU92" s="109"/>
      <c r="CV92" s="74"/>
      <c r="CW92" s="74"/>
      <c r="CX92" s="74"/>
      <c r="CY92" s="74"/>
      <c r="CZ92" s="74"/>
      <c r="DA92" s="74"/>
      <c r="DB92" s="74"/>
      <c r="DC92" s="109"/>
      <c r="DD92" s="109">
        <f>4035663-133333</f>
        <v>3902330</v>
      </c>
      <c r="DE92" s="109"/>
      <c r="DF92" s="109">
        <v>4154914.75</v>
      </c>
      <c r="DG92" s="109"/>
      <c r="DH92" s="74"/>
      <c r="DI92" s="74"/>
      <c r="DJ92" s="74"/>
      <c r="DK92" s="74"/>
      <c r="DL92" s="74"/>
      <c r="DM92" s="74"/>
      <c r="DN92" s="74"/>
      <c r="DO92" s="74"/>
      <c r="DQ92" s="109"/>
      <c r="DR92" s="109"/>
      <c r="DS92" s="74"/>
      <c r="DT92" s="74"/>
      <c r="DU92" s="74"/>
      <c r="DZ92" s="109"/>
      <c r="EA92" s="109"/>
      <c r="EF92" s="74"/>
      <c r="EI92" s="74"/>
      <c r="EJ92" s="74"/>
      <c r="EK92" s="109"/>
      <c r="EL92" s="109">
        <f>6022981-1067340</f>
        <v>4955641</v>
      </c>
      <c r="EM92" s="109"/>
      <c r="EN92" s="109">
        <v>3546773.75</v>
      </c>
      <c r="ER92" s="74"/>
      <c r="EU92" s="74"/>
      <c r="EV92" s="74"/>
      <c r="EW92" s="109"/>
      <c r="EX92" s="109">
        <f>5815592.5-1260438</f>
        <v>4555154.5</v>
      </c>
      <c r="EY92" s="109"/>
      <c r="EZ92" s="109">
        <v>3414789.15</v>
      </c>
      <c r="FJ92" s="74"/>
      <c r="FK92" s="109"/>
      <c r="FL92" s="814">
        <f>FL80+GO80+FL80</f>
        <v>58643255</v>
      </c>
      <c r="FM92" s="814">
        <f>FM80+GP80+FM80</f>
        <v>89921864.859999999</v>
      </c>
      <c r="FN92" s="814"/>
      <c r="FO92" s="814">
        <f>FO80+GR80+FO80</f>
        <v>30430326.859999999</v>
      </c>
      <c r="FQ92" s="109"/>
      <c r="FR92" s="109">
        <f>5435593.9-FR98-FR101</f>
        <v>-977974.50499999896</v>
      </c>
      <c r="FS92" s="109">
        <v>3584705</v>
      </c>
      <c r="FU92" s="74"/>
      <c r="GA92" s="74"/>
      <c r="GB92" s="74"/>
      <c r="GH92" s="74"/>
      <c r="GN92" s="109"/>
      <c r="GO92" s="109"/>
      <c r="GP92" s="109"/>
      <c r="GQ92" s="109"/>
      <c r="GR92" s="109"/>
      <c r="GT92" s="109"/>
      <c r="GU92" s="109" t="e">
        <f>6374234-GU98-GU101-#REF!</f>
        <v>#REF!</v>
      </c>
      <c r="GV92" s="109"/>
      <c r="GW92" s="109">
        <v>3839790</v>
      </c>
      <c r="GY92" s="74"/>
      <c r="GZ92" s="708"/>
      <c r="HA92" s="708"/>
      <c r="HB92" s="708"/>
      <c r="HC92" s="708"/>
      <c r="HD92" s="74"/>
      <c r="HE92" s="74"/>
      <c r="HG92" s="109">
        <v>9125597</v>
      </c>
      <c r="HH92" s="109">
        <v>3399026</v>
      </c>
      <c r="HI92" s="109">
        <v>3753132.5</v>
      </c>
      <c r="HJ92" s="815"/>
      <c r="HK92" s="74"/>
      <c r="HL92" s="74"/>
      <c r="HM92" s="74"/>
      <c r="HN92" s="74"/>
      <c r="HO92" s="74"/>
      <c r="HP92" s="74"/>
      <c r="HQ92" s="74"/>
      <c r="HR92" s="109"/>
      <c r="HS92" s="109"/>
      <c r="HT92" s="109">
        <v>10154468</v>
      </c>
      <c r="HU92" s="109">
        <v>3493857</v>
      </c>
      <c r="HV92" s="109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J92" s="109"/>
      <c r="IK92" s="109"/>
      <c r="IL92" s="109"/>
      <c r="IM92" s="109"/>
      <c r="IN92" s="109"/>
      <c r="IP92" s="69" t="s">
        <v>410</v>
      </c>
      <c r="IQ92" s="816">
        <f>SUM(IQ93:IQ94)</f>
        <v>4507866</v>
      </c>
      <c r="IR92" s="155">
        <f>IQ92*56%</f>
        <v>2524404.9600000004</v>
      </c>
      <c r="IS92" s="155">
        <f>IQ92*44%</f>
        <v>1983461.04</v>
      </c>
      <c r="IU92" s="817"/>
      <c r="JB92" s="65"/>
      <c r="JC92" s="66" t="s">
        <v>254</v>
      </c>
      <c r="JD92" s="66" t="s">
        <v>409</v>
      </c>
      <c r="JM92" s="65"/>
      <c r="JN92" s="66" t="s">
        <v>254</v>
      </c>
      <c r="JO92" s="66" t="s">
        <v>409</v>
      </c>
      <c r="KB92" s="65"/>
      <c r="KC92" s="66" t="s">
        <v>254</v>
      </c>
      <c r="KD92" s="66" t="s">
        <v>409</v>
      </c>
      <c r="KM92" s="65"/>
      <c r="KN92" s="66" t="s">
        <v>254</v>
      </c>
      <c r="KO92" s="66" t="s">
        <v>411</v>
      </c>
      <c r="KX92" s="65"/>
      <c r="KY92" s="66" t="s">
        <v>254</v>
      </c>
      <c r="KZ92" s="66" t="s">
        <v>411</v>
      </c>
      <c r="LE92" s="74"/>
      <c r="LF92" s="109"/>
      <c r="LG92" s="109"/>
      <c r="LH92" s="109"/>
      <c r="LI92" s="74"/>
      <c r="LJ92" s="74"/>
      <c r="LK92" s="74"/>
      <c r="LS92" s="65"/>
      <c r="LT92" s="66" t="s">
        <v>254</v>
      </c>
      <c r="LU92" s="66" t="s">
        <v>411</v>
      </c>
      <c r="LW92" s="109"/>
      <c r="LX92" s="109"/>
      <c r="LY92" s="109"/>
      <c r="LZ92" s="109"/>
      <c r="MD92" s="65"/>
      <c r="ME92" s="66" t="s">
        <v>254</v>
      </c>
      <c r="MF92" s="66" t="s">
        <v>411</v>
      </c>
      <c r="MO92" s="65"/>
      <c r="MP92" s="66" t="s">
        <v>254</v>
      </c>
      <c r="MQ92" s="66" t="s">
        <v>411</v>
      </c>
      <c r="MS92" s="812"/>
      <c r="MT92" s="109"/>
      <c r="MU92" s="109"/>
      <c r="MW92" s="109"/>
      <c r="MX92" s="109"/>
      <c r="MY92" s="109"/>
      <c r="MZ92" s="109"/>
      <c r="NA92" s="109"/>
      <c r="OV92" s="71"/>
      <c r="PA92" s="71"/>
      <c r="PG92" s="71"/>
      <c r="PS92" s="155"/>
      <c r="QJ92" s="155"/>
      <c r="QT92" s="155"/>
      <c r="RE92" s="155"/>
      <c r="SA92" s="155"/>
      <c r="SL92" s="155"/>
    </row>
    <row r="93" spans="1:562" s="69" customFormat="1" x14ac:dyDescent="0.3">
      <c r="A93" s="67" t="s">
        <v>256</v>
      </c>
      <c r="B93" s="89"/>
      <c r="C93" s="818"/>
      <c r="D93" s="818"/>
      <c r="E93" s="124"/>
      <c r="F93" s="124"/>
      <c r="G93" s="819"/>
      <c r="H93" s="819"/>
      <c r="I93" s="819"/>
      <c r="J93" s="124"/>
      <c r="K93" s="124"/>
      <c r="L93" s="819"/>
      <c r="M93" s="819"/>
      <c r="N93" s="819"/>
      <c r="O93" s="124"/>
      <c r="P93" s="124"/>
      <c r="Q93" s="819"/>
      <c r="R93" s="819"/>
      <c r="S93" s="819"/>
      <c r="T93" s="4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M93" s="109"/>
      <c r="AN93" s="109"/>
      <c r="AO93" s="109">
        <f>AP93/29</f>
        <v>49383.651724137926</v>
      </c>
      <c r="AP93" s="109">
        <f>AP92*60%</f>
        <v>1432125.9</v>
      </c>
      <c r="AQ93" s="109" t="s">
        <v>412</v>
      </c>
      <c r="AX93" s="71"/>
      <c r="BC93" s="109"/>
      <c r="BD93" s="109"/>
      <c r="BE93" s="109"/>
      <c r="BF93" s="109"/>
      <c r="BG93" s="109"/>
      <c r="BH93" s="813"/>
      <c r="BI93" s="109"/>
      <c r="BJ93" s="109"/>
      <c r="BK93" s="109"/>
      <c r="BL93" s="109"/>
      <c r="BM93" s="109"/>
      <c r="BN93" s="813"/>
      <c r="BO93" s="812"/>
      <c r="BP93" s="109"/>
      <c r="BQ93" s="109"/>
      <c r="BR93" s="109"/>
      <c r="BS93" s="109"/>
      <c r="BX93" s="67"/>
      <c r="BY93" s="71"/>
      <c r="CA93" s="661"/>
      <c r="CB93" s="661"/>
      <c r="CD93" s="74"/>
      <c r="CE93" s="109"/>
      <c r="CF93" s="109"/>
      <c r="CG93" s="109">
        <f>CH93/26</f>
        <v>74304.057692307688</v>
      </c>
      <c r="CH93" s="109">
        <f>CH92*60%</f>
        <v>1931905.5</v>
      </c>
      <c r="CI93" s="109"/>
      <c r="CJ93" s="74"/>
      <c r="CK93" s="71"/>
      <c r="CL93" s="661"/>
      <c r="CM93" s="661"/>
      <c r="CN93" s="661"/>
      <c r="CO93" s="661"/>
      <c r="CP93" s="74"/>
      <c r="CQ93" s="109"/>
      <c r="CR93" s="109"/>
      <c r="CS93" s="109">
        <f>CT93/26</f>
        <v>147101.18634615382</v>
      </c>
      <c r="CT93" s="109">
        <f>CT92*70%</f>
        <v>3824630.8449999993</v>
      </c>
      <c r="CU93" s="109" t="s">
        <v>412</v>
      </c>
      <c r="CV93" s="74"/>
      <c r="CW93" s="141"/>
      <c r="CX93" s="74"/>
      <c r="CY93" s="141"/>
      <c r="CZ93" s="141"/>
      <c r="DA93" s="141"/>
      <c r="DB93" s="74" t="s">
        <v>412</v>
      </c>
      <c r="DC93" s="109">
        <f>DD93/24</f>
        <v>113817.95833333333</v>
      </c>
      <c r="DD93" s="109">
        <f>DD92*70%</f>
        <v>2731631</v>
      </c>
      <c r="DE93" s="109">
        <f>DF93/24</f>
        <v>121185.01354166666</v>
      </c>
      <c r="DF93" s="109">
        <f>DF92*70%</f>
        <v>2908440.3249999997</v>
      </c>
      <c r="DG93" s="109"/>
      <c r="DH93" s="74"/>
      <c r="DI93" s="74"/>
      <c r="DJ93" s="74"/>
      <c r="DK93" s="74"/>
      <c r="DL93" s="74"/>
      <c r="DM93" s="74"/>
      <c r="DN93" s="74"/>
      <c r="DO93" s="74"/>
      <c r="DQ93" s="109"/>
      <c r="DR93" s="109"/>
      <c r="DS93" s="74"/>
      <c r="DT93" s="74"/>
      <c r="DU93" s="74"/>
      <c r="DZ93" s="109"/>
      <c r="EA93" s="109"/>
      <c r="EJ93" s="74" t="s">
        <v>412</v>
      </c>
      <c r="EK93" s="109">
        <f>EL93/10</f>
        <v>322116.66499999998</v>
      </c>
      <c r="EL93" s="109">
        <f>EL92*65%</f>
        <v>3221166.65</v>
      </c>
      <c r="EM93" s="109">
        <f>EN93/12</f>
        <v>192116.91145833334</v>
      </c>
      <c r="EN93" s="109">
        <f>EN92*65%</f>
        <v>2305402.9375</v>
      </c>
      <c r="EO93" s="155"/>
      <c r="EV93" s="74"/>
      <c r="EW93" s="109">
        <f>EX93/10</f>
        <v>296085.04250000004</v>
      </c>
      <c r="EX93" s="109">
        <f>EX92*65%</f>
        <v>2960850.4250000003</v>
      </c>
      <c r="EY93" s="109">
        <f>EZ93/12</f>
        <v>184967.74562500001</v>
      </c>
      <c r="EZ93" s="109">
        <f>EZ92*65%</f>
        <v>2219612.9475000002</v>
      </c>
      <c r="FA93" s="155"/>
      <c r="FJ93" s="74"/>
      <c r="FK93" s="109"/>
      <c r="FL93" s="109"/>
      <c r="FM93" s="109"/>
      <c r="FN93" s="109"/>
      <c r="FO93" s="109"/>
      <c r="FP93" s="74" t="s">
        <v>412</v>
      </c>
      <c r="FQ93" s="109">
        <f>FR93/10</f>
        <v>-58678.470299999943</v>
      </c>
      <c r="FR93" s="109">
        <f>FR92*60%</f>
        <v>-586784.7029999994</v>
      </c>
      <c r="FS93" s="109">
        <f>FS92*60%</f>
        <v>2150823</v>
      </c>
      <c r="FT93" s="820"/>
      <c r="FU93" s="74"/>
      <c r="GA93" s="74"/>
      <c r="GB93" s="74"/>
      <c r="GH93" s="74"/>
      <c r="GN93" s="109"/>
      <c r="GO93" s="109"/>
      <c r="GP93" s="109"/>
      <c r="GQ93" s="109"/>
      <c r="GR93" s="109"/>
      <c r="GS93" s="74" t="s">
        <v>412</v>
      </c>
      <c r="GT93" s="109" t="e">
        <f>GU93/10</f>
        <v>#REF!</v>
      </c>
      <c r="GU93" s="109" t="e">
        <f>GU92*60%</f>
        <v>#REF!</v>
      </c>
      <c r="GV93" s="109" t="e">
        <f>GU93-#REF!</f>
        <v>#REF!</v>
      </c>
      <c r="GW93" s="109">
        <f>GW92*60%</f>
        <v>2303874</v>
      </c>
      <c r="GX93" s="155">
        <f>GW93/10</f>
        <v>230387.4</v>
      </c>
      <c r="GY93" s="141" t="e">
        <f>GW93-#REF!</f>
        <v>#REF!</v>
      </c>
      <c r="GZ93" s="708"/>
      <c r="HA93" s="708"/>
      <c r="HB93" s="708"/>
      <c r="HC93" s="708"/>
      <c r="HD93" s="141"/>
      <c r="HE93" s="141"/>
      <c r="HF93" s="74" t="s">
        <v>412</v>
      </c>
      <c r="HG93" s="109">
        <f>HH93/10</f>
        <v>186946.43</v>
      </c>
      <c r="HH93" s="109">
        <f>HH92*55%</f>
        <v>1869464.3</v>
      </c>
      <c r="HI93" s="109">
        <f>HI92*50%</f>
        <v>1876566.25</v>
      </c>
      <c r="HJ93" s="815">
        <f>HI93/5</f>
        <v>375313.25</v>
      </c>
      <c r="HK93" s="141"/>
      <c r="HL93" s="141"/>
      <c r="HM93" s="141"/>
      <c r="HN93" s="141"/>
      <c r="HO93" s="141"/>
      <c r="HP93" s="141">
        <v>0</v>
      </c>
      <c r="HQ93" s="141"/>
      <c r="HR93" s="109" t="s">
        <v>412</v>
      </c>
      <c r="HS93" s="109">
        <f>HT93/10</f>
        <v>558495.74</v>
      </c>
      <c r="HT93" s="109">
        <f>HT92*55%</f>
        <v>5584957.4000000004</v>
      </c>
      <c r="HU93" s="109">
        <f>HU92*50%</f>
        <v>1746928.5</v>
      </c>
      <c r="HV93" s="109">
        <f>HU93/5</f>
        <v>349385.7</v>
      </c>
      <c r="HW93" s="141"/>
      <c r="HX93" s="141"/>
      <c r="HY93" s="141"/>
      <c r="HZ93" s="141"/>
      <c r="IA93" s="74"/>
      <c r="IB93" s="141"/>
      <c r="IC93" s="141"/>
      <c r="ID93" s="141"/>
      <c r="IE93" s="141">
        <v>362288207.32999998</v>
      </c>
      <c r="IF93" s="141">
        <v>121885190</v>
      </c>
      <c r="IG93" s="141"/>
      <c r="IH93" s="141"/>
      <c r="IJ93" s="109"/>
      <c r="IK93" s="109"/>
      <c r="IL93" s="109"/>
      <c r="IM93" s="109"/>
      <c r="IN93" s="109"/>
      <c r="IP93" s="69" t="s">
        <v>413</v>
      </c>
      <c r="IQ93" s="109">
        <f>1218100*85%</f>
        <v>1035385</v>
      </c>
      <c r="IR93" s="155"/>
      <c r="IS93" s="155"/>
      <c r="IU93" s="71"/>
      <c r="JA93" s="69" t="s">
        <v>410</v>
      </c>
      <c r="JB93" s="816">
        <f>SUM(JB94:JB96)</f>
        <v>3223549.2</v>
      </c>
      <c r="JC93" s="155">
        <f>JB93*56%</f>
        <v>1805187.5520000004</v>
      </c>
      <c r="JD93" s="155">
        <f>JB93*44%</f>
        <v>1418361.648</v>
      </c>
      <c r="JE93" s="821"/>
      <c r="JF93" s="155"/>
      <c r="JL93" s="69" t="s">
        <v>410</v>
      </c>
      <c r="JM93" s="816">
        <f>SUM(JM94:JM96)</f>
        <v>3246626.55</v>
      </c>
      <c r="JN93" s="155">
        <f>JM93-JO93</f>
        <v>1488923.8499999999</v>
      </c>
      <c r="JO93" s="155">
        <f>JN80</f>
        <v>1757702.7</v>
      </c>
      <c r="JP93" s="821"/>
      <c r="JQ93" s="155"/>
      <c r="KA93" s="69" t="s">
        <v>410</v>
      </c>
      <c r="KB93" s="816">
        <f>SUM(KB94:KB95)</f>
        <v>3752647.25</v>
      </c>
      <c r="KC93" s="155">
        <f>KB93*55%</f>
        <v>2063955.9875000003</v>
      </c>
      <c r="KD93" s="155">
        <f>KB93*45%</f>
        <v>1688691.2625</v>
      </c>
      <c r="KE93" s="155"/>
      <c r="KL93" s="69" t="s">
        <v>410</v>
      </c>
      <c r="KM93" s="816">
        <f>SUM(KM94:KM96)</f>
        <v>3645754.75</v>
      </c>
      <c r="KN93" s="155">
        <f>KM93*55%</f>
        <v>2005165.1125</v>
      </c>
      <c r="KO93" s="155">
        <f>KM93*45%</f>
        <v>1640589.6375</v>
      </c>
      <c r="KP93" s="820"/>
      <c r="KW93" s="69" t="s">
        <v>410</v>
      </c>
      <c r="KX93" s="816">
        <f>SUM(KX94:KX96)</f>
        <v>6394809.7999999998</v>
      </c>
      <c r="KY93" s="155">
        <f>KX93*55%</f>
        <v>3517145.39</v>
      </c>
      <c r="KZ93" s="155">
        <f>KX93*45%</f>
        <v>2877664.41</v>
      </c>
      <c r="LA93" s="820"/>
      <c r="LB93" s="155"/>
      <c r="LC93" s="155"/>
      <c r="LD93" s="155"/>
      <c r="LE93" s="74"/>
      <c r="LF93" s="109"/>
      <c r="LG93" s="109"/>
      <c r="LH93" s="109"/>
      <c r="LI93" s="74"/>
      <c r="LJ93" s="74"/>
      <c r="LK93" s="74"/>
      <c r="LR93" s="69" t="s">
        <v>410</v>
      </c>
      <c r="LS93" s="816">
        <f>SUM(LS94:LS96)</f>
        <v>3852483.95</v>
      </c>
      <c r="LT93" s="155">
        <f>LS93*55%</f>
        <v>2118866.1725000003</v>
      </c>
      <c r="LU93" s="155">
        <f>LS93*45%</f>
        <v>1733617.7775000001</v>
      </c>
      <c r="LV93" s="155"/>
      <c r="LW93" s="109"/>
      <c r="LX93" s="109"/>
      <c r="LY93" s="109"/>
      <c r="LZ93" s="109"/>
      <c r="MA93" s="820"/>
      <c r="MB93" s="155"/>
      <c r="MC93" s="69" t="s">
        <v>410</v>
      </c>
      <c r="MD93" s="816">
        <f>SUM(MD94:MD96)</f>
        <v>4132548.15</v>
      </c>
      <c r="ME93" s="155">
        <f>MD93*55%</f>
        <v>2272901.4824999999</v>
      </c>
      <c r="MF93" s="155">
        <f>MD93*45%</f>
        <v>1859646.6675</v>
      </c>
      <c r="MG93" s="155"/>
      <c r="MN93" s="69" t="s">
        <v>410</v>
      </c>
      <c r="MO93" s="816">
        <f>SUM(MO94:MO96)</f>
        <v>5089275</v>
      </c>
      <c r="MP93" s="155">
        <f>MO93*55%</f>
        <v>2799101.25</v>
      </c>
      <c r="MQ93" s="155">
        <f>MO93*45%</f>
        <v>2290173.75</v>
      </c>
      <c r="MS93" s="812"/>
      <c r="MT93" s="109"/>
      <c r="MU93" s="109"/>
      <c r="MW93" s="109"/>
      <c r="MX93" s="109"/>
      <c r="MY93" s="109"/>
      <c r="MZ93" s="109"/>
      <c r="NA93" s="109"/>
      <c r="ND93" s="155"/>
      <c r="NJ93" s="65"/>
      <c r="NK93" s="66" t="s">
        <v>254</v>
      </c>
      <c r="NL93" s="66" t="s">
        <v>411</v>
      </c>
      <c r="NO93" s="155"/>
      <c r="NU93" s="65"/>
      <c r="NV93" s="66" t="s">
        <v>254</v>
      </c>
      <c r="NW93" s="66" t="s">
        <v>411</v>
      </c>
      <c r="NX93" s="71" t="s">
        <v>639</v>
      </c>
      <c r="NZ93" s="155"/>
      <c r="OF93" s="65"/>
      <c r="OG93" s="66" t="s">
        <v>254</v>
      </c>
      <c r="OH93" s="66" t="s">
        <v>411</v>
      </c>
      <c r="OI93" s="71" t="s">
        <v>639</v>
      </c>
      <c r="OR93" s="65"/>
      <c r="OS93" s="66" t="s">
        <v>254</v>
      </c>
      <c r="OT93" s="66" t="s">
        <v>411</v>
      </c>
      <c r="OU93" s="87" t="s">
        <v>639</v>
      </c>
      <c r="OV93" s="87" t="s">
        <v>919</v>
      </c>
      <c r="PA93" s="71"/>
      <c r="PC93" s="65"/>
      <c r="PD93" s="66" t="s">
        <v>254</v>
      </c>
      <c r="PE93" s="66" t="s">
        <v>411</v>
      </c>
      <c r="PF93" s="87" t="s">
        <v>639</v>
      </c>
      <c r="PG93" s="87" t="s">
        <v>957</v>
      </c>
      <c r="PN93" s="65"/>
      <c r="PO93" s="66" t="s">
        <v>254</v>
      </c>
      <c r="PP93" s="66" t="s">
        <v>411</v>
      </c>
      <c r="PQ93" s="87" t="s">
        <v>639</v>
      </c>
      <c r="PR93" s="87" t="s">
        <v>957</v>
      </c>
      <c r="QC93" s="65"/>
      <c r="QD93" s="66" t="s">
        <v>254</v>
      </c>
      <c r="QE93" s="66" t="s">
        <v>411</v>
      </c>
      <c r="QF93" s="87" t="s">
        <v>639</v>
      </c>
      <c r="QG93" s="87" t="s">
        <v>957</v>
      </c>
      <c r="QN93" s="65"/>
      <c r="QO93" s="66" t="s">
        <v>254</v>
      </c>
      <c r="QP93" s="66" t="s">
        <v>411</v>
      </c>
      <c r="QQ93" s="87" t="s">
        <v>639</v>
      </c>
      <c r="QR93" s="87" t="s">
        <v>957</v>
      </c>
      <c r="QT93" s="155"/>
      <c r="QU93" s="155"/>
      <c r="QY93" s="65"/>
      <c r="QZ93" s="66" t="s">
        <v>254</v>
      </c>
      <c r="RA93" s="66" t="s">
        <v>411</v>
      </c>
      <c r="RB93" s="87" t="s">
        <v>639</v>
      </c>
      <c r="RC93" s="87" t="s">
        <v>957</v>
      </c>
      <c r="RF93" s="155">
        <f>RA98-RF15</f>
        <v>0.40500000002793968</v>
      </c>
      <c r="RT93" s="65"/>
      <c r="RU93" s="66" t="s">
        <v>254</v>
      </c>
      <c r="RV93" s="66" t="s">
        <v>1025</v>
      </c>
      <c r="RW93" s="87" t="s">
        <v>639</v>
      </c>
      <c r="RX93" s="87" t="s">
        <v>957</v>
      </c>
      <c r="RZ93" s="155"/>
      <c r="SE93" s="65"/>
      <c r="SF93" s="66" t="s">
        <v>254</v>
      </c>
      <c r="SG93" s="66" t="s">
        <v>1025</v>
      </c>
      <c r="SH93" s="87" t="s">
        <v>639</v>
      </c>
      <c r="SI93" s="87" t="s">
        <v>957</v>
      </c>
      <c r="SP93" s="65"/>
      <c r="SQ93" s="66" t="s">
        <v>254</v>
      </c>
      <c r="SR93" s="66" t="s">
        <v>1025</v>
      </c>
      <c r="SS93" s="87" t="s">
        <v>639</v>
      </c>
      <c r="ST93" s="87" t="s">
        <v>957</v>
      </c>
      <c r="SU93" s="67" t="s">
        <v>1051</v>
      </c>
      <c r="SV93" s="155"/>
      <c r="TE93" s="65"/>
      <c r="TF93" s="66" t="s">
        <v>254</v>
      </c>
      <c r="TG93" s="66" t="s">
        <v>1025</v>
      </c>
      <c r="TH93" s="87" t="s">
        <v>639</v>
      </c>
      <c r="TI93" s="87" t="s">
        <v>957</v>
      </c>
      <c r="TJ93" s="87" t="s">
        <v>1051</v>
      </c>
    </row>
    <row r="94" spans="1:562" s="69" customFormat="1" ht="15.05" x14ac:dyDescent="0.3">
      <c r="A94" s="67" t="s">
        <v>414</v>
      </c>
      <c r="C94" s="811"/>
      <c r="D94" s="811"/>
      <c r="E94" s="71"/>
      <c r="F94" s="71"/>
      <c r="G94" s="160"/>
      <c r="H94" s="160"/>
      <c r="I94" s="160"/>
      <c r="J94" s="71"/>
      <c r="K94" s="71"/>
      <c r="L94" s="160"/>
      <c r="M94" s="160"/>
      <c r="N94" s="160"/>
      <c r="O94" s="71"/>
      <c r="P94" s="71"/>
      <c r="Q94" s="160"/>
      <c r="R94" s="160"/>
      <c r="S94" s="160"/>
      <c r="T94" s="85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M94" s="109"/>
      <c r="AN94" s="109"/>
      <c r="AO94" s="109">
        <f>AP94/10</f>
        <v>95475.060000000012</v>
      </c>
      <c r="AP94" s="109">
        <f>AP92-AP93</f>
        <v>954750.60000000009</v>
      </c>
      <c r="AQ94" s="109" t="s">
        <v>409</v>
      </c>
      <c r="AX94" s="71"/>
      <c r="BC94" s="109"/>
      <c r="BD94" s="109"/>
      <c r="BE94" s="109"/>
      <c r="BF94" s="109"/>
      <c r="BG94" s="109"/>
      <c r="BH94" s="813"/>
      <c r="BI94" s="109"/>
      <c r="BJ94" s="109"/>
      <c r="BK94" s="109"/>
      <c r="BL94" s="109"/>
      <c r="BM94" s="109"/>
      <c r="BN94" s="813"/>
      <c r="BO94" s="812"/>
      <c r="BP94" s="109"/>
      <c r="BQ94" s="109"/>
      <c r="BR94" s="109"/>
      <c r="BS94" s="109"/>
      <c r="BX94" s="67"/>
      <c r="BY94" s="71"/>
      <c r="CA94" s="661"/>
      <c r="CB94" s="661"/>
      <c r="CD94" s="74"/>
      <c r="CE94" s="109"/>
      <c r="CF94" s="109"/>
      <c r="CG94" s="109">
        <f>CH94/9</f>
        <v>143104.11111111112</v>
      </c>
      <c r="CH94" s="109">
        <f>CH92-CH93</f>
        <v>1287937</v>
      </c>
      <c r="CI94" s="109"/>
      <c r="CJ94" s="74"/>
      <c r="CK94" s="71"/>
      <c r="CL94" s="661"/>
      <c r="CM94" s="661"/>
      <c r="CN94" s="661"/>
      <c r="CP94" s="74"/>
      <c r="CQ94" s="109"/>
      <c r="CR94" s="109"/>
      <c r="CS94" s="109">
        <f>CT94/10</f>
        <v>163912.75050000002</v>
      </c>
      <c r="CT94" s="109">
        <f>CT92-CT93</f>
        <v>1639127.5050000004</v>
      </c>
      <c r="CU94" s="109" t="s">
        <v>409</v>
      </c>
      <c r="CV94" s="74"/>
      <c r="CW94" s="74"/>
      <c r="CX94" s="74"/>
      <c r="CY94" s="74"/>
      <c r="CZ94" s="74"/>
      <c r="DA94" s="74"/>
      <c r="DB94" s="74" t="s">
        <v>409</v>
      </c>
      <c r="DC94" s="109">
        <f>DD94/11</f>
        <v>106427.18181818182</v>
      </c>
      <c r="DD94" s="109">
        <f>DD92*30%</f>
        <v>1170699</v>
      </c>
      <c r="DE94" s="109">
        <f>DF94/11</f>
        <v>113315.85681818183</v>
      </c>
      <c r="DF94" s="109">
        <f>DF92*30%</f>
        <v>1246474.425</v>
      </c>
      <c r="DG94" s="109"/>
      <c r="DH94" s="74"/>
      <c r="DI94" s="74"/>
      <c r="DJ94" s="74"/>
      <c r="DK94" s="74"/>
      <c r="DL94" s="74"/>
      <c r="DM94" s="74"/>
      <c r="DN94" s="74"/>
      <c r="DO94" s="74"/>
      <c r="DQ94" s="109"/>
      <c r="DR94" s="109"/>
      <c r="DS94" s="74"/>
      <c r="DT94" s="74"/>
      <c r="DU94" s="74"/>
      <c r="DZ94" s="109"/>
      <c r="EA94" s="109"/>
      <c r="EJ94" s="74" t="s">
        <v>409</v>
      </c>
      <c r="EK94" s="109">
        <f>EL94/11</f>
        <v>157679.48636363636</v>
      </c>
      <c r="EL94" s="109">
        <f>EL92*35%</f>
        <v>1734474.3499999999</v>
      </c>
      <c r="EM94" s="109">
        <f>EN94/9</f>
        <v>137930.09027777778</v>
      </c>
      <c r="EN94" s="109">
        <f>EN92*35%</f>
        <v>1241370.8125</v>
      </c>
      <c r="EV94" s="74"/>
      <c r="EW94" s="109">
        <f>EX94/11</f>
        <v>144936.7340909091</v>
      </c>
      <c r="EX94" s="109">
        <f>EX92*35%</f>
        <v>1594304.075</v>
      </c>
      <c r="EY94" s="109">
        <f>EZ94/9</f>
        <v>132797.35583333333</v>
      </c>
      <c r="EZ94" s="109">
        <f>EZ92*35%</f>
        <v>1195176.2024999999</v>
      </c>
      <c r="FJ94" s="74"/>
      <c r="FK94" s="109"/>
      <c r="FL94" s="109"/>
      <c r="FM94" s="109"/>
      <c r="FN94" s="109"/>
      <c r="FO94" s="109"/>
      <c r="FP94" s="74" t="s">
        <v>409</v>
      </c>
      <c r="FQ94" s="822"/>
      <c r="FR94" s="109">
        <f>FR92*40%</f>
        <v>-391189.80199999962</v>
      </c>
      <c r="FS94" s="109">
        <f>FS92*40%</f>
        <v>1433882</v>
      </c>
      <c r="FT94" s="820"/>
      <c r="FU94" s="74"/>
      <c r="GA94" s="74"/>
      <c r="GB94" s="74"/>
      <c r="GH94" s="74"/>
      <c r="GN94" s="109"/>
      <c r="GO94" s="109"/>
      <c r="GP94" s="109"/>
      <c r="GQ94" s="109"/>
      <c r="GR94" s="109"/>
      <c r="GS94" s="74" t="s">
        <v>409</v>
      </c>
      <c r="GT94" s="822"/>
      <c r="GU94" s="109" t="e">
        <f>GU92*40%</f>
        <v>#REF!</v>
      </c>
      <c r="GV94" s="109"/>
      <c r="GW94" s="109">
        <f>GW92*40%</f>
        <v>1535916</v>
      </c>
      <c r="GX94" s="155" t="e">
        <f>GW94-#REF!</f>
        <v>#REF!</v>
      </c>
      <c r="GY94" s="141"/>
      <c r="GZ94" s="708"/>
      <c r="HA94" s="708"/>
      <c r="HB94" s="708"/>
      <c r="HC94" s="708"/>
      <c r="HD94" s="141"/>
      <c r="HE94" s="141"/>
      <c r="HF94" s="74" t="s">
        <v>409</v>
      </c>
      <c r="HG94" s="822">
        <f>HH94/8</f>
        <v>148707.38749999998</v>
      </c>
      <c r="HH94" s="109">
        <f>HH92*35%</f>
        <v>1189659.0999999999</v>
      </c>
      <c r="HI94" s="109">
        <f>HI92*35%</f>
        <v>1313596.375</v>
      </c>
      <c r="HJ94" s="815">
        <f>HI94/3</f>
        <v>437865.45833333331</v>
      </c>
      <c r="HK94" s="141"/>
      <c r="HL94" s="141"/>
      <c r="HM94" s="141"/>
      <c r="HN94" s="141"/>
      <c r="HO94" s="141"/>
      <c r="HP94" s="141"/>
      <c r="HQ94" s="141"/>
      <c r="HR94" s="109" t="s">
        <v>409</v>
      </c>
      <c r="HS94" s="109">
        <f>HT94/8</f>
        <v>444257.97499999998</v>
      </c>
      <c r="HT94" s="109">
        <f>HT92*35%</f>
        <v>3554063.8</v>
      </c>
      <c r="HU94" s="109">
        <f>HU92*35%</f>
        <v>1222849.95</v>
      </c>
      <c r="HV94" s="109">
        <f>HU94/3</f>
        <v>407616.64999999997</v>
      </c>
      <c r="HW94" s="141"/>
      <c r="HX94" s="141"/>
      <c r="HY94" s="141"/>
      <c r="HZ94" s="141"/>
      <c r="IA94" s="74"/>
      <c r="IB94" s="141"/>
      <c r="IC94" s="141"/>
      <c r="ID94" s="141"/>
      <c r="IE94" s="141">
        <f>IE93-IE80</f>
        <v>9744.3199999928474</v>
      </c>
      <c r="IF94" s="141">
        <f>IF93-IF80</f>
        <v>1766562.9399999976</v>
      </c>
      <c r="IG94" s="141"/>
      <c r="IH94" s="141"/>
      <c r="IJ94" s="109"/>
      <c r="IK94" s="109"/>
      <c r="IL94" s="109"/>
      <c r="IM94" s="109"/>
      <c r="IN94" s="109"/>
      <c r="IP94" s="69" t="s">
        <v>415</v>
      </c>
      <c r="IQ94" s="109">
        <v>3472481</v>
      </c>
      <c r="IU94" s="71"/>
      <c r="JA94" s="69" t="s">
        <v>413</v>
      </c>
      <c r="JB94" s="109">
        <f>'[6]1. Indai - T&amp;M'!$QM$126</f>
        <v>1031842.2</v>
      </c>
      <c r="JC94" s="155"/>
      <c r="JD94" s="155"/>
      <c r="JL94" s="69" t="s">
        <v>413</v>
      </c>
      <c r="JM94" s="109">
        <v>1078859.55</v>
      </c>
      <c r="JN94" s="74">
        <f>JN93/JM93</f>
        <v>0.4586064418157364</v>
      </c>
      <c r="JO94" s="74">
        <f>JO93/JM93</f>
        <v>0.5413935581842636</v>
      </c>
      <c r="KA94" s="69" t="s">
        <v>413</v>
      </c>
      <c r="KB94" s="823">
        <f>1366085*85%</f>
        <v>1161172.25</v>
      </c>
      <c r="KC94" s="74">
        <f>KC93/KB93</f>
        <v>0.55000000000000004</v>
      </c>
      <c r="KD94" s="74">
        <f>KD93/KB93</f>
        <v>0.45</v>
      </c>
      <c r="KE94" s="155"/>
      <c r="KF94" s="155"/>
      <c r="KL94" s="69" t="s">
        <v>413</v>
      </c>
      <c r="KM94" s="823">
        <f>+(1337235*85%)</f>
        <v>1136649.75</v>
      </c>
      <c r="KN94" s="74">
        <f>KN93/KM93</f>
        <v>0.55000000000000004</v>
      </c>
      <c r="KO94" s="74">
        <f>KO93/KM93</f>
        <v>0.45</v>
      </c>
      <c r="KP94" s="820"/>
      <c r="KW94" s="69" t="s">
        <v>413</v>
      </c>
      <c r="KX94" s="823">
        <f>+(1442788*85%)</f>
        <v>1226369.8</v>
      </c>
      <c r="KY94" s="74">
        <f>KY93/KX93</f>
        <v>0.55000000000000004</v>
      </c>
      <c r="KZ94" s="74">
        <f>KZ93/KX93</f>
        <v>0.45</v>
      </c>
      <c r="LA94" s="820"/>
      <c r="LB94" s="155"/>
      <c r="LC94" s="155"/>
      <c r="LD94" s="155"/>
      <c r="LE94" s="74"/>
      <c r="LF94" s="109"/>
      <c r="LG94" s="109"/>
      <c r="LH94" s="109"/>
      <c r="LI94" s="74"/>
      <c r="LJ94" s="74"/>
      <c r="LK94" s="74"/>
      <c r="LR94" s="69" t="s">
        <v>413</v>
      </c>
      <c r="LS94" s="823">
        <f>+(1408367*85%)</f>
        <v>1197111.95</v>
      </c>
      <c r="LT94" s="74">
        <f>LT93/LS93</f>
        <v>0.55000000000000004</v>
      </c>
      <c r="LU94" s="74">
        <f>LU93/LS93</f>
        <v>0.45</v>
      </c>
      <c r="LV94" s="820"/>
      <c r="LW94" s="109"/>
      <c r="LX94" s="109"/>
      <c r="LY94" s="109"/>
      <c r="LZ94" s="109"/>
      <c r="MA94" s="820"/>
      <c r="MB94" s="820"/>
      <c r="MC94" s="69" t="s">
        <v>413</v>
      </c>
      <c r="MD94" s="823">
        <f>(1492399*85%)</f>
        <v>1268539.1499999999</v>
      </c>
      <c r="ME94" s="74">
        <f>ME93/MD93</f>
        <v>0.55000000000000004</v>
      </c>
      <c r="MF94" s="74">
        <f>MF93/MD93</f>
        <v>0.45</v>
      </c>
      <c r="MG94" s="820"/>
      <c r="MN94" s="69" t="s">
        <v>413</v>
      </c>
      <c r="MO94" s="823">
        <f>1461243-219186</f>
        <v>1242057</v>
      </c>
      <c r="MP94" s="74">
        <f>MP93/MO93</f>
        <v>0.55000000000000004</v>
      </c>
      <c r="MQ94" s="74">
        <f>MQ93/MO93</f>
        <v>0.45</v>
      </c>
      <c r="MS94" s="812"/>
      <c r="MT94" s="109"/>
      <c r="MU94" s="109"/>
      <c r="MW94" s="109"/>
      <c r="MX94" s="109"/>
      <c r="MY94" s="109"/>
      <c r="MZ94" s="109"/>
      <c r="NA94" s="109"/>
      <c r="NI94" s="69" t="s">
        <v>410</v>
      </c>
      <c r="NJ94" s="816">
        <f>SUM(NJ95:NJ97)</f>
        <v>3117503</v>
      </c>
      <c r="NK94" s="816">
        <f>NJ94*55%</f>
        <v>1714626.6500000001</v>
      </c>
      <c r="NL94" s="816">
        <f>NJ94*45%</f>
        <v>1402876.35</v>
      </c>
      <c r="NM94" s="155"/>
      <c r="NT94" s="69" t="s">
        <v>410</v>
      </c>
      <c r="NU94" s="816">
        <f>SUM(NU95:NU97)</f>
        <v>3719806.2</v>
      </c>
      <c r="NV94" s="816">
        <f>NU94*35%</f>
        <v>1301932.17</v>
      </c>
      <c r="NW94" s="816">
        <f>NU94*40%</f>
        <v>1487922.4800000002</v>
      </c>
      <c r="NX94" s="155">
        <f>NU94*25%</f>
        <v>929951.55</v>
      </c>
      <c r="OE94" s="69" t="s">
        <v>410</v>
      </c>
      <c r="OF94" s="816">
        <f>SUM(OF95:OF97)</f>
        <v>12763734.199999999</v>
      </c>
      <c r="OG94" s="816">
        <f>OF94*35%</f>
        <v>4467306.97</v>
      </c>
      <c r="OH94" s="816">
        <f>OF94*40%</f>
        <v>5105493.68</v>
      </c>
      <c r="OI94" s="155">
        <f>OF94*25%</f>
        <v>3190933.55</v>
      </c>
      <c r="OQ94" s="69" t="s">
        <v>410</v>
      </c>
      <c r="OR94" s="830">
        <f>SUM(OR95:OR96)</f>
        <v>4319438</v>
      </c>
      <c r="OS94" s="155">
        <f>OR94*25%</f>
        <v>1079859.5</v>
      </c>
      <c r="OT94" s="155">
        <f>OR94*25%</f>
        <v>1079859.5</v>
      </c>
      <c r="OU94" s="155">
        <f>OR94*25%</f>
        <v>1079859.5</v>
      </c>
      <c r="OV94" s="817">
        <f>OR94*25%</f>
        <v>1079859.5</v>
      </c>
      <c r="OX94" s="155"/>
      <c r="OY94" s="155"/>
      <c r="PA94" s="71"/>
      <c r="PB94" s="69" t="s">
        <v>410</v>
      </c>
      <c r="PC94" s="830">
        <f>SUM(PC95:PC96)</f>
        <v>4061225</v>
      </c>
      <c r="PD94" s="155">
        <f>PC94*25%</f>
        <v>1015306.25</v>
      </c>
      <c r="PE94" s="155">
        <f>PC94*25%</f>
        <v>1015306.25</v>
      </c>
      <c r="PF94" s="155">
        <f>PC94*25%</f>
        <v>1015306.25</v>
      </c>
      <c r="PG94" s="817">
        <f>PC94*25%</f>
        <v>1015306.25</v>
      </c>
      <c r="PI94" s="155"/>
      <c r="PM94" s="69" t="s">
        <v>410</v>
      </c>
      <c r="PN94" s="830">
        <f>SUM(PN95:PN96)</f>
        <v>3260942.25</v>
      </c>
      <c r="PO94" s="155">
        <f>PN94*25%</f>
        <v>815235.5625</v>
      </c>
      <c r="PP94" s="155">
        <f>PN94*25%</f>
        <v>815235.5625</v>
      </c>
      <c r="PQ94" s="155">
        <f>PN94*25%</f>
        <v>815235.5625</v>
      </c>
      <c r="PR94" s="155">
        <f>PN94*25%</f>
        <v>815235.5625</v>
      </c>
      <c r="PT94" s="155"/>
      <c r="QB94" s="69" t="s">
        <v>410</v>
      </c>
      <c r="QC94" s="830">
        <f>SUM(QC95:QC96)</f>
        <v>4828672</v>
      </c>
      <c r="QD94" s="155">
        <f>QC94*25%</f>
        <v>1207168</v>
      </c>
      <c r="QE94" s="155">
        <f>QC94*25%</f>
        <v>1207168</v>
      </c>
      <c r="QF94" s="155">
        <f>QC94*25%</f>
        <v>1207168</v>
      </c>
      <c r="QG94" s="155">
        <f>QC94*25%</f>
        <v>1207168</v>
      </c>
      <c r="QM94" s="69" t="s">
        <v>410</v>
      </c>
      <c r="QN94" s="830">
        <f>SUM(QN95:QN96)</f>
        <v>4389228</v>
      </c>
      <c r="QO94" s="155">
        <f>QN94*25%</f>
        <v>1097307</v>
      </c>
      <c r="QP94" s="155">
        <f>QN94*25%</f>
        <v>1097307</v>
      </c>
      <c r="QQ94" s="155">
        <f>QN94*25%</f>
        <v>1097307</v>
      </c>
      <c r="QR94" s="155">
        <f>QN94*25%</f>
        <v>1097307</v>
      </c>
      <c r="QX94" s="69" t="s">
        <v>410</v>
      </c>
      <c r="QY94" s="830">
        <f>SUM(QY95:QY96)</f>
        <v>3946889</v>
      </c>
      <c r="QZ94" s="155">
        <f>QY94*23%</f>
        <v>907784.47000000009</v>
      </c>
      <c r="RA94" s="155">
        <f>QY94*24%</f>
        <v>947253.36</v>
      </c>
      <c r="RB94" s="155">
        <f>QY94*23%</f>
        <v>907784.47000000009</v>
      </c>
      <c r="RC94" s="155">
        <f>QY94*30%</f>
        <v>1184066.7</v>
      </c>
      <c r="RD94" s="69" t="s">
        <v>233</v>
      </c>
      <c r="RS94" s="69" t="s">
        <v>410</v>
      </c>
      <c r="RT94" s="830">
        <f>SUM(RT95:RT96)</f>
        <v>4273476</v>
      </c>
      <c r="RU94" s="155">
        <f>RT94*23%</f>
        <v>982899.4800000001</v>
      </c>
      <c r="RV94" s="155">
        <f>RT94*24%</f>
        <v>1025634.24</v>
      </c>
      <c r="RW94" s="155">
        <f>RT94*23%</f>
        <v>982899.4800000001</v>
      </c>
      <c r="RX94" s="155">
        <f>RT94*30%</f>
        <v>1282042.8</v>
      </c>
      <c r="SD94" s="69" t="s">
        <v>410</v>
      </c>
      <c r="SE94" s="830">
        <f>SUM(SE95:SE96)</f>
        <v>4417726</v>
      </c>
      <c r="SF94" s="155">
        <v>1089495</v>
      </c>
      <c r="SG94" s="155">
        <v>1089495</v>
      </c>
      <c r="SH94" s="155">
        <v>1089495</v>
      </c>
      <c r="SI94" s="155">
        <v>1149241</v>
      </c>
      <c r="SJ94" s="155"/>
      <c r="SK94" s="155"/>
      <c r="SO94" s="69" t="s">
        <v>410</v>
      </c>
      <c r="SP94" s="830">
        <f>SUM(SP95:SP96)</f>
        <v>4652679</v>
      </c>
      <c r="SQ94" s="155">
        <f>1089495+66027</f>
        <v>1155522</v>
      </c>
      <c r="SR94" s="155">
        <f t="shared" ref="SR94:SS94" si="890">1089495+66027</f>
        <v>1155522</v>
      </c>
      <c r="SS94" s="155">
        <f t="shared" si="890"/>
        <v>1155522</v>
      </c>
      <c r="ST94" s="155">
        <v>1186113</v>
      </c>
      <c r="SV94" s="155"/>
      <c r="SW94" s="155"/>
      <c r="SX94" s="155"/>
      <c r="TD94" s="69" t="s">
        <v>410</v>
      </c>
      <c r="TE94" s="830">
        <f>SUM(TE95:TE96)</f>
        <v>4485338</v>
      </c>
      <c r="TF94" s="155">
        <v>1093255.7</v>
      </c>
      <c r="TG94" s="155">
        <v>1093255.7</v>
      </c>
      <c r="TH94" s="155">
        <v>1093255.7</v>
      </c>
      <c r="TI94" s="155">
        <v>981304</v>
      </c>
      <c r="TJ94" s="155">
        <f>TE94*5%</f>
        <v>224266.90000000002</v>
      </c>
      <c r="TK94" s="155"/>
    </row>
    <row r="95" spans="1:562" s="69" customFormat="1" x14ac:dyDescent="0.3">
      <c r="A95" s="67" t="s">
        <v>416</v>
      </c>
      <c r="C95" s="811"/>
      <c r="D95" s="811"/>
      <c r="E95" s="71"/>
      <c r="F95" s="71"/>
      <c r="G95" s="160"/>
      <c r="H95" s="160"/>
      <c r="I95" s="160"/>
      <c r="J95" s="71"/>
      <c r="K95" s="71"/>
      <c r="L95" s="160"/>
      <c r="M95" s="160"/>
      <c r="N95" s="160"/>
      <c r="O95" s="71"/>
      <c r="P95" s="71"/>
      <c r="Q95" s="160"/>
      <c r="R95" s="160"/>
      <c r="S95" s="160"/>
      <c r="T95" s="85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M95" s="109"/>
      <c r="AN95" s="109"/>
      <c r="AO95" s="109"/>
      <c r="AP95" s="109"/>
      <c r="AQ95" s="109"/>
      <c r="AX95" s="71"/>
      <c r="BC95" s="109"/>
      <c r="BD95" s="109"/>
      <c r="BE95" s="109"/>
      <c r="BF95" s="109"/>
      <c r="BG95" s="109"/>
      <c r="BH95" s="813"/>
      <c r="BI95" s="109"/>
      <c r="BJ95" s="109"/>
      <c r="BK95" s="109"/>
      <c r="BL95" s="109"/>
      <c r="BM95" s="109"/>
      <c r="BN95" s="813"/>
      <c r="BO95" s="812"/>
      <c r="BP95" s="109"/>
      <c r="BQ95" s="109"/>
      <c r="BR95" s="109"/>
      <c r="BS95" s="109"/>
      <c r="BX95" s="67"/>
      <c r="BY95" s="71"/>
      <c r="CA95" s="661"/>
      <c r="CB95" s="661"/>
      <c r="CD95" s="74"/>
      <c r="CE95" s="109"/>
      <c r="CF95" s="109"/>
      <c r="CG95" s="109"/>
      <c r="CH95" s="109"/>
      <c r="CI95" s="109"/>
      <c r="CJ95" s="74"/>
      <c r="CK95" s="71"/>
      <c r="CL95" s="661"/>
      <c r="CM95" s="661"/>
      <c r="CN95" s="661"/>
      <c r="CP95" s="74"/>
      <c r="CQ95" s="109"/>
      <c r="CR95" s="109"/>
      <c r="CS95" s="109"/>
      <c r="CT95" s="109"/>
      <c r="CU95" s="109"/>
      <c r="CV95" s="74"/>
      <c r="CW95" s="74"/>
      <c r="CX95" s="74"/>
      <c r="CY95" s="74"/>
      <c r="CZ95" s="74"/>
      <c r="DA95" s="74"/>
      <c r="DB95" s="74"/>
      <c r="DC95" s="109"/>
      <c r="DD95" s="109"/>
      <c r="DE95" s="109"/>
      <c r="DF95" s="109"/>
      <c r="DG95" s="109"/>
      <c r="DH95" s="74"/>
      <c r="DI95" s="74"/>
      <c r="DJ95" s="74"/>
      <c r="DK95" s="74"/>
      <c r="DL95" s="74"/>
      <c r="DM95" s="74"/>
      <c r="DN95" s="74"/>
      <c r="DO95" s="74"/>
      <c r="DQ95" s="109"/>
      <c r="DR95" s="109"/>
      <c r="DS95" s="74"/>
      <c r="DT95" s="74"/>
      <c r="DU95" s="74"/>
      <c r="DZ95" s="109"/>
      <c r="EA95" s="109"/>
      <c r="FJ95" s="74"/>
      <c r="FK95" s="109"/>
      <c r="FL95" s="109"/>
      <c r="FM95" s="109"/>
      <c r="FN95" s="109"/>
      <c r="FO95" s="109"/>
      <c r="FQ95" s="109"/>
      <c r="FR95" s="109"/>
      <c r="FS95" s="109"/>
      <c r="FU95" s="74"/>
      <c r="GA95" s="74"/>
      <c r="GB95" s="74"/>
      <c r="GH95" s="74"/>
      <c r="GN95" s="109"/>
      <c r="GO95" s="109"/>
      <c r="GP95" s="109"/>
      <c r="GQ95" s="109"/>
      <c r="GR95" s="109"/>
      <c r="GT95" s="109"/>
      <c r="GU95" s="109"/>
      <c r="GV95" s="109"/>
      <c r="GW95" s="109"/>
      <c r="GY95" s="74"/>
      <c r="GZ95" s="708"/>
      <c r="HA95" s="708"/>
      <c r="HB95" s="708"/>
      <c r="HC95" s="708"/>
      <c r="HD95" s="74"/>
      <c r="HE95" s="74"/>
      <c r="HF95" s="69" t="s">
        <v>417</v>
      </c>
      <c r="HG95" s="822">
        <f>HH95/2</f>
        <v>169951.30000000002</v>
      </c>
      <c r="HH95" s="109">
        <f>HH92*10%</f>
        <v>339902.60000000003</v>
      </c>
      <c r="HI95" s="109">
        <f>HI92*15%</f>
        <v>562969.875</v>
      </c>
      <c r="HJ95" s="815">
        <f>HI95/2</f>
        <v>281484.9375</v>
      </c>
      <c r="HK95" s="74"/>
      <c r="HL95" s="74"/>
      <c r="HM95" s="74"/>
      <c r="HN95" s="74"/>
      <c r="HO95" s="74"/>
      <c r="HP95" s="74"/>
      <c r="HQ95" s="74"/>
      <c r="HR95" s="109" t="s">
        <v>417</v>
      </c>
      <c r="HS95" s="109">
        <f>HT95/2</f>
        <v>507723.4</v>
      </c>
      <c r="HT95" s="109">
        <f>HT92*10%</f>
        <v>1015446.8</v>
      </c>
      <c r="HU95" s="109">
        <f>HU92*15%</f>
        <v>524078.55</v>
      </c>
      <c r="HV95" s="109">
        <f>HU95/2</f>
        <v>262039.27499999999</v>
      </c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J95" s="109"/>
      <c r="IK95" s="109"/>
      <c r="IL95" s="109"/>
      <c r="IM95" s="109"/>
      <c r="IN95" s="109"/>
      <c r="IP95" s="69" t="s">
        <v>418</v>
      </c>
      <c r="IQ95" s="155">
        <v>10802</v>
      </c>
      <c r="IU95" s="71"/>
      <c r="IY95" s="109"/>
      <c r="JA95" s="69" t="s">
        <v>415</v>
      </c>
      <c r="JB95" s="109">
        <v>1855043</v>
      </c>
      <c r="JF95" s="109"/>
      <c r="JL95" s="69" t="s">
        <v>415</v>
      </c>
      <c r="JM95" s="109">
        <v>2076106</v>
      </c>
      <c r="KA95" s="69" t="s">
        <v>415</v>
      </c>
      <c r="KB95" s="109">
        <v>2591475</v>
      </c>
      <c r="KL95" s="69" t="s">
        <v>415</v>
      </c>
      <c r="KM95" s="109">
        <v>1566580</v>
      </c>
      <c r="KW95" s="69" t="s">
        <v>415</v>
      </c>
      <c r="KX95" s="109">
        <v>2194262</v>
      </c>
      <c r="LE95" s="74"/>
      <c r="LF95" s="109"/>
      <c r="LG95" s="109"/>
      <c r="LH95" s="109"/>
      <c r="LI95" s="74"/>
      <c r="LJ95" s="74"/>
      <c r="LK95" s="74"/>
      <c r="LR95" s="69" t="s">
        <v>415</v>
      </c>
      <c r="LS95" s="109">
        <f>LU105</f>
        <v>2096448</v>
      </c>
      <c r="LW95" s="109"/>
      <c r="LX95" s="109"/>
      <c r="LY95" s="109"/>
      <c r="LZ95" s="109"/>
      <c r="MC95" s="69" t="s">
        <v>415</v>
      </c>
      <c r="MD95" s="109">
        <f>2594749-263400</f>
        <v>2331349</v>
      </c>
      <c r="MN95" s="69" t="s">
        <v>415</v>
      </c>
      <c r="MO95" s="109">
        <f>MO105-289670</f>
        <v>2830553</v>
      </c>
      <c r="MS95" s="812"/>
      <c r="MT95" s="109"/>
      <c r="MU95" s="109"/>
      <c r="MW95" s="109"/>
      <c r="MX95" s="109"/>
      <c r="MY95" s="109"/>
      <c r="MZ95" s="109"/>
      <c r="NA95" s="109"/>
      <c r="NI95" s="69" t="s">
        <v>413</v>
      </c>
      <c r="NJ95" s="823">
        <f>1204743-'Managed Servive'!DV133</f>
        <v>1147723</v>
      </c>
      <c r="NK95" s="74">
        <f>NK94/NJ94</f>
        <v>0.55000000000000004</v>
      </c>
      <c r="NL95" s="74">
        <f>NL94/NJ94</f>
        <v>0.45</v>
      </c>
      <c r="NT95" s="69" t="s">
        <v>413</v>
      </c>
      <c r="NU95" s="453">
        <f>1645519*80%</f>
        <v>1316415.2000000002</v>
      </c>
      <c r="NV95" s="74">
        <f>NV94/NU94</f>
        <v>0.35</v>
      </c>
      <c r="NW95" s="74">
        <f>NW94/NU94</f>
        <v>0.4</v>
      </c>
      <c r="NX95" s="74">
        <f>NX94/NU94</f>
        <v>0.25</v>
      </c>
      <c r="OE95" s="69" t="s">
        <v>413</v>
      </c>
      <c r="OF95" s="453">
        <f>1640969*80%</f>
        <v>1312775.2000000002</v>
      </c>
      <c r="OG95" s="74">
        <f>OG94/OF94</f>
        <v>0.35</v>
      </c>
      <c r="OH95" s="74">
        <f>OH94/OF94</f>
        <v>0.4</v>
      </c>
      <c r="OI95" s="74">
        <f>OI94/OF94</f>
        <v>0.25</v>
      </c>
      <c r="OQ95" s="69" t="s">
        <v>413</v>
      </c>
      <c r="OR95" s="823">
        <v>1509691</v>
      </c>
      <c r="OS95" s="74">
        <v>0.25</v>
      </c>
      <c r="OT95" s="74">
        <f>OT94/OR94</f>
        <v>0.25</v>
      </c>
      <c r="OU95" s="74">
        <f>OU94/OR94</f>
        <v>0.25</v>
      </c>
      <c r="OV95" s="85">
        <v>0.25</v>
      </c>
      <c r="PA95" s="71"/>
      <c r="PB95" s="69" t="s">
        <v>413</v>
      </c>
      <c r="PC95" s="823">
        <v>1726251</v>
      </c>
      <c r="PD95" s="74">
        <v>0.25</v>
      </c>
      <c r="PE95" s="74">
        <f>PE94/PC94</f>
        <v>0.25</v>
      </c>
      <c r="PF95" s="74">
        <f>PF94/PC94</f>
        <v>0.25</v>
      </c>
      <c r="PG95" s="85">
        <v>0.25</v>
      </c>
      <c r="PM95" s="69" t="s">
        <v>413</v>
      </c>
      <c r="PN95" s="823">
        <v>1257953.25</v>
      </c>
      <c r="PO95" s="74">
        <v>0.25</v>
      </c>
      <c r="PP95" s="74">
        <f>PP94/PN94</f>
        <v>0.25</v>
      </c>
      <c r="PQ95" s="74">
        <f>PQ94/PN94</f>
        <v>0.25</v>
      </c>
      <c r="PR95" s="74">
        <v>0.25</v>
      </c>
      <c r="QB95" s="69" t="s">
        <v>413</v>
      </c>
      <c r="QC95" s="823">
        <f>1605933</f>
        <v>1605933</v>
      </c>
      <c r="QD95" s="74">
        <v>0.25</v>
      </c>
      <c r="QE95" s="74">
        <f>QE94/QC94</f>
        <v>0.25</v>
      </c>
      <c r="QF95" s="74">
        <f>QF94/QC94</f>
        <v>0.25</v>
      </c>
      <c r="QG95" s="74">
        <v>0.25</v>
      </c>
      <c r="QM95" s="69" t="s">
        <v>413</v>
      </c>
      <c r="QN95" s="823">
        <v>1598013</v>
      </c>
      <c r="QO95" s="74">
        <v>0.25</v>
      </c>
      <c r="QP95" s="74">
        <f>QP94/QN94</f>
        <v>0.25</v>
      </c>
      <c r="QQ95" s="74">
        <f>QQ94/QN94</f>
        <v>0.25</v>
      </c>
      <c r="QR95" s="74">
        <v>0.25</v>
      </c>
      <c r="QX95" s="69" t="s">
        <v>413</v>
      </c>
      <c r="QY95" s="823">
        <v>1605126</v>
      </c>
      <c r="QZ95" s="74">
        <v>0.25</v>
      </c>
      <c r="RA95" s="74">
        <f>RA94/QY94</f>
        <v>0.24</v>
      </c>
      <c r="RB95" s="74">
        <f>RB94/QY94</f>
        <v>0.23</v>
      </c>
      <c r="RC95" s="74">
        <v>0.25</v>
      </c>
      <c r="RS95" s="69" t="s">
        <v>413</v>
      </c>
      <c r="RT95" s="823">
        <v>1653180</v>
      </c>
      <c r="RU95" s="74">
        <v>0.25</v>
      </c>
      <c r="RV95" s="74">
        <f>RV94/RT94</f>
        <v>0.24</v>
      </c>
      <c r="RW95" s="74">
        <f>RW94/RT94</f>
        <v>0.23</v>
      </c>
      <c r="RX95" s="74">
        <v>0.25</v>
      </c>
      <c r="SD95" s="69" t="s">
        <v>413</v>
      </c>
      <c r="SE95" s="823">
        <v>1706550</v>
      </c>
      <c r="SF95" s="74">
        <f>SF94/SE94</f>
        <v>0.24661896188219912</v>
      </c>
      <c r="SG95" s="74">
        <f>SG94/SE94</f>
        <v>0.24661896188219912</v>
      </c>
      <c r="SH95" s="74">
        <f>SH94/SE94</f>
        <v>0.24661896188219912</v>
      </c>
      <c r="SI95" s="74">
        <v>0.25</v>
      </c>
      <c r="SJ95" s="155"/>
      <c r="SO95" s="69" t="s">
        <v>413</v>
      </c>
      <c r="SP95" s="823">
        <v>1655572</v>
      </c>
      <c r="SQ95" s="74">
        <f>SQ94/SP94</f>
        <v>0.24835626958146048</v>
      </c>
      <c r="SR95" s="74">
        <f>SR94/SP94</f>
        <v>0.24835626958146048</v>
      </c>
      <c r="SS95" s="74">
        <f>SS94/SP94</f>
        <v>0.24835626958146048</v>
      </c>
      <c r="ST95" s="74">
        <v>0.25</v>
      </c>
      <c r="SV95" s="155"/>
      <c r="SW95" s="155"/>
      <c r="TD95" s="69" t="s">
        <v>413</v>
      </c>
      <c r="TE95" s="823">
        <v>1589260</v>
      </c>
      <c r="TF95" s="74">
        <f>TF94/TE94</f>
        <v>0.24373986977124132</v>
      </c>
      <c r="TG95" s="74">
        <f>TG94/TE94</f>
        <v>0.24373986977124132</v>
      </c>
      <c r="TH95" s="74">
        <f>TH94/TE94</f>
        <v>0.24373986977124132</v>
      </c>
      <c r="TI95" s="74">
        <v>0.25</v>
      </c>
      <c r="TK95" s="155"/>
    </row>
    <row r="96" spans="1:562" s="69" customFormat="1" x14ac:dyDescent="0.3">
      <c r="A96" s="67" t="s">
        <v>419</v>
      </c>
      <c r="C96" s="811"/>
      <c r="D96" s="811"/>
      <c r="E96" s="71"/>
      <c r="F96" s="71"/>
      <c r="G96" s="160"/>
      <c r="H96" s="160"/>
      <c r="I96" s="160"/>
      <c r="J96" s="71"/>
      <c r="K96" s="71"/>
      <c r="L96" s="160"/>
      <c r="M96" s="160"/>
      <c r="N96" s="160"/>
      <c r="O96" s="71"/>
      <c r="P96" s="71"/>
      <c r="Q96" s="160"/>
      <c r="R96" s="160"/>
      <c r="S96" s="160"/>
      <c r="T96" s="85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M96" s="109"/>
      <c r="AN96" s="109"/>
      <c r="AO96" s="109"/>
      <c r="AP96" s="109"/>
      <c r="AQ96" s="109"/>
      <c r="AX96" s="71"/>
      <c r="BC96" s="109"/>
      <c r="BD96" s="109"/>
      <c r="BE96" s="109"/>
      <c r="BF96" s="109"/>
      <c r="BG96" s="109"/>
      <c r="BH96" s="813"/>
      <c r="BI96" s="109"/>
      <c r="BJ96" s="109"/>
      <c r="BK96" s="109"/>
      <c r="BL96" s="109"/>
      <c r="BM96" s="109"/>
      <c r="BN96" s="813"/>
      <c r="BO96" s="812"/>
      <c r="BP96" s="109"/>
      <c r="BQ96" s="109"/>
      <c r="BR96" s="109"/>
      <c r="BS96" s="109"/>
      <c r="BX96" s="67"/>
      <c r="BY96" s="71"/>
      <c r="CA96" s="661"/>
      <c r="CB96" s="661"/>
      <c r="CD96" s="74"/>
      <c r="CE96" s="109"/>
      <c r="CF96" s="109"/>
      <c r="CG96" s="109"/>
      <c r="CH96" s="109"/>
      <c r="CI96" s="109"/>
      <c r="CJ96" s="74"/>
      <c r="CK96" s="71"/>
      <c r="CL96" s="661"/>
      <c r="CM96" s="661"/>
      <c r="CN96" s="661"/>
      <c r="CP96" s="74"/>
      <c r="CQ96" s="109"/>
      <c r="CR96" s="109"/>
      <c r="CS96" s="109"/>
      <c r="CT96" s="109"/>
      <c r="CU96" s="109"/>
      <c r="CV96" s="74"/>
      <c r="CW96" s="74"/>
      <c r="CX96" s="74"/>
      <c r="CY96" s="74"/>
      <c r="CZ96" s="74"/>
      <c r="DA96" s="74"/>
      <c r="DB96" s="74"/>
      <c r="DC96" s="109"/>
      <c r="DD96" s="109"/>
      <c r="DE96" s="109"/>
      <c r="DF96" s="109"/>
      <c r="DG96" s="109"/>
      <c r="DH96" s="74"/>
      <c r="DI96" s="74"/>
      <c r="DJ96" s="74"/>
      <c r="DK96" s="74"/>
      <c r="DL96" s="74"/>
      <c r="DM96" s="74"/>
      <c r="DN96" s="74"/>
      <c r="DO96" s="74"/>
      <c r="DQ96" s="109"/>
      <c r="DR96" s="109"/>
      <c r="DS96" s="74"/>
      <c r="DT96" s="74"/>
      <c r="DU96" s="74"/>
      <c r="DZ96" s="109"/>
      <c r="EA96" s="109"/>
      <c r="FJ96" s="74"/>
      <c r="FK96" s="109"/>
      <c r="FL96" s="109"/>
      <c r="FM96" s="109"/>
      <c r="FN96" s="109"/>
      <c r="FO96" s="109"/>
      <c r="FQ96" s="109"/>
      <c r="FR96" s="109"/>
      <c r="FS96" s="109"/>
      <c r="FU96" s="74"/>
      <c r="GA96" s="74"/>
      <c r="GB96" s="74"/>
      <c r="GH96" s="74"/>
      <c r="GN96" s="109"/>
      <c r="GO96" s="109"/>
      <c r="GP96" s="109"/>
      <c r="GQ96" s="109"/>
      <c r="GR96" s="109"/>
      <c r="GT96" s="109"/>
      <c r="GU96" s="109"/>
      <c r="GV96" s="109"/>
      <c r="GW96" s="109"/>
      <c r="GY96" s="74"/>
      <c r="GZ96" s="708"/>
      <c r="HA96" s="708"/>
      <c r="HB96" s="708"/>
      <c r="HC96" s="708"/>
      <c r="HD96" s="74"/>
      <c r="HE96" s="74"/>
      <c r="HG96" s="822"/>
      <c r="HH96" s="109"/>
      <c r="HI96" s="109"/>
      <c r="HJ96" s="815"/>
      <c r="HK96" s="74"/>
      <c r="HL96" s="74"/>
      <c r="HM96" s="74"/>
      <c r="HN96" s="74"/>
      <c r="HO96" s="74"/>
      <c r="HP96" s="74"/>
      <c r="HQ96" s="74"/>
      <c r="HR96" s="109"/>
      <c r="HS96" s="109"/>
      <c r="HT96" s="109"/>
      <c r="HU96" s="109"/>
      <c r="HV96" s="109"/>
      <c r="HW96" s="74"/>
      <c r="HX96" s="74"/>
      <c r="HY96" s="74"/>
      <c r="HZ96" s="74"/>
      <c r="IA96" s="74"/>
      <c r="IB96" s="74"/>
      <c r="IC96" s="74"/>
      <c r="ID96" s="74"/>
      <c r="IE96" s="109">
        <v>459441818</v>
      </c>
      <c r="IF96" s="109">
        <v>110874392</v>
      </c>
      <c r="IG96" s="109"/>
      <c r="IH96" s="74"/>
      <c r="IJ96" s="109"/>
      <c r="IK96" s="109"/>
      <c r="IL96" s="109"/>
      <c r="IM96" s="109"/>
      <c r="IN96" s="109"/>
      <c r="IQ96" s="155"/>
      <c r="IU96" s="71"/>
      <c r="IY96" s="155"/>
      <c r="JA96" s="69" t="s">
        <v>420</v>
      </c>
      <c r="JB96" s="109">
        <v>336664</v>
      </c>
      <c r="JL96" s="69" t="s">
        <v>420</v>
      </c>
      <c r="JM96" s="109">
        <v>91661</v>
      </c>
      <c r="JN96" s="816"/>
      <c r="JO96" s="816"/>
      <c r="KA96" s="69" t="s">
        <v>420</v>
      </c>
      <c r="KB96" s="109">
        <v>238984</v>
      </c>
      <c r="KC96" s="816">
        <f>KC93-KB58</f>
        <v>725000</v>
      </c>
      <c r="KD96" s="816"/>
      <c r="KL96" s="69" t="s">
        <v>420</v>
      </c>
      <c r="KM96" s="109">
        <v>942525</v>
      </c>
      <c r="KN96" s="816">
        <f>KN93-KM58</f>
        <v>1035393.3656250001</v>
      </c>
      <c r="KO96" s="816"/>
      <c r="KW96" s="69" t="s">
        <v>420</v>
      </c>
      <c r="KX96" s="109">
        <f>2974178</f>
        <v>2974178</v>
      </c>
      <c r="KY96" s="816"/>
      <c r="KZ96" s="816"/>
      <c r="LE96" s="74"/>
      <c r="LF96" s="109"/>
      <c r="LG96" s="109"/>
      <c r="LH96" s="109"/>
      <c r="LI96" s="74"/>
      <c r="LJ96" s="74"/>
      <c r="LK96" s="74"/>
      <c r="LR96" s="69" t="s">
        <v>420</v>
      </c>
      <c r="LS96" s="109">
        <v>558924</v>
      </c>
      <c r="LT96" s="816"/>
      <c r="LU96" s="816"/>
      <c r="LW96" s="109"/>
      <c r="LX96" s="109"/>
      <c r="LY96" s="109"/>
      <c r="LZ96" s="109"/>
      <c r="MC96" s="69" t="s">
        <v>420</v>
      </c>
      <c r="MD96" s="109">
        <v>532660</v>
      </c>
      <c r="ME96" s="816"/>
      <c r="MF96" s="816"/>
      <c r="MN96" s="69" t="s">
        <v>420</v>
      </c>
      <c r="MO96" s="109">
        <f>183332+833333</f>
        <v>1016665</v>
      </c>
      <c r="MP96" s="816"/>
      <c r="MQ96" s="816"/>
      <c r="MS96" s="812"/>
      <c r="MT96" s="109"/>
      <c r="MU96" s="109"/>
      <c r="MW96" s="109"/>
      <c r="MX96" s="109"/>
      <c r="MY96" s="109"/>
      <c r="MZ96" s="109"/>
      <c r="NA96" s="109"/>
      <c r="NI96" s="69" t="s">
        <v>415</v>
      </c>
      <c r="NJ96" s="109">
        <f>NL106</f>
        <v>1766543</v>
      </c>
      <c r="NT96" s="69" t="s">
        <v>415</v>
      </c>
      <c r="NU96" s="109">
        <f>NW106</f>
        <v>2403391</v>
      </c>
      <c r="OE96" s="69" t="s">
        <v>415</v>
      </c>
      <c r="OF96" s="109">
        <f>OH106</f>
        <v>11450959</v>
      </c>
      <c r="OQ96" s="69" t="s">
        <v>904</v>
      </c>
      <c r="OR96" s="109">
        <f>OR102</f>
        <v>2809747</v>
      </c>
      <c r="OV96" s="71"/>
      <c r="PA96" s="71"/>
      <c r="PB96" s="69" t="s">
        <v>904</v>
      </c>
      <c r="PC96" s="109">
        <f>PC102</f>
        <v>2334974</v>
      </c>
      <c r="PG96" s="71"/>
      <c r="PM96" s="69" t="s">
        <v>904</v>
      </c>
      <c r="PN96" s="109">
        <f>PN102</f>
        <v>2002989</v>
      </c>
      <c r="QB96" s="69" t="s">
        <v>904</v>
      </c>
      <c r="QC96" s="109">
        <f>QC102</f>
        <v>3222739</v>
      </c>
      <c r="QM96" s="69" t="s">
        <v>904</v>
      </c>
      <c r="QN96" s="109">
        <f>QN102</f>
        <v>2791215</v>
      </c>
      <c r="QX96" s="69" t="s">
        <v>904</v>
      </c>
      <c r="QY96" s="109">
        <f>QY102</f>
        <v>2341763</v>
      </c>
      <c r="RS96" s="69" t="s">
        <v>904</v>
      </c>
      <c r="RT96" s="109">
        <f>RT102</f>
        <v>2620296</v>
      </c>
      <c r="SD96" s="69" t="s">
        <v>904</v>
      </c>
      <c r="SE96" s="109">
        <f>SE102</f>
        <v>2711176</v>
      </c>
      <c r="SO96" s="69" t="s">
        <v>904</v>
      </c>
      <c r="SP96" s="109">
        <f>SP102</f>
        <v>2997107</v>
      </c>
      <c r="SV96" s="155"/>
      <c r="TD96" s="69" t="s">
        <v>904</v>
      </c>
      <c r="TE96" s="109">
        <f>TE102</f>
        <v>2896078</v>
      </c>
    </row>
    <row r="97" spans="2:532" s="69" customFormat="1" x14ac:dyDescent="0.3">
      <c r="C97" s="811"/>
      <c r="D97" s="811"/>
      <c r="E97" s="71"/>
      <c r="F97" s="71"/>
      <c r="G97" s="160"/>
      <c r="H97" s="160"/>
      <c r="I97" s="160"/>
      <c r="J97" s="71"/>
      <c r="K97" s="71"/>
      <c r="L97" s="160"/>
      <c r="M97" s="160"/>
      <c r="N97" s="160"/>
      <c r="O97" s="71"/>
      <c r="P97" s="71"/>
      <c r="Q97" s="160"/>
      <c r="R97" s="160"/>
      <c r="S97" s="160"/>
      <c r="T97" s="85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M97" s="109"/>
      <c r="AN97" s="109"/>
      <c r="AO97" s="109"/>
      <c r="AP97" s="109"/>
      <c r="AQ97" s="109"/>
      <c r="AX97" s="71"/>
      <c r="BC97" s="109"/>
      <c r="BD97" s="109"/>
      <c r="BE97" s="109"/>
      <c r="BF97" s="109"/>
      <c r="BG97" s="109"/>
      <c r="BH97" s="813"/>
      <c r="BI97" s="109"/>
      <c r="BJ97" s="109"/>
      <c r="BK97" s="109"/>
      <c r="BL97" s="109"/>
      <c r="BM97" s="109"/>
      <c r="BN97" s="813"/>
      <c r="BO97" s="812"/>
      <c r="BP97" s="109"/>
      <c r="BQ97" s="109"/>
      <c r="BR97" s="109"/>
      <c r="BS97" s="109"/>
      <c r="BX97" s="67"/>
      <c r="BY97" s="71"/>
      <c r="CA97" s="661"/>
      <c r="CB97" s="661"/>
      <c r="CD97" s="74"/>
      <c r="CE97" s="109"/>
      <c r="CF97" s="109"/>
      <c r="CG97" s="109"/>
      <c r="CH97" s="109"/>
      <c r="CI97" s="109"/>
      <c r="CJ97" s="74"/>
      <c r="CK97" s="71"/>
      <c r="CL97" s="661"/>
      <c r="CM97" s="661"/>
      <c r="CN97" s="661"/>
      <c r="CP97" s="74"/>
      <c r="CQ97" s="109"/>
      <c r="CR97" s="109"/>
      <c r="CS97" s="109"/>
      <c r="CT97" s="109"/>
      <c r="CU97" s="109"/>
      <c r="CV97" s="74"/>
      <c r="CW97" s="74"/>
      <c r="CX97" s="74"/>
      <c r="CY97" s="74"/>
      <c r="CZ97" s="74"/>
      <c r="DA97" s="74"/>
      <c r="DB97" s="74"/>
      <c r="DC97" s="109" t="s">
        <v>616</v>
      </c>
      <c r="DD97" s="109">
        <f>DC15+CQ15+CE15</f>
        <v>3616333.3833333338</v>
      </c>
      <c r="DE97" s="822">
        <f>DD97*2</f>
        <v>7232666.7666666675</v>
      </c>
      <c r="DF97" s="109">
        <f>DC58+CQ58+CE58</f>
        <v>6230833.1166666672</v>
      </c>
      <c r="DG97" s="109">
        <f>DF97*2</f>
        <v>12461666.233333334</v>
      </c>
      <c r="DH97" s="74"/>
      <c r="DI97" s="74"/>
      <c r="DJ97" s="74"/>
      <c r="DK97" s="74"/>
      <c r="DL97" s="74"/>
      <c r="DM97" s="74"/>
      <c r="DN97" s="74"/>
      <c r="DO97" s="74"/>
      <c r="DP97" s="155">
        <f>DC80+CQ80+CE80</f>
        <v>4222943</v>
      </c>
      <c r="DQ97" s="109">
        <f>DP97*2</f>
        <v>8445886</v>
      </c>
      <c r="DR97" s="109"/>
      <c r="DS97" s="74"/>
      <c r="DT97" s="74"/>
      <c r="DU97" s="74"/>
      <c r="DZ97" s="109"/>
      <c r="EA97" s="109"/>
      <c r="FJ97" s="74"/>
      <c r="FK97" s="109"/>
      <c r="FL97" s="109"/>
      <c r="FM97" s="109"/>
      <c r="FN97" s="109"/>
      <c r="FO97" s="109" t="s">
        <v>136</v>
      </c>
      <c r="FP97" s="812">
        <f>FQ15+EW15+EK15</f>
        <v>1764802</v>
      </c>
      <c r="FQ97" s="109"/>
      <c r="FR97" s="109">
        <f>FQ58+EW58+EK58</f>
        <v>4613595</v>
      </c>
      <c r="FS97" s="109">
        <f>FQ80+EW80+EK80</f>
        <v>3059019</v>
      </c>
      <c r="FU97" s="74"/>
      <c r="GA97" s="74"/>
      <c r="GB97" s="74"/>
      <c r="GH97" s="74"/>
      <c r="GN97" s="109"/>
      <c r="GO97" s="109"/>
      <c r="GP97" s="109"/>
      <c r="GQ97" s="109"/>
      <c r="GR97" s="109"/>
      <c r="GT97" s="109"/>
      <c r="GU97" s="109"/>
      <c r="GV97" s="109"/>
      <c r="GW97" s="109"/>
      <c r="GY97" s="74"/>
      <c r="GZ97" s="708"/>
      <c r="HA97" s="708"/>
      <c r="HB97" s="708"/>
      <c r="HC97" s="708"/>
      <c r="HD97" s="74"/>
      <c r="HE97" s="74"/>
      <c r="HG97" s="109"/>
      <c r="HH97" s="109"/>
      <c r="HI97" s="109"/>
      <c r="HJ97" s="74"/>
      <c r="HK97" s="74"/>
      <c r="HL97" s="74"/>
      <c r="HM97" s="74"/>
      <c r="HN97" s="74"/>
      <c r="HO97" s="74"/>
      <c r="HP97" s="74"/>
      <c r="HQ97" s="74"/>
      <c r="HR97" s="109"/>
      <c r="HS97" s="109"/>
      <c r="HT97" s="109"/>
      <c r="HU97" s="109"/>
      <c r="HV97" s="74"/>
      <c r="HW97" s="74"/>
      <c r="HX97" s="74"/>
      <c r="HY97" s="74"/>
      <c r="HZ97" s="74"/>
      <c r="IA97" s="74"/>
      <c r="IB97" s="74"/>
      <c r="IC97" s="74"/>
      <c r="ID97" s="74"/>
      <c r="IE97" s="109">
        <f>IE96-IE58</f>
        <v>66785331.619999945</v>
      </c>
      <c r="IF97" s="109">
        <f>IF96-IF58</f>
        <v>17796019.620000005</v>
      </c>
      <c r="IG97" s="109"/>
      <c r="IH97" s="74"/>
      <c r="IJ97" s="109"/>
      <c r="IK97" s="109"/>
      <c r="IL97" s="109"/>
      <c r="IM97" s="109"/>
      <c r="IN97" s="109"/>
      <c r="IQ97" s="109"/>
      <c r="IR97" s="109"/>
      <c r="IS97" s="155"/>
      <c r="IU97" s="71"/>
      <c r="IY97" s="820"/>
      <c r="JB97" s="155"/>
      <c r="JM97" s="155"/>
      <c r="JN97" s="109"/>
      <c r="JO97" s="155"/>
      <c r="JR97" s="155"/>
      <c r="JS97" s="155"/>
      <c r="KB97" s="155"/>
      <c r="KC97" s="109"/>
      <c r="KD97" s="155"/>
      <c r="KM97" s="155"/>
      <c r="KN97" s="109"/>
      <c r="KO97" s="155"/>
      <c r="KX97" s="155"/>
      <c r="KY97" s="109"/>
      <c r="KZ97" s="155"/>
      <c r="LE97" s="74"/>
      <c r="LF97" s="109"/>
      <c r="LG97" s="109"/>
      <c r="LH97" s="109"/>
      <c r="LI97" s="74"/>
      <c r="LJ97" s="74"/>
      <c r="LK97" s="74"/>
      <c r="LS97" s="155"/>
      <c r="LT97" s="109"/>
      <c r="LU97" s="155"/>
      <c r="LW97" s="109"/>
      <c r="LX97" s="109"/>
      <c r="LY97" s="109"/>
      <c r="LZ97" s="109"/>
      <c r="MD97" s="155"/>
      <c r="ME97" s="109"/>
      <c r="MF97" s="155"/>
      <c r="MO97" s="155"/>
      <c r="MP97" s="109"/>
      <c r="MQ97" s="155"/>
      <c r="MS97" s="812"/>
      <c r="MT97" s="109"/>
      <c r="MU97" s="109"/>
      <c r="MW97" s="109"/>
      <c r="MX97" s="109"/>
      <c r="MY97" s="109"/>
      <c r="MZ97" s="109"/>
      <c r="NA97" s="109"/>
      <c r="NI97" s="69" t="s">
        <v>420</v>
      </c>
      <c r="NJ97" s="109">
        <v>203237</v>
      </c>
      <c r="NK97" s="816">
        <f>NK94-NJ58</f>
        <v>520771.65000000014</v>
      </c>
      <c r="NL97" s="816">
        <f>NL94-NJ80</f>
        <v>-127497.64999999991</v>
      </c>
      <c r="NT97" s="69" t="s">
        <v>420</v>
      </c>
      <c r="NU97" s="109">
        <v>0</v>
      </c>
      <c r="NV97" s="816">
        <f>NV94-NU58</f>
        <v>-122899.83000000007</v>
      </c>
      <c r="NW97" s="816">
        <f>NW94-NU80</f>
        <v>-36499.519999999786</v>
      </c>
      <c r="NX97" s="155">
        <f>NX94-NU15</f>
        <v>-49000</v>
      </c>
      <c r="OE97" s="69" t="s">
        <v>420</v>
      </c>
      <c r="OF97" s="109">
        <v>0</v>
      </c>
      <c r="OG97" s="816">
        <f>OG94-OF58</f>
        <v>0</v>
      </c>
      <c r="OH97" s="816">
        <f>OH94-OF80</f>
        <v>0</v>
      </c>
      <c r="OI97" s="816">
        <f>OI94-OF15</f>
        <v>0</v>
      </c>
      <c r="OR97" s="109"/>
      <c r="OS97" s="816"/>
      <c r="OT97" s="816"/>
      <c r="OU97" s="816"/>
      <c r="OV97" s="71"/>
      <c r="PA97" s="71"/>
      <c r="PC97" s="109"/>
      <c r="PD97" s="816"/>
      <c r="PE97" s="816"/>
      <c r="PF97" s="816"/>
      <c r="PG97" s="71"/>
      <c r="PN97" s="109"/>
      <c r="PO97" s="816"/>
      <c r="PP97" s="816"/>
      <c r="PQ97" s="816"/>
      <c r="QC97" s="109"/>
      <c r="QD97" s="816"/>
      <c r="QE97" s="816"/>
      <c r="QF97" s="816"/>
      <c r="QN97" s="109"/>
      <c r="QO97" s="816"/>
      <c r="QP97" s="816"/>
      <c r="QQ97" s="816"/>
      <c r="QY97" s="109"/>
      <c r="QZ97" s="816"/>
      <c r="RA97" s="816"/>
      <c r="RB97" s="816"/>
      <c r="RT97" s="109"/>
      <c r="RU97" s="816"/>
      <c r="RV97" s="816"/>
      <c r="RW97" s="816"/>
      <c r="SE97" s="109"/>
      <c r="SF97" s="816"/>
      <c r="SG97" s="816"/>
      <c r="SH97" s="816"/>
      <c r="SP97" s="109"/>
      <c r="SQ97" s="816"/>
      <c r="SR97" s="816"/>
      <c r="SS97" s="816"/>
      <c r="TE97" s="109"/>
      <c r="TF97" s="816"/>
      <c r="TG97" s="816"/>
      <c r="TH97" s="816"/>
    </row>
    <row r="98" spans="2:532" s="69" customFormat="1" ht="15.05" x14ac:dyDescent="0.3">
      <c r="C98" s="811"/>
      <c r="D98" s="811"/>
      <c r="E98" s="71"/>
      <c r="F98" s="71"/>
      <c r="G98" s="160"/>
      <c r="H98" s="160"/>
      <c r="I98" s="160"/>
      <c r="J98" s="71"/>
      <c r="K98" s="71"/>
      <c r="L98" s="160"/>
      <c r="M98" s="160"/>
      <c r="N98" s="160"/>
      <c r="O98" s="71"/>
      <c r="P98" s="71"/>
      <c r="Q98" s="160"/>
      <c r="R98" s="160"/>
      <c r="S98" s="160"/>
      <c r="T98" s="85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M98" s="109"/>
      <c r="AN98" s="109"/>
      <c r="AO98" s="109"/>
      <c r="AP98" s="109"/>
      <c r="AQ98" s="109"/>
      <c r="AX98" s="71"/>
      <c r="BC98" s="109"/>
      <c r="BD98" s="109"/>
      <c r="BE98" s="109"/>
      <c r="BF98" s="109"/>
      <c r="BG98" s="109"/>
      <c r="BH98" s="813"/>
      <c r="BI98" s="109"/>
      <c r="BJ98" s="109"/>
      <c r="BK98" s="109"/>
      <c r="BL98" s="109"/>
      <c r="BM98" s="109"/>
      <c r="BN98" s="813"/>
      <c r="BO98" s="812"/>
      <c r="BP98" s="109"/>
      <c r="BQ98" s="109"/>
      <c r="BR98" s="109"/>
      <c r="BS98" s="109"/>
      <c r="BX98" s="67"/>
      <c r="BY98" s="71"/>
      <c r="CA98" s="661"/>
      <c r="CB98" s="661"/>
      <c r="CD98" s="74"/>
      <c r="CE98" s="109"/>
      <c r="CF98" s="109"/>
      <c r="CG98" s="109"/>
      <c r="CH98" s="109"/>
      <c r="CI98" s="109"/>
      <c r="CJ98" s="74"/>
      <c r="CK98" s="71"/>
      <c r="CL98" s="661"/>
      <c r="CM98" s="661"/>
      <c r="CN98" s="661"/>
      <c r="CP98" s="74"/>
      <c r="CQ98" s="109"/>
      <c r="CR98" s="109"/>
      <c r="CS98" s="109"/>
      <c r="CT98" s="109"/>
      <c r="CU98" s="109"/>
      <c r="CV98" s="74"/>
      <c r="CW98" s="74"/>
      <c r="CX98" s="74"/>
      <c r="CY98" s="74"/>
      <c r="CZ98" s="74"/>
      <c r="DA98" s="74"/>
      <c r="DB98" s="74"/>
      <c r="DC98" s="109" t="s">
        <v>617</v>
      </c>
      <c r="DD98" s="109">
        <f>DD15+CR15+CF15</f>
        <v>4644918.1384615358</v>
      </c>
      <c r="DE98" s="822">
        <f>DD98*2</f>
        <v>9289836.2769230716</v>
      </c>
      <c r="DF98" s="109">
        <f>DD58+CR58+CF58</f>
        <v>9580502.8692307696</v>
      </c>
      <c r="DG98" s="109">
        <f>DF98*2</f>
        <v>19161005.738461539</v>
      </c>
      <c r="DH98" s="74"/>
      <c r="DI98" s="74"/>
      <c r="DJ98" s="74"/>
      <c r="DK98" s="74"/>
      <c r="DL98" s="74"/>
      <c r="DM98" s="74"/>
      <c r="DN98" s="74"/>
      <c r="DO98" s="74"/>
      <c r="DP98" s="155">
        <f>DD80+CR80+CF80</f>
        <v>7375245</v>
      </c>
      <c r="DQ98" s="109">
        <f>DP98*2</f>
        <v>14750490</v>
      </c>
      <c r="DR98" s="109"/>
      <c r="DS98" s="74"/>
      <c r="DT98" s="74"/>
      <c r="DU98" s="74"/>
      <c r="DZ98" s="109"/>
      <c r="EA98" s="109"/>
      <c r="EL98" s="155"/>
      <c r="EN98" s="155"/>
      <c r="FJ98" s="74"/>
      <c r="FK98" s="109"/>
      <c r="FL98" s="109"/>
      <c r="FM98" s="109"/>
      <c r="FN98" s="109"/>
      <c r="FO98" s="109" t="s">
        <v>619</v>
      </c>
      <c r="FP98" s="155">
        <f>FR15+EX15+EL15</f>
        <v>4120301.4955000002</v>
      </c>
      <c r="FQ98" s="109"/>
      <c r="FR98" s="109">
        <f>FR58+EX58+EL58</f>
        <v>6413568.4049999993</v>
      </c>
      <c r="FS98" s="109">
        <f>FR80+EX80+EL80</f>
        <v>5732678.9113636352</v>
      </c>
      <c r="FU98" s="74"/>
      <c r="GA98" s="74"/>
      <c r="GB98" s="74"/>
      <c r="GH98" s="74"/>
      <c r="GN98" s="109"/>
      <c r="GO98" s="109"/>
      <c r="GP98" s="109"/>
      <c r="GQ98" s="109"/>
      <c r="GR98" s="109"/>
      <c r="GT98" s="109">
        <v>1838937</v>
      </c>
      <c r="GU98" s="109">
        <v>695244</v>
      </c>
      <c r="GV98" s="109"/>
      <c r="GW98" s="109"/>
      <c r="GY98" s="74"/>
      <c r="GZ98" s="708"/>
      <c r="HA98" s="708"/>
      <c r="HB98" s="708"/>
      <c r="HC98" s="708"/>
      <c r="HD98" s="74"/>
      <c r="HE98" s="74"/>
      <c r="HG98" s="109">
        <v>1838937</v>
      </c>
      <c r="HH98" s="109">
        <v>695244</v>
      </c>
      <c r="HI98" s="109"/>
      <c r="HJ98" s="74"/>
      <c r="HK98" s="74"/>
      <c r="HL98" s="74"/>
      <c r="HM98" s="74"/>
      <c r="HN98" s="74"/>
      <c r="HO98" s="74"/>
      <c r="HP98" s="74"/>
      <c r="HQ98" s="74"/>
      <c r="HR98" s="109" t="s">
        <v>421</v>
      </c>
      <c r="HS98" s="109"/>
      <c r="HT98" s="109">
        <v>311901</v>
      </c>
      <c r="HU98" s="109"/>
      <c r="HV98" s="74"/>
      <c r="HW98" s="74"/>
      <c r="HX98" s="74"/>
      <c r="HY98" s="74"/>
      <c r="HZ98" s="74"/>
      <c r="IA98" s="74"/>
      <c r="IB98" s="74"/>
      <c r="IC98" s="74"/>
      <c r="ID98" s="74"/>
      <c r="IE98" s="109"/>
      <c r="IF98" s="109"/>
      <c r="IG98" s="109"/>
      <c r="IH98" s="74"/>
      <c r="IJ98" s="109"/>
      <c r="IK98" s="109"/>
      <c r="IL98" s="109"/>
      <c r="IM98" s="109"/>
      <c r="IN98" s="109"/>
      <c r="IP98" s="69" t="s">
        <v>422</v>
      </c>
      <c r="IQ98" s="109">
        <f>4335000+559316</f>
        <v>4894316</v>
      </c>
      <c r="IR98" s="155"/>
      <c r="IU98" s="71"/>
      <c r="IY98" s="820"/>
      <c r="JA98" s="69" t="s">
        <v>422</v>
      </c>
      <c r="JB98" s="109">
        <f>(4335000+281355)</f>
        <v>4616355</v>
      </c>
      <c r="JC98" s="155"/>
      <c r="JD98" s="155"/>
      <c r="JF98" s="155"/>
      <c r="JL98" s="69" t="s">
        <v>422</v>
      </c>
      <c r="JM98" s="109">
        <f>4383188+212818</f>
        <v>4596006</v>
      </c>
      <c r="JN98" s="155"/>
      <c r="JO98" s="155"/>
      <c r="JS98" s="155"/>
      <c r="KA98" s="69" t="s">
        <v>422</v>
      </c>
      <c r="KB98" s="823">
        <f>(3500000+900000+700000)+272995+555693</f>
        <v>5928688</v>
      </c>
      <c r="KC98" s="155"/>
      <c r="KD98" s="155"/>
      <c r="KL98" s="69" t="s">
        <v>422</v>
      </c>
      <c r="KM98" s="823">
        <f>(3500000+900000+700000)+307544</f>
        <v>5407544</v>
      </c>
      <c r="KN98" s="155"/>
      <c r="KO98" s="155"/>
      <c r="KW98" s="69" t="s">
        <v>422</v>
      </c>
      <c r="KX98" s="823">
        <f>(3500000+900000+700000)+352674</f>
        <v>5452674</v>
      </c>
      <c r="KY98" s="155"/>
      <c r="KZ98" s="155"/>
      <c r="LE98" s="74"/>
      <c r="LF98" s="109"/>
      <c r="LG98" s="109"/>
      <c r="LH98" s="109"/>
      <c r="LI98" s="74"/>
      <c r="LJ98" s="74"/>
      <c r="LK98" s="74"/>
      <c r="LR98" s="69" t="s">
        <v>422</v>
      </c>
      <c r="LS98" s="823">
        <f>(3500000+900000+700000)+1125676</f>
        <v>6225676</v>
      </c>
      <c r="LT98" s="155"/>
      <c r="LU98" s="155"/>
      <c r="LW98" s="109"/>
      <c r="LX98" s="109"/>
      <c r="LY98" s="109"/>
      <c r="LZ98" s="109"/>
      <c r="MC98" s="69" t="s">
        <v>422</v>
      </c>
      <c r="MD98" s="823">
        <f>(3500000+900000+700000)+555586</f>
        <v>5655586</v>
      </c>
      <c r="ME98" s="155"/>
      <c r="MF98" s="155"/>
      <c r="MN98" s="69" t="s">
        <v>422</v>
      </c>
      <c r="MO98" s="823">
        <f>(3500000+900000+700000)+608834</f>
        <v>5708834</v>
      </c>
      <c r="MP98" s="155"/>
      <c r="MQ98" s="155"/>
      <c r="MS98" s="812"/>
      <c r="MT98" s="109"/>
      <c r="MU98" s="109"/>
      <c r="MW98" s="109"/>
      <c r="MX98" s="109"/>
      <c r="MY98" s="109"/>
      <c r="MZ98" s="109"/>
      <c r="NA98" s="109"/>
      <c r="NJ98" s="155"/>
      <c r="NK98" s="109"/>
      <c r="NL98" s="155"/>
      <c r="NU98" s="155"/>
      <c r="NV98" s="109"/>
      <c r="NW98" s="155"/>
      <c r="OF98" s="155"/>
      <c r="OG98" s="109"/>
      <c r="OH98" s="155"/>
      <c r="OR98" s="830">
        <f>SUM(OR99:OR100)</f>
        <v>6769518</v>
      </c>
      <c r="OS98" s="109">
        <f>OR98*25%</f>
        <v>1692379.5</v>
      </c>
      <c r="OT98" s="155">
        <f>OR98*25%</f>
        <v>1692379.5</v>
      </c>
      <c r="OU98" s="155">
        <f>OR98*25%</f>
        <v>1692379.5</v>
      </c>
      <c r="OV98" s="817">
        <f>OR98*25%</f>
        <v>1692379.5</v>
      </c>
      <c r="OY98" s="155"/>
      <c r="PA98" s="71"/>
      <c r="PC98" s="830">
        <f>SUM(PC99:PC100)</f>
        <v>6030988</v>
      </c>
      <c r="PD98" s="109">
        <f>PC98*25%</f>
        <v>1507747</v>
      </c>
      <c r="PE98" s="155">
        <f>PC98*25%</f>
        <v>1507747</v>
      </c>
      <c r="PF98" s="155">
        <f>PC98*25%</f>
        <v>1507747</v>
      </c>
      <c r="PG98" s="817">
        <f>PC98*25%</f>
        <v>1507747</v>
      </c>
      <c r="PJ98" s="155"/>
      <c r="PN98" s="830">
        <f>SUM(PN99:PN100)</f>
        <v>5797661.75</v>
      </c>
      <c r="PO98" s="109">
        <f>PN98*25%</f>
        <v>1449415.4375</v>
      </c>
      <c r="PP98" s="155">
        <f>PN98*25%</f>
        <v>1449415.4375</v>
      </c>
      <c r="PQ98" s="155">
        <f>PN98*25%</f>
        <v>1449415.4375</v>
      </c>
      <c r="PR98" s="155">
        <f>PN98*25%</f>
        <v>1449415.4375</v>
      </c>
      <c r="PU98" s="155"/>
      <c r="QC98" s="830">
        <f>SUM(QC99:QC100)</f>
        <v>5985354</v>
      </c>
      <c r="QD98" s="109">
        <f>QC98*25%</f>
        <v>1496338.5</v>
      </c>
      <c r="QE98" s="155">
        <f>QC98*25%</f>
        <v>1496338.5</v>
      </c>
      <c r="QF98" s="155">
        <f>QC98*25%</f>
        <v>1496338.5</v>
      </c>
      <c r="QG98" s="155">
        <f>QC98*25%</f>
        <v>1496338.5</v>
      </c>
      <c r="QN98" s="830">
        <f>SUM(QN99:QN100)</f>
        <v>6688285</v>
      </c>
      <c r="QO98" s="109">
        <f>QN98*23.3%</f>
        <v>1558370.405</v>
      </c>
      <c r="QP98" s="155">
        <f>QN98*23.3%</f>
        <v>1558370.405</v>
      </c>
      <c r="QQ98" s="155">
        <f>QN98*23.3%</f>
        <v>1558370.405</v>
      </c>
      <c r="QR98" s="155">
        <f>QN98*30%</f>
        <v>2006485.5</v>
      </c>
      <c r="QU98" s="155"/>
      <c r="QY98" s="830">
        <f>SUM(QY99:QY100)</f>
        <v>6588285</v>
      </c>
      <c r="QZ98" s="109">
        <f>QY98*23.3%</f>
        <v>1535070.405</v>
      </c>
      <c r="RA98" s="155">
        <f>QY98*23.3%</f>
        <v>1535070.405</v>
      </c>
      <c r="RB98" s="155">
        <f>QY98*23.3%</f>
        <v>1535070.405</v>
      </c>
      <c r="RC98" s="155">
        <f>RC99+RC100</f>
        <v>1711485.5</v>
      </c>
      <c r="RT98" s="830">
        <f>SUM(RT99:RT100)</f>
        <v>6815255</v>
      </c>
      <c r="RU98" s="109">
        <f>RT98*23.3%</f>
        <v>1587954.415</v>
      </c>
      <c r="RV98" s="155">
        <f>RT98*23.3%</f>
        <v>1587954.415</v>
      </c>
      <c r="RW98" s="155">
        <f>RT98*23.3%</f>
        <v>1587954.415</v>
      </c>
      <c r="RX98" s="155">
        <f>RX99+RX100</f>
        <v>1801486</v>
      </c>
      <c r="SE98" s="830">
        <f>SUM(SE99:SE100)</f>
        <v>6350149</v>
      </c>
      <c r="SF98" s="109">
        <v>1514221</v>
      </c>
      <c r="SG98" s="109">
        <v>1514221</v>
      </c>
      <c r="SH98" s="109">
        <v>1514221</v>
      </c>
      <c r="SI98" s="155">
        <f>SI99+SI100</f>
        <v>1807484</v>
      </c>
      <c r="SJ98" s="155"/>
      <c r="SP98" s="830">
        <f>SUM(SP99:SP100)</f>
        <v>6606706</v>
      </c>
      <c r="SQ98" s="109">
        <v>1629898</v>
      </c>
      <c r="SR98" s="109">
        <v>1629898</v>
      </c>
      <c r="SS98" s="109">
        <v>1629898</v>
      </c>
      <c r="ST98" s="155">
        <v>1717011.8</v>
      </c>
      <c r="SU98" s="155"/>
      <c r="SW98" s="155"/>
      <c r="TE98" s="830">
        <f>SUM(TE99:TE100)</f>
        <v>6144525</v>
      </c>
      <c r="TF98" s="109">
        <v>1481120.1666666667</v>
      </c>
      <c r="TG98" s="109">
        <v>1481120.1666666667</v>
      </c>
      <c r="TH98" s="109">
        <v>1481120.1666666667</v>
      </c>
      <c r="TI98" s="155">
        <v>1578274</v>
      </c>
      <c r="TJ98" s="155">
        <f>TE98*2%</f>
        <v>122890.5</v>
      </c>
      <c r="TL98" s="155"/>
    </row>
    <row r="99" spans="2:532" s="69" customFormat="1" x14ac:dyDescent="0.3">
      <c r="C99" s="811"/>
      <c r="D99" s="811"/>
      <c r="E99" s="71"/>
      <c r="F99" s="71"/>
      <c r="G99" s="160"/>
      <c r="H99" s="160"/>
      <c r="I99" s="160"/>
      <c r="J99" s="71"/>
      <c r="K99" s="71"/>
      <c r="L99" s="160"/>
      <c r="M99" s="160"/>
      <c r="N99" s="160"/>
      <c r="O99" s="71"/>
      <c r="P99" s="71"/>
      <c r="Q99" s="160"/>
      <c r="R99" s="160"/>
      <c r="S99" s="160"/>
      <c r="T99" s="85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M99" s="109"/>
      <c r="AN99" s="109"/>
      <c r="AO99" s="109"/>
      <c r="AP99" s="109"/>
      <c r="AQ99" s="109"/>
      <c r="AX99" s="71"/>
      <c r="BC99" s="109"/>
      <c r="BD99" s="109"/>
      <c r="BE99" s="109"/>
      <c r="BF99" s="109"/>
      <c r="BG99" s="109"/>
      <c r="BH99" s="813"/>
      <c r="BI99" s="109"/>
      <c r="BJ99" s="109"/>
      <c r="BK99" s="109"/>
      <c r="BL99" s="109"/>
      <c r="BM99" s="109"/>
      <c r="BN99" s="813"/>
      <c r="BO99" s="812"/>
      <c r="BP99" s="109"/>
      <c r="BQ99" s="109"/>
      <c r="BR99" s="109"/>
      <c r="BS99" s="109"/>
      <c r="BX99" s="67"/>
      <c r="BY99" s="71"/>
      <c r="CA99" s="661"/>
      <c r="CB99" s="661"/>
      <c r="CD99" s="74"/>
      <c r="CE99" s="109"/>
      <c r="CF99" s="109"/>
      <c r="CG99" s="109"/>
      <c r="CH99" s="109"/>
      <c r="CI99" s="109"/>
      <c r="CJ99" s="74"/>
      <c r="CK99" s="71"/>
      <c r="CL99" s="661"/>
      <c r="CM99" s="661"/>
      <c r="CN99" s="661"/>
      <c r="CP99" s="74"/>
      <c r="CQ99" s="109"/>
      <c r="CR99" s="109"/>
      <c r="CS99" s="109"/>
      <c r="CT99" s="109"/>
      <c r="CU99" s="109"/>
      <c r="CV99" s="74"/>
      <c r="CW99" s="74"/>
      <c r="CX99" s="74"/>
      <c r="CY99" s="74"/>
      <c r="CZ99" s="74"/>
      <c r="DA99" s="74"/>
      <c r="DB99" s="74"/>
      <c r="DC99" s="109" t="s">
        <v>618</v>
      </c>
      <c r="DD99" s="109">
        <f>DF15+CT15+CH15</f>
        <v>2882871.8572275667</v>
      </c>
      <c r="DE99" s="822">
        <f>DD99*2</f>
        <v>5765743.7144551333</v>
      </c>
      <c r="DF99" s="109">
        <f>DF58+CT58+CH58</f>
        <v>5782104.4666185901</v>
      </c>
      <c r="DG99" s="109">
        <f>DF99*2</f>
        <v>11564208.93323718</v>
      </c>
      <c r="DH99" s="74"/>
      <c r="DI99" s="74"/>
      <c r="DJ99" s="74"/>
      <c r="DK99" s="74"/>
      <c r="DL99" s="74"/>
      <c r="DM99" s="74"/>
      <c r="DN99" s="74"/>
      <c r="DO99" s="74"/>
      <c r="DP99" s="155">
        <f>DF80+CT80+CH80</f>
        <v>4009625.735055557</v>
      </c>
      <c r="DQ99" s="109">
        <f>DP99*2</f>
        <v>8019251.470111114</v>
      </c>
      <c r="DR99" s="109"/>
      <c r="DS99" s="74"/>
      <c r="DT99" s="74"/>
      <c r="DU99" s="74"/>
      <c r="DZ99" s="109"/>
      <c r="EA99" s="109"/>
      <c r="EL99" s="155"/>
      <c r="EN99" s="155"/>
      <c r="FJ99" s="74"/>
      <c r="FK99" s="109"/>
      <c r="FL99" s="109"/>
      <c r="FM99" s="109"/>
      <c r="FN99" s="109"/>
      <c r="FO99" s="109" t="s">
        <v>618</v>
      </c>
      <c r="FP99" s="155">
        <f>FS15+EZ15+EN15</f>
        <v>2429922.5097916666</v>
      </c>
      <c r="FQ99" s="109"/>
      <c r="FR99" s="109">
        <f>FS58+EZ58+EN58</f>
        <v>4250925.2422916666</v>
      </c>
      <c r="FS99" s="109">
        <f>FS80+EZ80+EN80</f>
        <v>3870428.1330555528</v>
      </c>
      <c r="FU99" s="74"/>
      <c r="GA99" s="74"/>
      <c r="GB99" s="74"/>
      <c r="GH99" s="74"/>
      <c r="GN99" s="109"/>
      <c r="GO99" s="109"/>
      <c r="GP99" s="109"/>
      <c r="GQ99" s="109"/>
      <c r="GR99" s="109"/>
      <c r="GT99" s="109"/>
      <c r="GU99" s="109"/>
      <c r="GV99" s="109"/>
      <c r="GW99" s="109"/>
      <c r="GY99" s="74"/>
      <c r="GZ99" s="708"/>
      <c r="HA99" s="708"/>
      <c r="HB99" s="708"/>
      <c r="HC99" s="708"/>
      <c r="HD99" s="74"/>
      <c r="HE99" s="74"/>
      <c r="HG99" s="109"/>
      <c r="HH99" s="109"/>
      <c r="HI99" s="109"/>
      <c r="HJ99" s="74"/>
      <c r="HK99" s="74"/>
      <c r="HL99" s="74"/>
      <c r="HM99" s="74"/>
      <c r="HN99" s="74"/>
      <c r="HO99" s="74"/>
      <c r="HP99" s="74"/>
      <c r="HQ99" s="74"/>
      <c r="HR99" s="109"/>
      <c r="HS99" s="109"/>
      <c r="HT99" s="109"/>
      <c r="HU99" s="109"/>
      <c r="HV99" s="74"/>
      <c r="HW99" s="74"/>
      <c r="HX99" s="74"/>
      <c r="HY99" s="74"/>
      <c r="HZ99" s="74"/>
      <c r="IA99" s="74"/>
      <c r="IB99" s="74"/>
      <c r="IC99" s="74"/>
      <c r="ID99" s="74"/>
      <c r="IE99" s="109"/>
      <c r="IF99" s="109"/>
      <c r="IG99" s="109"/>
      <c r="IH99" s="74"/>
      <c r="IJ99" s="109"/>
      <c r="IK99" s="109"/>
      <c r="IL99" s="109"/>
      <c r="IM99" s="109"/>
      <c r="IN99" s="109"/>
      <c r="IP99" s="69" t="s">
        <v>423</v>
      </c>
      <c r="IQ99" s="109">
        <v>690000</v>
      </c>
      <c r="IR99" s="155"/>
      <c r="IU99" s="71"/>
      <c r="JA99" s="69" t="s">
        <v>423</v>
      </c>
      <c r="JB99" s="109">
        <v>690000</v>
      </c>
      <c r="JC99" s="155"/>
      <c r="JD99" s="155"/>
      <c r="JF99" s="155"/>
      <c r="JL99" s="69" t="s">
        <v>424</v>
      </c>
      <c r="JM99" s="109">
        <v>690000</v>
      </c>
      <c r="JN99" s="155"/>
      <c r="JO99" s="155"/>
      <c r="KA99" s="69" t="s">
        <v>424</v>
      </c>
      <c r="KB99" s="109">
        <v>765000</v>
      </c>
      <c r="KC99" s="155"/>
      <c r="KD99" s="155"/>
      <c r="KL99" s="69" t="s">
        <v>424</v>
      </c>
      <c r="KM99" s="109">
        <v>765000</v>
      </c>
      <c r="KN99" s="155"/>
      <c r="KO99" s="155"/>
      <c r="KW99" s="69" t="s">
        <v>424</v>
      </c>
      <c r="KX99" s="109">
        <v>765000</v>
      </c>
      <c r="KY99" s="155"/>
      <c r="KZ99" s="155"/>
      <c r="LE99" s="74"/>
      <c r="LF99" s="109"/>
      <c r="LG99" s="109"/>
      <c r="LH99" s="109"/>
      <c r="LI99" s="74"/>
      <c r="LJ99" s="74"/>
      <c r="LK99" s="74"/>
      <c r="LR99" s="69" t="s">
        <v>424</v>
      </c>
      <c r="LS99" s="109">
        <v>765000</v>
      </c>
      <c r="LT99" s="155"/>
      <c r="LU99" s="155"/>
      <c r="LW99" s="109"/>
      <c r="LX99" s="109"/>
      <c r="LY99" s="109"/>
      <c r="LZ99" s="109"/>
      <c r="MC99" s="69" t="s">
        <v>424</v>
      </c>
      <c r="MD99" s="109">
        <v>765000</v>
      </c>
      <c r="ME99" s="155"/>
      <c r="MF99" s="155"/>
      <c r="MN99" s="69" t="s">
        <v>424</v>
      </c>
      <c r="MO99" s="109">
        <f>765000+121767</f>
        <v>886767</v>
      </c>
      <c r="MP99" s="155"/>
      <c r="MQ99" s="155"/>
      <c r="MS99" s="812"/>
      <c r="MT99" s="109"/>
      <c r="MU99" s="109"/>
      <c r="MW99" s="109"/>
      <c r="MX99" s="109"/>
      <c r="MY99" s="109"/>
      <c r="MZ99" s="109"/>
      <c r="NA99" s="109"/>
      <c r="NI99" s="69" t="s">
        <v>422</v>
      </c>
      <c r="NJ99" s="823">
        <f>(3500000+900000+700000)+446475</f>
        <v>5546475</v>
      </c>
      <c r="NK99" s="155"/>
      <c r="NL99" s="155"/>
      <c r="NT99" s="69" t="s">
        <v>422</v>
      </c>
      <c r="NU99" s="823">
        <f>(3500000+900000+700000)+693355</f>
        <v>5793355</v>
      </c>
      <c r="NV99" s="155"/>
      <c r="NW99" s="155"/>
      <c r="OE99" s="69" t="s">
        <v>422</v>
      </c>
      <c r="OF99" s="823">
        <f>(3500000+900000+700000)-693355</f>
        <v>4406645</v>
      </c>
      <c r="OG99" s="155"/>
      <c r="OH99" s="155"/>
      <c r="OQ99" s="69" t="s">
        <v>913</v>
      </c>
      <c r="OR99" s="823">
        <f>(3600000+900000+800000)</f>
        <v>5300000</v>
      </c>
      <c r="OS99" s="823"/>
      <c r="OT99" s="155"/>
      <c r="OV99" s="71"/>
      <c r="PA99" s="71"/>
      <c r="PB99" s="69" t="s">
        <v>913</v>
      </c>
      <c r="PC99" s="823">
        <f>(3600000+900000+800000)</f>
        <v>5300000</v>
      </c>
      <c r="PD99" s="823"/>
      <c r="PE99" s="155"/>
      <c r="PG99" s="71"/>
      <c r="PM99" s="69" t="s">
        <v>913</v>
      </c>
      <c r="PN99" s="823">
        <f>(3600000+900000+800000)</f>
        <v>5300000</v>
      </c>
      <c r="PO99" s="823"/>
      <c r="PP99" s="155"/>
      <c r="QB99" s="69" t="s">
        <v>913</v>
      </c>
      <c r="QC99" s="823">
        <f>(3600000+900000+800000)</f>
        <v>5300000</v>
      </c>
      <c r="QD99" s="823"/>
      <c r="QE99" s="155"/>
      <c r="QM99" s="69" t="s">
        <v>913</v>
      </c>
      <c r="QN99" s="823">
        <f>(3600000+900000+800000)</f>
        <v>5300000</v>
      </c>
      <c r="QO99" s="823"/>
      <c r="QP99" s="155"/>
      <c r="QX99" s="69" t="s">
        <v>913</v>
      </c>
      <c r="QY99" s="823">
        <f>(3600000+900000+800000)</f>
        <v>5300000</v>
      </c>
      <c r="QZ99" s="823"/>
      <c r="RA99" s="155"/>
      <c r="RC99" s="155">
        <f>QY99*25%</f>
        <v>1325000</v>
      </c>
      <c r="RS99" s="69" t="s">
        <v>913</v>
      </c>
      <c r="RT99" s="823">
        <f>(3600000+900000+800000)</f>
        <v>5300000</v>
      </c>
      <c r="RU99" s="823"/>
      <c r="RV99" s="155"/>
      <c r="RX99" s="155">
        <f>RT99*25%</f>
        <v>1325000</v>
      </c>
      <c r="SD99" s="69" t="s">
        <v>913</v>
      </c>
      <c r="SE99" s="823">
        <f>(3600000+900000+800000)</f>
        <v>5300000</v>
      </c>
      <c r="SF99" s="823"/>
      <c r="SG99" s="155"/>
      <c r="SI99" s="155">
        <f>SE99*25%</f>
        <v>1325000</v>
      </c>
      <c r="SJ99" s="820"/>
      <c r="SO99" s="69" t="s">
        <v>913</v>
      </c>
      <c r="SP99" s="823">
        <f>(3600000+900000+800000)</f>
        <v>5300000</v>
      </c>
      <c r="SQ99" s="823"/>
      <c r="SR99" s="155"/>
      <c r="ST99" s="155"/>
      <c r="SU99" s="155"/>
      <c r="TD99" s="69" t="s">
        <v>913</v>
      </c>
      <c r="TE99" s="823">
        <f>(3600000+900000+800000)</f>
        <v>5300000</v>
      </c>
      <c r="TF99" s="823"/>
      <c r="TG99" s="155"/>
      <c r="TI99" s="155"/>
      <c r="TJ99" s="155"/>
    </row>
    <row r="100" spans="2:532" s="69" customFormat="1" x14ac:dyDescent="0.3">
      <c r="C100" s="811"/>
      <c r="D100" s="811"/>
      <c r="E100" s="71"/>
      <c r="F100" s="71"/>
      <c r="G100" s="160"/>
      <c r="H100" s="160"/>
      <c r="I100" s="160"/>
      <c r="J100" s="71"/>
      <c r="K100" s="71"/>
      <c r="L100" s="160"/>
      <c r="M100" s="160"/>
      <c r="N100" s="160"/>
      <c r="O100" s="71"/>
      <c r="P100" s="71"/>
      <c r="Q100" s="160"/>
      <c r="R100" s="160"/>
      <c r="S100" s="160"/>
      <c r="T100" s="85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M100" s="109"/>
      <c r="AN100" s="109"/>
      <c r="AO100" s="109"/>
      <c r="AP100" s="109"/>
      <c r="AQ100" s="109"/>
      <c r="AX100" s="71"/>
      <c r="BC100" s="109"/>
      <c r="BD100" s="109"/>
      <c r="BE100" s="109"/>
      <c r="BF100" s="109"/>
      <c r="BG100" s="109"/>
      <c r="BH100" s="813"/>
      <c r="BI100" s="109"/>
      <c r="BJ100" s="109"/>
      <c r="BK100" s="109"/>
      <c r="BL100" s="109"/>
      <c r="BM100" s="109"/>
      <c r="BN100" s="813"/>
      <c r="BO100" s="812"/>
      <c r="BP100" s="109"/>
      <c r="BQ100" s="109"/>
      <c r="BR100" s="109"/>
      <c r="BS100" s="109"/>
      <c r="BX100" s="67"/>
      <c r="BY100" s="71"/>
      <c r="CA100" s="661"/>
      <c r="CB100" s="661"/>
      <c r="CD100" s="74"/>
      <c r="CE100" s="109"/>
      <c r="CF100" s="109"/>
      <c r="CG100" s="109"/>
      <c r="CH100" s="109"/>
      <c r="CI100" s="109"/>
      <c r="CJ100" s="74"/>
      <c r="CK100" s="71"/>
      <c r="CL100" s="661"/>
      <c r="CM100" s="661"/>
      <c r="CN100" s="661"/>
      <c r="CP100" s="74"/>
      <c r="CQ100" s="109"/>
      <c r="CR100" s="109"/>
      <c r="CS100" s="109"/>
      <c r="CT100" s="109"/>
      <c r="CU100" s="109"/>
      <c r="CV100" s="74"/>
      <c r="CW100" s="74"/>
      <c r="CX100" s="74"/>
      <c r="CY100" s="74"/>
      <c r="CZ100" s="74"/>
      <c r="DA100" s="74"/>
      <c r="DB100" s="74"/>
      <c r="DC100" s="109"/>
      <c r="DD100" s="109"/>
      <c r="DE100" s="109"/>
      <c r="DF100" s="109"/>
      <c r="DG100" s="109"/>
      <c r="DH100" s="74"/>
      <c r="DI100" s="74"/>
      <c r="DJ100" s="74"/>
      <c r="DK100" s="74"/>
      <c r="DL100" s="74"/>
      <c r="DM100" s="74"/>
      <c r="DN100" s="74"/>
      <c r="DO100" s="74"/>
      <c r="DQ100" s="109"/>
      <c r="DR100" s="109"/>
      <c r="DS100" s="74"/>
      <c r="DT100" s="74"/>
      <c r="DU100" s="74"/>
      <c r="DZ100" s="109"/>
      <c r="EA100" s="109"/>
      <c r="EL100" s="155"/>
      <c r="EN100" s="155"/>
      <c r="FJ100" s="74"/>
      <c r="FK100" s="109"/>
      <c r="FL100" s="109"/>
      <c r="FM100" s="109"/>
      <c r="FN100" s="109"/>
      <c r="FO100" s="109"/>
      <c r="FQ100" s="109"/>
      <c r="FR100" s="109"/>
      <c r="FS100" s="109"/>
      <c r="FU100" s="74"/>
      <c r="GA100" s="74"/>
      <c r="GB100" s="74"/>
      <c r="GH100" s="74"/>
      <c r="GN100" s="109"/>
      <c r="GO100" s="109"/>
      <c r="GP100" s="109"/>
      <c r="GQ100" s="109"/>
      <c r="GR100" s="109"/>
      <c r="GT100" s="109"/>
      <c r="GU100" s="109"/>
      <c r="GV100" s="109"/>
      <c r="GW100" s="109"/>
      <c r="GY100" s="74"/>
      <c r="GZ100" s="708"/>
      <c r="HA100" s="708"/>
      <c r="HB100" s="708"/>
      <c r="HC100" s="708"/>
      <c r="HD100" s="74"/>
      <c r="HE100" s="74"/>
      <c r="HG100" s="109"/>
      <c r="HH100" s="109"/>
      <c r="HI100" s="109"/>
      <c r="HJ100" s="74"/>
      <c r="HK100" s="74"/>
      <c r="HL100" s="74"/>
      <c r="HM100" s="74"/>
      <c r="HN100" s="74"/>
      <c r="HO100" s="74"/>
      <c r="HP100" s="74"/>
      <c r="HQ100" s="74"/>
      <c r="HR100" s="109"/>
      <c r="HS100" s="109"/>
      <c r="HT100" s="109"/>
      <c r="HU100" s="109"/>
      <c r="HV100" s="74"/>
      <c r="HW100" s="74"/>
      <c r="HX100" s="74"/>
      <c r="HY100" s="74"/>
      <c r="HZ100" s="74"/>
      <c r="IA100" s="74"/>
      <c r="IB100" s="74"/>
      <c r="IC100" s="74"/>
      <c r="ID100" s="74"/>
      <c r="IE100" s="109"/>
      <c r="IF100" s="109"/>
      <c r="IG100" s="109"/>
      <c r="IH100" s="74"/>
      <c r="IJ100" s="109"/>
      <c r="IK100" s="109"/>
      <c r="IL100" s="109"/>
      <c r="IM100" s="109"/>
      <c r="IN100" s="109"/>
      <c r="IQ100" s="162">
        <f>IQ98-IQ99</f>
        <v>4204316</v>
      </c>
      <c r="IR100" s="816">
        <f>IQ100*55%</f>
        <v>2312373.8000000003</v>
      </c>
      <c r="IS100" s="816">
        <f>IQ100*45%</f>
        <v>1891942.2</v>
      </c>
      <c r="IU100" s="71"/>
      <c r="JB100" s="162">
        <f>JB98-JB99</f>
        <v>3926355</v>
      </c>
      <c r="JC100" s="816">
        <f>JB100*55%</f>
        <v>2159495.25</v>
      </c>
      <c r="JD100" s="816">
        <f>JB100*45%</f>
        <v>1766859.75</v>
      </c>
      <c r="JF100" s="155">
        <f>JC100-JC58</f>
        <v>962495.25</v>
      </c>
      <c r="JM100" s="109">
        <f>JM98-JM99</f>
        <v>3906006</v>
      </c>
      <c r="JN100" s="816">
        <f>JM100*55%</f>
        <v>2148303.3000000003</v>
      </c>
      <c r="JO100" s="816">
        <f>JM100*45%</f>
        <v>1757702.7</v>
      </c>
      <c r="KB100" s="109">
        <f>KB98-KB99</f>
        <v>5163688</v>
      </c>
      <c r="KC100" s="816">
        <f>KB100*55%</f>
        <v>2840028.4000000004</v>
      </c>
      <c r="KD100" s="816">
        <f>KB100*45%</f>
        <v>2323659.6</v>
      </c>
      <c r="KM100" s="109">
        <f>KM98-KM99</f>
        <v>4642544</v>
      </c>
      <c r="KN100" s="816">
        <f>KM100*55%</f>
        <v>2553399.2000000002</v>
      </c>
      <c r="KO100" s="816">
        <f>KM100*45%</f>
        <v>2089144.8</v>
      </c>
      <c r="KX100" s="109">
        <f>KX98-KX99</f>
        <v>4687674</v>
      </c>
      <c r="KY100" s="816">
        <f>KX100*55%</f>
        <v>2578220.7000000002</v>
      </c>
      <c r="KZ100" s="816">
        <f>KX100*45%</f>
        <v>2109453.3000000003</v>
      </c>
      <c r="LE100" s="74"/>
      <c r="LF100" s="109"/>
      <c r="LG100" s="109"/>
      <c r="LH100" s="109"/>
      <c r="LI100" s="74"/>
      <c r="LJ100" s="74"/>
      <c r="LK100" s="74"/>
      <c r="LS100" s="109">
        <f>LS98-LS99</f>
        <v>5460676</v>
      </c>
      <c r="LT100" s="816">
        <f>LS100*55%</f>
        <v>3003371.8000000003</v>
      </c>
      <c r="LU100" s="816">
        <f>LS100*45%</f>
        <v>2457304.2000000002</v>
      </c>
      <c r="LW100" s="109"/>
      <c r="LX100" s="109"/>
      <c r="LY100" s="109"/>
      <c r="LZ100" s="109"/>
      <c r="MD100" s="109">
        <f>MD98-MD99</f>
        <v>4890586</v>
      </c>
      <c r="ME100" s="816">
        <f>MD100*55%</f>
        <v>2689822.3000000003</v>
      </c>
      <c r="MF100" s="816">
        <f>MD100*45%</f>
        <v>2200763.7000000002</v>
      </c>
      <c r="MO100" s="109">
        <f>MO98-MO99</f>
        <v>4822067</v>
      </c>
      <c r="MP100" s="816">
        <f>MO100*55%</f>
        <v>2652136.85</v>
      </c>
      <c r="MQ100" s="816">
        <f>MO100*45%</f>
        <v>2169930.15</v>
      </c>
      <c r="MS100" s="812"/>
      <c r="MT100" s="109"/>
      <c r="MU100" s="109"/>
      <c r="MW100" s="109"/>
      <c r="MX100" s="109"/>
      <c r="MY100" s="109"/>
      <c r="MZ100" s="109"/>
      <c r="NA100" s="109"/>
      <c r="NI100" s="69" t="s">
        <v>424</v>
      </c>
      <c r="NJ100" s="109">
        <v>1069417</v>
      </c>
      <c r="NK100" s="155"/>
      <c r="NL100" s="155"/>
      <c r="NT100" s="69" t="s">
        <v>424</v>
      </c>
      <c r="NU100" s="109">
        <v>1037676</v>
      </c>
      <c r="NV100" s="155"/>
      <c r="NW100" s="155"/>
      <c r="OE100" s="69" t="s">
        <v>424</v>
      </c>
      <c r="OF100" s="109">
        <v>1040580.4</v>
      </c>
      <c r="OG100" s="155"/>
      <c r="OH100" s="155"/>
      <c r="OQ100" s="69" t="s">
        <v>914</v>
      </c>
      <c r="OR100" s="155">
        <v>1469518</v>
      </c>
      <c r="OS100" s="155"/>
      <c r="OT100" s="155"/>
      <c r="OV100" s="71"/>
      <c r="PA100" s="71"/>
      <c r="PB100" s="69" t="s">
        <v>914</v>
      </c>
      <c r="PC100" s="155">
        <v>730988</v>
      </c>
      <c r="PD100" s="155"/>
      <c r="PE100" s="155"/>
      <c r="PG100" s="71"/>
      <c r="PM100" s="69" t="s">
        <v>914</v>
      </c>
      <c r="PN100" s="155">
        <v>497661.75</v>
      </c>
      <c r="PO100" s="155"/>
      <c r="PP100" s="155"/>
      <c r="QB100" s="69" t="s">
        <v>914</v>
      </c>
      <c r="QC100" s="155">
        <v>685354</v>
      </c>
      <c r="QD100" s="155"/>
      <c r="QE100" s="155"/>
      <c r="QM100" s="69" t="s">
        <v>914</v>
      </c>
      <c r="QN100" s="155">
        <v>1388285</v>
      </c>
      <c r="QO100" s="155"/>
      <c r="QP100" s="155"/>
      <c r="QX100" s="69" t="s">
        <v>914</v>
      </c>
      <c r="QY100" s="155">
        <v>1288285</v>
      </c>
      <c r="QZ100" s="155"/>
      <c r="RA100" s="155"/>
      <c r="RC100" s="155">
        <f>QY100*30%</f>
        <v>386485.5</v>
      </c>
      <c r="RS100" s="69" t="s">
        <v>914</v>
      </c>
      <c r="RT100" s="155">
        <v>1515255</v>
      </c>
      <c r="RU100" s="155"/>
      <c r="RV100" s="155"/>
      <c r="RX100" s="155">
        <v>476486</v>
      </c>
      <c r="SD100" s="69" t="s">
        <v>914</v>
      </c>
      <c r="SE100" s="155">
        <v>1050149</v>
      </c>
      <c r="SF100" s="155"/>
      <c r="SG100" s="155"/>
      <c r="SI100" s="155">
        <v>482484</v>
      </c>
      <c r="SO100" s="69" t="s">
        <v>914</v>
      </c>
      <c r="SP100" s="155">
        <v>1306706</v>
      </c>
      <c r="SQ100" s="155"/>
      <c r="SR100" s="155"/>
      <c r="ST100" s="155"/>
      <c r="TD100" s="69" t="s">
        <v>914</v>
      </c>
      <c r="TE100" s="155">
        <v>844525</v>
      </c>
      <c r="TF100" s="155"/>
      <c r="TG100" s="155"/>
      <c r="TI100" s="155"/>
    </row>
    <row r="101" spans="2:532" s="69" customFormat="1" x14ac:dyDescent="0.3">
      <c r="C101" s="811"/>
      <c r="D101" s="811"/>
      <c r="E101" s="71"/>
      <c r="F101" s="71"/>
      <c r="G101" s="160"/>
      <c r="H101" s="160"/>
      <c r="I101" s="160"/>
      <c r="J101" s="71"/>
      <c r="K101" s="71"/>
      <c r="L101" s="160"/>
      <c r="M101" s="160"/>
      <c r="N101" s="160"/>
      <c r="O101" s="71"/>
      <c r="P101" s="71"/>
      <c r="Q101" s="160"/>
      <c r="R101" s="160"/>
      <c r="S101" s="160"/>
      <c r="T101" s="85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M101" s="109"/>
      <c r="AN101" s="109"/>
      <c r="AO101" s="109"/>
      <c r="AP101" s="109"/>
      <c r="AQ101" s="109"/>
      <c r="AX101" s="71"/>
      <c r="BC101" s="109"/>
      <c r="BD101" s="109"/>
      <c r="BE101" s="109"/>
      <c r="BF101" s="109"/>
      <c r="BG101" s="109"/>
      <c r="BH101" s="813"/>
      <c r="BI101" s="109"/>
      <c r="BJ101" s="109"/>
      <c r="BK101" s="109"/>
      <c r="BL101" s="109"/>
      <c r="BM101" s="109"/>
      <c r="BN101" s="813"/>
      <c r="BO101" s="812"/>
      <c r="BP101" s="109"/>
      <c r="BQ101" s="109"/>
      <c r="BR101" s="109"/>
      <c r="BS101" s="109"/>
      <c r="BX101" s="67"/>
      <c r="BY101" s="71"/>
      <c r="CA101" s="661"/>
      <c r="CB101" s="661"/>
      <c r="CD101" s="74"/>
      <c r="CE101" s="109"/>
      <c r="CF101" s="109"/>
      <c r="CG101" s="109"/>
      <c r="CH101" s="109"/>
      <c r="CI101" s="109"/>
      <c r="CJ101" s="74"/>
      <c r="CK101" s="71"/>
      <c r="CL101" s="661"/>
      <c r="CM101" s="661"/>
      <c r="CN101" s="661"/>
      <c r="CP101" s="74"/>
      <c r="CQ101" s="109"/>
      <c r="CR101" s="109"/>
      <c r="CS101" s="109"/>
      <c r="CT101" s="109"/>
      <c r="CU101" s="109"/>
      <c r="CV101" s="74"/>
      <c r="CW101" s="74"/>
      <c r="CX101" s="74"/>
      <c r="CY101" s="74"/>
      <c r="CZ101" s="74"/>
      <c r="DA101" s="74"/>
      <c r="DB101" s="74"/>
      <c r="DC101" s="109"/>
      <c r="DD101" s="109"/>
      <c r="DE101" s="109"/>
      <c r="DF101" s="109"/>
      <c r="DG101" s="109"/>
      <c r="DH101" s="74"/>
      <c r="DI101" s="74"/>
      <c r="DJ101" s="74"/>
      <c r="DK101" s="74"/>
      <c r="DL101" s="74"/>
      <c r="DM101" s="74"/>
      <c r="DN101" s="74"/>
      <c r="DO101" s="74"/>
      <c r="DQ101" s="109"/>
      <c r="DR101" s="109"/>
      <c r="DS101" s="74"/>
      <c r="DT101" s="74"/>
      <c r="DU101" s="74"/>
      <c r="DZ101" s="109"/>
      <c r="EA101" s="109"/>
      <c r="FJ101" s="74"/>
      <c r="FK101" s="109"/>
      <c r="FL101" s="109"/>
      <c r="FM101" s="109"/>
      <c r="FN101" s="109"/>
      <c r="FO101" s="109"/>
      <c r="FQ101" s="109"/>
      <c r="FR101" s="109"/>
      <c r="FS101" s="109"/>
      <c r="FU101" s="74"/>
      <c r="GA101" s="74"/>
      <c r="GB101" s="74"/>
      <c r="GH101" s="74"/>
      <c r="GN101" s="109"/>
      <c r="GO101" s="109"/>
      <c r="GP101" s="109"/>
      <c r="GQ101" s="109"/>
      <c r="GR101" s="109"/>
      <c r="GT101" s="109" t="e">
        <f>GT98-#REF!</f>
        <v>#REF!</v>
      </c>
      <c r="GU101" s="109">
        <v>728693</v>
      </c>
      <c r="GV101" s="109"/>
      <c r="GW101" s="109"/>
      <c r="GY101" s="74"/>
      <c r="GZ101" s="708"/>
      <c r="HA101" s="708"/>
      <c r="HB101" s="708"/>
      <c r="HC101" s="708"/>
      <c r="HD101" s="74"/>
      <c r="HE101" s="74"/>
      <c r="HG101" s="109" t="e">
        <f>HG98-#REF!</f>
        <v>#REF!</v>
      </c>
      <c r="HH101" s="109">
        <v>728693</v>
      </c>
      <c r="HI101" s="109"/>
      <c r="HJ101" s="74"/>
      <c r="HK101" s="74"/>
      <c r="HL101" s="74"/>
      <c r="HM101" s="74"/>
      <c r="HN101" s="74"/>
      <c r="HO101" s="74"/>
      <c r="HP101" s="74"/>
      <c r="HQ101" s="74"/>
      <c r="HR101" s="109"/>
      <c r="HS101" s="109"/>
      <c r="HT101" s="109"/>
      <c r="HU101" s="109"/>
      <c r="HV101" s="74"/>
      <c r="HW101" s="74"/>
      <c r="HX101" s="74"/>
      <c r="HY101" s="74"/>
      <c r="HZ101" s="74"/>
      <c r="IA101" s="74"/>
      <c r="IB101" s="74"/>
      <c r="IC101" s="74"/>
      <c r="ID101" s="74"/>
      <c r="IE101" s="109"/>
      <c r="IF101" s="109"/>
      <c r="IG101" s="109"/>
      <c r="IH101" s="74"/>
      <c r="IJ101" s="109"/>
      <c r="IK101" s="109"/>
      <c r="IL101" s="109"/>
      <c r="IM101" s="109"/>
      <c r="IN101" s="109"/>
      <c r="IR101" s="155">
        <f>IR100-IR58</f>
        <v>1199999.8000000003</v>
      </c>
      <c r="IS101" s="155">
        <f>IS100-IR80</f>
        <v>0</v>
      </c>
      <c r="IU101" s="71"/>
      <c r="JB101" s="824"/>
      <c r="JC101" s="155">
        <f>JC100-JC58</f>
        <v>962495.25</v>
      </c>
      <c r="JD101" s="155">
        <f>JD100-JC80</f>
        <v>931.94999999995343</v>
      </c>
      <c r="JN101" s="155">
        <f>JN100-JN58</f>
        <v>1000000.3000000003</v>
      </c>
      <c r="JO101" s="155">
        <f>JO100-JN80</f>
        <v>0</v>
      </c>
      <c r="KC101" s="155">
        <f>KC100-KC58</f>
        <v>1227625</v>
      </c>
      <c r="KD101" s="155">
        <f>KD100-KC80</f>
        <v>0</v>
      </c>
      <c r="KN101" s="155">
        <f>KN100/6</f>
        <v>425566.53333333338</v>
      </c>
      <c r="KO101" s="155">
        <f>KO100/4</f>
        <v>522286.2</v>
      </c>
      <c r="KY101" s="155">
        <f>KY100-KY58</f>
        <v>650000</v>
      </c>
      <c r="KZ101" s="820">
        <f>KZ100-KY80</f>
        <v>0</v>
      </c>
      <c r="LE101" s="74"/>
      <c r="LF101" s="109"/>
      <c r="LG101" s="109"/>
      <c r="LH101" s="109"/>
      <c r="LI101" s="74"/>
      <c r="LJ101" s="74"/>
      <c r="LK101" s="74"/>
      <c r="LT101" s="155">
        <f>LT100-LT58</f>
        <v>1838371.8000000003</v>
      </c>
      <c r="LU101" s="155">
        <f>LU100-LT80</f>
        <v>0</v>
      </c>
      <c r="LW101" s="109"/>
      <c r="LX101" s="109"/>
      <c r="LY101" s="109"/>
      <c r="LZ101" s="109"/>
      <c r="ME101" s="155">
        <f>ME100-ME58</f>
        <v>1524822.3000000003</v>
      </c>
      <c r="MF101" s="155">
        <f>MF100-ME80</f>
        <v>0</v>
      </c>
      <c r="MP101" s="155">
        <f>MP100-MP58-MP15</f>
        <v>-0.14999999990686774</v>
      </c>
      <c r="MQ101" s="155">
        <f>MQ100-MP80</f>
        <v>0</v>
      </c>
      <c r="MS101" s="812"/>
      <c r="MT101" s="109"/>
      <c r="MU101" s="109"/>
      <c r="MW101" s="109"/>
      <c r="MX101" s="109"/>
      <c r="MY101" s="109"/>
      <c r="MZ101" s="109"/>
      <c r="NA101" s="109"/>
      <c r="NJ101" s="109">
        <f>NJ99-NJ100</f>
        <v>4477058</v>
      </c>
      <c r="NK101" s="1501">
        <f>NJ101*55%</f>
        <v>2462381.9000000004</v>
      </c>
      <c r="NL101" s="1501">
        <f>NJ101*45%</f>
        <v>2014676.1</v>
      </c>
      <c r="NU101" s="109">
        <f>NU99-NU100</f>
        <v>4755679</v>
      </c>
      <c r="NV101" s="1501">
        <f>NU101*35%</f>
        <v>1664487.65</v>
      </c>
      <c r="NW101" s="1501">
        <f>NU101*45%</f>
        <v>2140055.5500000003</v>
      </c>
      <c r="NX101" s="816">
        <f>NU101*26%</f>
        <v>1236476.54</v>
      </c>
      <c r="OF101" s="109">
        <f>OF99-OF100</f>
        <v>3366064.6</v>
      </c>
      <c r="OG101" s="1501">
        <f>OF101*35%</f>
        <v>1178122.6099999999</v>
      </c>
      <c r="OH101" s="1501">
        <f>OF101*45%</f>
        <v>1514729.07</v>
      </c>
      <c r="OI101" s="816">
        <f>OF101*26%</f>
        <v>875176.79600000009</v>
      </c>
      <c r="OR101" s="109"/>
      <c r="OS101" s="1501"/>
      <c r="OT101" s="1501"/>
      <c r="OU101" s="816"/>
      <c r="OV101" s="71"/>
      <c r="PA101" s="71"/>
      <c r="PC101" s="109"/>
      <c r="PD101" s="1501"/>
      <c r="PE101" s="1501"/>
      <c r="PF101" s="816"/>
      <c r="PG101" s="71"/>
      <c r="PN101" s="109"/>
      <c r="PO101" s="1501"/>
      <c r="PP101" s="1501"/>
      <c r="PQ101" s="816"/>
      <c r="QC101" s="109"/>
      <c r="QD101" s="1501"/>
      <c r="QE101" s="1501"/>
      <c r="QF101" s="816"/>
      <c r="QN101" s="109"/>
      <c r="QO101" s="1501"/>
      <c r="QP101" s="1501"/>
      <c r="QQ101" s="816"/>
      <c r="QY101" s="109"/>
      <c r="QZ101" s="1501"/>
      <c r="RA101" s="1501"/>
      <c r="RB101" s="816"/>
      <c r="RT101" s="109"/>
      <c r="RU101" s="1501"/>
      <c r="RV101" s="1501"/>
      <c r="RW101" s="816"/>
      <c r="SE101" s="109"/>
      <c r="SF101" s="1501"/>
      <c r="SG101" s="1501"/>
      <c r="SH101" s="816"/>
      <c r="SP101" s="109"/>
      <c r="SQ101" s="1501"/>
      <c r="SR101" s="1501"/>
      <c r="SS101" s="816"/>
      <c r="TE101" s="109"/>
      <c r="TF101" s="1501"/>
      <c r="TG101" s="1501"/>
      <c r="TH101" s="816"/>
    </row>
    <row r="102" spans="2:532" s="69" customFormat="1" ht="15.05" x14ac:dyDescent="0.3">
      <c r="C102" s="811"/>
      <c r="D102" s="811"/>
      <c r="E102" s="71"/>
      <c r="F102" s="71"/>
      <c r="G102" s="160"/>
      <c r="H102" s="160"/>
      <c r="I102" s="160"/>
      <c r="J102" s="71"/>
      <c r="K102" s="71"/>
      <c r="L102" s="160"/>
      <c r="M102" s="160"/>
      <c r="N102" s="160"/>
      <c r="O102" s="71"/>
      <c r="P102" s="71"/>
      <c r="Q102" s="160"/>
      <c r="R102" s="160"/>
      <c r="S102" s="160"/>
      <c r="T102" s="85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M102" s="109"/>
      <c r="AN102" s="109"/>
      <c r="AO102" s="109"/>
      <c r="AP102" s="109"/>
      <c r="AQ102" s="109"/>
      <c r="AX102" s="71"/>
      <c r="BC102" s="109"/>
      <c r="BD102" s="109"/>
      <c r="BE102" s="109"/>
      <c r="BF102" s="109"/>
      <c r="BG102" s="109"/>
      <c r="BH102" s="813"/>
      <c r="BI102" s="109"/>
      <c r="BJ102" s="109"/>
      <c r="BK102" s="109"/>
      <c r="BL102" s="109"/>
      <c r="BM102" s="109"/>
      <c r="BN102" s="813"/>
      <c r="BO102" s="812"/>
      <c r="BP102" s="109"/>
      <c r="BQ102" s="109"/>
      <c r="BR102" s="109"/>
      <c r="BS102" s="109"/>
      <c r="BX102" s="67"/>
      <c r="BY102" s="71"/>
      <c r="CA102" s="661"/>
      <c r="CB102" s="661"/>
      <c r="CD102" s="74"/>
      <c r="CE102" s="109"/>
      <c r="CF102" s="109"/>
      <c r="CG102" s="109"/>
      <c r="CH102" s="109"/>
      <c r="CI102" s="109"/>
      <c r="CJ102" s="74"/>
      <c r="CK102" s="71"/>
      <c r="CL102" s="661"/>
      <c r="CM102" s="661"/>
      <c r="CN102" s="661"/>
      <c r="CP102" s="74"/>
      <c r="CQ102" s="109"/>
      <c r="CR102" s="109"/>
      <c r="CS102" s="109"/>
      <c r="CT102" s="109"/>
      <c r="CU102" s="109"/>
      <c r="CV102" s="74"/>
      <c r="CW102" s="74"/>
      <c r="CX102" s="74"/>
      <c r="CY102" s="74"/>
      <c r="CZ102" s="74"/>
      <c r="DA102" s="74"/>
      <c r="DB102" s="74"/>
      <c r="DC102" s="109"/>
      <c r="DD102" s="109"/>
      <c r="DE102" s="109"/>
      <c r="DF102" s="109"/>
      <c r="DG102" s="109"/>
      <c r="DH102" s="74"/>
      <c r="DI102" s="74"/>
      <c r="DJ102" s="74"/>
      <c r="DK102" s="74"/>
      <c r="DL102" s="74"/>
      <c r="DM102" s="74"/>
      <c r="DN102" s="74"/>
      <c r="DO102" s="74"/>
      <c r="DQ102" s="109"/>
      <c r="DR102" s="109"/>
      <c r="DS102" s="74"/>
      <c r="DT102" s="74"/>
      <c r="DU102" s="74"/>
      <c r="DZ102" s="109"/>
      <c r="EA102" s="109"/>
      <c r="FJ102" s="74"/>
      <c r="FK102" s="109"/>
      <c r="FL102" s="109"/>
      <c r="FM102" s="109"/>
      <c r="FN102" s="109"/>
      <c r="FO102" s="109"/>
      <c r="FQ102" s="109"/>
      <c r="FR102" s="109"/>
      <c r="FS102" s="109"/>
      <c r="FU102" s="74"/>
      <c r="GA102" s="74"/>
      <c r="GB102" s="74"/>
      <c r="GH102" s="74"/>
      <c r="GN102" s="109"/>
      <c r="GO102" s="109"/>
      <c r="GP102" s="109"/>
      <c r="GQ102" s="109"/>
      <c r="GR102" s="109"/>
      <c r="GT102" s="109"/>
      <c r="GU102" s="109"/>
      <c r="GV102" s="109"/>
      <c r="GW102" s="109"/>
      <c r="GY102" s="74"/>
      <c r="GZ102" s="708"/>
      <c r="HA102" s="708"/>
      <c r="HB102" s="708"/>
      <c r="HC102" s="708"/>
      <c r="HD102" s="74"/>
      <c r="HE102" s="74"/>
      <c r="HG102" s="109"/>
      <c r="HH102" s="109"/>
      <c r="HI102" s="109"/>
      <c r="HJ102" s="74"/>
      <c r="HK102" s="74"/>
      <c r="HL102" s="74"/>
      <c r="HM102" s="74"/>
      <c r="HN102" s="74"/>
      <c r="HO102" s="74"/>
      <c r="HP102" s="74"/>
      <c r="HQ102" s="74"/>
      <c r="HR102" s="109"/>
      <c r="HS102" s="109"/>
      <c r="HT102" s="109"/>
      <c r="HU102" s="109"/>
      <c r="HV102" s="74"/>
      <c r="HW102" s="74"/>
      <c r="HX102" s="74"/>
      <c r="HY102" s="74"/>
      <c r="HZ102" s="74"/>
      <c r="IA102" s="74"/>
      <c r="IB102" s="74"/>
      <c r="IC102" s="74"/>
      <c r="ID102" s="74"/>
      <c r="IE102" s="109"/>
      <c r="IF102" s="109"/>
      <c r="IG102" s="109"/>
      <c r="IH102" s="74"/>
      <c r="IJ102" s="109"/>
      <c r="IK102" s="109"/>
      <c r="IL102" s="109"/>
      <c r="IM102" s="109"/>
      <c r="IN102" s="109"/>
      <c r="IR102" s="155"/>
      <c r="IS102" s="155"/>
      <c r="IU102" s="71"/>
      <c r="JB102" s="824"/>
      <c r="JC102" s="155"/>
      <c r="JD102" s="155"/>
      <c r="JN102" s="155"/>
      <c r="JO102" s="155"/>
      <c r="KC102" s="155"/>
      <c r="KD102" s="155"/>
      <c r="KN102" s="155"/>
      <c r="KO102" s="155"/>
      <c r="KY102" s="155"/>
      <c r="KZ102" s="820"/>
      <c r="LE102" s="74"/>
      <c r="LF102" s="109"/>
      <c r="LG102" s="109"/>
      <c r="LH102" s="109"/>
      <c r="LI102" s="74"/>
      <c r="LJ102" s="74"/>
      <c r="LK102" s="74"/>
      <c r="LT102" s="155"/>
      <c r="LU102" s="155"/>
      <c r="LW102" s="109"/>
      <c r="LX102" s="109"/>
      <c r="LY102" s="109"/>
      <c r="LZ102" s="109"/>
      <c r="ME102" s="155"/>
      <c r="MF102" s="155"/>
      <c r="MP102" s="155"/>
      <c r="MQ102" s="155"/>
      <c r="MS102" s="812"/>
      <c r="MT102" s="109"/>
      <c r="MU102" s="109"/>
      <c r="MW102" s="109"/>
      <c r="MX102" s="109"/>
      <c r="MY102" s="109"/>
      <c r="MZ102" s="109"/>
      <c r="NA102" s="109"/>
      <c r="NJ102" s="109"/>
      <c r="NK102" s="1501"/>
      <c r="NL102" s="1501"/>
      <c r="NU102" s="109"/>
      <c r="NV102" s="1501"/>
      <c r="NW102" s="1501"/>
      <c r="NX102" s="816"/>
      <c r="OF102" s="109"/>
      <c r="OG102" s="1501"/>
      <c r="OH102" s="1501"/>
      <c r="OI102" s="816"/>
      <c r="OR102" s="827">
        <f>SUM(OR103:OR114)</f>
        <v>2809747</v>
      </c>
      <c r="OS102" s="1501"/>
      <c r="OT102" s="1501"/>
      <c r="OU102" s="816"/>
      <c r="OV102" s="71"/>
      <c r="PA102" s="71"/>
      <c r="PC102" s="827">
        <f>SUM(PC103:PC115)</f>
        <v>2334974</v>
      </c>
      <c r="PD102" s="1501"/>
      <c r="PE102" s="1501"/>
      <c r="PF102" s="816"/>
      <c r="PG102" s="71"/>
      <c r="PN102" s="827">
        <f>SUM(PN103:PN115)</f>
        <v>2002989</v>
      </c>
      <c r="PO102" s="1501"/>
      <c r="PP102" s="1501"/>
      <c r="PQ102" s="816"/>
      <c r="QC102" s="827">
        <f>SUM(QC103:QC115)</f>
        <v>3222739</v>
      </c>
      <c r="QD102" s="1501"/>
      <c r="QE102" s="1501"/>
      <c r="QF102" s="816"/>
      <c r="QN102" s="827">
        <f>SUM(QN103:QN116)</f>
        <v>2791215</v>
      </c>
      <c r="QO102" s="1501"/>
      <c r="QP102" s="1501"/>
      <c r="QQ102" s="816"/>
      <c r="QY102" s="827">
        <f>SUM(QY103:QY116)</f>
        <v>2341763</v>
      </c>
      <c r="QZ102" s="1501"/>
      <c r="RA102" s="1501"/>
      <c r="RB102" s="816"/>
      <c r="RT102" s="827">
        <f>SUM(RT103:RT116)</f>
        <v>2620296</v>
      </c>
      <c r="RU102" s="1501"/>
      <c r="RV102" s="1501"/>
      <c r="RW102" s="816"/>
      <c r="SE102" s="827">
        <f>SUM(SE103:SE116)</f>
        <v>2711176</v>
      </c>
      <c r="SF102" s="1501"/>
      <c r="SG102" s="1501"/>
      <c r="SH102" s="816"/>
      <c r="SI102" s="155"/>
      <c r="SJ102" s="5307"/>
      <c r="SK102" s="820"/>
      <c r="SP102" s="827">
        <f>SUM(SP103:SP118)</f>
        <v>2997107</v>
      </c>
      <c r="SQ102" s="1501"/>
      <c r="SR102" s="1501"/>
      <c r="SS102" s="816"/>
      <c r="ST102" s="155"/>
      <c r="TE102" s="827">
        <f>SUM(TE103:TE118)</f>
        <v>2896078</v>
      </c>
      <c r="TF102" s="1501"/>
      <c r="TG102" s="1501"/>
      <c r="TH102" s="816"/>
      <c r="TI102" s="155"/>
    </row>
    <row r="103" spans="2:532" s="69" customFormat="1" ht="15.05" x14ac:dyDescent="0.3">
      <c r="B103" s="67"/>
      <c r="C103" s="391"/>
      <c r="D103" s="391"/>
      <c r="E103" s="87"/>
      <c r="F103" s="87"/>
      <c r="G103" s="426"/>
      <c r="H103" s="426"/>
      <c r="I103" s="426"/>
      <c r="J103" s="87"/>
      <c r="K103" s="87"/>
      <c r="L103" s="426"/>
      <c r="M103" s="426"/>
      <c r="N103" s="426"/>
      <c r="O103" s="87"/>
      <c r="P103" s="87"/>
      <c r="Q103" s="426"/>
      <c r="R103" s="426"/>
      <c r="S103" s="426"/>
      <c r="T103" s="423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M103" s="109"/>
      <c r="AN103" s="109"/>
      <c r="AO103" s="109"/>
      <c r="AP103" s="109"/>
      <c r="AQ103" s="109"/>
      <c r="AX103" s="71"/>
      <c r="BC103" s="109"/>
      <c r="BD103" s="109"/>
      <c r="BE103" s="109"/>
      <c r="BF103" s="109"/>
      <c r="BG103" s="109"/>
      <c r="BH103" s="813"/>
      <c r="BI103" s="109"/>
      <c r="BJ103" s="109"/>
      <c r="BK103" s="109"/>
      <c r="BL103" s="109"/>
      <c r="BM103" s="109"/>
      <c r="BN103" s="813"/>
      <c r="BO103" s="812"/>
      <c r="BP103" s="109"/>
      <c r="BQ103" s="109"/>
      <c r="BR103" s="109"/>
      <c r="BS103" s="109"/>
      <c r="BX103" s="67"/>
      <c r="BY103" s="71"/>
      <c r="CA103" s="661"/>
      <c r="CB103" s="661"/>
      <c r="CD103" s="74"/>
      <c r="CE103" s="109"/>
      <c r="CF103" s="109"/>
      <c r="CG103" s="109"/>
      <c r="CH103" s="109"/>
      <c r="CI103" s="109"/>
      <c r="CJ103" s="74"/>
      <c r="CK103" s="71"/>
      <c r="CL103" s="661"/>
      <c r="CM103" s="661"/>
      <c r="CN103" s="661"/>
      <c r="CP103" s="74"/>
      <c r="CQ103" s="109"/>
      <c r="CR103" s="109"/>
      <c r="CS103" s="109"/>
      <c r="CT103" s="109"/>
      <c r="CU103" s="109"/>
      <c r="CV103" s="74"/>
      <c r="CW103" s="74"/>
      <c r="CX103" s="74"/>
      <c r="CY103" s="74"/>
      <c r="CZ103" s="74"/>
      <c r="DA103" s="74"/>
      <c r="DB103" s="74"/>
      <c r="DC103" s="109"/>
      <c r="DD103" s="109"/>
      <c r="DE103" s="109"/>
      <c r="DF103" s="109"/>
      <c r="DG103" s="109"/>
      <c r="DH103" s="74"/>
      <c r="DI103" s="74"/>
      <c r="DJ103" s="74"/>
      <c r="DK103" s="74"/>
      <c r="DL103" s="74"/>
      <c r="DM103" s="74"/>
      <c r="DN103" s="74"/>
      <c r="DO103" s="74"/>
      <c r="DQ103" s="109"/>
      <c r="DR103" s="109"/>
      <c r="DS103" s="74"/>
      <c r="DT103" s="74"/>
      <c r="DU103" s="74"/>
      <c r="DZ103" s="109"/>
      <c r="EA103" s="109"/>
      <c r="FJ103" s="74"/>
      <c r="FK103" s="109"/>
      <c r="FL103" s="109"/>
      <c r="FM103" s="109"/>
      <c r="FN103" s="109"/>
      <c r="FO103" s="109"/>
      <c r="FQ103" s="109"/>
      <c r="FR103" s="109"/>
      <c r="FS103" s="109"/>
      <c r="FU103" s="74"/>
      <c r="GA103" s="74"/>
      <c r="GB103" s="74"/>
      <c r="GH103" s="74"/>
      <c r="GN103" s="109"/>
      <c r="GO103" s="109"/>
      <c r="GP103" s="109"/>
      <c r="GQ103" s="109"/>
      <c r="GR103" s="109"/>
      <c r="GT103" s="109"/>
      <c r="GU103" s="109"/>
      <c r="GV103" s="109"/>
      <c r="GW103" s="109"/>
      <c r="GY103" s="74"/>
      <c r="GZ103" s="708"/>
      <c r="HA103" s="708"/>
      <c r="HB103" s="708"/>
      <c r="HC103" s="708"/>
      <c r="HD103" s="74"/>
      <c r="HE103" s="74"/>
      <c r="HF103" s="109"/>
      <c r="HG103" s="109"/>
      <c r="HH103" s="109"/>
      <c r="HI103" s="109"/>
      <c r="HJ103" s="74"/>
      <c r="HK103" s="74"/>
      <c r="HL103" s="74"/>
      <c r="HM103" s="74"/>
      <c r="HN103" s="74"/>
      <c r="HO103" s="74"/>
      <c r="HP103" s="74"/>
      <c r="HQ103" s="74"/>
      <c r="HR103" s="109"/>
      <c r="HS103" s="109" t="s">
        <v>616</v>
      </c>
      <c r="HT103" s="109">
        <f>HR15+HF15+GT15</f>
        <v>2285792</v>
      </c>
      <c r="HU103" s="109">
        <f>HR58+HF58+GT58</f>
        <v>4035088</v>
      </c>
      <c r="HV103" s="141">
        <f>HR80+HF80+GT80</f>
        <v>3568681</v>
      </c>
      <c r="HW103" s="74"/>
      <c r="HX103" s="74"/>
      <c r="HY103" s="74"/>
      <c r="HZ103" s="74"/>
      <c r="IA103" s="74"/>
      <c r="IB103" s="74"/>
      <c r="IC103" s="74"/>
      <c r="ID103" s="74"/>
      <c r="IE103" s="109"/>
      <c r="IF103" s="109"/>
      <c r="IG103" s="109"/>
      <c r="IH103" s="74"/>
      <c r="IJ103" s="109"/>
      <c r="IK103" s="109"/>
      <c r="IL103" s="109"/>
      <c r="IM103" s="109"/>
      <c r="IN103" s="109"/>
      <c r="IQ103" s="825">
        <f>SUM(IQ104:IQ111)</f>
        <v>3472481</v>
      </c>
      <c r="IU103" s="71"/>
      <c r="JB103" s="826">
        <f>SUM(JB104:JB111)</f>
        <v>1855043</v>
      </c>
      <c r="JC103" s="820"/>
      <c r="JM103" s="827">
        <f>SUM(JM104:JM112)</f>
        <v>2076106</v>
      </c>
      <c r="JN103" s="155"/>
      <c r="JO103" s="820"/>
      <c r="KA103" s="155">
        <f>KB103-KB95</f>
        <v>0</v>
      </c>
      <c r="KB103" s="828">
        <f>SUM(KB104:KB111)</f>
        <v>2591475</v>
      </c>
      <c r="KD103" s="155"/>
      <c r="KO103" s="155">
        <f>KO100-KN80</f>
        <v>-0.19999999995343387</v>
      </c>
      <c r="KZ103" s="155"/>
      <c r="LE103" s="74"/>
      <c r="LF103" s="109"/>
      <c r="LG103" s="109"/>
      <c r="LH103" s="109"/>
      <c r="LI103" s="74"/>
      <c r="LJ103" s="74"/>
      <c r="LK103" s="74"/>
      <c r="LU103" s="155"/>
      <c r="LW103" s="109"/>
      <c r="LX103" s="109"/>
      <c r="LY103" s="109"/>
      <c r="LZ103" s="109"/>
      <c r="MF103" s="155"/>
      <c r="MQ103" s="155"/>
      <c r="MS103" s="812"/>
      <c r="MT103" s="109"/>
      <c r="MU103" s="109"/>
      <c r="MW103" s="109"/>
      <c r="MX103" s="109"/>
      <c r="MY103" s="109"/>
      <c r="MZ103" s="109"/>
      <c r="NA103" s="109"/>
      <c r="NK103" s="155">
        <f>NK101-NK58-NK15</f>
        <v>-9.999999962747097E-2</v>
      </c>
      <c r="NL103" s="155">
        <f>NL101-NK80</f>
        <v>0</v>
      </c>
      <c r="NV103" s="155">
        <f>NV101-NV58</f>
        <v>-0.35000000009313226</v>
      </c>
      <c r="NW103" s="155">
        <f>NW101-NV80</f>
        <v>-0.44999999972060323</v>
      </c>
      <c r="NX103" s="155">
        <f>NX101-NV15</f>
        <v>-60905.459999999963</v>
      </c>
      <c r="OG103" s="155">
        <f>OG101-OG58</f>
        <v>0</v>
      </c>
      <c r="OH103" s="155">
        <f>OH101-OG80</f>
        <v>0</v>
      </c>
      <c r="OI103" s="155">
        <f>OI101-OG15</f>
        <v>0</v>
      </c>
      <c r="OQ103" s="69" t="s">
        <v>436</v>
      </c>
      <c r="OR103" s="109">
        <v>130056</v>
      </c>
      <c r="OV103" s="71"/>
      <c r="PA103" s="71"/>
      <c r="PB103" s="69" t="s">
        <v>436</v>
      </c>
      <c r="PC103" s="109">
        <v>0</v>
      </c>
      <c r="PG103" s="71"/>
      <c r="PM103" s="69" t="s">
        <v>436</v>
      </c>
      <c r="PN103" s="109">
        <f>92339+12000</f>
        <v>104339</v>
      </c>
      <c r="QB103" s="69" t="s">
        <v>436</v>
      </c>
      <c r="QC103" s="109">
        <v>174284</v>
      </c>
      <c r="QM103" s="69" t="s">
        <v>436</v>
      </c>
      <c r="QN103" s="109">
        <v>180868</v>
      </c>
      <c r="QX103" s="69" t="s">
        <v>436</v>
      </c>
      <c r="QY103" s="109">
        <v>122282</v>
      </c>
      <c r="RS103" s="69" t="s">
        <v>436</v>
      </c>
      <c r="RT103" s="109">
        <v>194349</v>
      </c>
      <c r="SD103" s="69" t="s">
        <v>436</v>
      </c>
      <c r="SE103" s="109">
        <v>194349</v>
      </c>
      <c r="SK103" s="820"/>
      <c r="SO103" s="69" t="s">
        <v>436</v>
      </c>
      <c r="SP103" s="109">
        <f>26350+221984</f>
        <v>248334</v>
      </c>
      <c r="TD103" s="69" t="s">
        <v>436</v>
      </c>
      <c r="TE103" s="109">
        <f>382584-22794</f>
        <v>359790</v>
      </c>
    </row>
    <row r="104" spans="2:532" s="69" customFormat="1" x14ac:dyDescent="0.3">
      <c r="B104" s="67"/>
      <c r="C104" s="391"/>
      <c r="D104" s="391"/>
      <c r="E104" s="87"/>
      <c r="F104" s="87"/>
      <c r="G104" s="426"/>
      <c r="H104" s="426"/>
      <c r="I104" s="426"/>
      <c r="J104" s="87"/>
      <c r="K104" s="87"/>
      <c r="L104" s="426"/>
      <c r="M104" s="426"/>
      <c r="N104" s="426"/>
      <c r="O104" s="87"/>
      <c r="P104" s="87"/>
      <c r="Q104" s="426"/>
      <c r="R104" s="426"/>
      <c r="S104" s="426"/>
      <c r="T104" s="423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M104" s="109"/>
      <c r="AN104" s="109"/>
      <c r="AO104" s="109"/>
      <c r="AP104" s="109"/>
      <c r="AQ104" s="109"/>
      <c r="AX104" s="71"/>
      <c r="BC104" s="109"/>
      <c r="BD104" s="109"/>
      <c r="BE104" s="109"/>
      <c r="BF104" s="109"/>
      <c r="BG104" s="109"/>
      <c r="BH104" s="813"/>
      <c r="BI104" s="109"/>
      <c r="BJ104" s="109"/>
      <c r="BK104" s="109"/>
      <c r="BL104" s="109"/>
      <c r="BM104" s="109"/>
      <c r="BN104" s="813"/>
      <c r="BO104" s="812"/>
      <c r="BP104" s="109"/>
      <c r="BQ104" s="109"/>
      <c r="BR104" s="109"/>
      <c r="BS104" s="109"/>
      <c r="BX104" s="67"/>
      <c r="BY104" s="71"/>
      <c r="CA104" s="661"/>
      <c r="CB104" s="661"/>
      <c r="CD104" s="74"/>
      <c r="CE104" s="109"/>
      <c r="CF104" s="109"/>
      <c r="CG104" s="109"/>
      <c r="CH104" s="109"/>
      <c r="CI104" s="109"/>
      <c r="CJ104" s="74"/>
      <c r="CK104" s="71"/>
      <c r="CL104" s="661"/>
      <c r="CM104" s="661"/>
      <c r="CN104" s="661"/>
      <c r="CP104" s="74"/>
      <c r="CQ104" s="109"/>
      <c r="CR104" s="109"/>
      <c r="CS104" s="109"/>
      <c r="CT104" s="109"/>
      <c r="CU104" s="109"/>
      <c r="CV104" s="74"/>
      <c r="CW104" s="74"/>
      <c r="CX104" s="74"/>
      <c r="CY104" s="74"/>
      <c r="CZ104" s="74"/>
      <c r="DA104" s="74"/>
      <c r="DB104" s="74"/>
      <c r="DC104" s="109"/>
      <c r="DD104" s="109"/>
      <c r="DE104" s="109"/>
      <c r="DF104" s="109"/>
      <c r="DG104" s="109"/>
      <c r="DH104" s="74"/>
      <c r="DI104" s="74"/>
      <c r="DJ104" s="74"/>
      <c r="DK104" s="74"/>
      <c r="DL104" s="74"/>
      <c r="DM104" s="74"/>
      <c r="DN104" s="74"/>
      <c r="DO104" s="74"/>
      <c r="DQ104" s="109"/>
      <c r="DR104" s="109"/>
      <c r="DS104" s="74"/>
      <c r="DT104" s="74"/>
      <c r="DU104" s="74"/>
      <c r="DZ104" s="109"/>
      <c r="EA104" s="109"/>
      <c r="FJ104" s="74"/>
      <c r="FK104" s="109"/>
      <c r="FL104" s="109"/>
      <c r="FM104" s="109"/>
      <c r="FN104" s="109"/>
      <c r="FO104" s="109"/>
      <c r="FQ104" s="109"/>
      <c r="FR104" s="109"/>
      <c r="FS104" s="109"/>
      <c r="FU104" s="74"/>
      <c r="GA104" s="74"/>
      <c r="GB104" s="74"/>
      <c r="GH104" s="74"/>
      <c r="GZ104" s="708"/>
      <c r="HA104" s="708"/>
      <c r="HB104" s="708"/>
      <c r="HC104" s="708"/>
      <c r="HF104" s="109"/>
      <c r="HG104" s="109"/>
      <c r="HH104" s="109"/>
      <c r="HI104" s="109"/>
      <c r="HR104" s="109"/>
      <c r="HS104" s="109" t="s">
        <v>410</v>
      </c>
      <c r="HT104" s="109">
        <f>HS15+HG15+GU15</f>
        <v>5300247.4800000004</v>
      </c>
      <c r="HU104" s="109">
        <f>HS58+HG58+GU58</f>
        <v>8456960.7200000007</v>
      </c>
      <c r="HV104" s="155">
        <f>HS80+HG80+GU80</f>
        <v>7864737</v>
      </c>
      <c r="IA104" s="74"/>
      <c r="IE104" s="109"/>
      <c r="IF104" s="109"/>
      <c r="IG104" s="109"/>
      <c r="IJ104" s="109"/>
      <c r="IK104" s="109"/>
      <c r="IL104" s="109"/>
      <c r="IM104" s="109"/>
      <c r="IN104" s="109"/>
      <c r="IQ104" s="109">
        <v>1668315</v>
      </c>
      <c r="IU104" s="71"/>
      <c r="JB104" s="829">
        <v>1303678</v>
      </c>
      <c r="JM104" s="109">
        <v>1699334</v>
      </c>
      <c r="JN104" s="155"/>
      <c r="JO104" s="155"/>
      <c r="KB104" s="109">
        <v>2073152</v>
      </c>
      <c r="LE104" s="74"/>
      <c r="LF104" s="109"/>
      <c r="LG104" s="109"/>
      <c r="LH104" s="109"/>
      <c r="LI104" s="74"/>
      <c r="LJ104" s="74"/>
      <c r="LK104" s="74"/>
      <c r="LT104" s="71" t="s">
        <v>425</v>
      </c>
      <c r="LW104" s="109"/>
      <c r="LX104" s="109"/>
      <c r="LY104" s="109"/>
      <c r="LZ104" s="109"/>
      <c r="ME104" s="71" t="s">
        <v>425</v>
      </c>
      <c r="MP104" s="71" t="s">
        <v>425</v>
      </c>
      <c r="MS104" s="812"/>
      <c r="MT104" s="109"/>
      <c r="MU104" s="109"/>
      <c r="MW104" s="109"/>
      <c r="MX104" s="109"/>
      <c r="MY104" s="109"/>
      <c r="MZ104" s="109"/>
      <c r="NA104" s="109"/>
      <c r="NL104" s="155"/>
      <c r="NW104" s="155"/>
      <c r="OH104" s="155"/>
      <c r="OQ104" s="69" t="s">
        <v>905</v>
      </c>
      <c r="OR104" s="109">
        <v>116339</v>
      </c>
      <c r="OV104" s="71"/>
      <c r="PA104" s="71"/>
      <c r="PB104" s="69" t="s">
        <v>905</v>
      </c>
      <c r="PC104" s="109">
        <f>82159+122732</f>
        <v>204891</v>
      </c>
      <c r="PG104" s="71"/>
      <c r="PM104" s="69" t="s">
        <v>905</v>
      </c>
      <c r="PN104" s="109">
        <f>75595+82758</f>
        <v>158353</v>
      </c>
      <c r="QB104" s="69" t="s">
        <v>905</v>
      </c>
      <c r="QC104" s="109">
        <f>117835+71036+71035+11852</f>
        <v>271758</v>
      </c>
      <c r="QM104" s="69" t="s">
        <v>905</v>
      </c>
      <c r="QN104" s="109">
        <f>87149+71035+4499+12268</f>
        <v>174951</v>
      </c>
      <c r="QX104" s="69" t="s">
        <v>905</v>
      </c>
      <c r="QY104" s="109">
        <f>25850+81952+71035</f>
        <v>178837</v>
      </c>
      <c r="RS104" s="69" t="s">
        <v>905</v>
      </c>
      <c r="RT104" s="109">
        <f>66235+92567</f>
        <v>158802</v>
      </c>
      <c r="SD104" s="69" t="s">
        <v>905</v>
      </c>
      <c r="SE104" s="109">
        <f>97325+138759</f>
        <v>236084</v>
      </c>
      <c r="SO104" s="69" t="s">
        <v>905</v>
      </c>
      <c r="SP104" s="109">
        <v>95473</v>
      </c>
      <c r="TD104" s="69" t="s">
        <v>905</v>
      </c>
      <c r="TE104" s="109">
        <f>78564+130577</f>
        <v>209141</v>
      </c>
    </row>
    <row r="105" spans="2:532" s="69" customFormat="1" ht="15.05" x14ac:dyDescent="0.3">
      <c r="B105" s="67"/>
      <c r="C105" s="391"/>
      <c r="D105" s="391"/>
      <c r="E105" s="87"/>
      <c r="F105" s="87"/>
      <c r="G105" s="426"/>
      <c r="H105" s="426"/>
      <c r="I105" s="426"/>
      <c r="J105" s="87"/>
      <c r="K105" s="87"/>
      <c r="L105" s="426"/>
      <c r="M105" s="426"/>
      <c r="N105" s="426"/>
      <c r="O105" s="87"/>
      <c r="P105" s="87"/>
      <c r="Q105" s="426"/>
      <c r="R105" s="426"/>
      <c r="S105" s="426"/>
      <c r="T105" s="423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M105" s="109"/>
      <c r="AN105" s="109"/>
      <c r="AO105" s="109"/>
      <c r="AP105" s="109"/>
      <c r="AQ105" s="109"/>
      <c r="AX105" s="71"/>
      <c r="BC105" s="109"/>
      <c r="BD105" s="109"/>
      <c r="BE105" s="109"/>
      <c r="BF105" s="109"/>
      <c r="BG105" s="109"/>
      <c r="BH105" s="813"/>
      <c r="BI105" s="109"/>
      <c r="BJ105" s="109"/>
      <c r="BK105" s="109"/>
      <c r="BL105" s="109"/>
      <c r="BM105" s="109"/>
      <c r="BN105" s="813"/>
      <c r="BO105" s="812"/>
      <c r="BP105" s="109"/>
      <c r="BQ105" s="109"/>
      <c r="BR105" s="109"/>
      <c r="BS105" s="109"/>
      <c r="BX105" s="67"/>
      <c r="BY105" s="71"/>
      <c r="CA105" s="661"/>
      <c r="CB105" s="661"/>
      <c r="CD105" s="74"/>
      <c r="CE105" s="109"/>
      <c r="CF105" s="109"/>
      <c r="CG105" s="109"/>
      <c r="CH105" s="109"/>
      <c r="CI105" s="109"/>
      <c r="CJ105" s="74"/>
      <c r="CK105" s="71"/>
      <c r="CL105" s="661"/>
      <c r="CM105" s="661"/>
      <c r="CN105" s="661"/>
      <c r="CP105" s="74"/>
      <c r="CQ105" s="109"/>
      <c r="CR105" s="109"/>
      <c r="CS105" s="109"/>
      <c r="CT105" s="109"/>
      <c r="CU105" s="109"/>
      <c r="CV105" s="74"/>
      <c r="CW105" s="74"/>
      <c r="CX105" s="74"/>
      <c r="CY105" s="74"/>
      <c r="CZ105" s="74"/>
      <c r="DA105" s="74"/>
      <c r="DB105" s="74"/>
      <c r="DC105" s="109"/>
      <c r="DD105" s="109"/>
      <c r="DE105" s="109"/>
      <c r="DF105" s="109"/>
      <c r="DG105" s="109"/>
      <c r="DH105" s="74"/>
      <c r="DI105" s="74"/>
      <c r="DJ105" s="74"/>
      <c r="DK105" s="74"/>
      <c r="DL105" s="74"/>
      <c r="DM105" s="74"/>
      <c r="DN105" s="74"/>
      <c r="DO105" s="74"/>
      <c r="DQ105" s="109"/>
      <c r="DR105" s="109"/>
      <c r="DS105" s="74"/>
      <c r="DT105" s="74"/>
      <c r="DU105" s="74"/>
      <c r="DZ105" s="109"/>
      <c r="EA105" s="109"/>
      <c r="FJ105" s="74"/>
      <c r="FK105" s="109"/>
      <c r="FL105" s="109"/>
      <c r="FM105" s="109"/>
      <c r="FN105" s="109"/>
      <c r="FO105" s="109"/>
      <c r="FQ105" s="109"/>
      <c r="FR105" s="109"/>
      <c r="FS105" s="109"/>
      <c r="FU105" s="74"/>
      <c r="GA105" s="74"/>
      <c r="GB105" s="74"/>
      <c r="GH105" s="74"/>
      <c r="GT105" s="155"/>
      <c r="GZ105" s="708"/>
      <c r="HA105" s="708"/>
      <c r="HB105" s="708"/>
      <c r="HC105" s="708"/>
      <c r="HF105" s="109"/>
      <c r="HG105" s="109"/>
      <c r="HH105" s="109"/>
      <c r="HI105" s="109"/>
      <c r="HR105" s="109"/>
      <c r="HS105" s="109" t="s">
        <v>620</v>
      </c>
      <c r="HT105" s="109">
        <f>HU15+HI15+GW15</f>
        <v>2521574.25</v>
      </c>
      <c r="HU105" s="109">
        <f>HU58+HI58+GW58</f>
        <v>4492843.375</v>
      </c>
      <c r="HV105" s="155">
        <f>HU80+HI80+GW80</f>
        <v>4072360.1083333334</v>
      </c>
      <c r="IA105" s="74"/>
      <c r="IE105" s="109"/>
      <c r="IF105" s="109"/>
      <c r="IG105" s="109"/>
      <c r="IJ105" s="109"/>
      <c r="IK105" s="109"/>
      <c r="IL105" s="109"/>
      <c r="IM105" s="109"/>
      <c r="IN105" s="109"/>
      <c r="IQ105" s="109">
        <f>431400+837464</f>
        <v>1268864</v>
      </c>
      <c r="IU105" s="71"/>
      <c r="JB105" s="109">
        <v>136057</v>
      </c>
      <c r="JM105" s="109">
        <v>83000</v>
      </c>
      <c r="KB105" s="109">
        <f>69000+225639</f>
        <v>294639</v>
      </c>
      <c r="KM105" s="109">
        <f>SUM(KM106:KM114)</f>
        <v>1566580</v>
      </c>
      <c r="KX105" s="827">
        <f>SUM(KX106:KX114)</f>
        <v>2194262</v>
      </c>
      <c r="LE105" s="74"/>
      <c r="LF105" s="109"/>
      <c r="LG105" s="109"/>
      <c r="LH105" s="109"/>
      <c r="LI105" s="74"/>
      <c r="LJ105" s="74"/>
      <c r="LK105" s="74"/>
      <c r="LS105" s="827">
        <f>SUM(LS106:LS120)</f>
        <v>2376023</v>
      </c>
      <c r="LT105" s="109">
        <f>219575+60000</f>
        <v>279575</v>
      </c>
      <c r="LU105" s="830">
        <f>LS105-LT105</f>
        <v>2096448</v>
      </c>
      <c r="LW105" s="109"/>
      <c r="LX105" s="109"/>
      <c r="LY105" s="109"/>
      <c r="LZ105" s="109"/>
      <c r="MD105" s="827">
        <f>SUM(MD106:MD120)</f>
        <v>2594749</v>
      </c>
      <c r="ME105" s="109">
        <f>219575+60000</f>
        <v>279575</v>
      </c>
      <c r="MF105" s="830">
        <f>MD105-ME105</f>
        <v>2315174</v>
      </c>
      <c r="MO105" s="827">
        <f>SUM(MO106:MO120)</f>
        <v>3120223</v>
      </c>
      <c r="MP105" s="109">
        <f>219575+60000</f>
        <v>279575</v>
      </c>
      <c r="MQ105" s="830">
        <f>MO105-MP105</f>
        <v>2840648</v>
      </c>
      <c r="MS105" s="812"/>
      <c r="MT105" s="109"/>
      <c r="MU105" s="109"/>
      <c r="MW105" s="109"/>
      <c r="MX105" s="109"/>
      <c r="MY105" s="109"/>
      <c r="MZ105" s="109"/>
      <c r="NA105" s="109"/>
      <c r="NK105" s="71" t="s">
        <v>425</v>
      </c>
      <c r="NV105" s="71" t="s">
        <v>425</v>
      </c>
      <c r="OG105" s="71" t="s">
        <v>425</v>
      </c>
      <c r="OQ105" s="69" t="s">
        <v>23</v>
      </c>
      <c r="OR105" s="109">
        <f>1463+169240</f>
        <v>170703</v>
      </c>
      <c r="OV105" s="71"/>
      <c r="PA105" s="71"/>
      <c r="PB105" s="69" t="s">
        <v>23</v>
      </c>
      <c r="PC105" s="109">
        <v>69000</v>
      </c>
      <c r="PG105" s="71"/>
      <c r="PM105" s="69" t="s">
        <v>23</v>
      </c>
      <c r="PN105" s="109">
        <f>69000+29200</f>
        <v>98200</v>
      </c>
      <c r="QB105" s="69" t="s">
        <v>23</v>
      </c>
      <c r="QC105" s="109">
        <f>112239+313628+85326+40000</f>
        <v>551193</v>
      </c>
      <c r="QM105" s="69" t="s">
        <v>23</v>
      </c>
      <c r="QN105" s="109">
        <f>176580+212086</f>
        <v>388666</v>
      </c>
      <c r="QX105" s="69" t="s">
        <v>23</v>
      </c>
      <c r="QY105" s="109">
        <f>176580+212086</f>
        <v>388666</v>
      </c>
      <c r="RS105" s="69" t="s">
        <v>23</v>
      </c>
      <c r="RT105" s="109">
        <f>56350+93922+87358</f>
        <v>237630</v>
      </c>
      <c r="SD105" s="69" t="s">
        <v>23</v>
      </c>
      <c r="SE105" s="109">
        <f>84373+85152-8237</f>
        <v>161288</v>
      </c>
      <c r="SO105" s="69" t="s">
        <v>23</v>
      </c>
      <c r="SP105" s="109">
        <v>209625</v>
      </c>
      <c r="TD105" s="69" t="s">
        <v>23</v>
      </c>
      <c r="TE105" s="109">
        <f>14300-6350+37001</f>
        <v>44951</v>
      </c>
    </row>
    <row r="106" spans="2:532" s="69" customFormat="1" ht="15.05" x14ac:dyDescent="0.3">
      <c r="B106" s="67"/>
      <c r="C106" s="391"/>
      <c r="D106" s="391"/>
      <c r="E106" s="87"/>
      <c r="F106" s="87"/>
      <c r="G106" s="426"/>
      <c r="H106" s="426"/>
      <c r="I106" s="426"/>
      <c r="J106" s="87"/>
      <c r="K106" s="87"/>
      <c r="L106" s="426"/>
      <c r="M106" s="426"/>
      <c r="N106" s="426"/>
      <c r="O106" s="87"/>
      <c r="P106" s="87"/>
      <c r="Q106" s="426"/>
      <c r="R106" s="426"/>
      <c r="S106" s="426"/>
      <c r="T106" s="423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M106" s="109"/>
      <c r="AN106" s="109"/>
      <c r="AO106" s="109"/>
      <c r="AP106" s="109"/>
      <c r="AQ106" s="109"/>
      <c r="AX106" s="71"/>
      <c r="BC106" s="109"/>
      <c r="BD106" s="109"/>
      <c r="BE106" s="109"/>
      <c r="BF106" s="109"/>
      <c r="BG106" s="109"/>
      <c r="BH106" s="813"/>
      <c r="BI106" s="109"/>
      <c r="BJ106" s="109"/>
      <c r="BK106" s="109"/>
      <c r="BL106" s="109"/>
      <c r="BM106" s="109"/>
      <c r="BN106" s="813"/>
      <c r="BO106" s="812"/>
      <c r="BP106" s="109"/>
      <c r="BQ106" s="109"/>
      <c r="BR106" s="109"/>
      <c r="BS106" s="109"/>
      <c r="BX106" s="67"/>
      <c r="BY106" s="71"/>
      <c r="CA106" s="661"/>
      <c r="CB106" s="661"/>
      <c r="CD106" s="74"/>
      <c r="CE106" s="109"/>
      <c r="CF106" s="109"/>
      <c r="CG106" s="109"/>
      <c r="CH106" s="109"/>
      <c r="CI106" s="109"/>
      <c r="CJ106" s="74"/>
      <c r="CK106" s="71"/>
      <c r="CL106" s="661"/>
      <c r="CM106" s="661"/>
      <c r="CN106" s="661"/>
      <c r="CP106" s="74"/>
      <c r="CQ106" s="109"/>
      <c r="CR106" s="109"/>
      <c r="CS106" s="109"/>
      <c r="CT106" s="109"/>
      <c r="CU106" s="109"/>
      <c r="CV106" s="74"/>
      <c r="CW106" s="74"/>
      <c r="CX106" s="74"/>
      <c r="CY106" s="74"/>
      <c r="CZ106" s="74"/>
      <c r="DA106" s="74"/>
      <c r="DB106" s="74"/>
      <c r="DC106" s="109"/>
      <c r="DD106" s="109"/>
      <c r="DE106" s="109"/>
      <c r="DF106" s="109"/>
      <c r="DG106" s="109"/>
      <c r="DH106" s="74"/>
      <c r="DI106" s="74"/>
      <c r="DJ106" s="74"/>
      <c r="DK106" s="74"/>
      <c r="DL106" s="74"/>
      <c r="DM106" s="74"/>
      <c r="DN106" s="74"/>
      <c r="DO106" s="74"/>
      <c r="DQ106" s="109"/>
      <c r="DR106" s="109"/>
      <c r="DS106" s="74"/>
      <c r="DT106" s="74"/>
      <c r="DU106" s="74"/>
      <c r="DZ106" s="109"/>
      <c r="EA106" s="109"/>
      <c r="FJ106" s="74"/>
      <c r="FK106" s="109"/>
      <c r="FL106" s="109"/>
      <c r="FM106" s="109"/>
      <c r="FN106" s="109"/>
      <c r="FO106" s="109"/>
      <c r="FQ106" s="109"/>
      <c r="FR106" s="109"/>
      <c r="FS106" s="109"/>
      <c r="FU106" s="74"/>
      <c r="GA106" s="74"/>
      <c r="GB106" s="74"/>
      <c r="GH106" s="74"/>
      <c r="GT106" s="155"/>
      <c r="GZ106" s="708"/>
      <c r="HA106" s="708"/>
      <c r="HB106" s="708"/>
      <c r="HC106" s="708"/>
      <c r="HF106" s="109"/>
      <c r="HG106" s="109"/>
      <c r="HH106" s="109"/>
      <c r="HI106" s="109"/>
      <c r="HR106" s="109"/>
      <c r="HS106" s="109"/>
      <c r="HT106" s="109"/>
      <c r="HU106" s="109"/>
      <c r="IA106" s="74"/>
      <c r="IE106" s="109"/>
      <c r="IF106" s="109"/>
      <c r="IG106" s="109"/>
      <c r="IJ106" s="109"/>
      <c r="IK106" s="109"/>
      <c r="IL106" s="109"/>
      <c r="IM106" s="109"/>
      <c r="IN106" s="109"/>
      <c r="IQ106" s="109">
        <v>48300</v>
      </c>
      <c r="IU106" s="71"/>
      <c r="JB106" s="109">
        <v>231137</v>
      </c>
      <c r="JM106" s="109">
        <v>217183</v>
      </c>
      <c r="KB106" s="109">
        <v>171633</v>
      </c>
      <c r="KM106" s="69">
        <v>1349748</v>
      </c>
      <c r="KX106" s="109">
        <f>(2088240-205993)</f>
        <v>1882247</v>
      </c>
      <c r="LE106" s="74"/>
      <c r="LF106" s="109"/>
      <c r="LG106" s="109"/>
      <c r="LH106" s="109"/>
      <c r="LI106" s="74"/>
      <c r="LJ106" s="74"/>
      <c r="LK106" s="74"/>
      <c r="LS106" s="109">
        <v>89013</v>
      </c>
      <c r="LT106" s="69" t="s">
        <v>426</v>
      </c>
      <c r="LW106" s="109"/>
      <c r="LX106" s="109"/>
      <c r="LY106" s="109"/>
      <c r="LZ106" s="109"/>
      <c r="MD106" s="109">
        <v>108825</v>
      </c>
      <c r="ME106" s="69" t="s">
        <v>426</v>
      </c>
      <c r="MO106" s="109">
        <v>107774</v>
      </c>
      <c r="MP106" s="69" t="s">
        <v>426</v>
      </c>
      <c r="MS106" s="812"/>
      <c r="MT106" s="109"/>
      <c r="MU106" s="109"/>
      <c r="MW106" s="109"/>
      <c r="MX106" s="109"/>
      <c r="MY106" s="109"/>
      <c r="MZ106" s="109"/>
      <c r="NA106" s="109"/>
      <c r="NJ106" s="827">
        <f>SUM(NJ107:NJ121)</f>
        <v>2465332</v>
      </c>
      <c r="NK106" s="109">
        <v>698789</v>
      </c>
      <c r="NL106" s="830">
        <f>NJ106-NK106</f>
        <v>1766543</v>
      </c>
      <c r="NU106" s="827">
        <f>SUM(NU107:NU121)</f>
        <v>2777619</v>
      </c>
      <c r="NV106" s="109">
        <v>374228</v>
      </c>
      <c r="NW106" s="830">
        <f>NU106-NV106</f>
        <v>2403391</v>
      </c>
      <c r="OF106" s="827">
        <f>SUM(OF107:OF123)</f>
        <v>11702106</v>
      </c>
      <c r="OG106" s="109">
        <v>251147</v>
      </c>
      <c r="OH106" s="830">
        <f>OF106-OG106</f>
        <v>11450959</v>
      </c>
      <c r="OQ106" s="69" t="s">
        <v>235</v>
      </c>
      <c r="OR106" s="109">
        <v>342302</v>
      </c>
      <c r="OV106" s="71"/>
      <c r="PA106" s="71"/>
      <c r="PB106" s="69" t="s">
        <v>235</v>
      </c>
      <c r="PC106" s="109">
        <v>0</v>
      </c>
      <c r="PG106" s="71"/>
      <c r="PM106" s="69" t="s">
        <v>235</v>
      </c>
      <c r="PN106" s="109">
        <v>114275</v>
      </c>
      <c r="QB106" s="69" t="s">
        <v>235</v>
      </c>
      <c r="QC106" s="109">
        <f>457208</f>
        <v>457208</v>
      </c>
      <c r="QM106" s="69" t="s">
        <v>235</v>
      </c>
      <c r="QN106" s="109">
        <v>0</v>
      </c>
      <c r="QX106" s="69" t="s">
        <v>235</v>
      </c>
      <c r="QY106" s="109">
        <v>406650</v>
      </c>
      <c r="RS106" s="69" t="s">
        <v>235</v>
      </c>
      <c r="RT106" s="109">
        <v>357595</v>
      </c>
      <c r="SD106" s="69" t="s">
        <v>235</v>
      </c>
      <c r="SE106" s="109">
        <v>636781</v>
      </c>
      <c r="SO106" s="69" t="s">
        <v>235</v>
      </c>
      <c r="SP106" s="109">
        <v>573591</v>
      </c>
      <c r="TD106" s="69" t="s">
        <v>235</v>
      </c>
      <c r="TE106" s="109">
        <v>223337</v>
      </c>
    </row>
    <row r="107" spans="2:532" s="69" customFormat="1" x14ac:dyDescent="0.3">
      <c r="B107" s="67"/>
      <c r="C107" s="391"/>
      <c r="D107" s="391"/>
      <c r="E107" s="87"/>
      <c r="F107" s="87"/>
      <c r="G107" s="426"/>
      <c r="H107" s="426"/>
      <c r="I107" s="426"/>
      <c r="J107" s="87"/>
      <c r="K107" s="87"/>
      <c r="L107" s="426"/>
      <c r="M107" s="426"/>
      <c r="N107" s="426"/>
      <c r="O107" s="87"/>
      <c r="P107" s="87"/>
      <c r="Q107" s="426"/>
      <c r="R107" s="426"/>
      <c r="S107" s="426"/>
      <c r="T107" s="423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M107" s="109"/>
      <c r="AN107" s="109"/>
      <c r="AO107" s="109"/>
      <c r="AP107" s="109"/>
      <c r="AQ107" s="109"/>
      <c r="AX107" s="71"/>
      <c r="BC107" s="109"/>
      <c r="BD107" s="109"/>
      <c r="BE107" s="109"/>
      <c r="BF107" s="109"/>
      <c r="BG107" s="109"/>
      <c r="BH107" s="813"/>
      <c r="BI107" s="109"/>
      <c r="BJ107" s="109"/>
      <c r="BK107" s="109"/>
      <c r="BL107" s="109"/>
      <c r="BM107" s="109"/>
      <c r="BN107" s="813"/>
      <c r="BO107" s="812"/>
      <c r="BP107" s="109"/>
      <c r="BQ107" s="109"/>
      <c r="BR107" s="109"/>
      <c r="BS107" s="109"/>
      <c r="BX107" s="67"/>
      <c r="BY107" s="71"/>
      <c r="CA107" s="661"/>
      <c r="CB107" s="661"/>
      <c r="CD107" s="74"/>
      <c r="CE107" s="109"/>
      <c r="CF107" s="109"/>
      <c r="CG107" s="109"/>
      <c r="CH107" s="109"/>
      <c r="CI107" s="109"/>
      <c r="CJ107" s="74"/>
      <c r="CK107" s="71"/>
      <c r="CL107" s="661"/>
      <c r="CM107" s="661"/>
      <c r="CN107" s="661"/>
      <c r="CP107" s="74"/>
      <c r="CQ107" s="109"/>
      <c r="CR107" s="109"/>
      <c r="CS107" s="109"/>
      <c r="CT107" s="109"/>
      <c r="CU107" s="109"/>
      <c r="CV107" s="74"/>
      <c r="CW107" s="74"/>
      <c r="CX107" s="74"/>
      <c r="CY107" s="74"/>
      <c r="CZ107" s="74"/>
      <c r="DA107" s="74"/>
      <c r="DB107" s="74"/>
      <c r="DC107" s="109"/>
      <c r="DD107" s="109"/>
      <c r="DE107" s="109"/>
      <c r="DF107" s="109"/>
      <c r="DG107" s="109"/>
      <c r="DH107" s="74"/>
      <c r="DI107" s="74"/>
      <c r="DJ107" s="74"/>
      <c r="DK107" s="74"/>
      <c r="DL107" s="74"/>
      <c r="DM107" s="74"/>
      <c r="DN107" s="74"/>
      <c r="DO107" s="74"/>
      <c r="DQ107" s="109"/>
      <c r="DR107" s="109"/>
      <c r="DS107" s="74"/>
      <c r="DT107" s="74"/>
      <c r="DU107" s="74"/>
      <c r="DZ107" s="109"/>
      <c r="EA107" s="109"/>
      <c r="FJ107" s="74"/>
      <c r="FK107" s="109"/>
      <c r="FL107" s="109"/>
      <c r="FM107" s="109"/>
      <c r="FN107" s="109"/>
      <c r="FO107" s="109"/>
      <c r="FQ107" s="109"/>
      <c r="FR107" s="109"/>
      <c r="FS107" s="109"/>
      <c r="FU107" s="74"/>
      <c r="GA107" s="74"/>
      <c r="GB107" s="74"/>
      <c r="GH107" s="74"/>
      <c r="GZ107" s="708"/>
      <c r="HA107" s="708"/>
      <c r="HB107" s="708"/>
      <c r="HC107" s="708"/>
      <c r="HF107" s="109"/>
      <c r="HG107" s="109"/>
      <c r="HH107" s="109"/>
      <c r="HI107" s="109"/>
      <c r="HR107" s="109"/>
      <c r="HS107" s="109"/>
      <c r="HT107" s="109"/>
      <c r="HU107" s="109"/>
      <c r="IA107" s="74"/>
      <c r="IE107" s="109"/>
      <c r="IF107" s="109"/>
      <c r="IG107" s="109"/>
      <c r="IJ107" s="109"/>
      <c r="IK107" s="109"/>
      <c r="IL107" s="109"/>
      <c r="IM107" s="109"/>
      <c r="IN107" s="109"/>
      <c r="IQ107" s="109">
        <v>15000</v>
      </c>
      <c r="IU107" s="71"/>
      <c r="JB107" s="155">
        <v>240760</v>
      </c>
      <c r="JM107" s="109">
        <v>13000</v>
      </c>
      <c r="KB107" s="109">
        <v>32000</v>
      </c>
      <c r="KM107" s="69">
        <v>287737</v>
      </c>
      <c r="KX107" s="109">
        <v>181702</v>
      </c>
      <c r="LE107" s="74"/>
      <c r="LF107" s="109"/>
      <c r="LG107" s="109"/>
      <c r="LH107" s="109"/>
      <c r="LI107" s="74"/>
      <c r="LJ107" s="74"/>
      <c r="LK107" s="74"/>
      <c r="LS107" s="109">
        <v>213174</v>
      </c>
      <c r="LT107" s="69" t="s">
        <v>235</v>
      </c>
      <c r="LW107" s="109"/>
      <c r="LX107" s="109"/>
      <c r="LY107" s="109"/>
      <c r="LZ107" s="109"/>
      <c r="MD107" s="109">
        <v>379343</v>
      </c>
      <c r="ME107" s="69" t="s">
        <v>235</v>
      </c>
      <c r="MO107" s="109">
        <v>222793</v>
      </c>
      <c r="MP107" s="69" t="s">
        <v>235</v>
      </c>
      <c r="MS107" s="812"/>
      <c r="MT107" s="109"/>
      <c r="MU107" s="109"/>
      <c r="MW107" s="109"/>
      <c r="MX107" s="109"/>
      <c r="MY107" s="109"/>
      <c r="MZ107" s="109"/>
      <c r="NA107" s="109"/>
      <c r="NJ107" s="109">
        <v>0</v>
      </c>
      <c r="NK107" s="69" t="s">
        <v>426</v>
      </c>
      <c r="NU107" s="109">
        <v>0</v>
      </c>
      <c r="NV107" s="69" t="s">
        <v>426</v>
      </c>
      <c r="OF107" s="109">
        <v>0</v>
      </c>
      <c r="OG107" s="69" t="s">
        <v>426</v>
      </c>
      <c r="OQ107" s="69" t="s">
        <v>906</v>
      </c>
      <c r="OR107" s="109">
        <v>247417</v>
      </c>
      <c r="OV107" s="71"/>
      <c r="PA107" s="71"/>
      <c r="PB107" s="69" t="s">
        <v>906</v>
      </c>
      <c r="PC107" s="109">
        <v>0</v>
      </c>
      <c r="PG107" s="71"/>
      <c r="PM107" s="69" t="s">
        <v>906</v>
      </c>
      <c r="PN107" s="109">
        <v>0</v>
      </c>
      <c r="QB107" s="69" t="s">
        <v>906</v>
      </c>
      <c r="QC107" s="109">
        <v>10975</v>
      </c>
      <c r="QM107" s="69" t="s">
        <v>906</v>
      </c>
      <c r="QN107" s="109">
        <v>0</v>
      </c>
      <c r="QX107" s="69" t="s">
        <v>906</v>
      </c>
      <c r="QY107" s="109">
        <v>0</v>
      </c>
      <c r="RS107" s="69" t="s">
        <v>906</v>
      </c>
      <c r="RT107" s="109">
        <v>130275</v>
      </c>
      <c r="SD107" s="69" t="s">
        <v>906</v>
      </c>
      <c r="SE107" s="109">
        <v>59120</v>
      </c>
      <c r="SO107" s="69" t="s">
        <v>906</v>
      </c>
      <c r="SP107" s="109"/>
      <c r="TD107" s="69" t="s">
        <v>906</v>
      </c>
      <c r="TE107" s="109">
        <v>102536</v>
      </c>
    </row>
    <row r="108" spans="2:532" s="69" customFormat="1" x14ac:dyDescent="0.3">
      <c r="B108" s="67"/>
      <c r="C108" s="391"/>
      <c r="D108" s="391"/>
      <c r="E108" s="87"/>
      <c r="F108" s="87"/>
      <c r="G108" s="426"/>
      <c r="H108" s="426"/>
      <c r="I108" s="426"/>
      <c r="J108" s="87"/>
      <c r="K108" s="87"/>
      <c r="L108" s="426"/>
      <c r="M108" s="426"/>
      <c r="N108" s="426"/>
      <c r="O108" s="87"/>
      <c r="P108" s="87"/>
      <c r="Q108" s="426"/>
      <c r="R108" s="426"/>
      <c r="S108" s="426"/>
      <c r="T108" s="423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M108" s="109"/>
      <c r="AN108" s="109"/>
      <c r="AO108" s="109"/>
      <c r="AP108" s="109"/>
      <c r="AQ108" s="109"/>
      <c r="AX108" s="71"/>
      <c r="BC108" s="109"/>
      <c r="BD108" s="109"/>
      <c r="BE108" s="109"/>
      <c r="BF108" s="109"/>
      <c r="BG108" s="109"/>
      <c r="BH108" s="813"/>
      <c r="BI108" s="109"/>
      <c r="BJ108" s="109"/>
      <c r="BK108" s="109"/>
      <c r="BL108" s="109"/>
      <c r="BM108" s="109"/>
      <c r="BN108" s="813"/>
      <c r="BO108" s="812"/>
      <c r="BP108" s="109"/>
      <c r="BQ108" s="109"/>
      <c r="BR108" s="109"/>
      <c r="BS108" s="109"/>
      <c r="BX108" s="67"/>
      <c r="BY108" s="71"/>
      <c r="CA108" s="661"/>
      <c r="CB108" s="661"/>
      <c r="CD108" s="74"/>
      <c r="CE108" s="109"/>
      <c r="CF108" s="109"/>
      <c r="CG108" s="109"/>
      <c r="CH108" s="109"/>
      <c r="CI108" s="109"/>
      <c r="CJ108" s="74"/>
      <c r="CK108" s="71"/>
      <c r="CL108" s="661"/>
      <c r="CM108" s="661"/>
      <c r="CN108" s="661"/>
      <c r="CP108" s="74"/>
      <c r="CQ108" s="109"/>
      <c r="CR108" s="109"/>
      <c r="CS108" s="109"/>
      <c r="CT108" s="109"/>
      <c r="CU108" s="109"/>
      <c r="CV108" s="74"/>
      <c r="CW108" s="74"/>
      <c r="CX108" s="74"/>
      <c r="CY108" s="74"/>
      <c r="CZ108" s="74"/>
      <c r="DA108" s="74"/>
      <c r="DB108" s="74"/>
      <c r="DC108" s="109"/>
      <c r="DD108" s="109"/>
      <c r="DE108" s="109"/>
      <c r="DF108" s="109"/>
      <c r="DG108" s="109"/>
      <c r="DH108" s="74"/>
      <c r="DI108" s="74"/>
      <c r="DJ108" s="74"/>
      <c r="DK108" s="74"/>
      <c r="DL108" s="74"/>
      <c r="DM108" s="74"/>
      <c r="DN108" s="74"/>
      <c r="DO108" s="74"/>
      <c r="DQ108" s="109"/>
      <c r="DR108" s="109"/>
      <c r="DS108" s="74"/>
      <c r="DT108" s="74"/>
      <c r="DU108" s="74"/>
      <c r="DZ108" s="109"/>
      <c r="EA108" s="109"/>
      <c r="FJ108" s="74"/>
      <c r="FK108" s="109"/>
      <c r="FL108" s="109"/>
      <c r="FM108" s="109"/>
      <c r="FN108" s="109"/>
      <c r="FO108" s="109"/>
      <c r="FQ108" s="109"/>
      <c r="FR108" s="109"/>
      <c r="FS108" s="109"/>
      <c r="FU108" s="74"/>
      <c r="GA108" s="74"/>
      <c r="GB108" s="74"/>
      <c r="GH108" s="74"/>
      <c r="GZ108" s="708"/>
      <c r="HA108" s="708"/>
      <c r="HB108" s="708"/>
      <c r="HC108" s="708"/>
      <c r="HF108" s="109"/>
      <c r="HG108" s="109"/>
      <c r="HH108" s="109"/>
      <c r="HI108" s="109"/>
      <c r="HR108" s="109"/>
      <c r="HS108" s="109"/>
      <c r="HT108" s="109"/>
      <c r="HU108" s="109"/>
      <c r="IA108" s="74"/>
      <c r="IJ108" s="109"/>
      <c r="IK108" s="109"/>
      <c r="IL108" s="109"/>
      <c r="IM108" s="109"/>
      <c r="IN108" s="109"/>
      <c r="IQ108" s="109">
        <v>36005</v>
      </c>
      <c r="IU108" s="71"/>
      <c r="JB108" s="155">
        <v>15500</v>
      </c>
      <c r="JM108" s="109">
        <v>161422</v>
      </c>
      <c r="KB108" s="109">
        <v>240500</v>
      </c>
      <c r="KM108" s="69">
        <v>69000</v>
      </c>
      <c r="KX108" s="109">
        <v>19250</v>
      </c>
      <c r="LE108" s="74"/>
      <c r="LF108" s="109"/>
      <c r="LG108" s="109"/>
      <c r="LH108" s="109"/>
      <c r="LI108" s="74"/>
      <c r="LJ108" s="74"/>
      <c r="LK108" s="74"/>
      <c r="LS108" s="109">
        <v>395174</v>
      </c>
      <c r="LT108" s="69" t="s">
        <v>427</v>
      </c>
      <c r="LW108" s="109"/>
      <c r="LX108" s="109"/>
      <c r="LY108" s="109"/>
      <c r="LZ108" s="109"/>
      <c r="MD108" s="109">
        <v>0</v>
      </c>
      <c r="ME108" s="69" t="s">
        <v>427</v>
      </c>
      <c r="MO108" s="109">
        <v>0</v>
      </c>
      <c r="MP108" s="69" t="s">
        <v>427</v>
      </c>
      <c r="MS108" s="812"/>
      <c r="MT108" s="109"/>
      <c r="MU108" s="109"/>
      <c r="MW108" s="109"/>
      <c r="MX108" s="109"/>
      <c r="MY108" s="109"/>
      <c r="MZ108" s="109"/>
      <c r="NA108" s="109"/>
      <c r="NJ108" s="109">
        <v>168866</v>
      </c>
      <c r="NK108" s="69" t="s">
        <v>235</v>
      </c>
      <c r="NU108" s="109">
        <v>80033</v>
      </c>
      <c r="NV108" s="69" t="s">
        <v>235</v>
      </c>
      <c r="OF108" s="109">
        <v>0</v>
      </c>
      <c r="OG108" s="69" t="s">
        <v>235</v>
      </c>
      <c r="OQ108" s="69" t="s">
        <v>907</v>
      </c>
      <c r="OR108" s="109">
        <v>491800</v>
      </c>
      <c r="OV108" s="71"/>
      <c r="PA108" s="71"/>
      <c r="PB108" s="69" t="s">
        <v>907</v>
      </c>
      <c r="PC108" s="109">
        <f>845811+127525</f>
        <v>973336</v>
      </c>
      <c r="PG108" s="71"/>
      <c r="PM108" s="69" t="s">
        <v>907</v>
      </c>
      <c r="PN108" s="109">
        <f>40900+47077+4213+39167</f>
        <v>131357</v>
      </c>
      <c r="QB108" s="69" t="s">
        <v>907</v>
      </c>
      <c r="QC108" s="109">
        <f>49516+28300</f>
        <v>77816</v>
      </c>
      <c r="QM108" s="69" t="s">
        <v>907</v>
      </c>
      <c r="QN108" s="109">
        <f>7425+159319+76195</f>
        <v>242939</v>
      </c>
      <c r="QX108" s="69" t="s">
        <v>907</v>
      </c>
      <c r="QY108" s="109">
        <f>23115+6000+62370+48461+80000</f>
        <v>219946</v>
      </c>
      <c r="RS108" s="69" t="s">
        <v>907</v>
      </c>
      <c r="RT108" s="109">
        <f>337684+172648</f>
        <v>510332</v>
      </c>
      <c r="SD108" s="69" t="s">
        <v>907</v>
      </c>
      <c r="SE108" s="109">
        <f>59356+12500+3252+100402+2385+83592+40000</f>
        <v>301487</v>
      </c>
      <c r="SO108" s="69" t="s">
        <v>907</v>
      </c>
      <c r="SP108" s="109">
        <f>137438+5675+10722+190350</f>
        <v>344185</v>
      </c>
      <c r="TD108" s="69" t="s">
        <v>907</v>
      </c>
      <c r="TE108" s="109">
        <f>179244+6163+40000</f>
        <v>225407</v>
      </c>
    </row>
    <row r="109" spans="2:532" s="69" customFormat="1" x14ac:dyDescent="0.3">
      <c r="B109" s="67"/>
      <c r="C109" s="391"/>
      <c r="D109" s="391"/>
      <c r="E109" s="87"/>
      <c r="F109" s="87"/>
      <c r="G109" s="426"/>
      <c r="H109" s="426"/>
      <c r="I109" s="426"/>
      <c r="J109" s="87"/>
      <c r="K109" s="87"/>
      <c r="L109" s="426"/>
      <c r="M109" s="426"/>
      <c r="N109" s="426"/>
      <c r="O109" s="87"/>
      <c r="P109" s="87"/>
      <c r="Q109" s="426"/>
      <c r="R109" s="426"/>
      <c r="S109" s="426"/>
      <c r="T109" s="423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M109" s="109"/>
      <c r="AN109" s="109"/>
      <c r="AO109" s="109"/>
      <c r="AP109" s="109"/>
      <c r="AQ109" s="109"/>
      <c r="AX109" s="71"/>
      <c r="BC109" s="109"/>
      <c r="BD109" s="109"/>
      <c r="BE109" s="109"/>
      <c r="BF109" s="109"/>
      <c r="BG109" s="109"/>
      <c r="BH109" s="813"/>
      <c r="BI109" s="109"/>
      <c r="BJ109" s="109"/>
      <c r="BK109" s="109"/>
      <c r="BL109" s="109"/>
      <c r="BM109" s="109"/>
      <c r="BN109" s="813"/>
      <c r="BO109" s="812"/>
      <c r="BP109" s="109"/>
      <c r="BQ109" s="109"/>
      <c r="BR109" s="109"/>
      <c r="BS109" s="109"/>
      <c r="BX109" s="67"/>
      <c r="BY109" s="71"/>
      <c r="CA109" s="661"/>
      <c r="CB109" s="661"/>
      <c r="CD109" s="74"/>
      <c r="CE109" s="109"/>
      <c r="CF109" s="109"/>
      <c r="CG109" s="109"/>
      <c r="CH109" s="109"/>
      <c r="CI109" s="109"/>
      <c r="CJ109" s="74"/>
      <c r="CK109" s="71"/>
      <c r="CL109" s="661"/>
      <c r="CM109" s="661"/>
      <c r="CN109" s="661"/>
      <c r="CP109" s="74"/>
      <c r="CQ109" s="109"/>
      <c r="CR109" s="109"/>
      <c r="CS109" s="109"/>
      <c r="CT109" s="109"/>
      <c r="CU109" s="109"/>
      <c r="CV109" s="74"/>
      <c r="CW109" s="74"/>
      <c r="CX109" s="74"/>
      <c r="CY109" s="74"/>
      <c r="CZ109" s="74"/>
      <c r="DA109" s="74"/>
      <c r="DB109" s="74"/>
      <c r="DC109" s="109"/>
      <c r="DD109" s="109"/>
      <c r="DE109" s="109"/>
      <c r="DF109" s="109"/>
      <c r="DG109" s="109"/>
      <c r="DH109" s="74"/>
      <c r="DI109" s="74"/>
      <c r="DJ109" s="74"/>
      <c r="DK109" s="74"/>
      <c r="DL109" s="74"/>
      <c r="DM109" s="74"/>
      <c r="DN109" s="74"/>
      <c r="DO109" s="74"/>
      <c r="DQ109" s="109"/>
      <c r="DR109" s="109"/>
      <c r="DS109" s="74"/>
      <c r="DT109" s="74"/>
      <c r="DU109" s="74"/>
      <c r="DZ109" s="109"/>
      <c r="EA109" s="109"/>
      <c r="FJ109" s="74"/>
      <c r="FK109" s="109"/>
      <c r="FL109" s="109"/>
      <c r="FM109" s="109"/>
      <c r="FN109" s="109"/>
      <c r="FO109" s="109"/>
      <c r="FQ109" s="109"/>
      <c r="FR109" s="109"/>
      <c r="FS109" s="109"/>
      <c r="FU109" s="74"/>
      <c r="GA109" s="74"/>
      <c r="GB109" s="74"/>
      <c r="GH109" s="74"/>
      <c r="GZ109" s="708"/>
      <c r="HA109" s="708"/>
      <c r="HB109" s="708"/>
      <c r="HC109" s="708"/>
      <c r="HF109" s="109"/>
      <c r="HG109" s="109"/>
      <c r="HH109" s="109"/>
      <c r="HI109" s="109"/>
      <c r="HR109" s="109"/>
      <c r="HS109" s="109"/>
      <c r="HT109" s="109"/>
      <c r="HU109" s="109"/>
      <c r="IA109" s="74"/>
      <c r="IJ109" s="109"/>
      <c r="IK109" s="109"/>
      <c r="IL109" s="109"/>
      <c r="IM109" s="109"/>
      <c r="IN109" s="109"/>
      <c r="IQ109" s="109"/>
      <c r="IU109" s="71"/>
      <c r="JB109" s="155"/>
      <c r="JM109" s="109"/>
      <c r="KB109" s="109"/>
      <c r="KX109" s="109"/>
      <c r="LE109" s="74"/>
      <c r="LF109" s="109"/>
      <c r="LG109" s="109"/>
      <c r="LH109" s="109"/>
      <c r="LI109" s="74"/>
      <c r="LJ109" s="74"/>
      <c r="LK109" s="74"/>
      <c r="LS109" s="109"/>
      <c r="LW109" s="109"/>
      <c r="LX109" s="109"/>
      <c r="LY109" s="109"/>
      <c r="LZ109" s="109"/>
      <c r="MD109" s="109"/>
      <c r="MO109" s="109"/>
      <c r="MS109" s="812"/>
      <c r="MT109" s="109"/>
      <c r="MU109" s="109"/>
      <c r="MW109" s="109"/>
      <c r="MX109" s="109"/>
      <c r="MY109" s="109"/>
      <c r="MZ109" s="109"/>
      <c r="NA109" s="109"/>
      <c r="NJ109" s="109"/>
      <c r="NU109" s="109"/>
      <c r="OF109" s="109"/>
      <c r="OR109" s="109"/>
      <c r="OV109" s="71"/>
      <c r="PA109" s="71"/>
      <c r="PC109" s="109"/>
      <c r="PG109" s="71"/>
      <c r="PM109" s="69" t="s">
        <v>965</v>
      </c>
      <c r="PN109" s="109">
        <f>94675+69000</f>
        <v>163675</v>
      </c>
      <c r="QB109" s="69" t="s">
        <v>965</v>
      </c>
      <c r="QC109" s="109">
        <v>75000</v>
      </c>
      <c r="QM109" s="69" t="s">
        <v>965</v>
      </c>
      <c r="QN109" s="109">
        <v>75000</v>
      </c>
      <c r="QX109" s="69" t="s">
        <v>965</v>
      </c>
      <c r="QY109" s="109"/>
      <c r="RS109" s="69" t="s">
        <v>965</v>
      </c>
      <c r="RT109" s="109">
        <f>75000</f>
        <v>75000</v>
      </c>
      <c r="SD109" s="69" t="s">
        <v>965</v>
      </c>
      <c r="SE109" s="109">
        <v>75000</v>
      </c>
      <c r="SO109" s="69" t="s">
        <v>965</v>
      </c>
      <c r="SP109" s="109">
        <f>55000+20000</f>
        <v>75000</v>
      </c>
      <c r="TD109" s="69" t="s">
        <v>965</v>
      </c>
      <c r="TE109" s="109">
        <f>75000</f>
        <v>75000</v>
      </c>
    </row>
    <row r="110" spans="2:532" s="69" customFormat="1" x14ac:dyDescent="0.3">
      <c r="B110" s="67"/>
      <c r="C110" s="391"/>
      <c r="D110" s="391"/>
      <c r="E110" s="87"/>
      <c r="F110" s="87"/>
      <c r="G110" s="426"/>
      <c r="H110" s="426"/>
      <c r="I110" s="426"/>
      <c r="J110" s="87"/>
      <c r="K110" s="87"/>
      <c r="L110" s="426"/>
      <c r="M110" s="426"/>
      <c r="N110" s="426"/>
      <c r="O110" s="87"/>
      <c r="P110" s="87"/>
      <c r="Q110" s="426"/>
      <c r="R110" s="426"/>
      <c r="S110" s="426"/>
      <c r="T110" s="423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M110" s="109"/>
      <c r="AN110" s="109"/>
      <c r="AO110" s="109"/>
      <c r="AP110" s="109"/>
      <c r="AQ110" s="109"/>
      <c r="AX110" s="71"/>
      <c r="BC110" s="109"/>
      <c r="BD110" s="109"/>
      <c r="BE110" s="109"/>
      <c r="BF110" s="109"/>
      <c r="BG110" s="109"/>
      <c r="BH110" s="813"/>
      <c r="BI110" s="109"/>
      <c r="BJ110" s="109"/>
      <c r="BK110" s="109"/>
      <c r="BL110" s="109"/>
      <c r="BM110" s="109"/>
      <c r="BN110" s="813"/>
      <c r="BO110" s="812"/>
      <c r="BP110" s="109"/>
      <c r="BQ110" s="109"/>
      <c r="BR110" s="109"/>
      <c r="BS110" s="109"/>
      <c r="BX110" s="67"/>
      <c r="BY110" s="71"/>
      <c r="CA110" s="661"/>
      <c r="CB110" s="661"/>
      <c r="CD110" s="74"/>
      <c r="CE110" s="109"/>
      <c r="CF110" s="109"/>
      <c r="CG110" s="109"/>
      <c r="CH110" s="109"/>
      <c r="CI110" s="109"/>
      <c r="CJ110" s="74"/>
      <c r="CK110" s="71"/>
      <c r="CL110" s="661"/>
      <c r="CM110" s="661"/>
      <c r="CN110" s="661"/>
      <c r="CP110" s="74"/>
      <c r="CQ110" s="109"/>
      <c r="CR110" s="109"/>
      <c r="CS110" s="109"/>
      <c r="CT110" s="109"/>
      <c r="CU110" s="109"/>
      <c r="CV110" s="74"/>
      <c r="CW110" s="74"/>
      <c r="CX110" s="74"/>
      <c r="CY110" s="74"/>
      <c r="CZ110" s="74"/>
      <c r="DA110" s="74"/>
      <c r="DB110" s="74"/>
      <c r="DC110" s="109"/>
      <c r="DD110" s="109"/>
      <c r="DE110" s="109"/>
      <c r="DF110" s="109"/>
      <c r="DG110" s="109"/>
      <c r="DH110" s="74"/>
      <c r="DI110" s="74"/>
      <c r="DJ110" s="74"/>
      <c r="DK110" s="74"/>
      <c r="DL110" s="74"/>
      <c r="DM110" s="74"/>
      <c r="DN110" s="74"/>
      <c r="DO110" s="74"/>
      <c r="DQ110" s="109"/>
      <c r="DR110" s="109"/>
      <c r="DS110" s="74"/>
      <c r="DT110" s="74"/>
      <c r="DU110" s="74"/>
      <c r="DZ110" s="109"/>
      <c r="EA110" s="109"/>
      <c r="FJ110" s="74"/>
      <c r="FK110" s="109"/>
      <c r="FL110" s="109"/>
      <c r="FM110" s="109"/>
      <c r="FN110" s="109"/>
      <c r="FO110" s="109"/>
      <c r="FQ110" s="109"/>
      <c r="FR110" s="109"/>
      <c r="FS110" s="109"/>
      <c r="FU110" s="74"/>
      <c r="GA110" s="74"/>
      <c r="GB110" s="74"/>
      <c r="GH110" s="74"/>
      <c r="GZ110" s="708"/>
      <c r="HA110" s="708"/>
      <c r="HB110" s="708"/>
      <c r="HC110" s="708"/>
      <c r="HF110" s="109"/>
      <c r="HG110" s="109"/>
      <c r="HH110" s="109"/>
      <c r="HI110" s="109"/>
      <c r="HR110" s="109"/>
      <c r="HS110" s="109"/>
      <c r="HT110" s="109"/>
      <c r="HU110" s="109"/>
      <c r="IA110" s="74"/>
      <c r="IJ110" s="109"/>
      <c r="IK110" s="109"/>
      <c r="IL110" s="109"/>
      <c r="IM110" s="109"/>
      <c r="IN110" s="109"/>
      <c r="IQ110" s="109">
        <v>721111</v>
      </c>
      <c r="IU110" s="71"/>
      <c r="JB110" s="69">
        <v>145000</v>
      </c>
      <c r="JM110" s="109">
        <v>17000</v>
      </c>
      <c r="KB110" s="109">
        <v>13500</v>
      </c>
      <c r="KM110" s="69">
        <v>57385</v>
      </c>
      <c r="KX110" s="109">
        <v>48500</v>
      </c>
      <c r="LE110" s="74"/>
      <c r="LF110" s="109"/>
      <c r="LG110" s="109"/>
      <c r="LH110" s="109"/>
      <c r="LI110" s="74"/>
      <c r="LJ110" s="74"/>
      <c r="LK110" s="74"/>
      <c r="LS110" s="109">
        <v>166311</v>
      </c>
      <c r="LT110" s="69" t="s">
        <v>428</v>
      </c>
      <c r="LW110" s="109"/>
      <c r="LX110" s="109"/>
      <c r="LY110" s="109"/>
      <c r="LZ110" s="109"/>
      <c r="MD110" s="109">
        <v>60000</v>
      </c>
      <c r="ME110" s="69" t="s">
        <v>428</v>
      </c>
      <c r="MO110" s="109">
        <f>1590364+75832</f>
        <v>1666196</v>
      </c>
      <c r="MP110" s="69" t="s">
        <v>428</v>
      </c>
      <c r="MS110" s="812"/>
      <c r="MT110" s="109"/>
      <c r="MU110" s="109"/>
      <c r="MW110" s="109"/>
      <c r="MX110" s="109"/>
      <c r="MY110" s="109"/>
      <c r="MZ110" s="109"/>
      <c r="NA110" s="109"/>
      <c r="NJ110" s="109">
        <v>0</v>
      </c>
      <c r="NK110" s="69" t="s">
        <v>427</v>
      </c>
      <c r="NU110" s="109">
        <v>0</v>
      </c>
      <c r="NV110" s="69" t="s">
        <v>427</v>
      </c>
      <c r="OF110" s="109">
        <v>0</v>
      </c>
      <c r="OG110" s="69" t="s">
        <v>427</v>
      </c>
      <c r="OQ110" s="69" t="s">
        <v>890</v>
      </c>
      <c r="OR110" s="109">
        <v>47505</v>
      </c>
      <c r="OV110" s="71"/>
      <c r="PA110" s="71"/>
      <c r="PB110" s="69" t="s">
        <v>890</v>
      </c>
      <c r="PC110" s="109">
        <v>196373</v>
      </c>
      <c r="PG110" s="71"/>
      <c r="PM110" s="69" t="s">
        <v>890</v>
      </c>
      <c r="PN110" s="109">
        <v>115331</v>
      </c>
      <c r="QB110" s="69" t="s">
        <v>890</v>
      </c>
      <c r="QC110" s="109">
        <v>175132</v>
      </c>
      <c r="QM110" s="69" t="s">
        <v>890</v>
      </c>
      <c r="QN110" s="109">
        <v>112001</v>
      </c>
      <c r="QX110" s="69" t="s">
        <v>890</v>
      </c>
      <c r="QY110" s="109">
        <v>113699</v>
      </c>
      <c r="RS110" s="69" t="s">
        <v>890</v>
      </c>
      <c r="RT110" s="109">
        <v>105725</v>
      </c>
      <c r="SD110" s="69" t="s">
        <v>890</v>
      </c>
      <c r="SE110" s="109">
        <v>105042</v>
      </c>
      <c r="SO110" s="69" t="s">
        <v>890</v>
      </c>
      <c r="SP110" s="109">
        <v>104758</v>
      </c>
      <c r="TD110" s="69" t="s">
        <v>890</v>
      </c>
      <c r="TE110" s="109">
        <v>103064</v>
      </c>
    </row>
    <row r="111" spans="2:532" s="69" customFormat="1" x14ac:dyDescent="0.3">
      <c r="B111" s="67"/>
      <c r="C111" s="391"/>
      <c r="D111" s="391"/>
      <c r="E111" s="87"/>
      <c r="F111" s="87"/>
      <c r="G111" s="426"/>
      <c r="H111" s="426"/>
      <c r="I111" s="426"/>
      <c r="J111" s="87"/>
      <c r="K111" s="87"/>
      <c r="L111" s="426"/>
      <c r="M111" s="426"/>
      <c r="N111" s="426"/>
      <c r="O111" s="87"/>
      <c r="P111" s="87"/>
      <c r="Q111" s="426"/>
      <c r="R111" s="426"/>
      <c r="S111" s="426"/>
      <c r="T111" s="423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M111" s="109"/>
      <c r="AN111" s="109"/>
      <c r="AO111" s="109"/>
      <c r="AP111" s="109"/>
      <c r="AQ111" s="109"/>
      <c r="AX111" s="71"/>
      <c r="BC111" s="109"/>
      <c r="BD111" s="109"/>
      <c r="BE111" s="109"/>
      <c r="BF111" s="109"/>
      <c r="BG111" s="109"/>
      <c r="BH111" s="813"/>
      <c r="BI111" s="109"/>
      <c r="BJ111" s="109"/>
      <c r="BK111" s="109"/>
      <c r="BL111" s="109"/>
      <c r="BM111" s="109"/>
      <c r="BN111" s="813"/>
      <c r="BO111" s="812"/>
      <c r="BP111" s="109"/>
      <c r="BQ111" s="109"/>
      <c r="BR111" s="109"/>
      <c r="BS111" s="109"/>
      <c r="BX111" s="67"/>
      <c r="BY111" s="71"/>
      <c r="CA111" s="661"/>
      <c r="CB111" s="661"/>
      <c r="CD111" s="74"/>
      <c r="CE111" s="109"/>
      <c r="CF111" s="109"/>
      <c r="CG111" s="109"/>
      <c r="CH111" s="109"/>
      <c r="CI111" s="109"/>
      <c r="CJ111" s="74"/>
      <c r="CK111" s="71"/>
      <c r="CL111" s="661"/>
      <c r="CM111" s="661"/>
      <c r="CN111" s="661"/>
      <c r="CP111" s="74"/>
      <c r="CQ111" s="109"/>
      <c r="CR111" s="109"/>
      <c r="CS111" s="109"/>
      <c r="CT111" s="109"/>
      <c r="CU111" s="109"/>
      <c r="CV111" s="74"/>
      <c r="CW111" s="74"/>
      <c r="CX111" s="74"/>
      <c r="CY111" s="74"/>
      <c r="CZ111" s="74"/>
      <c r="DA111" s="74"/>
      <c r="DB111" s="74"/>
      <c r="DC111" s="109"/>
      <c r="DD111" s="109"/>
      <c r="DE111" s="109"/>
      <c r="DF111" s="109"/>
      <c r="DG111" s="109"/>
      <c r="DH111" s="74"/>
      <c r="DI111" s="74"/>
      <c r="DJ111" s="74"/>
      <c r="DK111" s="74"/>
      <c r="DL111" s="74"/>
      <c r="DM111" s="74"/>
      <c r="DN111" s="74"/>
      <c r="DO111" s="74"/>
      <c r="DQ111" s="109"/>
      <c r="DR111" s="109"/>
      <c r="DS111" s="74"/>
      <c r="DT111" s="74"/>
      <c r="DU111" s="74"/>
      <c r="DZ111" s="109"/>
      <c r="EA111" s="109"/>
      <c r="FJ111" s="74"/>
      <c r="FK111" s="109"/>
      <c r="FL111" s="109"/>
      <c r="FM111" s="109"/>
      <c r="FN111" s="109"/>
      <c r="FO111" s="109"/>
      <c r="FQ111" s="109"/>
      <c r="FR111" s="109"/>
      <c r="FS111" s="109"/>
      <c r="FU111" s="74"/>
      <c r="GA111" s="74"/>
      <c r="GB111" s="74"/>
      <c r="GH111" s="74"/>
      <c r="GZ111" s="708"/>
      <c r="HA111" s="708"/>
      <c r="HB111" s="708"/>
      <c r="HC111" s="708"/>
      <c r="HF111" s="109"/>
      <c r="HG111" s="109"/>
      <c r="HH111" s="109"/>
      <c r="HI111" s="109"/>
      <c r="HR111" s="109"/>
      <c r="HS111" s="109"/>
      <c r="HT111" s="109"/>
      <c r="HU111" s="109"/>
      <c r="IA111" s="74"/>
      <c r="IJ111" s="109"/>
      <c r="IK111" s="109"/>
      <c r="IL111" s="109"/>
      <c r="IM111" s="109"/>
      <c r="IN111" s="109"/>
      <c r="IQ111" s="109">
        <v>-285114</v>
      </c>
      <c r="IU111" s="71"/>
      <c r="JB111" s="69">
        <v>-217089</v>
      </c>
      <c r="JC111" s="69" t="s">
        <v>372</v>
      </c>
      <c r="JM111" s="109">
        <v>76000</v>
      </c>
      <c r="KB111" s="109">
        <v>-233949</v>
      </c>
      <c r="KM111" s="69">
        <v>13500</v>
      </c>
      <c r="KX111" s="109">
        <v>13500</v>
      </c>
      <c r="LE111" s="74"/>
      <c r="LF111" s="109"/>
      <c r="LG111" s="109"/>
      <c r="LH111" s="109"/>
      <c r="LI111" s="74"/>
      <c r="LJ111" s="74"/>
      <c r="LK111" s="74"/>
      <c r="LS111" s="109">
        <v>166847</v>
      </c>
      <c r="LT111" s="69" t="s">
        <v>23</v>
      </c>
      <c r="LW111" s="109"/>
      <c r="LX111" s="109"/>
      <c r="LY111" s="109"/>
      <c r="LZ111" s="109"/>
      <c r="MD111" s="109">
        <f>134979+757167</f>
        <v>892146</v>
      </c>
      <c r="ME111" s="69" t="s">
        <v>23</v>
      </c>
      <c r="MO111" s="109">
        <v>93855</v>
      </c>
      <c r="MP111" s="69" t="s">
        <v>23</v>
      </c>
      <c r="MS111" s="812"/>
      <c r="MT111" s="109"/>
      <c r="MU111" s="109"/>
      <c r="MW111" s="109"/>
      <c r="MX111" s="109"/>
      <c r="MY111" s="109"/>
      <c r="MZ111" s="109"/>
      <c r="NA111" s="109"/>
      <c r="NI111" s="155">
        <f>NH122+NH123+NH124</f>
        <v>441300</v>
      </c>
      <c r="NJ111" s="1500">
        <f>1679228-173000-441300</f>
        <v>1064928</v>
      </c>
      <c r="NK111" s="69" t="s">
        <v>428</v>
      </c>
      <c r="NT111" s="155">
        <f>NS122+NS123+NS124</f>
        <v>359400</v>
      </c>
      <c r="NU111" s="1500">
        <f>84419</f>
        <v>84419</v>
      </c>
      <c r="NV111" s="69" t="s">
        <v>428</v>
      </c>
      <c r="OE111" s="155">
        <v>0</v>
      </c>
      <c r="OF111" s="1500">
        <v>13500</v>
      </c>
      <c r="OG111" s="69" t="s">
        <v>428</v>
      </c>
      <c r="OQ111" s="69" t="s">
        <v>908</v>
      </c>
      <c r="OR111" s="109">
        <v>391374</v>
      </c>
      <c r="OV111" s="71"/>
      <c r="PA111" s="71"/>
      <c r="PB111" s="69" t="s">
        <v>908</v>
      </c>
      <c r="PC111" s="109">
        <v>391374</v>
      </c>
      <c r="PG111" s="71"/>
      <c r="PM111" s="69" t="s">
        <v>908</v>
      </c>
      <c r="PN111" s="109">
        <v>391374</v>
      </c>
      <c r="QB111" s="69" t="s">
        <v>908</v>
      </c>
      <c r="QC111" s="109">
        <f>20000+466285</f>
        <v>486285</v>
      </c>
      <c r="QM111" s="69" t="s">
        <v>908</v>
      </c>
      <c r="QN111" s="109">
        <f>20000+433011</f>
        <v>453011</v>
      </c>
      <c r="QX111" s="69" t="s">
        <v>908</v>
      </c>
      <c r="QY111" s="109">
        <f>20000+433011</f>
        <v>453011</v>
      </c>
      <c r="RS111" s="69" t="s">
        <v>908</v>
      </c>
      <c r="RT111" s="109">
        <f>20000+433011</f>
        <v>453011</v>
      </c>
      <c r="SD111" s="69" t="s">
        <v>908</v>
      </c>
      <c r="SE111" s="109">
        <f>433011+20000</f>
        <v>453011</v>
      </c>
      <c r="SO111" s="69" t="s">
        <v>908</v>
      </c>
      <c r="SP111" s="109">
        <f>433011+20000</f>
        <v>453011</v>
      </c>
      <c r="TD111" s="69" t="s">
        <v>908</v>
      </c>
      <c r="TE111" s="109">
        <f>445511+20000+650000</f>
        <v>1115511</v>
      </c>
    </row>
    <row r="112" spans="2:532" s="69" customFormat="1" x14ac:dyDescent="0.3">
      <c r="B112" s="67"/>
      <c r="C112" s="391"/>
      <c r="D112" s="391"/>
      <c r="E112" s="87"/>
      <c r="F112" s="87"/>
      <c r="G112" s="426"/>
      <c r="H112" s="426"/>
      <c r="I112" s="426"/>
      <c r="J112" s="87"/>
      <c r="K112" s="87"/>
      <c r="L112" s="426"/>
      <c r="M112" s="426"/>
      <c r="N112" s="426"/>
      <c r="O112" s="87"/>
      <c r="P112" s="87"/>
      <c r="Q112" s="426"/>
      <c r="R112" s="426"/>
      <c r="S112" s="426"/>
      <c r="T112" s="423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M112" s="109"/>
      <c r="AN112" s="109"/>
      <c r="AO112" s="109"/>
      <c r="AP112" s="109"/>
      <c r="AQ112" s="109"/>
      <c r="AX112" s="71"/>
      <c r="BC112" s="109"/>
      <c r="BD112" s="109"/>
      <c r="BE112" s="109"/>
      <c r="BF112" s="109"/>
      <c r="BG112" s="109"/>
      <c r="BH112" s="813"/>
      <c r="BI112" s="109"/>
      <c r="BJ112" s="109"/>
      <c r="BK112" s="109"/>
      <c r="BL112" s="109"/>
      <c r="BM112" s="109"/>
      <c r="BN112" s="813"/>
      <c r="BO112" s="812"/>
      <c r="BP112" s="109"/>
      <c r="BQ112" s="109"/>
      <c r="BR112" s="109"/>
      <c r="BS112" s="109"/>
      <c r="BX112" s="67"/>
      <c r="BY112" s="71"/>
      <c r="CA112" s="661"/>
      <c r="CB112" s="661"/>
      <c r="CD112" s="74"/>
      <c r="CE112" s="109"/>
      <c r="CF112" s="109"/>
      <c r="CG112" s="109"/>
      <c r="CH112" s="109"/>
      <c r="CI112" s="109"/>
      <c r="CJ112" s="74"/>
      <c r="CK112" s="71"/>
      <c r="CL112" s="661"/>
      <c r="CM112" s="661"/>
      <c r="CN112" s="661"/>
      <c r="CP112" s="74"/>
      <c r="CQ112" s="109"/>
      <c r="CR112" s="109"/>
      <c r="CS112" s="109"/>
      <c r="CT112" s="109"/>
      <c r="CU112" s="109"/>
      <c r="CV112" s="74"/>
      <c r="CW112" s="74"/>
      <c r="CX112" s="74"/>
      <c r="CY112" s="74"/>
      <c r="CZ112" s="74"/>
      <c r="DA112" s="74"/>
      <c r="DB112" s="74"/>
      <c r="DC112" s="109"/>
      <c r="DD112" s="109"/>
      <c r="DE112" s="109"/>
      <c r="DF112" s="109"/>
      <c r="DG112" s="109"/>
      <c r="DH112" s="74"/>
      <c r="DI112" s="74"/>
      <c r="DJ112" s="74"/>
      <c r="DK112" s="74"/>
      <c r="DL112" s="74"/>
      <c r="DM112" s="74"/>
      <c r="DN112" s="74"/>
      <c r="DO112" s="74"/>
      <c r="DQ112" s="109"/>
      <c r="DR112" s="109"/>
      <c r="DS112" s="74"/>
      <c r="DT112" s="74"/>
      <c r="DU112" s="74"/>
      <c r="DZ112" s="109"/>
      <c r="EA112" s="109"/>
      <c r="FJ112" s="74"/>
      <c r="FK112" s="109"/>
      <c r="FL112" s="109"/>
      <c r="FM112" s="109"/>
      <c r="FN112" s="109"/>
      <c r="FO112" s="109"/>
      <c r="FQ112" s="109"/>
      <c r="FR112" s="109"/>
      <c r="FS112" s="109"/>
      <c r="FU112" s="74"/>
      <c r="GA112" s="74"/>
      <c r="GB112" s="74"/>
      <c r="GH112" s="74"/>
      <c r="GZ112" s="708"/>
      <c r="HA112" s="708"/>
      <c r="HB112" s="708"/>
      <c r="HC112" s="708"/>
      <c r="HF112" s="109"/>
      <c r="HG112" s="109"/>
      <c r="HH112" s="109"/>
      <c r="HI112" s="109"/>
      <c r="HR112" s="109"/>
      <c r="HS112" s="109"/>
      <c r="HT112" s="109"/>
      <c r="HU112" s="109"/>
      <c r="IA112" s="74"/>
      <c r="IJ112" s="109"/>
      <c r="IK112" s="109"/>
      <c r="IL112" s="109"/>
      <c r="IM112" s="109"/>
      <c r="IN112" s="109"/>
      <c r="IU112" s="71"/>
      <c r="JM112" s="109">
        <v>-190833</v>
      </c>
      <c r="KM112" s="69">
        <v>81500</v>
      </c>
      <c r="KX112" s="109">
        <v>69000</v>
      </c>
      <c r="LE112" s="74"/>
      <c r="LF112" s="109"/>
      <c r="LG112" s="109"/>
      <c r="LH112" s="109"/>
      <c r="LI112" s="74"/>
      <c r="LJ112" s="74"/>
      <c r="LK112" s="74"/>
      <c r="LS112" s="109">
        <v>130230</v>
      </c>
      <c r="LT112" s="69" t="s">
        <v>429</v>
      </c>
      <c r="LW112" s="109"/>
      <c r="LX112" s="109"/>
      <c r="LY112" s="109"/>
      <c r="LZ112" s="109"/>
      <c r="MD112" s="109">
        <v>117182</v>
      </c>
      <c r="ME112" s="69" t="s">
        <v>429</v>
      </c>
      <c r="MO112" s="109">
        <v>95952</v>
      </c>
      <c r="MP112" s="69" t="s">
        <v>429</v>
      </c>
      <c r="MS112" s="812"/>
      <c r="MT112" s="109"/>
      <c r="MU112" s="109"/>
      <c r="MW112" s="109"/>
      <c r="MX112" s="109"/>
      <c r="MY112" s="109"/>
      <c r="MZ112" s="109"/>
      <c r="NA112" s="109"/>
      <c r="NJ112" s="109">
        <f>6000+180299</f>
        <v>186299</v>
      </c>
      <c r="NK112" s="69" t="s">
        <v>23</v>
      </c>
      <c r="NU112" s="109">
        <f>82210+808320+6000</f>
        <v>896530</v>
      </c>
      <c r="NV112" s="69" t="s">
        <v>23</v>
      </c>
      <c r="OF112" s="109">
        <v>0</v>
      </c>
      <c r="OG112" s="69" t="s">
        <v>23</v>
      </c>
      <c r="OQ112" s="69" t="s">
        <v>909</v>
      </c>
      <c r="OR112" s="109">
        <v>133232</v>
      </c>
      <c r="OV112" s="71"/>
      <c r="PA112" s="71"/>
      <c r="PB112" s="69" t="s">
        <v>909</v>
      </c>
      <c r="PC112" s="109">
        <v>0</v>
      </c>
      <c r="PG112" s="71"/>
      <c r="PM112" s="69" t="s">
        <v>909</v>
      </c>
      <c r="PN112" s="109">
        <v>76271</v>
      </c>
      <c r="QB112" s="69" t="s">
        <v>909</v>
      </c>
      <c r="QC112" s="109">
        <v>71875</v>
      </c>
      <c r="QM112" s="69" t="s">
        <v>909</v>
      </c>
      <c r="QN112" s="109">
        <v>0</v>
      </c>
      <c r="QX112" s="69" t="s">
        <v>909</v>
      </c>
      <c r="QY112" s="109">
        <f>92750+75000</f>
        <v>167750</v>
      </c>
      <c r="RS112" s="69" t="s">
        <v>909</v>
      </c>
      <c r="RT112" s="109"/>
      <c r="SD112" s="69" t="s">
        <v>909</v>
      </c>
      <c r="SE112" s="109">
        <f>199000-75000</f>
        <v>124000</v>
      </c>
      <c r="SO112" s="69" t="s">
        <v>909</v>
      </c>
      <c r="SP112" s="109">
        <f>221952</f>
        <v>221952</v>
      </c>
      <c r="TD112" s="69" t="s">
        <v>909</v>
      </c>
      <c r="TE112" s="109">
        <v>32412</v>
      </c>
    </row>
    <row r="113" spans="2:527" s="69" customFormat="1" x14ac:dyDescent="0.3">
      <c r="B113" s="67"/>
      <c r="C113" s="391"/>
      <c r="D113" s="391"/>
      <c r="E113" s="87"/>
      <c r="F113" s="87"/>
      <c r="G113" s="426"/>
      <c r="H113" s="426"/>
      <c r="I113" s="426"/>
      <c r="J113" s="87"/>
      <c r="K113" s="87"/>
      <c r="L113" s="426"/>
      <c r="M113" s="426"/>
      <c r="N113" s="426"/>
      <c r="O113" s="87"/>
      <c r="P113" s="87"/>
      <c r="Q113" s="426"/>
      <c r="R113" s="426"/>
      <c r="S113" s="426"/>
      <c r="T113" s="423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M113" s="109"/>
      <c r="AN113" s="109"/>
      <c r="AO113" s="109"/>
      <c r="AP113" s="109"/>
      <c r="AQ113" s="109"/>
      <c r="AX113" s="71"/>
      <c r="BC113" s="109"/>
      <c r="BD113" s="109"/>
      <c r="BE113" s="109"/>
      <c r="BF113" s="109"/>
      <c r="BG113" s="109"/>
      <c r="BH113" s="813"/>
      <c r="BI113" s="109"/>
      <c r="BJ113" s="109"/>
      <c r="BK113" s="109"/>
      <c r="BL113" s="109"/>
      <c r="BM113" s="109"/>
      <c r="BN113" s="813"/>
      <c r="BO113" s="812"/>
      <c r="BP113" s="109"/>
      <c r="BQ113" s="109"/>
      <c r="BR113" s="109"/>
      <c r="BS113" s="109"/>
      <c r="BX113" s="67"/>
      <c r="BY113" s="71"/>
      <c r="CA113" s="661"/>
      <c r="CB113" s="661"/>
      <c r="CD113" s="74"/>
      <c r="CE113" s="109"/>
      <c r="CF113" s="109"/>
      <c r="CG113" s="109"/>
      <c r="CH113" s="109"/>
      <c r="CI113" s="109"/>
      <c r="CJ113" s="74"/>
      <c r="CK113" s="71"/>
      <c r="CL113" s="661"/>
      <c r="CM113" s="661"/>
      <c r="CN113" s="661"/>
      <c r="CP113" s="74"/>
      <c r="CQ113" s="109"/>
      <c r="CR113" s="109"/>
      <c r="CS113" s="109"/>
      <c r="CT113" s="109"/>
      <c r="CU113" s="109"/>
      <c r="CV113" s="74"/>
      <c r="CW113" s="74"/>
      <c r="CX113" s="74"/>
      <c r="CY113" s="74"/>
      <c r="CZ113" s="74"/>
      <c r="DA113" s="74"/>
      <c r="DB113" s="74"/>
      <c r="DC113" s="109"/>
      <c r="DD113" s="109"/>
      <c r="DE113" s="109"/>
      <c r="DF113" s="109"/>
      <c r="DG113" s="109"/>
      <c r="DH113" s="74"/>
      <c r="DI113" s="74"/>
      <c r="DJ113" s="74"/>
      <c r="DK113" s="74"/>
      <c r="DL113" s="74"/>
      <c r="DM113" s="74"/>
      <c r="DN113" s="74"/>
      <c r="DO113" s="74"/>
      <c r="DQ113" s="109"/>
      <c r="DR113" s="109"/>
      <c r="DS113" s="74"/>
      <c r="DT113" s="74"/>
      <c r="DU113" s="74"/>
      <c r="DZ113" s="109"/>
      <c r="EA113" s="109"/>
      <c r="FJ113" s="74"/>
      <c r="FK113" s="109"/>
      <c r="FL113" s="109"/>
      <c r="FM113" s="109"/>
      <c r="FN113" s="109"/>
      <c r="FO113" s="109"/>
      <c r="FQ113" s="109"/>
      <c r="FR113" s="109"/>
      <c r="FS113" s="109"/>
      <c r="FU113" s="74"/>
      <c r="GA113" s="74"/>
      <c r="GB113" s="74"/>
      <c r="GH113" s="74"/>
      <c r="GZ113" s="708"/>
      <c r="HA113" s="708"/>
      <c r="HB113" s="708"/>
      <c r="HC113" s="708"/>
      <c r="HF113" s="109"/>
      <c r="HG113" s="109"/>
      <c r="HH113" s="109"/>
      <c r="HI113" s="109"/>
      <c r="HR113" s="109"/>
      <c r="HS113" s="109"/>
      <c r="HT113" s="109"/>
      <c r="HU113" s="109"/>
      <c r="IA113" s="74"/>
      <c r="IJ113" s="109"/>
      <c r="IK113" s="109"/>
      <c r="IL113" s="109"/>
      <c r="IM113" s="109"/>
      <c r="IN113" s="109"/>
      <c r="IU113" s="71"/>
      <c r="KM113" s="69">
        <v>13500</v>
      </c>
      <c r="KX113" s="109">
        <v>259002</v>
      </c>
      <c r="LE113" s="74"/>
      <c r="LF113" s="109"/>
      <c r="LG113" s="109"/>
      <c r="LH113" s="109"/>
      <c r="LI113" s="74"/>
      <c r="LJ113" s="74"/>
      <c r="LK113" s="74"/>
      <c r="LS113" s="109">
        <f>69000+64312</f>
        <v>133312</v>
      </c>
      <c r="LT113" s="69" t="s">
        <v>430</v>
      </c>
      <c r="LW113" s="109"/>
      <c r="LX113" s="109"/>
      <c r="LY113" s="109"/>
      <c r="LZ113" s="109"/>
      <c r="MD113" s="109">
        <v>69000</v>
      </c>
      <c r="ME113" s="69" t="s">
        <v>430</v>
      </c>
      <c r="MO113" s="109">
        <v>69000</v>
      </c>
      <c r="MP113" s="69" t="s">
        <v>430</v>
      </c>
      <c r="MS113" s="812"/>
      <c r="MT113" s="109"/>
      <c r="MU113" s="109"/>
      <c r="MW113" s="109"/>
      <c r="MX113" s="109"/>
      <c r="MY113" s="109"/>
      <c r="MZ113" s="109"/>
      <c r="NA113" s="109"/>
      <c r="NJ113" s="109">
        <f>91630+9808</f>
        <v>101438</v>
      </c>
      <c r="NK113" s="69" t="s">
        <v>429</v>
      </c>
      <c r="NU113" s="109">
        <v>108537</v>
      </c>
      <c r="NV113" s="69" t="s">
        <v>429</v>
      </c>
      <c r="OF113" s="109">
        <v>0</v>
      </c>
      <c r="OG113" s="69" t="s">
        <v>429</v>
      </c>
      <c r="OQ113" s="69" t="s">
        <v>910</v>
      </c>
      <c r="OR113" s="109">
        <v>108810</v>
      </c>
      <c r="OV113" s="71"/>
      <c r="PA113" s="71"/>
      <c r="PB113" s="69" t="s">
        <v>910</v>
      </c>
      <c r="PC113" s="109">
        <v>0</v>
      </c>
      <c r="PG113" s="71"/>
      <c r="PM113" s="69" t="s">
        <v>910</v>
      </c>
      <c r="PN113" s="109">
        <f>53477-5857</f>
        <v>47620</v>
      </c>
      <c r="PP113" s="109"/>
      <c r="QB113" s="69" t="s">
        <v>910</v>
      </c>
      <c r="QC113" s="109">
        <v>192862</v>
      </c>
      <c r="QE113" s="109"/>
      <c r="QM113" s="69" t="s">
        <v>910</v>
      </c>
      <c r="QN113" s="109">
        <f>11464+51210+10996+7953</f>
        <v>81623</v>
      </c>
      <c r="QP113" s="109"/>
      <c r="QX113" s="69" t="s">
        <v>910</v>
      </c>
      <c r="QY113" s="109">
        <f>7124+43800</f>
        <v>50924</v>
      </c>
      <c r="RA113" s="109"/>
      <c r="RS113" s="69" t="s">
        <v>910</v>
      </c>
      <c r="RT113" s="109">
        <f>41517+76107</f>
        <v>117624</v>
      </c>
      <c r="RV113" s="109"/>
      <c r="SD113" s="69" t="s">
        <v>910</v>
      </c>
      <c r="SE113" s="109">
        <f>79288+5773</f>
        <v>85061</v>
      </c>
      <c r="SG113" s="109"/>
      <c r="SO113" s="69" t="s">
        <v>910</v>
      </c>
      <c r="SP113" s="109">
        <f>235936-112350</f>
        <v>123586</v>
      </c>
      <c r="SR113" s="109"/>
      <c r="TD113" s="69" t="s">
        <v>910</v>
      </c>
      <c r="TE113" s="109">
        <f>122852-51948</f>
        <v>70904</v>
      </c>
      <c r="TG113" s="109"/>
    </row>
    <row r="114" spans="2:527" s="69" customFormat="1" x14ac:dyDescent="0.3">
      <c r="B114" s="67"/>
      <c r="C114" s="391"/>
      <c r="D114" s="391"/>
      <c r="E114" s="87"/>
      <c r="F114" s="87"/>
      <c r="G114" s="426"/>
      <c r="H114" s="426"/>
      <c r="I114" s="426"/>
      <c r="J114" s="87"/>
      <c r="K114" s="87"/>
      <c r="L114" s="426"/>
      <c r="M114" s="426"/>
      <c r="N114" s="426"/>
      <c r="O114" s="87"/>
      <c r="P114" s="87"/>
      <c r="Q114" s="426"/>
      <c r="R114" s="426"/>
      <c r="S114" s="426"/>
      <c r="T114" s="423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M114" s="109"/>
      <c r="AN114" s="109"/>
      <c r="AO114" s="109"/>
      <c r="AP114" s="109"/>
      <c r="AQ114" s="109"/>
      <c r="AX114" s="71"/>
      <c r="BC114" s="109"/>
      <c r="BD114" s="109"/>
      <c r="BE114" s="109"/>
      <c r="BF114" s="109"/>
      <c r="BG114" s="109"/>
      <c r="BH114" s="813"/>
      <c r="BI114" s="109"/>
      <c r="BJ114" s="109"/>
      <c r="BK114" s="109"/>
      <c r="BL114" s="109"/>
      <c r="BM114" s="109"/>
      <c r="BN114" s="813"/>
      <c r="BO114" s="812"/>
      <c r="BP114" s="109"/>
      <c r="BQ114" s="109"/>
      <c r="BR114" s="109"/>
      <c r="BS114" s="109"/>
      <c r="BX114" s="67"/>
      <c r="BY114" s="71"/>
      <c r="CA114" s="661"/>
      <c r="CB114" s="661"/>
      <c r="CD114" s="74"/>
      <c r="CE114" s="109"/>
      <c r="CF114" s="109"/>
      <c r="CG114" s="109"/>
      <c r="CH114" s="109"/>
      <c r="CI114" s="109"/>
      <c r="CJ114" s="74"/>
      <c r="CK114" s="71"/>
      <c r="CL114" s="661"/>
      <c r="CM114" s="661"/>
      <c r="CN114" s="661"/>
      <c r="CP114" s="74"/>
      <c r="CQ114" s="109"/>
      <c r="CR114" s="109"/>
      <c r="CS114" s="109"/>
      <c r="CT114" s="109"/>
      <c r="CU114" s="109"/>
      <c r="CV114" s="74"/>
      <c r="CW114" s="74"/>
      <c r="CX114" s="74"/>
      <c r="CY114" s="74"/>
      <c r="CZ114" s="74"/>
      <c r="DA114" s="74"/>
      <c r="DB114" s="74"/>
      <c r="DC114" s="109"/>
      <c r="DD114" s="109"/>
      <c r="DE114" s="109"/>
      <c r="DF114" s="109"/>
      <c r="DG114" s="109"/>
      <c r="DH114" s="74"/>
      <c r="DI114" s="74"/>
      <c r="DJ114" s="74"/>
      <c r="DK114" s="74"/>
      <c r="DL114" s="74"/>
      <c r="DM114" s="74"/>
      <c r="DN114" s="74"/>
      <c r="DO114" s="74"/>
      <c r="DQ114" s="109"/>
      <c r="DR114" s="109"/>
      <c r="DS114" s="74"/>
      <c r="DT114" s="74"/>
      <c r="DU114" s="74"/>
      <c r="DZ114" s="109"/>
      <c r="EA114" s="109"/>
      <c r="FJ114" s="74"/>
      <c r="FK114" s="109"/>
      <c r="FL114" s="109"/>
      <c r="FM114" s="109"/>
      <c r="FN114" s="109"/>
      <c r="FO114" s="109"/>
      <c r="FQ114" s="109"/>
      <c r="FR114" s="109"/>
      <c r="FS114" s="109"/>
      <c r="FU114" s="74"/>
      <c r="GA114" s="74"/>
      <c r="GB114" s="74"/>
      <c r="GH114" s="74"/>
      <c r="GZ114" s="708"/>
      <c r="HA114" s="708"/>
      <c r="HB114" s="708"/>
      <c r="HC114" s="708"/>
      <c r="HF114" s="109"/>
      <c r="HG114" s="109"/>
      <c r="HH114" s="109"/>
      <c r="HI114" s="109"/>
      <c r="HR114" s="109"/>
      <c r="HS114" s="109"/>
      <c r="HT114" s="109"/>
      <c r="HU114" s="109"/>
      <c r="IA114" s="74"/>
      <c r="IJ114" s="109"/>
      <c r="IK114" s="109"/>
      <c r="IL114" s="109"/>
      <c r="IM114" s="109"/>
      <c r="IN114" s="109"/>
      <c r="IU114" s="71"/>
      <c r="KM114" s="69">
        <v>-305790</v>
      </c>
      <c r="KX114" s="109">
        <v>-278939</v>
      </c>
      <c r="LE114" s="74"/>
      <c r="LF114" s="109"/>
      <c r="LG114" s="109"/>
      <c r="LH114" s="109"/>
      <c r="LI114" s="74"/>
      <c r="LJ114" s="74"/>
      <c r="LK114" s="74"/>
      <c r="LS114" s="109">
        <f>247357-25000-64312</f>
        <v>158045</v>
      </c>
      <c r="LT114" s="69" t="s">
        <v>431</v>
      </c>
      <c r="LW114" s="109"/>
      <c r="LX114" s="109"/>
      <c r="LY114" s="109"/>
      <c r="LZ114" s="109"/>
      <c r="MD114" s="109">
        <v>341459</v>
      </c>
      <c r="ME114" s="69" t="s">
        <v>432</v>
      </c>
      <c r="MO114" s="109">
        <v>142371</v>
      </c>
      <c r="MP114" s="69" t="s">
        <v>432</v>
      </c>
      <c r="MS114" s="812"/>
      <c r="MT114" s="109"/>
      <c r="MU114" s="109"/>
      <c r="MW114" s="109"/>
      <c r="MX114" s="109"/>
      <c r="MY114" s="109"/>
      <c r="MZ114" s="109"/>
      <c r="NA114" s="109"/>
      <c r="NJ114" s="109">
        <v>69000</v>
      </c>
      <c r="NK114" s="69" t="s">
        <v>430</v>
      </c>
      <c r="NU114" s="109">
        <v>410791</v>
      </c>
      <c r="NV114" s="69" t="s">
        <v>430</v>
      </c>
      <c r="OF114" s="109">
        <v>0</v>
      </c>
      <c r="OG114" s="69" t="s">
        <v>430</v>
      </c>
      <c r="OQ114" s="69" t="s">
        <v>912</v>
      </c>
      <c r="OR114" s="109">
        <v>630209</v>
      </c>
      <c r="OS114" s="816"/>
      <c r="OV114" s="71"/>
      <c r="PA114" s="71"/>
      <c r="PB114" s="69" t="s">
        <v>912</v>
      </c>
      <c r="PC114" s="109">
        <v>0</v>
      </c>
      <c r="PD114" s="816"/>
      <c r="PG114" s="71"/>
      <c r="PM114" s="69" t="s">
        <v>912</v>
      </c>
      <c r="PN114" s="109">
        <v>102194</v>
      </c>
      <c r="PO114" s="816"/>
      <c r="QB114" s="69" t="s">
        <v>912</v>
      </c>
      <c r="QC114" s="109">
        <f>116231+46000+15000+1120</f>
        <v>178351</v>
      </c>
      <c r="QD114" s="816"/>
      <c r="QM114" s="69" t="s">
        <v>912</v>
      </c>
      <c r="QN114" s="109">
        <v>0</v>
      </c>
      <c r="QO114" s="816"/>
      <c r="QX114" s="69" t="s">
        <v>912</v>
      </c>
      <c r="QY114" s="109">
        <v>0</v>
      </c>
      <c r="QZ114" s="816"/>
      <c r="RS114" s="69" t="s">
        <v>912</v>
      </c>
      <c r="RT114" s="109"/>
      <c r="RU114" s="816"/>
      <c r="SD114" s="69" t="s">
        <v>912</v>
      </c>
      <c r="SE114" s="109">
        <v>0</v>
      </c>
      <c r="SF114" s="816"/>
      <c r="SO114" s="69" t="s">
        <v>912</v>
      </c>
      <c r="SP114" s="109">
        <v>0</v>
      </c>
      <c r="SQ114" s="816"/>
      <c r="TD114" s="69" t="s">
        <v>912</v>
      </c>
      <c r="TE114" s="109">
        <v>0</v>
      </c>
      <c r="TF114" s="816"/>
    </row>
    <row r="115" spans="2:527" s="69" customFormat="1" x14ac:dyDescent="0.3">
      <c r="B115" s="67"/>
      <c r="C115" s="391"/>
      <c r="D115" s="391"/>
      <c r="E115" s="87"/>
      <c r="F115" s="87"/>
      <c r="G115" s="426"/>
      <c r="H115" s="426"/>
      <c r="I115" s="426"/>
      <c r="J115" s="87"/>
      <c r="K115" s="87"/>
      <c r="L115" s="426"/>
      <c r="M115" s="426"/>
      <c r="N115" s="426"/>
      <c r="O115" s="87"/>
      <c r="P115" s="87"/>
      <c r="Q115" s="426"/>
      <c r="R115" s="426"/>
      <c r="S115" s="426"/>
      <c r="T115" s="423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M115" s="109"/>
      <c r="AN115" s="109"/>
      <c r="AO115" s="109"/>
      <c r="AP115" s="109"/>
      <c r="AQ115" s="109"/>
      <c r="AX115" s="71"/>
      <c r="BC115" s="109"/>
      <c r="BD115" s="109"/>
      <c r="BE115" s="109"/>
      <c r="BF115" s="109"/>
      <c r="BG115" s="109"/>
      <c r="BH115" s="813"/>
      <c r="BI115" s="109"/>
      <c r="BJ115" s="109"/>
      <c r="BK115" s="109"/>
      <c r="BL115" s="109"/>
      <c r="BM115" s="109"/>
      <c r="BN115" s="813"/>
      <c r="BO115" s="812"/>
      <c r="BP115" s="109"/>
      <c r="BQ115" s="109"/>
      <c r="BR115" s="109"/>
      <c r="BS115" s="109"/>
      <c r="BX115" s="67"/>
      <c r="BY115" s="71"/>
      <c r="CA115" s="661"/>
      <c r="CB115" s="661"/>
      <c r="CD115" s="74"/>
      <c r="CE115" s="109"/>
      <c r="CF115" s="109"/>
      <c r="CG115" s="109"/>
      <c r="CH115" s="109"/>
      <c r="CI115" s="109"/>
      <c r="CJ115" s="74"/>
      <c r="CK115" s="71"/>
      <c r="CL115" s="661"/>
      <c r="CM115" s="661"/>
      <c r="CN115" s="661"/>
      <c r="CP115" s="74"/>
      <c r="CQ115" s="109"/>
      <c r="CR115" s="109"/>
      <c r="CS115" s="109"/>
      <c r="CT115" s="109"/>
      <c r="CU115" s="109"/>
      <c r="CV115" s="74"/>
      <c r="CW115" s="74"/>
      <c r="CX115" s="74"/>
      <c r="CY115" s="74"/>
      <c r="CZ115" s="74"/>
      <c r="DA115" s="74"/>
      <c r="DB115" s="74"/>
      <c r="DC115" s="109"/>
      <c r="DD115" s="109"/>
      <c r="DE115" s="109"/>
      <c r="DF115" s="109"/>
      <c r="DG115" s="109"/>
      <c r="DH115" s="74"/>
      <c r="DI115" s="74"/>
      <c r="DJ115" s="74"/>
      <c r="DK115" s="74"/>
      <c r="DL115" s="74"/>
      <c r="DM115" s="74"/>
      <c r="DN115" s="74"/>
      <c r="DO115" s="74"/>
      <c r="DQ115" s="109"/>
      <c r="DR115" s="109"/>
      <c r="DS115" s="74"/>
      <c r="DT115" s="74"/>
      <c r="DU115" s="74"/>
      <c r="DZ115" s="109"/>
      <c r="EA115" s="109"/>
      <c r="FJ115" s="74"/>
      <c r="FK115" s="109"/>
      <c r="FL115" s="109"/>
      <c r="FM115" s="109"/>
      <c r="FN115" s="109"/>
      <c r="FO115" s="109"/>
      <c r="FQ115" s="109"/>
      <c r="FR115" s="109"/>
      <c r="FS115" s="109"/>
      <c r="FU115" s="74"/>
      <c r="GA115" s="74"/>
      <c r="GB115" s="74"/>
      <c r="GH115" s="74"/>
      <c r="GZ115" s="708"/>
      <c r="HA115" s="708"/>
      <c r="HB115" s="708"/>
      <c r="HC115" s="708"/>
      <c r="HF115" s="109"/>
      <c r="HG115" s="109"/>
      <c r="HH115" s="109"/>
      <c r="HI115" s="109"/>
      <c r="HR115" s="109"/>
      <c r="HS115" s="109"/>
      <c r="HT115" s="109"/>
      <c r="HU115" s="109"/>
      <c r="IA115" s="74"/>
      <c r="IJ115" s="109"/>
      <c r="IK115" s="109"/>
      <c r="IL115" s="109"/>
      <c r="IM115" s="109"/>
      <c r="IN115" s="109"/>
      <c r="IU115" s="71"/>
      <c r="LE115" s="74"/>
      <c r="LF115" s="109"/>
      <c r="LG115" s="109"/>
      <c r="LH115" s="109"/>
      <c r="LI115" s="74"/>
      <c r="LJ115" s="74"/>
      <c r="LK115" s="74"/>
      <c r="LS115" s="109">
        <v>391374</v>
      </c>
      <c r="LT115" s="69" t="s">
        <v>234</v>
      </c>
      <c r="LW115" s="109"/>
      <c r="LX115" s="109"/>
      <c r="LY115" s="109"/>
      <c r="LZ115" s="109"/>
      <c r="MD115" s="109">
        <v>391374</v>
      </c>
      <c r="ME115" s="69" t="s">
        <v>234</v>
      </c>
      <c r="MO115" s="109">
        <v>391374</v>
      </c>
      <c r="MP115" s="69" t="s">
        <v>234</v>
      </c>
      <c r="MS115" s="812"/>
      <c r="MT115" s="109"/>
      <c r="MU115" s="109"/>
      <c r="MW115" s="109"/>
      <c r="MX115" s="109"/>
      <c r="MY115" s="109"/>
      <c r="MZ115" s="109"/>
      <c r="NA115" s="109"/>
      <c r="NJ115" s="109">
        <v>108703</v>
      </c>
      <c r="NK115" s="69" t="s">
        <v>432</v>
      </c>
      <c r="NU115" s="109">
        <v>317761</v>
      </c>
      <c r="NV115" s="69" t="s">
        <v>432</v>
      </c>
      <c r="OF115" s="109">
        <v>0</v>
      </c>
      <c r="OG115" s="69" t="s">
        <v>432</v>
      </c>
      <c r="OR115" s="109"/>
      <c r="OV115" s="71"/>
      <c r="PA115" s="71"/>
      <c r="PB115" s="69" t="s">
        <v>958</v>
      </c>
      <c r="PC115" s="109">
        <v>500000</v>
      </c>
      <c r="PG115" s="71"/>
      <c r="PM115" s="69" t="s">
        <v>958</v>
      </c>
      <c r="PN115" s="4193">
        <v>500000</v>
      </c>
      <c r="QB115" s="69" t="s">
        <v>958</v>
      </c>
      <c r="QC115" s="4193">
        <v>500000</v>
      </c>
      <c r="QM115" s="69" t="s">
        <v>958</v>
      </c>
      <c r="QN115" s="4193">
        <f>888486</f>
        <v>888486</v>
      </c>
      <c r="QX115" s="69" t="s">
        <v>958</v>
      </c>
      <c r="QY115" s="4193">
        <v>200000</v>
      </c>
      <c r="RS115" s="69" t="s">
        <v>958</v>
      </c>
      <c r="RT115" s="4193">
        <v>200000</v>
      </c>
      <c r="SD115" s="69" t="s">
        <v>958</v>
      </c>
      <c r="SE115" s="4193">
        <v>200000</v>
      </c>
      <c r="SO115" s="69" t="s">
        <v>958</v>
      </c>
      <c r="SP115" s="4193">
        <v>200000</v>
      </c>
      <c r="TD115" s="69" t="s">
        <v>958</v>
      </c>
      <c r="TE115" s="4193">
        <v>200000</v>
      </c>
    </row>
    <row r="116" spans="2:527" x14ac:dyDescent="0.3">
      <c r="LS116" s="125">
        <v>49687</v>
      </c>
      <c r="LT116" s="63" t="s">
        <v>433</v>
      </c>
      <c r="MD116" s="125">
        <v>0</v>
      </c>
      <c r="ME116" s="63" t="s">
        <v>433</v>
      </c>
      <c r="MO116" s="125">
        <v>0</v>
      </c>
      <c r="MP116" s="63" t="s">
        <v>433</v>
      </c>
      <c r="NI116" s="69"/>
      <c r="NJ116" s="109">
        <v>391374</v>
      </c>
      <c r="NK116" s="69" t="s">
        <v>234</v>
      </c>
      <c r="NL116" s="69"/>
      <c r="NT116" s="69"/>
      <c r="NU116" s="109">
        <v>391374</v>
      </c>
      <c r="NV116" s="69" t="s">
        <v>234</v>
      </c>
      <c r="NW116" s="69"/>
      <c r="OE116" s="69"/>
      <c r="OF116" s="109">
        <v>391374</v>
      </c>
      <c r="OG116" s="69" t="s">
        <v>234</v>
      </c>
      <c r="OH116" s="69"/>
      <c r="OQ116" s="65" t="s">
        <v>911</v>
      </c>
      <c r="OR116" s="102">
        <f>73952+128167</f>
        <v>202119</v>
      </c>
      <c r="QM116" s="63" t="s">
        <v>995</v>
      </c>
      <c r="QN116" s="125">
        <v>193670</v>
      </c>
      <c r="QX116" s="63" t="s">
        <v>995</v>
      </c>
      <c r="QY116" s="125">
        <v>39998</v>
      </c>
      <c r="RS116" s="63" t="s">
        <v>995</v>
      </c>
      <c r="RT116" s="125">
        <v>79953</v>
      </c>
      <c r="SD116" s="63" t="s">
        <v>995</v>
      </c>
      <c r="SE116" s="125">
        <v>79953</v>
      </c>
      <c r="SO116" s="63" t="s">
        <v>995</v>
      </c>
      <c r="SP116" s="125">
        <v>79953</v>
      </c>
      <c r="TD116" s="63" t="s">
        <v>995</v>
      </c>
      <c r="TE116" s="125">
        <v>88025</v>
      </c>
    </row>
    <row r="117" spans="2:527" x14ac:dyDescent="0.3">
      <c r="LS117" s="125">
        <v>37890</v>
      </c>
      <c r="LT117" s="63" t="s">
        <v>434</v>
      </c>
      <c r="MD117" s="125">
        <v>0</v>
      </c>
      <c r="ME117" s="63" t="s">
        <v>434</v>
      </c>
      <c r="MO117" s="125">
        <v>317408</v>
      </c>
      <c r="MP117" s="63" t="s">
        <v>601</v>
      </c>
      <c r="NJ117" s="109">
        <v>0</v>
      </c>
      <c r="NK117" s="63" t="s">
        <v>433</v>
      </c>
      <c r="NU117" s="109">
        <v>407850</v>
      </c>
      <c r="NV117" s="63" t="s">
        <v>638</v>
      </c>
      <c r="OF117" s="109">
        <v>-282768</v>
      </c>
      <c r="OG117" s="63" t="s">
        <v>638</v>
      </c>
      <c r="PM117" s="63" t="s">
        <v>438</v>
      </c>
      <c r="QB117" s="63" t="s">
        <v>438</v>
      </c>
      <c r="QX117" s="63" t="s">
        <v>999</v>
      </c>
      <c r="QY117" s="63">
        <f>85000+18000+9000+2500</f>
        <v>114500</v>
      </c>
      <c r="RS117" s="63" t="s">
        <v>999</v>
      </c>
      <c r="SD117" s="63" t="s">
        <v>999</v>
      </c>
      <c r="SE117" s="63">
        <v>0</v>
      </c>
      <c r="SO117" s="63" t="s">
        <v>999</v>
      </c>
      <c r="SP117" s="125">
        <v>18000</v>
      </c>
      <c r="TD117" s="63" t="s">
        <v>1077</v>
      </c>
      <c r="TE117" s="125">
        <f>13000+18000+15000</f>
        <v>46000</v>
      </c>
    </row>
    <row r="118" spans="2:527" x14ac:dyDescent="0.3">
      <c r="LS118" s="125">
        <v>13500</v>
      </c>
      <c r="LT118" s="63" t="s">
        <v>435</v>
      </c>
      <c r="MD118" s="125">
        <v>13500</v>
      </c>
      <c r="ME118" s="63" t="s">
        <v>435</v>
      </c>
      <c r="MO118" s="125">
        <v>13500</v>
      </c>
      <c r="MP118" s="63" t="s">
        <v>435</v>
      </c>
      <c r="NJ118" s="109">
        <v>361224</v>
      </c>
      <c r="NK118" s="63" t="s">
        <v>601</v>
      </c>
      <c r="NU118" s="109">
        <v>66824</v>
      </c>
      <c r="NV118" s="63" t="s">
        <v>601</v>
      </c>
      <c r="OF118" s="109">
        <v>0</v>
      </c>
      <c r="OG118" s="63" t="s">
        <v>601</v>
      </c>
      <c r="SO118" s="63" t="s">
        <v>1052</v>
      </c>
      <c r="SP118" s="125">
        <v>249639</v>
      </c>
      <c r="TD118" s="63" t="s">
        <v>1052</v>
      </c>
      <c r="TE118" s="125">
        <v>0</v>
      </c>
    </row>
    <row r="119" spans="2:527" x14ac:dyDescent="0.3">
      <c r="LS119" s="125">
        <v>83466</v>
      </c>
      <c r="LT119" s="63" t="s">
        <v>436</v>
      </c>
      <c r="MD119" s="125">
        <v>0</v>
      </c>
      <c r="ME119" s="63" t="s">
        <v>436</v>
      </c>
      <c r="MO119" s="125">
        <v>0</v>
      </c>
      <c r="MP119" s="63" t="s">
        <v>436</v>
      </c>
      <c r="NJ119" s="109">
        <v>13500</v>
      </c>
      <c r="NK119" s="63" t="s">
        <v>435</v>
      </c>
      <c r="NU119" s="109">
        <v>13500</v>
      </c>
      <c r="NV119" s="63" t="s">
        <v>435</v>
      </c>
      <c r="OF119" s="109">
        <v>0</v>
      </c>
      <c r="OG119" s="63" t="s">
        <v>435</v>
      </c>
    </row>
    <row r="120" spans="2:527" x14ac:dyDescent="0.3">
      <c r="LS120" s="125">
        <f>LS132+LS133</f>
        <v>348000</v>
      </c>
      <c r="LT120" s="63" t="s">
        <v>437</v>
      </c>
      <c r="MD120" s="125">
        <f>MD132+MD133</f>
        <v>221920</v>
      </c>
      <c r="ME120" s="63" t="s">
        <v>437</v>
      </c>
      <c r="MO120" s="125">
        <v>0</v>
      </c>
      <c r="MP120" s="63" t="s">
        <v>437</v>
      </c>
      <c r="NJ120" s="109">
        <v>0</v>
      </c>
      <c r="NK120" s="63" t="s">
        <v>436</v>
      </c>
      <c r="NU120" s="109">
        <v>0</v>
      </c>
      <c r="NV120" s="63" t="s">
        <v>436</v>
      </c>
      <c r="OF120" s="109">
        <v>0</v>
      </c>
      <c r="OG120" s="63" t="s">
        <v>436</v>
      </c>
    </row>
    <row r="121" spans="2:527" x14ac:dyDescent="0.3">
      <c r="LS121" s="125"/>
      <c r="MD121" s="125"/>
      <c r="MO121" s="125"/>
      <c r="NH121" s="428">
        <f>SUM(NH122:NH125)</f>
        <v>469162</v>
      </c>
      <c r="NJ121" s="109">
        <v>0</v>
      </c>
      <c r="NK121" s="63" t="s">
        <v>437</v>
      </c>
      <c r="NS121" s="428">
        <f>SUM(NS122:NS126)</f>
        <v>412400</v>
      </c>
      <c r="NU121" s="109">
        <v>0</v>
      </c>
      <c r="NV121" s="63" t="s">
        <v>437</v>
      </c>
      <c r="OD121" s="428"/>
      <c r="OF121" s="823">
        <v>5100000</v>
      </c>
      <c r="OG121" s="63" t="s">
        <v>651</v>
      </c>
    </row>
    <row r="122" spans="2:527" x14ac:dyDescent="0.3">
      <c r="LS122" s="835">
        <v>972800</v>
      </c>
      <c r="LT122" s="63" t="s">
        <v>438</v>
      </c>
      <c r="MD122" s="835">
        <v>0</v>
      </c>
      <c r="ME122" s="63" t="s">
        <v>438</v>
      </c>
      <c r="MO122" s="835">
        <v>0</v>
      </c>
      <c r="MP122" s="63" t="s">
        <v>438</v>
      </c>
      <c r="NH122" s="125">
        <f>SUM(NI122:NJ122)</f>
        <v>229400</v>
      </c>
      <c r="NI122" s="63">
        <v>29400</v>
      </c>
      <c r="NJ122" s="63">
        <v>200000</v>
      </c>
      <c r="NK122" s="63" t="s">
        <v>606</v>
      </c>
      <c r="NS122" s="125">
        <v>212500</v>
      </c>
      <c r="NT122" s="63">
        <v>29400</v>
      </c>
      <c r="NU122" s="63">
        <v>200000</v>
      </c>
      <c r="NV122" s="63" t="s">
        <v>606</v>
      </c>
      <c r="OD122" s="125"/>
      <c r="OF122" s="823">
        <f>1200000*80%</f>
        <v>960000</v>
      </c>
      <c r="OG122" s="63" t="s">
        <v>236</v>
      </c>
    </row>
    <row r="123" spans="2:527" x14ac:dyDescent="0.3">
      <c r="LS123" s="836">
        <f>310000+30000</f>
        <v>340000</v>
      </c>
      <c r="LT123" s="63" t="s">
        <v>439</v>
      </c>
      <c r="MD123" s="836">
        <f>136000+80000</f>
        <v>216000</v>
      </c>
      <c r="ME123" s="63" t="s">
        <v>439</v>
      </c>
      <c r="MO123" s="836">
        <v>0</v>
      </c>
      <c r="MP123" s="63" t="s">
        <v>439</v>
      </c>
      <c r="NH123" s="125">
        <f>SUM(NI123:NJ123)</f>
        <v>131100</v>
      </c>
      <c r="NI123" s="63">
        <v>22200</v>
      </c>
      <c r="NJ123" s="63">
        <v>108900</v>
      </c>
      <c r="NK123" s="63" t="s">
        <v>607</v>
      </c>
      <c r="NS123" s="125">
        <v>34000</v>
      </c>
      <c r="NT123" s="63">
        <v>22200</v>
      </c>
      <c r="NU123" s="63">
        <v>108900</v>
      </c>
      <c r="NV123" s="63" t="s">
        <v>607</v>
      </c>
      <c r="OD123" s="125"/>
      <c r="OF123" s="823">
        <v>5520000</v>
      </c>
      <c r="OG123" s="63" t="s">
        <v>652</v>
      </c>
    </row>
    <row r="124" spans="2:527" x14ac:dyDescent="0.3">
      <c r="LS124" s="836">
        <v>27500</v>
      </c>
      <c r="LT124" s="63" t="s">
        <v>440</v>
      </c>
      <c r="MD124" s="836"/>
      <c r="ME124" s="63" t="s">
        <v>440</v>
      </c>
      <c r="MO124" s="836"/>
      <c r="MP124" s="63" t="s">
        <v>440</v>
      </c>
      <c r="NH124" s="125">
        <f>SUM(NI124:NJ124)</f>
        <v>80800</v>
      </c>
      <c r="NI124" s="63">
        <v>18000</v>
      </c>
      <c r="NJ124" s="63">
        <v>62800</v>
      </c>
      <c r="NK124" s="63" t="s">
        <v>444</v>
      </c>
      <c r="NS124" s="125">
        <v>112900</v>
      </c>
      <c r="NT124" s="63">
        <v>18000</v>
      </c>
      <c r="NU124" s="63">
        <v>62800</v>
      </c>
      <c r="NV124" s="63" t="s">
        <v>444</v>
      </c>
      <c r="OD124" s="125"/>
      <c r="OF124" s="69"/>
    </row>
    <row r="125" spans="2:527" x14ac:dyDescent="0.3">
      <c r="LS125" s="836">
        <v>15000</v>
      </c>
      <c r="LT125" s="63" t="s">
        <v>54</v>
      </c>
      <c r="MD125" s="836"/>
      <c r="ME125" s="63" t="s">
        <v>54</v>
      </c>
      <c r="MO125" s="836"/>
      <c r="MP125" s="63" t="s">
        <v>54</v>
      </c>
      <c r="NH125" s="125">
        <f>SUM(NI125:NJ125)</f>
        <v>27862</v>
      </c>
      <c r="NI125" s="1502">
        <v>0</v>
      </c>
      <c r="NJ125" s="63">
        <v>27862</v>
      </c>
      <c r="NK125" s="63" t="s">
        <v>608</v>
      </c>
      <c r="NS125" s="125">
        <v>28000</v>
      </c>
      <c r="NT125" s="1502">
        <v>0</v>
      </c>
      <c r="NU125" s="63">
        <v>27862</v>
      </c>
      <c r="NV125" s="63" t="s">
        <v>608</v>
      </c>
      <c r="OD125" s="125"/>
      <c r="OE125" s="1502"/>
    </row>
    <row r="126" spans="2:527" x14ac:dyDescent="0.3">
      <c r="LS126" s="836">
        <v>40000</v>
      </c>
      <c r="LT126" s="63" t="s">
        <v>119</v>
      </c>
      <c r="MD126" s="836"/>
      <c r="ME126" s="63" t="s">
        <v>119</v>
      </c>
      <c r="MO126" s="836"/>
      <c r="MP126" s="63" t="s">
        <v>119</v>
      </c>
      <c r="NS126" s="125">
        <v>25000</v>
      </c>
      <c r="NV126" s="63" t="s">
        <v>637</v>
      </c>
      <c r="OD126" s="125"/>
    </row>
    <row r="127" spans="2:527" x14ac:dyDescent="0.3">
      <c r="LS127" s="836">
        <f>5000+48000</f>
        <v>53000</v>
      </c>
      <c r="LT127" s="63" t="s">
        <v>441</v>
      </c>
      <c r="MD127" s="836">
        <v>60000</v>
      </c>
      <c r="ME127" s="63" t="s">
        <v>441</v>
      </c>
      <c r="MO127" s="836">
        <v>0</v>
      </c>
      <c r="MP127" s="63" t="s">
        <v>441</v>
      </c>
    </row>
    <row r="128" spans="2:527" x14ac:dyDescent="0.3">
      <c r="LS128" s="836">
        <f>28300+1500</f>
        <v>29800</v>
      </c>
      <c r="LT128" s="63" t="s">
        <v>442</v>
      </c>
      <c r="MD128" s="836">
        <f>37500+12000+19725</f>
        <v>69225</v>
      </c>
      <c r="ME128" s="63" t="s">
        <v>442</v>
      </c>
      <c r="MO128" s="836">
        <v>0</v>
      </c>
      <c r="MP128" s="63" t="s">
        <v>442</v>
      </c>
    </row>
    <row r="129" spans="331:354" x14ac:dyDescent="0.3">
      <c r="LS129" s="836">
        <v>14000</v>
      </c>
      <c r="LT129" s="63" t="s">
        <v>443</v>
      </c>
      <c r="MD129" s="836">
        <v>156500</v>
      </c>
      <c r="ME129" s="63" t="s">
        <v>444</v>
      </c>
      <c r="MO129" s="836">
        <v>0</v>
      </c>
      <c r="MP129" s="63" t="s">
        <v>444</v>
      </c>
    </row>
    <row r="130" spans="331:354" x14ac:dyDescent="0.3">
      <c r="LS130" s="836">
        <v>87500</v>
      </c>
      <c r="LT130" s="63" t="s">
        <v>12</v>
      </c>
      <c r="MD130" s="836"/>
      <c r="ME130" s="63" t="s">
        <v>12</v>
      </c>
      <c r="MO130" s="836"/>
      <c r="MP130" s="63" t="s">
        <v>12</v>
      </c>
    </row>
    <row r="131" spans="331:354" x14ac:dyDescent="0.3">
      <c r="LS131" s="836">
        <f>12000+6000</f>
        <v>18000</v>
      </c>
      <c r="LT131" s="63" t="s">
        <v>445</v>
      </c>
      <c r="MD131" s="836"/>
      <c r="ME131" s="63" t="s">
        <v>445</v>
      </c>
      <c r="MO131" s="836"/>
      <c r="MP131" s="63" t="s">
        <v>445</v>
      </c>
    </row>
    <row r="132" spans="331:354" x14ac:dyDescent="0.3">
      <c r="LS132" s="125">
        <v>218000</v>
      </c>
      <c r="LT132" s="63" t="s">
        <v>446</v>
      </c>
      <c r="MD132" s="125">
        <v>136400</v>
      </c>
      <c r="ME132" s="63" t="s">
        <v>446</v>
      </c>
      <c r="MO132" s="125">
        <v>0</v>
      </c>
      <c r="MP132" s="63" t="s">
        <v>446</v>
      </c>
    </row>
    <row r="133" spans="331:354" x14ac:dyDescent="0.3">
      <c r="LS133" s="125">
        <f>50000+50000+30000</f>
        <v>130000</v>
      </c>
      <c r="LT133" s="63" t="s">
        <v>447</v>
      </c>
      <c r="MD133" s="125">
        <f>58000+27520</f>
        <v>85520</v>
      </c>
      <c r="ME133" s="63" t="s">
        <v>447</v>
      </c>
      <c r="MO133" s="125">
        <v>0</v>
      </c>
      <c r="MP133" s="63" t="s">
        <v>447</v>
      </c>
    </row>
    <row r="134" spans="331:354" x14ac:dyDescent="0.3">
      <c r="LS134" s="125"/>
    </row>
    <row r="135" spans="331:354" x14ac:dyDescent="0.3">
      <c r="LS135" s="125"/>
    </row>
  </sheetData>
  <mergeCells count="37">
    <mergeCell ref="OQ3:PA3"/>
    <mergeCell ref="PB3:PL3"/>
    <mergeCell ref="TO3:TY3"/>
    <mergeCell ref="TZ3:UJ3"/>
    <mergeCell ref="PX3:QA3"/>
    <mergeCell ref="QB3:QG3"/>
    <mergeCell ref="QM3:QR3"/>
    <mergeCell ref="QX3:RC3"/>
    <mergeCell ref="RI3:RL3"/>
    <mergeCell ref="PM3:PW3"/>
    <mergeCell ref="UK3:UP3"/>
    <mergeCell ref="RM3:RR3"/>
    <mergeCell ref="RS3:RX3"/>
    <mergeCell ref="SZ3:TC3"/>
    <mergeCell ref="TD3:TN3"/>
    <mergeCell ref="SO3:SY3"/>
    <mergeCell ref="OJ3:OO3"/>
    <mergeCell ref="AX3:BB3"/>
    <mergeCell ref="JQ3:JT3"/>
    <mergeCell ref="JU3:JZ3"/>
    <mergeCell ref="KF3:KK3"/>
    <mergeCell ref="KQ3:KV3"/>
    <mergeCell ref="FV3:GD3"/>
    <mergeCell ref="GJ3:GM3"/>
    <mergeCell ref="FC3:FJ3"/>
    <mergeCell ref="DW3:ED3"/>
    <mergeCell ref="DO3:DV3"/>
    <mergeCell ref="BC3:BH3"/>
    <mergeCell ref="ID3:IH3"/>
    <mergeCell ref="MS3:MV3"/>
    <mergeCell ref="LF3:LK3"/>
    <mergeCell ref="LL3:LQ3"/>
    <mergeCell ref="LB3:LE3"/>
    <mergeCell ref="NY3:OI3"/>
    <mergeCell ref="NN3:NX3"/>
    <mergeCell ref="NC3:NM3"/>
    <mergeCell ref="MW3:NB3"/>
  </mergeCells>
  <pageMargins left="0.7" right="0.7" top="0.75" bottom="0.75" header="0.3" footer="0.3"/>
  <pageSetup orientation="portrait" verticalDpi="0" r:id="rId1"/>
  <ignoredErrors>
    <ignoredError sqref="MQ75 MQ44 QK42 RG38:RG43 SB74 RG71 SB71:SB72 SM37 SM38:SM43 TM31:TM43 TM71:TM75" formulaRange="1"/>
    <ignoredError sqref="QK40" formula="1"/>
    <ignoredError sqref="QK41" formula="1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Q301"/>
  <sheetViews>
    <sheetView zoomScale="90" zoomScaleNormal="90" workbookViewId="0">
      <pane xSplit="7" ySplit="4" topLeftCell="TZ164" activePane="bottomRight" state="frozen"/>
      <selection pane="topRight" activeCell="H1" sqref="H1"/>
      <selection pane="bottomLeft" activeCell="A5" sqref="A5"/>
      <selection pane="bottomRight" activeCell="UC1" sqref="UC1"/>
    </sheetView>
  </sheetViews>
  <sheetFormatPr defaultColWidth="9.09765625" defaultRowHeight="14" x14ac:dyDescent="0.3"/>
  <cols>
    <col min="1" max="1" width="1.19921875" style="62" customWidth="1"/>
    <col min="2" max="2" width="12.69921875" style="62" customWidth="1"/>
    <col min="3" max="3" width="27.19921875" style="1689" customWidth="1"/>
    <col min="4" max="4" width="14.19921875" style="62" customWidth="1"/>
    <col min="5" max="6" width="10.3984375" style="385" bestFit="1" customWidth="1"/>
    <col min="7" max="7" width="15.09765625" style="1295" bestFit="1" customWidth="1"/>
    <col min="8" max="8" width="4.796875" style="1295" hidden="1" customWidth="1"/>
    <col min="9" max="9" width="11.796875" style="63" hidden="1" customWidth="1"/>
    <col min="10" max="10" width="10.59765625" style="63" hidden="1" customWidth="1"/>
    <col min="11" max="11" width="11.3984375" style="63" hidden="1" customWidth="1"/>
    <col min="12" max="12" width="7" style="1294" hidden="1" customWidth="1"/>
    <col min="13" max="13" width="4.296875" style="425" hidden="1" customWidth="1"/>
    <col min="14" max="14" width="11.796875" style="65" hidden="1" customWidth="1"/>
    <col min="15" max="15" width="10.59765625" style="65" hidden="1" customWidth="1"/>
    <col min="16" max="16" width="11.3984375" style="65" hidden="1" customWidth="1"/>
    <col min="17" max="17" width="7.09765625" style="425" hidden="1" customWidth="1"/>
    <col min="18" max="18" width="4.296875" style="425" hidden="1" customWidth="1"/>
    <col min="19" max="19" width="9.69921875" style="63" hidden="1" customWidth="1"/>
    <col min="20" max="20" width="10.59765625" style="63" hidden="1" customWidth="1"/>
    <col min="21" max="21" width="11.3984375" style="63" hidden="1" customWidth="1"/>
    <col min="22" max="22" width="4.296875" style="63" hidden="1" customWidth="1"/>
    <col min="23" max="23" width="4.19921875" style="62" hidden="1" customWidth="1"/>
    <col min="24" max="25" width="10.796875" style="63" hidden="1" customWidth="1"/>
    <col min="26" max="26" width="11.3984375" style="63" hidden="1" customWidth="1"/>
    <col min="27" max="27" width="4.296875" style="1294" hidden="1" customWidth="1"/>
    <col min="28" max="28" width="4.19921875" style="1294" hidden="1" customWidth="1"/>
    <col min="29" max="30" width="10.796875" style="63" hidden="1" customWidth="1"/>
    <col min="31" max="31" width="11.3984375" style="63" hidden="1" customWidth="1"/>
    <col min="32" max="32" width="7" style="62" hidden="1" customWidth="1"/>
    <col min="33" max="33" width="5.296875" style="1679" hidden="1" customWidth="1"/>
    <col min="34" max="35" width="10.796875" style="1679" hidden="1" customWidth="1"/>
    <col min="36" max="36" width="11.3984375" style="1679" hidden="1" customWidth="1"/>
    <col min="37" max="37" width="4.296875" style="1679" hidden="1" customWidth="1"/>
    <col min="38" max="38" width="5.296875" style="65" hidden="1" customWidth="1"/>
    <col min="39" max="40" width="10.796875" style="65" hidden="1" customWidth="1"/>
    <col min="41" max="41" width="11.3984375" style="65" hidden="1" customWidth="1"/>
    <col min="42" max="42" width="4.296875" style="65" hidden="1" customWidth="1"/>
    <col min="43" max="43" width="5.296875" style="63" hidden="1" customWidth="1"/>
    <col min="44" max="45" width="10.796875" style="63" hidden="1" customWidth="1"/>
    <col min="46" max="46" width="11.3984375" style="63" hidden="1" customWidth="1"/>
    <col min="47" max="47" width="4.296875" style="63" hidden="1" customWidth="1"/>
    <col min="48" max="48" width="5.296875" style="65" hidden="1" customWidth="1"/>
    <col min="49" max="49" width="10.796875" style="1193" hidden="1" customWidth="1"/>
    <col min="50" max="50" width="11.5" style="1193" hidden="1" customWidth="1"/>
    <col min="51" max="51" width="15.5" style="1301" hidden="1" customWidth="1"/>
    <col min="52" max="52" width="7" style="65" hidden="1" customWidth="1"/>
    <col min="53" max="53" width="8.09765625" style="65" hidden="1" customWidth="1"/>
    <col min="54" max="54" width="10.796875" style="1221" hidden="1" customWidth="1"/>
    <col min="55" max="55" width="11.5" style="1221" hidden="1" customWidth="1"/>
    <col min="56" max="56" width="12.296875" style="1221" hidden="1" customWidth="1"/>
    <col min="57" max="57" width="7.296875" style="63" hidden="1" customWidth="1"/>
    <col min="58" max="58" width="8.09765625" style="1679" hidden="1" customWidth="1"/>
    <col min="59" max="59" width="10.796875" style="1680" hidden="1" customWidth="1"/>
    <col min="60" max="60" width="11.5" style="1679" hidden="1" customWidth="1"/>
    <col min="61" max="61" width="12.296875" style="1679" hidden="1" customWidth="1"/>
    <col min="62" max="62" width="7.296875" style="1679" hidden="1" customWidth="1"/>
    <col min="63" max="63" width="8.09765625" style="65" hidden="1" customWidth="1"/>
    <col min="64" max="64" width="12.69921875" style="1193" hidden="1" customWidth="1"/>
    <col min="65" max="65" width="11.5" style="65" hidden="1" customWidth="1"/>
    <col min="66" max="66" width="12.296875" style="65" hidden="1" customWidth="1"/>
    <col min="67" max="67" width="7.296875" style="65" hidden="1" customWidth="1"/>
    <col min="68" max="68" width="8.09765625" style="66" hidden="1" customWidth="1"/>
    <col min="69" max="70" width="11.796875" style="63" hidden="1" customWidth="1"/>
    <col min="71" max="71" width="12.296875" style="63" hidden="1" customWidth="1"/>
    <col min="72" max="72" width="8.09765625" style="63" hidden="1" customWidth="1"/>
    <col min="73" max="73" width="12.8984375" style="63" hidden="1" customWidth="1"/>
    <col min="74" max="74" width="9.69921875" style="63" hidden="1" customWidth="1"/>
    <col min="75" max="75" width="4.296875" style="68" hidden="1" customWidth="1"/>
    <col min="76" max="76" width="4.796875" style="63" hidden="1" customWidth="1"/>
    <col min="77" max="77" width="10.69921875" style="63" hidden="1" customWidth="1"/>
    <col min="78" max="78" width="9.69921875" style="63" hidden="1" customWidth="1"/>
    <col min="79" max="79" width="2.796875" style="63" hidden="1" customWidth="1"/>
    <col min="80" max="80" width="4.796875" style="63" hidden="1" customWidth="1"/>
    <col min="81" max="81" width="10.69921875" style="63" hidden="1" customWidth="1"/>
    <col min="82" max="82" width="9.69921875" style="63" hidden="1" customWidth="1"/>
    <col min="83" max="83" width="2.296875" style="63" hidden="1" customWidth="1"/>
    <col min="84" max="84" width="7.5" style="63" hidden="1" customWidth="1"/>
    <col min="85" max="85" width="10.69921875" style="63" hidden="1" customWidth="1"/>
    <col min="86" max="86" width="9.69921875" style="63" hidden="1" customWidth="1"/>
    <col min="87" max="87" width="2.296875" style="63" hidden="1" customWidth="1"/>
    <col min="88" max="88" width="5.296875" style="62" hidden="1" customWidth="1"/>
    <col min="89" max="90" width="10.796875" style="1221" hidden="1" customWidth="1"/>
    <col min="91" max="91" width="9.69921875" style="1299" hidden="1" customWidth="1"/>
    <col min="92" max="92" width="7" style="63" hidden="1" customWidth="1"/>
    <col min="93" max="93" width="5.296875" style="62" hidden="1" customWidth="1"/>
    <col min="94" max="95" width="10.796875" style="1221" hidden="1" customWidth="1"/>
    <col min="96" max="96" width="9.09765625" style="63" hidden="1" customWidth="1"/>
    <col min="97" max="97" width="7" style="63" hidden="1" customWidth="1"/>
    <col min="98" max="98" width="5.296875" style="62" hidden="1" customWidth="1"/>
    <col min="99" max="100" width="10.796875" style="1221" hidden="1" customWidth="1"/>
    <col min="101" max="101" width="9.09765625" style="63" hidden="1" customWidth="1"/>
    <col min="102" max="102" width="4.796875" style="63" hidden="1" customWidth="1"/>
    <col min="103" max="103" width="5.296875" style="62" hidden="1" customWidth="1"/>
    <col min="104" max="104" width="10.796875" style="63" hidden="1" customWidth="1"/>
    <col min="105" max="105" width="10.796875" style="1221" hidden="1" customWidth="1"/>
    <col min="106" max="106" width="9.09765625" style="63" hidden="1" customWidth="1"/>
    <col min="107" max="107" width="7" style="63" hidden="1" customWidth="1"/>
    <col min="108" max="108" width="5.296875" style="63" hidden="1" customWidth="1"/>
    <col min="109" max="110" width="10.796875" style="63" hidden="1" customWidth="1"/>
    <col min="111" max="111" width="9.09765625" style="63" hidden="1" customWidth="1"/>
    <col min="112" max="112" width="7" style="62" hidden="1" customWidth="1"/>
    <col min="113" max="113" width="5.296875" style="62" hidden="1" customWidth="1"/>
    <col min="114" max="115" width="10.796875" style="63" hidden="1" customWidth="1"/>
    <col min="116" max="116" width="9.09765625" style="1221" hidden="1" customWidth="1"/>
    <col min="117" max="117" width="7" style="62" hidden="1" customWidth="1"/>
    <col min="118" max="118" width="5.296875" style="62" hidden="1" customWidth="1"/>
    <col min="119" max="120" width="10.796875" style="63" hidden="1" customWidth="1"/>
    <col min="121" max="121" width="9.09765625" style="63" hidden="1" customWidth="1"/>
    <col min="122" max="122" width="7" style="62" hidden="1" customWidth="1"/>
    <col min="123" max="123" width="5.296875" style="62" hidden="1" customWidth="1"/>
    <col min="124" max="125" width="10.796875" style="63" hidden="1" customWidth="1"/>
    <col min="126" max="126" width="9.09765625" style="63" hidden="1" customWidth="1"/>
    <col min="127" max="127" width="7" style="63" hidden="1" customWidth="1"/>
    <col min="128" max="128" width="5.296875" style="62" hidden="1" customWidth="1"/>
    <col min="129" max="131" width="10.796875" style="1221" hidden="1" customWidth="1"/>
    <col min="132" max="132" width="7" style="1294" hidden="1" customWidth="1"/>
    <col min="133" max="133" width="5.296875" style="62" hidden="1" customWidth="1"/>
    <col min="134" max="135" width="10.796875" style="1221" hidden="1" customWidth="1"/>
    <col min="136" max="136" width="10.796875" style="63" hidden="1" customWidth="1"/>
    <col min="137" max="137" width="7" style="62" hidden="1" customWidth="1"/>
    <col min="138" max="138" width="5.296875" style="63" hidden="1" customWidth="1"/>
    <col min="139" max="140" width="10.796875" style="1221" hidden="1" customWidth="1"/>
    <col min="141" max="141" width="9.09765625" style="1221" hidden="1" customWidth="1"/>
    <col min="142" max="142" width="7" style="63" hidden="1" customWidth="1"/>
    <col min="143" max="143" width="5.296875" style="62" hidden="1" customWidth="1"/>
    <col min="144" max="145" width="10.796875" style="1221" hidden="1" customWidth="1"/>
    <col min="146" max="146" width="10.796875" style="63" hidden="1" customWidth="1"/>
    <col min="147" max="147" width="7" style="63" hidden="1" customWidth="1"/>
    <col min="148" max="148" width="5.296875" style="65" hidden="1" customWidth="1"/>
    <col min="149" max="150" width="12.8984375" style="1193" hidden="1" customWidth="1"/>
    <col min="151" max="151" width="11.796875" style="1193" hidden="1" customWidth="1"/>
    <col min="152" max="152" width="7.09765625" style="65" hidden="1" customWidth="1"/>
    <col min="153" max="153" width="5.296875" style="62" hidden="1" customWidth="1"/>
    <col min="154" max="154" width="11.796875" style="1221" hidden="1" customWidth="1"/>
    <col min="155" max="155" width="10.796875" style="1221" hidden="1" customWidth="1"/>
    <col min="156" max="156" width="7" style="63" hidden="1" customWidth="1"/>
    <col min="157" max="157" width="5.296875" style="63" hidden="1" customWidth="1"/>
    <col min="158" max="158" width="11.796875" style="63" hidden="1" customWidth="1"/>
    <col min="159" max="159" width="10.796875" style="63" hidden="1" customWidth="1"/>
    <col min="160" max="160" width="7" style="63" hidden="1" customWidth="1"/>
    <col min="161" max="161" width="5.296875" style="63" hidden="1" customWidth="1"/>
    <col min="162" max="162" width="11.796875" style="63" hidden="1" customWidth="1"/>
    <col min="163" max="163" width="10.796875" style="63" hidden="1" customWidth="1"/>
    <col min="164" max="164" width="7" style="63" hidden="1" customWidth="1"/>
    <col min="165" max="165" width="5.296875" style="63" hidden="1" customWidth="1"/>
    <col min="166" max="166" width="3.796875" style="63" hidden="1" customWidth="1"/>
    <col min="167" max="167" width="11.796875" style="63" hidden="1" customWidth="1"/>
    <col min="168" max="168" width="10.796875" style="63" hidden="1" customWidth="1"/>
    <col min="169" max="169" width="7" style="63" hidden="1" customWidth="1"/>
    <col min="170" max="170" width="5.296875" style="62" hidden="1" customWidth="1"/>
    <col min="171" max="172" width="10.796875" style="1221" hidden="1" customWidth="1"/>
    <col min="173" max="173" width="10.796875" style="63" hidden="1" customWidth="1"/>
    <col min="174" max="174" width="7" style="1294" hidden="1" customWidth="1"/>
    <col min="175" max="175" width="5.296875" style="62" hidden="1" customWidth="1"/>
    <col min="176" max="178" width="10.796875" style="1221" hidden="1" customWidth="1"/>
    <col min="179" max="179" width="15.8984375" style="63" hidden="1" customWidth="1"/>
    <col min="180" max="180" width="5.296875" style="62" hidden="1" customWidth="1"/>
    <col min="181" max="182" width="10.796875" style="63" hidden="1" customWidth="1"/>
    <col min="183" max="183" width="11.5" style="63" hidden="1" customWidth="1"/>
    <col min="184" max="184" width="12.3984375" style="63" hidden="1" customWidth="1"/>
    <col min="185" max="185" width="5.296875" style="63" hidden="1" customWidth="1"/>
    <col min="186" max="187" width="10.796875" style="1221" hidden="1" customWidth="1"/>
    <col min="188" max="188" width="10.796875" style="63" hidden="1" customWidth="1"/>
    <col min="189" max="189" width="7" style="63" hidden="1" customWidth="1"/>
    <col min="190" max="190" width="5.296875" style="63" hidden="1" customWidth="1"/>
    <col min="191" max="192" width="10.796875" style="63" hidden="1" customWidth="1"/>
    <col min="193" max="193" width="11.5" style="63" hidden="1" customWidth="1"/>
    <col min="194" max="194" width="7.09765625" style="63" hidden="1" customWidth="1"/>
    <col min="195" max="195" width="5.296875" style="63" hidden="1" customWidth="1"/>
    <col min="196" max="197" width="10.796875" style="63" hidden="1" customWidth="1"/>
    <col min="198" max="198" width="11.5" style="63" hidden="1" customWidth="1"/>
    <col min="199" max="199" width="7.09765625" style="63" hidden="1" customWidth="1"/>
    <col min="200" max="200" width="5.296875" style="63" hidden="1" customWidth="1"/>
    <col min="201" max="202" width="10.796875" style="63" hidden="1" customWidth="1"/>
    <col min="203" max="203" width="11.5" style="63" hidden="1" customWidth="1"/>
    <col min="204" max="204" width="7.09765625" style="63" hidden="1" customWidth="1"/>
    <col min="205" max="205" width="5.296875" style="63" hidden="1" customWidth="1"/>
    <col min="206" max="207" width="10.796875" style="63" hidden="1" customWidth="1"/>
    <col min="208" max="208" width="11.5" style="63" hidden="1" customWidth="1"/>
    <col min="209" max="209" width="7.09765625" style="63" hidden="1" customWidth="1"/>
    <col min="210" max="210" width="5.296875" style="63" hidden="1" customWidth="1"/>
    <col min="211" max="212" width="10.796875" style="63" hidden="1" customWidth="1"/>
    <col min="213" max="213" width="11.5" style="63" hidden="1" customWidth="1"/>
    <col min="214" max="214" width="7.09765625" style="63" hidden="1" customWidth="1"/>
    <col min="215" max="215" width="5.296875" style="63" hidden="1" customWidth="1"/>
    <col min="216" max="216" width="10.796875" style="63" hidden="1" customWidth="1"/>
    <col min="217" max="217" width="11.796875" style="63" hidden="1" customWidth="1"/>
    <col min="218" max="218" width="11.5" style="63" hidden="1" customWidth="1"/>
    <col min="219" max="219" width="7.09765625" style="63" hidden="1" customWidth="1"/>
    <col min="220" max="220" width="5.296875" style="63" hidden="1" customWidth="1"/>
    <col min="221" max="223" width="10.796875" style="63" hidden="1" customWidth="1"/>
    <col min="224" max="224" width="5.59765625" style="63" hidden="1" customWidth="1"/>
    <col min="225" max="225" width="5.296875" style="63" hidden="1" customWidth="1"/>
    <col min="226" max="228" width="10.796875" style="63" hidden="1" customWidth="1"/>
    <col min="229" max="229" width="5.59765625" style="63" hidden="1" customWidth="1"/>
    <col min="230" max="230" width="5.296875" style="1221" hidden="1" customWidth="1"/>
    <col min="231" max="232" width="12.8984375" style="1221" hidden="1" customWidth="1"/>
    <col min="233" max="233" width="12.69921875" style="1221" hidden="1" customWidth="1"/>
    <col min="234" max="234" width="5.59765625" style="63" hidden="1" customWidth="1"/>
    <col min="235" max="235" width="5.296875" style="1295" hidden="1" customWidth="1"/>
    <col min="236" max="236" width="11.796875" style="63" hidden="1" customWidth="1"/>
    <col min="237" max="237" width="11.5" style="63" hidden="1" customWidth="1"/>
    <col min="238" max="238" width="7" style="63" hidden="1" customWidth="1"/>
    <col min="239" max="239" width="5.296875" style="63" hidden="1" customWidth="1"/>
    <col min="240" max="240" width="11.796875" style="63" hidden="1" customWidth="1"/>
    <col min="241" max="241" width="11.5" style="63" hidden="1" customWidth="1"/>
    <col min="242" max="242" width="5.59765625" style="63" hidden="1" customWidth="1"/>
    <col min="243" max="243" width="5.296875" style="62" hidden="1" customWidth="1"/>
    <col min="244" max="244" width="11.796875" style="63" hidden="1" customWidth="1"/>
    <col min="245" max="245" width="11.5" style="63" hidden="1" customWidth="1"/>
    <col min="246" max="246" width="11.8984375" style="63" hidden="1" customWidth="1"/>
    <col min="247" max="247" width="5.296875" style="63" hidden="1" customWidth="1"/>
    <col min="248" max="248" width="11.796875" style="63" hidden="1" customWidth="1"/>
    <col min="249" max="249" width="11.5" style="63" hidden="1" customWidth="1"/>
    <col min="250" max="250" width="7" style="62" hidden="1" customWidth="1"/>
    <col min="251" max="251" width="3.296875" style="63" hidden="1" customWidth="1"/>
    <col min="252" max="252" width="5.296875" style="62" hidden="1" customWidth="1"/>
    <col min="253" max="253" width="10.796875" style="63" hidden="1" customWidth="1"/>
    <col min="254" max="254" width="11.796875" style="63" hidden="1" customWidth="1"/>
    <col min="255" max="255" width="10.796875" style="63" hidden="1" customWidth="1"/>
    <col min="256" max="256" width="7" style="63" hidden="1" customWidth="1"/>
    <col min="257" max="257" width="5.296875" style="62" hidden="1" customWidth="1"/>
    <col min="258" max="258" width="10.796875" style="63" hidden="1" customWidth="1"/>
    <col min="259" max="259" width="11.796875" style="63" hidden="1" customWidth="1"/>
    <col min="260" max="260" width="11.5" style="63" hidden="1" customWidth="1"/>
    <col min="261" max="261" width="15.8984375" style="63" hidden="1" customWidth="1"/>
    <col min="262" max="262" width="5.296875" style="1691" hidden="1" customWidth="1"/>
    <col min="263" max="265" width="10.796875" style="63" hidden="1" customWidth="1"/>
    <col min="266" max="266" width="7" style="63" hidden="1" customWidth="1"/>
    <col min="267" max="267" width="5.296875" style="1691" hidden="1" customWidth="1"/>
    <col min="268" max="270" width="10.796875" style="63" hidden="1" customWidth="1"/>
    <col min="271" max="271" width="7" style="63" hidden="1" customWidth="1"/>
    <col min="272" max="272" width="5.296875" style="62" hidden="1" customWidth="1"/>
    <col min="273" max="274" width="11.796875" style="63" hidden="1" customWidth="1"/>
    <col min="275" max="275" width="11.5" style="63" hidden="1" customWidth="1"/>
    <col min="276" max="276" width="7" style="63" hidden="1" customWidth="1"/>
    <col min="277" max="277" width="5.296875" style="1692" hidden="1" customWidth="1"/>
    <col min="278" max="279" width="11.796875" style="63" hidden="1" customWidth="1"/>
    <col min="280" max="280" width="11.5" style="63" hidden="1" customWidth="1"/>
    <col min="281" max="281" width="7" style="63" hidden="1" customWidth="1"/>
    <col min="282" max="282" width="5.296875" style="420" hidden="1" customWidth="1"/>
    <col min="283" max="284" width="10.796875" style="63" hidden="1" customWidth="1"/>
    <col min="285" max="285" width="11.5" style="63" hidden="1" customWidth="1"/>
    <col min="286" max="286" width="7" style="63" hidden="1" customWidth="1"/>
    <col min="287" max="287" width="5.296875" style="63" hidden="1" customWidth="1"/>
    <col min="288" max="289" width="11.796875" style="63" hidden="1" customWidth="1"/>
    <col min="290" max="290" width="11.5" style="63" hidden="1" customWidth="1"/>
    <col min="291" max="291" width="5.8984375" style="63" hidden="1" customWidth="1"/>
    <col min="292" max="292" width="5.296875" style="1691" hidden="1" customWidth="1"/>
    <col min="293" max="293" width="10.796875" style="63" hidden="1" customWidth="1"/>
    <col min="294" max="294" width="11.796875" style="63" hidden="1" customWidth="1"/>
    <col min="295" max="295" width="11.5" style="63" hidden="1" customWidth="1"/>
    <col min="296" max="296" width="5.59765625" style="63" hidden="1" customWidth="1"/>
    <col min="297" max="297" width="5.296875" style="1684" hidden="1" customWidth="1"/>
    <col min="298" max="300" width="10.796875" style="1685" hidden="1" customWidth="1"/>
    <col min="301" max="301" width="7.09765625" style="1685" hidden="1" customWidth="1"/>
    <col min="302" max="302" width="5.296875" style="63" hidden="1" customWidth="1"/>
    <col min="303" max="303" width="10.796875" style="63" hidden="1" customWidth="1"/>
    <col min="304" max="304" width="11.796875" style="63" hidden="1" customWidth="1"/>
    <col min="305" max="305" width="11.5" style="63" hidden="1" customWidth="1"/>
    <col min="306" max="306" width="7" style="63" hidden="1" customWidth="1"/>
    <col min="307" max="307" width="5.296875" style="63" hidden="1" customWidth="1"/>
    <col min="308" max="308" width="10.796875" style="63" hidden="1" customWidth="1"/>
    <col min="309" max="309" width="11.796875" style="63" hidden="1" customWidth="1"/>
    <col min="310" max="310" width="12.19921875" style="63" hidden="1" customWidth="1"/>
    <col min="311" max="311" width="5.59765625" style="63" hidden="1" customWidth="1"/>
    <col min="312" max="312" width="5.296875" style="1221" hidden="1" customWidth="1"/>
    <col min="313" max="314" width="12.8984375" style="63" hidden="1" customWidth="1"/>
    <col min="315" max="315" width="12.69921875" style="63" hidden="1" customWidth="1"/>
    <col min="316" max="316" width="5" style="63" hidden="1" customWidth="1"/>
    <col min="317" max="317" width="5.296875" style="63" hidden="1" customWidth="1"/>
    <col min="318" max="318" width="11.796875" style="63" hidden="1" customWidth="1"/>
    <col min="319" max="319" width="11.5" style="63" hidden="1" customWidth="1"/>
    <col min="320" max="320" width="7" style="63" hidden="1" customWidth="1"/>
    <col min="321" max="321" width="5.296875" style="63" hidden="1" customWidth="1"/>
    <col min="322" max="322" width="11.796875" style="63" hidden="1" customWidth="1"/>
    <col min="323" max="323" width="11.5" style="63" hidden="1" customWidth="1"/>
    <col min="324" max="324" width="7" style="63" hidden="1" customWidth="1"/>
    <col min="325" max="325" width="5.296875" style="1295" hidden="1" customWidth="1"/>
    <col min="326" max="326" width="11.796875" style="63" hidden="1" customWidth="1"/>
    <col min="327" max="327" width="11.5" style="63" hidden="1" customWidth="1"/>
    <col min="328" max="328" width="5.59765625" style="63" hidden="1" customWidth="1"/>
    <col min="329" max="329" width="5.296875" style="63" hidden="1" customWidth="1"/>
    <col min="330" max="330" width="11.796875" style="63" hidden="1" customWidth="1"/>
    <col min="331" max="331" width="10.796875" style="63" hidden="1" customWidth="1"/>
    <col min="332" max="332" width="5.59765625" style="63" hidden="1" customWidth="1"/>
    <col min="333" max="333" width="2.796875" style="63" hidden="1" customWidth="1"/>
    <col min="334" max="334" width="5.296875" style="62" hidden="1" customWidth="1"/>
    <col min="335" max="335" width="10.796875" style="63" hidden="1" customWidth="1"/>
    <col min="336" max="336" width="11.796875" style="63" hidden="1" customWidth="1"/>
    <col min="337" max="337" width="12.19921875" style="63" hidden="1" customWidth="1"/>
    <col min="338" max="338" width="5.8984375" style="62" hidden="1" customWidth="1"/>
    <col min="339" max="339" width="5.296875" style="63" hidden="1" customWidth="1"/>
    <col min="340" max="340" width="10.796875" style="63" hidden="1" customWidth="1"/>
    <col min="341" max="341" width="11.796875" style="63" hidden="1" customWidth="1"/>
    <col min="342" max="342" width="11.5" style="63" hidden="1" customWidth="1"/>
    <col min="343" max="343" width="5.796875" style="63" hidden="1" customWidth="1"/>
    <col min="344" max="344" width="5.296875" style="1295" hidden="1" customWidth="1"/>
    <col min="345" max="345" width="10.796875" style="63" hidden="1" customWidth="1"/>
    <col min="346" max="346" width="11.796875" style="63" hidden="1" customWidth="1"/>
    <col min="347" max="347" width="10.796875" style="63" hidden="1" customWidth="1"/>
    <col min="348" max="348" width="7" style="63" hidden="1" customWidth="1"/>
    <col min="349" max="349" width="4.19921875" style="1695" hidden="1" customWidth="1"/>
    <col min="350" max="351" width="11.796875" style="63" hidden="1" customWidth="1"/>
    <col min="352" max="352" width="10.796875" style="63" hidden="1" customWidth="1"/>
    <col min="353" max="353" width="5.796875" style="63" hidden="1" customWidth="1"/>
    <col min="354" max="354" width="4.19921875" style="1695" hidden="1" customWidth="1"/>
    <col min="355" max="356" width="11.796875" style="63" hidden="1" customWidth="1"/>
    <col min="357" max="357" width="10.796875" style="63" hidden="1" customWidth="1"/>
    <col min="358" max="358" width="5.796875" style="68" hidden="1" customWidth="1"/>
    <col min="359" max="359" width="5.296875" style="1193" hidden="1" customWidth="1"/>
    <col min="360" max="361" width="11.796875" style="1193" hidden="1" customWidth="1"/>
    <col min="362" max="362" width="11.5" style="1193" hidden="1" customWidth="1"/>
    <col min="363" max="363" width="5.8984375" style="65" hidden="1" customWidth="1"/>
    <col min="364" max="364" width="5.296875" style="63" hidden="1" customWidth="1"/>
    <col min="365" max="365" width="10.796875" style="63" hidden="1" customWidth="1"/>
    <col min="366" max="366" width="11.796875" style="63" hidden="1" customWidth="1"/>
    <col min="367" max="367" width="11.5" style="63" hidden="1" customWidth="1"/>
    <col min="368" max="368" width="5" style="63" hidden="1" customWidth="1"/>
    <col min="369" max="369" width="5.296875" style="63" hidden="1" customWidth="1"/>
    <col min="370" max="371" width="11.796875" style="63" hidden="1" customWidth="1"/>
    <col min="372" max="372" width="11.5" style="63" hidden="1" customWidth="1"/>
    <col min="373" max="374" width="5.296875" style="63" hidden="1" customWidth="1"/>
    <col min="375" max="376" width="11.796875" style="63" hidden="1" customWidth="1"/>
    <col min="377" max="377" width="11.5" style="63" hidden="1" customWidth="1"/>
    <col min="378" max="378" width="4.796875" style="63" hidden="1" customWidth="1"/>
    <col min="379" max="379" width="5.296875" style="65" hidden="1" customWidth="1"/>
    <col min="380" max="381" width="11.796875" style="1193" hidden="1" customWidth="1"/>
    <col min="382" max="382" width="11.5" style="65" hidden="1" customWidth="1"/>
    <col min="383" max="383" width="5" style="63" hidden="1" customWidth="1"/>
    <col min="384" max="384" width="5.59765625" style="63" hidden="1" customWidth="1"/>
    <col min="385" max="385" width="12.69921875" style="63" hidden="1" customWidth="1"/>
    <col min="386" max="386" width="12.69921875" style="1221" hidden="1" customWidth="1"/>
    <col min="387" max="387" width="11.5" style="63" hidden="1" customWidth="1"/>
    <col min="388" max="388" width="5" style="63" hidden="1" customWidth="1"/>
    <col min="389" max="389" width="5.59765625" style="65" hidden="1" customWidth="1"/>
    <col min="390" max="391" width="12.69921875" style="1193" hidden="1" customWidth="1"/>
    <col min="392" max="392" width="11.5" style="65" hidden="1" customWidth="1"/>
    <col min="393" max="393" width="5" style="63" hidden="1" customWidth="1"/>
    <col min="394" max="394" width="5.296875" style="63" hidden="1" customWidth="1"/>
    <col min="395" max="396" width="12.8984375" style="1221" hidden="1" customWidth="1"/>
    <col min="397" max="397" width="12.69921875" style="1221" hidden="1" customWidth="1"/>
    <col min="398" max="398" width="4.8984375" style="63" hidden="1" customWidth="1"/>
    <col min="399" max="399" width="5.296875" style="63" hidden="1" customWidth="1"/>
    <col min="400" max="401" width="11.796875" style="63" hidden="1" customWidth="1"/>
    <col min="402" max="402" width="10.796875" style="63" hidden="1" customWidth="1"/>
    <col min="403" max="403" width="5.8984375" style="68" hidden="1" customWidth="1"/>
    <col min="404" max="404" width="5.296875" style="63" hidden="1" customWidth="1"/>
    <col min="405" max="406" width="11.796875" style="1221" hidden="1" customWidth="1"/>
    <col min="407" max="407" width="11.5" style="1221" hidden="1" customWidth="1"/>
    <col min="408" max="408" width="7" style="68" hidden="1" customWidth="1"/>
    <col min="409" max="409" width="5.296875" style="63" hidden="1" customWidth="1"/>
    <col min="410" max="412" width="11.796875" style="63" hidden="1" customWidth="1"/>
    <col min="413" max="413" width="7" style="68" hidden="1" customWidth="1"/>
    <col min="414" max="414" width="5.296875" style="63" hidden="1" customWidth="1"/>
    <col min="415" max="417" width="11.796875" style="63" hidden="1" customWidth="1"/>
    <col min="418" max="418" width="5.796875" style="63" hidden="1" customWidth="1"/>
    <col min="419" max="419" width="2.5" style="63" hidden="1" customWidth="1"/>
    <col min="420" max="420" width="5.296875" style="62" hidden="1" customWidth="1"/>
    <col min="421" max="422" width="11.796875" style="63" hidden="1" customWidth="1"/>
    <col min="423" max="423" width="11.5" style="63" hidden="1" customWidth="1"/>
    <col min="424" max="424" width="8.296875" style="63" hidden="1" customWidth="1"/>
    <col min="425" max="425" width="5.296875" style="63" hidden="1" customWidth="1"/>
    <col min="426" max="427" width="11.796875" style="63" hidden="1" customWidth="1"/>
    <col min="428" max="428" width="10.796875" style="63" hidden="1" customWidth="1"/>
    <col min="429" max="429" width="9.3984375" style="63" hidden="1" customWidth="1"/>
    <col min="430" max="430" width="5.296875" style="62" hidden="1" customWidth="1"/>
    <col min="431" max="432" width="11.796875" style="63" hidden="1" customWidth="1"/>
    <col min="433" max="433" width="11.5" style="63" hidden="1" customWidth="1"/>
    <col min="434" max="434" width="7" style="63" hidden="1" customWidth="1"/>
    <col min="435" max="435" width="4.796875" style="65" hidden="1" customWidth="1"/>
    <col min="436" max="437" width="11.796875" style="65" hidden="1" customWidth="1"/>
    <col min="438" max="438" width="11.5" style="65" hidden="1" customWidth="1"/>
    <col min="439" max="439" width="7.09765625" style="65" hidden="1" customWidth="1"/>
    <col min="440" max="440" width="4.796875" style="63" hidden="1" customWidth="1"/>
    <col min="441" max="442" width="11.796875" style="63" hidden="1" customWidth="1"/>
    <col min="443" max="443" width="11.5" style="63" hidden="1" customWidth="1"/>
    <col min="444" max="444" width="7" style="63" hidden="1" customWidth="1"/>
    <col min="445" max="445" width="5.296875" style="65" hidden="1" customWidth="1"/>
    <col min="446" max="446" width="23.296875" style="65" hidden="1" customWidth="1"/>
    <col min="447" max="447" width="11.796875" style="65" hidden="1" customWidth="1"/>
    <col min="448" max="448" width="11.5" style="65" hidden="1" customWidth="1"/>
    <col min="449" max="449" width="5" style="65" hidden="1" customWidth="1"/>
    <col min="450" max="450" width="5.296875" style="1295" hidden="1" customWidth="1"/>
    <col min="451" max="452" width="11.796875" style="63" hidden="1" customWidth="1"/>
    <col min="453" max="453" width="11.5" style="63" hidden="1" customWidth="1"/>
    <col min="454" max="454" width="5" style="63" hidden="1" customWidth="1"/>
    <col min="455" max="455" width="5.296875" style="1295" hidden="1" customWidth="1"/>
    <col min="456" max="457" width="11.796875" style="63" hidden="1" customWidth="1"/>
    <col min="458" max="458" width="11.5" style="63" hidden="1" customWidth="1"/>
    <col min="459" max="459" width="7" style="63" hidden="1" customWidth="1"/>
    <col min="460" max="460" width="5.296875" style="63" bestFit="1" customWidth="1"/>
    <col min="461" max="462" width="11.796875" style="63" bestFit="1" customWidth="1"/>
    <col min="463" max="463" width="11.5" style="63" bestFit="1" customWidth="1"/>
    <col min="464" max="464" width="7.09765625" style="66" bestFit="1" customWidth="1"/>
    <col min="465" max="465" width="5.296875" style="65" customWidth="1"/>
    <col min="466" max="467" width="11.69921875" style="65" customWidth="1"/>
    <col min="468" max="468" width="11.296875" style="65" customWidth="1"/>
    <col min="469" max="469" width="7" style="65" customWidth="1"/>
    <col min="470" max="470" width="5.5" style="63" customWidth="1"/>
    <col min="471" max="472" width="12.69921875" style="63" customWidth="1"/>
    <col min="473" max="473" width="11.296875" style="63" customWidth="1"/>
    <col min="474" max="474" width="7" style="63" customWidth="1"/>
    <col min="475" max="475" width="5.5" style="1295" customWidth="1"/>
    <col min="476" max="477" width="12.69921875" style="63" customWidth="1"/>
    <col min="478" max="478" width="11.796875" style="63" customWidth="1"/>
    <col min="479" max="479" width="7.09765625" style="63" customWidth="1"/>
    <col min="480" max="480" width="5.296875" style="65" customWidth="1"/>
    <col min="481" max="482" width="13.296875" style="65" customWidth="1"/>
    <col min="483" max="483" width="12.69921875" style="65" bestFit="1" customWidth="1"/>
    <col min="484" max="484" width="7" style="65" customWidth="1"/>
    <col min="485" max="485" width="5.296875" style="63" hidden="1" customWidth="1"/>
    <col min="486" max="487" width="11.69921875" style="63" hidden="1" customWidth="1"/>
    <col min="488" max="488" width="11.296875" style="63" hidden="1" customWidth="1"/>
    <col min="489" max="489" width="7" style="63" hidden="1" customWidth="1"/>
    <col min="490" max="490" width="5.296875" style="63" hidden="1" customWidth="1"/>
    <col min="491" max="493" width="11.69921875" style="63" hidden="1" customWidth="1"/>
    <col min="494" max="494" width="7" style="63" hidden="1" customWidth="1"/>
    <col min="495" max="495" width="5.296875" style="63" hidden="1" customWidth="1"/>
    <col min="496" max="498" width="11.69921875" style="63" hidden="1" customWidth="1"/>
    <col min="499" max="499" width="7" style="63" hidden="1" customWidth="1"/>
    <col min="500" max="500" width="5.296875" style="63" hidden="1" customWidth="1"/>
    <col min="501" max="503" width="11.69921875" style="63" hidden="1" customWidth="1"/>
    <col min="504" max="504" width="7" style="63" hidden="1" customWidth="1"/>
    <col min="505" max="505" width="1.09765625" style="63" customWidth="1"/>
    <col min="506" max="506" width="5.296875" style="65" customWidth="1"/>
    <col min="507" max="508" width="11.69921875" style="65" customWidth="1"/>
    <col min="509" max="509" width="11.296875" style="65" customWidth="1"/>
    <col min="510" max="510" width="7" style="65" customWidth="1"/>
    <col min="511" max="511" width="5.296875" style="65" customWidth="1"/>
    <col min="512" max="513" width="11.69921875" style="65" customWidth="1"/>
    <col min="514" max="514" width="11.296875" style="65" customWidth="1"/>
    <col min="515" max="515" width="8.296875" style="65" customWidth="1"/>
    <col min="516" max="516" width="5.296875" style="63" customWidth="1"/>
    <col min="517" max="518" width="11.69921875" style="63" customWidth="1"/>
    <col min="519" max="519" width="11.296875" style="63" customWidth="1"/>
    <col min="520" max="520" width="7.09765625" style="63" customWidth="1"/>
    <col min="521" max="521" width="4.8984375" style="63" bestFit="1" customWidth="1"/>
    <col min="522" max="523" width="11.8984375" style="63" bestFit="1" customWidth="1"/>
    <col min="524" max="524" width="12.296875" style="63" bestFit="1" customWidth="1"/>
    <col min="525" max="525" width="7.09765625" style="63" bestFit="1" customWidth="1"/>
    <col min="526" max="526" width="4.8984375" style="63" bestFit="1" customWidth="1"/>
    <col min="527" max="528" width="11.8984375" style="63" bestFit="1" customWidth="1"/>
    <col min="529" max="529" width="12.796875" style="63" bestFit="1" customWidth="1"/>
    <col min="530" max="530" width="7.8984375" style="63" customWidth="1"/>
    <col min="531" max="531" width="5.296875" style="63" bestFit="1" customWidth="1"/>
    <col min="532" max="533" width="11.8984375" style="63" bestFit="1" customWidth="1"/>
    <col min="534" max="534" width="12.19921875" style="63" bestFit="1" customWidth="1"/>
    <col min="535" max="535" width="7.09765625" style="63" bestFit="1" customWidth="1"/>
    <col min="536" max="536" width="4.796875" style="420" bestFit="1" customWidth="1"/>
    <col min="537" max="538" width="11.796875" style="63" bestFit="1" customWidth="1"/>
    <col min="539" max="539" width="12.19921875" style="63" bestFit="1" customWidth="1"/>
    <col min="540" max="540" width="7" style="63" bestFit="1" customWidth="1"/>
    <col min="541" max="541" width="4.19921875" style="1682" bestFit="1" customWidth="1"/>
    <col min="542" max="543" width="11.796875" style="65" bestFit="1" customWidth="1"/>
    <col min="544" max="544" width="12.19921875" style="65" bestFit="1" customWidth="1"/>
    <col min="545" max="545" width="5.69921875" style="65" customWidth="1"/>
    <col min="546" max="546" width="5.296875" style="65" bestFit="1" customWidth="1"/>
    <col min="547" max="548" width="11.796875" style="65" bestFit="1" customWidth="1"/>
    <col min="549" max="549" width="12.19921875" style="65" bestFit="1" customWidth="1"/>
    <col min="550" max="550" width="6.19921875" style="65" customWidth="1"/>
    <col min="551" max="551" width="5.296875" style="65" bestFit="1" customWidth="1"/>
    <col min="552" max="553" width="11.796875" style="65" bestFit="1" customWidth="1"/>
    <col min="554" max="554" width="12.19921875" style="65" bestFit="1" customWidth="1"/>
    <col min="555" max="555" width="6.5" style="65" customWidth="1"/>
    <col min="556" max="557" width="5.09765625" style="63" hidden="1" customWidth="1"/>
    <col min="558" max="558" width="5.8984375" style="63" hidden="1" customWidth="1"/>
    <col min="559" max="559" width="6.59765625" style="63" hidden="1" customWidth="1"/>
    <col min="560" max="560" width="8.3984375" style="63" hidden="1" customWidth="1"/>
    <col min="561" max="562" width="5.09765625" style="63" hidden="1" customWidth="1"/>
    <col min="563" max="563" width="6.69921875" style="63" hidden="1" customWidth="1"/>
    <col min="564" max="564" width="7.3984375" style="63" hidden="1" customWidth="1"/>
    <col min="565" max="565" width="8.3984375" style="63" hidden="1" customWidth="1"/>
    <col min="566" max="566" width="4.8984375" style="63" bestFit="1" customWidth="1"/>
    <col min="567" max="568" width="12.8984375" style="63" bestFit="1" customWidth="1"/>
    <col min="569" max="569" width="12.19921875" style="63" bestFit="1" customWidth="1"/>
    <col min="570" max="570" width="7.09765625" style="63" bestFit="1" customWidth="1"/>
    <col min="571" max="571" width="5.3984375" style="63" hidden="1" customWidth="1"/>
    <col min="572" max="572" width="11.8984375" style="63" hidden="1" customWidth="1"/>
    <col min="573" max="573" width="13" style="63" hidden="1" customWidth="1"/>
    <col min="574" max="574" width="11.8984375" style="63" hidden="1" customWidth="1"/>
    <col min="575" max="575" width="7.09765625" style="63" hidden="1" customWidth="1"/>
    <col min="576" max="576" width="4.8984375" style="63" hidden="1" customWidth="1"/>
    <col min="577" max="578" width="11.8984375" style="63" hidden="1" customWidth="1"/>
    <col min="579" max="579" width="11.59765625" style="63" hidden="1" customWidth="1"/>
    <col min="580" max="580" width="7.09765625" style="63" hidden="1" customWidth="1"/>
    <col min="581" max="581" width="4.8984375" style="63" hidden="1" customWidth="1"/>
    <col min="582" max="583" width="11.796875" style="63" hidden="1" customWidth="1"/>
    <col min="584" max="584" width="12.19921875" style="63" hidden="1" customWidth="1"/>
    <col min="585" max="585" width="8.3984375" style="63" hidden="1" customWidth="1"/>
    <col min="586" max="586" width="5.296875" style="63" hidden="1" customWidth="1"/>
    <col min="587" max="588" width="8" style="63" hidden="1" customWidth="1"/>
    <col min="589" max="589" width="8.796875" style="63" hidden="1" customWidth="1"/>
    <col min="590" max="590" width="8.5" style="63" hidden="1" customWidth="1"/>
    <col min="591" max="591" width="11.5" style="63" bestFit="1" customWidth="1"/>
    <col min="592" max="592" width="13.8984375" style="63" bestFit="1" customWidth="1"/>
    <col min="593" max="16384" width="9.09765625" style="63"/>
  </cols>
  <sheetData>
    <row r="1" spans="1:590" s="65" customFormat="1" ht="18.3" x14ac:dyDescent="0.3">
      <c r="A1" s="66"/>
      <c r="B1" s="1675" t="s">
        <v>44</v>
      </c>
      <c r="C1" s="1676"/>
      <c r="D1" s="1677"/>
      <c r="E1" s="381"/>
      <c r="F1" s="1678"/>
      <c r="G1" s="1297"/>
      <c r="H1" s="1297"/>
      <c r="L1" s="425"/>
      <c r="M1" s="425"/>
      <c r="Q1" s="425"/>
      <c r="R1" s="425"/>
      <c r="W1" s="66"/>
      <c r="AA1" s="425"/>
      <c r="AB1" s="425"/>
      <c r="AF1" s="66"/>
      <c r="AG1" s="1679"/>
      <c r="AH1" s="1679"/>
      <c r="AI1" s="1679"/>
      <c r="AJ1" s="1679"/>
      <c r="AK1" s="1679"/>
      <c r="AW1" s="1193"/>
      <c r="AX1" s="1193"/>
      <c r="AY1" s="1301"/>
      <c r="BB1" s="1193"/>
      <c r="BC1" s="1193"/>
      <c r="BD1" s="1193"/>
      <c r="BF1" s="1679"/>
      <c r="BG1" s="1680"/>
      <c r="BH1" s="1679"/>
      <c r="BI1" s="1679"/>
      <c r="BJ1" s="1679"/>
      <c r="BL1" s="1193"/>
      <c r="BP1" s="66"/>
      <c r="BW1" s="64"/>
      <c r="CJ1" s="66"/>
      <c r="CK1" s="1193"/>
      <c r="CL1" s="1193"/>
      <c r="CM1" s="1301"/>
      <c r="CO1" s="66"/>
      <c r="CP1" s="1193"/>
      <c r="CQ1" s="1193"/>
      <c r="CT1" s="66"/>
      <c r="CU1" s="1193"/>
      <c r="CV1" s="1193"/>
      <c r="CY1" s="66"/>
      <c r="DA1" s="1193"/>
      <c r="DH1" s="66"/>
      <c r="DI1" s="66"/>
      <c r="DL1" s="1193"/>
      <c r="DM1" s="66"/>
      <c r="DN1" s="66"/>
      <c r="DR1" s="66"/>
      <c r="DS1" s="66"/>
      <c r="DX1" s="66"/>
      <c r="DY1" s="1193"/>
      <c r="DZ1" s="1193"/>
      <c r="EA1" s="1193"/>
      <c r="EB1" s="425"/>
      <c r="EC1" s="66"/>
      <c r="ED1" s="1193"/>
      <c r="EE1" s="1193"/>
      <c r="EG1" s="66"/>
      <c r="EI1" s="1193"/>
      <c r="EJ1" s="1681"/>
      <c r="EK1" s="1193"/>
      <c r="EM1" s="62"/>
      <c r="EN1" s="1221"/>
      <c r="EO1" s="1221"/>
      <c r="EP1" s="63"/>
      <c r="EQ1" s="63"/>
      <c r="ES1" s="1193"/>
      <c r="ET1" s="1193"/>
      <c r="EU1" s="1193"/>
      <c r="EW1" s="66"/>
      <c r="EX1" s="1193"/>
      <c r="EY1" s="1193"/>
      <c r="FN1" s="66"/>
      <c r="FO1" s="1193"/>
      <c r="FP1" s="1193"/>
      <c r="FR1" s="425"/>
      <c r="FS1" s="66"/>
      <c r="FT1" s="1193"/>
      <c r="FU1" s="1193"/>
      <c r="FV1" s="1193"/>
      <c r="FX1" s="66"/>
      <c r="GD1" s="1193"/>
      <c r="GE1" s="119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V1" s="1193"/>
      <c r="HW1" s="1193"/>
      <c r="HX1" s="1193"/>
      <c r="HY1" s="1193"/>
      <c r="IA1" s="1297"/>
      <c r="II1" s="66"/>
      <c r="IP1" s="66"/>
      <c r="IR1" s="66"/>
      <c r="IW1" s="66"/>
      <c r="JB1" s="1682"/>
      <c r="JG1" s="1682"/>
      <c r="JL1" s="66"/>
      <c r="JQ1" s="1683"/>
      <c r="JV1" s="419"/>
      <c r="KF1" s="1682"/>
      <c r="KK1" s="1684"/>
      <c r="KL1" s="1685"/>
      <c r="KM1" s="1685"/>
      <c r="KN1" s="1685"/>
      <c r="KO1" s="1685"/>
      <c r="KZ1" s="1193"/>
      <c r="LE1" s="67"/>
      <c r="LF1" s="67"/>
      <c r="LG1" s="67"/>
      <c r="LH1" s="67"/>
      <c r="LM1" s="1297"/>
      <c r="LV1" s="66"/>
      <c r="LZ1" s="66"/>
      <c r="MF1" s="1297"/>
      <c r="MK1" s="1686"/>
      <c r="MP1" s="1686"/>
      <c r="MT1" s="64"/>
      <c r="MU1" s="1193"/>
      <c r="MV1" s="1193"/>
      <c r="MW1" s="1193"/>
      <c r="MX1" s="1193"/>
      <c r="NP1" s="1193"/>
      <c r="NQ1" s="1193"/>
      <c r="NT1" s="63"/>
      <c r="NU1" s="63"/>
      <c r="NV1" s="1221"/>
      <c r="NW1" s="63"/>
      <c r="NX1" s="63"/>
      <c r="NZ1" s="1193"/>
      <c r="OA1" s="1193"/>
      <c r="OE1" s="1193"/>
      <c r="OF1" s="1193"/>
      <c r="OG1" s="1193"/>
      <c r="OM1" s="64"/>
      <c r="OO1" s="1193"/>
      <c r="OP1" s="1193"/>
      <c r="OQ1" s="1193"/>
      <c r="OR1" s="64"/>
      <c r="OW1" s="64"/>
      <c r="PD1" s="66"/>
      <c r="PN1" s="66"/>
      <c r="PX1" s="63"/>
      <c r="PY1" s="63"/>
      <c r="PZ1" s="63"/>
      <c r="QA1" s="63"/>
      <c r="QB1" s="63"/>
      <c r="QD1" s="1687" t="s">
        <v>674</v>
      </c>
      <c r="QH1" s="1297"/>
      <c r="QJ1" s="428"/>
      <c r="QK1" s="428"/>
      <c r="QM1" s="1297"/>
      <c r="QU1" s="64"/>
      <c r="QV1" s="1688"/>
      <c r="QX1" s="428"/>
      <c r="QY1" s="101"/>
      <c r="RG1" s="1297"/>
      <c r="RM1" s="428"/>
      <c r="RN1" s="428"/>
      <c r="RR1" s="101"/>
      <c r="SV1" s="63"/>
      <c r="SW1" s="63"/>
      <c r="SX1" s="63"/>
      <c r="SY1" s="63"/>
      <c r="SZ1" s="63"/>
      <c r="TA1" s="63"/>
      <c r="TB1" s="63"/>
      <c r="TC1" s="63"/>
      <c r="TD1" s="63"/>
      <c r="TE1" s="63"/>
      <c r="TP1" s="419"/>
      <c r="TU1" s="1682"/>
      <c r="UF1" s="101"/>
    </row>
    <row r="2" spans="1:590" x14ac:dyDescent="0.3">
      <c r="AH2" s="1690"/>
      <c r="LE2" s="69"/>
      <c r="LF2" s="69"/>
      <c r="LG2" s="69"/>
      <c r="LH2" s="69"/>
      <c r="LI2" s="69"/>
      <c r="LJ2" s="69"/>
      <c r="LK2" s="69"/>
      <c r="LL2" s="69"/>
      <c r="LM2" s="1693"/>
      <c r="LN2" s="69"/>
      <c r="LO2" s="69"/>
      <c r="LP2" s="69"/>
      <c r="LQ2" s="69"/>
      <c r="LR2" s="69"/>
      <c r="LS2" s="69"/>
      <c r="LT2" s="69"/>
      <c r="LV2" s="1694"/>
      <c r="RM2" s="428"/>
      <c r="RN2" s="428"/>
      <c r="RO2" s="428"/>
      <c r="RR2" s="79"/>
    </row>
    <row r="3" spans="1:590" s="1697" customFormat="1" ht="18.3" customHeight="1" x14ac:dyDescent="0.3">
      <c r="A3" s="1696"/>
      <c r="B3" s="6678" t="s">
        <v>675</v>
      </c>
      <c r="C3" s="6680" t="s">
        <v>45</v>
      </c>
      <c r="D3" s="6680" t="s">
        <v>46</v>
      </c>
      <c r="E3" s="6682" t="s">
        <v>47</v>
      </c>
      <c r="F3" s="6682"/>
      <c r="G3" s="6683" t="s">
        <v>48</v>
      </c>
      <c r="H3" s="6685" t="s">
        <v>5</v>
      </c>
      <c r="I3" s="6674" t="s">
        <v>676</v>
      </c>
      <c r="J3" s="6674"/>
      <c r="K3" s="6674"/>
      <c r="L3" s="6687"/>
      <c r="M3" s="6688" t="s">
        <v>5</v>
      </c>
      <c r="N3" s="6674" t="s">
        <v>677</v>
      </c>
      <c r="O3" s="6674"/>
      <c r="P3" s="6674"/>
      <c r="Q3" s="6687"/>
      <c r="R3" s="6690" t="s">
        <v>5</v>
      </c>
      <c r="S3" s="6674" t="s">
        <v>678</v>
      </c>
      <c r="T3" s="6674"/>
      <c r="U3" s="6674"/>
      <c r="V3" s="6687"/>
      <c r="W3" s="6690" t="s">
        <v>5</v>
      </c>
      <c r="X3" s="6674" t="s">
        <v>679</v>
      </c>
      <c r="Y3" s="6674"/>
      <c r="Z3" s="6674"/>
      <c r="AA3" s="6687"/>
      <c r="AB3" s="6690" t="s">
        <v>5</v>
      </c>
      <c r="AC3" s="6674" t="s">
        <v>680</v>
      </c>
      <c r="AD3" s="6674"/>
      <c r="AE3" s="6674"/>
      <c r="AF3" s="6687"/>
      <c r="AG3" s="6690" t="s">
        <v>5</v>
      </c>
      <c r="AH3" s="6674" t="s">
        <v>681</v>
      </c>
      <c r="AI3" s="6674"/>
      <c r="AJ3" s="6674"/>
      <c r="AK3" s="6687"/>
      <c r="AL3" s="6690" t="s">
        <v>5</v>
      </c>
      <c r="AM3" s="6674" t="s">
        <v>682</v>
      </c>
      <c r="AN3" s="6674"/>
      <c r="AO3" s="6674"/>
      <c r="AP3" s="6687"/>
      <c r="AQ3" s="6690" t="s">
        <v>5</v>
      </c>
      <c r="AR3" s="6674" t="s">
        <v>683</v>
      </c>
      <c r="AS3" s="6674"/>
      <c r="AT3" s="6674"/>
      <c r="AU3" s="6687"/>
      <c r="AV3" s="6690" t="s">
        <v>5</v>
      </c>
      <c r="AW3" s="6674" t="s">
        <v>684</v>
      </c>
      <c r="AX3" s="6674"/>
      <c r="AY3" s="6674"/>
      <c r="AZ3" s="6687"/>
      <c r="BA3" s="6690" t="s">
        <v>685</v>
      </c>
      <c r="BB3" s="6674"/>
      <c r="BC3" s="6674"/>
      <c r="BD3" s="6674"/>
      <c r="BE3" s="6687"/>
      <c r="BF3" s="6690" t="s">
        <v>686</v>
      </c>
      <c r="BG3" s="6674"/>
      <c r="BH3" s="6674"/>
      <c r="BI3" s="6674"/>
      <c r="BJ3" s="6687"/>
      <c r="BK3" s="6699" t="s">
        <v>687</v>
      </c>
      <c r="BL3" s="6700"/>
      <c r="BM3" s="6700"/>
      <c r="BN3" s="6700"/>
      <c r="BO3" s="6701"/>
      <c r="BP3" s="4864"/>
      <c r="BQ3" s="6702" t="s">
        <v>688</v>
      </c>
      <c r="BR3" s="6702"/>
      <c r="BS3" s="6702"/>
      <c r="BT3" s="6692" t="s">
        <v>350</v>
      </c>
      <c r="BU3" s="6692"/>
      <c r="BV3" s="6692"/>
      <c r="BW3" s="6692"/>
      <c r="BX3" s="6692" t="s">
        <v>182</v>
      </c>
      <c r="BY3" s="6692"/>
      <c r="BZ3" s="6692"/>
      <c r="CA3" s="6692"/>
      <c r="CB3" s="6693" t="s">
        <v>183</v>
      </c>
      <c r="CC3" s="6692"/>
      <c r="CD3" s="6692"/>
      <c r="CE3" s="6694"/>
      <c r="CF3" s="6692" t="s">
        <v>689</v>
      </c>
      <c r="CG3" s="6692"/>
      <c r="CH3" s="6692"/>
      <c r="CI3" s="6692"/>
      <c r="CJ3" s="6695" t="s">
        <v>5</v>
      </c>
      <c r="CK3" s="6697" t="s">
        <v>690</v>
      </c>
      <c r="CL3" s="6697"/>
      <c r="CM3" s="6697"/>
      <c r="CN3" s="6698"/>
      <c r="CO3" s="6695" t="s">
        <v>5</v>
      </c>
      <c r="CP3" s="6697" t="s">
        <v>691</v>
      </c>
      <c r="CQ3" s="6697"/>
      <c r="CR3" s="6697"/>
      <c r="CS3" s="6698"/>
      <c r="CT3" s="6701" t="s">
        <v>5</v>
      </c>
      <c r="CU3" s="6697" t="s">
        <v>692</v>
      </c>
      <c r="CV3" s="6697"/>
      <c r="CW3" s="6697"/>
      <c r="CX3" s="6698"/>
      <c r="CY3" s="6701" t="s">
        <v>5</v>
      </c>
      <c r="CZ3" s="6697" t="s">
        <v>693</v>
      </c>
      <c r="DA3" s="6697"/>
      <c r="DB3" s="6697"/>
      <c r="DC3" s="6698"/>
      <c r="DD3" s="6701" t="s">
        <v>5</v>
      </c>
      <c r="DE3" s="6697" t="s">
        <v>694</v>
      </c>
      <c r="DF3" s="6697"/>
      <c r="DG3" s="6697"/>
      <c r="DH3" s="6698"/>
      <c r="DI3" s="6701" t="s">
        <v>5</v>
      </c>
      <c r="DJ3" s="6697" t="s">
        <v>695</v>
      </c>
      <c r="DK3" s="6697"/>
      <c r="DL3" s="6697"/>
      <c r="DM3" s="6698"/>
      <c r="DN3" s="6701" t="s">
        <v>5</v>
      </c>
      <c r="DO3" s="6697" t="s">
        <v>696</v>
      </c>
      <c r="DP3" s="6697"/>
      <c r="DQ3" s="6697"/>
      <c r="DR3" s="6698"/>
      <c r="DS3" s="6701" t="s">
        <v>5</v>
      </c>
      <c r="DT3" s="6697" t="s">
        <v>697</v>
      </c>
      <c r="DU3" s="6697"/>
      <c r="DV3" s="6697"/>
      <c r="DW3" s="6698"/>
      <c r="DX3" s="6701" t="s">
        <v>5</v>
      </c>
      <c r="DY3" s="6697" t="s">
        <v>698</v>
      </c>
      <c r="DZ3" s="6697"/>
      <c r="EA3" s="6697"/>
      <c r="EB3" s="6704"/>
      <c r="EC3" s="6705" t="s">
        <v>699</v>
      </c>
      <c r="ED3" s="6697"/>
      <c r="EE3" s="6697"/>
      <c r="EF3" s="6697"/>
      <c r="EG3" s="6698"/>
      <c r="EH3" s="6705" t="s">
        <v>700</v>
      </c>
      <c r="EI3" s="6697"/>
      <c r="EJ3" s="6697"/>
      <c r="EK3" s="6697"/>
      <c r="EL3" s="6698"/>
      <c r="EM3" s="6705" t="s">
        <v>508</v>
      </c>
      <c r="EN3" s="6697"/>
      <c r="EO3" s="6697"/>
      <c r="EP3" s="6697"/>
      <c r="EQ3" s="6698"/>
      <c r="ER3" s="6705" t="s">
        <v>701</v>
      </c>
      <c r="ES3" s="6697"/>
      <c r="ET3" s="6697"/>
      <c r="EU3" s="6697"/>
      <c r="EV3" s="6698"/>
      <c r="EW3" s="6673" t="s">
        <v>702</v>
      </c>
      <c r="EX3" s="6674"/>
      <c r="EY3" s="6674"/>
      <c r="EZ3" s="6675"/>
      <c r="FA3" s="6676" t="s">
        <v>703</v>
      </c>
      <c r="FB3" s="6674"/>
      <c r="FC3" s="6674"/>
      <c r="FD3" s="6677"/>
      <c r="FE3" s="6673" t="s">
        <v>704</v>
      </c>
      <c r="FF3" s="6674"/>
      <c r="FG3" s="6674"/>
      <c r="FH3" s="6675"/>
      <c r="FI3" s="6676" t="s">
        <v>705</v>
      </c>
      <c r="FJ3" s="6673"/>
      <c r="FK3" s="6674"/>
      <c r="FL3" s="6674"/>
      <c r="FM3" s="6677"/>
      <c r="FN3" s="6712" t="s">
        <v>5</v>
      </c>
      <c r="FO3" s="6706" t="s">
        <v>211</v>
      </c>
      <c r="FP3" s="6706"/>
      <c r="FQ3" s="6706"/>
      <c r="FR3" s="6707"/>
      <c r="FS3" s="6695" t="s">
        <v>5</v>
      </c>
      <c r="FT3" s="6706" t="s">
        <v>212</v>
      </c>
      <c r="FU3" s="6706"/>
      <c r="FV3" s="6706"/>
      <c r="FW3" s="6707"/>
      <c r="FX3" s="6701" t="s">
        <v>5</v>
      </c>
      <c r="FY3" s="6708" t="s">
        <v>706</v>
      </c>
      <c r="FZ3" s="6708"/>
      <c r="GA3" s="6708"/>
      <c r="GB3" s="6709"/>
      <c r="GC3" s="6680" t="s">
        <v>5</v>
      </c>
      <c r="GD3" s="6710" t="s">
        <v>707</v>
      </c>
      <c r="GE3" s="6710"/>
      <c r="GF3" s="6710"/>
      <c r="GG3" s="6711"/>
      <c r="GH3" s="6701" t="s">
        <v>5</v>
      </c>
      <c r="GI3" s="6702" t="s">
        <v>708</v>
      </c>
      <c r="GJ3" s="6702"/>
      <c r="GK3" s="6702"/>
      <c r="GL3" s="6702"/>
      <c r="GM3" s="6701" t="s">
        <v>5</v>
      </c>
      <c r="GN3" s="6702" t="s">
        <v>216</v>
      </c>
      <c r="GO3" s="6702"/>
      <c r="GP3" s="6702"/>
      <c r="GQ3" s="6702"/>
      <c r="GR3" s="6701" t="s">
        <v>5</v>
      </c>
      <c r="GS3" s="6710" t="s">
        <v>217</v>
      </c>
      <c r="GT3" s="6710"/>
      <c r="GU3" s="6710"/>
      <c r="GV3" s="6711"/>
      <c r="GW3" s="6701" t="s">
        <v>5</v>
      </c>
      <c r="GX3" s="6710" t="s">
        <v>218</v>
      </c>
      <c r="GY3" s="6710"/>
      <c r="GZ3" s="6710"/>
      <c r="HA3" s="6711"/>
      <c r="HB3" s="6701" t="s">
        <v>5</v>
      </c>
      <c r="HC3" s="6710" t="s">
        <v>219</v>
      </c>
      <c r="HD3" s="6710"/>
      <c r="HE3" s="6710"/>
      <c r="HF3" s="6711"/>
      <c r="HG3" s="6701" t="s">
        <v>5</v>
      </c>
      <c r="HH3" s="6710" t="s">
        <v>220</v>
      </c>
      <c r="HI3" s="6710"/>
      <c r="HJ3" s="6710"/>
      <c r="HK3" s="6711"/>
      <c r="HL3" s="6701" t="s">
        <v>5</v>
      </c>
      <c r="HM3" s="6710" t="s">
        <v>221</v>
      </c>
      <c r="HN3" s="6710"/>
      <c r="HO3" s="6710"/>
      <c r="HP3" s="6711"/>
      <c r="HQ3" s="6701" t="s">
        <v>206</v>
      </c>
      <c r="HR3" s="6680"/>
      <c r="HS3" s="6680"/>
      <c r="HT3" s="6680"/>
      <c r="HU3" s="6680"/>
      <c r="HV3" s="6714" t="s">
        <v>709</v>
      </c>
      <c r="HW3" s="6680"/>
      <c r="HX3" s="6680"/>
      <c r="HY3" s="6680"/>
      <c r="HZ3" s="6715"/>
      <c r="IA3" s="6716" t="s">
        <v>710</v>
      </c>
      <c r="IB3" s="6717"/>
      <c r="IC3" s="6717"/>
      <c r="ID3" s="6718"/>
      <c r="IE3" s="6719" t="s">
        <v>711</v>
      </c>
      <c r="IF3" s="6717"/>
      <c r="IG3" s="6717"/>
      <c r="IH3" s="6718"/>
      <c r="II3" s="6716" t="s">
        <v>183</v>
      </c>
      <c r="IJ3" s="6717"/>
      <c r="IK3" s="6717"/>
      <c r="IL3" s="6718"/>
      <c r="IM3" s="6716" t="s">
        <v>712</v>
      </c>
      <c r="IN3" s="6717"/>
      <c r="IO3" s="6717"/>
      <c r="IP3" s="6720"/>
      <c r="IQ3" s="4865"/>
      <c r="IR3" s="6723" t="s">
        <v>5</v>
      </c>
      <c r="IS3" s="6706" t="s">
        <v>222</v>
      </c>
      <c r="IT3" s="6706"/>
      <c r="IU3" s="6706"/>
      <c r="IV3" s="6707"/>
      <c r="IW3" s="6695" t="s">
        <v>5</v>
      </c>
      <c r="IX3" s="6706" t="s">
        <v>223</v>
      </c>
      <c r="IY3" s="6706"/>
      <c r="IZ3" s="6706"/>
      <c r="JA3" s="6707"/>
      <c r="JB3" s="6725" t="s">
        <v>5</v>
      </c>
      <c r="JC3" s="6708" t="s">
        <v>224</v>
      </c>
      <c r="JD3" s="6708"/>
      <c r="JE3" s="6708"/>
      <c r="JF3" s="6709"/>
      <c r="JG3" s="6721" t="s">
        <v>5</v>
      </c>
      <c r="JH3" s="6710" t="s">
        <v>225</v>
      </c>
      <c r="JI3" s="6710"/>
      <c r="JJ3" s="6710"/>
      <c r="JK3" s="6711"/>
      <c r="JL3" s="6721" t="s">
        <v>5</v>
      </c>
      <c r="JM3" s="6710" t="s">
        <v>226</v>
      </c>
      <c r="JN3" s="6710"/>
      <c r="JO3" s="6710"/>
      <c r="JP3" s="6711"/>
      <c r="JQ3" s="6729" t="s">
        <v>5</v>
      </c>
      <c r="JR3" s="6710" t="s">
        <v>227</v>
      </c>
      <c r="JS3" s="6710"/>
      <c r="JT3" s="6710"/>
      <c r="JU3" s="6711"/>
      <c r="JV3" s="6725" t="s">
        <v>5</v>
      </c>
      <c r="JW3" s="6710" t="s">
        <v>228</v>
      </c>
      <c r="JX3" s="6710"/>
      <c r="JY3" s="6710"/>
      <c r="JZ3" s="6711"/>
      <c r="KA3" s="6701" t="s">
        <v>5</v>
      </c>
      <c r="KB3" s="6710" t="s">
        <v>229</v>
      </c>
      <c r="KC3" s="6710"/>
      <c r="KD3" s="6710"/>
      <c r="KE3" s="6711"/>
      <c r="KF3" s="6725" t="s">
        <v>5</v>
      </c>
      <c r="KG3" s="6710" t="s">
        <v>230</v>
      </c>
      <c r="KH3" s="6710"/>
      <c r="KI3" s="6710"/>
      <c r="KJ3" s="6711"/>
      <c r="KK3" s="6727" t="s">
        <v>5</v>
      </c>
      <c r="KL3" s="6710" t="s">
        <v>192</v>
      </c>
      <c r="KM3" s="6710"/>
      <c r="KN3" s="6710"/>
      <c r="KO3" s="6711"/>
      <c r="KP3" s="6701" t="s">
        <v>5</v>
      </c>
      <c r="KQ3" s="6710" t="s">
        <v>189</v>
      </c>
      <c r="KR3" s="6710"/>
      <c r="KS3" s="6710"/>
      <c r="KT3" s="6710"/>
      <c r="KU3" s="6731" t="s">
        <v>3</v>
      </c>
      <c r="KV3" s="6710"/>
      <c r="KW3" s="6710"/>
      <c r="KX3" s="6710"/>
      <c r="KY3" s="6711"/>
      <c r="KZ3" s="6732" t="s">
        <v>713</v>
      </c>
      <c r="LA3" s="6733"/>
      <c r="LB3" s="6733"/>
      <c r="LC3" s="6733"/>
      <c r="LD3" s="6734"/>
      <c r="LE3" s="6719" t="s">
        <v>350</v>
      </c>
      <c r="LF3" s="6717"/>
      <c r="LG3" s="6717"/>
      <c r="LH3" s="6718"/>
      <c r="LI3" s="6716" t="s">
        <v>182</v>
      </c>
      <c r="LJ3" s="6717"/>
      <c r="LK3" s="6717"/>
      <c r="LL3" s="6718"/>
      <c r="LM3" s="6716" t="s">
        <v>183</v>
      </c>
      <c r="LN3" s="6717"/>
      <c r="LO3" s="6717"/>
      <c r="LP3" s="6718"/>
      <c r="LQ3" s="6716" t="s">
        <v>712</v>
      </c>
      <c r="LR3" s="6717"/>
      <c r="LS3" s="6717"/>
      <c r="LT3" s="6718"/>
      <c r="LU3" s="4866"/>
      <c r="LV3" s="6695" t="s">
        <v>5</v>
      </c>
      <c r="LW3" s="6710" t="s">
        <v>714</v>
      </c>
      <c r="LX3" s="6710"/>
      <c r="LY3" s="6710"/>
      <c r="LZ3" s="6711"/>
      <c r="MA3" s="6712" t="s">
        <v>5</v>
      </c>
      <c r="MB3" s="6710" t="s">
        <v>715</v>
      </c>
      <c r="MC3" s="6710"/>
      <c r="MD3" s="6710"/>
      <c r="ME3" s="6711"/>
      <c r="MF3" s="6695" t="s">
        <v>5</v>
      </c>
      <c r="MG3" s="6710" t="s">
        <v>716</v>
      </c>
      <c r="MH3" s="6710"/>
      <c r="MI3" s="6710"/>
      <c r="MJ3" s="6711"/>
      <c r="MK3" s="6735" t="s">
        <v>5</v>
      </c>
      <c r="ML3" s="6710" t="s">
        <v>196</v>
      </c>
      <c r="MM3" s="6710"/>
      <c r="MN3" s="6710"/>
      <c r="MO3" s="6711"/>
      <c r="MP3" s="6735" t="s">
        <v>5</v>
      </c>
      <c r="MQ3" s="6710" t="s">
        <v>38</v>
      </c>
      <c r="MR3" s="6710"/>
      <c r="MS3" s="6710"/>
      <c r="MT3" s="6711"/>
      <c r="MU3" s="6695" t="s">
        <v>5</v>
      </c>
      <c r="MV3" s="6710" t="s">
        <v>39</v>
      </c>
      <c r="MW3" s="6710"/>
      <c r="MX3" s="6710"/>
      <c r="MY3" s="6710"/>
      <c r="MZ3" s="6725" t="s">
        <v>5</v>
      </c>
      <c r="NA3" s="6710" t="s">
        <v>197</v>
      </c>
      <c r="NB3" s="6710"/>
      <c r="NC3" s="6710"/>
      <c r="ND3" s="6711"/>
      <c r="NE3" s="6701" t="s">
        <v>5</v>
      </c>
      <c r="NF3" s="6710" t="s">
        <v>198</v>
      </c>
      <c r="NG3" s="6710"/>
      <c r="NH3" s="6710"/>
      <c r="NI3" s="6711"/>
      <c r="NJ3" s="6725" t="s">
        <v>5</v>
      </c>
      <c r="NK3" s="6710" t="s">
        <v>199</v>
      </c>
      <c r="NL3" s="6710"/>
      <c r="NM3" s="6710"/>
      <c r="NN3" s="6711"/>
      <c r="NO3" s="6725" t="s">
        <v>5</v>
      </c>
      <c r="NP3" s="6710" t="s">
        <v>207</v>
      </c>
      <c r="NQ3" s="6710"/>
      <c r="NR3" s="6710"/>
      <c r="NS3" s="6711"/>
      <c r="NT3" s="6701" t="s">
        <v>5</v>
      </c>
      <c r="NU3" s="6710" t="s">
        <v>208</v>
      </c>
      <c r="NV3" s="6710"/>
      <c r="NW3" s="6710"/>
      <c r="NX3" s="6711"/>
      <c r="NY3" s="6731" t="s">
        <v>191</v>
      </c>
      <c r="NZ3" s="6710"/>
      <c r="OA3" s="6710"/>
      <c r="OB3" s="6710"/>
      <c r="OC3" s="6711"/>
      <c r="OD3" s="6732" t="s">
        <v>717</v>
      </c>
      <c r="OE3" s="6733"/>
      <c r="OF3" s="6733"/>
      <c r="OG3" s="6733"/>
      <c r="OH3" s="6734"/>
      <c r="OI3" s="6716" t="s">
        <v>718</v>
      </c>
      <c r="OJ3" s="6719"/>
      <c r="OK3" s="6717"/>
      <c r="OL3" s="6717"/>
      <c r="OM3" s="6718"/>
      <c r="ON3" s="6716" t="s">
        <v>719</v>
      </c>
      <c r="OO3" s="6719"/>
      <c r="OP3" s="6717"/>
      <c r="OQ3" s="6717"/>
      <c r="OR3" s="6739"/>
      <c r="OS3" s="6716" t="s">
        <v>183</v>
      </c>
      <c r="OT3" s="6719"/>
      <c r="OU3" s="6717"/>
      <c r="OV3" s="6717"/>
      <c r="OW3" s="6739"/>
      <c r="OX3" s="6716" t="s">
        <v>712</v>
      </c>
      <c r="OY3" s="6719"/>
      <c r="OZ3" s="6717"/>
      <c r="PA3" s="6717"/>
      <c r="PB3" s="6718"/>
      <c r="PC3" s="4867"/>
      <c r="PD3" s="6695" t="s">
        <v>5</v>
      </c>
      <c r="PE3" s="6710" t="s">
        <v>720</v>
      </c>
      <c r="PF3" s="6710"/>
      <c r="PG3" s="6710"/>
      <c r="PH3" s="6711"/>
      <c r="PI3" s="6737" t="s">
        <v>5</v>
      </c>
      <c r="PJ3" s="6710" t="s">
        <v>580</v>
      </c>
      <c r="PK3" s="6710"/>
      <c r="PL3" s="6710"/>
      <c r="PM3" s="6711"/>
      <c r="PN3" s="6737" t="s">
        <v>5</v>
      </c>
      <c r="PO3" s="6710" t="s">
        <v>581</v>
      </c>
      <c r="PP3" s="6710"/>
      <c r="PQ3" s="6710"/>
      <c r="PR3" s="6711"/>
      <c r="PS3" s="6740" t="s">
        <v>5</v>
      </c>
      <c r="PT3" s="6710" t="s">
        <v>582</v>
      </c>
      <c r="PU3" s="6710"/>
      <c r="PV3" s="6710"/>
      <c r="PW3" s="6711"/>
      <c r="PX3" s="6740" t="s">
        <v>5</v>
      </c>
      <c r="PY3" s="6710" t="s">
        <v>297</v>
      </c>
      <c r="PZ3" s="6710"/>
      <c r="QA3" s="6710"/>
      <c r="QB3" s="6711"/>
      <c r="QC3" s="6737" t="s">
        <v>5</v>
      </c>
      <c r="QD3" s="6710" t="s">
        <v>302</v>
      </c>
      <c r="QE3" s="6710"/>
      <c r="QF3" s="6710"/>
      <c r="QG3" s="6710"/>
      <c r="QH3" s="6737" t="s">
        <v>5</v>
      </c>
      <c r="QI3" s="6710" t="s">
        <v>450</v>
      </c>
      <c r="QJ3" s="6710"/>
      <c r="QK3" s="6710"/>
      <c r="QL3" s="6711"/>
      <c r="QM3" s="6737" t="s">
        <v>5</v>
      </c>
      <c r="QN3" s="6710" t="s">
        <v>451</v>
      </c>
      <c r="QO3" s="6710"/>
      <c r="QP3" s="6710"/>
      <c r="QQ3" s="6711"/>
      <c r="QR3" s="6747" t="s">
        <v>5</v>
      </c>
      <c r="QS3" s="6710" t="s">
        <v>452</v>
      </c>
      <c r="QT3" s="6710"/>
      <c r="QU3" s="6710"/>
      <c r="QV3" s="6711"/>
      <c r="QW3" s="6747" t="s">
        <v>5</v>
      </c>
      <c r="QX3" s="6710" t="s">
        <v>621</v>
      </c>
      <c r="QY3" s="6710"/>
      <c r="QZ3" s="6710"/>
      <c r="RA3" s="6711"/>
      <c r="RB3" s="6747" t="s">
        <v>5</v>
      </c>
      <c r="RC3" s="6710" t="s">
        <v>721</v>
      </c>
      <c r="RD3" s="6710"/>
      <c r="RE3" s="6710"/>
      <c r="RF3" s="6711"/>
      <c r="RG3" s="6731" t="s">
        <v>533</v>
      </c>
      <c r="RH3" s="6710"/>
      <c r="RI3" s="6710"/>
      <c r="RJ3" s="6710"/>
      <c r="RK3" s="6711"/>
      <c r="RL3" s="6760" t="s">
        <v>645</v>
      </c>
      <c r="RM3" s="6761"/>
      <c r="RN3" s="6761"/>
      <c r="RO3" s="6761"/>
      <c r="RP3" s="6762"/>
      <c r="RQ3" s="6755" t="s">
        <v>722</v>
      </c>
      <c r="RR3" s="6756"/>
      <c r="RS3" s="6757"/>
      <c r="RT3" s="6757"/>
      <c r="RU3" s="6758"/>
      <c r="RV3" s="6755" t="s">
        <v>719</v>
      </c>
      <c r="RW3" s="6756"/>
      <c r="RX3" s="6757"/>
      <c r="RY3" s="6757"/>
      <c r="RZ3" s="6759"/>
      <c r="SA3" s="6755" t="s">
        <v>183</v>
      </c>
      <c r="SB3" s="6756"/>
      <c r="SC3" s="6757"/>
      <c r="SD3" s="6757"/>
      <c r="SE3" s="6759"/>
      <c r="SF3" s="6755" t="s">
        <v>712</v>
      </c>
      <c r="SG3" s="6756"/>
      <c r="SH3" s="6757"/>
      <c r="SI3" s="6757"/>
      <c r="SJ3" s="6758"/>
      <c r="SK3" s="4868"/>
      <c r="SL3" s="6695" t="s">
        <v>5</v>
      </c>
      <c r="SM3" s="6710" t="s">
        <v>723</v>
      </c>
      <c r="SN3" s="6710"/>
      <c r="SO3" s="6710"/>
      <c r="SP3" s="6711"/>
      <c r="SQ3" s="6737" t="s">
        <v>5</v>
      </c>
      <c r="SR3" s="6710" t="s">
        <v>921</v>
      </c>
      <c r="SS3" s="6710"/>
      <c r="ST3" s="6710"/>
      <c r="SU3" s="6711"/>
      <c r="SV3" s="6753" t="s">
        <v>5</v>
      </c>
      <c r="SW3" s="6710" t="s">
        <v>922</v>
      </c>
      <c r="SX3" s="6710"/>
      <c r="SY3" s="6710"/>
      <c r="SZ3" s="6711"/>
      <c r="TA3" s="6751" t="s">
        <v>5</v>
      </c>
      <c r="TB3" s="6710" t="s">
        <v>968</v>
      </c>
      <c r="TC3" s="6710"/>
      <c r="TD3" s="6710"/>
      <c r="TE3" s="6711"/>
      <c r="TF3" s="6740" t="s">
        <v>5</v>
      </c>
      <c r="TG3" s="6710" t="s">
        <v>997</v>
      </c>
      <c r="TH3" s="6710"/>
      <c r="TI3" s="6710"/>
      <c r="TJ3" s="6711"/>
      <c r="TK3" s="6737" t="s">
        <v>5</v>
      </c>
      <c r="TL3" s="6710" t="s">
        <v>942</v>
      </c>
      <c r="TM3" s="6710"/>
      <c r="TN3" s="6710"/>
      <c r="TO3" s="6710"/>
      <c r="TP3" s="6749" t="s">
        <v>5</v>
      </c>
      <c r="TQ3" s="6710" t="s">
        <v>923</v>
      </c>
      <c r="TR3" s="6710"/>
      <c r="TS3" s="6710"/>
      <c r="TT3" s="6711"/>
      <c r="TU3" s="6749" t="s">
        <v>5</v>
      </c>
      <c r="TV3" s="6710" t="s">
        <v>924</v>
      </c>
      <c r="TW3" s="6710"/>
      <c r="TX3" s="6710"/>
      <c r="TY3" s="6711"/>
      <c r="TZ3" s="6747" t="s">
        <v>5</v>
      </c>
      <c r="UA3" s="6710" t="s">
        <v>724</v>
      </c>
      <c r="UB3" s="6710"/>
      <c r="UC3" s="6710"/>
      <c r="UD3" s="6711"/>
      <c r="UE3" s="6747" t="s">
        <v>5</v>
      </c>
      <c r="UF3" s="6710" t="s">
        <v>1056</v>
      </c>
      <c r="UG3" s="6710"/>
      <c r="UH3" s="6710"/>
      <c r="UI3" s="6711"/>
      <c r="UJ3" s="6747" t="s">
        <v>5</v>
      </c>
      <c r="UK3" s="6710" t="s">
        <v>726</v>
      </c>
      <c r="UL3" s="6710"/>
      <c r="UM3" s="6710"/>
      <c r="UN3" s="6711"/>
      <c r="UO3" s="6731" t="s">
        <v>667</v>
      </c>
      <c r="UP3" s="6710"/>
      <c r="UQ3" s="6710"/>
      <c r="UR3" s="6710"/>
      <c r="US3" s="6711"/>
      <c r="UT3" s="6732" t="s">
        <v>998</v>
      </c>
      <c r="UU3" s="6733"/>
      <c r="UV3" s="6733"/>
      <c r="UW3" s="6733"/>
      <c r="UX3" s="6734"/>
      <c r="UY3" s="6742" t="s">
        <v>350</v>
      </c>
      <c r="UZ3" s="6743"/>
      <c r="VA3" s="6744"/>
      <c r="VB3" s="6744"/>
      <c r="VC3" s="6746"/>
      <c r="VD3" s="6742" t="s">
        <v>182</v>
      </c>
      <c r="VE3" s="6743"/>
      <c r="VF3" s="6744"/>
      <c r="VG3" s="6744"/>
      <c r="VH3" s="6745"/>
      <c r="VI3" s="6742" t="s">
        <v>183</v>
      </c>
      <c r="VJ3" s="6743"/>
      <c r="VK3" s="6744"/>
      <c r="VL3" s="6744"/>
      <c r="VM3" s="6745"/>
      <c r="VN3" s="6742" t="s">
        <v>712</v>
      </c>
      <c r="VO3" s="6743"/>
      <c r="VP3" s="6744"/>
      <c r="VQ3" s="6744"/>
      <c r="VR3" s="6746"/>
    </row>
    <row r="4" spans="1:590" s="103" customFormat="1" ht="13.45" x14ac:dyDescent="0.3">
      <c r="B4" s="6679"/>
      <c r="C4" s="6681"/>
      <c r="D4" s="6681"/>
      <c r="E4" s="4869" t="s">
        <v>49</v>
      </c>
      <c r="F4" s="4869" t="s">
        <v>50</v>
      </c>
      <c r="G4" s="6684"/>
      <c r="H4" s="6686"/>
      <c r="I4" s="4870" t="s">
        <v>357</v>
      </c>
      <c r="J4" s="4870" t="s">
        <v>727</v>
      </c>
      <c r="K4" s="4870" t="s">
        <v>8</v>
      </c>
      <c r="L4" s="4871"/>
      <c r="M4" s="6689"/>
      <c r="N4" s="4870" t="s">
        <v>357</v>
      </c>
      <c r="O4" s="4870" t="s">
        <v>727</v>
      </c>
      <c r="P4" s="4870" t="s">
        <v>8</v>
      </c>
      <c r="Q4" s="4871"/>
      <c r="R4" s="6691"/>
      <c r="S4" s="4870" t="s">
        <v>51</v>
      </c>
      <c r="T4" s="4870" t="s">
        <v>727</v>
      </c>
      <c r="U4" s="4870" t="s">
        <v>8</v>
      </c>
      <c r="V4" s="4872"/>
      <c r="W4" s="6691"/>
      <c r="X4" s="4870" t="s">
        <v>51</v>
      </c>
      <c r="Y4" s="4870" t="s">
        <v>727</v>
      </c>
      <c r="Z4" s="4870" t="s">
        <v>8</v>
      </c>
      <c r="AA4" s="4871"/>
      <c r="AB4" s="6691"/>
      <c r="AC4" s="4870" t="s">
        <v>51</v>
      </c>
      <c r="AD4" s="4870" t="s">
        <v>727</v>
      </c>
      <c r="AE4" s="4870" t="s">
        <v>8</v>
      </c>
      <c r="AF4" s="4872"/>
      <c r="AG4" s="6691"/>
      <c r="AH4" s="4870" t="s">
        <v>51</v>
      </c>
      <c r="AI4" s="4870" t="s">
        <v>727</v>
      </c>
      <c r="AJ4" s="4870" t="s">
        <v>8</v>
      </c>
      <c r="AK4" s="4872"/>
      <c r="AL4" s="6691"/>
      <c r="AM4" s="4870" t="s">
        <v>51</v>
      </c>
      <c r="AN4" s="4870" t="s">
        <v>727</v>
      </c>
      <c r="AO4" s="4870" t="s">
        <v>8</v>
      </c>
      <c r="AP4" s="4872"/>
      <c r="AQ4" s="6691"/>
      <c r="AR4" s="4870" t="s">
        <v>51</v>
      </c>
      <c r="AS4" s="4870" t="s">
        <v>727</v>
      </c>
      <c r="AT4" s="4870" t="s">
        <v>8</v>
      </c>
      <c r="AU4" s="4872"/>
      <c r="AV4" s="6691"/>
      <c r="AW4" s="4873" t="s">
        <v>51</v>
      </c>
      <c r="AX4" s="4873" t="s">
        <v>727</v>
      </c>
      <c r="AY4" s="4874" t="s">
        <v>360</v>
      </c>
      <c r="AZ4" s="4872"/>
      <c r="BA4" s="4875" t="s">
        <v>5</v>
      </c>
      <c r="BB4" s="4873" t="s">
        <v>51</v>
      </c>
      <c r="BC4" s="4873" t="s">
        <v>727</v>
      </c>
      <c r="BD4" s="4873" t="s">
        <v>8</v>
      </c>
      <c r="BE4" s="4872" t="s">
        <v>9</v>
      </c>
      <c r="BF4" s="4875" t="s">
        <v>5</v>
      </c>
      <c r="BG4" s="4873" t="s">
        <v>51</v>
      </c>
      <c r="BH4" s="4873" t="s">
        <v>727</v>
      </c>
      <c r="BI4" s="4873" t="s">
        <v>8</v>
      </c>
      <c r="BJ4" s="4872" t="s">
        <v>9</v>
      </c>
      <c r="BK4" s="4875" t="s">
        <v>5</v>
      </c>
      <c r="BL4" s="4873" t="s">
        <v>357</v>
      </c>
      <c r="BM4" s="4873" t="s">
        <v>727</v>
      </c>
      <c r="BN4" s="4873" t="s">
        <v>8</v>
      </c>
      <c r="BO4" s="4876" t="s">
        <v>9</v>
      </c>
      <c r="BP4" s="4877" t="s">
        <v>5</v>
      </c>
      <c r="BQ4" s="4878" t="s">
        <v>51</v>
      </c>
      <c r="BR4" s="4878" t="s">
        <v>727</v>
      </c>
      <c r="BS4" s="4878" t="s">
        <v>8</v>
      </c>
      <c r="BT4" s="4879" t="s">
        <v>5</v>
      </c>
      <c r="BU4" s="4878" t="s">
        <v>728</v>
      </c>
      <c r="BV4" s="4878" t="s">
        <v>363</v>
      </c>
      <c r="BW4" s="4880" t="s">
        <v>9</v>
      </c>
      <c r="BX4" s="4881" t="s">
        <v>5</v>
      </c>
      <c r="BY4" s="4878" t="s">
        <v>728</v>
      </c>
      <c r="BZ4" s="4878" t="s">
        <v>363</v>
      </c>
      <c r="CA4" s="4882" t="s">
        <v>9</v>
      </c>
      <c r="CB4" s="4883" t="s">
        <v>5</v>
      </c>
      <c r="CC4" s="4878" t="s">
        <v>728</v>
      </c>
      <c r="CD4" s="4884" t="s">
        <v>363</v>
      </c>
      <c r="CE4" s="4883" t="s">
        <v>9</v>
      </c>
      <c r="CF4" s="4879" t="s">
        <v>5</v>
      </c>
      <c r="CG4" s="4884" t="s">
        <v>728</v>
      </c>
      <c r="CH4" s="4884" t="s">
        <v>363</v>
      </c>
      <c r="CI4" s="4880" t="s">
        <v>9</v>
      </c>
      <c r="CJ4" s="6696"/>
      <c r="CK4" s="4885" t="s">
        <v>51</v>
      </c>
      <c r="CL4" s="4885" t="s">
        <v>727</v>
      </c>
      <c r="CM4" s="4886" t="s">
        <v>8</v>
      </c>
      <c r="CN4" s="4887" t="s">
        <v>9</v>
      </c>
      <c r="CO4" s="6696"/>
      <c r="CP4" s="4885" t="s">
        <v>51</v>
      </c>
      <c r="CQ4" s="4885" t="s">
        <v>727</v>
      </c>
      <c r="CR4" s="4888" t="s">
        <v>8</v>
      </c>
      <c r="CS4" s="4887" t="s">
        <v>9</v>
      </c>
      <c r="CT4" s="6703"/>
      <c r="CU4" s="4885" t="s">
        <v>51</v>
      </c>
      <c r="CV4" s="4885" t="s">
        <v>727</v>
      </c>
      <c r="CW4" s="4888" t="s">
        <v>8</v>
      </c>
      <c r="CX4" s="4889" t="s">
        <v>9</v>
      </c>
      <c r="CY4" s="6703"/>
      <c r="CZ4" s="4888" t="s">
        <v>51</v>
      </c>
      <c r="DA4" s="4885" t="s">
        <v>727</v>
      </c>
      <c r="DB4" s="4888" t="s">
        <v>8</v>
      </c>
      <c r="DC4" s="4887"/>
      <c r="DD4" s="6703"/>
      <c r="DE4" s="4888" t="s">
        <v>51</v>
      </c>
      <c r="DF4" s="4888" t="s">
        <v>727</v>
      </c>
      <c r="DG4" s="4888" t="s">
        <v>8</v>
      </c>
      <c r="DH4" s="4889"/>
      <c r="DI4" s="6703"/>
      <c r="DJ4" s="4888" t="s">
        <v>51</v>
      </c>
      <c r="DK4" s="4888" t="s">
        <v>727</v>
      </c>
      <c r="DL4" s="4885" t="s">
        <v>8</v>
      </c>
      <c r="DM4" s="4889" t="s">
        <v>9</v>
      </c>
      <c r="DN4" s="6703"/>
      <c r="DO4" s="4888" t="s">
        <v>51</v>
      </c>
      <c r="DP4" s="4888" t="s">
        <v>727</v>
      </c>
      <c r="DQ4" s="4888" t="s">
        <v>8</v>
      </c>
      <c r="DR4" s="4889" t="s">
        <v>9</v>
      </c>
      <c r="DS4" s="6703"/>
      <c r="DT4" s="4888" t="s">
        <v>51</v>
      </c>
      <c r="DU4" s="4888" t="s">
        <v>727</v>
      </c>
      <c r="DV4" s="4888" t="s">
        <v>8</v>
      </c>
      <c r="DW4" s="4889" t="s">
        <v>9</v>
      </c>
      <c r="DX4" s="6703"/>
      <c r="DY4" s="4885" t="s">
        <v>51</v>
      </c>
      <c r="DZ4" s="4885" t="s">
        <v>727</v>
      </c>
      <c r="EA4" s="4885" t="s">
        <v>360</v>
      </c>
      <c r="EB4" s="4890" t="s">
        <v>9</v>
      </c>
      <c r="EC4" s="4891" t="s">
        <v>5</v>
      </c>
      <c r="ED4" s="4885" t="s">
        <v>51</v>
      </c>
      <c r="EE4" s="4885" t="s">
        <v>727</v>
      </c>
      <c r="EF4" s="4885" t="s">
        <v>8</v>
      </c>
      <c r="EG4" s="4889" t="s">
        <v>9</v>
      </c>
      <c r="EH4" s="4891" t="s">
        <v>5</v>
      </c>
      <c r="EI4" s="4885" t="s">
        <v>51</v>
      </c>
      <c r="EJ4" s="4885" t="s">
        <v>727</v>
      </c>
      <c r="EK4" s="4885" t="s">
        <v>8</v>
      </c>
      <c r="EL4" s="4889" t="s">
        <v>9</v>
      </c>
      <c r="EM4" s="4891" t="s">
        <v>5</v>
      </c>
      <c r="EN4" s="4885" t="s">
        <v>51</v>
      </c>
      <c r="EO4" s="4885" t="s">
        <v>727</v>
      </c>
      <c r="EP4" s="4885" t="s">
        <v>8</v>
      </c>
      <c r="EQ4" s="4889" t="s">
        <v>9</v>
      </c>
      <c r="ER4" s="4892" t="s">
        <v>5</v>
      </c>
      <c r="ES4" s="4893" t="s">
        <v>51</v>
      </c>
      <c r="ET4" s="4893" t="s">
        <v>727</v>
      </c>
      <c r="EU4" s="4893" t="s">
        <v>8</v>
      </c>
      <c r="EV4" s="4894" t="s">
        <v>9</v>
      </c>
      <c r="EW4" s="4895" t="s">
        <v>5</v>
      </c>
      <c r="EX4" s="4873" t="s">
        <v>728</v>
      </c>
      <c r="EY4" s="4873" t="s">
        <v>363</v>
      </c>
      <c r="EZ4" s="4896" t="s">
        <v>9</v>
      </c>
      <c r="FA4" s="4897" t="s">
        <v>5</v>
      </c>
      <c r="FB4" s="4873" t="s">
        <v>728</v>
      </c>
      <c r="FC4" s="4873" t="s">
        <v>363</v>
      </c>
      <c r="FD4" s="4898" t="s">
        <v>9</v>
      </c>
      <c r="FE4" s="4895" t="s">
        <v>5</v>
      </c>
      <c r="FF4" s="4873" t="s">
        <v>728</v>
      </c>
      <c r="FG4" s="4873" t="s">
        <v>363</v>
      </c>
      <c r="FH4" s="4876" t="s">
        <v>9</v>
      </c>
      <c r="FI4" s="4899" t="s">
        <v>5</v>
      </c>
      <c r="FJ4" s="4895" t="s">
        <v>51</v>
      </c>
      <c r="FK4" s="4873" t="s">
        <v>728</v>
      </c>
      <c r="FL4" s="4873" t="s">
        <v>363</v>
      </c>
      <c r="FM4" s="4900" t="s">
        <v>9</v>
      </c>
      <c r="FN4" s="6713"/>
      <c r="FO4" s="4878" t="s">
        <v>51</v>
      </c>
      <c r="FP4" s="4878" t="s">
        <v>52</v>
      </c>
      <c r="FQ4" s="4901" t="s">
        <v>8</v>
      </c>
      <c r="FR4" s="4902" t="s">
        <v>9</v>
      </c>
      <c r="FS4" s="6696"/>
      <c r="FT4" s="4878" t="s">
        <v>51</v>
      </c>
      <c r="FU4" s="4878" t="s">
        <v>52</v>
      </c>
      <c r="FV4" s="4878" t="s">
        <v>8</v>
      </c>
      <c r="FW4" s="4880" t="s">
        <v>9</v>
      </c>
      <c r="FX4" s="6703"/>
      <c r="FY4" s="4878" t="s">
        <v>51</v>
      </c>
      <c r="FZ4" s="4878" t="s">
        <v>52</v>
      </c>
      <c r="GA4" s="4878" t="s">
        <v>8</v>
      </c>
      <c r="GB4" s="4882" t="s">
        <v>9</v>
      </c>
      <c r="GC4" s="6681"/>
      <c r="GD4" s="4878" t="s">
        <v>51</v>
      </c>
      <c r="GE4" s="4878" t="s">
        <v>52</v>
      </c>
      <c r="GF4" s="4878" t="s">
        <v>8</v>
      </c>
      <c r="GG4" s="4882" t="s">
        <v>9</v>
      </c>
      <c r="GH4" s="6703"/>
      <c r="GI4" s="4883" t="s">
        <v>51</v>
      </c>
      <c r="GJ4" s="4883" t="s">
        <v>727</v>
      </c>
      <c r="GK4" s="4883" t="s">
        <v>8</v>
      </c>
      <c r="GL4" s="4883"/>
      <c r="GM4" s="6703"/>
      <c r="GN4" s="4883" t="s">
        <v>51</v>
      </c>
      <c r="GO4" s="4883" t="s">
        <v>727</v>
      </c>
      <c r="GP4" s="4883" t="s">
        <v>8</v>
      </c>
      <c r="GQ4" s="4883"/>
      <c r="GR4" s="6703"/>
      <c r="GS4" s="4883" t="s">
        <v>51</v>
      </c>
      <c r="GT4" s="4883" t="s">
        <v>727</v>
      </c>
      <c r="GU4" s="4883" t="s">
        <v>8</v>
      </c>
      <c r="GV4" s="4882" t="s">
        <v>9</v>
      </c>
      <c r="GW4" s="6703"/>
      <c r="GX4" s="4883" t="s">
        <v>51</v>
      </c>
      <c r="GY4" s="4883" t="s">
        <v>727</v>
      </c>
      <c r="GZ4" s="4883" t="s">
        <v>8</v>
      </c>
      <c r="HA4" s="4882" t="s">
        <v>9</v>
      </c>
      <c r="HB4" s="6703"/>
      <c r="HC4" s="4883" t="s">
        <v>51</v>
      </c>
      <c r="HD4" s="4883" t="s">
        <v>727</v>
      </c>
      <c r="HE4" s="4883" t="s">
        <v>8</v>
      </c>
      <c r="HF4" s="4882" t="s">
        <v>9</v>
      </c>
      <c r="HG4" s="6703"/>
      <c r="HH4" s="4883" t="s">
        <v>51</v>
      </c>
      <c r="HI4" s="4883" t="s">
        <v>727</v>
      </c>
      <c r="HJ4" s="4883" t="s">
        <v>8</v>
      </c>
      <c r="HK4" s="4882" t="s">
        <v>9</v>
      </c>
      <c r="HL4" s="6703"/>
      <c r="HM4" s="4883" t="s">
        <v>51</v>
      </c>
      <c r="HN4" s="4883" t="s">
        <v>727</v>
      </c>
      <c r="HO4" s="4883" t="s">
        <v>8</v>
      </c>
      <c r="HP4" s="4882" t="s">
        <v>9</v>
      </c>
      <c r="HQ4" s="4903" t="s">
        <v>5</v>
      </c>
      <c r="HR4" s="4904" t="s">
        <v>51</v>
      </c>
      <c r="HS4" s="4904" t="s">
        <v>727</v>
      </c>
      <c r="HT4" s="4904" t="s">
        <v>8</v>
      </c>
      <c r="HU4" s="4903" t="s">
        <v>9</v>
      </c>
      <c r="HV4" s="4905" t="s">
        <v>5</v>
      </c>
      <c r="HW4" s="4904" t="s">
        <v>51</v>
      </c>
      <c r="HX4" s="4904" t="s">
        <v>727</v>
      </c>
      <c r="HY4" s="4904" t="s">
        <v>8</v>
      </c>
      <c r="HZ4" s="4906" t="s">
        <v>9</v>
      </c>
      <c r="IA4" s="4907" t="s">
        <v>5</v>
      </c>
      <c r="IB4" s="4908" t="s">
        <v>728</v>
      </c>
      <c r="IC4" s="4908" t="s">
        <v>363</v>
      </c>
      <c r="ID4" s="4909" t="s">
        <v>9</v>
      </c>
      <c r="IE4" s="4910" t="s">
        <v>5</v>
      </c>
      <c r="IF4" s="4908" t="s">
        <v>728</v>
      </c>
      <c r="IG4" s="4908" t="s">
        <v>363</v>
      </c>
      <c r="IH4" s="4911" t="s">
        <v>9</v>
      </c>
      <c r="II4" s="4912" t="s">
        <v>5</v>
      </c>
      <c r="IJ4" s="4908" t="s">
        <v>728</v>
      </c>
      <c r="IK4" s="4908" t="s">
        <v>363</v>
      </c>
      <c r="IL4" s="4911" t="s">
        <v>9</v>
      </c>
      <c r="IM4" s="4912" t="s">
        <v>5</v>
      </c>
      <c r="IN4" s="4908" t="s">
        <v>728</v>
      </c>
      <c r="IO4" s="4908" t="s">
        <v>363</v>
      </c>
      <c r="IP4" s="4913" t="s">
        <v>9</v>
      </c>
      <c r="IQ4" s="4883"/>
      <c r="IR4" s="6724"/>
      <c r="IS4" s="4878" t="s">
        <v>136</v>
      </c>
      <c r="IT4" s="4878" t="s">
        <v>6</v>
      </c>
      <c r="IU4" s="4901" t="s">
        <v>8</v>
      </c>
      <c r="IV4" s="4902" t="s">
        <v>9</v>
      </c>
      <c r="IW4" s="6696"/>
      <c r="IX4" s="4878" t="s">
        <v>136</v>
      </c>
      <c r="IY4" s="4878" t="s">
        <v>6</v>
      </c>
      <c r="IZ4" s="4878" t="s">
        <v>8</v>
      </c>
      <c r="JA4" s="4880" t="s">
        <v>9</v>
      </c>
      <c r="JB4" s="6726"/>
      <c r="JC4" s="4878" t="s">
        <v>136</v>
      </c>
      <c r="JD4" s="4878" t="s">
        <v>52</v>
      </c>
      <c r="JE4" s="4878" t="s">
        <v>8</v>
      </c>
      <c r="JF4" s="4882" t="s">
        <v>9</v>
      </c>
      <c r="JG4" s="6722"/>
      <c r="JH4" s="4878" t="s">
        <v>51</v>
      </c>
      <c r="JI4" s="4878" t="s">
        <v>52</v>
      </c>
      <c r="JJ4" s="4878" t="s">
        <v>8</v>
      </c>
      <c r="JK4" s="4882" t="s">
        <v>9</v>
      </c>
      <c r="JL4" s="6722"/>
      <c r="JM4" s="4878" t="s">
        <v>51</v>
      </c>
      <c r="JN4" s="4878" t="s">
        <v>52</v>
      </c>
      <c r="JO4" s="4878" t="s">
        <v>8</v>
      </c>
      <c r="JP4" s="4882" t="s">
        <v>9</v>
      </c>
      <c r="JQ4" s="6730"/>
      <c r="JR4" s="4883" t="s">
        <v>51</v>
      </c>
      <c r="JS4" s="4883" t="s">
        <v>727</v>
      </c>
      <c r="JT4" s="4883" t="s">
        <v>8</v>
      </c>
      <c r="JU4" s="4882" t="s">
        <v>9</v>
      </c>
      <c r="JV4" s="6726"/>
      <c r="JW4" s="4883" t="s">
        <v>51</v>
      </c>
      <c r="JX4" s="4883" t="s">
        <v>727</v>
      </c>
      <c r="JY4" s="4883" t="s">
        <v>8</v>
      </c>
      <c r="JZ4" s="4882" t="s">
        <v>9</v>
      </c>
      <c r="KA4" s="6703"/>
      <c r="KB4" s="4883" t="s">
        <v>51</v>
      </c>
      <c r="KC4" s="4883" t="s">
        <v>727</v>
      </c>
      <c r="KD4" s="4883" t="s">
        <v>8</v>
      </c>
      <c r="KE4" s="4882" t="s">
        <v>9</v>
      </c>
      <c r="KF4" s="6726"/>
      <c r="KG4" s="4883" t="s">
        <v>51</v>
      </c>
      <c r="KH4" s="4883" t="s">
        <v>727</v>
      </c>
      <c r="KI4" s="4883" t="s">
        <v>8</v>
      </c>
      <c r="KJ4" s="4882" t="s">
        <v>9</v>
      </c>
      <c r="KK4" s="6728"/>
      <c r="KL4" s="4883" t="s">
        <v>51</v>
      </c>
      <c r="KM4" s="4883" t="s">
        <v>727</v>
      </c>
      <c r="KN4" s="4883" t="s">
        <v>8</v>
      </c>
      <c r="KO4" s="4882" t="s">
        <v>9</v>
      </c>
      <c r="KP4" s="6703"/>
      <c r="KQ4" s="4883" t="s">
        <v>51</v>
      </c>
      <c r="KR4" s="4883" t="s">
        <v>727</v>
      </c>
      <c r="KS4" s="4883" t="s">
        <v>8</v>
      </c>
      <c r="KT4" s="4883" t="s">
        <v>9</v>
      </c>
      <c r="KU4" s="4879" t="s">
        <v>5</v>
      </c>
      <c r="KV4" s="4878" t="s">
        <v>51</v>
      </c>
      <c r="KW4" s="4878" t="s">
        <v>727</v>
      </c>
      <c r="KX4" s="4878" t="s">
        <v>8</v>
      </c>
      <c r="KY4" s="4882" t="s">
        <v>9</v>
      </c>
      <c r="KZ4" s="4881" t="s">
        <v>5</v>
      </c>
      <c r="LA4" s="4878" t="s">
        <v>51</v>
      </c>
      <c r="LB4" s="4878" t="s">
        <v>727</v>
      </c>
      <c r="LC4" s="4878" t="s">
        <v>8</v>
      </c>
      <c r="LD4" s="4882" t="s">
        <v>9</v>
      </c>
      <c r="LE4" s="4904" t="s">
        <v>5</v>
      </c>
      <c r="LF4" s="4904" t="s">
        <v>728</v>
      </c>
      <c r="LG4" s="4904" t="s">
        <v>363</v>
      </c>
      <c r="LH4" s="4914" t="s">
        <v>9</v>
      </c>
      <c r="LI4" s="4915" t="s">
        <v>5</v>
      </c>
      <c r="LJ4" s="4904" t="s">
        <v>728</v>
      </c>
      <c r="LK4" s="4904" t="s">
        <v>363</v>
      </c>
      <c r="LL4" s="4916" t="s">
        <v>9</v>
      </c>
      <c r="LM4" s="4915" t="s">
        <v>5</v>
      </c>
      <c r="LN4" s="4904" t="s">
        <v>728</v>
      </c>
      <c r="LO4" s="4904" t="s">
        <v>363</v>
      </c>
      <c r="LP4" s="4916" t="s">
        <v>9</v>
      </c>
      <c r="LQ4" s="4917" t="s">
        <v>5</v>
      </c>
      <c r="LR4" s="4904" t="s">
        <v>728</v>
      </c>
      <c r="LS4" s="4904" t="s">
        <v>363</v>
      </c>
      <c r="LT4" s="4914" t="s">
        <v>9</v>
      </c>
      <c r="LU4" s="4883"/>
      <c r="LV4" s="6696"/>
      <c r="LW4" s="4878" t="s">
        <v>136</v>
      </c>
      <c r="LX4" s="4878" t="s">
        <v>6</v>
      </c>
      <c r="LY4" s="4901" t="s">
        <v>8</v>
      </c>
      <c r="LZ4" s="4880" t="s">
        <v>9</v>
      </c>
      <c r="MA4" s="6713"/>
      <c r="MB4" s="4878" t="s">
        <v>136</v>
      </c>
      <c r="MC4" s="4878" t="s">
        <v>6</v>
      </c>
      <c r="MD4" s="4878" t="s">
        <v>8</v>
      </c>
      <c r="ME4" s="4880" t="s">
        <v>9</v>
      </c>
      <c r="MF4" s="6696"/>
      <c r="MG4" s="4878" t="s">
        <v>136</v>
      </c>
      <c r="MH4" s="4878" t="s">
        <v>52</v>
      </c>
      <c r="MI4" s="4878" t="s">
        <v>8</v>
      </c>
      <c r="MJ4" s="4882" t="s">
        <v>9</v>
      </c>
      <c r="MK4" s="6736"/>
      <c r="ML4" s="4878" t="s">
        <v>51</v>
      </c>
      <c r="MM4" s="4878" t="s">
        <v>52</v>
      </c>
      <c r="MN4" s="4878" t="s">
        <v>8</v>
      </c>
      <c r="MO4" s="4882" t="s">
        <v>9</v>
      </c>
      <c r="MP4" s="6736"/>
      <c r="MQ4" s="4878" t="s">
        <v>51</v>
      </c>
      <c r="MR4" s="4878" t="s">
        <v>52</v>
      </c>
      <c r="MS4" s="4878" t="s">
        <v>8</v>
      </c>
      <c r="MT4" s="4880" t="s">
        <v>9</v>
      </c>
      <c r="MU4" s="6696"/>
      <c r="MV4" s="4878" t="s">
        <v>51</v>
      </c>
      <c r="MW4" s="4878" t="s">
        <v>727</v>
      </c>
      <c r="MX4" s="4878" t="s">
        <v>8</v>
      </c>
      <c r="MY4" s="4883" t="s">
        <v>9</v>
      </c>
      <c r="MZ4" s="6726"/>
      <c r="NA4" s="4883" t="s">
        <v>51</v>
      </c>
      <c r="NB4" s="4883" t="s">
        <v>727</v>
      </c>
      <c r="NC4" s="4883" t="s">
        <v>8</v>
      </c>
      <c r="ND4" s="4882" t="s">
        <v>9</v>
      </c>
      <c r="NE4" s="6703"/>
      <c r="NF4" s="4883" t="s">
        <v>51</v>
      </c>
      <c r="NG4" s="4883" t="s">
        <v>727</v>
      </c>
      <c r="NH4" s="4883" t="s">
        <v>8</v>
      </c>
      <c r="NI4" s="4882" t="s">
        <v>9</v>
      </c>
      <c r="NJ4" s="6726"/>
      <c r="NK4" s="4883" t="s">
        <v>51</v>
      </c>
      <c r="NL4" s="4883" t="s">
        <v>727</v>
      </c>
      <c r="NM4" s="4883" t="s">
        <v>8</v>
      </c>
      <c r="NN4" s="4882" t="s">
        <v>9</v>
      </c>
      <c r="NO4" s="6726"/>
      <c r="NP4" s="4878" t="s">
        <v>51</v>
      </c>
      <c r="NQ4" s="4878" t="s">
        <v>727</v>
      </c>
      <c r="NR4" s="4883" t="s">
        <v>8</v>
      </c>
      <c r="NS4" s="4882" t="s">
        <v>9</v>
      </c>
      <c r="NT4" s="6703"/>
      <c r="NU4" s="4883" t="s">
        <v>51</v>
      </c>
      <c r="NV4" s="4878" t="s">
        <v>727</v>
      </c>
      <c r="NW4" s="4883" t="s">
        <v>8</v>
      </c>
      <c r="NX4" s="4882" t="s">
        <v>9</v>
      </c>
      <c r="NY4" s="4879" t="s">
        <v>5</v>
      </c>
      <c r="NZ4" s="4878" t="s">
        <v>51</v>
      </c>
      <c r="OA4" s="4878" t="s">
        <v>727</v>
      </c>
      <c r="OB4" s="4878" t="s">
        <v>8</v>
      </c>
      <c r="OC4" s="4882" t="s">
        <v>9</v>
      </c>
      <c r="OD4" s="4881" t="s">
        <v>5</v>
      </c>
      <c r="OE4" s="4878" t="s">
        <v>51</v>
      </c>
      <c r="OF4" s="4878" t="s">
        <v>727</v>
      </c>
      <c r="OG4" s="4878" t="s">
        <v>8</v>
      </c>
      <c r="OH4" s="4882" t="s">
        <v>9</v>
      </c>
      <c r="OI4" s="4915" t="s">
        <v>5</v>
      </c>
      <c r="OJ4" s="4904" t="s">
        <v>357</v>
      </c>
      <c r="OK4" s="4904" t="s">
        <v>728</v>
      </c>
      <c r="OL4" s="4904" t="s">
        <v>363</v>
      </c>
      <c r="OM4" s="4914" t="s">
        <v>9</v>
      </c>
      <c r="ON4" s="4915" t="s">
        <v>5</v>
      </c>
      <c r="OO4" s="4904" t="s">
        <v>357</v>
      </c>
      <c r="OP4" s="4904" t="s">
        <v>728</v>
      </c>
      <c r="OQ4" s="4904" t="s">
        <v>363</v>
      </c>
      <c r="OR4" s="4918" t="s">
        <v>9</v>
      </c>
      <c r="OS4" s="4915" t="s">
        <v>5</v>
      </c>
      <c r="OT4" s="4904" t="s">
        <v>357</v>
      </c>
      <c r="OU4" s="4904" t="s">
        <v>728</v>
      </c>
      <c r="OV4" s="4904" t="s">
        <v>363</v>
      </c>
      <c r="OW4" s="4918" t="s">
        <v>9</v>
      </c>
      <c r="OX4" s="4917" t="s">
        <v>5</v>
      </c>
      <c r="OY4" s="4904" t="s">
        <v>357</v>
      </c>
      <c r="OZ4" s="4904" t="s">
        <v>728</v>
      </c>
      <c r="PA4" s="4904" t="s">
        <v>363</v>
      </c>
      <c r="PB4" s="4914" t="s">
        <v>9</v>
      </c>
      <c r="PC4" s="4919"/>
      <c r="PD4" s="6696"/>
      <c r="PE4" s="4878" t="s">
        <v>136</v>
      </c>
      <c r="PF4" s="4878" t="s">
        <v>6</v>
      </c>
      <c r="PG4" s="4901" t="s">
        <v>8</v>
      </c>
      <c r="PH4" s="4880" t="s">
        <v>9</v>
      </c>
      <c r="PI4" s="6738"/>
      <c r="PJ4" s="4920" t="s">
        <v>136</v>
      </c>
      <c r="PK4" s="4920" t="s">
        <v>6</v>
      </c>
      <c r="PL4" s="4920" t="s">
        <v>8</v>
      </c>
      <c r="PM4" s="4921" t="s">
        <v>9</v>
      </c>
      <c r="PN4" s="6738"/>
      <c r="PO4" s="4920" t="s">
        <v>136</v>
      </c>
      <c r="PP4" s="4920" t="s">
        <v>52</v>
      </c>
      <c r="PQ4" s="4920" t="s">
        <v>8</v>
      </c>
      <c r="PR4" s="4922" t="s">
        <v>9</v>
      </c>
      <c r="PS4" s="6741"/>
      <c r="PT4" s="4920" t="s">
        <v>51</v>
      </c>
      <c r="PU4" s="4920" t="s">
        <v>52</v>
      </c>
      <c r="PV4" s="4920" t="s">
        <v>8</v>
      </c>
      <c r="PW4" s="4922" t="s">
        <v>9</v>
      </c>
      <c r="PX4" s="6741"/>
      <c r="PY4" s="4920" t="s">
        <v>51</v>
      </c>
      <c r="PZ4" s="4920" t="s">
        <v>52</v>
      </c>
      <c r="QA4" s="4920" t="s">
        <v>8</v>
      </c>
      <c r="QB4" s="4921" t="s">
        <v>9</v>
      </c>
      <c r="QC4" s="6738"/>
      <c r="QD4" s="4920" t="s">
        <v>51</v>
      </c>
      <c r="QE4" s="4920" t="s">
        <v>727</v>
      </c>
      <c r="QF4" s="4920" t="s">
        <v>280</v>
      </c>
      <c r="QG4" s="4922" t="s">
        <v>9</v>
      </c>
      <c r="QH4" s="6738"/>
      <c r="QI4" s="4923" t="s">
        <v>51</v>
      </c>
      <c r="QJ4" s="4923" t="s">
        <v>727</v>
      </c>
      <c r="QK4" s="4923" t="s">
        <v>280</v>
      </c>
      <c r="QL4" s="4922" t="s">
        <v>9</v>
      </c>
      <c r="QM4" s="6738"/>
      <c r="QN4" s="4923" t="s">
        <v>51</v>
      </c>
      <c r="QO4" s="4923" t="s">
        <v>727</v>
      </c>
      <c r="QP4" s="4923" t="s">
        <v>280</v>
      </c>
      <c r="QQ4" s="4922" t="s">
        <v>9</v>
      </c>
      <c r="QR4" s="6748"/>
      <c r="QS4" s="4923" t="s">
        <v>51</v>
      </c>
      <c r="QT4" s="4923" t="s">
        <v>727</v>
      </c>
      <c r="QU4" s="4923" t="s">
        <v>8</v>
      </c>
      <c r="QV4" s="4922" t="s">
        <v>9</v>
      </c>
      <c r="QW4" s="6748"/>
      <c r="QX4" s="4923" t="s">
        <v>51</v>
      </c>
      <c r="QY4" s="4923" t="s">
        <v>727</v>
      </c>
      <c r="QZ4" s="4923" t="s">
        <v>8</v>
      </c>
      <c r="RA4" s="4922" t="s">
        <v>9</v>
      </c>
      <c r="RB4" s="6748"/>
      <c r="RC4" s="4923" t="s">
        <v>51</v>
      </c>
      <c r="RD4" s="4923" t="s">
        <v>727</v>
      </c>
      <c r="RE4" s="4923" t="s">
        <v>8</v>
      </c>
      <c r="RF4" s="4922" t="s">
        <v>9</v>
      </c>
      <c r="RG4" s="4924" t="s">
        <v>5</v>
      </c>
      <c r="RH4" s="4920" t="s">
        <v>51</v>
      </c>
      <c r="RI4" s="4920" t="s">
        <v>727</v>
      </c>
      <c r="RJ4" s="4920" t="s">
        <v>8</v>
      </c>
      <c r="RK4" s="4922" t="s">
        <v>9</v>
      </c>
      <c r="RL4" s="4920" t="s">
        <v>5</v>
      </c>
      <c r="RM4" s="4920" t="s">
        <v>51</v>
      </c>
      <c r="RN4" s="4920" t="s">
        <v>727</v>
      </c>
      <c r="RO4" s="4920" t="s">
        <v>8</v>
      </c>
      <c r="RP4" s="4923" t="s">
        <v>9</v>
      </c>
      <c r="RQ4" s="4924" t="s">
        <v>5</v>
      </c>
      <c r="RR4" s="4920" t="s">
        <v>357</v>
      </c>
      <c r="RS4" s="4920" t="s">
        <v>358</v>
      </c>
      <c r="RT4" s="4920" t="s">
        <v>363</v>
      </c>
      <c r="RU4" s="4921" t="s">
        <v>9</v>
      </c>
      <c r="RV4" s="4924" t="s">
        <v>5</v>
      </c>
      <c r="RW4" s="4920" t="s">
        <v>357</v>
      </c>
      <c r="RX4" s="4920" t="s">
        <v>358</v>
      </c>
      <c r="RY4" s="4920" t="s">
        <v>363</v>
      </c>
      <c r="RZ4" s="4925" t="s">
        <v>9</v>
      </c>
      <c r="SA4" s="4924" t="s">
        <v>5</v>
      </c>
      <c r="SB4" s="4920" t="s">
        <v>357</v>
      </c>
      <c r="SC4" s="4920" t="s">
        <v>728</v>
      </c>
      <c r="SD4" s="4920" t="s">
        <v>363</v>
      </c>
      <c r="SE4" s="4925" t="s">
        <v>9</v>
      </c>
      <c r="SF4" s="4926" t="s">
        <v>5</v>
      </c>
      <c r="SG4" s="4920" t="s">
        <v>357</v>
      </c>
      <c r="SH4" s="4920" t="s">
        <v>728</v>
      </c>
      <c r="SI4" s="4920" t="s">
        <v>363</v>
      </c>
      <c r="SJ4" s="4921" t="s">
        <v>9</v>
      </c>
      <c r="SK4" s="4927"/>
      <c r="SL4" s="6696"/>
      <c r="SM4" s="4878" t="s">
        <v>136</v>
      </c>
      <c r="SN4" s="4878" t="s">
        <v>6</v>
      </c>
      <c r="SO4" s="4901" t="s">
        <v>8</v>
      </c>
      <c r="SP4" s="4880" t="s">
        <v>9</v>
      </c>
      <c r="SQ4" s="6738"/>
      <c r="SR4" s="4920" t="s">
        <v>136</v>
      </c>
      <c r="SS4" s="4920" t="s">
        <v>6</v>
      </c>
      <c r="ST4" s="4920" t="s">
        <v>8</v>
      </c>
      <c r="SU4" s="4921" t="s">
        <v>9</v>
      </c>
      <c r="SV4" s="6754"/>
      <c r="SW4" s="4920" t="s">
        <v>136</v>
      </c>
      <c r="SX4" s="4920" t="s">
        <v>52</v>
      </c>
      <c r="SY4" s="4920" t="s">
        <v>8</v>
      </c>
      <c r="SZ4" s="4928" t="s">
        <v>9</v>
      </c>
      <c r="TA4" s="6752"/>
      <c r="TB4" s="4929" t="s">
        <v>136</v>
      </c>
      <c r="TC4" s="4929" t="s">
        <v>52</v>
      </c>
      <c r="TD4" s="4929" t="s">
        <v>8</v>
      </c>
      <c r="TE4" s="4928" t="s">
        <v>9</v>
      </c>
      <c r="TF4" s="6741"/>
      <c r="TG4" s="4920" t="s">
        <v>51</v>
      </c>
      <c r="TH4" s="4920" t="s">
        <v>52</v>
      </c>
      <c r="TI4" s="4920" t="s">
        <v>8</v>
      </c>
      <c r="TJ4" s="4921" t="s">
        <v>9</v>
      </c>
      <c r="TK4" s="6738"/>
      <c r="TL4" s="4920" t="s">
        <v>51</v>
      </c>
      <c r="TM4" s="4920" t="s">
        <v>52</v>
      </c>
      <c r="TN4" s="4920" t="s">
        <v>280</v>
      </c>
      <c r="TO4" s="4922" t="s">
        <v>9</v>
      </c>
      <c r="TP4" s="6750"/>
      <c r="TQ4" s="4923" t="s">
        <v>51</v>
      </c>
      <c r="TR4" s="4923" t="s">
        <v>727</v>
      </c>
      <c r="TS4" s="4923" t="s">
        <v>280</v>
      </c>
      <c r="TT4" s="4922" t="s">
        <v>9</v>
      </c>
      <c r="TU4" s="6750"/>
      <c r="TV4" s="4923" t="s">
        <v>51</v>
      </c>
      <c r="TW4" s="4923" t="s">
        <v>727</v>
      </c>
      <c r="TX4" s="4923" t="s">
        <v>280</v>
      </c>
      <c r="TY4" s="4922" t="s">
        <v>9</v>
      </c>
      <c r="TZ4" s="6748"/>
      <c r="UA4" s="4923" t="s">
        <v>51</v>
      </c>
      <c r="UB4" s="4923" t="s">
        <v>727</v>
      </c>
      <c r="UC4" s="4923" t="s">
        <v>8</v>
      </c>
      <c r="UD4" s="4922" t="s">
        <v>9</v>
      </c>
      <c r="UE4" s="6748"/>
      <c r="UF4" s="4923" t="s">
        <v>51</v>
      </c>
      <c r="UG4" s="4923" t="s">
        <v>727</v>
      </c>
      <c r="UH4" s="4923" t="s">
        <v>8</v>
      </c>
      <c r="UI4" s="4922" t="s">
        <v>9</v>
      </c>
      <c r="UJ4" s="6748"/>
      <c r="UK4" s="4923" t="s">
        <v>51</v>
      </c>
      <c r="UL4" s="4923" t="s">
        <v>727</v>
      </c>
      <c r="UM4" s="4923" t="s">
        <v>8</v>
      </c>
      <c r="UN4" s="4922" t="s">
        <v>9</v>
      </c>
      <c r="UO4" s="4924" t="s">
        <v>5</v>
      </c>
      <c r="UP4" s="4920" t="s">
        <v>51</v>
      </c>
      <c r="UQ4" s="4920" t="s">
        <v>727</v>
      </c>
      <c r="UR4" s="4920" t="s">
        <v>8</v>
      </c>
      <c r="US4" s="4922" t="s">
        <v>9</v>
      </c>
      <c r="UT4" s="4920" t="s">
        <v>5</v>
      </c>
      <c r="UU4" s="4920" t="s">
        <v>51</v>
      </c>
      <c r="UV4" s="4920" t="s">
        <v>727</v>
      </c>
      <c r="UW4" s="4920" t="s">
        <v>8</v>
      </c>
      <c r="UX4" s="4923" t="s">
        <v>9</v>
      </c>
      <c r="UY4" s="4145" t="s">
        <v>5</v>
      </c>
      <c r="UZ4" s="4143" t="s">
        <v>357</v>
      </c>
      <c r="VA4" s="4143" t="s">
        <v>358</v>
      </c>
      <c r="VB4" s="4143" t="s">
        <v>363</v>
      </c>
      <c r="VC4" s="4144" t="s">
        <v>9</v>
      </c>
      <c r="VD4" s="4145" t="s">
        <v>5</v>
      </c>
      <c r="VE4" s="4143" t="s">
        <v>357</v>
      </c>
      <c r="VF4" s="4143" t="s">
        <v>358</v>
      </c>
      <c r="VG4" s="4143" t="s">
        <v>363</v>
      </c>
      <c r="VH4" s="4146" t="s">
        <v>9</v>
      </c>
      <c r="VI4" s="4145" t="s">
        <v>5</v>
      </c>
      <c r="VJ4" s="4143" t="s">
        <v>357</v>
      </c>
      <c r="VK4" s="4143" t="s">
        <v>728</v>
      </c>
      <c r="VL4" s="4143" t="s">
        <v>363</v>
      </c>
      <c r="VM4" s="4146" t="s">
        <v>9</v>
      </c>
      <c r="VN4" s="4147" t="s">
        <v>5</v>
      </c>
      <c r="VO4" s="4143" t="s">
        <v>357</v>
      </c>
      <c r="VP4" s="4143" t="s">
        <v>728</v>
      </c>
      <c r="VQ4" s="4143" t="s">
        <v>363</v>
      </c>
      <c r="VR4" s="4144" t="s">
        <v>9</v>
      </c>
    </row>
    <row r="5" spans="1:590" s="5748" customFormat="1" hidden="1" x14ac:dyDescent="0.3">
      <c r="A5" s="5675"/>
      <c r="B5" s="5676" t="s">
        <v>729</v>
      </c>
      <c r="C5" s="5677" t="s">
        <v>730</v>
      </c>
      <c r="D5" s="5678" t="s">
        <v>731</v>
      </c>
      <c r="E5" s="5679"/>
      <c r="F5" s="5679"/>
      <c r="G5" s="5680">
        <v>260000</v>
      </c>
      <c r="H5" s="5681"/>
      <c r="I5" s="5682"/>
      <c r="J5" s="5682"/>
      <c r="K5" s="5682">
        <f t="shared" ref="K5:K15" si="0">J5-I5</f>
        <v>0</v>
      </c>
      <c r="L5" s="5683" t="e">
        <f>K5/J5</f>
        <v>#DIV/0!</v>
      </c>
      <c r="M5" s="5684"/>
      <c r="N5" s="5685"/>
      <c r="O5" s="5685"/>
      <c r="P5" s="5685">
        <f t="shared" ref="P5:P15" si="1">O5-N5</f>
        <v>0</v>
      </c>
      <c r="Q5" s="5686" t="e">
        <f>P5/O5</f>
        <v>#DIV/0!</v>
      </c>
      <c r="R5" s="5684"/>
      <c r="S5" s="5682"/>
      <c r="T5" s="5682"/>
      <c r="U5" s="5682">
        <f t="shared" ref="U5:U24" si="2">T5-S5</f>
        <v>0</v>
      </c>
      <c r="V5" s="5683" t="s">
        <v>732</v>
      </c>
      <c r="W5" s="5687"/>
      <c r="X5" s="5682"/>
      <c r="Y5" s="5682"/>
      <c r="Z5" s="5682">
        <f t="shared" ref="Z5:Z24" si="3">Y5-X5</f>
        <v>0</v>
      </c>
      <c r="AA5" s="5683" t="s">
        <v>732</v>
      </c>
      <c r="AB5" s="5687"/>
      <c r="AC5" s="5682"/>
      <c r="AD5" s="5682">
        <v>0</v>
      </c>
      <c r="AE5" s="5682">
        <f t="shared" ref="AE5:AE24" si="4">AD5-AC5</f>
        <v>0</v>
      </c>
      <c r="AF5" s="5683" t="s">
        <v>732</v>
      </c>
      <c r="AG5" s="5688"/>
      <c r="AH5" s="5682">
        <v>0</v>
      </c>
      <c r="AI5" s="5689">
        <v>0</v>
      </c>
      <c r="AJ5" s="5689">
        <f t="shared" ref="AJ5:AJ24" si="5">AI5-AH5</f>
        <v>0</v>
      </c>
      <c r="AK5" s="5683" t="s">
        <v>732</v>
      </c>
      <c r="AL5" s="5684" t="s">
        <v>732</v>
      </c>
      <c r="AM5" s="5690">
        <v>0</v>
      </c>
      <c r="AN5" s="5690">
        <v>0</v>
      </c>
      <c r="AO5" s="5690" t="s">
        <v>732</v>
      </c>
      <c r="AP5" s="5686"/>
      <c r="AQ5" s="5687"/>
      <c r="AR5" s="5691"/>
      <c r="AS5" s="5691"/>
      <c r="AT5" s="5691"/>
      <c r="AU5" s="5683"/>
      <c r="AV5" s="5684"/>
      <c r="AW5" s="5692"/>
      <c r="AX5" s="5692"/>
      <c r="AY5" s="5692"/>
      <c r="AZ5" s="5683"/>
      <c r="BA5" s="5687"/>
      <c r="BB5" s="5692"/>
      <c r="BC5" s="5692"/>
      <c r="BD5" s="5692"/>
      <c r="BE5" s="5683"/>
      <c r="BF5" s="5684"/>
      <c r="BG5" s="5690"/>
      <c r="BH5" s="5693"/>
      <c r="BI5" s="5693"/>
      <c r="BJ5" s="5686"/>
      <c r="BK5" s="5684"/>
      <c r="BL5" s="5690"/>
      <c r="BM5" s="5693"/>
      <c r="BN5" s="5693"/>
      <c r="BO5" s="5694"/>
      <c r="BP5" s="5695"/>
      <c r="BQ5" s="5696">
        <f t="shared" ref="BQ5:BR7" si="6">AW5+AR5+AM5+AH5+AC5+X5+S5+N5+I5+BB5+BG5</f>
        <v>0</v>
      </c>
      <c r="BR5" s="5697">
        <f t="shared" si="6"/>
        <v>0</v>
      </c>
      <c r="BS5" s="5698">
        <f t="shared" ref="BS5:BS31" si="7">BR5-BQ5</f>
        <v>0</v>
      </c>
      <c r="BT5" s="5699"/>
      <c r="BU5" s="5699"/>
      <c r="BV5" s="5699"/>
      <c r="BW5" s="5700"/>
      <c r="BX5" s="5699"/>
      <c r="BY5" s="5699"/>
      <c r="BZ5" s="5699"/>
      <c r="CA5" s="5699"/>
      <c r="CB5" s="5701"/>
      <c r="CC5" s="5699"/>
      <c r="CD5" s="5699"/>
      <c r="CE5" s="5702"/>
      <c r="CF5" s="5699"/>
      <c r="CG5" s="5699"/>
      <c r="CH5" s="5699"/>
      <c r="CI5" s="5699"/>
      <c r="CJ5" s="5703"/>
      <c r="CK5" s="5682"/>
      <c r="CL5" s="5682"/>
      <c r="CM5" s="5704"/>
      <c r="CN5" s="5705"/>
      <c r="CO5" s="5703"/>
      <c r="CP5" s="5682"/>
      <c r="CQ5" s="5682"/>
      <c r="CR5" s="5706"/>
      <c r="CS5" s="5705"/>
      <c r="CT5" s="5703"/>
      <c r="CU5" s="5682"/>
      <c r="CV5" s="5682"/>
      <c r="CW5" s="5706"/>
      <c r="CX5" s="5705"/>
      <c r="CY5" s="5703"/>
      <c r="CZ5" s="5706"/>
      <c r="DA5" s="5682"/>
      <c r="DB5" s="5706"/>
      <c r="DC5" s="5705"/>
      <c r="DD5" s="5707"/>
      <c r="DE5" s="5706"/>
      <c r="DF5" s="5706"/>
      <c r="DG5" s="5706"/>
      <c r="DH5" s="5708"/>
      <c r="DI5" s="5703"/>
      <c r="DJ5" s="5706"/>
      <c r="DK5" s="5706"/>
      <c r="DL5" s="5682"/>
      <c r="DM5" s="5708"/>
      <c r="DN5" s="5709"/>
      <c r="DO5" s="5706"/>
      <c r="DP5" s="5706"/>
      <c r="DQ5" s="5706"/>
      <c r="DR5" s="5708"/>
      <c r="DS5" s="5703"/>
      <c r="DT5" s="5706"/>
      <c r="DU5" s="5706"/>
      <c r="DV5" s="5706"/>
      <c r="DW5" s="5705"/>
      <c r="DX5" s="5703"/>
      <c r="DY5" s="5682"/>
      <c r="DZ5" s="5682"/>
      <c r="EA5" s="5682"/>
      <c r="EB5" s="5710"/>
      <c r="EC5" s="5703"/>
      <c r="ED5" s="5682"/>
      <c r="EE5" s="5682"/>
      <c r="EF5" s="5706"/>
      <c r="EG5" s="5708"/>
      <c r="EH5" s="5707"/>
      <c r="EI5" s="5682"/>
      <c r="EJ5" s="5682"/>
      <c r="EK5" s="5682"/>
      <c r="EL5" s="5705"/>
      <c r="EM5" s="5703"/>
      <c r="EN5" s="5682"/>
      <c r="EO5" s="5682"/>
      <c r="EP5" s="5706"/>
      <c r="EQ5" s="5705"/>
      <c r="ER5" s="5711"/>
      <c r="ES5" s="5712"/>
      <c r="ET5" s="5712"/>
      <c r="EU5" s="5712"/>
      <c r="EV5" s="5713"/>
      <c r="EW5" s="5714"/>
      <c r="EX5" s="5682"/>
      <c r="EY5" s="5682"/>
      <c r="EZ5" s="5715"/>
      <c r="FA5" s="5707"/>
      <c r="FB5" s="5706"/>
      <c r="FC5" s="5706"/>
      <c r="FD5" s="5705"/>
      <c r="FE5" s="5716"/>
      <c r="FF5" s="5706"/>
      <c r="FG5" s="5706"/>
      <c r="FH5" s="5715"/>
      <c r="FI5" s="5707"/>
      <c r="FJ5" s="5716"/>
      <c r="FK5" s="5706"/>
      <c r="FL5" s="5706"/>
      <c r="FM5" s="5705"/>
      <c r="FN5" s="5717"/>
      <c r="FO5" s="5718"/>
      <c r="FP5" s="5718"/>
      <c r="FQ5" s="5719"/>
      <c r="FR5" s="5720"/>
      <c r="FS5" s="5721"/>
      <c r="FT5" s="5718"/>
      <c r="FU5" s="5718"/>
      <c r="FV5" s="5718"/>
      <c r="FW5" s="5722"/>
      <c r="FX5" s="5721"/>
      <c r="FY5" s="5719"/>
      <c r="FZ5" s="5719"/>
      <c r="GA5" s="5719"/>
      <c r="GB5" s="5722"/>
      <c r="GC5" s="5719"/>
      <c r="GD5" s="5718"/>
      <c r="GE5" s="5718"/>
      <c r="GF5" s="5719"/>
      <c r="GG5" s="5722"/>
      <c r="GH5" s="5719"/>
      <c r="GI5" s="5719"/>
      <c r="GJ5" s="5719"/>
      <c r="GK5" s="5719"/>
      <c r="GL5" s="5719"/>
      <c r="GM5" s="5719"/>
      <c r="GN5" s="5719"/>
      <c r="GO5" s="5719"/>
      <c r="GP5" s="5719"/>
      <c r="GQ5" s="5719"/>
      <c r="GR5" s="5719"/>
      <c r="GS5" s="5719"/>
      <c r="GT5" s="5719"/>
      <c r="GU5" s="5719"/>
      <c r="GV5" s="5722"/>
      <c r="GW5" s="5719"/>
      <c r="GX5" s="5719"/>
      <c r="GY5" s="5719"/>
      <c r="GZ5" s="5719"/>
      <c r="HA5" s="5722"/>
      <c r="HB5" s="5719"/>
      <c r="HC5" s="5719"/>
      <c r="HD5" s="5719"/>
      <c r="HE5" s="5719"/>
      <c r="HF5" s="5722"/>
      <c r="HG5" s="5719"/>
      <c r="HH5" s="5719"/>
      <c r="HI5" s="5719"/>
      <c r="HJ5" s="5719"/>
      <c r="HK5" s="5722"/>
      <c r="HL5" s="5719"/>
      <c r="HM5" s="5719"/>
      <c r="HN5" s="5719"/>
      <c r="HO5" s="5719"/>
      <c r="HP5" s="5722"/>
      <c r="HQ5" s="5719"/>
      <c r="HR5" s="5719"/>
      <c r="HS5" s="5719"/>
      <c r="HT5" s="5719"/>
      <c r="HU5" s="5719"/>
      <c r="HV5" s="5723">
        <f t="shared" ref="HV5:HV35" si="8">(FN5+FS5+FX5+GC5+GH5+GM5+GR5+GW5+HB5+HG5+HL5+HQ5)/12</f>
        <v>0</v>
      </c>
      <c r="HW5" s="5724">
        <f t="shared" ref="HW5:HY35" si="9">FO5+FT5+FY5+GD5+GI5+GN5+GS5+GX5+HC5+HH5+HM5+HR5</f>
        <v>0</v>
      </c>
      <c r="HX5" s="5724">
        <f t="shared" si="9"/>
        <v>0</v>
      </c>
      <c r="HY5" s="5724">
        <f t="shared" si="9"/>
        <v>0</v>
      </c>
      <c r="HZ5" s="5725"/>
      <c r="IA5" s="5726"/>
      <c r="IB5" s="5727"/>
      <c r="IC5" s="5727"/>
      <c r="ID5" s="5728"/>
      <c r="IE5" s="5729"/>
      <c r="IF5" s="5727"/>
      <c r="IG5" s="5727"/>
      <c r="IH5" s="5728"/>
      <c r="II5" s="5730"/>
      <c r="IJ5" s="5727"/>
      <c r="IK5" s="5727"/>
      <c r="IL5" s="5728"/>
      <c r="IM5" s="5731"/>
      <c r="IN5" s="5727"/>
      <c r="IO5" s="5727"/>
      <c r="IP5" s="5732"/>
      <c r="IQ5" s="5719"/>
      <c r="IR5" s="5733"/>
      <c r="IS5" s="5718"/>
      <c r="IT5" s="5718"/>
      <c r="IU5" s="5719"/>
      <c r="IV5" s="5720"/>
      <c r="IW5" s="5721"/>
      <c r="IX5" s="5718"/>
      <c r="IY5" s="5718"/>
      <c r="IZ5" s="5718"/>
      <c r="JA5" s="5722"/>
      <c r="JB5" s="5734"/>
      <c r="JC5" s="5719"/>
      <c r="JD5" s="5719"/>
      <c r="JE5" s="5719"/>
      <c r="JF5" s="5722"/>
      <c r="JG5" s="5735"/>
      <c r="JH5" s="5718"/>
      <c r="JI5" s="5718"/>
      <c r="JJ5" s="5719"/>
      <c r="JK5" s="5722"/>
      <c r="JL5" s="5717"/>
      <c r="JM5" s="5719"/>
      <c r="JN5" s="5719"/>
      <c r="JO5" s="5719"/>
      <c r="JP5" s="5719"/>
      <c r="JQ5" s="5736"/>
      <c r="JR5" s="5719"/>
      <c r="JS5" s="5719"/>
      <c r="JT5" s="5719"/>
      <c r="JU5" s="5719"/>
      <c r="JV5" s="5737"/>
      <c r="JW5" s="5719"/>
      <c r="JX5" s="5719"/>
      <c r="JY5" s="5719"/>
      <c r="JZ5" s="5722"/>
      <c r="KA5" s="5719"/>
      <c r="KB5" s="5719"/>
      <c r="KC5" s="5719"/>
      <c r="KD5" s="5719"/>
      <c r="KE5" s="5722"/>
      <c r="KF5" s="5735"/>
      <c r="KG5" s="5719"/>
      <c r="KH5" s="5719"/>
      <c r="KI5" s="5719"/>
      <c r="KJ5" s="5722"/>
      <c r="KK5" s="5735"/>
      <c r="KL5" s="5719"/>
      <c r="KM5" s="5719"/>
      <c r="KN5" s="5719"/>
      <c r="KO5" s="5722"/>
      <c r="KP5" s="5738"/>
      <c r="KQ5" s="5719"/>
      <c r="KR5" s="5719"/>
      <c r="KS5" s="5719"/>
      <c r="KT5" s="5719"/>
      <c r="KU5" s="5738"/>
      <c r="KV5" s="5719"/>
      <c r="KW5" s="5719"/>
      <c r="KX5" s="5719"/>
      <c r="KY5" s="5722"/>
      <c r="KZ5" s="5739">
        <f t="shared" ref="KZ5:KZ31" si="10">(IR5+IW5+JB5+JG5+JL5+JQ5+JV5+KA5+KF5+KK5+KP5+KU5)/12</f>
        <v>0</v>
      </c>
      <c r="LA5" s="5740">
        <f t="shared" ref="LA5:LC36" si="11">IS5+IX5+JC5+JH5+JM5+JR5+JW5+KB5+KG5+KL5+KQ5+KV5</f>
        <v>0</v>
      </c>
      <c r="LB5" s="5740">
        <f t="shared" si="11"/>
        <v>0</v>
      </c>
      <c r="LC5" s="5740">
        <f t="shared" si="11"/>
        <v>0</v>
      </c>
      <c r="LD5" s="5741"/>
      <c r="LE5" s="5742"/>
      <c r="LF5" s="5743"/>
      <c r="LG5" s="5743"/>
      <c r="LH5" s="5744"/>
      <c r="LI5" s="5745"/>
      <c r="LJ5" s="5743"/>
      <c r="LK5" s="5743"/>
      <c r="LL5" s="5744"/>
      <c r="LM5" s="5746"/>
      <c r="LN5" s="5743"/>
      <c r="LO5" s="5743"/>
      <c r="LP5" s="5744"/>
      <c r="LQ5" s="5745"/>
      <c r="LR5" s="5743"/>
      <c r="LS5" s="5743"/>
      <c r="LT5" s="5747"/>
      <c r="LV5" s="5749"/>
      <c r="LW5" s="5750"/>
      <c r="LX5" s="5750"/>
      <c r="LY5" s="5750"/>
      <c r="LZ5" s="5751"/>
      <c r="MF5" s="5752"/>
      <c r="MG5" s="5750"/>
      <c r="MH5" s="5750"/>
      <c r="MI5" s="5750"/>
      <c r="MJ5" s="5741"/>
      <c r="MK5" s="5753"/>
      <c r="MN5" s="372">
        <f t="shared" ref="MN5:MN56" si="12">MM5-ML5</f>
        <v>0</v>
      </c>
      <c r="MP5" s="5753"/>
      <c r="MQ5" s="5750"/>
      <c r="MR5" s="5750"/>
      <c r="MS5" s="5750"/>
      <c r="MT5" s="5754"/>
      <c r="MU5" s="5755"/>
      <c r="MV5" s="5756"/>
      <c r="MW5" s="5756"/>
      <c r="MX5" s="5756"/>
      <c r="MY5" s="5757"/>
      <c r="MZ5" s="5758"/>
      <c r="NA5" s="5750"/>
      <c r="NB5" s="5750"/>
      <c r="NC5" s="5750"/>
      <c r="ND5" s="5750"/>
      <c r="NO5" s="5759"/>
      <c r="NP5" s="5760"/>
      <c r="NQ5" s="5760"/>
      <c r="NR5" s="5759"/>
      <c r="NT5" s="5750"/>
      <c r="NU5" s="5750"/>
      <c r="NV5" s="5761"/>
      <c r="NW5" s="5750"/>
      <c r="NX5" s="5741"/>
      <c r="NY5" s="5762"/>
      <c r="NZ5" s="5756"/>
      <c r="OA5" s="5756"/>
      <c r="OB5" s="5757"/>
      <c r="OC5" s="5741"/>
      <c r="OE5" s="5763"/>
      <c r="OF5" s="5763"/>
      <c r="OG5" s="5761"/>
      <c r="OH5" s="5741"/>
      <c r="OI5" s="5758"/>
      <c r="OJ5" s="5750"/>
      <c r="OK5" s="5750"/>
      <c r="OL5" s="5750"/>
      <c r="OM5" s="5754"/>
      <c r="ON5" s="5758"/>
      <c r="OO5" s="5761"/>
      <c r="OP5" s="5761"/>
      <c r="OQ5" s="5761"/>
      <c r="OR5" s="5764"/>
      <c r="OS5" s="5758"/>
      <c r="OT5" s="5750"/>
      <c r="OU5" s="5750"/>
      <c r="OV5" s="5750"/>
      <c r="OW5" s="5764"/>
      <c r="OX5" s="5758"/>
      <c r="OY5" s="5750"/>
      <c r="OZ5" s="5750"/>
      <c r="PA5" s="5750"/>
      <c r="PB5" s="5741"/>
      <c r="PD5" s="5749"/>
      <c r="PE5" s="5750"/>
      <c r="PF5" s="5750"/>
      <c r="PG5" s="5750"/>
      <c r="PH5" s="5751"/>
      <c r="PI5" s="5738"/>
      <c r="PJ5" s="5719"/>
      <c r="PK5" s="5719"/>
      <c r="PL5" s="5719"/>
      <c r="PM5" s="5719"/>
      <c r="PN5" s="5765"/>
      <c r="PO5" s="5719"/>
      <c r="PP5" s="5719"/>
      <c r="PQ5" s="5719"/>
      <c r="PR5" s="5722"/>
      <c r="PS5" s="5766"/>
      <c r="PT5" s="5767"/>
      <c r="PU5" s="5767"/>
      <c r="PV5" s="5768">
        <f t="shared" ref="PV5:PV56" si="13">PU5-PT5</f>
        <v>0</v>
      </c>
      <c r="PW5" s="5767"/>
      <c r="PX5" s="5769"/>
      <c r="PY5" s="5719"/>
      <c r="PZ5" s="5719"/>
      <c r="QA5" s="5719"/>
      <c r="QB5" s="5770"/>
      <c r="QC5" s="2099"/>
      <c r="QD5" s="2094"/>
      <c r="QE5" s="2094"/>
      <c r="QF5" s="2094"/>
      <c r="QG5" s="5767"/>
      <c r="QH5" s="5771"/>
      <c r="QI5" s="5719"/>
      <c r="QJ5" s="5719"/>
      <c r="QK5" s="5719"/>
      <c r="QL5" s="5719"/>
      <c r="QM5" s="5765"/>
      <c r="QN5" s="5719"/>
      <c r="QO5" s="5719"/>
      <c r="QP5" s="5719"/>
      <c r="QQ5" s="5719"/>
      <c r="QR5" s="5719"/>
      <c r="QS5" s="5719"/>
      <c r="QT5" s="5719"/>
      <c r="QU5" s="5719"/>
      <c r="QV5" s="5772"/>
      <c r="QW5" s="5767"/>
      <c r="QX5" s="2094"/>
      <c r="QY5" s="2094"/>
      <c r="QZ5" s="5767"/>
      <c r="RA5" s="5767"/>
      <c r="RB5" s="5719"/>
      <c r="RC5" s="5719"/>
      <c r="RD5" s="5718"/>
      <c r="RE5" s="5719"/>
      <c r="RF5" s="5722"/>
      <c r="RG5" s="2102"/>
      <c r="RH5" s="2094"/>
      <c r="RI5" s="2094"/>
      <c r="RJ5" s="5767"/>
      <c r="RK5" s="5722"/>
      <c r="RL5" s="5767"/>
      <c r="RM5" s="2094"/>
      <c r="RN5" s="2094"/>
      <c r="RO5" s="2094"/>
      <c r="RP5" s="5767"/>
      <c r="RQ5" s="5738"/>
      <c r="RR5" s="5719"/>
      <c r="RS5" s="5719"/>
      <c r="RT5" s="5719"/>
      <c r="RU5" s="5770"/>
      <c r="RV5" s="5738"/>
      <c r="RW5" s="5718"/>
      <c r="RX5" s="5718"/>
      <c r="RY5" s="5718"/>
      <c r="RZ5" s="5773"/>
      <c r="SA5" s="5738"/>
      <c r="SB5" s="5719"/>
      <c r="SC5" s="5719"/>
      <c r="SD5" s="5719"/>
      <c r="SE5" s="5773"/>
      <c r="SF5" s="5738"/>
      <c r="SG5" s="5719"/>
      <c r="SH5" s="5719"/>
      <c r="SI5" s="5719"/>
      <c r="SJ5" s="5722"/>
      <c r="SL5" s="5774"/>
      <c r="SM5" s="5757"/>
      <c r="SN5" s="5757"/>
      <c r="SO5" s="5757"/>
      <c r="SP5" s="5775"/>
      <c r="SQ5" s="5776"/>
      <c r="SR5" s="5767"/>
      <c r="SS5" s="5767"/>
      <c r="ST5" s="5767"/>
      <c r="SU5" s="5767"/>
      <c r="SV5" s="5765"/>
      <c r="SW5" s="5719"/>
      <c r="SX5" s="5719"/>
      <c r="SY5" s="5719"/>
      <c r="SZ5" s="5722"/>
      <c r="TA5" s="5769"/>
      <c r="TB5" s="5719"/>
      <c r="TC5" s="5719"/>
      <c r="TD5" s="5777">
        <f t="shared" ref="TD5:TD56" si="14">TC5-TB5</f>
        <v>0</v>
      </c>
      <c r="TE5" s="5719"/>
      <c r="TF5" s="5769"/>
      <c r="TG5" s="5719"/>
      <c r="TH5" s="5719"/>
      <c r="TI5" s="5719"/>
      <c r="TJ5" s="5770"/>
      <c r="TK5" s="2099"/>
      <c r="TL5" s="2094"/>
      <c r="TM5" s="2094"/>
      <c r="TN5" s="2094"/>
      <c r="TO5" s="5767"/>
      <c r="TP5" s="5778"/>
      <c r="TQ5" s="5719"/>
      <c r="TR5" s="5719"/>
      <c r="TS5" s="5719"/>
      <c r="TT5" s="5719"/>
      <c r="TU5" s="5779"/>
      <c r="TV5" s="5767"/>
      <c r="TW5" s="5767"/>
      <c r="TX5" s="5767"/>
      <c r="TY5" s="5767"/>
      <c r="TZ5" s="5767"/>
      <c r="UA5" s="5767"/>
      <c r="UB5" s="5767"/>
      <c r="UC5" s="5767"/>
      <c r="UD5" s="5772"/>
      <c r="UE5" s="5767"/>
      <c r="UF5" s="2094"/>
      <c r="UG5" s="2094"/>
      <c r="UH5" s="5767"/>
      <c r="UI5" s="5767"/>
      <c r="UJ5" s="5719"/>
      <c r="UK5" s="5719"/>
      <c r="UL5" s="5718"/>
      <c r="UM5" s="5719"/>
      <c r="UN5" s="5722"/>
      <c r="UO5" s="2102"/>
      <c r="UP5" s="2094"/>
      <c r="UQ5" s="2094"/>
      <c r="UR5" s="5767"/>
      <c r="US5" s="5722"/>
      <c r="UT5" s="5719"/>
      <c r="UU5" s="5718"/>
      <c r="UV5" s="5718"/>
      <c r="UW5" s="5718"/>
      <c r="UX5" s="5719"/>
      <c r="UY5" s="5738"/>
      <c r="UZ5" s="5719"/>
      <c r="VA5" s="5719"/>
      <c r="VB5" s="5719"/>
      <c r="VC5" s="5770"/>
      <c r="VD5" s="5738"/>
      <c r="VE5" s="5718"/>
      <c r="VF5" s="5718"/>
      <c r="VG5" s="5718"/>
      <c r="VH5" s="5773"/>
      <c r="VI5" s="5738"/>
      <c r="VJ5" s="5719"/>
      <c r="VK5" s="5719"/>
      <c r="VL5" s="5719"/>
      <c r="VM5" s="5773"/>
      <c r="VN5" s="5738"/>
      <c r="VO5" s="5719"/>
      <c r="VP5" s="5719"/>
      <c r="VQ5" s="5719"/>
      <c r="VR5" s="5722"/>
    </row>
    <row r="6" spans="1:590" s="5748" customFormat="1" hidden="1" x14ac:dyDescent="0.3">
      <c r="A6" s="5675"/>
      <c r="B6" s="654" t="s">
        <v>729</v>
      </c>
      <c r="C6" s="5780" t="s">
        <v>730</v>
      </c>
      <c r="D6" s="5781" t="s">
        <v>733</v>
      </c>
      <c r="E6" s="5782"/>
      <c r="F6" s="5782"/>
      <c r="G6" s="5783">
        <v>1150000</v>
      </c>
      <c r="H6" s="5784"/>
      <c r="I6" s="5785"/>
      <c r="J6" s="5785"/>
      <c r="K6" s="5785">
        <f t="shared" si="0"/>
        <v>0</v>
      </c>
      <c r="L6" s="5786" t="e">
        <f>K6/J6</f>
        <v>#DIV/0!</v>
      </c>
      <c r="M6" s="5787"/>
      <c r="N6" s="5788"/>
      <c r="O6" s="5788"/>
      <c r="P6" s="5788">
        <f t="shared" si="1"/>
        <v>0</v>
      </c>
      <c r="Q6" s="5789" t="e">
        <f>P6/O6</f>
        <v>#DIV/0!</v>
      </c>
      <c r="R6" s="5787"/>
      <c r="S6" s="5785"/>
      <c r="T6" s="5785"/>
      <c r="U6" s="5785">
        <f t="shared" si="2"/>
        <v>0</v>
      </c>
      <c r="V6" s="5786" t="s">
        <v>732</v>
      </c>
      <c r="W6" s="5790"/>
      <c r="X6" s="5785"/>
      <c r="Y6" s="5785"/>
      <c r="Z6" s="5785">
        <f t="shared" si="3"/>
        <v>0</v>
      </c>
      <c r="AA6" s="5786" t="s">
        <v>732</v>
      </c>
      <c r="AB6" s="5790"/>
      <c r="AC6" s="5791"/>
      <c r="AD6" s="5792">
        <v>0</v>
      </c>
      <c r="AE6" s="5785">
        <f t="shared" si="4"/>
        <v>0</v>
      </c>
      <c r="AF6" s="5786" t="s">
        <v>732</v>
      </c>
      <c r="AG6" s="5793"/>
      <c r="AH6" s="5791">
        <v>0</v>
      </c>
      <c r="AI6" s="5794">
        <v>0</v>
      </c>
      <c r="AJ6" s="5794">
        <f t="shared" si="5"/>
        <v>0</v>
      </c>
      <c r="AK6" s="5786" t="s">
        <v>732</v>
      </c>
      <c r="AL6" s="5787" t="s">
        <v>732</v>
      </c>
      <c r="AM6" s="5795">
        <v>0</v>
      </c>
      <c r="AN6" s="5795">
        <v>0</v>
      </c>
      <c r="AO6" s="5795" t="s">
        <v>732</v>
      </c>
      <c r="AP6" s="5789"/>
      <c r="AQ6" s="5790"/>
      <c r="AR6" s="5796"/>
      <c r="AS6" s="5796"/>
      <c r="AT6" s="5796"/>
      <c r="AU6" s="5786"/>
      <c r="AV6" s="5787"/>
      <c r="AW6" s="5792"/>
      <c r="AX6" s="5792"/>
      <c r="AY6" s="5792"/>
      <c r="AZ6" s="5786"/>
      <c r="BA6" s="5790"/>
      <c r="BB6" s="5792"/>
      <c r="BC6" s="5792"/>
      <c r="BD6" s="5792"/>
      <c r="BE6" s="5786"/>
      <c r="BF6" s="5787"/>
      <c r="BG6" s="5795"/>
      <c r="BH6" s="5797"/>
      <c r="BI6" s="5797"/>
      <c r="BJ6" s="5789"/>
      <c r="BK6" s="5787"/>
      <c r="BL6" s="5795"/>
      <c r="BM6" s="5797"/>
      <c r="BN6" s="5797"/>
      <c r="BO6" s="5798"/>
      <c r="BP6" s="5695"/>
      <c r="BQ6" s="5799">
        <f t="shared" si="6"/>
        <v>0</v>
      </c>
      <c r="BR6" s="5800">
        <f t="shared" si="6"/>
        <v>0</v>
      </c>
      <c r="BS6" s="5801">
        <f t="shared" si="7"/>
        <v>0</v>
      </c>
      <c r="BT6" s="5802"/>
      <c r="BU6" s="5802"/>
      <c r="BV6" s="5802"/>
      <c r="BW6" s="5803"/>
      <c r="BX6" s="5802"/>
      <c r="BY6" s="5802"/>
      <c r="BZ6" s="5802"/>
      <c r="CA6" s="5802"/>
      <c r="CB6" s="5804"/>
      <c r="CC6" s="5802"/>
      <c r="CD6" s="5802"/>
      <c r="CE6" s="5805"/>
      <c r="CF6" s="5802"/>
      <c r="CG6" s="5802"/>
      <c r="CH6" s="5802"/>
      <c r="CI6" s="5802"/>
      <c r="CJ6" s="5806"/>
      <c r="CK6" s="5785"/>
      <c r="CL6" s="5785"/>
      <c r="CM6" s="5807"/>
      <c r="CN6" s="5808"/>
      <c r="CO6" s="5806"/>
      <c r="CP6" s="5785"/>
      <c r="CQ6" s="5785"/>
      <c r="CR6" s="5809"/>
      <c r="CS6" s="5808"/>
      <c r="CT6" s="5806"/>
      <c r="CU6" s="5785"/>
      <c r="CV6" s="5785"/>
      <c r="CW6" s="5809"/>
      <c r="CX6" s="5808"/>
      <c r="CY6" s="5806"/>
      <c r="CZ6" s="5809"/>
      <c r="DA6" s="5785"/>
      <c r="DB6" s="5809"/>
      <c r="DC6" s="5808"/>
      <c r="DD6" s="5810"/>
      <c r="DE6" s="5809"/>
      <c r="DF6" s="5809"/>
      <c r="DG6" s="5809"/>
      <c r="DH6" s="5811"/>
      <c r="DI6" s="5806"/>
      <c r="DJ6" s="5809"/>
      <c r="DK6" s="5809"/>
      <c r="DL6" s="5785"/>
      <c r="DM6" s="5811"/>
      <c r="DN6" s="5812"/>
      <c r="DO6" s="5809"/>
      <c r="DP6" s="5809"/>
      <c r="DQ6" s="5809"/>
      <c r="DR6" s="5811"/>
      <c r="DS6" s="5806"/>
      <c r="DT6" s="5809"/>
      <c r="DU6" s="5809"/>
      <c r="DV6" s="5809"/>
      <c r="DW6" s="5808"/>
      <c r="DX6" s="5806"/>
      <c r="DY6" s="5785"/>
      <c r="DZ6" s="5785"/>
      <c r="EA6" s="5785"/>
      <c r="EB6" s="5813"/>
      <c r="EC6" s="5806"/>
      <c r="ED6" s="5785"/>
      <c r="EE6" s="5785"/>
      <c r="EF6" s="5809"/>
      <c r="EG6" s="5811"/>
      <c r="EH6" s="5810"/>
      <c r="EI6" s="5785"/>
      <c r="EJ6" s="5785"/>
      <c r="EK6" s="5785"/>
      <c r="EL6" s="5808"/>
      <c r="EM6" s="5806"/>
      <c r="EN6" s="5785"/>
      <c r="EO6" s="5785"/>
      <c r="EP6" s="5809"/>
      <c r="EQ6" s="5808"/>
      <c r="ER6" s="5711"/>
      <c r="ES6" s="5712"/>
      <c r="ET6" s="5712"/>
      <c r="EU6" s="5712"/>
      <c r="EV6" s="5713"/>
      <c r="EW6" s="5814"/>
      <c r="EX6" s="5785"/>
      <c r="EY6" s="5785"/>
      <c r="EZ6" s="5815"/>
      <c r="FA6" s="5810"/>
      <c r="FB6" s="5809"/>
      <c r="FC6" s="5809"/>
      <c r="FD6" s="5808"/>
      <c r="FE6" s="5816"/>
      <c r="FF6" s="5809"/>
      <c r="FG6" s="5809"/>
      <c r="FH6" s="5815"/>
      <c r="FI6" s="5810"/>
      <c r="FJ6" s="5816"/>
      <c r="FK6" s="5809"/>
      <c r="FL6" s="5809"/>
      <c r="FM6" s="5808"/>
      <c r="FN6" s="5717"/>
      <c r="FO6" s="5718"/>
      <c r="FP6" s="5718"/>
      <c r="FQ6" s="5719"/>
      <c r="FR6" s="5720"/>
      <c r="FS6" s="5721"/>
      <c r="FT6" s="5718"/>
      <c r="FU6" s="5718"/>
      <c r="FV6" s="5718"/>
      <c r="FW6" s="5722"/>
      <c r="FX6" s="5721"/>
      <c r="FY6" s="5719"/>
      <c r="FZ6" s="5719"/>
      <c r="GA6" s="5719"/>
      <c r="GB6" s="5722"/>
      <c r="GC6" s="5719"/>
      <c r="GD6" s="5718"/>
      <c r="GE6" s="5718"/>
      <c r="GF6" s="5719"/>
      <c r="GG6" s="5722"/>
      <c r="GH6" s="5719"/>
      <c r="GI6" s="5719"/>
      <c r="GJ6" s="5719"/>
      <c r="GK6" s="5719"/>
      <c r="GL6" s="5719"/>
      <c r="GM6" s="5719"/>
      <c r="GN6" s="5719"/>
      <c r="GO6" s="5719"/>
      <c r="GP6" s="5719"/>
      <c r="GQ6" s="5719"/>
      <c r="GR6" s="5719"/>
      <c r="GS6" s="5719"/>
      <c r="GT6" s="5719"/>
      <c r="GU6" s="5719"/>
      <c r="GV6" s="5722"/>
      <c r="GW6" s="5719"/>
      <c r="GX6" s="5719"/>
      <c r="GY6" s="5719"/>
      <c r="GZ6" s="5719"/>
      <c r="HA6" s="5722"/>
      <c r="HB6" s="5719"/>
      <c r="HC6" s="5719"/>
      <c r="HD6" s="5719"/>
      <c r="HE6" s="5719"/>
      <c r="HF6" s="5722"/>
      <c r="HG6" s="5719"/>
      <c r="HH6" s="5719"/>
      <c r="HI6" s="5719"/>
      <c r="HJ6" s="5719"/>
      <c r="HK6" s="5722"/>
      <c r="HL6" s="5719"/>
      <c r="HM6" s="5719"/>
      <c r="HN6" s="5719"/>
      <c r="HO6" s="5719"/>
      <c r="HP6" s="5722"/>
      <c r="HQ6" s="5719"/>
      <c r="HR6" s="5719"/>
      <c r="HS6" s="5719"/>
      <c r="HT6" s="5719"/>
      <c r="HU6" s="5719"/>
      <c r="HV6" s="5723">
        <f t="shared" si="8"/>
        <v>0</v>
      </c>
      <c r="HW6" s="5724">
        <f t="shared" si="9"/>
        <v>0</v>
      </c>
      <c r="HX6" s="5724">
        <f t="shared" si="9"/>
        <v>0</v>
      </c>
      <c r="HY6" s="5724">
        <f t="shared" si="9"/>
        <v>0</v>
      </c>
      <c r="HZ6" s="5725"/>
      <c r="IA6" s="5726"/>
      <c r="IB6" s="5727"/>
      <c r="IC6" s="5727"/>
      <c r="ID6" s="5728"/>
      <c r="IE6" s="5729"/>
      <c r="IF6" s="5727"/>
      <c r="IG6" s="5727"/>
      <c r="IH6" s="5728"/>
      <c r="II6" s="5730"/>
      <c r="IJ6" s="5727"/>
      <c r="IK6" s="5727"/>
      <c r="IL6" s="5728"/>
      <c r="IM6" s="5731"/>
      <c r="IN6" s="5727"/>
      <c r="IO6" s="5727"/>
      <c r="IP6" s="5732"/>
      <c r="IQ6" s="5719"/>
      <c r="IR6" s="5733"/>
      <c r="IS6" s="5718"/>
      <c r="IT6" s="5718"/>
      <c r="IU6" s="5719"/>
      <c r="IV6" s="5720"/>
      <c r="IW6" s="5721"/>
      <c r="IX6" s="5718"/>
      <c r="IY6" s="5718"/>
      <c r="IZ6" s="5718"/>
      <c r="JA6" s="5722"/>
      <c r="JB6" s="5734"/>
      <c r="JC6" s="5719"/>
      <c r="JD6" s="5719"/>
      <c r="JE6" s="5719"/>
      <c r="JF6" s="5722"/>
      <c r="JG6" s="5735"/>
      <c r="JH6" s="5718"/>
      <c r="JI6" s="5718"/>
      <c r="JJ6" s="5719"/>
      <c r="JK6" s="5722"/>
      <c r="JL6" s="5717"/>
      <c r="JM6" s="5719"/>
      <c r="JN6" s="5719"/>
      <c r="JO6" s="5719"/>
      <c r="JP6" s="5719"/>
      <c r="JQ6" s="5736"/>
      <c r="JR6" s="5719"/>
      <c r="JS6" s="5719"/>
      <c r="JT6" s="5719"/>
      <c r="JU6" s="5719"/>
      <c r="JV6" s="5737"/>
      <c r="JW6" s="5719"/>
      <c r="JX6" s="5719"/>
      <c r="JY6" s="5719"/>
      <c r="JZ6" s="5722"/>
      <c r="KA6" s="5719"/>
      <c r="KB6" s="5719"/>
      <c r="KC6" s="5719"/>
      <c r="KD6" s="5719"/>
      <c r="KE6" s="5722"/>
      <c r="KF6" s="5735"/>
      <c r="KG6" s="5719"/>
      <c r="KH6" s="5719"/>
      <c r="KI6" s="5719"/>
      <c r="KJ6" s="5722"/>
      <c r="KK6" s="5735"/>
      <c r="KL6" s="5719"/>
      <c r="KM6" s="5719"/>
      <c r="KN6" s="5719"/>
      <c r="KO6" s="5722"/>
      <c r="KP6" s="5738"/>
      <c r="KQ6" s="5719"/>
      <c r="KR6" s="5719"/>
      <c r="KS6" s="5719"/>
      <c r="KT6" s="5719"/>
      <c r="KU6" s="5738"/>
      <c r="KV6" s="5719"/>
      <c r="KW6" s="5719"/>
      <c r="KX6" s="5719"/>
      <c r="KY6" s="5722"/>
      <c r="KZ6" s="5739">
        <f t="shared" si="10"/>
        <v>0</v>
      </c>
      <c r="LA6" s="5740">
        <f t="shared" si="11"/>
        <v>0</v>
      </c>
      <c r="LB6" s="5740">
        <f t="shared" si="11"/>
        <v>0</v>
      </c>
      <c r="LC6" s="5740">
        <f t="shared" si="11"/>
        <v>0</v>
      </c>
      <c r="LD6" s="5741"/>
      <c r="LE6" s="5742"/>
      <c r="LF6" s="5743"/>
      <c r="LG6" s="5743"/>
      <c r="LH6" s="5744"/>
      <c r="LI6" s="5745"/>
      <c r="LJ6" s="5743"/>
      <c r="LK6" s="5743"/>
      <c r="LL6" s="5744"/>
      <c r="LM6" s="5746"/>
      <c r="LN6" s="5743"/>
      <c r="LO6" s="5743"/>
      <c r="LP6" s="5744"/>
      <c r="LQ6" s="5745"/>
      <c r="LR6" s="5743"/>
      <c r="LS6" s="5743"/>
      <c r="LT6" s="5747"/>
      <c r="LV6" s="5749"/>
      <c r="LW6" s="5750"/>
      <c r="LX6" s="5750"/>
      <c r="LY6" s="5750"/>
      <c r="LZ6" s="5751"/>
      <c r="MF6" s="5752"/>
      <c r="MG6" s="5750"/>
      <c r="MH6" s="5750"/>
      <c r="MI6" s="5750"/>
      <c r="MJ6" s="5741"/>
      <c r="MK6" s="5753"/>
      <c r="MN6" s="372">
        <f t="shared" si="12"/>
        <v>0</v>
      </c>
      <c r="MP6" s="5753"/>
      <c r="MQ6" s="5750"/>
      <c r="MR6" s="5750"/>
      <c r="MS6" s="5750"/>
      <c r="MT6" s="5754"/>
      <c r="MU6" s="5755"/>
      <c r="MV6" s="5756"/>
      <c r="MW6" s="5756"/>
      <c r="MX6" s="5756"/>
      <c r="MY6" s="5757"/>
      <c r="MZ6" s="5758"/>
      <c r="NA6" s="5750"/>
      <c r="NB6" s="5750"/>
      <c r="NC6" s="5750"/>
      <c r="ND6" s="5750"/>
      <c r="NO6" s="5759"/>
      <c r="NP6" s="5760"/>
      <c r="NQ6" s="5760"/>
      <c r="NR6" s="5759"/>
      <c r="NT6" s="5750"/>
      <c r="NU6" s="5750"/>
      <c r="NV6" s="5761"/>
      <c r="NW6" s="5750"/>
      <c r="NX6" s="5741"/>
      <c r="NY6" s="5762"/>
      <c r="NZ6" s="5756"/>
      <c r="OA6" s="5756"/>
      <c r="OB6" s="5757"/>
      <c r="OC6" s="5741"/>
      <c r="OE6" s="5763"/>
      <c r="OF6" s="5763"/>
      <c r="OG6" s="5761"/>
      <c r="OH6" s="5741"/>
      <c r="OI6" s="5758"/>
      <c r="OJ6" s="5750"/>
      <c r="OK6" s="5750"/>
      <c r="OL6" s="5750"/>
      <c r="OM6" s="5754"/>
      <c r="ON6" s="5758"/>
      <c r="OO6" s="5761"/>
      <c r="OP6" s="5761"/>
      <c r="OQ6" s="5761"/>
      <c r="OR6" s="5764"/>
      <c r="OS6" s="5758"/>
      <c r="OT6" s="5750"/>
      <c r="OU6" s="5750"/>
      <c r="OV6" s="5750"/>
      <c r="OW6" s="5764"/>
      <c r="OX6" s="5758"/>
      <c r="OY6" s="5750"/>
      <c r="OZ6" s="5750"/>
      <c r="PA6" s="5750"/>
      <c r="PB6" s="5741"/>
      <c r="PD6" s="5749"/>
      <c r="PE6" s="5750"/>
      <c r="PF6" s="5750"/>
      <c r="PG6" s="5750"/>
      <c r="PH6" s="5751"/>
      <c r="PI6" s="5738"/>
      <c r="PJ6" s="5719"/>
      <c r="PK6" s="5719"/>
      <c r="PL6" s="5719"/>
      <c r="PM6" s="5719"/>
      <c r="PN6" s="5765"/>
      <c r="PO6" s="5719"/>
      <c r="PP6" s="5719"/>
      <c r="PQ6" s="5719"/>
      <c r="PR6" s="5722"/>
      <c r="PS6" s="5766"/>
      <c r="PT6" s="5767"/>
      <c r="PU6" s="5767"/>
      <c r="PV6" s="5768">
        <f t="shared" si="13"/>
        <v>0</v>
      </c>
      <c r="PW6" s="5767"/>
      <c r="PX6" s="5769"/>
      <c r="PY6" s="5719"/>
      <c r="PZ6" s="5719"/>
      <c r="QA6" s="5719"/>
      <c r="QB6" s="5770"/>
      <c r="QC6" s="2099"/>
      <c r="QD6" s="2094"/>
      <c r="QE6" s="2094"/>
      <c r="QF6" s="2094"/>
      <c r="QG6" s="5767"/>
      <c r="QH6" s="5771"/>
      <c r="QI6" s="5719"/>
      <c r="QJ6" s="5719"/>
      <c r="QK6" s="5719"/>
      <c r="QL6" s="5719"/>
      <c r="QM6" s="5765"/>
      <c r="QN6" s="5719"/>
      <c r="QO6" s="5719"/>
      <c r="QP6" s="5719"/>
      <c r="QQ6" s="5719"/>
      <c r="QR6" s="5719"/>
      <c r="QS6" s="5719"/>
      <c r="QT6" s="5719"/>
      <c r="QU6" s="5719"/>
      <c r="QV6" s="5772"/>
      <c r="QW6" s="5767"/>
      <c r="QX6" s="2094"/>
      <c r="QY6" s="2094"/>
      <c r="QZ6" s="5767"/>
      <c r="RA6" s="5767"/>
      <c r="RB6" s="5719"/>
      <c r="RC6" s="5719"/>
      <c r="RD6" s="5718"/>
      <c r="RE6" s="5719"/>
      <c r="RF6" s="5722"/>
      <c r="RG6" s="2102"/>
      <c r="RH6" s="2094"/>
      <c r="RI6" s="2094"/>
      <c r="RJ6" s="5767"/>
      <c r="RK6" s="5722"/>
      <c r="RL6" s="5767"/>
      <c r="RM6" s="2094"/>
      <c r="RN6" s="2094"/>
      <c r="RO6" s="2094"/>
      <c r="RP6" s="5767"/>
      <c r="RQ6" s="5738"/>
      <c r="RR6" s="5719"/>
      <c r="RS6" s="5719"/>
      <c r="RT6" s="5719"/>
      <c r="RU6" s="5770"/>
      <c r="RV6" s="5738"/>
      <c r="RW6" s="5718"/>
      <c r="RX6" s="5718"/>
      <c r="RY6" s="5718"/>
      <c r="RZ6" s="5773"/>
      <c r="SA6" s="5738"/>
      <c r="SB6" s="5719"/>
      <c r="SC6" s="5719"/>
      <c r="SD6" s="5719"/>
      <c r="SE6" s="5773"/>
      <c r="SF6" s="5738"/>
      <c r="SG6" s="5719"/>
      <c r="SH6" s="5719"/>
      <c r="SI6" s="5719"/>
      <c r="SJ6" s="5722"/>
      <c r="SL6" s="5774"/>
      <c r="SM6" s="5757"/>
      <c r="SN6" s="5757"/>
      <c r="SO6" s="5757"/>
      <c r="SP6" s="5775"/>
      <c r="SQ6" s="5776"/>
      <c r="SR6" s="5767"/>
      <c r="SS6" s="5767"/>
      <c r="ST6" s="5767"/>
      <c r="SU6" s="5767"/>
      <c r="SV6" s="5765"/>
      <c r="SW6" s="5719"/>
      <c r="SX6" s="5719"/>
      <c r="SY6" s="5719"/>
      <c r="SZ6" s="5722"/>
      <c r="TA6" s="5769"/>
      <c r="TB6" s="5719"/>
      <c r="TC6" s="5719"/>
      <c r="TD6" s="5777">
        <f t="shared" si="14"/>
        <v>0</v>
      </c>
      <c r="TE6" s="5719"/>
      <c r="TF6" s="5769"/>
      <c r="TG6" s="5719"/>
      <c r="TH6" s="5719"/>
      <c r="TI6" s="5719"/>
      <c r="TJ6" s="5770"/>
      <c r="TK6" s="2099"/>
      <c r="TL6" s="2094"/>
      <c r="TM6" s="2094"/>
      <c r="TN6" s="2094"/>
      <c r="TO6" s="5767"/>
      <c r="TP6" s="5778"/>
      <c r="TQ6" s="5719"/>
      <c r="TR6" s="5719"/>
      <c r="TS6" s="5719"/>
      <c r="TT6" s="5719"/>
      <c r="TU6" s="5779"/>
      <c r="TV6" s="5767"/>
      <c r="TW6" s="5767"/>
      <c r="TX6" s="5767"/>
      <c r="TY6" s="5767"/>
      <c r="TZ6" s="5767"/>
      <c r="UA6" s="5767"/>
      <c r="UB6" s="5767"/>
      <c r="UC6" s="5767"/>
      <c r="UD6" s="5772"/>
      <c r="UE6" s="5767"/>
      <c r="UF6" s="2094"/>
      <c r="UG6" s="2094"/>
      <c r="UH6" s="5767"/>
      <c r="UI6" s="5767"/>
      <c r="UJ6" s="5719"/>
      <c r="UK6" s="5719"/>
      <c r="UL6" s="5718"/>
      <c r="UM6" s="5719"/>
      <c r="UN6" s="5722"/>
      <c r="UO6" s="2102"/>
      <c r="UP6" s="2094"/>
      <c r="UQ6" s="2094"/>
      <c r="UR6" s="5767"/>
      <c r="US6" s="5722"/>
      <c r="UT6" s="5719"/>
      <c r="UU6" s="5718"/>
      <c r="UV6" s="5718"/>
      <c r="UW6" s="5718"/>
      <c r="UX6" s="5719"/>
      <c r="UY6" s="5738"/>
      <c r="UZ6" s="5719"/>
      <c r="VA6" s="5719"/>
      <c r="VB6" s="5719"/>
      <c r="VC6" s="5770"/>
      <c r="VD6" s="5738"/>
      <c r="VE6" s="5718"/>
      <c r="VF6" s="5718"/>
      <c r="VG6" s="5718"/>
      <c r="VH6" s="5773"/>
      <c r="VI6" s="5738"/>
      <c r="VJ6" s="5719"/>
      <c r="VK6" s="5719"/>
      <c r="VL6" s="5719"/>
      <c r="VM6" s="5773"/>
      <c r="VN6" s="5738"/>
      <c r="VO6" s="5719"/>
      <c r="VP6" s="5719"/>
      <c r="VQ6" s="5719"/>
      <c r="VR6" s="5722"/>
    </row>
    <row r="7" spans="1:590" s="5748" customFormat="1" hidden="1" x14ac:dyDescent="0.3">
      <c r="A7" s="5675"/>
      <c r="B7" s="654" t="s">
        <v>729</v>
      </c>
      <c r="C7" s="5780" t="s">
        <v>261</v>
      </c>
      <c r="D7" s="5781" t="s">
        <v>734</v>
      </c>
      <c r="E7" s="5782"/>
      <c r="F7" s="5782"/>
      <c r="G7" s="5783">
        <v>240200</v>
      </c>
      <c r="H7" s="5784"/>
      <c r="I7" s="5785"/>
      <c r="J7" s="5785"/>
      <c r="K7" s="5785">
        <f t="shared" si="0"/>
        <v>0</v>
      </c>
      <c r="L7" s="5786" t="e">
        <f>K7/J7</f>
        <v>#DIV/0!</v>
      </c>
      <c r="M7" s="5787"/>
      <c r="N7" s="5788"/>
      <c r="O7" s="5788"/>
      <c r="P7" s="5788">
        <f t="shared" si="1"/>
        <v>0</v>
      </c>
      <c r="Q7" s="5789" t="e">
        <f>P7/O7</f>
        <v>#DIV/0!</v>
      </c>
      <c r="R7" s="5787"/>
      <c r="S7" s="5785"/>
      <c r="T7" s="5785"/>
      <c r="U7" s="5785">
        <f t="shared" si="2"/>
        <v>0</v>
      </c>
      <c r="V7" s="5786" t="s">
        <v>732</v>
      </c>
      <c r="W7" s="5790"/>
      <c r="X7" s="5785"/>
      <c r="Y7" s="5792"/>
      <c r="Z7" s="5785">
        <f t="shared" si="3"/>
        <v>0</v>
      </c>
      <c r="AA7" s="5817">
        <v>0</v>
      </c>
      <c r="AB7" s="5818"/>
      <c r="AC7" s="5819"/>
      <c r="AD7" s="5819"/>
      <c r="AE7" s="5819">
        <f t="shared" si="4"/>
        <v>0</v>
      </c>
      <c r="AF7" s="5786" t="e">
        <f>AE7/AD7</f>
        <v>#DIV/0!</v>
      </c>
      <c r="AG7" s="5793" t="s">
        <v>732</v>
      </c>
      <c r="AH7" s="5785">
        <v>0</v>
      </c>
      <c r="AI7" s="5794">
        <v>0</v>
      </c>
      <c r="AJ7" s="5794">
        <f t="shared" si="5"/>
        <v>0</v>
      </c>
      <c r="AK7" s="5786" t="s">
        <v>732</v>
      </c>
      <c r="AL7" s="5787" t="s">
        <v>732</v>
      </c>
      <c r="AM7" s="5795">
        <v>0</v>
      </c>
      <c r="AN7" s="5795">
        <v>0</v>
      </c>
      <c r="AO7" s="5795" t="s">
        <v>732</v>
      </c>
      <c r="AP7" s="5789"/>
      <c r="AQ7" s="5790"/>
      <c r="AR7" s="5796"/>
      <c r="AS7" s="5796"/>
      <c r="AT7" s="5796"/>
      <c r="AU7" s="5786"/>
      <c r="AV7" s="5787"/>
      <c r="AW7" s="5792"/>
      <c r="AX7" s="5792"/>
      <c r="AY7" s="5792"/>
      <c r="AZ7" s="5786"/>
      <c r="BA7" s="5790"/>
      <c r="BB7" s="5792"/>
      <c r="BC7" s="5792"/>
      <c r="BD7" s="5792"/>
      <c r="BE7" s="5786"/>
      <c r="BF7" s="5787"/>
      <c r="BG7" s="5795"/>
      <c r="BH7" s="5797"/>
      <c r="BI7" s="5797"/>
      <c r="BJ7" s="5789"/>
      <c r="BK7" s="5787"/>
      <c r="BL7" s="5795"/>
      <c r="BM7" s="5797"/>
      <c r="BN7" s="5797"/>
      <c r="BO7" s="5798"/>
      <c r="BP7" s="5820"/>
      <c r="BQ7" s="5799">
        <f t="shared" si="6"/>
        <v>0</v>
      </c>
      <c r="BR7" s="5800">
        <f t="shared" si="6"/>
        <v>0</v>
      </c>
      <c r="BS7" s="5801">
        <f t="shared" si="7"/>
        <v>0</v>
      </c>
      <c r="BT7" s="5802"/>
      <c r="BU7" s="5802"/>
      <c r="BV7" s="5802"/>
      <c r="BW7" s="5803"/>
      <c r="BX7" s="5802"/>
      <c r="BY7" s="5802"/>
      <c r="BZ7" s="5802"/>
      <c r="CA7" s="5802"/>
      <c r="CB7" s="5804"/>
      <c r="CC7" s="5802"/>
      <c r="CD7" s="5802"/>
      <c r="CE7" s="5805"/>
      <c r="CF7" s="5802"/>
      <c r="CG7" s="5802"/>
      <c r="CH7" s="5802"/>
      <c r="CI7" s="5802"/>
      <c r="CJ7" s="5806"/>
      <c r="CK7" s="5785"/>
      <c r="CL7" s="5785"/>
      <c r="CM7" s="5807"/>
      <c r="CN7" s="5808"/>
      <c r="CO7" s="5806"/>
      <c r="CP7" s="5785"/>
      <c r="CQ7" s="5785"/>
      <c r="CR7" s="5809"/>
      <c r="CS7" s="5808"/>
      <c r="CT7" s="5806"/>
      <c r="CU7" s="5785"/>
      <c r="CV7" s="5785"/>
      <c r="CW7" s="5809"/>
      <c r="CX7" s="5808"/>
      <c r="CY7" s="5821"/>
      <c r="CZ7" s="5822"/>
      <c r="DA7" s="5819"/>
      <c r="DB7" s="5822"/>
      <c r="DC7" s="5808"/>
      <c r="DD7" s="5810"/>
      <c r="DE7" s="5809"/>
      <c r="DF7" s="5809"/>
      <c r="DG7" s="5809"/>
      <c r="DH7" s="5811"/>
      <c r="DI7" s="5806"/>
      <c r="DJ7" s="5809"/>
      <c r="DK7" s="5809"/>
      <c r="DL7" s="5785"/>
      <c r="DM7" s="5811"/>
      <c r="DN7" s="5823"/>
      <c r="DO7" s="5822"/>
      <c r="DP7" s="5822"/>
      <c r="DQ7" s="5822"/>
      <c r="DR7" s="5811"/>
      <c r="DS7" s="5821"/>
      <c r="DT7" s="5822"/>
      <c r="DU7" s="5822"/>
      <c r="DV7" s="5822"/>
      <c r="DW7" s="5808"/>
      <c r="DX7" s="5806"/>
      <c r="DY7" s="5785"/>
      <c r="DZ7" s="5785"/>
      <c r="EA7" s="5785"/>
      <c r="EB7" s="5813"/>
      <c r="EC7" s="5806"/>
      <c r="ED7" s="5785"/>
      <c r="EE7" s="5785"/>
      <c r="EF7" s="5809"/>
      <c r="EG7" s="5811"/>
      <c r="EH7" s="5810"/>
      <c r="EI7" s="5785"/>
      <c r="EJ7" s="5785"/>
      <c r="EK7" s="5785"/>
      <c r="EL7" s="5808"/>
      <c r="EM7" s="5806"/>
      <c r="EN7" s="5785"/>
      <c r="EO7" s="5785"/>
      <c r="EP7" s="5809"/>
      <c r="EQ7" s="5808"/>
      <c r="ER7" s="5711"/>
      <c r="ES7" s="5712"/>
      <c r="ET7" s="5712"/>
      <c r="EU7" s="5712"/>
      <c r="EV7" s="5713"/>
      <c r="EW7" s="5814"/>
      <c r="EX7" s="5819"/>
      <c r="EY7" s="5785"/>
      <c r="EZ7" s="5815"/>
      <c r="FA7" s="5810"/>
      <c r="FB7" s="5822"/>
      <c r="FC7" s="5809"/>
      <c r="FD7" s="5808"/>
      <c r="FE7" s="5816"/>
      <c r="FF7" s="5809"/>
      <c r="FG7" s="5809"/>
      <c r="FH7" s="5815"/>
      <c r="FI7" s="5810"/>
      <c r="FJ7" s="5816"/>
      <c r="FK7" s="5809"/>
      <c r="FL7" s="5809"/>
      <c r="FM7" s="5808"/>
      <c r="FN7" s="5717"/>
      <c r="FO7" s="5718"/>
      <c r="FP7" s="5718"/>
      <c r="FQ7" s="5719"/>
      <c r="FR7" s="5720"/>
      <c r="FS7" s="5721"/>
      <c r="FT7" s="5718"/>
      <c r="FU7" s="5718"/>
      <c r="FV7" s="5718"/>
      <c r="FW7" s="5722"/>
      <c r="FX7" s="5721"/>
      <c r="FY7" s="5719"/>
      <c r="FZ7" s="5719"/>
      <c r="GA7" s="5719"/>
      <c r="GB7" s="5722"/>
      <c r="GC7" s="5719"/>
      <c r="GD7" s="5718"/>
      <c r="GE7" s="5718"/>
      <c r="GF7" s="5719"/>
      <c r="GG7" s="5722"/>
      <c r="GH7" s="5719"/>
      <c r="GI7" s="5719"/>
      <c r="GJ7" s="5719"/>
      <c r="GK7" s="5719"/>
      <c r="GL7" s="5719"/>
      <c r="GM7" s="5719"/>
      <c r="GN7" s="5719"/>
      <c r="GO7" s="5719"/>
      <c r="GP7" s="5719"/>
      <c r="GQ7" s="5719"/>
      <c r="GR7" s="5719"/>
      <c r="GS7" s="5719"/>
      <c r="GT7" s="5719"/>
      <c r="GU7" s="5719"/>
      <c r="GV7" s="5722"/>
      <c r="GW7" s="5719"/>
      <c r="GX7" s="5719"/>
      <c r="GY7" s="5719"/>
      <c r="GZ7" s="5719"/>
      <c r="HA7" s="5722"/>
      <c r="HB7" s="5719"/>
      <c r="HC7" s="5719"/>
      <c r="HD7" s="5719"/>
      <c r="HE7" s="5719"/>
      <c r="HF7" s="5722"/>
      <c r="HG7" s="5719"/>
      <c r="HH7" s="5719"/>
      <c r="HI7" s="5719"/>
      <c r="HJ7" s="5719"/>
      <c r="HK7" s="5722"/>
      <c r="HL7" s="5719"/>
      <c r="HM7" s="5719"/>
      <c r="HN7" s="5719"/>
      <c r="HO7" s="5719"/>
      <c r="HP7" s="5722"/>
      <c r="HQ7" s="5719"/>
      <c r="HR7" s="5719"/>
      <c r="HS7" s="5719"/>
      <c r="HT7" s="5719"/>
      <c r="HU7" s="5719"/>
      <c r="HV7" s="5723">
        <f t="shared" si="8"/>
        <v>0</v>
      </c>
      <c r="HW7" s="5724">
        <f t="shared" si="9"/>
        <v>0</v>
      </c>
      <c r="HX7" s="5724">
        <f t="shared" si="9"/>
        <v>0</v>
      </c>
      <c r="HY7" s="5724">
        <f t="shared" si="9"/>
        <v>0</v>
      </c>
      <c r="HZ7" s="5725"/>
      <c r="IA7" s="5726"/>
      <c r="IB7" s="5727"/>
      <c r="IC7" s="5727"/>
      <c r="ID7" s="5728"/>
      <c r="IE7" s="5729"/>
      <c r="IF7" s="5727"/>
      <c r="IG7" s="5727"/>
      <c r="IH7" s="5728"/>
      <c r="II7" s="5730"/>
      <c r="IJ7" s="5727"/>
      <c r="IK7" s="5727"/>
      <c r="IL7" s="5728"/>
      <c r="IM7" s="5731"/>
      <c r="IN7" s="5727"/>
      <c r="IO7" s="5727"/>
      <c r="IP7" s="5732"/>
      <c r="IQ7" s="5719"/>
      <c r="IR7" s="5733"/>
      <c r="IS7" s="5718"/>
      <c r="IT7" s="5718"/>
      <c r="IU7" s="5719"/>
      <c r="IV7" s="5720"/>
      <c r="IW7" s="5721"/>
      <c r="IX7" s="5718"/>
      <c r="IY7" s="5718"/>
      <c r="IZ7" s="5718"/>
      <c r="JA7" s="5722"/>
      <c r="JB7" s="5734"/>
      <c r="JC7" s="5719"/>
      <c r="JD7" s="5719"/>
      <c r="JE7" s="5719"/>
      <c r="JF7" s="5722"/>
      <c r="JG7" s="5735"/>
      <c r="JH7" s="5718"/>
      <c r="JI7" s="5718"/>
      <c r="JJ7" s="5719"/>
      <c r="JK7" s="5722"/>
      <c r="JL7" s="5717"/>
      <c r="JM7" s="5719"/>
      <c r="JN7" s="5719"/>
      <c r="JO7" s="5719"/>
      <c r="JP7" s="5719"/>
      <c r="JQ7" s="5736"/>
      <c r="JR7" s="5719"/>
      <c r="JS7" s="5719"/>
      <c r="JT7" s="5719"/>
      <c r="JU7" s="5719"/>
      <c r="JV7" s="5737"/>
      <c r="JW7" s="5719"/>
      <c r="JX7" s="5719"/>
      <c r="JY7" s="5719"/>
      <c r="JZ7" s="5722"/>
      <c r="KA7" s="5719"/>
      <c r="KB7" s="5719"/>
      <c r="KC7" s="5719"/>
      <c r="KD7" s="5719"/>
      <c r="KE7" s="5722"/>
      <c r="KF7" s="5735"/>
      <c r="KG7" s="5719"/>
      <c r="KH7" s="5719"/>
      <c r="KI7" s="5719"/>
      <c r="KJ7" s="5722"/>
      <c r="KK7" s="5735"/>
      <c r="KL7" s="5719"/>
      <c r="KM7" s="5719"/>
      <c r="KN7" s="5719"/>
      <c r="KO7" s="5722"/>
      <c r="KP7" s="5738"/>
      <c r="KQ7" s="5719"/>
      <c r="KR7" s="5719"/>
      <c r="KS7" s="5719"/>
      <c r="KT7" s="5719"/>
      <c r="KU7" s="5738"/>
      <c r="KV7" s="5719"/>
      <c r="KW7" s="5719"/>
      <c r="KX7" s="5719"/>
      <c r="KY7" s="5722"/>
      <c r="KZ7" s="5739">
        <f t="shared" si="10"/>
        <v>0</v>
      </c>
      <c r="LA7" s="5740">
        <f t="shared" si="11"/>
        <v>0</v>
      </c>
      <c r="LB7" s="5740">
        <f t="shared" si="11"/>
        <v>0</v>
      </c>
      <c r="LC7" s="5740">
        <f t="shared" si="11"/>
        <v>0</v>
      </c>
      <c r="LD7" s="5741"/>
      <c r="LE7" s="5742"/>
      <c r="LF7" s="5743"/>
      <c r="LG7" s="5743"/>
      <c r="LH7" s="5744"/>
      <c r="LI7" s="5745"/>
      <c r="LJ7" s="5743"/>
      <c r="LK7" s="5743"/>
      <c r="LL7" s="5744"/>
      <c r="LM7" s="5746"/>
      <c r="LN7" s="5743"/>
      <c r="LO7" s="5743"/>
      <c r="LP7" s="5744"/>
      <c r="LQ7" s="5745"/>
      <c r="LR7" s="5743"/>
      <c r="LS7" s="5743"/>
      <c r="LT7" s="5747"/>
      <c r="LV7" s="5749"/>
      <c r="LW7" s="5750"/>
      <c r="LX7" s="5750"/>
      <c r="LY7" s="5750"/>
      <c r="LZ7" s="5751"/>
      <c r="MF7" s="5752"/>
      <c r="MG7" s="5750"/>
      <c r="MH7" s="5750"/>
      <c r="MI7" s="5750"/>
      <c r="MJ7" s="5741"/>
      <c r="MK7" s="5753"/>
      <c r="MN7" s="372">
        <f t="shared" si="12"/>
        <v>0</v>
      </c>
      <c r="MP7" s="5753"/>
      <c r="MQ7" s="5750"/>
      <c r="MR7" s="5750"/>
      <c r="MS7" s="5750"/>
      <c r="MT7" s="5754"/>
      <c r="MU7" s="5755"/>
      <c r="MV7" s="5756"/>
      <c r="MW7" s="5756"/>
      <c r="MX7" s="5756"/>
      <c r="MY7" s="5757"/>
      <c r="MZ7" s="5758"/>
      <c r="NA7" s="5750"/>
      <c r="NB7" s="5750"/>
      <c r="NC7" s="5750"/>
      <c r="ND7" s="5750"/>
      <c r="NO7" s="5759"/>
      <c r="NP7" s="5760"/>
      <c r="NQ7" s="5760"/>
      <c r="NR7" s="5759"/>
      <c r="NT7" s="5750"/>
      <c r="NU7" s="5750"/>
      <c r="NV7" s="5761"/>
      <c r="NW7" s="5750"/>
      <c r="NX7" s="5741"/>
      <c r="NY7" s="5762"/>
      <c r="NZ7" s="5756"/>
      <c r="OA7" s="5756"/>
      <c r="OB7" s="5757"/>
      <c r="OC7" s="5741"/>
      <c r="OE7" s="5763"/>
      <c r="OF7" s="5763"/>
      <c r="OG7" s="5761"/>
      <c r="OH7" s="5741"/>
      <c r="OI7" s="5758"/>
      <c r="OJ7" s="5750"/>
      <c r="OK7" s="5750"/>
      <c r="OL7" s="5750"/>
      <c r="OM7" s="5754"/>
      <c r="ON7" s="5758"/>
      <c r="OO7" s="5761"/>
      <c r="OP7" s="5761"/>
      <c r="OQ7" s="5761"/>
      <c r="OR7" s="5764"/>
      <c r="OS7" s="5758"/>
      <c r="OT7" s="5750"/>
      <c r="OU7" s="5750"/>
      <c r="OV7" s="5750"/>
      <c r="OW7" s="5764"/>
      <c r="OX7" s="5758"/>
      <c r="OY7" s="5750"/>
      <c r="OZ7" s="5750"/>
      <c r="PA7" s="5750"/>
      <c r="PB7" s="5741"/>
      <c r="PD7" s="5749"/>
      <c r="PE7" s="5750"/>
      <c r="PF7" s="5750"/>
      <c r="PG7" s="5750"/>
      <c r="PH7" s="5751"/>
      <c r="PI7" s="5738"/>
      <c r="PJ7" s="5719"/>
      <c r="PK7" s="5719"/>
      <c r="PL7" s="5719"/>
      <c r="PM7" s="5719"/>
      <c r="PN7" s="5765"/>
      <c r="PO7" s="5719"/>
      <c r="PP7" s="5719"/>
      <c r="PQ7" s="5719"/>
      <c r="PR7" s="5722"/>
      <c r="PS7" s="5766"/>
      <c r="PT7" s="5767"/>
      <c r="PU7" s="5767"/>
      <c r="PV7" s="5824">
        <f t="shared" si="13"/>
        <v>0</v>
      </c>
      <c r="PW7" s="5767"/>
      <c r="PX7" s="5769"/>
      <c r="PY7" s="5719"/>
      <c r="PZ7" s="5719"/>
      <c r="QA7" s="5719"/>
      <c r="QB7" s="5770"/>
      <c r="QC7" s="2099"/>
      <c r="QD7" s="2094"/>
      <c r="QE7" s="2094"/>
      <c r="QF7" s="2094"/>
      <c r="QG7" s="5767"/>
      <c r="QH7" s="5771"/>
      <c r="QI7" s="5719"/>
      <c r="QJ7" s="5719"/>
      <c r="QK7" s="5719"/>
      <c r="QL7" s="5719"/>
      <c r="QM7" s="5765"/>
      <c r="QN7" s="5719"/>
      <c r="QO7" s="5719"/>
      <c r="QP7" s="5719"/>
      <c r="QQ7" s="5719"/>
      <c r="QR7" s="5719"/>
      <c r="QS7" s="5719"/>
      <c r="QT7" s="5719"/>
      <c r="QU7" s="5719"/>
      <c r="QV7" s="5772"/>
      <c r="QW7" s="5767"/>
      <c r="QX7" s="2094"/>
      <c r="QY7" s="2094"/>
      <c r="QZ7" s="5767"/>
      <c r="RA7" s="5767"/>
      <c r="RB7" s="5719"/>
      <c r="RC7" s="5719"/>
      <c r="RD7" s="5718"/>
      <c r="RE7" s="5719"/>
      <c r="RF7" s="5722"/>
      <c r="RG7" s="2102"/>
      <c r="RH7" s="2094"/>
      <c r="RI7" s="2094"/>
      <c r="RJ7" s="5767"/>
      <c r="RK7" s="5722"/>
      <c r="RL7" s="5767"/>
      <c r="RM7" s="2094"/>
      <c r="RN7" s="2094"/>
      <c r="RO7" s="2094"/>
      <c r="RP7" s="5767"/>
      <c r="RQ7" s="5738"/>
      <c r="RR7" s="5719"/>
      <c r="RS7" s="5719"/>
      <c r="RT7" s="5719"/>
      <c r="RU7" s="5770"/>
      <c r="RV7" s="5738"/>
      <c r="RW7" s="5718"/>
      <c r="RX7" s="5718"/>
      <c r="RY7" s="5718"/>
      <c r="RZ7" s="5773"/>
      <c r="SA7" s="5738"/>
      <c r="SB7" s="5719"/>
      <c r="SC7" s="5719"/>
      <c r="SD7" s="5719"/>
      <c r="SE7" s="5773"/>
      <c r="SF7" s="5738"/>
      <c r="SG7" s="5719"/>
      <c r="SH7" s="5719"/>
      <c r="SI7" s="5719"/>
      <c r="SJ7" s="5722"/>
      <c r="SL7" s="5774"/>
      <c r="SM7" s="5757"/>
      <c r="SN7" s="5757"/>
      <c r="SO7" s="5757"/>
      <c r="SP7" s="5775"/>
      <c r="SQ7" s="5776"/>
      <c r="SR7" s="5767"/>
      <c r="SS7" s="5767"/>
      <c r="ST7" s="5767"/>
      <c r="SU7" s="5767"/>
      <c r="SV7" s="5765"/>
      <c r="SW7" s="5719"/>
      <c r="SX7" s="5719"/>
      <c r="SY7" s="5719"/>
      <c r="SZ7" s="5722"/>
      <c r="TA7" s="5769"/>
      <c r="TB7" s="5719"/>
      <c r="TC7" s="5719"/>
      <c r="TD7" s="5825">
        <f t="shared" si="14"/>
        <v>0</v>
      </c>
      <c r="TE7" s="5719"/>
      <c r="TF7" s="5769"/>
      <c r="TG7" s="5719"/>
      <c r="TH7" s="5719"/>
      <c r="TI7" s="5719"/>
      <c r="TJ7" s="5770"/>
      <c r="TK7" s="2099"/>
      <c r="TL7" s="2094"/>
      <c r="TM7" s="2094"/>
      <c r="TN7" s="2094"/>
      <c r="TO7" s="5767"/>
      <c r="TP7" s="5778"/>
      <c r="TQ7" s="5719"/>
      <c r="TR7" s="5719"/>
      <c r="TS7" s="5719"/>
      <c r="TT7" s="5719"/>
      <c r="TU7" s="5779"/>
      <c r="TV7" s="5767"/>
      <c r="TW7" s="5767"/>
      <c r="TX7" s="5767"/>
      <c r="TY7" s="5767"/>
      <c r="TZ7" s="5767"/>
      <c r="UA7" s="5767"/>
      <c r="UB7" s="5767"/>
      <c r="UC7" s="5767"/>
      <c r="UD7" s="5772"/>
      <c r="UE7" s="5767"/>
      <c r="UF7" s="2094"/>
      <c r="UG7" s="2094"/>
      <c r="UH7" s="5767"/>
      <c r="UI7" s="5767"/>
      <c r="UJ7" s="5719"/>
      <c r="UK7" s="5719"/>
      <c r="UL7" s="5718"/>
      <c r="UM7" s="5719"/>
      <c r="UN7" s="5722"/>
      <c r="UO7" s="2102"/>
      <c r="UP7" s="2094"/>
      <c r="UQ7" s="2094"/>
      <c r="UR7" s="5767"/>
      <c r="US7" s="5722"/>
      <c r="UT7" s="5719"/>
      <c r="UU7" s="5718"/>
      <c r="UV7" s="5718"/>
      <c r="UW7" s="5718"/>
      <c r="UX7" s="5719"/>
      <c r="UY7" s="5738"/>
      <c r="UZ7" s="5719"/>
      <c r="VA7" s="5719"/>
      <c r="VB7" s="5719"/>
      <c r="VC7" s="5770"/>
      <c r="VD7" s="5738"/>
      <c r="VE7" s="5718"/>
      <c r="VF7" s="5718"/>
      <c r="VG7" s="5718"/>
      <c r="VH7" s="5773"/>
      <c r="VI7" s="5738"/>
      <c r="VJ7" s="5719"/>
      <c r="VK7" s="5719"/>
      <c r="VL7" s="5719"/>
      <c r="VM7" s="5773"/>
      <c r="VN7" s="5738"/>
      <c r="VO7" s="5719"/>
      <c r="VP7" s="5719"/>
      <c r="VQ7" s="5719"/>
      <c r="VR7" s="5722"/>
    </row>
    <row r="8" spans="1:590" s="122" customFormat="1" hidden="1" x14ac:dyDescent="0.3">
      <c r="A8" s="2906"/>
      <c r="B8" s="654" t="s">
        <v>53</v>
      </c>
      <c r="C8" s="5780" t="s">
        <v>735</v>
      </c>
      <c r="D8" s="5781" t="s">
        <v>736</v>
      </c>
      <c r="E8" s="5782"/>
      <c r="F8" s="5782"/>
      <c r="G8" s="5783"/>
      <c r="H8" s="5826"/>
      <c r="I8" s="5827">
        <v>0</v>
      </c>
      <c r="J8" s="5827">
        <v>0</v>
      </c>
      <c r="K8" s="5827">
        <f t="shared" si="0"/>
        <v>0</v>
      </c>
      <c r="L8" s="5828">
        <v>0</v>
      </c>
      <c r="M8" s="5829"/>
      <c r="N8" s="5830">
        <v>0</v>
      </c>
      <c r="O8" s="5830">
        <v>0</v>
      </c>
      <c r="P8" s="5830">
        <f t="shared" si="1"/>
        <v>0</v>
      </c>
      <c r="Q8" s="5831">
        <v>0</v>
      </c>
      <c r="R8" s="5831"/>
      <c r="S8" s="5827">
        <v>0</v>
      </c>
      <c r="T8" s="5827">
        <v>0</v>
      </c>
      <c r="U8" s="5827">
        <f t="shared" si="2"/>
        <v>0</v>
      </c>
      <c r="V8" s="5828" t="s">
        <v>732</v>
      </c>
      <c r="W8" s="5832"/>
      <c r="X8" s="5827"/>
      <c r="Y8" s="5827"/>
      <c r="Z8" s="5827">
        <f t="shared" si="3"/>
        <v>0</v>
      </c>
      <c r="AA8" s="5833">
        <v>0</v>
      </c>
      <c r="AB8" s="5828"/>
      <c r="AC8" s="5827"/>
      <c r="AD8" s="5827"/>
      <c r="AE8" s="5827">
        <f t="shared" si="4"/>
        <v>0</v>
      </c>
      <c r="AF8" s="5828"/>
      <c r="AG8" s="5834"/>
      <c r="AH8" s="5827">
        <v>0</v>
      </c>
      <c r="AI8" s="5827">
        <v>0</v>
      </c>
      <c r="AJ8" s="5835">
        <f t="shared" si="5"/>
        <v>0</v>
      </c>
      <c r="AK8" s="5828" t="s">
        <v>732</v>
      </c>
      <c r="AL8" s="5834"/>
      <c r="AM8" s="5836">
        <v>0</v>
      </c>
      <c r="AN8" s="5836">
        <v>0</v>
      </c>
      <c r="AO8" s="5836">
        <f>AN8-AM8</f>
        <v>0</v>
      </c>
      <c r="AP8" s="5828"/>
      <c r="AQ8" s="5837"/>
      <c r="AR8" s="5836"/>
      <c r="AS8" s="5836"/>
      <c r="AT8" s="5838">
        <f t="shared" ref="AT8:AT24" si="15">AS8-AR8</f>
        <v>0</v>
      </c>
      <c r="AU8" s="5828" t="s">
        <v>732</v>
      </c>
      <c r="AV8" s="5832"/>
      <c r="AW8" s="5836"/>
      <c r="AX8" s="5836"/>
      <c r="AY8" s="5836">
        <f t="shared" ref="AY8:AY23" si="16">AX8-AW8</f>
        <v>0</v>
      </c>
      <c r="AZ8" s="5828" t="s">
        <v>732</v>
      </c>
      <c r="BA8" s="5839"/>
      <c r="BB8" s="5836"/>
      <c r="BC8" s="5836"/>
      <c r="BD8" s="5836">
        <f t="shared" ref="BD8:BD15" si="17">BC8-BB8</f>
        <v>0</v>
      </c>
      <c r="BE8" s="5831" t="e">
        <f t="shared" ref="BE8:BE14" si="18">BD8/BC8</f>
        <v>#DIV/0!</v>
      </c>
      <c r="BF8" s="5832"/>
      <c r="BG8" s="5836"/>
      <c r="BH8" s="5836"/>
      <c r="BI8" s="5836">
        <f t="shared" ref="BI8:BI15" si="19">BH8-BG8</f>
        <v>0</v>
      </c>
      <c r="BJ8" s="5831"/>
      <c r="BK8" s="5832"/>
      <c r="BL8" s="5836"/>
      <c r="BM8" s="5836"/>
      <c r="BN8" s="5836">
        <f t="shared" ref="BN8:BN15" si="20">BM8-BL8</f>
        <v>0</v>
      </c>
      <c r="BO8" s="5840"/>
      <c r="BP8" s="5841">
        <f t="shared" ref="BP8:BP31" si="21">(AV8+AQ8+AL8+AG8+AB8+W8+R8+M8+H8+BA8+BF8+BK8)/12</f>
        <v>0</v>
      </c>
      <c r="BQ8" s="5842">
        <f t="shared" ref="BQ8:BR31" si="22">AW8+AR8+AM8+AH8+AC8+X8+S8+N8+I8+BB8+BG8+BL8</f>
        <v>0</v>
      </c>
      <c r="BR8" s="5835">
        <f t="shared" si="22"/>
        <v>0</v>
      </c>
      <c r="BS8" s="5843">
        <f t="shared" si="7"/>
        <v>0</v>
      </c>
      <c r="BT8" s="5844">
        <f t="shared" ref="BT8:BT24" si="23">H8+M8+R8</f>
        <v>0</v>
      </c>
      <c r="BU8" s="5835">
        <f t="shared" ref="BU8:BV24" si="24">J8+O8+T8</f>
        <v>0</v>
      </c>
      <c r="BV8" s="5835">
        <f t="shared" si="24"/>
        <v>0</v>
      </c>
      <c r="BW8" s="5845"/>
      <c r="BX8" s="5846">
        <f t="shared" ref="BX8:BX24" si="25">W8+AB8+AG8</f>
        <v>0</v>
      </c>
      <c r="BY8" s="5835">
        <f t="shared" ref="BY8:BZ24" si="26">Y8+AD8+AI8</f>
        <v>0</v>
      </c>
      <c r="BZ8" s="5835">
        <f t="shared" si="26"/>
        <v>0</v>
      </c>
      <c r="CA8" s="5847"/>
      <c r="CB8" s="5848">
        <f t="shared" ref="CB8:CB24" si="27">AL8+AQ8+AV8</f>
        <v>0</v>
      </c>
      <c r="CC8" s="5835">
        <f>AN8+AS8+AX8</f>
        <v>0</v>
      </c>
      <c r="CD8" s="5835">
        <f>AO8+AT8+AY8</f>
        <v>0</v>
      </c>
      <c r="CE8" s="5849"/>
      <c r="CF8" s="5846">
        <f t="shared" ref="CF8:CF24" si="28">BA8+BF8+BK8</f>
        <v>0</v>
      </c>
      <c r="CG8" s="5827">
        <f t="shared" ref="CG8:CH24" si="29">BC8+BH8+BM8</f>
        <v>0</v>
      </c>
      <c r="CH8" s="5827">
        <f t="shared" si="29"/>
        <v>0</v>
      </c>
      <c r="CI8" s="5847"/>
      <c r="CJ8" s="5850"/>
      <c r="CK8" s="5827"/>
      <c r="CL8" s="5827"/>
      <c r="CM8" s="5827">
        <f>CL8-CK8</f>
        <v>0</v>
      </c>
      <c r="CN8" s="5845"/>
      <c r="CO8" s="5850"/>
      <c r="CP8" s="5827"/>
      <c r="CQ8" s="5827"/>
      <c r="CR8" s="5827">
        <f>CQ8-CP8</f>
        <v>0</v>
      </c>
      <c r="CS8" s="5845"/>
      <c r="CT8" s="5850"/>
      <c r="CU8" s="5827"/>
      <c r="CV8" s="5827"/>
      <c r="CW8" s="5827">
        <f>CV8-CU8</f>
        <v>0</v>
      </c>
      <c r="CX8" s="5845"/>
      <c r="CY8" s="5850"/>
      <c r="CZ8" s="5827"/>
      <c r="DA8" s="5827"/>
      <c r="DB8" s="5827">
        <f>DA8-CZ8</f>
        <v>0</v>
      </c>
      <c r="DC8" s="5845"/>
      <c r="DD8" s="5851"/>
      <c r="DE8" s="5852"/>
      <c r="DF8" s="5852"/>
      <c r="DG8" s="5827">
        <f t="shared" ref="DG8:DG31" si="30">DF8-DE8</f>
        <v>0</v>
      </c>
      <c r="DH8" s="5853"/>
      <c r="DI8" s="5850"/>
      <c r="DJ8" s="5852"/>
      <c r="DK8" s="5852"/>
      <c r="DL8" s="5827">
        <f>DK8-DJ8</f>
        <v>0</v>
      </c>
      <c r="DM8" s="5853"/>
      <c r="DN8" s="5850"/>
      <c r="DO8" s="5827"/>
      <c r="DP8" s="5827"/>
      <c r="DQ8" s="5827">
        <f>DP8-DO8</f>
        <v>0</v>
      </c>
      <c r="DR8" s="5853"/>
      <c r="DS8" s="5850"/>
      <c r="DT8" s="5827"/>
      <c r="DU8" s="5827"/>
      <c r="DV8" s="5827">
        <f>DU8-DT8</f>
        <v>0</v>
      </c>
      <c r="DW8" s="5845" t="e">
        <f>DV8/DU8</f>
        <v>#DIV/0!</v>
      </c>
      <c r="DX8" s="5850"/>
      <c r="DY8" s="5827"/>
      <c r="DZ8" s="5827"/>
      <c r="EA8" s="5827">
        <f t="shared" ref="EA8:EA31" si="31">DZ8-DY8</f>
        <v>0</v>
      </c>
      <c r="EB8" s="5853" t="e">
        <f t="shared" ref="EB8:EB24" si="32">EA8/DZ8</f>
        <v>#DIV/0!</v>
      </c>
      <c r="EC8" s="5850"/>
      <c r="ED8" s="5827"/>
      <c r="EE8" s="5827"/>
      <c r="EF8" s="5835">
        <f t="shared" ref="EF8:EF31" si="33">EE8-ED8</f>
        <v>0</v>
      </c>
      <c r="EG8" s="5853" t="e">
        <f>EF8/EE8</f>
        <v>#DIV/0!</v>
      </c>
      <c r="EH8" s="5850"/>
      <c r="EI8" s="5827"/>
      <c r="EJ8" s="5827"/>
      <c r="EK8" s="5827">
        <f t="shared" ref="EK8:EK31" si="34">EJ8-EI8</f>
        <v>0</v>
      </c>
      <c r="EL8" s="5853" t="e">
        <f t="shared" ref="EL8:EL24" si="35">EK8/EJ8</f>
        <v>#DIV/0!</v>
      </c>
      <c r="EM8" s="5850"/>
      <c r="EN8" s="5827"/>
      <c r="EO8" s="5827"/>
      <c r="EP8" s="5827">
        <f t="shared" ref="EP8:EP31" si="36">EO8-EN8</f>
        <v>0</v>
      </c>
      <c r="EQ8" s="5853" t="e">
        <f t="shared" ref="EQ8:EQ24" si="37">EP8/EO8</f>
        <v>#DIV/0!</v>
      </c>
      <c r="ER8" s="5854">
        <f t="shared" ref="ER8:ER66" si="38">(CJ8+CO8+CT8+CY8+DD8+DI8+DN8+DS8+DX8+EC8+EH8+EM8)/12</f>
        <v>0</v>
      </c>
      <c r="ES8" s="5855">
        <f t="shared" ref="ES8:EU39" si="39">CK8+CP8+CU8+CZ8+DE8+DJ8+DO8+DT8+DY8+ED8+EI8+EN8</f>
        <v>0</v>
      </c>
      <c r="ET8" s="5855">
        <f t="shared" si="39"/>
        <v>0</v>
      </c>
      <c r="EU8" s="5855">
        <f t="shared" si="39"/>
        <v>0</v>
      </c>
      <c r="EV8" s="5856" t="e">
        <f t="shared" ref="EV8:EV66" si="40">EU8/ET8</f>
        <v>#DIV/0!</v>
      </c>
      <c r="EW8" s="5857">
        <f>(CJ8+CO8+CT8)/3</f>
        <v>0</v>
      </c>
      <c r="EX8" s="5827">
        <f>CL8+CQ8+CV8</f>
        <v>0</v>
      </c>
      <c r="EY8" s="5827">
        <f>CM8+CR8+CW8</f>
        <v>0</v>
      </c>
      <c r="EZ8" s="5858" t="e">
        <f t="shared" ref="EZ8:EZ26" si="41">EY8/EX8</f>
        <v>#DIV/0!</v>
      </c>
      <c r="FA8" s="5859">
        <f>(CY8+DD8+DI8)/3</f>
        <v>0</v>
      </c>
      <c r="FB8" s="5835">
        <f t="shared" ref="FB8:FC31" si="42">DK8+DF8+DA8</f>
        <v>0</v>
      </c>
      <c r="FC8" s="5835">
        <f t="shared" si="42"/>
        <v>0</v>
      </c>
      <c r="FD8" s="5845" t="e">
        <f t="shared" ref="FD8:FD25" si="43">FC8/FB8</f>
        <v>#DIV/0!</v>
      </c>
      <c r="FE8" s="5857">
        <f>(DN8+DS8+DX8)/3</f>
        <v>0</v>
      </c>
      <c r="FF8" s="5835">
        <f>DP8+DU8+DZ8</f>
        <v>0</v>
      </c>
      <c r="FG8" s="5835">
        <f>DQ8+DV8+EA8</f>
        <v>0</v>
      </c>
      <c r="FH8" s="5858" t="e">
        <f t="shared" ref="FH8:FH24" si="44">FG8/FF8</f>
        <v>#DIV/0!</v>
      </c>
      <c r="FI8" s="5860">
        <f t="shared" ref="FI8:FI24" si="45">(EC8+EH8+EM8)/3</f>
        <v>0</v>
      </c>
      <c r="FJ8" s="5857"/>
      <c r="FK8" s="5835">
        <f t="shared" ref="FK8:FL31" si="46">EE8+EJ8+EO8</f>
        <v>0</v>
      </c>
      <c r="FL8" s="5835">
        <f t="shared" si="46"/>
        <v>0</v>
      </c>
      <c r="FM8" s="5845" t="e">
        <f t="shared" ref="FM8:FM24" si="47">FL8/FK8</f>
        <v>#DIV/0!</v>
      </c>
      <c r="FN8" s="5861"/>
      <c r="FO8" s="5862"/>
      <c r="FP8" s="5862"/>
      <c r="FQ8" s="5862">
        <f t="shared" ref="FQ8:FQ21" si="48">FP8-FO8</f>
        <v>0</v>
      </c>
      <c r="FR8" s="5863" t="e">
        <f t="shared" ref="FR8:FR31" si="49">FQ8/FP8</f>
        <v>#DIV/0!</v>
      </c>
      <c r="FS8" s="5864"/>
      <c r="FT8" s="5862"/>
      <c r="FU8" s="5862"/>
      <c r="FV8" s="5862">
        <f t="shared" ref="FV8:FV22" si="50">FU8-FT8</f>
        <v>0</v>
      </c>
      <c r="FW8" s="5865" t="e">
        <f t="shared" ref="FW8:FW22" si="51">FV8/FU8</f>
        <v>#DIV/0!</v>
      </c>
      <c r="FX8" s="5864"/>
      <c r="FY8" s="5866"/>
      <c r="FZ8" s="5866"/>
      <c r="GA8" s="5862">
        <f t="shared" ref="GA8:GA31" si="52">FZ8-FY8</f>
        <v>0</v>
      </c>
      <c r="GB8" s="5865" t="e">
        <f t="shared" ref="GB8:GB22" si="53">GA8/FZ8</f>
        <v>#DIV/0!</v>
      </c>
      <c r="GC8" s="5867"/>
      <c r="GD8" s="5868"/>
      <c r="GE8" s="5868"/>
      <c r="GF8" s="5862">
        <f t="shared" ref="GF8:GF31" si="54">GE8-GD8</f>
        <v>0</v>
      </c>
      <c r="GG8" s="5865" t="e">
        <f t="shared" ref="GG8:GG22" si="55">GF8/GE8</f>
        <v>#DIV/0!</v>
      </c>
      <c r="GH8" s="5867"/>
      <c r="GI8" s="5868"/>
      <c r="GJ8" s="5868"/>
      <c r="GK8" s="5862">
        <f t="shared" ref="GK8:GK31" si="56">GJ8-GI8</f>
        <v>0</v>
      </c>
      <c r="GL8" s="5865" t="e">
        <f t="shared" ref="GL8:GL22" si="57">GK8/GJ8</f>
        <v>#DIV/0!</v>
      </c>
      <c r="GM8" s="5867"/>
      <c r="GN8" s="5868"/>
      <c r="GO8" s="5868"/>
      <c r="GP8" s="5862">
        <f>GO8-GN8</f>
        <v>0</v>
      </c>
      <c r="GQ8" s="5865" t="e">
        <f>GP8/GO8</f>
        <v>#DIV/0!</v>
      </c>
      <c r="GR8" s="5719"/>
      <c r="GS8" s="5719"/>
      <c r="GT8" s="5719"/>
      <c r="GU8" s="5719"/>
      <c r="GV8" s="5722"/>
      <c r="GW8" s="5719"/>
      <c r="GX8" s="5719"/>
      <c r="GY8" s="5719"/>
      <c r="GZ8" s="5719"/>
      <c r="HA8" s="5722"/>
      <c r="HB8" s="5719"/>
      <c r="HC8" s="5719"/>
      <c r="HD8" s="5719"/>
      <c r="HE8" s="5719"/>
      <c r="HF8" s="5722"/>
      <c r="HG8" s="5719"/>
      <c r="HH8" s="5719"/>
      <c r="HI8" s="5719"/>
      <c r="HJ8" s="5719"/>
      <c r="HK8" s="5722"/>
      <c r="HL8" s="5719"/>
      <c r="HM8" s="5719"/>
      <c r="HN8" s="5719"/>
      <c r="HO8" s="5719"/>
      <c r="HP8" s="5722"/>
      <c r="HQ8" s="5719"/>
      <c r="HR8" s="5719"/>
      <c r="HS8" s="5719"/>
      <c r="HT8" s="5719"/>
      <c r="HU8" s="5719"/>
      <c r="HV8" s="5723">
        <f t="shared" si="8"/>
        <v>0</v>
      </c>
      <c r="HW8" s="5724">
        <f t="shared" si="9"/>
        <v>0</v>
      </c>
      <c r="HX8" s="5724">
        <f t="shared" si="9"/>
        <v>0</v>
      </c>
      <c r="HY8" s="5724">
        <f t="shared" si="9"/>
        <v>0</v>
      </c>
      <c r="HZ8" s="5725"/>
      <c r="IA8" s="5726">
        <f t="shared" ref="IA8:IA31" si="58">(FN8+FS8+FX8)/3</f>
        <v>0</v>
      </c>
      <c r="IB8" s="5869">
        <f t="shared" ref="IB8:IC31" si="59">FP8+FU8+FZ8</f>
        <v>0</v>
      </c>
      <c r="IC8" s="5869">
        <f t="shared" si="59"/>
        <v>0</v>
      </c>
      <c r="ID8" s="5870" t="e">
        <f t="shared" ref="ID8:ID31" si="60">IC8/IB8</f>
        <v>#DIV/0!</v>
      </c>
      <c r="IE8" s="5729"/>
      <c r="IF8" s="5727"/>
      <c r="IG8" s="5727"/>
      <c r="IH8" s="5728"/>
      <c r="II8" s="5730"/>
      <c r="IJ8" s="5727"/>
      <c r="IK8" s="5727"/>
      <c r="IL8" s="5728"/>
      <c r="IM8" s="5731"/>
      <c r="IN8" s="5727"/>
      <c r="IO8" s="5727"/>
      <c r="IP8" s="5732"/>
      <c r="IQ8" s="5719"/>
      <c r="IR8" s="5871"/>
      <c r="IS8" s="5862"/>
      <c r="IT8" s="5862"/>
      <c r="IU8" s="5862">
        <f t="shared" ref="IU8:IU21" si="61">IT8-IS8</f>
        <v>0</v>
      </c>
      <c r="IV8" s="5863" t="e">
        <f t="shared" ref="IV8:IV22" si="62">IU8/IT8</f>
        <v>#DIV/0!</v>
      </c>
      <c r="IW8" s="5864"/>
      <c r="IX8" s="5862"/>
      <c r="IY8" s="5862"/>
      <c r="IZ8" s="5862">
        <f t="shared" ref="IZ8:IZ22" si="63">IY8-IX8</f>
        <v>0</v>
      </c>
      <c r="JA8" s="5865" t="e">
        <f t="shared" ref="JA8:JA22" si="64">IZ8/IY8</f>
        <v>#DIV/0!</v>
      </c>
      <c r="JB8" s="5872"/>
      <c r="JC8" s="5866"/>
      <c r="JD8" s="5866"/>
      <c r="JE8" s="5862">
        <f t="shared" ref="JE8:JE38" si="65">JD8-JC8</f>
        <v>0</v>
      </c>
      <c r="JF8" s="5865" t="e">
        <f t="shared" ref="JF8:JF22" si="66">JE8/JD8</f>
        <v>#DIV/0!</v>
      </c>
      <c r="JG8" s="5873"/>
      <c r="JH8" s="5868"/>
      <c r="JI8" s="5868"/>
      <c r="JJ8" s="5862">
        <f t="shared" ref="JJ8:JJ45" si="67">JI8-JH8</f>
        <v>0</v>
      </c>
      <c r="JK8" s="5865" t="e">
        <f t="shared" ref="JK8:JK22" si="68">JJ8/JI8</f>
        <v>#DIV/0!</v>
      </c>
      <c r="JL8" s="5867"/>
      <c r="JM8" s="5868"/>
      <c r="JN8" s="5868"/>
      <c r="JO8" s="5862">
        <f t="shared" ref="JO8:JO38" si="69">JN8-JM8</f>
        <v>0</v>
      </c>
      <c r="JP8" s="5865" t="e">
        <f t="shared" ref="JP8:JP22" si="70">JO8/JN8</f>
        <v>#DIV/0!</v>
      </c>
      <c r="JQ8" s="5874"/>
      <c r="JR8" s="5868"/>
      <c r="JS8" s="5868"/>
      <c r="JT8" s="5862">
        <f>JS8-JR8</f>
        <v>0</v>
      </c>
      <c r="JU8" s="5865" t="e">
        <f>JT8/JS8</f>
        <v>#DIV/0!</v>
      </c>
      <c r="JV8" s="5737"/>
      <c r="JW8" s="5719"/>
      <c r="JX8" s="5719"/>
      <c r="JY8" s="5719"/>
      <c r="JZ8" s="5722"/>
      <c r="KA8" s="5719"/>
      <c r="KB8" s="5719"/>
      <c r="KC8" s="5719"/>
      <c r="KD8" s="5719"/>
      <c r="KE8" s="5722"/>
      <c r="KF8" s="5735"/>
      <c r="KG8" s="5719"/>
      <c r="KH8" s="5719"/>
      <c r="KI8" s="5719"/>
      <c r="KJ8" s="5722"/>
      <c r="KK8" s="5735"/>
      <c r="KL8" s="5719"/>
      <c r="KM8" s="5719"/>
      <c r="KN8" s="5719"/>
      <c r="KO8" s="5722"/>
      <c r="KP8" s="5738"/>
      <c r="KQ8" s="5719"/>
      <c r="KR8" s="5719"/>
      <c r="KS8" s="5719"/>
      <c r="KT8" s="5719"/>
      <c r="KU8" s="5738"/>
      <c r="KV8" s="5719"/>
      <c r="KW8" s="5719"/>
      <c r="KX8" s="5719"/>
      <c r="KY8" s="5722"/>
      <c r="KZ8" s="5739">
        <f t="shared" si="10"/>
        <v>0</v>
      </c>
      <c r="LA8" s="5740">
        <f t="shared" si="11"/>
        <v>0</v>
      </c>
      <c r="LB8" s="5740">
        <f t="shared" si="11"/>
        <v>0</v>
      </c>
      <c r="LC8" s="5740">
        <f t="shared" si="11"/>
        <v>0</v>
      </c>
      <c r="LD8" s="1660"/>
      <c r="LE8" s="1912">
        <f t="shared" ref="LE8:LE61" si="71">(IR8+IW8+JB8)/3</f>
        <v>0</v>
      </c>
      <c r="LF8" s="1908">
        <f t="shared" ref="LF8:LG39" si="72">IT8+IY8+JD8</f>
        <v>0</v>
      </c>
      <c r="LG8" s="1908">
        <f t="shared" si="72"/>
        <v>0</v>
      </c>
      <c r="LH8" s="1909"/>
      <c r="LI8" s="5875"/>
      <c r="LJ8" s="5876"/>
      <c r="LK8" s="5876"/>
      <c r="LL8" s="5877"/>
      <c r="LM8" s="1907"/>
      <c r="LN8" s="5876"/>
      <c r="LO8" s="5876"/>
      <c r="LP8" s="5877"/>
      <c r="LQ8" s="5875"/>
      <c r="LR8" s="5876"/>
      <c r="LS8" s="5876"/>
      <c r="LT8" s="5878"/>
      <c r="LV8" s="691"/>
      <c r="LW8" s="1839"/>
      <c r="LX8" s="1839"/>
      <c r="LY8" s="1839"/>
      <c r="LZ8" s="5879"/>
      <c r="MF8" s="5880"/>
      <c r="MG8" s="1839"/>
      <c r="MH8" s="1839"/>
      <c r="MI8" s="1839"/>
      <c r="MJ8" s="1660"/>
      <c r="MK8" s="5881"/>
      <c r="MN8" s="372">
        <f t="shared" si="12"/>
        <v>0</v>
      </c>
      <c r="MP8" s="5881"/>
      <c r="MQ8" s="1839"/>
      <c r="MR8" s="1839"/>
      <c r="MS8" s="1839"/>
      <c r="MT8" s="693"/>
      <c r="MU8" s="2035"/>
      <c r="MV8" s="1914"/>
      <c r="MW8" s="1914"/>
      <c r="MX8" s="1914"/>
      <c r="MY8" s="5882"/>
      <c r="MZ8" s="1659"/>
      <c r="NA8" s="1839"/>
      <c r="NB8" s="1839"/>
      <c r="NC8" s="1839"/>
      <c r="ND8" s="1839"/>
      <c r="NO8" s="5883"/>
      <c r="NP8" s="2425"/>
      <c r="NQ8" s="2425"/>
      <c r="NR8" s="5883"/>
      <c r="NT8" s="1839"/>
      <c r="NU8" s="1839"/>
      <c r="NV8" s="715"/>
      <c r="NW8" s="1839"/>
      <c r="NX8" s="1660"/>
      <c r="NY8" s="5884"/>
      <c r="NZ8" s="1914"/>
      <c r="OA8" s="1914"/>
      <c r="OB8" s="5882"/>
      <c r="OC8" s="1660"/>
      <c r="OE8" s="5885"/>
      <c r="OF8" s="5885"/>
      <c r="OG8" s="715"/>
      <c r="OH8" s="1660"/>
      <c r="OI8" s="1659"/>
      <c r="OJ8" s="1839"/>
      <c r="OK8" s="1839"/>
      <c r="OL8" s="1839"/>
      <c r="OM8" s="693"/>
      <c r="ON8" s="1659"/>
      <c r="OO8" s="715"/>
      <c r="OP8" s="715"/>
      <c r="OQ8" s="715"/>
      <c r="OR8" s="705"/>
      <c r="OS8" s="1659"/>
      <c r="OT8" s="1839"/>
      <c r="OU8" s="1839"/>
      <c r="OV8" s="1839"/>
      <c r="OW8" s="705"/>
      <c r="OX8" s="1659"/>
      <c r="OY8" s="1839"/>
      <c r="OZ8" s="1839"/>
      <c r="PA8" s="1839"/>
      <c r="PB8" s="1660"/>
      <c r="PD8" s="691"/>
      <c r="PE8" s="1839"/>
      <c r="PF8" s="1839"/>
      <c r="PG8" s="1839"/>
      <c r="PH8" s="5879"/>
      <c r="PN8" s="5880"/>
      <c r="PO8" s="1839"/>
      <c r="PP8" s="1839"/>
      <c r="PQ8" s="1839"/>
      <c r="PR8" s="1660"/>
      <c r="PS8" s="5886"/>
      <c r="PT8" s="5883"/>
      <c r="PU8" s="5883"/>
      <c r="PV8" s="2892">
        <f t="shared" si="13"/>
        <v>0</v>
      </c>
      <c r="PW8" s="5883"/>
      <c r="PX8" s="5881"/>
      <c r="PY8" s="1839"/>
      <c r="PZ8" s="1839"/>
      <c r="QA8" s="1839"/>
      <c r="QB8" s="693"/>
      <c r="QC8" s="2035"/>
      <c r="QD8" s="1914"/>
      <c r="QE8" s="1914"/>
      <c r="QF8" s="1914"/>
      <c r="QG8" s="5882"/>
      <c r="QH8" s="1910"/>
      <c r="QI8" s="1839"/>
      <c r="QJ8" s="1839"/>
      <c r="QK8" s="1839"/>
      <c r="QL8" s="1839"/>
      <c r="QM8" s="5880"/>
      <c r="QV8" s="1677"/>
      <c r="QW8" s="5883"/>
      <c r="QX8" s="2425"/>
      <c r="QY8" s="2425"/>
      <c r="QZ8" s="5883"/>
      <c r="RA8" s="5883"/>
      <c r="RB8" s="1839"/>
      <c r="RC8" s="1839"/>
      <c r="RD8" s="715"/>
      <c r="RE8" s="1839"/>
      <c r="RF8" s="1660"/>
      <c r="RG8" s="2037"/>
      <c r="RH8" s="1914"/>
      <c r="RI8" s="1914"/>
      <c r="RJ8" s="5882"/>
      <c r="RK8" s="1660"/>
      <c r="RL8" s="5883"/>
      <c r="RM8" s="2425"/>
      <c r="RN8" s="2425"/>
      <c r="RO8" s="2425"/>
      <c r="RP8" s="5883"/>
      <c r="RQ8" s="1659"/>
      <c r="RR8" s="1839"/>
      <c r="RS8" s="1839"/>
      <c r="RT8" s="1839"/>
      <c r="RU8" s="693"/>
      <c r="RV8" s="1659"/>
      <c r="RW8" s="715"/>
      <c r="RX8" s="715"/>
      <c r="RY8" s="715"/>
      <c r="RZ8" s="705"/>
      <c r="SA8" s="1659"/>
      <c r="SB8" s="1839"/>
      <c r="SC8" s="1839"/>
      <c r="SD8" s="1839"/>
      <c r="SE8" s="705"/>
      <c r="SF8" s="1659"/>
      <c r="SG8" s="1839"/>
      <c r="SH8" s="1839"/>
      <c r="SI8" s="1839"/>
      <c r="SJ8" s="1660"/>
      <c r="SL8" s="5887"/>
      <c r="SM8" s="5882"/>
      <c r="SN8" s="5882"/>
      <c r="SO8" s="5882"/>
      <c r="SP8" s="5888"/>
      <c r="SQ8" s="5883"/>
      <c r="SR8" s="5883"/>
      <c r="SS8" s="5883"/>
      <c r="ST8" s="5883"/>
      <c r="SU8" s="5883"/>
      <c r="SV8" s="5880"/>
      <c r="SW8" s="1839"/>
      <c r="SX8" s="1839"/>
      <c r="SY8" s="1839"/>
      <c r="SZ8" s="1660"/>
      <c r="TA8" s="5881"/>
      <c r="TD8" s="372">
        <f t="shared" si="14"/>
        <v>0</v>
      </c>
      <c r="TF8" s="5881"/>
      <c r="TG8" s="1839"/>
      <c r="TH8" s="1839"/>
      <c r="TI8" s="1839"/>
      <c r="TJ8" s="693"/>
      <c r="TK8" s="2035"/>
      <c r="TL8" s="1914"/>
      <c r="TM8" s="1914"/>
      <c r="TN8" s="1914"/>
      <c r="TO8" s="5882"/>
      <c r="TP8" s="2407"/>
      <c r="TQ8" s="1839"/>
      <c r="TR8" s="1839"/>
      <c r="TS8" s="1839"/>
      <c r="TT8" s="1839"/>
      <c r="TU8" s="5889"/>
      <c r="TV8" s="5883"/>
      <c r="TW8" s="5883"/>
      <c r="TX8" s="5883"/>
      <c r="TY8" s="5883"/>
      <c r="TZ8" s="5883"/>
      <c r="UA8" s="5883"/>
      <c r="UB8" s="5883"/>
      <c r="UC8" s="5883"/>
      <c r="UD8" s="1677"/>
      <c r="UE8" s="5883"/>
      <c r="UF8" s="2425"/>
      <c r="UG8" s="2425"/>
      <c r="UH8" s="5883"/>
      <c r="UI8" s="5883"/>
      <c r="UJ8" s="1839"/>
      <c r="UK8" s="1839"/>
      <c r="UL8" s="715"/>
      <c r="UM8" s="1839"/>
      <c r="UN8" s="1660"/>
      <c r="UO8" s="2037"/>
      <c r="UP8" s="1914"/>
      <c r="UQ8" s="1914"/>
      <c r="UR8" s="5882"/>
      <c r="US8" s="1660"/>
      <c r="UU8" s="5885"/>
      <c r="UV8" s="5885"/>
      <c r="UW8" s="5885"/>
      <c r="UY8" s="1659"/>
      <c r="UZ8" s="1839"/>
      <c r="VA8" s="1839"/>
      <c r="VB8" s="1839"/>
      <c r="VC8" s="693"/>
      <c r="VD8" s="1659"/>
      <c r="VE8" s="715"/>
      <c r="VF8" s="715"/>
      <c r="VG8" s="715"/>
      <c r="VH8" s="705"/>
      <c r="VI8" s="1659"/>
      <c r="VJ8" s="1839"/>
      <c r="VK8" s="1839"/>
      <c r="VL8" s="1839"/>
      <c r="VM8" s="705"/>
      <c r="VN8" s="1659"/>
      <c r="VO8" s="1839"/>
      <c r="VP8" s="1839"/>
      <c r="VQ8" s="1839"/>
      <c r="VR8" s="1660"/>
    </row>
    <row r="9" spans="1:590" s="5748" customFormat="1" hidden="1" x14ac:dyDescent="0.3">
      <c r="A9" s="5675"/>
      <c r="B9" s="654" t="s">
        <v>729</v>
      </c>
      <c r="C9" s="5780" t="s">
        <v>737</v>
      </c>
      <c r="D9" s="5781"/>
      <c r="E9" s="5782"/>
      <c r="F9" s="5782"/>
      <c r="G9" s="5783"/>
      <c r="H9" s="5826"/>
      <c r="I9" s="5827"/>
      <c r="J9" s="5827"/>
      <c r="K9" s="5827">
        <f t="shared" si="0"/>
        <v>0</v>
      </c>
      <c r="L9" s="5828">
        <v>0</v>
      </c>
      <c r="M9" s="5890"/>
      <c r="N9" s="5830"/>
      <c r="O9" s="5830"/>
      <c r="P9" s="5830">
        <f t="shared" si="1"/>
        <v>0</v>
      </c>
      <c r="Q9" s="5831">
        <v>0</v>
      </c>
      <c r="R9" s="5891"/>
      <c r="S9" s="5827"/>
      <c r="T9" s="5827"/>
      <c r="U9" s="5827">
        <f t="shared" si="2"/>
        <v>0</v>
      </c>
      <c r="V9" s="5828" t="s">
        <v>732</v>
      </c>
      <c r="W9" s="5892"/>
      <c r="X9" s="5827"/>
      <c r="Y9" s="5827"/>
      <c r="Z9" s="5827">
        <f t="shared" si="3"/>
        <v>0</v>
      </c>
      <c r="AA9" s="5833">
        <v>0</v>
      </c>
      <c r="AB9" s="5893"/>
      <c r="AC9" s="5827"/>
      <c r="AD9" s="5827"/>
      <c r="AE9" s="5827">
        <f t="shared" si="4"/>
        <v>0</v>
      </c>
      <c r="AF9" s="5828"/>
      <c r="AG9" s="5893"/>
      <c r="AH9" s="5827">
        <v>0</v>
      </c>
      <c r="AI9" s="5835">
        <v>0</v>
      </c>
      <c r="AJ9" s="5835">
        <f t="shared" si="5"/>
        <v>0</v>
      </c>
      <c r="AK9" s="5828"/>
      <c r="AL9" s="5893"/>
      <c r="AM9" s="5836">
        <v>0</v>
      </c>
      <c r="AN9" s="5836">
        <v>0</v>
      </c>
      <c r="AO9" s="5836">
        <f>AN9-AM9</f>
        <v>0</v>
      </c>
      <c r="AP9" s="5828"/>
      <c r="AQ9" s="5837"/>
      <c r="AR9" s="5836"/>
      <c r="AS9" s="5836"/>
      <c r="AT9" s="5838">
        <f t="shared" si="15"/>
        <v>0</v>
      </c>
      <c r="AU9" s="5828">
        <v>0</v>
      </c>
      <c r="AV9" s="5832"/>
      <c r="AW9" s="5836"/>
      <c r="AX9" s="5836"/>
      <c r="AY9" s="5836">
        <f t="shared" si="16"/>
        <v>0</v>
      </c>
      <c r="AZ9" s="5828" t="e">
        <f>AY9/AX9</f>
        <v>#DIV/0!</v>
      </c>
      <c r="BA9" s="5839"/>
      <c r="BB9" s="5827"/>
      <c r="BC9" s="5827"/>
      <c r="BD9" s="5836">
        <f t="shared" si="17"/>
        <v>0</v>
      </c>
      <c r="BE9" s="5831" t="e">
        <f t="shared" si="18"/>
        <v>#DIV/0!</v>
      </c>
      <c r="BF9" s="5832"/>
      <c r="BG9" s="5836"/>
      <c r="BH9" s="5827"/>
      <c r="BI9" s="5836">
        <f t="shared" si="19"/>
        <v>0</v>
      </c>
      <c r="BJ9" s="5831"/>
      <c r="BK9" s="5832"/>
      <c r="BL9" s="5836"/>
      <c r="BM9" s="5827"/>
      <c r="BN9" s="5836">
        <f t="shared" si="20"/>
        <v>0</v>
      </c>
      <c r="BO9" s="5840"/>
      <c r="BP9" s="5841">
        <f t="shared" si="21"/>
        <v>0</v>
      </c>
      <c r="BQ9" s="5842">
        <f t="shared" si="22"/>
        <v>0</v>
      </c>
      <c r="BR9" s="5835">
        <f t="shared" si="22"/>
        <v>0</v>
      </c>
      <c r="BS9" s="5843">
        <f t="shared" si="7"/>
        <v>0</v>
      </c>
      <c r="BT9" s="5844">
        <f t="shared" si="23"/>
        <v>0</v>
      </c>
      <c r="BU9" s="5835">
        <f t="shared" si="24"/>
        <v>0</v>
      </c>
      <c r="BV9" s="5835">
        <f t="shared" si="24"/>
        <v>0</v>
      </c>
      <c r="BW9" s="5845"/>
      <c r="BX9" s="5846">
        <f t="shared" si="25"/>
        <v>0</v>
      </c>
      <c r="BY9" s="5835">
        <f t="shared" si="26"/>
        <v>0</v>
      </c>
      <c r="BZ9" s="5835">
        <f t="shared" si="26"/>
        <v>0</v>
      </c>
      <c r="CA9" s="5847"/>
      <c r="CB9" s="5848">
        <f t="shared" si="27"/>
        <v>0</v>
      </c>
      <c r="CC9" s="5835">
        <f>AN9+AS9+AX9</f>
        <v>0</v>
      </c>
      <c r="CD9" s="5835">
        <f>AO9+AT9+AY9</f>
        <v>0</v>
      </c>
      <c r="CE9" s="5849"/>
      <c r="CF9" s="5846">
        <f t="shared" si="28"/>
        <v>0</v>
      </c>
      <c r="CG9" s="5827">
        <f t="shared" si="29"/>
        <v>0</v>
      </c>
      <c r="CH9" s="5827">
        <f t="shared" si="29"/>
        <v>0</v>
      </c>
      <c r="CI9" s="5847"/>
      <c r="CJ9" s="5850"/>
      <c r="CK9" s="5827"/>
      <c r="CL9" s="5827"/>
      <c r="CM9" s="5894"/>
      <c r="CN9" s="5845" t="e">
        <f>CM9/CL9</f>
        <v>#DIV/0!</v>
      </c>
      <c r="CO9" s="5850"/>
      <c r="CP9" s="5827"/>
      <c r="CQ9" s="5827"/>
      <c r="CR9" s="5852"/>
      <c r="CS9" s="5847"/>
      <c r="CT9" s="5850"/>
      <c r="CU9" s="5827"/>
      <c r="CV9" s="5827"/>
      <c r="CW9" s="5852"/>
      <c r="CX9" s="5847"/>
      <c r="CY9" s="5850"/>
      <c r="CZ9" s="5827"/>
      <c r="DA9" s="5827"/>
      <c r="DB9" s="5852"/>
      <c r="DC9" s="5847"/>
      <c r="DD9" s="5851"/>
      <c r="DE9" s="5852"/>
      <c r="DF9" s="5852"/>
      <c r="DG9" s="5827">
        <f t="shared" si="30"/>
        <v>0</v>
      </c>
      <c r="DH9" s="5895"/>
      <c r="DI9" s="5850"/>
      <c r="DJ9" s="5852"/>
      <c r="DK9" s="5852"/>
      <c r="DL9" s="5827"/>
      <c r="DM9" s="5895"/>
      <c r="DN9" s="5850"/>
      <c r="DO9" s="5827"/>
      <c r="DP9" s="5827"/>
      <c r="DQ9" s="5827"/>
      <c r="DR9" s="5895"/>
      <c r="DS9" s="5850"/>
      <c r="DT9" s="5827"/>
      <c r="DU9" s="5827"/>
      <c r="DV9" s="5827"/>
      <c r="DW9" s="5847"/>
      <c r="DX9" s="5850"/>
      <c r="DY9" s="5827"/>
      <c r="DZ9" s="5827"/>
      <c r="EA9" s="5827">
        <f t="shared" si="31"/>
        <v>0</v>
      </c>
      <c r="EB9" s="5853" t="e">
        <f t="shared" si="32"/>
        <v>#DIV/0!</v>
      </c>
      <c r="EC9" s="5850"/>
      <c r="ED9" s="5827"/>
      <c r="EE9" s="5827"/>
      <c r="EF9" s="5835">
        <f t="shared" si="33"/>
        <v>0</v>
      </c>
      <c r="EG9" s="5895"/>
      <c r="EH9" s="5850"/>
      <c r="EI9" s="5827"/>
      <c r="EJ9" s="5827"/>
      <c r="EK9" s="5827">
        <f t="shared" si="34"/>
        <v>0</v>
      </c>
      <c r="EL9" s="5853" t="e">
        <f t="shared" si="35"/>
        <v>#DIV/0!</v>
      </c>
      <c r="EM9" s="5850"/>
      <c r="EN9" s="5827"/>
      <c r="EO9" s="5827"/>
      <c r="EP9" s="5827">
        <f t="shared" si="36"/>
        <v>0</v>
      </c>
      <c r="EQ9" s="5853" t="e">
        <f t="shared" si="37"/>
        <v>#DIV/0!</v>
      </c>
      <c r="ER9" s="5854">
        <f t="shared" si="38"/>
        <v>0</v>
      </c>
      <c r="ES9" s="5855">
        <f t="shared" si="39"/>
        <v>0</v>
      </c>
      <c r="ET9" s="5855">
        <f t="shared" si="39"/>
        <v>0</v>
      </c>
      <c r="EU9" s="5855">
        <f t="shared" si="39"/>
        <v>0</v>
      </c>
      <c r="EV9" s="5856" t="e">
        <f t="shared" si="40"/>
        <v>#DIV/0!</v>
      </c>
      <c r="EW9" s="5857">
        <f t="shared" ref="EW9:EW16" si="73">CJ9+CO9+CT9/3</f>
        <v>0</v>
      </c>
      <c r="EX9" s="5827"/>
      <c r="EY9" s="5827"/>
      <c r="EZ9" s="5858" t="e">
        <f t="shared" si="41"/>
        <v>#DIV/0!</v>
      </c>
      <c r="FA9" s="5851">
        <f t="shared" ref="FA9:FA20" si="74">CY9+DD9+DI9</f>
        <v>0</v>
      </c>
      <c r="FB9" s="5835">
        <f t="shared" si="42"/>
        <v>0</v>
      </c>
      <c r="FC9" s="5835">
        <f t="shared" si="42"/>
        <v>0</v>
      </c>
      <c r="FD9" s="5845" t="e">
        <f t="shared" si="43"/>
        <v>#DIV/0!</v>
      </c>
      <c r="FE9" s="5896"/>
      <c r="FF9" s="5852"/>
      <c r="FG9" s="5852"/>
      <c r="FH9" s="5858" t="e">
        <f t="shared" si="44"/>
        <v>#DIV/0!</v>
      </c>
      <c r="FI9" s="5860">
        <f t="shared" si="45"/>
        <v>0</v>
      </c>
      <c r="FJ9" s="5857"/>
      <c r="FK9" s="5835">
        <f t="shared" si="46"/>
        <v>0</v>
      </c>
      <c r="FL9" s="5835">
        <f t="shared" si="46"/>
        <v>0</v>
      </c>
      <c r="FM9" s="5845" t="e">
        <f t="shared" si="47"/>
        <v>#DIV/0!</v>
      </c>
      <c r="FN9" s="5861"/>
      <c r="FO9" s="5862"/>
      <c r="FP9" s="5862"/>
      <c r="FQ9" s="5862">
        <f t="shared" si="48"/>
        <v>0</v>
      </c>
      <c r="FR9" s="5863" t="e">
        <f t="shared" si="49"/>
        <v>#DIV/0!</v>
      </c>
      <c r="FS9" s="5864"/>
      <c r="FT9" s="5862"/>
      <c r="FU9" s="5862"/>
      <c r="FV9" s="5862">
        <f t="shared" si="50"/>
        <v>0</v>
      </c>
      <c r="FW9" s="5865" t="e">
        <f t="shared" si="51"/>
        <v>#DIV/0!</v>
      </c>
      <c r="FX9" s="5864"/>
      <c r="FY9" s="5866"/>
      <c r="FZ9" s="5866"/>
      <c r="GA9" s="5862">
        <f t="shared" si="52"/>
        <v>0</v>
      </c>
      <c r="GB9" s="5865" t="e">
        <f t="shared" si="53"/>
        <v>#DIV/0!</v>
      </c>
      <c r="GC9" s="5867"/>
      <c r="GD9" s="5868"/>
      <c r="GE9" s="5868"/>
      <c r="GF9" s="5862">
        <f t="shared" si="54"/>
        <v>0</v>
      </c>
      <c r="GG9" s="5865" t="e">
        <f t="shared" si="55"/>
        <v>#DIV/0!</v>
      </c>
      <c r="GH9" s="5867"/>
      <c r="GI9" s="5868"/>
      <c r="GJ9" s="5868"/>
      <c r="GK9" s="5862">
        <f t="shared" si="56"/>
        <v>0</v>
      </c>
      <c r="GL9" s="5865" t="e">
        <f t="shared" si="57"/>
        <v>#DIV/0!</v>
      </c>
      <c r="GM9" s="5867"/>
      <c r="GN9" s="5868"/>
      <c r="GO9" s="5868"/>
      <c r="GP9" s="5862">
        <f>GO9-GN9</f>
        <v>0</v>
      </c>
      <c r="GQ9" s="5865" t="e">
        <f>GP9/GO9</f>
        <v>#DIV/0!</v>
      </c>
      <c r="GR9" s="5719"/>
      <c r="GS9" s="5719"/>
      <c r="GT9" s="5719"/>
      <c r="GU9" s="5719"/>
      <c r="GV9" s="5722"/>
      <c r="GW9" s="5719"/>
      <c r="GX9" s="5719"/>
      <c r="GY9" s="5719"/>
      <c r="GZ9" s="5719"/>
      <c r="HA9" s="5722"/>
      <c r="HB9" s="5719"/>
      <c r="HC9" s="5719"/>
      <c r="HD9" s="5719"/>
      <c r="HE9" s="5719"/>
      <c r="HF9" s="5722"/>
      <c r="HG9" s="5719"/>
      <c r="HH9" s="5719"/>
      <c r="HI9" s="5719"/>
      <c r="HJ9" s="5719"/>
      <c r="HK9" s="5722"/>
      <c r="HL9" s="5719"/>
      <c r="HM9" s="5719"/>
      <c r="HN9" s="5719"/>
      <c r="HO9" s="5719"/>
      <c r="HP9" s="5722"/>
      <c r="HQ9" s="5719"/>
      <c r="HR9" s="5719"/>
      <c r="HS9" s="5719"/>
      <c r="HT9" s="5719"/>
      <c r="HU9" s="5719"/>
      <c r="HV9" s="5723">
        <f t="shared" si="8"/>
        <v>0</v>
      </c>
      <c r="HW9" s="5724">
        <f t="shared" si="9"/>
        <v>0</v>
      </c>
      <c r="HX9" s="5724">
        <f t="shared" si="9"/>
        <v>0</v>
      </c>
      <c r="HY9" s="5724">
        <f t="shared" si="9"/>
        <v>0</v>
      </c>
      <c r="HZ9" s="5725"/>
      <c r="IA9" s="5726">
        <f t="shared" si="58"/>
        <v>0</v>
      </c>
      <c r="IB9" s="5869">
        <f t="shared" si="59"/>
        <v>0</v>
      </c>
      <c r="IC9" s="5869">
        <f t="shared" si="59"/>
        <v>0</v>
      </c>
      <c r="ID9" s="5870" t="e">
        <f t="shared" si="60"/>
        <v>#DIV/0!</v>
      </c>
      <c r="IE9" s="5729"/>
      <c r="IF9" s="5727"/>
      <c r="IG9" s="5727"/>
      <c r="IH9" s="5728"/>
      <c r="II9" s="5730"/>
      <c r="IJ9" s="5727"/>
      <c r="IK9" s="5727"/>
      <c r="IL9" s="5728"/>
      <c r="IM9" s="5731"/>
      <c r="IN9" s="5727"/>
      <c r="IO9" s="5727"/>
      <c r="IP9" s="5732"/>
      <c r="IQ9" s="5719"/>
      <c r="IR9" s="5871"/>
      <c r="IS9" s="5862"/>
      <c r="IT9" s="5862"/>
      <c r="IU9" s="5862">
        <f t="shared" si="61"/>
        <v>0</v>
      </c>
      <c r="IV9" s="5863" t="e">
        <f t="shared" si="62"/>
        <v>#DIV/0!</v>
      </c>
      <c r="IW9" s="5864"/>
      <c r="IX9" s="5862"/>
      <c r="IY9" s="5862"/>
      <c r="IZ9" s="5862">
        <f t="shared" si="63"/>
        <v>0</v>
      </c>
      <c r="JA9" s="5865" t="e">
        <f t="shared" si="64"/>
        <v>#DIV/0!</v>
      </c>
      <c r="JB9" s="5872"/>
      <c r="JC9" s="5866"/>
      <c r="JD9" s="5866"/>
      <c r="JE9" s="5862">
        <f t="shared" si="65"/>
        <v>0</v>
      </c>
      <c r="JF9" s="5865" t="e">
        <f t="shared" si="66"/>
        <v>#DIV/0!</v>
      </c>
      <c r="JG9" s="5873"/>
      <c r="JH9" s="5868"/>
      <c r="JI9" s="5868"/>
      <c r="JJ9" s="5862">
        <f t="shared" si="67"/>
        <v>0</v>
      </c>
      <c r="JK9" s="5865" t="e">
        <f t="shared" si="68"/>
        <v>#DIV/0!</v>
      </c>
      <c r="JL9" s="5867"/>
      <c r="JM9" s="5868"/>
      <c r="JN9" s="5868"/>
      <c r="JO9" s="5862">
        <f t="shared" si="69"/>
        <v>0</v>
      </c>
      <c r="JP9" s="5865" t="e">
        <f t="shared" si="70"/>
        <v>#DIV/0!</v>
      </c>
      <c r="JQ9" s="5874"/>
      <c r="JR9" s="5868"/>
      <c r="JS9" s="5868"/>
      <c r="JT9" s="5862">
        <f>JS9-JR9</f>
        <v>0</v>
      </c>
      <c r="JU9" s="5865" t="e">
        <f>JT9/JS9</f>
        <v>#DIV/0!</v>
      </c>
      <c r="JV9" s="5737"/>
      <c r="JW9" s="5719"/>
      <c r="JX9" s="5719"/>
      <c r="JY9" s="5719"/>
      <c r="JZ9" s="5722"/>
      <c r="KA9" s="5719"/>
      <c r="KB9" s="5719"/>
      <c r="KC9" s="5719"/>
      <c r="KD9" s="5719"/>
      <c r="KE9" s="5722"/>
      <c r="KF9" s="5735"/>
      <c r="KG9" s="5719"/>
      <c r="KH9" s="5719"/>
      <c r="KI9" s="5719"/>
      <c r="KJ9" s="5722"/>
      <c r="KK9" s="5735"/>
      <c r="KL9" s="5719"/>
      <c r="KM9" s="5719"/>
      <c r="KN9" s="5719"/>
      <c r="KO9" s="5722"/>
      <c r="KP9" s="5738"/>
      <c r="KQ9" s="5719"/>
      <c r="KR9" s="5719"/>
      <c r="KS9" s="5719"/>
      <c r="KT9" s="5719"/>
      <c r="KU9" s="5738"/>
      <c r="KV9" s="5719"/>
      <c r="KW9" s="5719"/>
      <c r="KX9" s="5719"/>
      <c r="KY9" s="5722"/>
      <c r="KZ9" s="5739">
        <f t="shared" si="10"/>
        <v>0</v>
      </c>
      <c r="LA9" s="5740">
        <f t="shared" si="11"/>
        <v>0</v>
      </c>
      <c r="LB9" s="5740">
        <f t="shared" si="11"/>
        <v>0</v>
      </c>
      <c r="LC9" s="5740">
        <f t="shared" si="11"/>
        <v>0</v>
      </c>
      <c r="LD9" s="5741"/>
      <c r="LE9" s="1912">
        <f t="shared" si="71"/>
        <v>0</v>
      </c>
      <c r="LF9" s="1908">
        <f t="shared" si="72"/>
        <v>0</v>
      </c>
      <c r="LG9" s="1908">
        <f t="shared" si="72"/>
        <v>0</v>
      </c>
      <c r="LH9" s="1909"/>
      <c r="LI9" s="5745"/>
      <c r="LJ9" s="5743"/>
      <c r="LK9" s="5743"/>
      <c r="LL9" s="5744"/>
      <c r="LM9" s="5746"/>
      <c r="LN9" s="5743"/>
      <c r="LO9" s="5743"/>
      <c r="LP9" s="5744"/>
      <c r="LQ9" s="5745"/>
      <c r="LR9" s="5743"/>
      <c r="LS9" s="5743"/>
      <c r="LT9" s="5747"/>
      <c r="LV9" s="5749"/>
      <c r="LW9" s="5750"/>
      <c r="LX9" s="5750"/>
      <c r="LY9" s="5750"/>
      <c r="LZ9" s="5751"/>
      <c r="MF9" s="5752"/>
      <c r="MG9" s="5750"/>
      <c r="MH9" s="5750"/>
      <c r="MI9" s="5750"/>
      <c r="MJ9" s="5741"/>
      <c r="MK9" s="5753"/>
      <c r="MN9" s="372">
        <f t="shared" si="12"/>
        <v>0</v>
      </c>
      <c r="MP9" s="5753"/>
      <c r="MQ9" s="5750"/>
      <c r="MR9" s="5750"/>
      <c r="MS9" s="5750"/>
      <c r="MT9" s="5754"/>
      <c r="MU9" s="5755"/>
      <c r="MV9" s="5756"/>
      <c r="MW9" s="5756"/>
      <c r="MX9" s="5756"/>
      <c r="MY9" s="5757"/>
      <c r="MZ9" s="5758"/>
      <c r="NA9" s="5750"/>
      <c r="NB9" s="5750"/>
      <c r="NC9" s="5750"/>
      <c r="ND9" s="5750"/>
      <c r="NO9" s="5759"/>
      <c r="NP9" s="5760"/>
      <c r="NQ9" s="5760"/>
      <c r="NR9" s="5759"/>
      <c r="NT9" s="5750"/>
      <c r="NU9" s="5750"/>
      <c r="NV9" s="5761"/>
      <c r="NW9" s="5750"/>
      <c r="NX9" s="5741"/>
      <c r="NY9" s="5762"/>
      <c r="NZ9" s="5756"/>
      <c r="OA9" s="5756"/>
      <c r="OB9" s="5757"/>
      <c r="OC9" s="5741"/>
      <c r="OE9" s="5763"/>
      <c r="OF9" s="5763"/>
      <c r="OG9" s="5761"/>
      <c r="OH9" s="5741"/>
      <c r="OI9" s="5758"/>
      <c r="OJ9" s="5750"/>
      <c r="OK9" s="5750"/>
      <c r="OL9" s="5750"/>
      <c r="OM9" s="5754"/>
      <c r="ON9" s="5758"/>
      <c r="OO9" s="5761"/>
      <c r="OP9" s="5761"/>
      <c r="OQ9" s="5761"/>
      <c r="OR9" s="5764"/>
      <c r="OS9" s="5758"/>
      <c r="OT9" s="5750"/>
      <c r="OU9" s="5750"/>
      <c r="OV9" s="5750"/>
      <c r="OW9" s="5764"/>
      <c r="OX9" s="5758"/>
      <c r="OY9" s="5750"/>
      <c r="OZ9" s="5750"/>
      <c r="PA9" s="5750"/>
      <c r="PB9" s="5741"/>
      <c r="PD9" s="5749"/>
      <c r="PE9" s="5750"/>
      <c r="PF9" s="5750"/>
      <c r="PG9" s="5750"/>
      <c r="PH9" s="5751"/>
      <c r="PN9" s="5752"/>
      <c r="PO9" s="5750"/>
      <c r="PP9" s="5750"/>
      <c r="PQ9" s="5750"/>
      <c r="PR9" s="5741"/>
      <c r="PS9" s="5897"/>
      <c r="PT9" s="5759"/>
      <c r="PU9" s="5759"/>
      <c r="PV9" s="2892">
        <f t="shared" si="13"/>
        <v>0</v>
      </c>
      <c r="PW9" s="5759"/>
      <c r="PX9" s="5753"/>
      <c r="PY9" s="5750"/>
      <c r="PZ9" s="5750"/>
      <c r="QA9" s="5750"/>
      <c r="QB9" s="5754"/>
      <c r="QC9" s="5755"/>
      <c r="QD9" s="5756"/>
      <c r="QE9" s="5756"/>
      <c r="QF9" s="5756"/>
      <c r="QG9" s="5757"/>
      <c r="QH9" s="5898"/>
      <c r="QI9" s="5750"/>
      <c r="QJ9" s="5750"/>
      <c r="QK9" s="5750"/>
      <c r="QL9" s="5750"/>
      <c r="QM9" s="5752"/>
      <c r="QR9" s="5759"/>
      <c r="QS9" s="5759"/>
      <c r="QT9" s="5759"/>
      <c r="QU9" s="5759"/>
      <c r="QV9" s="5899"/>
      <c r="QW9" s="5759"/>
      <c r="QX9" s="5760"/>
      <c r="QY9" s="5760"/>
      <c r="QZ9" s="5759"/>
      <c r="RA9" s="5759"/>
      <c r="RB9" s="5750"/>
      <c r="RC9" s="5750"/>
      <c r="RD9" s="5761"/>
      <c r="RE9" s="5750"/>
      <c r="RF9" s="5741"/>
      <c r="RG9" s="5900"/>
      <c r="RH9" s="5756"/>
      <c r="RI9" s="5756"/>
      <c r="RJ9" s="5757"/>
      <c r="RK9" s="5741"/>
      <c r="RL9" s="5759"/>
      <c r="RM9" s="5760"/>
      <c r="RN9" s="5760"/>
      <c r="RO9" s="5760"/>
      <c r="RP9" s="5759"/>
      <c r="RQ9" s="5758"/>
      <c r="RR9" s="5750"/>
      <c r="RS9" s="5750"/>
      <c r="RT9" s="5750"/>
      <c r="RU9" s="5754"/>
      <c r="RV9" s="5758"/>
      <c r="RW9" s="5761"/>
      <c r="RX9" s="5761"/>
      <c r="RY9" s="5761"/>
      <c r="RZ9" s="5764"/>
      <c r="SA9" s="5758"/>
      <c r="SB9" s="5750"/>
      <c r="SC9" s="5750"/>
      <c r="SD9" s="5750"/>
      <c r="SE9" s="5764"/>
      <c r="SF9" s="5758"/>
      <c r="SG9" s="5750"/>
      <c r="SH9" s="5750"/>
      <c r="SI9" s="5750"/>
      <c r="SJ9" s="5741"/>
      <c r="SL9" s="5774"/>
      <c r="SM9" s="5757"/>
      <c r="SN9" s="5757"/>
      <c r="SO9" s="5757"/>
      <c r="SP9" s="5775"/>
      <c r="SQ9" s="5759"/>
      <c r="SR9" s="5759"/>
      <c r="SS9" s="5759"/>
      <c r="ST9" s="5759"/>
      <c r="SU9" s="5759"/>
      <c r="SV9" s="5752"/>
      <c r="SW9" s="5750"/>
      <c r="SX9" s="5750"/>
      <c r="SY9" s="5750"/>
      <c r="SZ9" s="5741"/>
      <c r="TA9" s="5753"/>
      <c r="TD9" s="372">
        <f t="shared" si="14"/>
        <v>0</v>
      </c>
      <c r="TF9" s="5753"/>
      <c r="TG9" s="5750"/>
      <c r="TH9" s="5750"/>
      <c r="TI9" s="5750"/>
      <c r="TJ9" s="5754"/>
      <c r="TK9" s="5755"/>
      <c r="TL9" s="5756"/>
      <c r="TM9" s="5756"/>
      <c r="TN9" s="5756"/>
      <c r="TO9" s="5757"/>
      <c r="TP9" s="5901"/>
      <c r="TQ9" s="5750"/>
      <c r="TR9" s="5750"/>
      <c r="TS9" s="5750"/>
      <c r="TT9" s="5750"/>
      <c r="TU9" s="5902"/>
      <c r="TV9" s="5759"/>
      <c r="TW9" s="5759"/>
      <c r="TX9" s="5759"/>
      <c r="TY9" s="5759"/>
      <c r="TZ9" s="5759"/>
      <c r="UA9" s="5759"/>
      <c r="UB9" s="5759"/>
      <c r="UC9" s="5759"/>
      <c r="UD9" s="5899"/>
      <c r="UE9" s="5759"/>
      <c r="UF9" s="5760"/>
      <c r="UG9" s="5760"/>
      <c r="UH9" s="5759"/>
      <c r="UI9" s="5759"/>
      <c r="UJ9" s="5750"/>
      <c r="UK9" s="5750"/>
      <c r="UL9" s="5761"/>
      <c r="UM9" s="5750"/>
      <c r="UN9" s="5741"/>
      <c r="UO9" s="5900"/>
      <c r="UP9" s="5756"/>
      <c r="UQ9" s="5756"/>
      <c r="UR9" s="5757"/>
      <c r="US9" s="5741"/>
      <c r="UU9" s="5763"/>
      <c r="UV9" s="5763"/>
      <c r="UW9" s="5763"/>
      <c r="UY9" s="5758"/>
      <c r="UZ9" s="5750"/>
      <c r="VA9" s="5750"/>
      <c r="VB9" s="5750"/>
      <c r="VC9" s="5754"/>
      <c r="VD9" s="5758"/>
      <c r="VE9" s="5761"/>
      <c r="VF9" s="5761"/>
      <c r="VG9" s="5761"/>
      <c r="VH9" s="5764"/>
      <c r="VI9" s="5758"/>
      <c r="VJ9" s="5750"/>
      <c r="VK9" s="5750"/>
      <c r="VL9" s="5750"/>
      <c r="VM9" s="5764"/>
      <c r="VN9" s="5758"/>
      <c r="VO9" s="5750"/>
      <c r="VP9" s="5750"/>
      <c r="VQ9" s="5750"/>
      <c r="VR9" s="5741"/>
    </row>
    <row r="10" spans="1:590" s="5748" customFormat="1" hidden="1" x14ac:dyDescent="0.3">
      <c r="A10" s="5675"/>
      <c r="B10" s="654" t="s">
        <v>729</v>
      </c>
      <c r="C10" s="5780" t="s">
        <v>737</v>
      </c>
      <c r="D10" s="5781" t="s">
        <v>738</v>
      </c>
      <c r="E10" s="5782"/>
      <c r="F10" s="5782"/>
      <c r="G10" s="5783"/>
      <c r="H10" s="5903"/>
      <c r="I10" s="5904"/>
      <c r="J10" s="5904"/>
      <c r="K10" s="5904">
        <f t="shared" si="0"/>
        <v>0</v>
      </c>
      <c r="L10" s="5905">
        <v>0</v>
      </c>
      <c r="M10" s="5906"/>
      <c r="N10" s="5907"/>
      <c r="O10" s="5907"/>
      <c r="P10" s="5907">
        <f t="shared" si="1"/>
        <v>0</v>
      </c>
      <c r="Q10" s="5908">
        <v>0</v>
      </c>
      <c r="R10" s="5908"/>
      <c r="S10" s="5904"/>
      <c r="T10" s="5904"/>
      <c r="U10" s="5904">
        <f t="shared" si="2"/>
        <v>0</v>
      </c>
      <c r="V10" s="5905" t="s">
        <v>732</v>
      </c>
      <c r="W10" s="5909"/>
      <c r="X10" s="5904"/>
      <c r="Y10" s="5904"/>
      <c r="Z10" s="5904">
        <f t="shared" si="3"/>
        <v>0</v>
      </c>
      <c r="AA10" s="5910">
        <v>0</v>
      </c>
      <c r="AB10" s="5905"/>
      <c r="AC10" s="5904"/>
      <c r="AD10" s="5904"/>
      <c r="AE10" s="5904">
        <f t="shared" si="4"/>
        <v>0</v>
      </c>
      <c r="AF10" s="5905"/>
      <c r="AG10" s="5911"/>
      <c r="AH10" s="5904">
        <v>0</v>
      </c>
      <c r="AI10" s="5912">
        <v>0</v>
      </c>
      <c r="AJ10" s="5912">
        <f t="shared" si="5"/>
        <v>0</v>
      </c>
      <c r="AK10" s="5905"/>
      <c r="AL10" s="5911"/>
      <c r="AM10" s="5913">
        <v>0</v>
      </c>
      <c r="AN10" s="5913">
        <v>0</v>
      </c>
      <c r="AO10" s="5913" t="s">
        <v>732</v>
      </c>
      <c r="AP10" s="5905"/>
      <c r="AQ10" s="5914"/>
      <c r="AR10" s="5905"/>
      <c r="AS10" s="5905"/>
      <c r="AT10" s="5915">
        <f t="shared" si="15"/>
        <v>0</v>
      </c>
      <c r="AU10" s="5905"/>
      <c r="AV10" s="5909"/>
      <c r="AW10" s="5913"/>
      <c r="AX10" s="5913"/>
      <c r="AY10" s="5913">
        <f t="shared" si="16"/>
        <v>0</v>
      </c>
      <c r="AZ10" s="5905"/>
      <c r="BA10" s="5916"/>
      <c r="BB10" s="5913"/>
      <c r="BC10" s="5913"/>
      <c r="BD10" s="5913">
        <f t="shared" si="17"/>
        <v>0</v>
      </c>
      <c r="BE10" s="5908" t="e">
        <f t="shared" si="18"/>
        <v>#DIV/0!</v>
      </c>
      <c r="BF10" s="5909"/>
      <c r="BG10" s="5913"/>
      <c r="BH10" s="5913"/>
      <c r="BI10" s="5913">
        <f t="shared" si="19"/>
        <v>0</v>
      </c>
      <c r="BJ10" s="5908"/>
      <c r="BK10" s="5909"/>
      <c r="BL10" s="5913"/>
      <c r="BM10" s="5913"/>
      <c r="BN10" s="5913">
        <f t="shared" si="20"/>
        <v>0</v>
      </c>
      <c r="BO10" s="5917"/>
      <c r="BP10" s="1937">
        <f t="shared" si="21"/>
        <v>0</v>
      </c>
      <c r="BQ10" s="5918">
        <f t="shared" si="22"/>
        <v>0</v>
      </c>
      <c r="BR10" s="5912">
        <f t="shared" si="22"/>
        <v>0</v>
      </c>
      <c r="BS10" s="5919">
        <f t="shared" si="7"/>
        <v>0</v>
      </c>
      <c r="BT10" s="5920">
        <f t="shared" si="23"/>
        <v>0</v>
      </c>
      <c r="BU10" s="5912">
        <f t="shared" si="24"/>
        <v>0</v>
      </c>
      <c r="BV10" s="5912">
        <f t="shared" si="24"/>
        <v>0</v>
      </c>
      <c r="BW10" s="5921"/>
      <c r="BX10" s="5922">
        <f t="shared" si="25"/>
        <v>0</v>
      </c>
      <c r="BY10" s="5912">
        <f t="shared" si="26"/>
        <v>0</v>
      </c>
      <c r="BZ10" s="5912">
        <f t="shared" si="26"/>
        <v>0</v>
      </c>
      <c r="CA10" s="5923"/>
      <c r="CB10" s="5924">
        <f t="shared" si="27"/>
        <v>0</v>
      </c>
      <c r="CC10" s="5912">
        <f t="shared" ref="CC10:CD24" si="75">AN10+AS10+AX10</f>
        <v>0</v>
      </c>
      <c r="CD10" s="5912">
        <v>0</v>
      </c>
      <c r="CE10" s="5925"/>
      <c r="CF10" s="5922">
        <f t="shared" si="28"/>
        <v>0</v>
      </c>
      <c r="CG10" s="5904">
        <f t="shared" si="29"/>
        <v>0</v>
      </c>
      <c r="CH10" s="5904">
        <f t="shared" si="29"/>
        <v>0</v>
      </c>
      <c r="CI10" s="5923"/>
      <c r="CJ10" s="5926"/>
      <c r="CK10" s="5904"/>
      <c r="CL10" s="5904"/>
      <c r="CM10" s="5927"/>
      <c r="CN10" s="5921" t="e">
        <f>CM10/CL10</f>
        <v>#DIV/0!</v>
      </c>
      <c r="CO10" s="5926"/>
      <c r="CP10" s="5904"/>
      <c r="CQ10" s="5904"/>
      <c r="CR10" s="5928"/>
      <c r="CS10" s="5923"/>
      <c r="CT10" s="5926"/>
      <c r="CU10" s="5904"/>
      <c r="CV10" s="5904"/>
      <c r="CW10" s="5928"/>
      <c r="CX10" s="5923"/>
      <c r="CY10" s="5926"/>
      <c r="CZ10" s="5904"/>
      <c r="DA10" s="5904"/>
      <c r="DB10" s="5928"/>
      <c r="DC10" s="5923"/>
      <c r="DD10" s="5929"/>
      <c r="DE10" s="5928"/>
      <c r="DF10" s="5928"/>
      <c r="DG10" s="5904">
        <f t="shared" si="30"/>
        <v>0</v>
      </c>
      <c r="DH10" s="5930"/>
      <c r="DI10" s="5926"/>
      <c r="DJ10" s="5928"/>
      <c r="DK10" s="5928"/>
      <c r="DL10" s="5904"/>
      <c r="DM10" s="5930"/>
      <c r="DN10" s="5926"/>
      <c r="DO10" s="5904"/>
      <c r="DP10" s="5904"/>
      <c r="DQ10" s="5904"/>
      <c r="DR10" s="5930"/>
      <c r="DS10" s="5926"/>
      <c r="DT10" s="5904"/>
      <c r="DU10" s="5904"/>
      <c r="DV10" s="5904"/>
      <c r="DW10" s="5923"/>
      <c r="DX10" s="5926"/>
      <c r="DY10" s="5904"/>
      <c r="DZ10" s="5904"/>
      <c r="EA10" s="5904">
        <f t="shared" si="31"/>
        <v>0</v>
      </c>
      <c r="EB10" s="5931" t="e">
        <f t="shared" si="32"/>
        <v>#DIV/0!</v>
      </c>
      <c r="EC10" s="5926"/>
      <c r="ED10" s="5904"/>
      <c r="EE10" s="5904"/>
      <c r="EF10" s="5912">
        <f t="shared" si="33"/>
        <v>0</v>
      </c>
      <c r="EG10" s="5930"/>
      <c r="EH10" s="5926"/>
      <c r="EI10" s="5904"/>
      <c r="EJ10" s="5904"/>
      <c r="EK10" s="5904">
        <f t="shared" si="34"/>
        <v>0</v>
      </c>
      <c r="EL10" s="5931" t="e">
        <f t="shared" si="35"/>
        <v>#DIV/0!</v>
      </c>
      <c r="EM10" s="1804"/>
      <c r="EN10" s="1776"/>
      <c r="EO10" s="1776"/>
      <c r="EP10" s="1776">
        <f t="shared" si="36"/>
        <v>0</v>
      </c>
      <c r="EQ10" s="1807" t="e">
        <f t="shared" si="37"/>
        <v>#DIV/0!</v>
      </c>
      <c r="ER10" s="2402">
        <f t="shared" si="38"/>
        <v>0</v>
      </c>
      <c r="ES10" s="2403">
        <f t="shared" si="39"/>
        <v>0</v>
      </c>
      <c r="ET10" s="2403">
        <f t="shared" si="39"/>
        <v>0</v>
      </c>
      <c r="EU10" s="2403">
        <f t="shared" si="39"/>
        <v>0</v>
      </c>
      <c r="EV10" s="2404" t="e">
        <f t="shared" si="40"/>
        <v>#DIV/0!</v>
      </c>
      <c r="EW10" s="5932">
        <f t="shared" si="73"/>
        <v>0</v>
      </c>
      <c r="EX10" s="5904"/>
      <c r="EY10" s="5904"/>
      <c r="EZ10" s="5933" t="e">
        <f t="shared" si="41"/>
        <v>#DIV/0!</v>
      </c>
      <c r="FA10" s="5929">
        <f t="shared" si="74"/>
        <v>0</v>
      </c>
      <c r="FB10" s="5912">
        <f t="shared" si="42"/>
        <v>0</v>
      </c>
      <c r="FC10" s="5912">
        <f t="shared" si="42"/>
        <v>0</v>
      </c>
      <c r="FD10" s="5921" t="e">
        <f t="shared" si="43"/>
        <v>#DIV/0!</v>
      </c>
      <c r="FE10" s="5934"/>
      <c r="FF10" s="5928"/>
      <c r="FG10" s="5928"/>
      <c r="FH10" s="5933" t="e">
        <f t="shared" si="44"/>
        <v>#DIV/0!</v>
      </c>
      <c r="FI10" s="1816">
        <f t="shared" si="45"/>
        <v>0</v>
      </c>
      <c r="FJ10" s="1814"/>
      <c r="FK10" s="1786">
        <f t="shared" si="46"/>
        <v>0</v>
      </c>
      <c r="FL10" s="1786">
        <f t="shared" si="46"/>
        <v>0</v>
      </c>
      <c r="FM10" s="5921" t="e">
        <f t="shared" si="47"/>
        <v>#DIV/0!</v>
      </c>
      <c r="FN10" s="5935"/>
      <c r="FO10" s="5936"/>
      <c r="FP10" s="5936"/>
      <c r="FQ10" s="1818">
        <f t="shared" si="48"/>
        <v>0</v>
      </c>
      <c r="FR10" s="1819" t="e">
        <f t="shared" si="49"/>
        <v>#DIV/0!</v>
      </c>
      <c r="FS10" s="5937"/>
      <c r="FT10" s="5936"/>
      <c r="FU10" s="5936"/>
      <c r="FV10" s="1818">
        <f t="shared" si="50"/>
        <v>0</v>
      </c>
      <c r="FW10" s="1821" t="e">
        <f t="shared" si="51"/>
        <v>#DIV/0!</v>
      </c>
      <c r="FX10" s="5937"/>
      <c r="FY10" s="5938"/>
      <c r="FZ10" s="5938"/>
      <c r="GA10" s="1818">
        <f t="shared" si="52"/>
        <v>0</v>
      </c>
      <c r="GB10" s="1821" t="e">
        <f t="shared" si="53"/>
        <v>#DIV/0!</v>
      </c>
      <c r="GC10" s="5939"/>
      <c r="GD10" s="5940"/>
      <c r="GE10" s="5940"/>
      <c r="GF10" s="1818">
        <f t="shared" si="54"/>
        <v>0</v>
      </c>
      <c r="GG10" s="1821" t="e">
        <f t="shared" si="55"/>
        <v>#DIV/0!</v>
      </c>
      <c r="GH10" s="1823"/>
      <c r="GI10" s="1824"/>
      <c r="GJ10" s="1824"/>
      <c r="GK10" s="1818">
        <f t="shared" si="56"/>
        <v>0</v>
      </c>
      <c r="GL10" s="1821" t="e">
        <f t="shared" si="57"/>
        <v>#DIV/0!</v>
      </c>
      <c r="GM10" s="1839"/>
      <c r="GN10" s="1839"/>
      <c r="GO10" s="1839"/>
      <c r="GP10" s="1839"/>
      <c r="GQ10" s="1839"/>
      <c r="GR10" s="5750"/>
      <c r="GS10" s="5750"/>
      <c r="GT10" s="5750"/>
      <c r="GU10" s="5750"/>
      <c r="GV10" s="5741"/>
      <c r="GW10" s="5750"/>
      <c r="GX10" s="5750"/>
      <c r="GY10" s="5750"/>
      <c r="GZ10" s="5750"/>
      <c r="HA10" s="5741"/>
      <c r="HB10" s="5750"/>
      <c r="HC10" s="5750"/>
      <c r="HD10" s="5750"/>
      <c r="HE10" s="5750"/>
      <c r="HF10" s="5741"/>
      <c r="HG10" s="1839"/>
      <c r="HH10" s="1839"/>
      <c r="HI10" s="1839"/>
      <c r="HJ10" s="1839"/>
      <c r="HK10" s="1660"/>
      <c r="HL10" s="1839"/>
      <c r="HM10" s="1839"/>
      <c r="HN10" s="1839"/>
      <c r="HO10" s="1839"/>
      <c r="HP10" s="1660"/>
      <c r="HQ10" s="5750"/>
      <c r="HR10" s="5750"/>
      <c r="HS10" s="5750"/>
      <c r="HT10" s="5750"/>
      <c r="HU10" s="5750"/>
      <c r="HV10" s="5941">
        <f t="shared" si="8"/>
        <v>0</v>
      </c>
      <c r="HW10" s="622">
        <f t="shared" si="9"/>
        <v>0</v>
      </c>
      <c r="HX10" s="622">
        <f t="shared" si="9"/>
        <v>0</v>
      </c>
      <c r="HY10" s="622">
        <f t="shared" si="9"/>
        <v>0</v>
      </c>
      <c r="HZ10" s="5942"/>
      <c r="IA10" s="1907">
        <f t="shared" si="58"/>
        <v>0</v>
      </c>
      <c r="IB10" s="1908">
        <f t="shared" si="59"/>
        <v>0</v>
      </c>
      <c r="IC10" s="1908">
        <f t="shared" si="59"/>
        <v>0</v>
      </c>
      <c r="ID10" s="1909" t="e">
        <f t="shared" si="60"/>
        <v>#DIV/0!</v>
      </c>
      <c r="IE10" s="5943"/>
      <c r="IF10" s="5743"/>
      <c r="IG10" s="5743"/>
      <c r="IH10" s="5744"/>
      <c r="II10" s="5944"/>
      <c r="IJ10" s="5743"/>
      <c r="IK10" s="5743"/>
      <c r="IL10" s="5744"/>
      <c r="IM10" s="5745"/>
      <c r="IN10" s="5743"/>
      <c r="IO10" s="5743"/>
      <c r="IP10" s="5747"/>
      <c r="IQ10" s="5750"/>
      <c r="IR10" s="5945"/>
      <c r="IS10" s="5936"/>
      <c r="IT10" s="5936"/>
      <c r="IU10" s="1818">
        <f t="shared" si="61"/>
        <v>0</v>
      </c>
      <c r="IV10" s="1819" t="e">
        <f t="shared" si="62"/>
        <v>#DIV/0!</v>
      </c>
      <c r="IW10" s="5937"/>
      <c r="IX10" s="5936"/>
      <c r="IY10" s="5936"/>
      <c r="IZ10" s="1818">
        <f t="shared" si="63"/>
        <v>0</v>
      </c>
      <c r="JA10" s="1821" t="e">
        <f t="shared" si="64"/>
        <v>#DIV/0!</v>
      </c>
      <c r="JB10" s="5946"/>
      <c r="JC10" s="5938"/>
      <c r="JD10" s="5938"/>
      <c r="JE10" s="1818">
        <f t="shared" si="65"/>
        <v>0</v>
      </c>
      <c r="JF10" s="1821" t="e">
        <f t="shared" si="66"/>
        <v>#DIV/0!</v>
      </c>
      <c r="JG10" s="5947"/>
      <c r="JH10" s="5940"/>
      <c r="JI10" s="5940"/>
      <c r="JJ10" s="1818">
        <f t="shared" si="67"/>
        <v>0</v>
      </c>
      <c r="JK10" s="1821" t="e">
        <f t="shared" si="68"/>
        <v>#DIV/0!</v>
      </c>
      <c r="JL10" s="1823"/>
      <c r="JM10" s="1824"/>
      <c r="JN10" s="1824"/>
      <c r="JO10" s="1818">
        <f t="shared" si="69"/>
        <v>0</v>
      </c>
      <c r="JP10" s="1821" t="e">
        <f t="shared" si="70"/>
        <v>#DIV/0!</v>
      </c>
      <c r="JQ10" s="5948"/>
      <c r="JR10" s="1839"/>
      <c r="JS10" s="1839"/>
      <c r="JT10" s="1839"/>
      <c r="JU10" s="1839"/>
      <c r="JV10" s="5949"/>
      <c r="JW10" s="5750"/>
      <c r="JX10" s="5750"/>
      <c r="JY10" s="5750"/>
      <c r="JZ10" s="5741"/>
      <c r="KA10" s="5750"/>
      <c r="KB10" s="5750"/>
      <c r="KC10" s="5750"/>
      <c r="KD10" s="5750"/>
      <c r="KE10" s="5741"/>
      <c r="KF10" s="5950"/>
      <c r="KG10" s="5750"/>
      <c r="KH10" s="5750"/>
      <c r="KI10" s="5750"/>
      <c r="KJ10" s="5741"/>
      <c r="KK10" s="5951"/>
      <c r="KL10" s="1839"/>
      <c r="KM10" s="1839"/>
      <c r="KN10" s="1839"/>
      <c r="KO10" s="1660"/>
      <c r="KP10" s="1659"/>
      <c r="KQ10" s="1839"/>
      <c r="KR10" s="1839"/>
      <c r="KS10" s="1839"/>
      <c r="KT10" s="1839"/>
      <c r="KU10" s="5758"/>
      <c r="KV10" s="5750"/>
      <c r="KW10" s="5750"/>
      <c r="KX10" s="5750"/>
      <c r="KY10" s="5741"/>
      <c r="KZ10" s="5739">
        <f t="shared" si="10"/>
        <v>0</v>
      </c>
      <c r="LA10" s="5740">
        <f t="shared" si="11"/>
        <v>0</v>
      </c>
      <c r="LB10" s="5740">
        <f t="shared" si="11"/>
        <v>0</v>
      </c>
      <c r="LC10" s="5740">
        <f t="shared" si="11"/>
        <v>0</v>
      </c>
      <c r="LD10" s="5741"/>
      <c r="LE10" s="1912">
        <f t="shared" si="71"/>
        <v>0</v>
      </c>
      <c r="LF10" s="1908">
        <f t="shared" si="72"/>
        <v>0</v>
      </c>
      <c r="LG10" s="1908">
        <f t="shared" si="72"/>
        <v>0</v>
      </c>
      <c r="LH10" s="1909"/>
      <c r="LI10" s="5745"/>
      <c r="LJ10" s="5743"/>
      <c r="LK10" s="5743"/>
      <c r="LL10" s="5744"/>
      <c r="LM10" s="5746"/>
      <c r="LN10" s="5743"/>
      <c r="LO10" s="5743"/>
      <c r="LP10" s="5744"/>
      <c r="LQ10" s="5745"/>
      <c r="LR10" s="5743"/>
      <c r="LS10" s="5743"/>
      <c r="LT10" s="5747"/>
      <c r="LV10" s="5749"/>
      <c r="LW10" s="5750"/>
      <c r="LX10" s="5750"/>
      <c r="LY10" s="5750"/>
      <c r="LZ10" s="5751"/>
      <c r="MF10" s="5752"/>
      <c r="MG10" s="5750"/>
      <c r="MH10" s="5750"/>
      <c r="MI10" s="5750"/>
      <c r="MJ10" s="5741"/>
      <c r="MK10" s="5753"/>
      <c r="MN10" s="372">
        <f t="shared" si="12"/>
        <v>0</v>
      </c>
      <c r="MP10" s="5753"/>
      <c r="MQ10" s="5750"/>
      <c r="MR10" s="5750"/>
      <c r="MS10" s="5750"/>
      <c r="MT10" s="5754"/>
      <c r="MU10" s="5755"/>
      <c r="MV10" s="5756"/>
      <c r="MW10" s="5756"/>
      <c r="MX10" s="5756"/>
      <c r="MY10" s="5757"/>
      <c r="MZ10" s="5758"/>
      <c r="NA10" s="5750"/>
      <c r="NB10" s="5750"/>
      <c r="NC10" s="5750"/>
      <c r="ND10" s="5750"/>
      <c r="NO10" s="5759"/>
      <c r="NP10" s="5760"/>
      <c r="NQ10" s="5760"/>
      <c r="NR10" s="5759"/>
      <c r="NT10" s="5750"/>
      <c r="NU10" s="5750"/>
      <c r="NV10" s="5761"/>
      <c r="NW10" s="5750"/>
      <c r="NX10" s="5741"/>
      <c r="NY10" s="5762"/>
      <c r="NZ10" s="5756"/>
      <c r="OA10" s="5756"/>
      <c r="OB10" s="5757"/>
      <c r="OC10" s="5741"/>
      <c r="OE10" s="5763"/>
      <c r="OF10" s="5763"/>
      <c r="OG10" s="5761"/>
      <c r="OH10" s="5741"/>
      <c r="OI10" s="5758"/>
      <c r="OJ10" s="5750"/>
      <c r="OK10" s="5750"/>
      <c r="OL10" s="5750"/>
      <c r="OM10" s="5754"/>
      <c r="ON10" s="5758"/>
      <c r="OO10" s="5761"/>
      <c r="OP10" s="5761"/>
      <c r="OQ10" s="5761"/>
      <c r="OR10" s="5764"/>
      <c r="OS10" s="5758"/>
      <c r="OT10" s="5750"/>
      <c r="OU10" s="5750"/>
      <c r="OV10" s="5750"/>
      <c r="OW10" s="5764"/>
      <c r="OX10" s="5758"/>
      <c r="OY10" s="5750"/>
      <c r="OZ10" s="5750"/>
      <c r="PA10" s="5750"/>
      <c r="PB10" s="5741"/>
      <c r="PD10" s="5749"/>
      <c r="PE10" s="5750"/>
      <c r="PF10" s="5750"/>
      <c r="PG10" s="5750"/>
      <c r="PH10" s="5751"/>
      <c r="PN10" s="5752"/>
      <c r="PO10" s="5750"/>
      <c r="PP10" s="5750"/>
      <c r="PQ10" s="5750"/>
      <c r="PR10" s="5741"/>
      <c r="PS10" s="5897"/>
      <c r="PT10" s="5759"/>
      <c r="PU10" s="5759"/>
      <c r="PV10" s="2892">
        <f t="shared" si="13"/>
        <v>0</v>
      </c>
      <c r="PW10" s="5759"/>
      <c r="PX10" s="5753"/>
      <c r="PY10" s="5750"/>
      <c r="PZ10" s="5750"/>
      <c r="QA10" s="5750"/>
      <c r="QB10" s="5754"/>
      <c r="QC10" s="5755"/>
      <c r="QD10" s="5756"/>
      <c r="QE10" s="5756"/>
      <c r="QF10" s="5756"/>
      <c r="QG10" s="5757"/>
      <c r="QH10" s="5898"/>
      <c r="QI10" s="5750"/>
      <c r="QJ10" s="5750"/>
      <c r="QK10" s="5750"/>
      <c r="QL10" s="5750"/>
      <c r="QM10" s="5752"/>
      <c r="QR10" s="5759"/>
      <c r="QS10" s="5759"/>
      <c r="QT10" s="5759"/>
      <c r="QU10" s="5759"/>
      <c r="QV10" s="5899"/>
      <c r="QW10" s="5759"/>
      <c r="QX10" s="5760"/>
      <c r="QY10" s="5760"/>
      <c r="QZ10" s="5759"/>
      <c r="RA10" s="5759"/>
      <c r="RB10" s="5750"/>
      <c r="RC10" s="5750"/>
      <c r="RD10" s="5761"/>
      <c r="RE10" s="5750"/>
      <c r="RF10" s="5741"/>
      <c r="RG10" s="5900"/>
      <c r="RH10" s="5756"/>
      <c r="RI10" s="5756"/>
      <c r="RJ10" s="5757"/>
      <c r="RK10" s="5741"/>
      <c r="RL10" s="5759"/>
      <c r="RM10" s="5760"/>
      <c r="RN10" s="5760"/>
      <c r="RO10" s="5760"/>
      <c r="RP10" s="5759"/>
      <c r="RQ10" s="5758"/>
      <c r="RR10" s="5750"/>
      <c r="RS10" s="5750"/>
      <c r="RT10" s="5750"/>
      <c r="RU10" s="5754"/>
      <c r="RV10" s="5758"/>
      <c r="RW10" s="5761"/>
      <c r="RX10" s="5761"/>
      <c r="RY10" s="5761"/>
      <c r="RZ10" s="5764"/>
      <c r="SA10" s="5758"/>
      <c r="SB10" s="5750"/>
      <c r="SC10" s="5750"/>
      <c r="SD10" s="5750"/>
      <c r="SE10" s="5764"/>
      <c r="SF10" s="5758"/>
      <c r="SG10" s="5750"/>
      <c r="SH10" s="5750"/>
      <c r="SI10" s="5750"/>
      <c r="SJ10" s="5741"/>
      <c r="SL10" s="5774"/>
      <c r="SM10" s="5757"/>
      <c r="SN10" s="5757"/>
      <c r="SO10" s="5757"/>
      <c r="SP10" s="5775"/>
      <c r="SQ10" s="5759"/>
      <c r="SR10" s="5759"/>
      <c r="SS10" s="5759"/>
      <c r="ST10" s="5759"/>
      <c r="SU10" s="5759"/>
      <c r="SV10" s="5752"/>
      <c r="SW10" s="5750"/>
      <c r="SX10" s="5750"/>
      <c r="SY10" s="5750"/>
      <c r="SZ10" s="5741"/>
      <c r="TA10" s="5753"/>
      <c r="TD10" s="372">
        <f t="shared" si="14"/>
        <v>0</v>
      </c>
      <c r="TF10" s="5753"/>
      <c r="TG10" s="5750"/>
      <c r="TH10" s="5750"/>
      <c r="TI10" s="5750"/>
      <c r="TJ10" s="5754"/>
      <c r="TK10" s="5755"/>
      <c r="TL10" s="5756"/>
      <c r="TM10" s="5756"/>
      <c r="TN10" s="5756"/>
      <c r="TO10" s="5757"/>
      <c r="TP10" s="5901"/>
      <c r="TQ10" s="5750"/>
      <c r="TR10" s="5750"/>
      <c r="TS10" s="5750"/>
      <c r="TT10" s="5750"/>
      <c r="TU10" s="5902"/>
      <c r="TV10" s="5759"/>
      <c r="TW10" s="5759"/>
      <c r="TX10" s="5759"/>
      <c r="TY10" s="5759"/>
      <c r="TZ10" s="5759"/>
      <c r="UA10" s="5759"/>
      <c r="UB10" s="5759"/>
      <c r="UC10" s="5759"/>
      <c r="UD10" s="5899"/>
      <c r="UE10" s="5759"/>
      <c r="UF10" s="5760"/>
      <c r="UG10" s="5760"/>
      <c r="UH10" s="5759"/>
      <c r="UI10" s="5759"/>
      <c r="UJ10" s="5750"/>
      <c r="UK10" s="5750"/>
      <c r="UL10" s="5761"/>
      <c r="UM10" s="5750"/>
      <c r="UN10" s="5741"/>
      <c r="UO10" s="5900"/>
      <c r="UP10" s="5756"/>
      <c r="UQ10" s="5756"/>
      <c r="UR10" s="5757"/>
      <c r="US10" s="5741"/>
      <c r="UU10" s="5763"/>
      <c r="UV10" s="5763"/>
      <c r="UW10" s="5763"/>
      <c r="UY10" s="5758"/>
      <c r="UZ10" s="5750"/>
      <c r="VA10" s="5750"/>
      <c r="VB10" s="5750"/>
      <c r="VC10" s="5754"/>
      <c r="VD10" s="5758"/>
      <c r="VE10" s="5761"/>
      <c r="VF10" s="5761"/>
      <c r="VG10" s="5761"/>
      <c r="VH10" s="5764"/>
      <c r="VI10" s="5758"/>
      <c r="VJ10" s="5750"/>
      <c r="VK10" s="5750"/>
      <c r="VL10" s="5750"/>
      <c r="VM10" s="5764"/>
      <c r="VN10" s="5758"/>
      <c r="VO10" s="5750"/>
      <c r="VP10" s="5750"/>
      <c r="VQ10" s="5750"/>
      <c r="VR10" s="5741"/>
    </row>
    <row r="11" spans="1:590" s="5748" customFormat="1" hidden="1" x14ac:dyDescent="0.3">
      <c r="A11" s="5675"/>
      <c r="B11" s="5952" t="s">
        <v>729</v>
      </c>
      <c r="C11" s="5953" t="s">
        <v>739</v>
      </c>
      <c r="D11" s="5954" t="s">
        <v>740</v>
      </c>
      <c r="E11" s="5955"/>
      <c r="F11" s="5955"/>
      <c r="G11" s="5956"/>
      <c r="H11" s="5903"/>
      <c r="I11" s="5904"/>
      <c r="J11" s="5904"/>
      <c r="K11" s="5904">
        <f t="shared" si="0"/>
        <v>0</v>
      </c>
      <c r="L11" s="5905">
        <v>0</v>
      </c>
      <c r="M11" s="5957"/>
      <c r="N11" s="5907"/>
      <c r="O11" s="5907"/>
      <c r="P11" s="5907">
        <f t="shared" si="1"/>
        <v>0</v>
      </c>
      <c r="Q11" s="5908">
        <v>0</v>
      </c>
      <c r="R11" s="5958"/>
      <c r="S11" s="5904"/>
      <c r="T11" s="5904"/>
      <c r="U11" s="5904">
        <f t="shared" si="2"/>
        <v>0</v>
      </c>
      <c r="V11" s="5905" t="s">
        <v>732</v>
      </c>
      <c r="W11" s="5909"/>
      <c r="X11" s="5904"/>
      <c r="Y11" s="5904"/>
      <c r="Z11" s="5904">
        <f t="shared" si="3"/>
        <v>0</v>
      </c>
      <c r="AA11" s="5910">
        <v>0</v>
      </c>
      <c r="AB11" s="5905"/>
      <c r="AC11" s="5904"/>
      <c r="AD11" s="5904"/>
      <c r="AE11" s="5904">
        <f t="shared" si="4"/>
        <v>0</v>
      </c>
      <c r="AF11" s="5905"/>
      <c r="AG11" s="5911"/>
      <c r="AH11" s="5904">
        <v>0</v>
      </c>
      <c r="AI11" s="5912">
        <v>0</v>
      </c>
      <c r="AJ11" s="5912">
        <f t="shared" si="5"/>
        <v>0</v>
      </c>
      <c r="AK11" s="5905"/>
      <c r="AL11" s="5911"/>
      <c r="AM11" s="5913">
        <v>0</v>
      </c>
      <c r="AN11" s="5913">
        <v>0</v>
      </c>
      <c r="AO11" s="5913" t="s">
        <v>732</v>
      </c>
      <c r="AP11" s="5905"/>
      <c r="AQ11" s="5914"/>
      <c r="AR11" s="5905"/>
      <c r="AS11" s="5905"/>
      <c r="AT11" s="5915">
        <f t="shared" si="15"/>
        <v>0</v>
      </c>
      <c r="AU11" s="5905"/>
      <c r="AV11" s="5909"/>
      <c r="AW11" s="5913"/>
      <c r="AX11" s="5913"/>
      <c r="AY11" s="5913">
        <f t="shared" si="16"/>
        <v>0</v>
      </c>
      <c r="AZ11" s="5905"/>
      <c r="BA11" s="5916"/>
      <c r="BB11" s="5913"/>
      <c r="BC11" s="5913"/>
      <c r="BD11" s="5913">
        <f t="shared" si="17"/>
        <v>0</v>
      </c>
      <c r="BE11" s="5908" t="e">
        <f t="shared" si="18"/>
        <v>#DIV/0!</v>
      </c>
      <c r="BF11" s="5909"/>
      <c r="BG11" s="5913"/>
      <c r="BH11" s="5913"/>
      <c r="BI11" s="5913">
        <f t="shared" si="19"/>
        <v>0</v>
      </c>
      <c r="BJ11" s="5908"/>
      <c r="BK11" s="5909"/>
      <c r="BL11" s="5913"/>
      <c r="BM11" s="5913"/>
      <c r="BN11" s="5913">
        <f t="shared" si="20"/>
        <v>0</v>
      </c>
      <c r="BO11" s="5917"/>
      <c r="BP11" s="1937">
        <f t="shared" si="21"/>
        <v>0</v>
      </c>
      <c r="BQ11" s="5918">
        <f t="shared" si="22"/>
        <v>0</v>
      </c>
      <c r="BR11" s="5912">
        <f t="shared" si="22"/>
        <v>0</v>
      </c>
      <c r="BS11" s="5919">
        <f t="shared" si="7"/>
        <v>0</v>
      </c>
      <c r="BT11" s="5920">
        <f t="shared" si="23"/>
        <v>0</v>
      </c>
      <c r="BU11" s="5912">
        <f t="shared" si="24"/>
        <v>0</v>
      </c>
      <c r="BV11" s="5912">
        <f t="shared" si="24"/>
        <v>0</v>
      </c>
      <c r="BW11" s="5921"/>
      <c r="BX11" s="5922">
        <f t="shared" si="25"/>
        <v>0</v>
      </c>
      <c r="BY11" s="5912">
        <f t="shared" si="26"/>
        <v>0</v>
      </c>
      <c r="BZ11" s="5912">
        <f t="shared" si="26"/>
        <v>0</v>
      </c>
      <c r="CA11" s="5923"/>
      <c r="CB11" s="5924">
        <f t="shared" si="27"/>
        <v>0</v>
      </c>
      <c r="CC11" s="5912">
        <f t="shared" si="75"/>
        <v>0</v>
      </c>
      <c r="CD11" s="5912">
        <v>0</v>
      </c>
      <c r="CE11" s="5925"/>
      <c r="CF11" s="5922">
        <f t="shared" si="28"/>
        <v>0</v>
      </c>
      <c r="CG11" s="5904">
        <f t="shared" si="29"/>
        <v>0</v>
      </c>
      <c r="CH11" s="5904">
        <f t="shared" si="29"/>
        <v>0</v>
      </c>
      <c r="CI11" s="5923"/>
      <c r="CJ11" s="5926"/>
      <c r="CK11" s="5904"/>
      <c r="CL11" s="5904"/>
      <c r="CM11" s="5927"/>
      <c r="CN11" s="5921" t="e">
        <f>CM11/CL11</f>
        <v>#DIV/0!</v>
      </c>
      <c r="CO11" s="5926"/>
      <c r="CP11" s="5904"/>
      <c r="CQ11" s="5904"/>
      <c r="CR11" s="5928"/>
      <c r="CS11" s="5923"/>
      <c r="CT11" s="5926"/>
      <c r="CU11" s="5904"/>
      <c r="CV11" s="5904"/>
      <c r="CW11" s="5928"/>
      <c r="CX11" s="5923"/>
      <c r="CY11" s="5926"/>
      <c r="CZ11" s="5904"/>
      <c r="DA11" s="5904"/>
      <c r="DB11" s="5928"/>
      <c r="DC11" s="5923"/>
      <c r="DD11" s="5929"/>
      <c r="DE11" s="5928"/>
      <c r="DF11" s="5928"/>
      <c r="DG11" s="5904">
        <f t="shared" si="30"/>
        <v>0</v>
      </c>
      <c r="DH11" s="5930"/>
      <c r="DI11" s="5926"/>
      <c r="DJ11" s="5928"/>
      <c r="DK11" s="5928"/>
      <c r="DL11" s="5904"/>
      <c r="DM11" s="5930"/>
      <c r="DN11" s="5926"/>
      <c r="DO11" s="5904"/>
      <c r="DP11" s="5904"/>
      <c r="DQ11" s="5904"/>
      <c r="DR11" s="5930"/>
      <c r="DS11" s="5926"/>
      <c r="DT11" s="5904"/>
      <c r="DU11" s="5904"/>
      <c r="DV11" s="5904"/>
      <c r="DW11" s="5923"/>
      <c r="DX11" s="5926"/>
      <c r="DY11" s="5904"/>
      <c r="DZ11" s="5904"/>
      <c r="EA11" s="5904">
        <f t="shared" si="31"/>
        <v>0</v>
      </c>
      <c r="EB11" s="5931" t="e">
        <f t="shared" si="32"/>
        <v>#DIV/0!</v>
      </c>
      <c r="EC11" s="5926"/>
      <c r="ED11" s="5904"/>
      <c r="EE11" s="5904"/>
      <c r="EF11" s="5912">
        <f t="shared" si="33"/>
        <v>0</v>
      </c>
      <c r="EG11" s="5930"/>
      <c r="EH11" s="5926"/>
      <c r="EI11" s="5904"/>
      <c r="EJ11" s="5904"/>
      <c r="EK11" s="5904">
        <f t="shared" si="34"/>
        <v>0</v>
      </c>
      <c r="EL11" s="5931" t="e">
        <f t="shared" si="35"/>
        <v>#DIV/0!</v>
      </c>
      <c r="EM11" s="1804"/>
      <c r="EN11" s="1776"/>
      <c r="EO11" s="1776"/>
      <c r="EP11" s="1776">
        <f t="shared" si="36"/>
        <v>0</v>
      </c>
      <c r="EQ11" s="1807" t="e">
        <f t="shared" si="37"/>
        <v>#DIV/0!</v>
      </c>
      <c r="ER11" s="2402">
        <f t="shared" si="38"/>
        <v>0</v>
      </c>
      <c r="ES11" s="2403">
        <f t="shared" si="39"/>
        <v>0</v>
      </c>
      <c r="ET11" s="2403">
        <f t="shared" si="39"/>
        <v>0</v>
      </c>
      <c r="EU11" s="2403">
        <f t="shared" si="39"/>
        <v>0</v>
      </c>
      <c r="EV11" s="2404" t="e">
        <f t="shared" si="40"/>
        <v>#DIV/0!</v>
      </c>
      <c r="EW11" s="5932">
        <f t="shared" si="73"/>
        <v>0</v>
      </c>
      <c r="EX11" s="5904"/>
      <c r="EY11" s="5904"/>
      <c r="EZ11" s="5933" t="e">
        <f t="shared" si="41"/>
        <v>#DIV/0!</v>
      </c>
      <c r="FA11" s="5929">
        <f t="shared" si="74"/>
        <v>0</v>
      </c>
      <c r="FB11" s="5912">
        <f t="shared" si="42"/>
        <v>0</v>
      </c>
      <c r="FC11" s="5912">
        <f t="shared" si="42"/>
        <v>0</v>
      </c>
      <c r="FD11" s="5921" t="e">
        <f t="shared" si="43"/>
        <v>#DIV/0!</v>
      </c>
      <c r="FE11" s="5934"/>
      <c r="FF11" s="5928"/>
      <c r="FG11" s="5928"/>
      <c r="FH11" s="5933" t="e">
        <f t="shared" si="44"/>
        <v>#DIV/0!</v>
      </c>
      <c r="FI11" s="1816">
        <f t="shared" si="45"/>
        <v>0</v>
      </c>
      <c r="FJ11" s="1814"/>
      <c r="FK11" s="1786">
        <f t="shared" si="46"/>
        <v>0</v>
      </c>
      <c r="FL11" s="1786">
        <f t="shared" si="46"/>
        <v>0</v>
      </c>
      <c r="FM11" s="5921" t="e">
        <f t="shared" si="47"/>
        <v>#DIV/0!</v>
      </c>
      <c r="FN11" s="5935"/>
      <c r="FO11" s="5936"/>
      <c r="FP11" s="5936"/>
      <c r="FQ11" s="1818">
        <f t="shared" si="48"/>
        <v>0</v>
      </c>
      <c r="FR11" s="1819" t="e">
        <f t="shared" si="49"/>
        <v>#DIV/0!</v>
      </c>
      <c r="FS11" s="5937"/>
      <c r="FT11" s="5936"/>
      <c r="FU11" s="5936"/>
      <c r="FV11" s="1818">
        <f t="shared" si="50"/>
        <v>0</v>
      </c>
      <c r="FW11" s="1821" t="e">
        <f t="shared" si="51"/>
        <v>#DIV/0!</v>
      </c>
      <c r="FX11" s="5937"/>
      <c r="FY11" s="5938"/>
      <c r="FZ11" s="5938"/>
      <c r="GA11" s="1818">
        <f t="shared" si="52"/>
        <v>0</v>
      </c>
      <c r="GB11" s="1821" t="e">
        <f t="shared" si="53"/>
        <v>#DIV/0!</v>
      </c>
      <c r="GC11" s="5939"/>
      <c r="GD11" s="5940"/>
      <c r="GE11" s="5940"/>
      <c r="GF11" s="1818">
        <f t="shared" si="54"/>
        <v>0</v>
      </c>
      <c r="GG11" s="1821" t="e">
        <f t="shared" si="55"/>
        <v>#DIV/0!</v>
      </c>
      <c r="GH11" s="1823"/>
      <c r="GI11" s="1824"/>
      <c r="GJ11" s="1824"/>
      <c r="GK11" s="1818">
        <f t="shared" si="56"/>
        <v>0</v>
      </c>
      <c r="GL11" s="1821" t="e">
        <f t="shared" si="57"/>
        <v>#DIV/0!</v>
      </c>
      <c r="GM11" s="1839"/>
      <c r="GN11" s="1839"/>
      <c r="GO11" s="1839"/>
      <c r="GP11" s="1839"/>
      <c r="GQ11" s="1839"/>
      <c r="GR11" s="5750"/>
      <c r="GS11" s="5750"/>
      <c r="GT11" s="5750"/>
      <c r="GU11" s="5750"/>
      <c r="GV11" s="5741"/>
      <c r="GW11" s="5750"/>
      <c r="GX11" s="5750"/>
      <c r="GY11" s="5750"/>
      <c r="GZ11" s="5750"/>
      <c r="HA11" s="5741"/>
      <c r="HB11" s="5750"/>
      <c r="HC11" s="5750"/>
      <c r="HD11" s="5750"/>
      <c r="HE11" s="5750"/>
      <c r="HF11" s="5741"/>
      <c r="HG11" s="1839"/>
      <c r="HH11" s="1839"/>
      <c r="HI11" s="1839"/>
      <c r="HJ11" s="1839"/>
      <c r="HK11" s="1660"/>
      <c r="HL11" s="1839"/>
      <c r="HM11" s="1839"/>
      <c r="HN11" s="1839"/>
      <c r="HO11" s="1839"/>
      <c r="HP11" s="1660"/>
      <c r="HQ11" s="5750"/>
      <c r="HR11" s="5750"/>
      <c r="HS11" s="5750"/>
      <c r="HT11" s="5750"/>
      <c r="HU11" s="5750"/>
      <c r="HV11" s="5941">
        <f t="shared" si="8"/>
        <v>0</v>
      </c>
      <c r="HW11" s="622">
        <f t="shared" si="9"/>
        <v>0</v>
      </c>
      <c r="HX11" s="622">
        <f t="shared" si="9"/>
        <v>0</v>
      </c>
      <c r="HY11" s="622">
        <f t="shared" si="9"/>
        <v>0</v>
      </c>
      <c r="HZ11" s="5942"/>
      <c r="IA11" s="1907">
        <f t="shared" si="58"/>
        <v>0</v>
      </c>
      <c r="IB11" s="1908">
        <f t="shared" si="59"/>
        <v>0</v>
      </c>
      <c r="IC11" s="1908">
        <f t="shared" si="59"/>
        <v>0</v>
      </c>
      <c r="ID11" s="1909" t="e">
        <f t="shared" si="60"/>
        <v>#DIV/0!</v>
      </c>
      <c r="IE11" s="5943"/>
      <c r="IF11" s="5743"/>
      <c r="IG11" s="5743"/>
      <c r="IH11" s="5744"/>
      <c r="II11" s="5944"/>
      <c r="IJ11" s="5743"/>
      <c r="IK11" s="5743"/>
      <c r="IL11" s="5744"/>
      <c r="IM11" s="5745"/>
      <c r="IN11" s="5743"/>
      <c r="IO11" s="5743"/>
      <c r="IP11" s="5747"/>
      <c r="IQ11" s="5750"/>
      <c r="IR11" s="5945"/>
      <c r="IS11" s="5936"/>
      <c r="IT11" s="5936"/>
      <c r="IU11" s="1818">
        <f t="shared" si="61"/>
        <v>0</v>
      </c>
      <c r="IV11" s="1819" t="e">
        <f t="shared" si="62"/>
        <v>#DIV/0!</v>
      </c>
      <c r="IW11" s="5937"/>
      <c r="IX11" s="5936"/>
      <c r="IY11" s="5936"/>
      <c r="IZ11" s="1818">
        <f t="shared" si="63"/>
        <v>0</v>
      </c>
      <c r="JA11" s="1821" t="e">
        <f t="shared" si="64"/>
        <v>#DIV/0!</v>
      </c>
      <c r="JB11" s="5946"/>
      <c r="JC11" s="5938"/>
      <c r="JD11" s="5938"/>
      <c r="JE11" s="1818">
        <f t="shared" si="65"/>
        <v>0</v>
      </c>
      <c r="JF11" s="1821" t="e">
        <f t="shared" si="66"/>
        <v>#DIV/0!</v>
      </c>
      <c r="JG11" s="5947"/>
      <c r="JH11" s="5940"/>
      <c r="JI11" s="5940"/>
      <c r="JJ11" s="1818">
        <f t="shared" si="67"/>
        <v>0</v>
      </c>
      <c r="JK11" s="1821" t="e">
        <f t="shared" si="68"/>
        <v>#DIV/0!</v>
      </c>
      <c r="JL11" s="1823"/>
      <c r="JM11" s="1824"/>
      <c r="JN11" s="1824"/>
      <c r="JO11" s="1818">
        <f t="shared" si="69"/>
        <v>0</v>
      </c>
      <c r="JP11" s="1821" t="e">
        <f t="shared" si="70"/>
        <v>#DIV/0!</v>
      </c>
      <c r="JQ11" s="5948"/>
      <c r="JR11" s="1839"/>
      <c r="JS11" s="1839"/>
      <c r="JT11" s="1839"/>
      <c r="JU11" s="1839"/>
      <c r="JV11" s="5949"/>
      <c r="JW11" s="5750"/>
      <c r="JX11" s="5750"/>
      <c r="JY11" s="5750"/>
      <c r="JZ11" s="5741"/>
      <c r="KA11" s="5750"/>
      <c r="KB11" s="5750"/>
      <c r="KC11" s="5750"/>
      <c r="KD11" s="5750"/>
      <c r="KE11" s="5741"/>
      <c r="KF11" s="5950"/>
      <c r="KG11" s="5750"/>
      <c r="KH11" s="5750"/>
      <c r="KI11" s="5750"/>
      <c r="KJ11" s="5741"/>
      <c r="KK11" s="5951"/>
      <c r="KL11" s="1839"/>
      <c r="KM11" s="1839"/>
      <c r="KN11" s="1839"/>
      <c r="KO11" s="1660"/>
      <c r="KP11" s="1659"/>
      <c r="KQ11" s="1839"/>
      <c r="KR11" s="1839"/>
      <c r="KS11" s="1839"/>
      <c r="KT11" s="1839"/>
      <c r="KU11" s="5758"/>
      <c r="KV11" s="5750"/>
      <c r="KW11" s="5750"/>
      <c r="KX11" s="5750"/>
      <c r="KY11" s="5741"/>
      <c r="KZ11" s="5739">
        <f t="shared" si="10"/>
        <v>0</v>
      </c>
      <c r="LA11" s="5740">
        <f t="shared" si="11"/>
        <v>0</v>
      </c>
      <c r="LB11" s="5740">
        <f t="shared" si="11"/>
        <v>0</v>
      </c>
      <c r="LC11" s="5740">
        <f t="shared" si="11"/>
        <v>0</v>
      </c>
      <c r="LD11" s="5741"/>
      <c r="LE11" s="1912">
        <f t="shared" si="71"/>
        <v>0</v>
      </c>
      <c r="LF11" s="1908">
        <f t="shared" si="72"/>
        <v>0</v>
      </c>
      <c r="LG11" s="1908">
        <f t="shared" si="72"/>
        <v>0</v>
      </c>
      <c r="LH11" s="1909"/>
      <c r="LI11" s="5745"/>
      <c r="LJ11" s="5743"/>
      <c r="LK11" s="5743"/>
      <c r="LL11" s="5744"/>
      <c r="LM11" s="5746"/>
      <c r="LN11" s="5743"/>
      <c r="LO11" s="5743"/>
      <c r="LP11" s="5744"/>
      <c r="LQ11" s="5745"/>
      <c r="LR11" s="1836">
        <f t="shared" ref="LR11:LS42" si="76">(KM11+KR11+KW11)</f>
        <v>0</v>
      </c>
      <c r="LS11" s="1836">
        <f t="shared" si="76"/>
        <v>0</v>
      </c>
      <c r="LT11" s="5747"/>
      <c r="LV11" s="5749"/>
      <c r="LW11" s="5750"/>
      <c r="LX11" s="5750"/>
      <c r="LY11" s="5750"/>
      <c r="LZ11" s="5751"/>
      <c r="MF11" s="5752"/>
      <c r="MG11" s="5750"/>
      <c r="MH11" s="5750"/>
      <c r="MI11" s="5750"/>
      <c r="MJ11" s="5741"/>
      <c r="MK11" s="5753"/>
      <c r="MN11" s="372">
        <f t="shared" si="12"/>
        <v>0</v>
      </c>
      <c r="MP11" s="5753"/>
      <c r="MQ11" s="5750"/>
      <c r="MR11" s="5750"/>
      <c r="MS11" s="5750"/>
      <c r="MT11" s="5754"/>
      <c r="MU11" s="5755"/>
      <c r="MV11" s="5756"/>
      <c r="MW11" s="5756"/>
      <c r="MX11" s="5756"/>
      <c r="MY11" s="5757"/>
      <c r="MZ11" s="5758"/>
      <c r="NA11" s="5750"/>
      <c r="NB11" s="5750"/>
      <c r="NC11" s="5750"/>
      <c r="ND11" s="5750"/>
      <c r="NO11" s="5759"/>
      <c r="NP11" s="5760"/>
      <c r="NQ11" s="5760"/>
      <c r="NR11" s="5759"/>
      <c r="NT11" s="5750"/>
      <c r="NU11" s="5750"/>
      <c r="NV11" s="5761"/>
      <c r="NW11" s="5750"/>
      <c r="NX11" s="5741"/>
      <c r="NY11" s="5762"/>
      <c r="NZ11" s="5756"/>
      <c r="OA11" s="5756"/>
      <c r="OB11" s="5757"/>
      <c r="OC11" s="5741"/>
      <c r="OE11" s="5763"/>
      <c r="OF11" s="5763"/>
      <c r="OG11" s="5761"/>
      <c r="OH11" s="5741"/>
      <c r="OI11" s="5758"/>
      <c r="OJ11" s="5750"/>
      <c r="OK11" s="5750"/>
      <c r="OL11" s="5750"/>
      <c r="OM11" s="5754"/>
      <c r="ON11" s="5758"/>
      <c r="OO11" s="5761"/>
      <c r="OP11" s="5761"/>
      <c r="OQ11" s="5761"/>
      <c r="OR11" s="5764"/>
      <c r="OS11" s="5758"/>
      <c r="OT11" s="5750"/>
      <c r="OU11" s="5750"/>
      <c r="OV11" s="5750"/>
      <c r="OW11" s="5764"/>
      <c r="OX11" s="5758"/>
      <c r="OY11" s="5750"/>
      <c r="OZ11" s="5750"/>
      <c r="PA11" s="5750"/>
      <c r="PB11" s="5741"/>
      <c r="PD11" s="5749"/>
      <c r="PE11" s="5750"/>
      <c r="PF11" s="5750"/>
      <c r="PG11" s="5750"/>
      <c r="PH11" s="5751"/>
      <c r="PN11" s="5752"/>
      <c r="PO11" s="5750"/>
      <c r="PP11" s="5750"/>
      <c r="PQ11" s="5750"/>
      <c r="PR11" s="5741"/>
      <c r="PS11" s="5897"/>
      <c r="PT11" s="5759"/>
      <c r="PU11" s="5759"/>
      <c r="PV11" s="2892">
        <f t="shared" si="13"/>
        <v>0</v>
      </c>
      <c r="PW11" s="5759"/>
      <c r="PX11" s="5753"/>
      <c r="PY11" s="5750"/>
      <c r="PZ11" s="5750"/>
      <c r="QA11" s="5750"/>
      <c r="QB11" s="5754"/>
      <c r="QC11" s="5755"/>
      <c r="QD11" s="5756"/>
      <c r="QE11" s="5756"/>
      <c r="QF11" s="5756"/>
      <c r="QG11" s="5757"/>
      <c r="QH11" s="5898"/>
      <c r="QI11" s="5750"/>
      <c r="QJ11" s="5750"/>
      <c r="QK11" s="5750"/>
      <c r="QL11" s="5750"/>
      <c r="QM11" s="5752"/>
      <c r="QR11" s="5759"/>
      <c r="QS11" s="5759"/>
      <c r="QT11" s="5759"/>
      <c r="QU11" s="5759"/>
      <c r="QV11" s="5899"/>
      <c r="QW11" s="5759"/>
      <c r="QX11" s="5760"/>
      <c r="QY11" s="5760"/>
      <c r="QZ11" s="5759"/>
      <c r="RA11" s="5759"/>
      <c r="RB11" s="5750"/>
      <c r="RC11" s="5750"/>
      <c r="RD11" s="5761"/>
      <c r="RE11" s="5750"/>
      <c r="RF11" s="5741"/>
      <c r="RG11" s="5900"/>
      <c r="RH11" s="5756"/>
      <c r="RI11" s="5756"/>
      <c r="RJ11" s="5757"/>
      <c r="RK11" s="5741"/>
      <c r="RL11" s="5759"/>
      <c r="RM11" s="5760"/>
      <c r="RN11" s="5760"/>
      <c r="RO11" s="5760"/>
      <c r="RP11" s="5759"/>
      <c r="RQ11" s="5758"/>
      <c r="RR11" s="5750"/>
      <c r="RS11" s="5750"/>
      <c r="RT11" s="5750"/>
      <c r="RU11" s="5754"/>
      <c r="RV11" s="5758"/>
      <c r="RW11" s="5761"/>
      <c r="RX11" s="5761"/>
      <c r="RY11" s="5761"/>
      <c r="RZ11" s="5764"/>
      <c r="SA11" s="5758"/>
      <c r="SB11" s="5750"/>
      <c r="SC11" s="5750"/>
      <c r="SD11" s="5750"/>
      <c r="SE11" s="5764"/>
      <c r="SF11" s="5758"/>
      <c r="SG11" s="5750"/>
      <c r="SH11" s="5750"/>
      <c r="SI11" s="5750"/>
      <c r="SJ11" s="5741"/>
      <c r="SL11" s="5774"/>
      <c r="SM11" s="5757"/>
      <c r="SN11" s="5757"/>
      <c r="SO11" s="5757"/>
      <c r="SP11" s="5775"/>
      <c r="SQ11" s="5759"/>
      <c r="SR11" s="5759"/>
      <c r="SS11" s="5759"/>
      <c r="ST11" s="5759"/>
      <c r="SU11" s="5759"/>
      <c r="SV11" s="5752"/>
      <c r="SW11" s="5750"/>
      <c r="SX11" s="5750"/>
      <c r="SY11" s="5750"/>
      <c r="SZ11" s="5741"/>
      <c r="TA11" s="5753"/>
      <c r="TD11" s="372">
        <f t="shared" si="14"/>
        <v>0</v>
      </c>
      <c r="TF11" s="5753"/>
      <c r="TG11" s="5750"/>
      <c r="TH11" s="5750"/>
      <c r="TI11" s="5750"/>
      <c r="TJ11" s="5754"/>
      <c r="TK11" s="5755"/>
      <c r="TL11" s="5756"/>
      <c r="TM11" s="5756"/>
      <c r="TN11" s="5756"/>
      <c r="TO11" s="5757"/>
      <c r="TP11" s="5901"/>
      <c r="TQ11" s="5750"/>
      <c r="TR11" s="5750"/>
      <c r="TS11" s="5750"/>
      <c r="TT11" s="5750"/>
      <c r="TU11" s="5902"/>
      <c r="TV11" s="5759"/>
      <c r="TW11" s="5759"/>
      <c r="TX11" s="5759"/>
      <c r="TY11" s="5759"/>
      <c r="TZ11" s="5759"/>
      <c r="UA11" s="5759"/>
      <c r="UB11" s="5759"/>
      <c r="UC11" s="5759"/>
      <c r="UD11" s="5899"/>
      <c r="UE11" s="5759"/>
      <c r="UF11" s="5760"/>
      <c r="UG11" s="5760"/>
      <c r="UH11" s="5759"/>
      <c r="UI11" s="5759"/>
      <c r="UJ11" s="5750"/>
      <c r="UK11" s="5750"/>
      <c r="UL11" s="5761"/>
      <c r="UM11" s="5750"/>
      <c r="UN11" s="5741"/>
      <c r="UO11" s="5900"/>
      <c r="UP11" s="5756"/>
      <c r="UQ11" s="5756"/>
      <c r="UR11" s="5757"/>
      <c r="US11" s="5741"/>
      <c r="UU11" s="5763"/>
      <c r="UV11" s="5763"/>
      <c r="UW11" s="5763"/>
      <c r="UY11" s="5758"/>
      <c r="UZ11" s="5750"/>
      <c r="VA11" s="5750"/>
      <c r="VB11" s="5750"/>
      <c r="VC11" s="5754"/>
      <c r="VD11" s="5758"/>
      <c r="VE11" s="5761"/>
      <c r="VF11" s="5761"/>
      <c r="VG11" s="5761"/>
      <c r="VH11" s="5764"/>
      <c r="VI11" s="5758"/>
      <c r="VJ11" s="5750"/>
      <c r="VK11" s="5750"/>
      <c r="VL11" s="5750"/>
      <c r="VM11" s="5764"/>
      <c r="VN11" s="5758"/>
      <c r="VO11" s="5750"/>
      <c r="VP11" s="5750"/>
      <c r="VQ11" s="5750"/>
      <c r="VR11" s="5741"/>
    </row>
    <row r="12" spans="1:590" s="5748" customFormat="1" hidden="1" x14ac:dyDescent="0.3">
      <c r="A12" s="5675"/>
      <c r="B12" s="1804" t="s">
        <v>729</v>
      </c>
      <c r="C12" s="5959" t="s">
        <v>730</v>
      </c>
      <c r="D12" s="5960" t="s">
        <v>741</v>
      </c>
      <c r="E12" s="5961"/>
      <c r="F12" s="5961"/>
      <c r="G12" s="5962"/>
      <c r="H12" s="5963"/>
      <c r="I12" s="5904">
        <v>0</v>
      </c>
      <c r="J12" s="5904">
        <v>0</v>
      </c>
      <c r="K12" s="5904">
        <f t="shared" si="0"/>
        <v>0</v>
      </c>
      <c r="L12" s="5905">
        <v>0</v>
      </c>
      <c r="M12" s="5906"/>
      <c r="N12" s="5907">
        <v>0</v>
      </c>
      <c r="O12" s="5907">
        <v>0</v>
      </c>
      <c r="P12" s="5907">
        <f t="shared" si="1"/>
        <v>0</v>
      </c>
      <c r="Q12" s="5908">
        <v>0</v>
      </c>
      <c r="R12" s="5908"/>
      <c r="S12" s="5904">
        <v>0</v>
      </c>
      <c r="T12" s="5904"/>
      <c r="U12" s="5904">
        <f t="shared" si="2"/>
        <v>0</v>
      </c>
      <c r="V12" s="5905" t="s">
        <v>732</v>
      </c>
      <c r="W12" s="5909"/>
      <c r="X12" s="5904"/>
      <c r="Y12" s="5913"/>
      <c r="Z12" s="5904">
        <f t="shared" si="3"/>
        <v>0</v>
      </c>
      <c r="AA12" s="5910">
        <v>0</v>
      </c>
      <c r="AB12" s="5905"/>
      <c r="AC12" s="5904"/>
      <c r="AD12" s="5904"/>
      <c r="AE12" s="5904">
        <f t="shared" si="4"/>
        <v>0</v>
      </c>
      <c r="AF12" s="5905"/>
      <c r="AG12" s="5911"/>
      <c r="AH12" s="5904">
        <v>0</v>
      </c>
      <c r="AI12" s="5912">
        <v>0</v>
      </c>
      <c r="AJ12" s="5912">
        <f t="shared" si="5"/>
        <v>0</v>
      </c>
      <c r="AK12" s="5905"/>
      <c r="AL12" s="5911"/>
      <c r="AM12" s="5913">
        <v>0</v>
      </c>
      <c r="AN12" s="5913">
        <v>0</v>
      </c>
      <c r="AO12" s="5913" t="s">
        <v>732</v>
      </c>
      <c r="AP12" s="5905"/>
      <c r="AQ12" s="5914"/>
      <c r="AR12" s="5905"/>
      <c r="AS12" s="5905"/>
      <c r="AT12" s="5915">
        <f t="shared" si="15"/>
        <v>0</v>
      </c>
      <c r="AU12" s="5905"/>
      <c r="AV12" s="5909"/>
      <c r="AW12" s="5913"/>
      <c r="AX12" s="5913"/>
      <c r="AY12" s="5913">
        <f t="shared" si="16"/>
        <v>0</v>
      </c>
      <c r="AZ12" s="5905"/>
      <c r="BA12" s="5916"/>
      <c r="BB12" s="5913"/>
      <c r="BC12" s="5913"/>
      <c r="BD12" s="5913">
        <f t="shared" si="17"/>
        <v>0</v>
      </c>
      <c r="BE12" s="5908" t="e">
        <f t="shared" si="18"/>
        <v>#DIV/0!</v>
      </c>
      <c r="BF12" s="5909"/>
      <c r="BG12" s="5913"/>
      <c r="BH12" s="5913"/>
      <c r="BI12" s="5913">
        <f t="shared" si="19"/>
        <v>0</v>
      </c>
      <c r="BJ12" s="5908"/>
      <c r="BK12" s="5909"/>
      <c r="BL12" s="5913"/>
      <c r="BM12" s="5913"/>
      <c r="BN12" s="5913">
        <f t="shared" si="20"/>
        <v>0</v>
      </c>
      <c r="BO12" s="5917"/>
      <c r="BP12" s="1937">
        <f t="shared" si="21"/>
        <v>0</v>
      </c>
      <c r="BQ12" s="5918">
        <f t="shared" si="22"/>
        <v>0</v>
      </c>
      <c r="BR12" s="5912">
        <f t="shared" si="22"/>
        <v>0</v>
      </c>
      <c r="BS12" s="5919">
        <f t="shared" si="7"/>
        <v>0</v>
      </c>
      <c r="BT12" s="5920">
        <f t="shared" si="23"/>
        <v>0</v>
      </c>
      <c r="BU12" s="5912">
        <f t="shared" si="24"/>
        <v>0</v>
      </c>
      <c r="BV12" s="5912">
        <f t="shared" si="24"/>
        <v>0</v>
      </c>
      <c r="BW12" s="5921"/>
      <c r="BX12" s="5922">
        <f t="shared" si="25"/>
        <v>0</v>
      </c>
      <c r="BY12" s="5912">
        <f t="shared" si="26"/>
        <v>0</v>
      </c>
      <c r="BZ12" s="5912">
        <f t="shared" si="26"/>
        <v>0</v>
      </c>
      <c r="CA12" s="5923"/>
      <c r="CB12" s="5924">
        <f t="shared" si="27"/>
        <v>0</v>
      </c>
      <c r="CC12" s="5912">
        <f t="shared" si="75"/>
        <v>0</v>
      </c>
      <c r="CD12" s="5912">
        <v>0</v>
      </c>
      <c r="CE12" s="5925"/>
      <c r="CF12" s="5922">
        <f t="shared" si="28"/>
        <v>0</v>
      </c>
      <c r="CG12" s="5904">
        <f t="shared" si="29"/>
        <v>0</v>
      </c>
      <c r="CH12" s="5904">
        <f t="shared" si="29"/>
        <v>0</v>
      </c>
      <c r="CI12" s="5923"/>
      <c r="CJ12" s="5926"/>
      <c r="CK12" s="5904"/>
      <c r="CL12" s="5904"/>
      <c r="CM12" s="5927"/>
      <c r="CN12" s="5921" t="e">
        <f>CM12/CL12</f>
        <v>#DIV/0!</v>
      </c>
      <c r="CO12" s="5926"/>
      <c r="CP12" s="5904"/>
      <c r="CQ12" s="5904"/>
      <c r="CR12" s="5928"/>
      <c r="CS12" s="5923"/>
      <c r="CT12" s="5926"/>
      <c r="CU12" s="5904"/>
      <c r="CV12" s="5904"/>
      <c r="CW12" s="5928"/>
      <c r="CX12" s="5923"/>
      <c r="CY12" s="5926"/>
      <c r="CZ12" s="5904"/>
      <c r="DA12" s="5904"/>
      <c r="DB12" s="5928"/>
      <c r="DC12" s="5923"/>
      <c r="DD12" s="5929"/>
      <c r="DE12" s="5928"/>
      <c r="DF12" s="5928"/>
      <c r="DG12" s="5904">
        <f t="shared" si="30"/>
        <v>0</v>
      </c>
      <c r="DH12" s="5930"/>
      <c r="DI12" s="5926"/>
      <c r="DJ12" s="5928"/>
      <c r="DK12" s="5928"/>
      <c r="DL12" s="5904"/>
      <c r="DM12" s="5930"/>
      <c r="DN12" s="5926"/>
      <c r="DO12" s="5904"/>
      <c r="DP12" s="5904"/>
      <c r="DQ12" s="5904"/>
      <c r="DR12" s="5930"/>
      <c r="DS12" s="5926"/>
      <c r="DT12" s="5904"/>
      <c r="DU12" s="5904"/>
      <c r="DV12" s="5904"/>
      <c r="DW12" s="5923"/>
      <c r="DX12" s="5926"/>
      <c r="DY12" s="5904"/>
      <c r="DZ12" s="5904"/>
      <c r="EA12" s="5904">
        <f t="shared" si="31"/>
        <v>0</v>
      </c>
      <c r="EB12" s="5931" t="e">
        <f t="shared" si="32"/>
        <v>#DIV/0!</v>
      </c>
      <c r="EC12" s="5926"/>
      <c r="ED12" s="5904"/>
      <c r="EE12" s="5904"/>
      <c r="EF12" s="5912">
        <f t="shared" si="33"/>
        <v>0</v>
      </c>
      <c r="EG12" s="5930"/>
      <c r="EH12" s="5926"/>
      <c r="EI12" s="5904"/>
      <c r="EJ12" s="5904"/>
      <c r="EK12" s="5904">
        <f t="shared" si="34"/>
        <v>0</v>
      </c>
      <c r="EL12" s="5931" t="e">
        <f t="shared" si="35"/>
        <v>#DIV/0!</v>
      </c>
      <c r="EM12" s="1804"/>
      <c r="EN12" s="1776"/>
      <c r="EO12" s="1776"/>
      <c r="EP12" s="1776">
        <f t="shared" si="36"/>
        <v>0</v>
      </c>
      <c r="EQ12" s="1807" t="e">
        <f t="shared" si="37"/>
        <v>#DIV/0!</v>
      </c>
      <c r="ER12" s="2402">
        <f t="shared" si="38"/>
        <v>0</v>
      </c>
      <c r="ES12" s="2403">
        <f t="shared" si="39"/>
        <v>0</v>
      </c>
      <c r="ET12" s="2403">
        <f t="shared" si="39"/>
        <v>0</v>
      </c>
      <c r="EU12" s="2403">
        <f t="shared" si="39"/>
        <v>0</v>
      </c>
      <c r="EV12" s="2404" t="e">
        <f t="shared" si="40"/>
        <v>#DIV/0!</v>
      </c>
      <c r="EW12" s="5932">
        <f t="shared" si="73"/>
        <v>0</v>
      </c>
      <c r="EX12" s="5904"/>
      <c r="EY12" s="5904"/>
      <c r="EZ12" s="5933" t="e">
        <f t="shared" si="41"/>
        <v>#DIV/0!</v>
      </c>
      <c r="FA12" s="5929">
        <f t="shared" si="74"/>
        <v>0</v>
      </c>
      <c r="FB12" s="5912">
        <f t="shared" si="42"/>
        <v>0</v>
      </c>
      <c r="FC12" s="5912">
        <f t="shared" si="42"/>
        <v>0</v>
      </c>
      <c r="FD12" s="5921" t="e">
        <f t="shared" si="43"/>
        <v>#DIV/0!</v>
      </c>
      <c r="FE12" s="5934"/>
      <c r="FF12" s="5928"/>
      <c r="FG12" s="5928"/>
      <c r="FH12" s="5933" t="e">
        <f t="shared" si="44"/>
        <v>#DIV/0!</v>
      </c>
      <c r="FI12" s="1816">
        <f t="shared" si="45"/>
        <v>0</v>
      </c>
      <c r="FJ12" s="1814"/>
      <c r="FK12" s="1786">
        <f t="shared" si="46"/>
        <v>0</v>
      </c>
      <c r="FL12" s="1786">
        <f t="shared" si="46"/>
        <v>0</v>
      </c>
      <c r="FM12" s="5921" t="e">
        <f t="shared" si="47"/>
        <v>#DIV/0!</v>
      </c>
      <c r="FN12" s="5935"/>
      <c r="FO12" s="5936"/>
      <c r="FP12" s="5936"/>
      <c r="FQ12" s="1818">
        <f t="shared" si="48"/>
        <v>0</v>
      </c>
      <c r="FR12" s="1819" t="e">
        <f t="shared" si="49"/>
        <v>#DIV/0!</v>
      </c>
      <c r="FS12" s="5937"/>
      <c r="FT12" s="5936"/>
      <c r="FU12" s="5936"/>
      <c r="FV12" s="1818">
        <f t="shared" si="50"/>
        <v>0</v>
      </c>
      <c r="FW12" s="1821" t="e">
        <f t="shared" si="51"/>
        <v>#DIV/0!</v>
      </c>
      <c r="FX12" s="5937"/>
      <c r="FY12" s="5938"/>
      <c r="FZ12" s="5938"/>
      <c r="GA12" s="1818">
        <f t="shared" si="52"/>
        <v>0</v>
      </c>
      <c r="GB12" s="1821" t="e">
        <f t="shared" si="53"/>
        <v>#DIV/0!</v>
      </c>
      <c r="GC12" s="5939"/>
      <c r="GD12" s="5940"/>
      <c r="GE12" s="5940"/>
      <c r="GF12" s="1818">
        <f t="shared" si="54"/>
        <v>0</v>
      </c>
      <c r="GG12" s="1821" t="e">
        <f t="shared" si="55"/>
        <v>#DIV/0!</v>
      </c>
      <c r="GH12" s="1823"/>
      <c r="GI12" s="1824"/>
      <c r="GJ12" s="1824"/>
      <c r="GK12" s="1818">
        <f t="shared" si="56"/>
        <v>0</v>
      </c>
      <c r="GL12" s="1821" t="e">
        <f t="shared" si="57"/>
        <v>#DIV/0!</v>
      </c>
      <c r="GM12" s="1839"/>
      <c r="GN12" s="1839"/>
      <c r="GO12" s="1839"/>
      <c r="GP12" s="1839"/>
      <c r="GQ12" s="1839"/>
      <c r="GR12" s="5750"/>
      <c r="GS12" s="5750"/>
      <c r="GT12" s="5750"/>
      <c r="GU12" s="5750"/>
      <c r="GV12" s="5741"/>
      <c r="GW12" s="5750"/>
      <c r="GX12" s="5750"/>
      <c r="GY12" s="5750"/>
      <c r="GZ12" s="5750"/>
      <c r="HA12" s="5741"/>
      <c r="HB12" s="5750"/>
      <c r="HC12" s="5750"/>
      <c r="HD12" s="5750"/>
      <c r="HE12" s="5750"/>
      <c r="HF12" s="5741"/>
      <c r="HG12" s="1839"/>
      <c r="HH12" s="1839"/>
      <c r="HI12" s="1839"/>
      <c r="HJ12" s="1839"/>
      <c r="HK12" s="1660"/>
      <c r="HL12" s="1839"/>
      <c r="HM12" s="1839"/>
      <c r="HN12" s="1839"/>
      <c r="HO12" s="1839"/>
      <c r="HP12" s="1660"/>
      <c r="HQ12" s="5750"/>
      <c r="HR12" s="5750"/>
      <c r="HS12" s="5750"/>
      <c r="HT12" s="5750"/>
      <c r="HU12" s="5750"/>
      <c r="HV12" s="5941">
        <f t="shared" si="8"/>
        <v>0</v>
      </c>
      <c r="HW12" s="622">
        <f t="shared" si="9"/>
        <v>0</v>
      </c>
      <c r="HX12" s="622">
        <f t="shared" si="9"/>
        <v>0</v>
      </c>
      <c r="HY12" s="622">
        <f t="shared" si="9"/>
        <v>0</v>
      </c>
      <c r="HZ12" s="5942"/>
      <c r="IA12" s="1907">
        <f t="shared" si="58"/>
        <v>0</v>
      </c>
      <c r="IB12" s="1908">
        <f t="shared" si="59"/>
        <v>0</v>
      </c>
      <c r="IC12" s="1908">
        <f t="shared" si="59"/>
        <v>0</v>
      </c>
      <c r="ID12" s="1909" t="e">
        <f t="shared" si="60"/>
        <v>#DIV/0!</v>
      </c>
      <c r="IE12" s="5943"/>
      <c r="IF12" s="5743"/>
      <c r="IG12" s="5743"/>
      <c r="IH12" s="5744"/>
      <c r="II12" s="5944"/>
      <c r="IJ12" s="5743"/>
      <c r="IK12" s="5743"/>
      <c r="IL12" s="5744"/>
      <c r="IM12" s="5745"/>
      <c r="IN12" s="5743"/>
      <c r="IO12" s="5743"/>
      <c r="IP12" s="5747"/>
      <c r="IQ12" s="5750"/>
      <c r="IR12" s="5945"/>
      <c r="IS12" s="5936"/>
      <c r="IT12" s="5936"/>
      <c r="IU12" s="1818">
        <f t="shared" si="61"/>
        <v>0</v>
      </c>
      <c r="IV12" s="1819" t="e">
        <f t="shared" si="62"/>
        <v>#DIV/0!</v>
      </c>
      <c r="IW12" s="5937"/>
      <c r="IX12" s="5936"/>
      <c r="IY12" s="5936"/>
      <c r="IZ12" s="1818">
        <f t="shared" si="63"/>
        <v>0</v>
      </c>
      <c r="JA12" s="1821" t="e">
        <f t="shared" si="64"/>
        <v>#DIV/0!</v>
      </c>
      <c r="JB12" s="5946"/>
      <c r="JC12" s="5938"/>
      <c r="JD12" s="5938"/>
      <c r="JE12" s="1818">
        <f t="shared" si="65"/>
        <v>0</v>
      </c>
      <c r="JF12" s="1821" t="e">
        <f t="shared" si="66"/>
        <v>#DIV/0!</v>
      </c>
      <c r="JG12" s="5947"/>
      <c r="JH12" s="5940"/>
      <c r="JI12" s="5940"/>
      <c r="JJ12" s="1818">
        <f t="shared" si="67"/>
        <v>0</v>
      </c>
      <c r="JK12" s="1821" t="e">
        <f t="shared" si="68"/>
        <v>#DIV/0!</v>
      </c>
      <c r="JL12" s="1823"/>
      <c r="JM12" s="1824"/>
      <c r="JN12" s="1824"/>
      <c r="JO12" s="1818">
        <f t="shared" si="69"/>
        <v>0</v>
      </c>
      <c r="JP12" s="1821" t="e">
        <f t="shared" si="70"/>
        <v>#DIV/0!</v>
      </c>
      <c r="JQ12" s="5948"/>
      <c r="JR12" s="1839"/>
      <c r="JS12" s="1839"/>
      <c r="JT12" s="1839"/>
      <c r="JU12" s="1839"/>
      <c r="JV12" s="5949"/>
      <c r="JW12" s="5750"/>
      <c r="JX12" s="5750"/>
      <c r="JY12" s="5750"/>
      <c r="JZ12" s="5741"/>
      <c r="KA12" s="5750"/>
      <c r="KB12" s="5750"/>
      <c r="KC12" s="5750"/>
      <c r="KD12" s="5750"/>
      <c r="KE12" s="5741"/>
      <c r="KF12" s="5950"/>
      <c r="KG12" s="5750"/>
      <c r="KH12" s="5750"/>
      <c r="KI12" s="5750"/>
      <c r="KJ12" s="5741"/>
      <c r="KK12" s="5951"/>
      <c r="KL12" s="1839"/>
      <c r="KM12" s="1839"/>
      <c r="KN12" s="1839"/>
      <c r="KO12" s="1660"/>
      <c r="KP12" s="1659"/>
      <c r="KQ12" s="1839"/>
      <c r="KR12" s="1839"/>
      <c r="KS12" s="1839"/>
      <c r="KT12" s="1839"/>
      <c r="KU12" s="5758"/>
      <c r="KV12" s="5750"/>
      <c r="KW12" s="5750"/>
      <c r="KX12" s="5750"/>
      <c r="KY12" s="5741"/>
      <c r="KZ12" s="5739">
        <f t="shared" si="10"/>
        <v>0</v>
      </c>
      <c r="LA12" s="5740">
        <f t="shared" si="11"/>
        <v>0</v>
      </c>
      <c r="LB12" s="5740">
        <f t="shared" si="11"/>
        <v>0</v>
      </c>
      <c r="LC12" s="5740">
        <f t="shared" si="11"/>
        <v>0</v>
      </c>
      <c r="LD12" s="5741"/>
      <c r="LE12" s="1912">
        <f t="shared" si="71"/>
        <v>0</v>
      </c>
      <c r="LF12" s="1908">
        <f t="shared" si="72"/>
        <v>0</v>
      </c>
      <c r="LG12" s="1908">
        <f t="shared" si="72"/>
        <v>0</v>
      </c>
      <c r="LH12" s="1909"/>
      <c r="LI12" s="5745"/>
      <c r="LJ12" s="5743"/>
      <c r="LK12" s="5743"/>
      <c r="LL12" s="5744"/>
      <c r="LM12" s="5746"/>
      <c r="LN12" s="5743"/>
      <c r="LO12" s="5743"/>
      <c r="LP12" s="5744"/>
      <c r="LQ12" s="5745"/>
      <c r="LR12" s="1836">
        <f t="shared" si="76"/>
        <v>0</v>
      </c>
      <c r="LS12" s="1836">
        <f t="shared" si="76"/>
        <v>0</v>
      </c>
      <c r="LT12" s="5747"/>
      <c r="LV12" s="5749"/>
      <c r="LW12" s="5750"/>
      <c r="LX12" s="5750"/>
      <c r="LY12" s="5750"/>
      <c r="LZ12" s="5751"/>
      <c r="MF12" s="5752"/>
      <c r="MG12" s="5750"/>
      <c r="MH12" s="5750"/>
      <c r="MI12" s="5750"/>
      <c r="MJ12" s="5741"/>
      <c r="MK12" s="5753"/>
      <c r="MN12" s="372">
        <f t="shared" si="12"/>
        <v>0</v>
      </c>
      <c r="MP12" s="5753"/>
      <c r="MQ12" s="5750"/>
      <c r="MR12" s="5750"/>
      <c r="MS12" s="5750"/>
      <c r="MT12" s="5754"/>
      <c r="MU12" s="5755"/>
      <c r="MV12" s="5756"/>
      <c r="MW12" s="5756"/>
      <c r="MX12" s="5756"/>
      <c r="MY12" s="5757"/>
      <c r="MZ12" s="5758"/>
      <c r="NA12" s="5750"/>
      <c r="NB12" s="5750"/>
      <c r="NC12" s="5750"/>
      <c r="ND12" s="5750"/>
      <c r="NO12" s="5759"/>
      <c r="NP12" s="5760"/>
      <c r="NQ12" s="5760"/>
      <c r="NR12" s="5759"/>
      <c r="NT12" s="5750"/>
      <c r="NU12" s="5750"/>
      <c r="NV12" s="5761"/>
      <c r="NW12" s="5750"/>
      <c r="NX12" s="5741"/>
      <c r="NY12" s="5762"/>
      <c r="NZ12" s="5756"/>
      <c r="OA12" s="5756"/>
      <c r="OB12" s="5757"/>
      <c r="OC12" s="5741"/>
      <c r="OE12" s="5763"/>
      <c r="OF12" s="5763"/>
      <c r="OG12" s="5761"/>
      <c r="OH12" s="5741"/>
      <c r="OI12" s="5758"/>
      <c r="OJ12" s="5750"/>
      <c r="OK12" s="5750"/>
      <c r="OL12" s="5750"/>
      <c r="OM12" s="5754"/>
      <c r="ON12" s="5758"/>
      <c r="OO12" s="5761"/>
      <c r="OP12" s="5761"/>
      <c r="OQ12" s="5761"/>
      <c r="OR12" s="5764"/>
      <c r="OS12" s="5758"/>
      <c r="OT12" s="5750"/>
      <c r="OU12" s="5750"/>
      <c r="OV12" s="5750"/>
      <c r="OW12" s="5764"/>
      <c r="OX12" s="5758"/>
      <c r="OY12" s="5750"/>
      <c r="OZ12" s="5750"/>
      <c r="PA12" s="5750"/>
      <c r="PB12" s="5741"/>
      <c r="PD12" s="5749"/>
      <c r="PE12" s="5750"/>
      <c r="PF12" s="5750"/>
      <c r="PG12" s="5750"/>
      <c r="PH12" s="5751"/>
      <c r="PN12" s="5752"/>
      <c r="PO12" s="5750"/>
      <c r="PP12" s="5750"/>
      <c r="PQ12" s="5750"/>
      <c r="PR12" s="5741"/>
      <c r="PS12" s="5897"/>
      <c r="PT12" s="5759"/>
      <c r="PU12" s="5759"/>
      <c r="PV12" s="2892">
        <f t="shared" si="13"/>
        <v>0</v>
      </c>
      <c r="PW12" s="5759"/>
      <c r="PX12" s="5753"/>
      <c r="PY12" s="5750"/>
      <c r="PZ12" s="5750"/>
      <c r="QA12" s="5750"/>
      <c r="QB12" s="5754"/>
      <c r="QC12" s="5755"/>
      <c r="QD12" s="5756"/>
      <c r="QE12" s="5756"/>
      <c r="QF12" s="5756"/>
      <c r="QG12" s="5757"/>
      <c r="QH12" s="5898"/>
      <c r="QI12" s="5750"/>
      <c r="QJ12" s="5750"/>
      <c r="QK12" s="5750"/>
      <c r="QL12" s="5750"/>
      <c r="QM12" s="5752"/>
      <c r="QR12" s="5759"/>
      <c r="QS12" s="5759"/>
      <c r="QT12" s="5759"/>
      <c r="QU12" s="5759"/>
      <c r="QV12" s="5899"/>
      <c r="QW12" s="5759"/>
      <c r="QX12" s="5760"/>
      <c r="QY12" s="5760"/>
      <c r="QZ12" s="5759"/>
      <c r="RA12" s="5759"/>
      <c r="RB12" s="5750"/>
      <c r="RC12" s="5750"/>
      <c r="RD12" s="5761"/>
      <c r="RE12" s="5750"/>
      <c r="RF12" s="5741"/>
      <c r="RG12" s="5900"/>
      <c r="RH12" s="5756"/>
      <c r="RI12" s="5756"/>
      <c r="RJ12" s="5757"/>
      <c r="RK12" s="5741"/>
      <c r="RL12" s="5759"/>
      <c r="RM12" s="1873">
        <f t="shared" ref="RM12:RO56" si="77">RH12+RC12+QX12+QS12+QN12+QI12+QD12+PY12+PT12+PO12+PJ12+PE12</f>
        <v>0</v>
      </c>
      <c r="RN12" s="1873">
        <f t="shared" si="77"/>
        <v>0</v>
      </c>
      <c r="RO12" s="1873">
        <f t="shared" si="77"/>
        <v>0</v>
      </c>
      <c r="RP12" s="5759"/>
      <c r="RQ12" s="5758"/>
      <c r="RR12" s="5750"/>
      <c r="RS12" s="5750"/>
      <c r="RT12" s="5750"/>
      <c r="RU12" s="5754"/>
      <c r="RV12" s="5758"/>
      <c r="RW12" s="5761"/>
      <c r="RX12" s="5761"/>
      <c r="RY12" s="5761"/>
      <c r="RZ12" s="5764"/>
      <c r="SA12" s="5758"/>
      <c r="SB12" s="5750"/>
      <c r="SC12" s="5750"/>
      <c r="SD12" s="5750"/>
      <c r="SE12" s="5764"/>
      <c r="SF12" s="5758"/>
      <c r="SG12" s="5750"/>
      <c r="SH12" s="5750"/>
      <c r="SI12" s="5750"/>
      <c r="SJ12" s="5741"/>
      <c r="SL12" s="5774"/>
      <c r="SM12" s="5757"/>
      <c r="SN12" s="5757"/>
      <c r="SO12" s="5757"/>
      <c r="SP12" s="5775"/>
      <c r="SQ12" s="5759"/>
      <c r="SR12" s="5759"/>
      <c r="SS12" s="5759"/>
      <c r="ST12" s="5759"/>
      <c r="SU12" s="5759"/>
      <c r="SV12" s="5752"/>
      <c r="SW12" s="5750"/>
      <c r="SX12" s="5750"/>
      <c r="SY12" s="5750"/>
      <c r="SZ12" s="5741"/>
      <c r="TA12" s="5753"/>
      <c r="TD12" s="372">
        <f t="shared" si="14"/>
        <v>0</v>
      </c>
      <c r="TF12" s="5753"/>
      <c r="TG12" s="5750"/>
      <c r="TH12" s="5750"/>
      <c r="TI12" s="5750"/>
      <c r="TJ12" s="5754"/>
      <c r="TK12" s="5755"/>
      <c r="TL12" s="5756"/>
      <c r="TM12" s="5756"/>
      <c r="TN12" s="5756"/>
      <c r="TO12" s="5757"/>
      <c r="TP12" s="5901"/>
      <c r="TQ12" s="5750"/>
      <c r="TR12" s="5750"/>
      <c r="TS12" s="5750"/>
      <c r="TT12" s="5750"/>
      <c r="TU12" s="5902"/>
      <c r="TV12" s="5759"/>
      <c r="TW12" s="5759"/>
      <c r="TX12" s="5759"/>
      <c r="TY12" s="5759"/>
      <c r="TZ12" s="5759"/>
      <c r="UA12" s="5759"/>
      <c r="UB12" s="5759"/>
      <c r="UC12" s="5759"/>
      <c r="UD12" s="5899"/>
      <c r="UE12" s="5759"/>
      <c r="UF12" s="5760"/>
      <c r="UG12" s="5760"/>
      <c r="UH12" s="5759"/>
      <c r="UI12" s="5759"/>
      <c r="UJ12" s="5750"/>
      <c r="UK12" s="5750"/>
      <c r="UL12" s="5761"/>
      <c r="UM12" s="5750"/>
      <c r="UN12" s="5741"/>
      <c r="UO12" s="5900"/>
      <c r="UP12" s="5756"/>
      <c r="UQ12" s="5756"/>
      <c r="UR12" s="5757"/>
      <c r="US12" s="5741"/>
      <c r="UU12" s="622">
        <f t="shared" ref="UU12:UW76" si="78">UP12+UK12+UF12+UA12+TV12+TQ12+TL12+TG12+TB12+SW12+SR12+SM12</f>
        <v>0</v>
      </c>
      <c r="UV12" s="622">
        <f t="shared" si="78"/>
        <v>0</v>
      </c>
      <c r="UW12" s="622">
        <f t="shared" si="78"/>
        <v>0</v>
      </c>
      <c r="UY12" s="5758"/>
      <c r="UZ12" s="5750"/>
      <c r="VA12" s="5750"/>
      <c r="VB12" s="5750"/>
      <c r="VC12" s="5754"/>
      <c r="VD12" s="5758"/>
      <c r="VE12" s="5761"/>
      <c r="VF12" s="5761"/>
      <c r="VG12" s="5761"/>
      <c r="VH12" s="5764"/>
      <c r="VI12" s="5758"/>
      <c r="VJ12" s="5750"/>
      <c r="VK12" s="5750"/>
      <c r="VL12" s="5750"/>
      <c r="VM12" s="5764"/>
      <c r="VN12" s="5758"/>
      <c r="VO12" s="5750"/>
      <c r="VP12" s="5750"/>
      <c r="VQ12" s="5750"/>
      <c r="VR12" s="5741"/>
    </row>
    <row r="13" spans="1:590" s="5748" customFormat="1" hidden="1" x14ac:dyDescent="0.3">
      <c r="A13" s="5675"/>
      <c r="B13" s="1804" t="s">
        <v>729</v>
      </c>
      <c r="C13" s="5959" t="s">
        <v>742</v>
      </c>
      <c r="D13" s="1781" t="s">
        <v>743</v>
      </c>
      <c r="E13" s="5964">
        <v>42910</v>
      </c>
      <c r="F13" s="5964">
        <v>43243</v>
      </c>
      <c r="G13" s="5965">
        <v>106000</v>
      </c>
      <c r="H13" s="5903">
        <v>2</v>
      </c>
      <c r="I13" s="5904">
        <v>90000</v>
      </c>
      <c r="J13" s="5904">
        <v>104304</v>
      </c>
      <c r="K13" s="5904">
        <f t="shared" si="0"/>
        <v>14304</v>
      </c>
      <c r="L13" s="5905">
        <f>K13/J13</f>
        <v>0.13713759779107226</v>
      </c>
      <c r="M13" s="5966">
        <v>2</v>
      </c>
      <c r="N13" s="5907">
        <v>90000</v>
      </c>
      <c r="O13" s="5907">
        <f>76797+13780+13780</f>
        <v>104357</v>
      </c>
      <c r="P13" s="5907">
        <f t="shared" si="1"/>
        <v>14357</v>
      </c>
      <c r="Q13" s="5908">
        <f>P13/O13</f>
        <v>0.13757582145903005</v>
      </c>
      <c r="R13" s="5967"/>
      <c r="S13" s="5904">
        <v>0</v>
      </c>
      <c r="T13" s="5904">
        <v>0</v>
      </c>
      <c r="U13" s="5904">
        <f t="shared" si="2"/>
        <v>0</v>
      </c>
      <c r="V13" s="5905" t="s">
        <v>732</v>
      </c>
      <c r="W13" s="5968"/>
      <c r="X13" s="5904"/>
      <c r="Y13" s="5904"/>
      <c r="Z13" s="5904">
        <f t="shared" si="3"/>
        <v>0</v>
      </c>
      <c r="AA13" s="5910">
        <v>0</v>
      </c>
      <c r="AB13" s="5969"/>
      <c r="AC13" s="5904"/>
      <c r="AD13" s="5904"/>
      <c r="AE13" s="5904">
        <f t="shared" si="4"/>
        <v>0</v>
      </c>
      <c r="AF13" s="5905"/>
      <c r="AG13" s="5969"/>
      <c r="AH13" s="5904">
        <v>0</v>
      </c>
      <c r="AI13" s="5912">
        <v>0</v>
      </c>
      <c r="AJ13" s="5912">
        <f t="shared" si="5"/>
        <v>0</v>
      </c>
      <c r="AK13" s="5905"/>
      <c r="AL13" s="5969"/>
      <c r="AM13" s="5913">
        <v>0</v>
      </c>
      <c r="AN13" s="5913">
        <v>0</v>
      </c>
      <c r="AO13" s="5913">
        <f t="shared" ref="AO13:AO24" si="79">AN13-AM13</f>
        <v>0</v>
      </c>
      <c r="AP13" s="5905"/>
      <c r="AQ13" s="5914"/>
      <c r="AR13" s="5913"/>
      <c r="AS13" s="5913"/>
      <c r="AT13" s="5915">
        <f t="shared" si="15"/>
        <v>0</v>
      </c>
      <c r="AU13" s="5905">
        <v>0</v>
      </c>
      <c r="AV13" s="5909"/>
      <c r="AW13" s="5913"/>
      <c r="AX13" s="5913"/>
      <c r="AY13" s="5913">
        <f t="shared" si="16"/>
        <v>0</v>
      </c>
      <c r="AZ13" s="5905" t="e">
        <f>AY13/AX13</f>
        <v>#DIV/0!</v>
      </c>
      <c r="BA13" s="5969"/>
      <c r="BB13" s="5904"/>
      <c r="BC13" s="5913"/>
      <c r="BD13" s="5913">
        <f t="shared" si="17"/>
        <v>0</v>
      </c>
      <c r="BE13" s="5908" t="e">
        <f t="shared" si="18"/>
        <v>#DIV/0!</v>
      </c>
      <c r="BF13" s="5969"/>
      <c r="BG13" s="5913"/>
      <c r="BH13" s="5913"/>
      <c r="BI13" s="5913">
        <f t="shared" si="19"/>
        <v>0</v>
      </c>
      <c r="BJ13" s="5908"/>
      <c r="BK13" s="5969"/>
      <c r="BL13" s="5913"/>
      <c r="BM13" s="5913"/>
      <c r="BN13" s="5913">
        <f t="shared" si="20"/>
        <v>0</v>
      </c>
      <c r="BO13" s="5917"/>
      <c r="BP13" s="1937">
        <f t="shared" si="21"/>
        <v>0.33333333333333331</v>
      </c>
      <c r="BQ13" s="5918">
        <f t="shared" si="22"/>
        <v>180000</v>
      </c>
      <c r="BR13" s="5912">
        <f t="shared" si="22"/>
        <v>208661</v>
      </c>
      <c r="BS13" s="5919">
        <f t="shared" si="7"/>
        <v>28661</v>
      </c>
      <c r="BT13" s="5920">
        <f t="shared" si="23"/>
        <v>4</v>
      </c>
      <c r="BU13" s="5912">
        <f t="shared" si="24"/>
        <v>208661</v>
      </c>
      <c r="BV13" s="5912">
        <f t="shared" si="24"/>
        <v>28661</v>
      </c>
      <c r="BW13" s="5921">
        <f>BV13/BU13</f>
        <v>0.1373567652795683</v>
      </c>
      <c r="BX13" s="5922">
        <f t="shared" si="25"/>
        <v>0</v>
      </c>
      <c r="BY13" s="5912">
        <f t="shared" si="26"/>
        <v>0</v>
      </c>
      <c r="BZ13" s="5912">
        <f t="shared" si="26"/>
        <v>0</v>
      </c>
      <c r="CA13" s="5923"/>
      <c r="CB13" s="5924">
        <f t="shared" si="27"/>
        <v>0</v>
      </c>
      <c r="CC13" s="5912">
        <f t="shared" si="75"/>
        <v>0</v>
      </c>
      <c r="CD13" s="5912">
        <f t="shared" si="75"/>
        <v>0</v>
      </c>
      <c r="CE13" s="5925"/>
      <c r="CF13" s="5922">
        <f t="shared" si="28"/>
        <v>0</v>
      </c>
      <c r="CG13" s="5904">
        <f t="shared" si="29"/>
        <v>0</v>
      </c>
      <c r="CH13" s="5904">
        <f t="shared" si="29"/>
        <v>0</v>
      </c>
      <c r="CI13" s="5923"/>
      <c r="CJ13" s="5926"/>
      <c r="CK13" s="5904"/>
      <c r="CL13" s="5904"/>
      <c r="CM13" s="5904">
        <f t="shared" ref="CM13:CM24" si="80">CL13-CK13</f>
        <v>0</v>
      </c>
      <c r="CN13" s="5921"/>
      <c r="CO13" s="5926"/>
      <c r="CP13" s="5904"/>
      <c r="CQ13" s="5904"/>
      <c r="CR13" s="5928"/>
      <c r="CS13" s="5923"/>
      <c r="CT13" s="5926"/>
      <c r="CU13" s="5904"/>
      <c r="CV13" s="5904"/>
      <c r="CW13" s="5928"/>
      <c r="CX13" s="5923"/>
      <c r="CY13" s="5926"/>
      <c r="CZ13" s="5904"/>
      <c r="DA13" s="5904"/>
      <c r="DB13" s="5928"/>
      <c r="DC13" s="5923"/>
      <c r="DD13" s="5929"/>
      <c r="DE13" s="5928"/>
      <c r="DF13" s="5928"/>
      <c r="DG13" s="5904">
        <f t="shared" si="30"/>
        <v>0</v>
      </c>
      <c r="DH13" s="5930"/>
      <c r="DI13" s="5926"/>
      <c r="DJ13" s="5928"/>
      <c r="DK13" s="5928"/>
      <c r="DL13" s="5904"/>
      <c r="DM13" s="5930"/>
      <c r="DN13" s="5926"/>
      <c r="DO13" s="5904"/>
      <c r="DP13" s="5904"/>
      <c r="DQ13" s="5904"/>
      <c r="DR13" s="5930"/>
      <c r="DS13" s="5926"/>
      <c r="DT13" s="5904"/>
      <c r="DU13" s="5904"/>
      <c r="DV13" s="5904"/>
      <c r="DW13" s="5923"/>
      <c r="DX13" s="5926"/>
      <c r="DY13" s="5904"/>
      <c r="DZ13" s="5904"/>
      <c r="EA13" s="5904">
        <f t="shared" si="31"/>
        <v>0</v>
      </c>
      <c r="EB13" s="5931" t="e">
        <f t="shared" si="32"/>
        <v>#DIV/0!</v>
      </c>
      <c r="EC13" s="5926"/>
      <c r="ED13" s="5904"/>
      <c r="EE13" s="5904"/>
      <c r="EF13" s="5912">
        <f t="shared" si="33"/>
        <v>0</v>
      </c>
      <c r="EG13" s="5930"/>
      <c r="EH13" s="5926"/>
      <c r="EI13" s="5904"/>
      <c r="EJ13" s="5904"/>
      <c r="EK13" s="5904">
        <f t="shared" si="34"/>
        <v>0</v>
      </c>
      <c r="EL13" s="5931" t="e">
        <f t="shared" si="35"/>
        <v>#DIV/0!</v>
      </c>
      <c r="EM13" s="1804"/>
      <c r="EN13" s="1776"/>
      <c r="EO13" s="1776"/>
      <c r="EP13" s="1776">
        <f t="shared" si="36"/>
        <v>0</v>
      </c>
      <c r="EQ13" s="1807" t="e">
        <f t="shared" si="37"/>
        <v>#DIV/0!</v>
      </c>
      <c r="ER13" s="2402">
        <f t="shared" si="38"/>
        <v>0</v>
      </c>
      <c r="ES13" s="2403">
        <f t="shared" si="39"/>
        <v>0</v>
      </c>
      <c r="ET13" s="2403">
        <f t="shared" si="39"/>
        <v>0</v>
      </c>
      <c r="EU13" s="2403">
        <f t="shared" si="39"/>
        <v>0</v>
      </c>
      <c r="EV13" s="2404" t="e">
        <f t="shared" si="40"/>
        <v>#DIV/0!</v>
      </c>
      <c r="EW13" s="5932">
        <f t="shared" si="73"/>
        <v>0</v>
      </c>
      <c r="EX13" s="5904"/>
      <c r="EY13" s="5904"/>
      <c r="EZ13" s="5933" t="e">
        <f t="shared" si="41"/>
        <v>#DIV/0!</v>
      </c>
      <c r="FA13" s="5929">
        <f t="shared" si="74"/>
        <v>0</v>
      </c>
      <c r="FB13" s="5912">
        <f t="shared" si="42"/>
        <v>0</v>
      </c>
      <c r="FC13" s="5912">
        <f t="shared" si="42"/>
        <v>0</v>
      </c>
      <c r="FD13" s="5921" t="e">
        <f t="shared" si="43"/>
        <v>#DIV/0!</v>
      </c>
      <c r="FE13" s="5934"/>
      <c r="FF13" s="5928"/>
      <c r="FG13" s="5928"/>
      <c r="FH13" s="5933" t="e">
        <f t="shared" si="44"/>
        <v>#DIV/0!</v>
      </c>
      <c r="FI13" s="1816">
        <f t="shared" si="45"/>
        <v>0</v>
      </c>
      <c r="FJ13" s="1814"/>
      <c r="FK13" s="1786">
        <f t="shared" si="46"/>
        <v>0</v>
      </c>
      <c r="FL13" s="1786">
        <f t="shared" si="46"/>
        <v>0</v>
      </c>
      <c r="FM13" s="5921" t="e">
        <f t="shared" si="47"/>
        <v>#DIV/0!</v>
      </c>
      <c r="FN13" s="5935"/>
      <c r="FO13" s="5936"/>
      <c r="FP13" s="5936"/>
      <c r="FQ13" s="1818">
        <f t="shared" si="48"/>
        <v>0</v>
      </c>
      <c r="FR13" s="1819" t="e">
        <f t="shared" si="49"/>
        <v>#DIV/0!</v>
      </c>
      <c r="FS13" s="5937"/>
      <c r="FT13" s="5936"/>
      <c r="FU13" s="5936"/>
      <c r="FV13" s="1818">
        <f t="shared" si="50"/>
        <v>0</v>
      </c>
      <c r="FW13" s="1821" t="e">
        <f t="shared" si="51"/>
        <v>#DIV/0!</v>
      </c>
      <c r="FX13" s="5937"/>
      <c r="FY13" s="5938"/>
      <c r="FZ13" s="5938"/>
      <c r="GA13" s="1818">
        <f t="shared" si="52"/>
        <v>0</v>
      </c>
      <c r="GB13" s="1821" t="e">
        <f t="shared" si="53"/>
        <v>#DIV/0!</v>
      </c>
      <c r="GC13" s="5939"/>
      <c r="GD13" s="5940"/>
      <c r="GE13" s="5940"/>
      <c r="GF13" s="1818">
        <f t="shared" si="54"/>
        <v>0</v>
      </c>
      <c r="GG13" s="1821" t="e">
        <f t="shared" si="55"/>
        <v>#DIV/0!</v>
      </c>
      <c r="GH13" s="1823"/>
      <c r="GI13" s="1824"/>
      <c r="GJ13" s="1824"/>
      <c r="GK13" s="1818">
        <f t="shared" si="56"/>
        <v>0</v>
      </c>
      <c r="GL13" s="1821" t="e">
        <f t="shared" si="57"/>
        <v>#DIV/0!</v>
      </c>
      <c r="GM13" s="1839"/>
      <c r="GN13" s="1839"/>
      <c r="GO13" s="1839"/>
      <c r="GP13" s="1839"/>
      <c r="GQ13" s="1839"/>
      <c r="GR13" s="5750"/>
      <c r="GS13" s="5750"/>
      <c r="GT13" s="5750"/>
      <c r="GU13" s="5750"/>
      <c r="GV13" s="5741"/>
      <c r="GW13" s="5750"/>
      <c r="GX13" s="5750"/>
      <c r="GY13" s="5750"/>
      <c r="GZ13" s="5750"/>
      <c r="HA13" s="5741"/>
      <c r="HB13" s="5750"/>
      <c r="HC13" s="5750"/>
      <c r="HD13" s="5750"/>
      <c r="HE13" s="5750"/>
      <c r="HF13" s="5741"/>
      <c r="HG13" s="1839"/>
      <c r="HH13" s="1839"/>
      <c r="HI13" s="1839"/>
      <c r="HJ13" s="1839"/>
      <c r="HK13" s="1660"/>
      <c r="HL13" s="1839"/>
      <c r="HM13" s="1839"/>
      <c r="HN13" s="1839"/>
      <c r="HO13" s="1839"/>
      <c r="HP13" s="1660"/>
      <c r="HQ13" s="5750"/>
      <c r="HR13" s="5750"/>
      <c r="HS13" s="5750"/>
      <c r="HT13" s="5750"/>
      <c r="HU13" s="5750"/>
      <c r="HV13" s="5941">
        <f t="shared" si="8"/>
        <v>0</v>
      </c>
      <c r="HW13" s="622">
        <f t="shared" si="9"/>
        <v>0</v>
      </c>
      <c r="HX13" s="622">
        <f t="shared" si="9"/>
        <v>0</v>
      </c>
      <c r="HY13" s="622">
        <f t="shared" si="9"/>
        <v>0</v>
      </c>
      <c r="HZ13" s="5942"/>
      <c r="IA13" s="1907">
        <f t="shared" si="58"/>
        <v>0</v>
      </c>
      <c r="IB13" s="1908">
        <f t="shared" si="59"/>
        <v>0</v>
      </c>
      <c r="IC13" s="1908">
        <f t="shared" si="59"/>
        <v>0</v>
      </c>
      <c r="ID13" s="1909" t="e">
        <f t="shared" si="60"/>
        <v>#DIV/0!</v>
      </c>
      <c r="IE13" s="5943"/>
      <c r="IF13" s="5743"/>
      <c r="IG13" s="5743"/>
      <c r="IH13" s="5744"/>
      <c r="II13" s="5944"/>
      <c r="IJ13" s="5743"/>
      <c r="IK13" s="5743"/>
      <c r="IL13" s="5744"/>
      <c r="IM13" s="5745"/>
      <c r="IN13" s="5743"/>
      <c r="IO13" s="5743"/>
      <c r="IP13" s="5747"/>
      <c r="IQ13" s="5750"/>
      <c r="IR13" s="5945"/>
      <c r="IS13" s="5936"/>
      <c r="IT13" s="5936"/>
      <c r="IU13" s="1818">
        <f t="shared" si="61"/>
        <v>0</v>
      </c>
      <c r="IV13" s="1819" t="e">
        <f t="shared" si="62"/>
        <v>#DIV/0!</v>
      </c>
      <c r="IW13" s="5937"/>
      <c r="IX13" s="5936"/>
      <c r="IY13" s="5936"/>
      <c r="IZ13" s="1818">
        <f t="shared" si="63"/>
        <v>0</v>
      </c>
      <c r="JA13" s="1821" t="e">
        <f t="shared" si="64"/>
        <v>#DIV/0!</v>
      </c>
      <c r="JB13" s="5946"/>
      <c r="JC13" s="5938"/>
      <c r="JD13" s="5938"/>
      <c r="JE13" s="1818">
        <f t="shared" si="65"/>
        <v>0</v>
      </c>
      <c r="JF13" s="1821" t="e">
        <f t="shared" si="66"/>
        <v>#DIV/0!</v>
      </c>
      <c r="JG13" s="5947"/>
      <c r="JH13" s="5940"/>
      <c r="JI13" s="5940"/>
      <c r="JJ13" s="1818">
        <f t="shared" si="67"/>
        <v>0</v>
      </c>
      <c r="JK13" s="1821" t="e">
        <f t="shared" si="68"/>
        <v>#DIV/0!</v>
      </c>
      <c r="JL13" s="1823"/>
      <c r="JM13" s="1824"/>
      <c r="JN13" s="1824"/>
      <c r="JO13" s="1818">
        <f t="shared" si="69"/>
        <v>0</v>
      </c>
      <c r="JP13" s="1821" t="e">
        <f t="shared" si="70"/>
        <v>#DIV/0!</v>
      </c>
      <c r="JQ13" s="5948"/>
      <c r="JR13" s="1839"/>
      <c r="JS13" s="1839"/>
      <c r="JT13" s="1839"/>
      <c r="JU13" s="1839"/>
      <c r="JV13" s="5949"/>
      <c r="JW13" s="5750"/>
      <c r="JX13" s="5750"/>
      <c r="JY13" s="5750"/>
      <c r="JZ13" s="5741"/>
      <c r="KA13" s="5750"/>
      <c r="KB13" s="5750"/>
      <c r="KC13" s="5750"/>
      <c r="KD13" s="5750"/>
      <c r="KE13" s="5741"/>
      <c r="KF13" s="5950"/>
      <c r="KG13" s="5750"/>
      <c r="KH13" s="5750"/>
      <c r="KI13" s="5750"/>
      <c r="KJ13" s="5741"/>
      <c r="KK13" s="5951"/>
      <c r="KL13" s="1839"/>
      <c r="KM13" s="1839"/>
      <c r="KN13" s="1839"/>
      <c r="KO13" s="1660"/>
      <c r="KP13" s="1659"/>
      <c r="KQ13" s="1839"/>
      <c r="KR13" s="1839"/>
      <c r="KS13" s="1839"/>
      <c r="KT13" s="1839"/>
      <c r="KU13" s="5758"/>
      <c r="KV13" s="5750"/>
      <c r="KW13" s="5750"/>
      <c r="KX13" s="5750"/>
      <c r="KY13" s="5741"/>
      <c r="KZ13" s="5739">
        <f t="shared" si="10"/>
        <v>0</v>
      </c>
      <c r="LA13" s="5740">
        <f t="shared" si="11"/>
        <v>0</v>
      </c>
      <c r="LB13" s="5740">
        <f t="shared" si="11"/>
        <v>0</v>
      </c>
      <c r="LC13" s="5740">
        <f t="shared" si="11"/>
        <v>0</v>
      </c>
      <c r="LD13" s="5741"/>
      <c r="LE13" s="1912">
        <f t="shared" si="71"/>
        <v>0</v>
      </c>
      <c r="LF13" s="1908">
        <f t="shared" si="72"/>
        <v>0</v>
      </c>
      <c r="LG13" s="1908">
        <f t="shared" si="72"/>
        <v>0</v>
      </c>
      <c r="LH13" s="1909"/>
      <c r="LI13" s="5745"/>
      <c r="LJ13" s="5743"/>
      <c r="LK13" s="5743"/>
      <c r="LL13" s="5744"/>
      <c r="LM13" s="5746"/>
      <c r="LN13" s="5743"/>
      <c r="LO13" s="5743"/>
      <c r="LP13" s="5744"/>
      <c r="LQ13" s="5745"/>
      <c r="LR13" s="1836">
        <f t="shared" si="76"/>
        <v>0</v>
      </c>
      <c r="LS13" s="1836">
        <f t="shared" si="76"/>
        <v>0</v>
      </c>
      <c r="LT13" s="5747"/>
      <c r="LV13" s="5749"/>
      <c r="LW13" s="5750"/>
      <c r="LX13" s="5750"/>
      <c r="LY13" s="5750"/>
      <c r="LZ13" s="5751"/>
      <c r="MF13" s="5752"/>
      <c r="MG13" s="5970"/>
      <c r="MH13" s="5970"/>
      <c r="MI13" s="5750"/>
      <c r="MJ13" s="5741"/>
      <c r="MK13" s="5753"/>
      <c r="MN13" s="372">
        <f t="shared" si="12"/>
        <v>0</v>
      </c>
      <c r="MP13" s="5753"/>
      <c r="MQ13" s="5750"/>
      <c r="MR13" s="5750"/>
      <c r="MS13" s="5750"/>
      <c r="MT13" s="5754"/>
      <c r="MU13" s="5755"/>
      <c r="MV13" s="5756"/>
      <c r="MW13" s="5756"/>
      <c r="MX13" s="5756"/>
      <c r="MY13" s="5757"/>
      <c r="MZ13" s="5758"/>
      <c r="NA13" s="5750"/>
      <c r="NB13" s="5750"/>
      <c r="NC13" s="5750"/>
      <c r="ND13" s="5750"/>
      <c r="NO13" s="5759"/>
      <c r="NP13" s="5760"/>
      <c r="NQ13" s="5760"/>
      <c r="NR13" s="5759"/>
      <c r="NT13" s="5750"/>
      <c r="NU13" s="5750"/>
      <c r="NV13" s="5761"/>
      <c r="NW13" s="5750"/>
      <c r="NX13" s="5741"/>
      <c r="NY13" s="5762"/>
      <c r="NZ13" s="5756"/>
      <c r="OA13" s="5756"/>
      <c r="OB13" s="5757"/>
      <c r="OC13" s="5741"/>
      <c r="OE13" s="5763"/>
      <c r="OF13" s="5763"/>
      <c r="OG13" s="5761"/>
      <c r="OH13" s="5741"/>
      <c r="OI13" s="5758"/>
      <c r="OJ13" s="5750"/>
      <c r="OK13" s="5750"/>
      <c r="OL13" s="5750"/>
      <c r="OM13" s="5754"/>
      <c r="ON13" s="5758"/>
      <c r="OO13" s="5761"/>
      <c r="OP13" s="5761"/>
      <c r="OQ13" s="5761"/>
      <c r="OR13" s="5764"/>
      <c r="OS13" s="5758"/>
      <c r="OT13" s="5750"/>
      <c r="OU13" s="5750"/>
      <c r="OV13" s="5750"/>
      <c r="OW13" s="5764"/>
      <c r="OX13" s="5758"/>
      <c r="OY13" s="5750"/>
      <c r="OZ13" s="5750"/>
      <c r="PA13" s="5750"/>
      <c r="PB13" s="5741"/>
      <c r="PD13" s="5749"/>
      <c r="PE13" s="5750"/>
      <c r="PF13" s="5750"/>
      <c r="PG13" s="5750"/>
      <c r="PH13" s="5751"/>
      <c r="PN13" s="5752"/>
      <c r="PO13" s="5970"/>
      <c r="PP13" s="5970"/>
      <c r="PQ13" s="5750"/>
      <c r="PR13" s="5741"/>
      <c r="PS13" s="5897"/>
      <c r="PT13" s="5759"/>
      <c r="PU13" s="5759"/>
      <c r="PV13" s="2892">
        <f t="shared" si="13"/>
        <v>0</v>
      </c>
      <c r="PW13" s="5759"/>
      <c r="PX13" s="5753"/>
      <c r="PY13" s="5750"/>
      <c r="PZ13" s="5750"/>
      <c r="QA13" s="5750"/>
      <c r="QB13" s="5754"/>
      <c r="QC13" s="5755"/>
      <c r="QD13" s="5756"/>
      <c r="QE13" s="5756"/>
      <c r="QF13" s="5756"/>
      <c r="QG13" s="5757"/>
      <c r="QH13" s="5898"/>
      <c r="QI13" s="5750"/>
      <c r="QJ13" s="5750"/>
      <c r="QK13" s="5750"/>
      <c r="QL13" s="5750"/>
      <c r="QM13" s="5752"/>
      <c r="QR13" s="5759"/>
      <c r="QS13" s="5759"/>
      <c r="QT13" s="5759"/>
      <c r="QU13" s="5759"/>
      <c r="QV13" s="5899"/>
      <c r="QW13" s="5759"/>
      <c r="QX13" s="5760"/>
      <c r="QY13" s="5760"/>
      <c r="QZ13" s="5759"/>
      <c r="RA13" s="5759"/>
      <c r="RB13" s="5750"/>
      <c r="RC13" s="5750"/>
      <c r="RD13" s="5761"/>
      <c r="RE13" s="5750"/>
      <c r="RF13" s="5741"/>
      <c r="RG13" s="5900"/>
      <c r="RH13" s="5756"/>
      <c r="RI13" s="5756"/>
      <c r="RJ13" s="5757"/>
      <c r="RK13" s="5741"/>
      <c r="RL13" s="5759"/>
      <c r="RM13" s="1873">
        <f t="shared" si="77"/>
        <v>0</v>
      </c>
      <c r="RN13" s="1873">
        <f t="shared" si="77"/>
        <v>0</v>
      </c>
      <c r="RO13" s="1873">
        <f t="shared" si="77"/>
        <v>0</v>
      </c>
      <c r="RP13" s="5759"/>
      <c r="RQ13" s="5758"/>
      <c r="RR13" s="5750"/>
      <c r="RS13" s="5750"/>
      <c r="RT13" s="5750"/>
      <c r="RU13" s="5754"/>
      <c r="RV13" s="5758"/>
      <c r="RW13" s="5761"/>
      <c r="RX13" s="5761"/>
      <c r="RY13" s="5761"/>
      <c r="RZ13" s="5764"/>
      <c r="SA13" s="5758"/>
      <c r="SB13" s="5750"/>
      <c r="SC13" s="5750"/>
      <c r="SD13" s="5750"/>
      <c r="SE13" s="5764"/>
      <c r="SF13" s="5758"/>
      <c r="SG13" s="5750"/>
      <c r="SH13" s="5750"/>
      <c r="SI13" s="5750"/>
      <c r="SJ13" s="5741"/>
      <c r="SL13" s="5774"/>
      <c r="SM13" s="5757"/>
      <c r="SN13" s="5757"/>
      <c r="SO13" s="5757"/>
      <c r="SP13" s="5775"/>
      <c r="SQ13" s="5759"/>
      <c r="SR13" s="5759"/>
      <c r="SS13" s="5759"/>
      <c r="ST13" s="5759"/>
      <c r="SU13" s="5759"/>
      <c r="SV13" s="5752"/>
      <c r="SW13" s="5970"/>
      <c r="SX13" s="5970"/>
      <c r="SY13" s="5750"/>
      <c r="SZ13" s="5741"/>
      <c r="TA13" s="5753"/>
      <c r="TD13" s="372">
        <f t="shared" si="14"/>
        <v>0</v>
      </c>
      <c r="TF13" s="5753"/>
      <c r="TG13" s="5750"/>
      <c r="TH13" s="5750"/>
      <c r="TI13" s="5750"/>
      <c r="TJ13" s="5754"/>
      <c r="TK13" s="5755"/>
      <c r="TL13" s="5756"/>
      <c r="TM13" s="5756"/>
      <c r="TN13" s="5756"/>
      <c r="TO13" s="5757"/>
      <c r="TP13" s="5901"/>
      <c r="TQ13" s="5750"/>
      <c r="TR13" s="5750"/>
      <c r="TS13" s="5750"/>
      <c r="TT13" s="5750"/>
      <c r="TU13" s="5902"/>
      <c r="TV13" s="5759"/>
      <c r="TW13" s="5759"/>
      <c r="TX13" s="5759"/>
      <c r="TY13" s="5759"/>
      <c r="TZ13" s="5759"/>
      <c r="UA13" s="5759"/>
      <c r="UB13" s="5759"/>
      <c r="UC13" s="5759"/>
      <c r="UD13" s="5899"/>
      <c r="UE13" s="5759"/>
      <c r="UF13" s="5760"/>
      <c r="UG13" s="5760"/>
      <c r="UH13" s="5759"/>
      <c r="UI13" s="5759"/>
      <c r="UJ13" s="5750"/>
      <c r="UK13" s="5750"/>
      <c r="UL13" s="5761"/>
      <c r="UM13" s="5750"/>
      <c r="UN13" s="5741"/>
      <c r="UO13" s="5900"/>
      <c r="UP13" s="5756"/>
      <c r="UQ13" s="5756"/>
      <c r="UR13" s="5757"/>
      <c r="US13" s="5741"/>
      <c r="UU13" s="622">
        <f t="shared" si="78"/>
        <v>0</v>
      </c>
      <c r="UV13" s="622">
        <f t="shared" si="78"/>
        <v>0</v>
      </c>
      <c r="UW13" s="622">
        <f t="shared" si="78"/>
        <v>0</v>
      </c>
      <c r="UY13" s="5758"/>
      <c r="UZ13" s="5750"/>
      <c r="VA13" s="5750"/>
      <c r="VB13" s="5750"/>
      <c r="VC13" s="5754"/>
      <c r="VD13" s="5758"/>
      <c r="VE13" s="5761"/>
      <c r="VF13" s="5761"/>
      <c r="VG13" s="5761"/>
      <c r="VH13" s="5764"/>
      <c r="VI13" s="5758"/>
      <c r="VJ13" s="5750"/>
      <c r="VK13" s="5750"/>
      <c r="VL13" s="5750"/>
      <c r="VM13" s="5764"/>
      <c r="VN13" s="5758"/>
      <c r="VO13" s="5750"/>
      <c r="VP13" s="5750"/>
      <c r="VQ13" s="5750"/>
      <c r="VR13" s="5741"/>
    </row>
    <row r="14" spans="1:590" s="5748" customFormat="1" hidden="1" x14ac:dyDescent="0.3">
      <c r="A14" s="5675"/>
      <c r="B14" s="1804" t="s">
        <v>729</v>
      </c>
      <c r="C14" s="5959" t="s">
        <v>742</v>
      </c>
      <c r="D14" s="1781" t="s">
        <v>744</v>
      </c>
      <c r="E14" s="5971"/>
      <c r="F14" s="5971"/>
      <c r="G14" s="5965"/>
      <c r="H14" s="5903"/>
      <c r="I14" s="5904">
        <v>0</v>
      </c>
      <c r="J14" s="5904">
        <v>0</v>
      </c>
      <c r="K14" s="5904">
        <f t="shared" si="0"/>
        <v>0</v>
      </c>
      <c r="L14" s="5905" t="s">
        <v>732</v>
      </c>
      <c r="M14" s="5906"/>
      <c r="N14" s="5907">
        <v>0</v>
      </c>
      <c r="O14" s="5907">
        <v>0</v>
      </c>
      <c r="P14" s="5907">
        <f t="shared" si="1"/>
        <v>0</v>
      </c>
      <c r="Q14" s="5908" t="s">
        <v>732</v>
      </c>
      <c r="R14" s="5967"/>
      <c r="S14" s="5904">
        <v>0</v>
      </c>
      <c r="T14" s="5904">
        <v>0</v>
      </c>
      <c r="U14" s="5904">
        <f t="shared" si="2"/>
        <v>0</v>
      </c>
      <c r="V14" s="5905" t="s">
        <v>732</v>
      </c>
      <c r="W14" s="5968"/>
      <c r="X14" s="5904"/>
      <c r="Y14" s="5904"/>
      <c r="Z14" s="5904">
        <f t="shared" si="3"/>
        <v>0</v>
      </c>
      <c r="AA14" s="5910">
        <v>0</v>
      </c>
      <c r="AB14" s="5969"/>
      <c r="AC14" s="5904"/>
      <c r="AD14" s="5904"/>
      <c r="AE14" s="5904">
        <f t="shared" si="4"/>
        <v>0</v>
      </c>
      <c r="AF14" s="5905"/>
      <c r="AG14" s="5969"/>
      <c r="AH14" s="5904">
        <v>0</v>
      </c>
      <c r="AI14" s="5912">
        <v>0</v>
      </c>
      <c r="AJ14" s="5912">
        <f t="shared" si="5"/>
        <v>0</v>
      </c>
      <c r="AK14" s="5905"/>
      <c r="AL14" s="5969"/>
      <c r="AM14" s="5913">
        <v>0</v>
      </c>
      <c r="AN14" s="5913">
        <v>0</v>
      </c>
      <c r="AO14" s="5913">
        <f t="shared" si="79"/>
        <v>0</v>
      </c>
      <c r="AP14" s="5905"/>
      <c r="AQ14" s="5914"/>
      <c r="AR14" s="5913"/>
      <c r="AS14" s="5913"/>
      <c r="AT14" s="5915">
        <f t="shared" si="15"/>
        <v>0</v>
      </c>
      <c r="AU14" s="5905">
        <v>0</v>
      </c>
      <c r="AV14" s="5909"/>
      <c r="AW14" s="5913"/>
      <c r="AX14" s="5913"/>
      <c r="AY14" s="5913">
        <f t="shared" si="16"/>
        <v>0</v>
      </c>
      <c r="AZ14" s="5905" t="e">
        <f>AY14/AX14</f>
        <v>#DIV/0!</v>
      </c>
      <c r="BA14" s="5969"/>
      <c r="BB14" s="5904"/>
      <c r="BC14" s="5913"/>
      <c r="BD14" s="5913">
        <f t="shared" si="17"/>
        <v>0</v>
      </c>
      <c r="BE14" s="5908" t="e">
        <f t="shared" si="18"/>
        <v>#DIV/0!</v>
      </c>
      <c r="BF14" s="5969"/>
      <c r="BG14" s="5913"/>
      <c r="BH14" s="5913"/>
      <c r="BI14" s="5913">
        <f t="shared" si="19"/>
        <v>0</v>
      </c>
      <c r="BJ14" s="5908"/>
      <c r="BK14" s="5969"/>
      <c r="BL14" s="5913"/>
      <c r="BM14" s="5913"/>
      <c r="BN14" s="5913">
        <f t="shared" si="20"/>
        <v>0</v>
      </c>
      <c r="BO14" s="5917"/>
      <c r="BP14" s="1937">
        <f t="shared" si="21"/>
        <v>0</v>
      </c>
      <c r="BQ14" s="5918">
        <f t="shared" si="22"/>
        <v>0</v>
      </c>
      <c r="BR14" s="5912">
        <f t="shared" si="22"/>
        <v>0</v>
      </c>
      <c r="BS14" s="5919">
        <f t="shared" si="7"/>
        <v>0</v>
      </c>
      <c r="BT14" s="5920">
        <f t="shared" si="23"/>
        <v>0</v>
      </c>
      <c r="BU14" s="5912">
        <f t="shared" si="24"/>
        <v>0</v>
      </c>
      <c r="BV14" s="5912">
        <f t="shared" si="24"/>
        <v>0</v>
      </c>
      <c r="BW14" s="5921"/>
      <c r="BX14" s="5922">
        <f t="shared" si="25"/>
        <v>0</v>
      </c>
      <c r="BY14" s="5912">
        <f t="shared" si="26"/>
        <v>0</v>
      </c>
      <c r="BZ14" s="5912">
        <f t="shared" si="26"/>
        <v>0</v>
      </c>
      <c r="CA14" s="5923"/>
      <c r="CB14" s="5924">
        <f t="shared" si="27"/>
        <v>0</v>
      </c>
      <c r="CC14" s="5912">
        <f t="shared" si="75"/>
        <v>0</v>
      </c>
      <c r="CD14" s="5912">
        <f t="shared" si="75"/>
        <v>0</v>
      </c>
      <c r="CE14" s="5925"/>
      <c r="CF14" s="5922">
        <f t="shared" si="28"/>
        <v>0</v>
      </c>
      <c r="CG14" s="5904">
        <f t="shared" si="29"/>
        <v>0</v>
      </c>
      <c r="CH14" s="5904">
        <f t="shared" si="29"/>
        <v>0</v>
      </c>
      <c r="CI14" s="5923"/>
      <c r="CJ14" s="5926"/>
      <c r="CK14" s="5904"/>
      <c r="CL14" s="5904"/>
      <c r="CM14" s="5904">
        <f t="shared" si="80"/>
        <v>0</v>
      </c>
      <c r="CN14" s="5921"/>
      <c r="CO14" s="5926"/>
      <c r="CP14" s="5904"/>
      <c r="CQ14" s="5904"/>
      <c r="CR14" s="5928"/>
      <c r="CS14" s="5923"/>
      <c r="CT14" s="5926"/>
      <c r="CU14" s="5904"/>
      <c r="CV14" s="5904"/>
      <c r="CW14" s="5928"/>
      <c r="CX14" s="5923"/>
      <c r="CY14" s="5926"/>
      <c r="CZ14" s="5904"/>
      <c r="DA14" s="5904"/>
      <c r="DB14" s="5928"/>
      <c r="DC14" s="5923"/>
      <c r="DD14" s="5929"/>
      <c r="DE14" s="5928"/>
      <c r="DF14" s="5928"/>
      <c r="DG14" s="5904">
        <f t="shared" si="30"/>
        <v>0</v>
      </c>
      <c r="DH14" s="5930"/>
      <c r="DI14" s="5926"/>
      <c r="DJ14" s="5928"/>
      <c r="DK14" s="5928"/>
      <c r="DL14" s="5904"/>
      <c r="DM14" s="5930"/>
      <c r="DN14" s="5926"/>
      <c r="DO14" s="5904"/>
      <c r="DP14" s="5904"/>
      <c r="DQ14" s="5904"/>
      <c r="DR14" s="5930"/>
      <c r="DS14" s="5926"/>
      <c r="DT14" s="5904"/>
      <c r="DU14" s="5904"/>
      <c r="DV14" s="5904"/>
      <c r="DW14" s="5923"/>
      <c r="DX14" s="5926"/>
      <c r="DY14" s="5904"/>
      <c r="DZ14" s="5904"/>
      <c r="EA14" s="5904">
        <f t="shared" si="31"/>
        <v>0</v>
      </c>
      <c r="EB14" s="5931" t="e">
        <f t="shared" si="32"/>
        <v>#DIV/0!</v>
      </c>
      <c r="EC14" s="5926"/>
      <c r="ED14" s="5904"/>
      <c r="EE14" s="5904"/>
      <c r="EF14" s="5912">
        <f t="shared" si="33"/>
        <v>0</v>
      </c>
      <c r="EG14" s="5930"/>
      <c r="EH14" s="5926"/>
      <c r="EI14" s="5904"/>
      <c r="EJ14" s="5904"/>
      <c r="EK14" s="5904">
        <f t="shared" si="34"/>
        <v>0</v>
      </c>
      <c r="EL14" s="5931" t="e">
        <f t="shared" si="35"/>
        <v>#DIV/0!</v>
      </c>
      <c r="EM14" s="1804"/>
      <c r="EN14" s="1776"/>
      <c r="EO14" s="1776"/>
      <c r="EP14" s="1776">
        <f t="shared" si="36"/>
        <v>0</v>
      </c>
      <c r="EQ14" s="1807" t="e">
        <f t="shared" si="37"/>
        <v>#DIV/0!</v>
      </c>
      <c r="ER14" s="2402">
        <f t="shared" si="38"/>
        <v>0</v>
      </c>
      <c r="ES14" s="2403">
        <f t="shared" si="39"/>
        <v>0</v>
      </c>
      <c r="ET14" s="2403">
        <f t="shared" si="39"/>
        <v>0</v>
      </c>
      <c r="EU14" s="2403">
        <f t="shared" si="39"/>
        <v>0</v>
      </c>
      <c r="EV14" s="2404" t="e">
        <f t="shared" si="40"/>
        <v>#DIV/0!</v>
      </c>
      <c r="EW14" s="5932">
        <f t="shared" si="73"/>
        <v>0</v>
      </c>
      <c r="EX14" s="5904"/>
      <c r="EY14" s="5904"/>
      <c r="EZ14" s="5933" t="e">
        <f t="shared" si="41"/>
        <v>#DIV/0!</v>
      </c>
      <c r="FA14" s="5929">
        <f t="shared" si="74"/>
        <v>0</v>
      </c>
      <c r="FB14" s="5912">
        <f t="shared" si="42"/>
        <v>0</v>
      </c>
      <c r="FC14" s="5912">
        <f t="shared" si="42"/>
        <v>0</v>
      </c>
      <c r="FD14" s="5921" t="e">
        <f t="shared" si="43"/>
        <v>#DIV/0!</v>
      </c>
      <c r="FE14" s="5934"/>
      <c r="FF14" s="5928"/>
      <c r="FG14" s="5928"/>
      <c r="FH14" s="5933" t="e">
        <f t="shared" si="44"/>
        <v>#DIV/0!</v>
      </c>
      <c r="FI14" s="1816">
        <f t="shared" si="45"/>
        <v>0</v>
      </c>
      <c r="FJ14" s="1814"/>
      <c r="FK14" s="1786">
        <f t="shared" si="46"/>
        <v>0</v>
      </c>
      <c r="FL14" s="1786">
        <f t="shared" si="46"/>
        <v>0</v>
      </c>
      <c r="FM14" s="5921" t="e">
        <f t="shared" si="47"/>
        <v>#DIV/0!</v>
      </c>
      <c r="FN14" s="5935"/>
      <c r="FO14" s="5936"/>
      <c r="FP14" s="5936"/>
      <c r="FQ14" s="1818">
        <f t="shared" si="48"/>
        <v>0</v>
      </c>
      <c r="FR14" s="1819" t="e">
        <f t="shared" si="49"/>
        <v>#DIV/0!</v>
      </c>
      <c r="FS14" s="5937"/>
      <c r="FT14" s="5936"/>
      <c r="FU14" s="5936"/>
      <c r="FV14" s="1818">
        <f t="shared" si="50"/>
        <v>0</v>
      </c>
      <c r="FW14" s="1821" t="e">
        <f t="shared" si="51"/>
        <v>#DIV/0!</v>
      </c>
      <c r="FX14" s="5937"/>
      <c r="FY14" s="5938"/>
      <c r="FZ14" s="5938"/>
      <c r="GA14" s="1818">
        <f t="shared" si="52"/>
        <v>0</v>
      </c>
      <c r="GB14" s="1821" t="e">
        <f t="shared" si="53"/>
        <v>#DIV/0!</v>
      </c>
      <c r="GC14" s="5939"/>
      <c r="GD14" s="5940"/>
      <c r="GE14" s="5940"/>
      <c r="GF14" s="1818">
        <f t="shared" si="54"/>
        <v>0</v>
      </c>
      <c r="GG14" s="1821" t="e">
        <f t="shared" si="55"/>
        <v>#DIV/0!</v>
      </c>
      <c r="GH14" s="1823"/>
      <c r="GI14" s="1824"/>
      <c r="GJ14" s="1824"/>
      <c r="GK14" s="1818">
        <f t="shared" si="56"/>
        <v>0</v>
      </c>
      <c r="GL14" s="1821" t="e">
        <f t="shared" si="57"/>
        <v>#DIV/0!</v>
      </c>
      <c r="GM14" s="1839"/>
      <c r="GN14" s="1839"/>
      <c r="GO14" s="1839"/>
      <c r="GP14" s="1839"/>
      <c r="GQ14" s="1839"/>
      <c r="GR14" s="5750"/>
      <c r="GS14" s="5750"/>
      <c r="GT14" s="5750"/>
      <c r="GU14" s="5750"/>
      <c r="GV14" s="5741"/>
      <c r="GW14" s="5750"/>
      <c r="GX14" s="5750"/>
      <c r="GY14" s="5750"/>
      <c r="GZ14" s="5750"/>
      <c r="HA14" s="5741"/>
      <c r="HB14" s="5750"/>
      <c r="HC14" s="5750"/>
      <c r="HD14" s="5750"/>
      <c r="HE14" s="5750"/>
      <c r="HF14" s="5741"/>
      <c r="HG14" s="1839"/>
      <c r="HH14" s="1839"/>
      <c r="HI14" s="1839"/>
      <c r="HJ14" s="1839"/>
      <c r="HK14" s="1660"/>
      <c r="HL14" s="1839"/>
      <c r="HM14" s="1839"/>
      <c r="HN14" s="1839"/>
      <c r="HO14" s="1839"/>
      <c r="HP14" s="1660"/>
      <c r="HQ14" s="5750"/>
      <c r="HR14" s="5750"/>
      <c r="HS14" s="5750"/>
      <c r="HT14" s="5750"/>
      <c r="HU14" s="5750"/>
      <c r="HV14" s="5941">
        <f t="shared" si="8"/>
        <v>0</v>
      </c>
      <c r="HW14" s="622">
        <f t="shared" si="9"/>
        <v>0</v>
      </c>
      <c r="HX14" s="622">
        <f t="shared" si="9"/>
        <v>0</v>
      </c>
      <c r="HY14" s="622">
        <f t="shared" si="9"/>
        <v>0</v>
      </c>
      <c r="HZ14" s="5942"/>
      <c r="IA14" s="1907">
        <f t="shared" si="58"/>
        <v>0</v>
      </c>
      <c r="IB14" s="1908">
        <f t="shared" si="59"/>
        <v>0</v>
      </c>
      <c r="IC14" s="1908">
        <f t="shared" si="59"/>
        <v>0</v>
      </c>
      <c r="ID14" s="1909" t="e">
        <f t="shared" si="60"/>
        <v>#DIV/0!</v>
      </c>
      <c r="IE14" s="5943"/>
      <c r="IF14" s="5743"/>
      <c r="IG14" s="5743"/>
      <c r="IH14" s="5744"/>
      <c r="II14" s="5944"/>
      <c r="IJ14" s="5743"/>
      <c r="IK14" s="5743"/>
      <c r="IL14" s="5744"/>
      <c r="IM14" s="5745"/>
      <c r="IN14" s="5743"/>
      <c r="IO14" s="5743"/>
      <c r="IP14" s="5747"/>
      <c r="IQ14" s="5750"/>
      <c r="IR14" s="5945"/>
      <c r="IS14" s="5936"/>
      <c r="IT14" s="5936"/>
      <c r="IU14" s="1818">
        <f t="shared" si="61"/>
        <v>0</v>
      </c>
      <c r="IV14" s="1819" t="e">
        <f t="shared" si="62"/>
        <v>#DIV/0!</v>
      </c>
      <c r="IW14" s="5937"/>
      <c r="IX14" s="5936"/>
      <c r="IY14" s="5936"/>
      <c r="IZ14" s="1818">
        <f t="shared" si="63"/>
        <v>0</v>
      </c>
      <c r="JA14" s="1821" t="e">
        <f t="shared" si="64"/>
        <v>#DIV/0!</v>
      </c>
      <c r="JB14" s="5946"/>
      <c r="JC14" s="5938"/>
      <c r="JD14" s="5938"/>
      <c r="JE14" s="1818">
        <f t="shared" si="65"/>
        <v>0</v>
      </c>
      <c r="JF14" s="1821" t="e">
        <f t="shared" si="66"/>
        <v>#DIV/0!</v>
      </c>
      <c r="JG14" s="5947"/>
      <c r="JH14" s="5940"/>
      <c r="JI14" s="5940"/>
      <c r="JJ14" s="1818">
        <f t="shared" si="67"/>
        <v>0</v>
      </c>
      <c r="JK14" s="1821" t="e">
        <f t="shared" si="68"/>
        <v>#DIV/0!</v>
      </c>
      <c r="JL14" s="1823"/>
      <c r="JM14" s="1824"/>
      <c r="JN14" s="1824"/>
      <c r="JO14" s="1818">
        <f t="shared" si="69"/>
        <v>0</v>
      </c>
      <c r="JP14" s="1821" t="e">
        <f t="shared" si="70"/>
        <v>#DIV/0!</v>
      </c>
      <c r="JQ14" s="5948"/>
      <c r="JR14" s="1839"/>
      <c r="JS14" s="1839"/>
      <c r="JT14" s="1839"/>
      <c r="JU14" s="1839"/>
      <c r="JV14" s="5949"/>
      <c r="JW14" s="5750"/>
      <c r="JX14" s="5750"/>
      <c r="JY14" s="5750"/>
      <c r="JZ14" s="5741"/>
      <c r="KA14" s="5750"/>
      <c r="KB14" s="5750"/>
      <c r="KC14" s="5750"/>
      <c r="KD14" s="5750"/>
      <c r="KE14" s="5741"/>
      <c r="KF14" s="5950"/>
      <c r="KG14" s="5750"/>
      <c r="KH14" s="5750"/>
      <c r="KI14" s="5750"/>
      <c r="KJ14" s="5741"/>
      <c r="KK14" s="5951"/>
      <c r="KL14" s="1839"/>
      <c r="KM14" s="1839"/>
      <c r="KN14" s="1839"/>
      <c r="KO14" s="1660"/>
      <c r="KP14" s="1659"/>
      <c r="KQ14" s="1839"/>
      <c r="KR14" s="1839"/>
      <c r="KS14" s="1839"/>
      <c r="KT14" s="1839"/>
      <c r="KU14" s="5758"/>
      <c r="KV14" s="5750"/>
      <c r="KW14" s="5750"/>
      <c r="KX14" s="5750"/>
      <c r="KY14" s="5741"/>
      <c r="KZ14" s="5739">
        <f t="shared" si="10"/>
        <v>0</v>
      </c>
      <c r="LA14" s="5740">
        <f t="shared" si="11"/>
        <v>0</v>
      </c>
      <c r="LB14" s="5740">
        <f t="shared" si="11"/>
        <v>0</v>
      </c>
      <c r="LC14" s="5740">
        <f t="shared" si="11"/>
        <v>0</v>
      </c>
      <c r="LD14" s="5741"/>
      <c r="LE14" s="1912">
        <f t="shared" si="71"/>
        <v>0</v>
      </c>
      <c r="LF14" s="1908">
        <f t="shared" si="72"/>
        <v>0</v>
      </c>
      <c r="LG14" s="1908">
        <f t="shared" si="72"/>
        <v>0</v>
      </c>
      <c r="LH14" s="1909"/>
      <c r="LI14" s="5745"/>
      <c r="LJ14" s="5743"/>
      <c r="LK14" s="5743"/>
      <c r="LL14" s="5744"/>
      <c r="LM14" s="5746"/>
      <c r="LN14" s="5743"/>
      <c r="LO14" s="5743"/>
      <c r="LP14" s="5744"/>
      <c r="LQ14" s="5745"/>
      <c r="LR14" s="1836">
        <f t="shared" si="76"/>
        <v>0</v>
      </c>
      <c r="LS14" s="1836">
        <f t="shared" si="76"/>
        <v>0</v>
      </c>
      <c r="LT14" s="5747"/>
      <c r="LV14" s="5749"/>
      <c r="LW14" s="5750"/>
      <c r="LX14" s="5750"/>
      <c r="LY14" s="5750"/>
      <c r="LZ14" s="5751"/>
      <c r="MF14" s="5752"/>
      <c r="MG14" s="5970"/>
      <c r="MH14" s="5970"/>
      <c r="MI14" s="5750"/>
      <c r="MJ14" s="5741"/>
      <c r="MK14" s="5753"/>
      <c r="MN14" s="372">
        <f t="shared" si="12"/>
        <v>0</v>
      </c>
      <c r="MP14" s="5753"/>
      <c r="MQ14" s="5750"/>
      <c r="MR14" s="5750"/>
      <c r="MS14" s="5750"/>
      <c r="MT14" s="5754"/>
      <c r="MU14" s="5755"/>
      <c r="MV14" s="5756"/>
      <c r="MW14" s="5756"/>
      <c r="MX14" s="5756"/>
      <c r="MY14" s="5757"/>
      <c r="MZ14" s="5758"/>
      <c r="NA14" s="5750"/>
      <c r="NB14" s="5750"/>
      <c r="NC14" s="5750"/>
      <c r="ND14" s="5750"/>
      <c r="NO14" s="5759"/>
      <c r="NP14" s="5760"/>
      <c r="NQ14" s="5760"/>
      <c r="NR14" s="5759"/>
      <c r="NT14" s="5750"/>
      <c r="NU14" s="5750"/>
      <c r="NV14" s="5761"/>
      <c r="NW14" s="5750"/>
      <c r="NX14" s="5741"/>
      <c r="NY14" s="5762"/>
      <c r="NZ14" s="5756"/>
      <c r="OA14" s="5756"/>
      <c r="OB14" s="5757"/>
      <c r="OC14" s="5741"/>
      <c r="OE14" s="5763"/>
      <c r="OF14" s="5763"/>
      <c r="OG14" s="5761"/>
      <c r="OH14" s="5741"/>
      <c r="OI14" s="5758"/>
      <c r="OJ14" s="5750"/>
      <c r="OK14" s="5750"/>
      <c r="OL14" s="5750"/>
      <c r="OM14" s="5754"/>
      <c r="ON14" s="5758"/>
      <c r="OO14" s="5761"/>
      <c r="OP14" s="5761"/>
      <c r="OQ14" s="5761"/>
      <c r="OR14" s="5764"/>
      <c r="OS14" s="5758"/>
      <c r="OT14" s="5750"/>
      <c r="OU14" s="5750"/>
      <c r="OV14" s="5750"/>
      <c r="OW14" s="5764"/>
      <c r="OX14" s="5758"/>
      <c r="OY14" s="5750"/>
      <c r="OZ14" s="5750"/>
      <c r="PA14" s="5750"/>
      <c r="PB14" s="5741"/>
      <c r="PD14" s="5749"/>
      <c r="PE14" s="5750"/>
      <c r="PF14" s="5750"/>
      <c r="PG14" s="5750"/>
      <c r="PH14" s="5751"/>
      <c r="PN14" s="5752"/>
      <c r="PO14" s="5970"/>
      <c r="PP14" s="5970"/>
      <c r="PQ14" s="5750"/>
      <c r="PR14" s="5741"/>
      <c r="PS14" s="5897"/>
      <c r="PT14" s="5759"/>
      <c r="PU14" s="5759"/>
      <c r="PV14" s="2892">
        <f t="shared" si="13"/>
        <v>0</v>
      </c>
      <c r="PW14" s="5759"/>
      <c r="PX14" s="5753"/>
      <c r="PY14" s="5750"/>
      <c r="PZ14" s="5750"/>
      <c r="QA14" s="5750"/>
      <c r="QB14" s="5754"/>
      <c r="QC14" s="5755"/>
      <c r="QD14" s="5756"/>
      <c r="QE14" s="5756"/>
      <c r="QF14" s="5756"/>
      <c r="QG14" s="5757"/>
      <c r="QH14" s="5898"/>
      <c r="QI14" s="5750"/>
      <c r="QJ14" s="5750"/>
      <c r="QK14" s="5750"/>
      <c r="QL14" s="5750"/>
      <c r="QM14" s="5752"/>
      <c r="QR14" s="5759"/>
      <c r="QS14" s="5759"/>
      <c r="QT14" s="5759"/>
      <c r="QU14" s="5759"/>
      <c r="QV14" s="5899"/>
      <c r="QW14" s="5759"/>
      <c r="QX14" s="5760"/>
      <c r="QY14" s="5760"/>
      <c r="QZ14" s="5759"/>
      <c r="RA14" s="5759"/>
      <c r="RB14" s="5750"/>
      <c r="RC14" s="5750"/>
      <c r="RD14" s="5761"/>
      <c r="RE14" s="5750"/>
      <c r="RF14" s="5741"/>
      <c r="RG14" s="5900"/>
      <c r="RH14" s="5756"/>
      <c r="RI14" s="5756"/>
      <c r="RJ14" s="5757"/>
      <c r="RK14" s="5741"/>
      <c r="RL14" s="5759"/>
      <c r="RM14" s="1873">
        <f t="shared" si="77"/>
        <v>0</v>
      </c>
      <c r="RN14" s="1873">
        <f t="shared" si="77"/>
        <v>0</v>
      </c>
      <c r="RO14" s="1873">
        <f t="shared" si="77"/>
        <v>0</v>
      </c>
      <c r="RP14" s="5759"/>
      <c r="RQ14" s="5758"/>
      <c r="RR14" s="5750"/>
      <c r="RS14" s="5750"/>
      <c r="RT14" s="5750"/>
      <c r="RU14" s="5754"/>
      <c r="RV14" s="5758"/>
      <c r="RW14" s="5761"/>
      <c r="RX14" s="5761"/>
      <c r="RY14" s="5761"/>
      <c r="RZ14" s="5764"/>
      <c r="SA14" s="5758"/>
      <c r="SB14" s="5750"/>
      <c r="SC14" s="5750"/>
      <c r="SD14" s="5750"/>
      <c r="SE14" s="5764"/>
      <c r="SF14" s="5758"/>
      <c r="SG14" s="5750"/>
      <c r="SH14" s="5750"/>
      <c r="SI14" s="5750"/>
      <c r="SJ14" s="5741"/>
      <c r="SL14" s="5774"/>
      <c r="SM14" s="5757"/>
      <c r="SN14" s="5757"/>
      <c r="SO14" s="5757"/>
      <c r="SP14" s="5775"/>
      <c r="SQ14" s="5759"/>
      <c r="SR14" s="5759"/>
      <c r="SS14" s="5759"/>
      <c r="ST14" s="5759"/>
      <c r="SU14" s="5759"/>
      <c r="SV14" s="5752"/>
      <c r="SW14" s="5970"/>
      <c r="SX14" s="5970"/>
      <c r="SY14" s="5750"/>
      <c r="SZ14" s="5741"/>
      <c r="TA14" s="5753"/>
      <c r="TD14" s="372">
        <f t="shared" si="14"/>
        <v>0</v>
      </c>
      <c r="TF14" s="5753"/>
      <c r="TG14" s="5750"/>
      <c r="TH14" s="5750"/>
      <c r="TI14" s="5750"/>
      <c r="TJ14" s="5754"/>
      <c r="TK14" s="5755"/>
      <c r="TL14" s="5756"/>
      <c r="TM14" s="5756"/>
      <c r="TN14" s="5756"/>
      <c r="TO14" s="5757"/>
      <c r="TP14" s="5901"/>
      <c r="TQ14" s="5750"/>
      <c r="TR14" s="5750"/>
      <c r="TS14" s="5750"/>
      <c r="TT14" s="5750"/>
      <c r="TU14" s="5902"/>
      <c r="TV14" s="5759"/>
      <c r="TW14" s="5759"/>
      <c r="TX14" s="5759"/>
      <c r="TY14" s="5759"/>
      <c r="TZ14" s="5759"/>
      <c r="UA14" s="5759"/>
      <c r="UB14" s="5759"/>
      <c r="UC14" s="5759"/>
      <c r="UD14" s="5899"/>
      <c r="UE14" s="5759"/>
      <c r="UF14" s="5760"/>
      <c r="UG14" s="5760"/>
      <c r="UH14" s="5759"/>
      <c r="UI14" s="5759"/>
      <c r="UJ14" s="5750"/>
      <c r="UK14" s="5750"/>
      <c r="UL14" s="5761"/>
      <c r="UM14" s="5750"/>
      <c r="UN14" s="5741"/>
      <c r="UO14" s="5900"/>
      <c r="UP14" s="5756"/>
      <c r="UQ14" s="5756"/>
      <c r="UR14" s="5757"/>
      <c r="US14" s="5741"/>
      <c r="UU14" s="622">
        <f t="shared" si="78"/>
        <v>0</v>
      </c>
      <c r="UV14" s="622">
        <f t="shared" si="78"/>
        <v>0</v>
      </c>
      <c r="UW14" s="622">
        <f t="shared" si="78"/>
        <v>0</v>
      </c>
      <c r="UY14" s="5758"/>
      <c r="UZ14" s="5750"/>
      <c r="VA14" s="5750"/>
      <c r="VB14" s="5750"/>
      <c r="VC14" s="5754"/>
      <c r="VD14" s="5758"/>
      <c r="VE14" s="5761"/>
      <c r="VF14" s="5761"/>
      <c r="VG14" s="5761"/>
      <c r="VH14" s="5764"/>
      <c r="VI14" s="5758"/>
      <c r="VJ14" s="5750"/>
      <c r="VK14" s="5750"/>
      <c r="VL14" s="5750"/>
      <c r="VM14" s="5764"/>
      <c r="VN14" s="5758"/>
      <c r="VO14" s="5750"/>
      <c r="VP14" s="5750"/>
      <c r="VQ14" s="5750"/>
      <c r="VR14" s="5741"/>
    </row>
    <row r="15" spans="1:590" s="5748" customFormat="1" hidden="1" x14ac:dyDescent="0.3">
      <c r="A15" s="5675"/>
      <c r="B15" s="1804" t="s">
        <v>729</v>
      </c>
      <c r="C15" s="5959" t="s">
        <v>742</v>
      </c>
      <c r="D15" s="1781" t="s">
        <v>745</v>
      </c>
      <c r="E15" s="5971"/>
      <c r="F15" s="5971"/>
      <c r="G15" s="5965"/>
      <c r="H15" s="5903"/>
      <c r="I15" s="5904">
        <v>0</v>
      </c>
      <c r="J15" s="5904">
        <v>0</v>
      </c>
      <c r="K15" s="5904">
        <f t="shared" si="0"/>
        <v>0</v>
      </c>
      <c r="L15" s="5905" t="s">
        <v>732</v>
      </c>
      <c r="M15" s="5906"/>
      <c r="N15" s="5907">
        <v>0</v>
      </c>
      <c r="O15" s="5907">
        <v>0</v>
      </c>
      <c r="P15" s="5907">
        <f t="shared" si="1"/>
        <v>0</v>
      </c>
      <c r="Q15" s="5908" t="s">
        <v>732</v>
      </c>
      <c r="R15" s="5967"/>
      <c r="S15" s="5904">
        <v>0</v>
      </c>
      <c r="T15" s="5904">
        <v>0</v>
      </c>
      <c r="U15" s="5904">
        <f t="shared" si="2"/>
        <v>0</v>
      </c>
      <c r="V15" s="5905" t="s">
        <v>732</v>
      </c>
      <c r="W15" s="5968"/>
      <c r="X15" s="5904"/>
      <c r="Y15" s="5904"/>
      <c r="Z15" s="5904">
        <f t="shared" si="3"/>
        <v>0</v>
      </c>
      <c r="AA15" s="5910">
        <v>0</v>
      </c>
      <c r="AB15" s="5969"/>
      <c r="AC15" s="5972"/>
      <c r="AD15" s="5913"/>
      <c r="AE15" s="5904">
        <f t="shared" si="4"/>
        <v>0</v>
      </c>
      <c r="AF15" s="5905"/>
      <c r="AG15" s="5969"/>
      <c r="AH15" s="5904">
        <v>0</v>
      </c>
      <c r="AI15" s="5912">
        <v>0</v>
      </c>
      <c r="AJ15" s="5912">
        <f t="shared" si="5"/>
        <v>0</v>
      </c>
      <c r="AK15" s="5905"/>
      <c r="AL15" s="5969"/>
      <c r="AM15" s="5913">
        <v>0</v>
      </c>
      <c r="AN15" s="5913">
        <v>0</v>
      </c>
      <c r="AO15" s="5913">
        <f t="shared" si="79"/>
        <v>0</v>
      </c>
      <c r="AP15" s="5905"/>
      <c r="AQ15" s="5914"/>
      <c r="AR15" s="5913"/>
      <c r="AS15" s="5913"/>
      <c r="AT15" s="5915">
        <f t="shared" si="15"/>
        <v>0</v>
      </c>
      <c r="AU15" s="5905"/>
      <c r="AV15" s="5909"/>
      <c r="AW15" s="5913"/>
      <c r="AX15" s="5913"/>
      <c r="AY15" s="5913">
        <f t="shared" si="16"/>
        <v>0</v>
      </c>
      <c r="AZ15" s="5905"/>
      <c r="BA15" s="5916"/>
      <c r="BB15" s="5913"/>
      <c r="BC15" s="5913"/>
      <c r="BD15" s="5913">
        <f t="shared" si="17"/>
        <v>0</v>
      </c>
      <c r="BE15" s="5908" t="s">
        <v>732</v>
      </c>
      <c r="BF15" s="5909"/>
      <c r="BG15" s="5913"/>
      <c r="BH15" s="5913"/>
      <c r="BI15" s="5913">
        <f t="shared" si="19"/>
        <v>0</v>
      </c>
      <c r="BJ15" s="5908" t="s">
        <v>732</v>
      </c>
      <c r="BK15" s="5909"/>
      <c r="BL15" s="5913"/>
      <c r="BM15" s="5913"/>
      <c r="BN15" s="5913">
        <f t="shared" si="20"/>
        <v>0</v>
      </c>
      <c r="BO15" s="5917" t="s">
        <v>732</v>
      </c>
      <c r="BP15" s="1937">
        <f t="shared" si="21"/>
        <v>0</v>
      </c>
      <c r="BQ15" s="5918">
        <f t="shared" si="22"/>
        <v>0</v>
      </c>
      <c r="BR15" s="5912">
        <f t="shared" si="22"/>
        <v>0</v>
      </c>
      <c r="BS15" s="5919">
        <f t="shared" si="7"/>
        <v>0</v>
      </c>
      <c r="BT15" s="5920">
        <f t="shared" si="23"/>
        <v>0</v>
      </c>
      <c r="BU15" s="5912">
        <f t="shared" si="24"/>
        <v>0</v>
      </c>
      <c r="BV15" s="5912">
        <f t="shared" si="24"/>
        <v>0</v>
      </c>
      <c r="BW15" s="5921"/>
      <c r="BX15" s="5922">
        <f t="shared" si="25"/>
        <v>0</v>
      </c>
      <c r="BY15" s="5912">
        <f t="shared" si="26"/>
        <v>0</v>
      </c>
      <c r="BZ15" s="5912">
        <f t="shared" si="26"/>
        <v>0</v>
      </c>
      <c r="CA15" s="5923"/>
      <c r="CB15" s="5924">
        <f t="shared" si="27"/>
        <v>0</v>
      </c>
      <c r="CC15" s="5912">
        <f t="shared" si="75"/>
        <v>0</v>
      </c>
      <c r="CD15" s="5912">
        <f t="shared" si="75"/>
        <v>0</v>
      </c>
      <c r="CE15" s="5925"/>
      <c r="CF15" s="5922">
        <f t="shared" si="28"/>
        <v>0</v>
      </c>
      <c r="CG15" s="5904">
        <f t="shared" si="29"/>
        <v>0</v>
      </c>
      <c r="CH15" s="5904">
        <f t="shared" si="29"/>
        <v>0</v>
      </c>
      <c r="CI15" s="5923"/>
      <c r="CJ15" s="5926"/>
      <c r="CK15" s="5904"/>
      <c r="CL15" s="5904"/>
      <c r="CM15" s="5904">
        <f t="shared" si="80"/>
        <v>0</v>
      </c>
      <c r="CN15" s="5921"/>
      <c r="CO15" s="5926"/>
      <c r="CP15" s="5904"/>
      <c r="CQ15" s="5904"/>
      <c r="CR15" s="5928"/>
      <c r="CS15" s="5923"/>
      <c r="CT15" s="5926"/>
      <c r="CU15" s="5904"/>
      <c r="CV15" s="5904"/>
      <c r="CW15" s="5928"/>
      <c r="CX15" s="5923"/>
      <c r="CY15" s="5926"/>
      <c r="CZ15" s="5904"/>
      <c r="DA15" s="5904"/>
      <c r="DB15" s="5928"/>
      <c r="DC15" s="5923"/>
      <c r="DD15" s="5929"/>
      <c r="DE15" s="5928"/>
      <c r="DF15" s="5928"/>
      <c r="DG15" s="5904">
        <f t="shared" si="30"/>
        <v>0</v>
      </c>
      <c r="DH15" s="5930"/>
      <c r="DI15" s="5926"/>
      <c r="DJ15" s="5928"/>
      <c r="DK15" s="5928"/>
      <c r="DL15" s="5904"/>
      <c r="DM15" s="5930"/>
      <c r="DN15" s="5926"/>
      <c r="DO15" s="5904"/>
      <c r="DP15" s="5904"/>
      <c r="DQ15" s="5904"/>
      <c r="DR15" s="5930"/>
      <c r="DS15" s="5926"/>
      <c r="DT15" s="5904"/>
      <c r="DU15" s="5904"/>
      <c r="DV15" s="5904"/>
      <c r="DW15" s="5923"/>
      <c r="DX15" s="5926"/>
      <c r="DY15" s="5904"/>
      <c r="DZ15" s="5904"/>
      <c r="EA15" s="5904">
        <f t="shared" si="31"/>
        <v>0</v>
      </c>
      <c r="EB15" s="5931" t="e">
        <f t="shared" si="32"/>
        <v>#DIV/0!</v>
      </c>
      <c r="EC15" s="5926"/>
      <c r="ED15" s="5904"/>
      <c r="EE15" s="5904"/>
      <c r="EF15" s="5912">
        <f t="shared" si="33"/>
        <v>0</v>
      </c>
      <c r="EG15" s="5930"/>
      <c r="EH15" s="5926"/>
      <c r="EI15" s="5904"/>
      <c r="EJ15" s="5904"/>
      <c r="EK15" s="5904">
        <f t="shared" si="34"/>
        <v>0</v>
      </c>
      <c r="EL15" s="5931" t="e">
        <f t="shared" si="35"/>
        <v>#DIV/0!</v>
      </c>
      <c r="EM15" s="1804"/>
      <c r="EN15" s="1776"/>
      <c r="EO15" s="1776"/>
      <c r="EP15" s="1776">
        <f t="shared" si="36"/>
        <v>0</v>
      </c>
      <c r="EQ15" s="1807" t="e">
        <f t="shared" si="37"/>
        <v>#DIV/0!</v>
      </c>
      <c r="ER15" s="2402">
        <f t="shared" si="38"/>
        <v>0</v>
      </c>
      <c r="ES15" s="2403">
        <f t="shared" si="39"/>
        <v>0</v>
      </c>
      <c r="ET15" s="2403">
        <f t="shared" si="39"/>
        <v>0</v>
      </c>
      <c r="EU15" s="2403">
        <f t="shared" si="39"/>
        <v>0</v>
      </c>
      <c r="EV15" s="2404" t="e">
        <f t="shared" si="40"/>
        <v>#DIV/0!</v>
      </c>
      <c r="EW15" s="5932">
        <f t="shared" si="73"/>
        <v>0</v>
      </c>
      <c r="EX15" s="5904"/>
      <c r="EY15" s="5904"/>
      <c r="EZ15" s="5933" t="e">
        <f t="shared" si="41"/>
        <v>#DIV/0!</v>
      </c>
      <c r="FA15" s="5929">
        <f t="shared" si="74"/>
        <v>0</v>
      </c>
      <c r="FB15" s="5912">
        <f t="shared" si="42"/>
        <v>0</v>
      </c>
      <c r="FC15" s="5912">
        <f t="shared" si="42"/>
        <v>0</v>
      </c>
      <c r="FD15" s="5921" t="e">
        <f t="shared" si="43"/>
        <v>#DIV/0!</v>
      </c>
      <c r="FE15" s="5934"/>
      <c r="FF15" s="5928"/>
      <c r="FG15" s="5928"/>
      <c r="FH15" s="5933" t="e">
        <f t="shared" si="44"/>
        <v>#DIV/0!</v>
      </c>
      <c r="FI15" s="1816">
        <f t="shared" si="45"/>
        <v>0</v>
      </c>
      <c r="FJ15" s="1814"/>
      <c r="FK15" s="1786">
        <f t="shared" si="46"/>
        <v>0</v>
      </c>
      <c r="FL15" s="1786">
        <f t="shared" si="46"/>
        <v>0</v>
      </c>
      <c r="FM15" s="5921" t="e">
        <f t="shared" si="47"/>
        <v>#DIV/0!</v>
      </c>
      <c r="FN15" s="5935"/>
      <c r="FO15" s="5936"/>
      <c r="FP15" s="5936"/>
      <c r="FQ15" s="1818">
        <f t="shared" si="48"/>
        <v>0</v>
      </c>
      <c r="FR15" s="1819" t="e">
        <f t="shared" si="49"/>
        <v>#DIV/0!</v>
      </c>
      <c r="FS15" s="5937"/>
      <c r="FT15" s="5936"/>
      <c r="FU15" s="5936"/>
      <c r="FV15" s="1818">
        <f t="shared" si="50"/>
        <v>0</v>
      </c>
      <c r="FW15" s="1821" t="e">
        <f t="shared" si="51"/>
        <v>#DIV/0!</v>
      </c>
      <c r="FX15" s="5937"/>
      <c r="FY15" s="5938"/>
      <c r="FZ15" s="5938"/>
      <c r="GA15" s="1818">
        <f t="shared" si="52"/>
        <v>0</v>
      </c>
      <c r="GB15" s="1821" t="e">
        <f t="shared" si="53"/>
        <v>#DIV/0!</v>
      </c>
      <c r="GC15" s="5939"/>
      <c r="GD15" s="5940"/>
      <c r="GE15" s="5940"/>
      <c r="GF15" s="1818">
        <f t="shared" si="54"/>
        <v>0</v>
      </c>
      <c r="GG15" s="1821" t="e">
        <f t="shared" si="55"/>
        <v>#DIV/0!</v>
      </c>
      <c r="GH15" s="1823"/>
      <c r="GI15" s="1824"/>
      <c r="GJ15" s="1824"/>
      <c r="GK15" s="1818">
        <f t="shared" si="56"/>
        <v>0</v>
      </c>
      <c r="GL15" s="1821" t="e">
        <f t="shared" si="57"/>
        <v>#DIV/0!</v>
      </c>
      <c r="GM15" s="1839"/>
      <c r="GN15" s="1839"/>
      <c r="GO15" s="1839"/>
      <c r="GP15" s="1839"/>
      <c r="GQ15" s="1839"/>
      <c r="GR15" s="5750"/>
      <c r="GS15" s="5750"/>
      <c r="GT15" s="5750"/>
      <c r="GU15" s="5750"/>
      <c r="GV15" s="5741"/>
      <c r="GW15" s="5750"/>
      <c r="GX15" s="5750"/>
      <c r="GY15" s="5750"/>
      <c r="GZ15" s="5750"/>
      <c r="HA15" s="5741"/>
      <c r="HB15" s="5750"/>
      <c r="HC15" s="5750"/>
      <c r="HD15" s="5750"/>
      <c r="HE15" s="5750"/>
      <c r="HF15" s="5741"/>
      <c r="HG15" s="1839"/>
      <c r="HH15" s="1839"/>
      <c r="HI15" s="1839"/>
      <c r="HJ15" s="1839"/>
      <c r="HK15" s="1660"/>
      <c r="HL15" s="1839"/>
      <c r="HM15" s="1839"/>
      <c r="HN15" s="1839"/>
      <c r="HO15" s="1839"/>
      <c r="HP15" s="1660"/>
      <c r="HQ15" s="5750"/>
      <c r="HR15" s="5750"/>
      <c r="HS15" s="5750"/>
      <c r="HT15" s="5750"/>
      <c r="HU15" s="5750"/>
      <c r="HV15" s="5941">
        <f t="shared" si="8"/>
        <v>0</v>
      </c>
      <c r="HW15" s="622">
        <f t="shared" si="9"/>
        <v>0</v>
      </c>
      <c r="HX15" s="622">
        <f t="shared" si="9"/>
        <v>0</v>
      </c>
      <c r="HY15" s="622">
        <f t="shared" si="9"/>
        <v>0</v>
      </c>
      <c r="HZ15" s="5942"/>
      <c r="IA15" s="1907">
        <f t="shared" si="58"/>
        <v>0</v>
      </c>
      <c r="IB15" s="1908">
        <f t="shared" si="59"/>
        <v>0</v>
      </c>
      <c r="IC15" s="1908">
        <f t="shared" si="59"/>
        <v>0</v>
      </c>
      <c r="ID15" s="1909" t="e">
        <f t="shared" si="60"/>
        <v>#DIV/0!</v>
      </c>
      <c r="IE15" s="5943"/>
      <c r="IF15" s="5743"/>
      <c r="IG15" s="5743"/>
      <c r="IH15" s="5744"/>
      <c r="II15" s="5944"/>
      <c r="IJ15" s="5743"/>
      <c r="IK15" s="5743"/>
      <c r="IL15" s="5744"/>
      <c r="IM15" s="5745"/>
      <c r="IN15" s="5743"/>
      <c r="IO15" s="5743"/>
      <c r="IP15" s="5747"/>
      <c r="IQ15" s="5750"/>
      <c r="IR15" s="5945"/>
      <c r="IS15" s="5936"/>
      <c r="IT15" s="5936"/>
      <c r="IU15" s="1818">
        <f t="shared" si="61"/>
        <v>0</v>
      </c>
      <c r="IV15" s="1819" t="e">
        <f t="shared" si="62"/>
        <v>#DIV/0!</v>
      </c>
      <c r="IW15" s="5937"/>
      <c r="IX15" s="5936"/>
      <c r="IY15" s="5936"/>
      <c r="IZ15" s="1818">
        <f t="shared" si="63"/>
        <v>0</v>
      </c>
      <c r="JA15" s="1821" t="e">
        <f t="shared" si="64"/>
        <v>#DIV/0!</v>
      </c>
      <c r="JB15" s="5946"/>
      <c r="JC15" s="5938"/>
      <c r="JD15" s="5938"/>
      <c r="JE15" s="1818">
        <f t="shared" si="65"/>
        <v>0</v>
      </c>
      <c r="JF15" s="1821" t="e">
        <f t="shared" si="66"/>
        <v>#DIV/0!</v>
      </c>
      <c r="JG15" s="5947"/>
      <c r="JH15" s="5940"/>
      <c r="JI15" s="5940"/>
      <c r="JJ15" s="1818">
        <f t="shared" si="67"/>
        <v>0</v>
      </c>
      <c r="JK15" s="1821" t="e">
        <f t="shared" si="68"/>
        <v>#DIV/0!</v>
      </c>
      <c r="JL15" s="1823"/>
      <c r="JM15" s="1824"/>
      <c r="JN15" s="1824"/>
      <c r="JO15" s="1818">
        <f t="shared" si="69"/>
        <v>0</v>
      </c>
      <c r="JP15" s="1821" t="e">
        <f t="shared" si="70"/>
        <v>#DIV/0!</v>
      </c>
      <c r="JQ15" s="5948"/>
      <c r="JR15" s="1839"/>
      <c r="JS15" s="1839"/>
      <c r="JT15" s="1839"/>
      <c r="JU15" s="1839"/>
      <c r="JV15" s="5949"/>
      <c r="JW15" s="5750"/>
      <c r="JX15" s="5750"/>
      <c r="JY15" s="5750"/>
      <c r="JZ15" s="5741"/>
      <c r="KA15" s="5750"/>
      <c r="KB15" s="5750"/>
      <c r="KC15" s="5750"/>
      <c r="KD15" s="5750"/>
      <c r="KE15" s="5741"/>
      <c r="KF15" s="5950"/>
      <c r="KG15" s="5750"/>
      <c r="KH15" s="5750"/>
      <c r="KI15" s="5750"/>
      <c r="KJ15" s="5741"/>
      <c r="KK15" s="5951"/>
      <c r="KL15" s="1839"/>
      <c r="KM15" s="1839"/>
      <c r="KN15" s="1839"/>
      <c r="KO15" s="1660"/>
      <c r="KP15" s="1659"/>
      <c r="KQ15" s="1839"/>
      <c r="KR15" s="1839"/>
      <c r="KS15" s="1839"/>
      <c r="KT15" s="1839"/>
      <c r="KU15" s="5758"/>
      <c r="KV15" s="5750"/>
      <c r="KW15" s="5750"/>
      <c r="KX15" s="5750"/>
      <c r="KY15" s="5741"/>
      <c r="KZ15" s="5739">
        <f t="shared" si="10"/>
        <v>0</v>
      </c>
      <c r="LA15" s="5740">
        <f t="shared" si="11"/>
        <v>0</v>
      </c>
      <c r="LB15" s="5740">
        <f t="shared" si="11"/>
        <v>0</v>
      </c>
      <c r="LC15" s="5740">
        <f t="shared" si="11"/>
        <v>0</v>
      </c>
      <c r="LD15" s="5741"/>
      <c r="LE15" s="1912">
        <f t="shared" si="71"/>
        <v>0</v>
      </c>
      <c r="LF15" s="1908">
        <f t="shared" si="72"/>
        <v>0</v>
      </c>
      <c r="LG15" s="1908">
        <f t="shared" si="72"/>
        <v>0</v>
      </c>
      <c r="LH15" s="1909"/>
      <c r="LI15" s="5745"/>
      <c r="LJ15" s="5743"/>
      <c r="LK15" s="5743"/>
      <c r="LL15" s="5744"/>
      <c r="LM15" s="5746"/>
      <c r="LN15" s="5743"/>
      <c r="LO15" s="5743"/>
      <c r="LP15" s="5744"/>
      <c r="LQ15" s="5745"/>
      <c r="LR15" s="1836">
        <f t="shared" si="76"/>
        <v>0</v>
      </c>
      <c r="LS15" s="1836">
        <f t="shared" si="76"/>
        <v>0</v>
      </c>
      <c r="LT15" s="5747"/>
      <c r="LV15" s="5749"/>
      <c r="LW15" s="5750"/>
      <c r="LX15" s="5750"/>
      <c r="LY15" s="5750"/>
      <c r="LZ15" s="5751"/>
      <c r="MF15" s="5752"/>
      <c r="MG15" s="5970"/>
      <c r="MH15" s="5970"/>
      <c r="MI15" s="5750"/>
      <c r="MJ15" s="5741"/>
      <c r="MK15" s="5753"/>
      <c r="MN15" s="372">
        <f t="shared" si="12"/>
        <v>0</v>
      </c>
      <c r="MP15" s="5753"/>
      <c r="MQ15" s="5750"/>
      <c r="MR15" s="5750"/>
      <c r="MS15" s="5750"/>
      <c r="MT15" s="5754"/>
      <c r="MU15" s="5755"/>
      <c r="MV15" s="5756"/>
      <c r="MW15" s="5756"/>
      <c r="MX15" s="5756"/>
      <c r="MY15" s="5757"/>
      <c r="MZ15" s="5758"/>
      <c r="NA15" s="5750"/>
      <c r="NB15" s="5750"/>
      <c r="NC15" s="5750"/>
      <c r="ND15" s="5750"/>
      <c r="NO15" s="5759"/>
      <c r="NP15" s="5760"/>
      <c r="NQ15" s="5760"/>
      <c r="NR15" s="5759"/>
      <c r="NT15" s="5750"/>
      <c r="NU15" s="5750"/>
      <c r="NV15" s="5761"/>
      <c r="NW15" s="5750"/>
      <c r="NX15" s="5741"/>
      <c r="NY15" s="5762"/>
      <c r="NZ15" s="5756"/>
      <c r="OA15" s="5756"/>
      <c r="OB15" s="5757"/>
      <c r="OC15" s="5741"/>
      <c r="OE15" s="5763"/>
      <c r="OF15" s="5763"/>
      <c r="OG15" s="5761"/>
      <c r="OH15" s="5741"/>
      <c r="OI15" s="5758"/>
      <c r="OJ15" s="5750"/>
      <c r="OK15" s="5750"/>
      <c r="OL15" s="5750"/>
      <c r="OM15" s="5754"/>
      <c r="ON15" s="5758"/>
      <c r="OO15" s="5761"/>
      <c r="OP15" s="5761"/>
      <c r="OQ15" s="5761"/>
      <c r="OR15" s="5764"/>
      <c r="OS15" s="5758"/>
      <c r="OT15" s="5750"/>
      <c r="OU15" s="5750"/>
      <c r="OV15" s="5750"/>
      <c r="OW15" s="5764"/>
      <c r="OX15" s="5758"/>
      <c r="OY15" s="5750"/>
      <c r="OZ15" s="5750"/>
      <c r="PA15" s="5750"/>
      <c r="PB15" s="5741"/>
      <c r="PD15" s="5749"/>
      <c r="PE15" s="5750"/>
      <c r="PF15" s="5750"/>
      <c r="PG15" s="5750"/>
      <c r="PH15" s="5751"/>
      <c r="PN15" s="5752"/>
      <c r="PO15" s="5970"/>
      <c r="PP15" s="5970"/>
      <c r="PQ15" s="5750"/>
      <c r="PR15" s="5741"/>
      <c r="PS15" s="5897"/>
      <c r="PT15" s="5759"/>
      <c r="PU15" s="5759"/>
      <c r="PV15" s="2892">
        <f t="shared" si="13"/>
        <v>0</v>
      </c>
      <c r="PW15" s="5759"/>
      <c r="PX15" s="5753"/>
      <c r="PY15" s="5750"/>
      <c r="PZ15" s="5750"/>
      <c r="QA15" s="5750"/>
      <c r="QB15" s="5754"/>
      <c r="QC15" s="5755"/>
      <c r="QD15" s="5756"/>
      <c r="QE15" s="5756"/>
      <c r="QF15" s="5756"/>
      <c r="QG15" s="5757"/>
      <c r="QH15" s="5898"/>
      <c r="QI15" s="5750"/>
      <c r="QJ15" s="5750"/>
      <c r="QK15" s="5750"/>
      <c r="QL15" s="5750"/>
      <c r="QM15" s="5752"/>
      <c r="QR15" s="5759"/>
      <c r="QS15" s="5759"/>
      <c r="QT15" s="5759"/>
      <c r="QU15" s="5759"/>
      <c r="QV15" s="5899"/>
      <c r="QW15" s="5759"/>
      <c r="QX15" s="5760"/>
      <c r="QY15" s="5760"/>
      <c r="QZ15" s="5759"/>
      <c r="RA15" s="5759"/>
      <c r="RB15" s="5750"/>
      <c r="RC15" s="5750"/>
      <c r="RD15" s="5761"/>
      <c r="RE15" s="5750"/>
      <c r="RF15" s="5741"/>
      <c r="RG15" s="5900"/>
      <c r="RH15" s="5756"/>
      <c r="RI15" s="5756"/>
      <c r="RJ15" s="5757"/>
      <c r="RK15" s="5741"/>
      <c r="RL15" s="5759"/>
      <c r="RM15" s="1873">
        <f t="shared" si="77"/>
        <v>0</v>
      </c>
      <c r="RN15" s="1873">
        <f t="shared" si="77"/>
        <v>0</v>
      </c>
      <c r="RO15" s="1873">
        <f t="shared" si="77"/>
        <v>0</v>
      </c>
      <c r="RP15" s="5759"/>
      <c r="RQ15" s="5758"/>
      <c r="RR15" s="5750"/>
      <c r="RS15" s="5750"/>
      <c r="RT15" s="5750"/>
      <c r="RU15" s="5754"/>
      <c r="RV15" s="5758"/>
      <c r="RW15" s="5761"/>
      <c r="RX15" s="5761"/>
      <c r="RY15" s="5761"/>
      <c r="RZ15" s="5764"/>
      <c r="SA15" s="5758"/>
      <c r="SB15" s="5750"/>
      <c r="SC15" s="5750"/>
      <c r="SD15" s="5750"/>
      <c r="SE15" s="5764"/>
      <c r="SF15" s="5758"/>
      <c r="SG15" s="5750"/>
      <c r="SH15" s="5750"/>
      <c r="SI15" s="5750"/>
      <c r="SJ15" s="5741"/>
      <c r="SL15" s="5774"/>
      <c r="SM15" s="5757"/>
      <c r="SN15" s="5757"/>
      <c r="SO15" s="5757"/>
      <c r="SP15" s="5775"/>
      <c r="SQ15" s="5759"/>
      <c r="SR15" s="5759"/>
      <c r="SS15" s="5759"/>
      <c r="ST15" s="5759"/>
      <c r="SU15" s="5759"/>
      <c r="SV15" s="5752"/>
      <c r="SW15" s="5970"/>
      <c r="SX15" s="5970"/>
      <c r="SY15" s="5750"/>
      <c r="SZ15" s="5741"/>
      <c r="TA15" s="5753"/>
      <c r="TD15" s="372">
        <f t="shared" si="14"/>
        <v>0</v>
      </c>
      <c r="TF15" s="5753"/>
      <c r="TG15" s="5750"/>
      <c r="TH15" s="5750"/>
      <c r="TI15" s="5750"/>
      <c r="TJ15" s="5754"/>
      <c r="TK15" s="5755"/>
      <c r="TL15" s="5756"/>
      <c r="TM15" s="5756"/>
      <c r="TN15" s="5756"/>
      <c r="TO15" s="5757"/>
      <c r="TP15" s="5901"/>
      <c r="TQ15" s="5750"/>
      <c r="TR15" s="5750"/>
      <c r="TS15" s="5750"/>
      <c r="TT15" s="5750"/>
      <c r="TU15" s="5902"/>
      <c r="TV15" s="5759"/>
      <c r="TW15" s="5759"/>
      <c r="TX15" s="5759"/>
      <c r="TY15" s="5759"/>
      <c r="TZ15" s="5759"/>
      <c r="UA15" s="5759"/>
      <c r="UB15" s="5759"/>
      <c r="UC15" s="5759"/>
      <c r="UD15" s="5899"/>
      <c r="UE15" s="5759"/>
      <c r="UF15" s="5760"/>
      <c r="UG15" s="5760"/>
      <c r="UH15" s="5759"/>
      <c r="UI15" s="5759"/>
      <c r="UJ15" s="5750"/>
      <c r="UK15" s="5750"/>
      <c r="UL15" s="5761"/>
      <c r="UM15" s="5750"/>
      <c r="UN15" s="5741"/>
      <c r="UO15" s="5900"/>
      <c r="UP15" s="5756"/>
      <c r="UQ15" s="5756"/>
      <c r="UR15" s="5757"/>
      <c r="US15" s="5741"/>
      <c r="UU15" s="622">
        <f t="shared" si="78"/>
        <v>0</v>
      </c>
      <c r="UV15" s="622">
        <f t="shared" si="78"/>
        <v>0</v>
      </c>
      <c r="UW15" s="622">
        <f t="shared" si="78"/>
        <v>0</v>
      </c>
      <c r="UY15" s="5758"/>
      <c r="UZ15" s="5750"/>
      <c r="VA15" s="5750"/>
      <c r="VB15" s="5750"/>
      <c r="VC15" s="5754"/>
      <c r="VD15" s="5758"/>
      <c r="VE15" s="5761"/>
      <c r="VF15" s="5761"/>
      <c r="VG15" s="5761"/>
      <c r="VH15" s="5764"/>
      <c r="VI15" s="5758"/>
      <c r="VJ15" s="5750"/>
      <c r="VK15" s="5750"/>
      <c r="VL15" s="5750"/>
      <c r="VM15" s="5764"/>
      <c r="VN15" s="5758"/>
      <c r="VO15" s="5750"/>
      <c r="VP15" s="5750"/>
      <c r="VQ15" s="5750"/>
      <c r="VR15" s="5741"/>
    </row>
    <row r="16" spans="1:590" s="5748" customFormat="1" hidden="1" x14ac:dyDescent="0.3">
      <c r="A16" s="5675"/>
      <c r="B16" s="1804" t="s">
        <v>729</v>
      </c>
      <c r="C16" s="5959" t="s">
        <v>742</v>
      </c>
      <c r="D16" s="1785" t="s">
        <v>746</v>
      </c>
      <c r="E16" s="5964">
        <v>43244</v>
      </c>
      <c r="F16" s="5964">
        <v>43608</v>
      </c>
      <c r="G16" s="5965">
        <v>53000</v>
      </c>
      <c r="H16" s="5903"/>
      <c r="I16" s="5904"/>
      <c r="J16" s="5904"/>
      <c r="K16" s="5904"/>
      <c r="L16" s="5905"/>
      <c r="M16" s="5906"/>
      <c r="N16" s="5907"/>
      <c r="O16" s="5907"/>
      <c r="P16" s="5907"/>
      <c r="Q16" s="5908"/>
      <c r="R16" s="5967" t="s">
        <v>238</v>
      </c>
      <c r="S16" s="5904">
        <v>45001</v>
      </c>
      <c r="T16" s="5904">
        <v>51410</v>
      </c>
      <c r="U16" s="5904">
        <f t="shared" si="2"/>
        <v>6409</v>
      </c>
      <c r="V16" s="5905">
        <f>U16/T16</f>
        <v>0.1246644621668936</v>
      </c>
      <c r="W16" s="5968">
        <v>1</v>
      </c>
      <c r="X16" s="5904">
        <v>45001</v>
      </c>
      <c r="Y16" s="5904">
        <v>51410</v>
      </c>
      <c r="Z16" s="5904">
        <f t="shared" si="3"/>
        <v>6409</v>
      </c>
      <c r="AA16" s="5905">
        <f>Z16/Y16</f>
        <v>0.1246644621668936</v>
      </c>
      <c r="AB16" s="5969">
        <v>1</v>
      </c>
      <c r="AC16" s="5904">
        <v>45001</v>
      </c>
      <c r="AD16" s="5904">
        <v>53000</v>
      </c>
      <c r="AE16" s="5904">
        <f t="shared" si="4"/>
        <v>7999</v>
      </c>
      <c r="AF16" s="5905">
        <f>AE16/AD16</f>
        <v>0.1509245283018868</v>
      </c>
      <c r="AG16" s="5969">
        <v>1</v>
      </c>
      <c r="AH16" s="5904">
        <v>45001</v>
      </c>
      <c r="AI16" s="5904">
        <v>53000</v>
      </c>
      <c r="AJ16" s="5912">
        <f t="shared" si="5"/>
        <v>7999</v>
      </c>
      <c r="AK16" s="5905">
        <f>AJ16/AI16</f>
        <v>0.1509245283018868</v>
      </c>
      <c r="AL16" s="5969">
        <v>1</v>
      </c>
      <c r="AM16" s="5913">
        <v>45001</v>
      </c>
      <c r="AN16" s="5913">
        <v>53000</v>
      </c>
      <c r="AO16" s="5913">
        <f t="shared" si="79"/>
        <v>7999</v>
      </c>
      <c r="AP16" s="5905">
        <f>AO16/AN16</f>
        <v>0.1509245283018868</v>
      </c>
      <c r="AQ16" s="5914"/>
      <c r="AR16" s="5913"/>
      <c r="AS16" s="5913"/>
      <c r="AT16" s="5915">
        <f t="shared" si="15"/>
        <v>0</v>
      </c>
      <c r="AU16" s="5905" t="s">
        <v>732</v>
      </c>
      <c r="AV16" s="5909"/>
      <c r="AW16" s="5913"/>
      <c r="AX16" s="5913"/>
      <c r="AY16" s="5913">
        <f t="shared" si="16"/>
        <v>0</v>
      </c>
      <c r="AZ16" s="5905"/>
      <c r="BA16" s="5916"/>
      <c r="BB16" s="5913"/>
      <c r="BC16" s="5913"/>
      <c r="BD16" s="5913"/>
      <c r="BE16" s="5908"/>
      <c r="BF16" s="5909"/>
      <c r="BG16" s="5913"/>
      <c r="BH16" s="5913"/>
      <c r="BI16" s="5913"/>
      <c r="BJ16" s="5908"/>
      <c r="BK16" s="5909"/>
      <c r="BL16" s="5913"/>
      <c r="BM16" s="5913"/>
      <c r="BN16" s="5913"/>
      <c r="BO16" s="5917"/>
      <c r="BP16" s="1937">
        <f t="shared" si="21"/>
        <v>0.41666666666666669</v>
      </c>
      <c r="BQ16" s="5918">
        <f t="shared" si="22"/>
        <v>225005</v>
      </c>
      <c r="BR16" s="5912">
        <f t="shared" si="22"/>
        <v>261820</v>
      </c>
      <c r="BS16" s="5919">
        <f t="shared" si="7"/>
        <v>36815</v>
      </c>
      <c r="BT16" s="5920">
        <f t="shared" si="23"/>
        <v>1</v>
      </c>
      <c r="BU16" s="5912">
        <f t="shared" si="24"/>
        <v>51410</v>
      </c>
      <c r="BV16" s="5912">
        <f t="shared" si="24"/>
        <v>6409</v>
      </c>
      <c r="BW16" s="5921">
        <f>BV16/BU16</f>
        <v>0.1246644621668936</v>
      </c>
      <c r="BX16" s="5922">
        <f t="shared" si="25"/>
        <v>3</v>
      </c>
      <c r="BY16" s="5912">
        <f t="shared" si="26"/>
        <v>157410</v>
      </c>
      <c r="BZ16" s="5912">
        <f t="shared" si="26"/>
        <v>22407</v>
      </c>
      <c r="CA16" s="5923"/>
      <c r="CB16" s="5924">
        <f t="shared" si="27"/>
        <v>1</v>
      </c>
      <c r="CC16" s="5912">
        <f t="shared" si="75"/>
        <v>53000</v>
      </c>
      <c r="CD16" s="5912">
        <f t="shared" si="75"/>
        <v>7999</v>
      </c>
      <c r="CE16" s="5925"/>
      <c r="CF16" s="5922">
        <f t="shared" si="28"/>
        <v>0</v>
      </c>
      <c r="CG16" s="5904">
        <f t="shared" si="29"/>
        <v>0</v>
      </c>
      <c r="CH16" s="5904">
        <f t="shared" si="29"/>
        <v>0</v>
      </c>
      <c r="CI16" s="5923"/>
      <c r="CJ16" s="5926"/>
      <c r="CK16" s="5904"/>
      <c r="CL16" s="5904"/>
      <c r="CM16" s="5904">
        <f t="shared" si="80"/>
        <v>0</v>
      </c>
      <c r="CN16" s="5921"/>
      <c r="CO16" s="5926"/>
      <c r="CP16" s="5904"/>
      <c r="CQ16" s="5904"/>
      <c r="CR16" s="5928"/>
      <c r="CS16" s="5923"/>
      <c r="CT16" s="5926"/>
      <c r="CU16" s="5904"/>
      <c r="CV16" s="5904"/>
      <c r="CW16" s="5928"/>
      <c r="CX16" s="5923"/>
      <c r="CY16" s="5926"/>
      <c r="CZ16" s="5904"/>
      <c r="DA16" s="5904"/>
      <c r="DB16" s="5928"/>
      <c r="DC16" s="5923"/>
      <c r="DD16" s="5929"/>
      <c r="DE16" s="5928"/>
      <c r="DF16" s="5928"/>
      <c r="DG16" s="5904">
        <f t="shared" si="30"/>
        <v>0</v>
      </c>
      <c r="DH16" s="5930"/>
      <c r="DI16" s="5926"/>
      <c r="DJ16" s="5928"/>
      <c r="DK16" s="5928"/>
      <c r="DL16" s="5904"/>
      <c r="DM16" s="5930"/>
      <c r="DN16" s="5926"/>
      <c r="DO16" s="5904"/>
      <c r="DP16" s="5904"/>
      <c r="DQ16" s="5904"/>
      <c r="DR16" s="5930"/>
      <c r="DS16" s="5926"/>
      <c r="DT16" s="5904"/>
      <c r="DU16" s="5904"/>
      <c r="DV16" s="5904"/>
      <c r="DW16" s="5923"/>
      <c r="DX16" s="5926"/>
      <c r="DY16" s="5904"/>
      <c r="DZ16" s="5904"/>
      <c r="EA16" s="5904">
        <f t="shared" si="31"/>
        <v>0</v>
      </c>
      <c r="EB16" s="5931" t="e">
        <f t="shared" si="32"/>
        <v>#DIV/0!</v>
      </c>
      <c r="EC16" s="5926"/>
      <c r="ED16" s="5904"/>
      <c r="EE16" s="5904"/>
      <c r="EF16" s="5912">
        <f t="shared" si="33"/>
        <v>0</v>
      </c>
      <c r="EG16" s="5930"/>
      <c r="EH16" s="5926"/>
      <c r="EI16" s="5904"/>
      <c r="EJ16" s="5904"/>
      <c r="EK16" s="5904">
        <f t="shared" si="34"/>
        <v>0</v>
      </c>
      <c r="EL16" s="5931" t="e">
        <f t="shared" si="35"/>
        <v>#DIV/0!</v>
      </c>
      <c r="EM16" s="1804"/>
      <c r="EN16" s="1776"/>
      <c r="EO16" s="1776"/>
      <c r="EP16" s="1776">
        <f t="shared" si="36"/>
        <v>0</v>
      </c>
      <c r="EQ16" s="1807" t="e">
        <f t="shared" si="37"/>
        <v>#DIV/0!</v>
      </c>
      <c r="ER16" s="2402">
        <f t="shared" si="38"/>
        <v>0</v>
      </c>
      <c r="ES16" s="2403">
        <f t="shared" si="39"/>
        <v>0</v>
      </c>
      <c r="ET16" s="2403">
        <f t="shared" si="39"/>
        <v>0</v>
      </c>
      <c r="EU16" s="2403">
        <f t="shared" si="39"/>
        <v>0</v>
      </c>
      <c r="EV16" s="2404" t="e">
        <f t="shared" si="40"/>
        <v>#DIV/0!</v>
      </c>
      <c r="EW16" s="5932">
        <f t="shared" si="73"/>
        <v>0</v>
      </c>
      <c r="EX16" s="5904"/>
      <c r="EY16" s="5904"/>
      <c r="EZ16" s="5933" t="e">
        <f t="shared" si="41"/>
        <v>#DIV/0!</v>
      </c>
      <c r="FA16" s="5929">
        <f t="shared" si="74"/>
        <v>0</v>
      </c>
      <c r="FB16" s="5912">
        <f t="shared" si="42"/>
        <v>0</v>
      </c>
      <c r="FC16" s="5912">
        <f t="shared" si="42"/>
        <v>0</v>
      </c>
      <c r="FD16" s="5921" t="e">
        <f t="shared" si="43"/>
        <v>#DIV/0!</v>
      </c>
      <c r="FE16" s="5934"/>
      <c r="FF16" s="5928"/>
      <c r="FG16" s="5928"/>
      <c r="FH16" s="5933" t="e">
        <f t="shared" si="44"/>
        <v>#DIV/0!</v>
      </c>
      <c r="FI16" s="1816">
        <f t="shared" si="45"/>
        <v>0</v>
      </c>
      <c r="FJ16" s="1814"/>
      <c r="FK16" s="1786">
        <f t="shared" si="46"/>
        <v>0</v>
      </c>
      <c r="FL16" s="1786">
        <f t="shared" si="46"/>
        <v>0</v>
      </c>
      <c r="FM16" s="5921" t="e">
        <f t="shared" si="47"/>
        <v>#DIV/0!</v>
      </c>
      <c r="FN16" s="5935"/>
      <c r="FO16" s="5936"/>
      <c r="FP16" s="5936"/>
      <c r="FQ16" s="1818">
        <f t="shared" si="48"/>
        <v>0</v>
      </c>
      <c r="FR16" s="1819" t="e">
        <f t="shared" si="49"/>
        <v>#DIV/0!</v>
      </c>
      <c r="FS16" s="5937"/>
      <c r="FT16" s="5936"/>
      <c r="FU16" s="5936"/>
      <c r="FV16" s="1818">
        <f t="shared" si="50"/>
        <v>0</v>
      </c>
      <c r="FW16" s="1821" t="e">
        <f t="shared" si="51"/>
        <v>#DIV/0!</v>
      </c>
      <c r="FX16" s="5937"/>
      <c r="FY16" s="5938"/>
      <c r="FZ16" s="5938"/>
      <c r="GA16" s="1818">
        <f t="shared" si="52"/>
        <v>0</v>
      </c>
      <c r="GB16" s="1821" t="e">
        <f t="shared" si="53"/>
        <v>#DIV/0!</v>
      </c>
      <c r="GC16" s="5939"/>
      <c r="GD16" s="5940"/>
      <c r="GE16" s="5940"/>
      <c r="GF16" s="1818">
        <f t="shared" si="54"/>
        <v>0</v>
      </c>
      <c r="GG16" s="1821" t="e">
        <f t="shared" si="55"/>
        <v>#DIV/0!</v>
      </c>
      <c r="GH16" s="1823"/>
      <c r="GI16" s="1824"/>
      <c r="GJ16" s="1824"/>
      <c r="GK16" s="1818">
        <f t="shared" si="56"/>
        <v>0</v>
      </c>
      <c r="GL16" s="1821" t="e">
        <f t="shared" si="57"/>
        <v>#DIV/0!</v>
      </c>
      <c r="GM16" s="1839"/>
      <c r="GN16" s="1839"/>
      <c r="GO16" s="1839"/>
      <c r="GP16" s="1839"/>
      <c r="GQ16" s="1839"/>
      <c r="GR16" s="5750"/>
      <c r="GS16" s="5750"/>
      <c r="GT16" s="5750"/>
      <c r="GU16" s="5750"/>
      <c r="GV16" s="5741"/>
      <c r="GW16" s="5750"/>
      <c r="GX16" s="5750"/>
      <c r="GY16" s="5750"/>
      <c r="GZ16" s="5750"/>
      <c r="HA16" s="5741"/>
      <c r="HB16" s="5750"/>
      <c r="HC16" s="5750"/>
      <c r="HD16" s="5750"/>
      <c r="HE16" s="5750"/>
      <c r="HF16" s="5741"/>
      <c r="HG16" s="1839"/>
      <c r="HH16" s="1839"/>
      <c r="HI16" s="1839"/>
      <c r="HJ16" s="1839"/>
      <c r="HK16" s="1660"/>
      <c r="HL16" s="1839"/>
      <c r="HM16" s="1839"/>
      <c r="HN16" s="1839"/>
      <c r="HO16" s="1839"/>
      <c r="HP16" s="1660"/>
      <c r="HQ16" s="5750"/>
      <c r="HR16" s="5750"/>
      <c r="HS16" s="5750"/>
      <c r="HT16" s="5750"/>
      <c r="HU16" s="5750"/>
      <c r="HV16" s="5941">
        <f t="shared" si="8"/>
        <v>0</v>
      </c>
      <c r="HW16" s="622">
        <f t="shared" si="9"/>
        <v>0</v>
      </c>
      <c r="HX16" s="622">
        <f t="shared" si="9"/>
        <v>0</v>
      </c>
      <c r="HY16" s="622">
        <f t="shared" si="9"/>
        <v>0</v>
      </c>
      <c r="HZ16" s="5942"/>
      <c r="IA16" s="1907">
        <f t="shared" si="58"/>
        <v>0</v>
      </c>
      <c r="IB16" s="1908">
        <f t="shared" si="59"/>
        <v>0</v>
      </c>
      <c r="IC16" s="1908">
        <f t="shared" si="59"/>
        <v>0</v>
      </c>
      <c r="ID16" s="1909" t="e">
        <f t="shared" si="60"/>
        <v>#DIV/0!</v>
      </c>
      <c r="IE16" s="5943"/>
      <c r="IF16" s="5743"/>
      <c r="IG16" s="5743"/>
      <c r="IH16" s="5744"/>
      <c r="II16" s="5944"/>
      <c r="IJ16" s="5743"/>
      <c r="IK16" s="5743"/>
      <c r="IL16" s="5744"/>
      <c r="IM16" s="5745"/>
      <c r="IN16" s="5743"/>
      <c r="IO16" s="5743"/>
      <c r="IP16" s="5747"/>
      <c r="IQ16" s="5750"/>
      <c r="IR16" s="5945"/>
      <c r="IS16" s="5936"/>
      <c r="IT16" s="5936"/>
      <c r="IU16" s="1818">
        <f t="shared" si="61"/>
        <v>0</v>
      </c>
      <c r="IV16" s="1819" t="e">
        <f t="shared" si="62"/>
        <v>#DIV/0!</v>
      </c>
      <c r="IW16" s="5937"/>
      <c r="IX16" s="5936"/>
      <c r="IY16" s="5936"/>
      <c r="IZ16" s="1818">
        <f t="shared" si="63"/>
        <v>0</v>
      </c>
      <c r="JA16" s="1821" t="e">
        <f t="shared" si="64"/>
        <v>#DIV/0!</v>
      </c>
      <c r="JB16" s="5946"/>
      <c r="JC16" s="5938"/>
      <c r="JD16" s="5938"/>
      <c r="JE16" s="1818">
        <f t="shared" si="65"/>
        <v>0</v>
      </c>
      <c r="JF16" s="1821" t="e">
        <f t="shared" si="66"/>
        <v>#DIV/0!</v>
      </c>
      <c r="JG16" s="5947"/>
      <c r="JH16" s="5940"/>
      <c r="JI16" s="5940"/>
      <c r="JJ16" s="1818">
        <f t="shared" si="67"/>
        <v>0</v>
      </c>
      <c r="JK16" s="1821" t="e">
        <f t="shared" si="68"/>
        <v>#DIV/0!</v>
      </c>
      <c r="JL16" s="1823"/>
      <c r="JM16" s="1824"/>
      <c r="JN16" s="1824"/>
      <c r="JO16" s="1818">
        <f t="shared" si="69"/>
        <v>0</v>
      </c>
      <c r="JP16" s="1821" t="e">
        <f t="shared" si="70"/>
        <v>#DIV/0!</v>
      </c>
      <c r="JQ16" s="5948"/>
      <c r="JR16" s="1839"/>
      <c r="JS16" s="1839"/>
      <c r="JT16" s="1839"/>
      <c r="JU16" s="1839"/>
      <c r="JV16" s="5949"/>
      <c r="JW16" s="5750"/>
      <c r="JX16" s="5750"/>
      <c r="JY16" s="5750"/>
      <c r="JZ16" s="5741"/>
      <c r="KA16" s="5750"/>
      <c r="KB16" s="5750"/>
      <c r="KC16" s="5750"/>
      <c r="KD16" s="5750"/>
      <c r="KE16" s="5741"/>
      <c r="KF16" s="5950"/>
      <c r="KG16" s="5750"/>
      <c r="KH16" s="5750"/>
      <c r="KI16" s="5750"/>
      <c r="KJ16" s="5741"/>
      <c r="KK16" s="5951"/>
      <c r="KL16" s="1839"/>
      <c r="KM16" s="1839"/>
      <c r="KN16" s="1839"/>
      <c r="KO16" s="1660"/>
      <c r="KP16" s="1659"/>
      <c r="KQ16" s="1839"/>
      <c r="KR16" s="1839"/>
      <c r="KS16" s="1839"/>
      <c r="KT16" s="1839"/>
      <c r="KU16" s="5758"/>
      <c r="KV16" s="5750"/>
      <c r="KW16" s="5750"/>
      <c r="KX16" s="5750"/>
      <c r="KY16" s="5741"/>
      <c r="KZ16" s="5739">
        <f t="shared" si="10"/>
        <v>0</v>
      </c>
      <c r="LA16" s="5740">
        <f t="shared" si="11"/>
        <v>0</v>
      </c>
      <c r="LB16" s="5740">
        <f t="shared" si="11"/>
        <v>0</v>
      </c>
      <c r="LC16" s="5740">
        <f t="shared" si="11"/>
        <v>0</v>
      </c>
      <c r="LD16" s="5741"/>
      <c r="LE16" s="1912">
        <f t="shared" si="71"/>
        <v>0</v>
      </c>
      <c r="LF16" s="1908">
        <f t="shared" si="72"/>
        <v>0</v>
      </c>
      <c r="LG16" s="1908">
        <f t="shared" si="72"/>
        <v>0</v>
      </c>
      <c r="LH16" s="1909"/>
      <c r="LI16" s="5745"/>
      <c r="LJ16" s="5743"/>
      <c r="LK16" s="5743"/>
      <c r="LL16" s="5744"/>
      <c r="LM16" s="5746"/>
      <c r="LN16" s="5743"/>
      <c r="LO16" s="5743"/>
      <c r="LP16" s="5744"/>
      <c r="LQ16" s="5745"/>
      <c r="LR16" s="1836">
        <f t="shared" si="76"/>
        <v>0</v>
      </c>
      <c r="LS16" s="1836">
        <f t="shared" si="76"/>
        <v>0</v>
      </c>
      <c r="LT16" s="5747"/>
      <c r="LV16" s="5749"/>
      <c r="LW16" s="5750"/>
      <c r="LX16" s="5750"/>
      <c r="LY16" s="5750"/>
      <c r="LZ16" s="5751"/>
      <c r="MF16" s="5752"/>
      <c r="MG16" s="5970"/>
      <c r="MH16" s="5970"/>
      <c r="MI16" s="5750"/>
      <c r="MJ16" s="5741"/>
      <c r="MK16" s="5753"/>
      <c r="MN16" s="372">
        <f t="shared" si="12"/>
        <v>0</v>
      </c>
      <c r="MP16" s="5753"/>
      <c r="MQ16" s="5750"/>
      <c r="MR16" s="5750"/>
      <c r="MS16" s="5750"/>
      <c r="MT16" s="5754"/>
      <c r="MU16" s="5755"/>
      <c r="MV16" s="5756"/>
      <c r="MW16" s="5756"/>
      <c r="MX16" s="5756"/>
      <c r="MY16" s="5757"/>
      <c r="MZ16" s="5758"/>
      <c r="NA16" s="5750"/>
      <c r="NB16" s="5750"/>
      <c r="NC16" s="5750"/>
      <c r="ND16" s="5750"/>
      <c r="NO16" s="5759"/>
      <c r="NP16" s="5760"/>
      <c r="NQ16" s="5760"/>
      <c r="NR16" s="5759"/>
      <c r="NT16" s="5750"/>
      <c r="NU16" s="5750"/>
      <c r="NV16" s="5761"/>
      <c r="NW16" s="5750"/>
      <c r="NX16" s="5741"/>
      <c r="NY16" s="5762"/>
      <c r="NZ16" s="5756"/>
      <c r="OA16" s="5756"/>
      <c r="OB16" s="5757"/>
      <c r="OC16" s="5741"/>
      <c r="OE16" s="5763"/>
      <c r="OF16" s="5763"/>
      <c r="OG16" s="5761"/>
      <c r="OH16" s="5741"/>
      <c r="OI16" s="5758"/>
      <c r="OJ16" s="5750"/>
      <c r="OK16" s="5750"/>
      <c r="OL16" s="5750"/>
      <c r="OM16" s="5754"/>
      <c r="ON16" s="5758"/>
      <c r="OO16" s="5761"/>
      <c r="OP16" s="5761"/>
      <c r="OQ16" s="5761"/>
      <c r="OR16" s="5764"/>
      <c r="OS16" s="5758"/>
      <c r="OT16" s="5750"/>
      <c r="OU16" s="5750"/>
      <c r="OV16" s="5750"/>
      <c r="OW16" s="5764"/>
      <c r="OX16" s="5758"/>
      <c r="OY16" s="5750"/>
      <c r="OZ16" s="5750"/>
      <c r="PA16" s="5750"/>
      <c r="PB16" s="5741"/>
      <c r="PD16" s="5749"/>
      <c r="PE16" s="5750"/>
      <c r="PF16" s="5750"/>
      <c r="PG16" s="5750"/>
      <c r="PH16" s="5751"/>
      <c r="PN16" s="5752"/>
      <c r="PO16" s="5970"/>
      <c r="PP16" s="5970"/>
      <c r="PQ16" s="5750"/>
      <c r="PR16" s="5741"/>
      <c r="PS16" s="5897"/>
      <c r="PT16" s="5759"/>
      <c r="PU16" s="5759"/>
      <c r="PV16" s="2892">
        <f t="shared" si="13"/>
        <v>0</v>
      </c>
      <c r="PW16" s="5759"/>
      <c r="PX16" s="5753"/>
      <c r="PY16" s="5750"/>
      <c r="PZ16" s="5750"/>
      <c r="QA16" s="5750"/>
      <c r="QB16" s="5754"/>
      <c r="QC16" s="5755"/>
      <c r="QD16" s="5756"/>
      <c r="QE16" s="5756"/>
      <c r="QF16" s="5756"/>
      <c r="QG16" s="5757"/>
      <c r="QH16" s="5898"/>
      <c r="QI16" s="5750"/>
      <c r="QJ16" s="5750"/>
      <c r="QK16" s="5750"/>
      <c r="QL16" s="5750"/>
      <c r="QM16" s="5752"/>
      <c r="QR16" s="5759"/>
      <c r="QS16" s="5759"/>
      <c r="QT16" s="5759"/>
      <c r="QU16" s="5759"/>
      <c r="QV16" s="5899"/>
      <c r="QW16" s="5759"/>
      <c r="QX16" s="5760"/>
      <c r="QY16" s="5760"/>
      <c r="QZ16" s="5759"/>
      <c r="RA16" s="5759"/>
      <c r="RB16" s="5750"/>
      <c r="RC16" s="5750"/>
      <c r="RD16" s="5761"/>
      <c r="RE16" s="5750"/>
      <c r="RF16" s="5741"/>
      <c r="RG16" s="5900"/>
      <c r="RH16" s="5756"/>
      <c r="RI16" s="5756"/>
      <c r="RJ16" s="5757"/>
      <c r="RK16" s="5741"/>
      <c r="RL16" s="5759"/>
      <c r="RM16" s="1873">
        <f t="shared" si="77"/>
        <v>0</v>
      </c>
      <c r="RN16" s="1873">
        <f t="shared" si="77"/>
        <v>0</v>
      </c>
      <c r="RO16" s="1873">
        <f t="shared" si="77"/>
        <v>0</v>
      </c>
      <c r="RP16" s="5759"/>
      <c r="RQ16" s="5758"/>
      <c r="RR16" s="5750"/>
      <c r="RS16" s="5750"/>
      <c r="RT16" s="5750"/>
      <c r="RU16" s="5754"/>
      <c r="RV16" s="5758"/>
      <c r="RW16" s="5761"/>
      <c r="RX16" s="5761"/>
      <c r="RY16" s="5761"/>
      <c r="RZ16" s="5764"/>
      <c r="SA16" s="5758"/>
      <c r="SB16" s="5750"/>
      <c r="SC16" s="5750"/>
      <c r="SD16" s="5750"/>
      <c r="SE16" s="5764"/>
      <c r="SF16" s="5758"/>
      <c r="SG16" s="5750"/>
      <c r="SH16" s="5750"/>
      <c r="SI16" s="5750"/>
      <c r="SJ16" s="5741"/>
      <c r="SL16" s="5774"/>
      <c r="SM16" s="5757"/>
      <c r="SN16" s="5757"/>
      <c r="SO16" s="5757"/>
      <c r="SP16" s="5775"/>
      <c r="SQ16" s="5759"/>
      <c r="SR16" s="5759"/>
      <c r="SS16" s="5759"/>
      <c r="ST16" s="5759"/>
      <c r="SU16" s="5759"/>
      <c r="SV16" s="5752"/>
      <c r="SW16" s="5970"/>
      <c r="SX16" s="5970"/>
      <c r="SY16" s="5750"/>
      <c r="SZ16" s="5741"/>
      <c r="TA16" s="5753"/>
      <c r="TD16" s="372">
        <f t="shared" si="14"/>
        <v>0</v>
      </c>
      <c r="TF16" s="5753"/>
      <c r="TG16" s="5750"/>
      <c r="TH16" s="5750"/>
      <c r="TI16" s="5750"/>
      <c r="TJ16" s="5754"/>
      <c r="TK16" s="5755"/>
      <c r="TL16" s="5756"/>
      <c r="TM16" s="5756"/>
      <c r="TN16" s="5756"/>
      <c r="TO16" s="5757"/>
      <c r="TP16" s="5901"/>
      <c r="TQ16" s="5750"/>
      <c r="TR16" s="5750"/>
      <c r="TS16" s="5750"/>
      <c r="TT16" s="5750"/>
      <c r="TU16" s="5902"/>
      <c r="TV16" s="5759"/>
      <c r="TW16" s="5759"/>
      <c r="TX16" s="5759"/>
      <c r="TY16" s="5759"/>
      <c r="TZ16" s="5759"/>
      <c r="UA16" s="5759"/>
      <c r="UB16" s="5759"/>
      <c r="UC16" s="5759"/>
      <c r="UD16" s="5899"/>
      <c r="UE16" s="5759"/>
      <c r="UF16" s="5760"/>
      <c r="UG16" s="5760"/>
      <c r="UH16" s="5759"/>
      <c r="UI16" s="5759"/>
      <c r="UJ16" s="5750"/>
      <c r="UK16" s="5750"/>
      <c r="UL16" s="5761"/>
      <c r="UM16" s="5750"/>
      <c r="UN16" s="5741"/>
      <c r="UO16" s="5900"/>
      <c r="UP16" s="5756"/>
      <c r="UQ16" s="5756"/>
      <c r="UR16" s="5757"/>
      <c r="US16" s="5741"/>
      <c r="UU16" s="622">
        <f t="shared" si="78"/>
        <v>0</v>
      </c>
      <c r="UV16" s="622">
        <f t="shared" si="78"/>
        <v>0</v>
      </c>
      <c r="UW16" s="622">
        <f t="shared" si="78"/>
        <v>0</v>
      </c>
      <c r="UY16" s="5758"/>
      <c r="UZ16" s="5750"/>
      <c r="VA16" s="5750"/>
      <c r="VB16" s="5750"/>
      <c r="VC16" s="5754"/>
      <c r="VD16" s="5758"/>
      <c r="VE16" s="5761"/>
      <c r="VF16" s="5761"/>
      <c r="VG16" s="5761"/>
      <c r="VH16" s="5764"/>
      <c r="VI16" s="5758"/>
      <c r="VJ16" s="5750"/>
      <c r="VK16" s="5750"/>
      <c r="VL16" s="5750"/>
      <c r="VM16" s="5764"/>
      <c r="VN16" s="5758"/>
      <c r="VO16" s="5750"/>
      <c r="VP16" s="5750"/>
      <c r="VQ16" s="5750"/>
      <c r="VR16" s="5741"/>
    </row>
    <row r="17" spans="1:590" s="122" customFormat="1" hidden="1" x14ac:dyDescent="0.3">
      <c r="A17" s="2906"/>
      <c r="B17" s="1804" t="s">
        <v>53</v>
      </c>
      <c r="C17" s="5959" t="s">
        <v>742</v>
      </c>
      <c r="D17" s="1785" t="s">
        <v>747</v>
      </c>
      <c r="E17" s="5973">
        <v>43244</v>
      </c>
      <c r="F17" s="5973">
        <v>43608</v>
      </c>
      <c r="G17" s="5974">
        <v>53000</v>
      </c>
      <c r="H17" s="1775"/>
      <c r="I17" s="1776"/>
      <c r="J17" s="1776"/>
      <c r="K17" s="1776"/>
      <c r="L17" s="1777"/>
      <c r="M17" s="1778"/>
      <c r="N17" s="1779"/>
      <c r="O17" s="1779"/>
      <c r="P17" s="1779"/>
      <c r="Q17" s="1780"/>
      <c r="R17" s="5975" t="s">
        <v>238</v>
      </c>
      <c r="S17" s="1783">
        <v>45001</v>
      </c>
      <c r="T17" s="1783">
        <v>51410</v>
      </c>
      <c r="U17" s="1776">
        <f t="shared" si="2"/>
        <v>6409</v>
      </c>
      <c r="V17" s="1777">
        <f>U17/T17</f>
        <v>0.1246644621668936</v>
      </c>
      <c r="W17" s="5976">
        <v>1</v>
      </c>
      <c r="X17" s="1783">
        <v>45001</v>
      </c>
      <c r="Y17" s="1783">
        <v>47700</v>
      </c>
      <c r="Z17" s="1776">
        <f t="shared" si="3"/>
        <v>2699</v>
      </c>
      <c r="AA17" s="1777">
        <f>Z17/Y17</f>
        <v>5.6582809224318659E-2</v>
      </c>
      <c r="AB17" s="5977">
        <v>1</v>
      </c>
      <c r="AC17" s="1783">
        <v>45001</v>
      </c>
      <c r="AD17" s="1783">
        <v>53000</v>
      </c>
      <c r="AE17" s="1776">
        <f t="shared" si="4"/>
        <v>7999</v>
      </c>
      <c r="AF17" s="1777">
        <f>AE17/AD17</f>
        <v>0.1509245283018868</v>
      </c>
      <c r="AG17" s="1785">
        <v>1</v>
      </c>
      <c r="AH17" s="1776">
        <v>45001</v>
      </c>
      <c r="AI17" s="1776">
        <v>49290</v>
      </c>
      <c r="AJ17" s="1786">
        <f t="shared" si="5"/>
        <v>4289</v>
      </c>
      <c r="AK17" s="1777">
        <f>AJ17/AI17</f>
        <v>8.7015621829985804E-2</v>
      </c>
      <c r="AL17" s="1785">
        <v>1</v>
      </c>
      <c r="AM17" s="1781">
        <v>45001</v>
      </c>
      <c r="AN17" s="1781">
        <v>49820</v>
      </c>
      <c r="AO17" s="1781">
        <f t="shared" si="79"/>
        <v>4819</v>
      </c>
      <c r="AP17" s="1777">
        <f>AO17/AN17</f>
        <v>9.6728221597751907E-2</v>
      </c>
      <c r="AQ17" s="1787">
        <v>1</v>
      </c>
      <c r="AR17" s="1781">
        <v>45001</v>
      </c>
      <c r="AS17" s="1781">
        <v>51410</v>
      </c>
      <c r="AT17" s="1789">
        <f t="shared" si="15"/>
        <v>6409</v>
      </c>
      <c r="AU17" s="1777">
        <f>AT17/AS17</f>
        <v>0.1246644621668936</v>
      </c>
      <c r="AV17" s="1790">
        <v>1</v>
      </c>
      <c r="AW17" s="1781">
        <v>45001</v>
      </c>
      <c r="AX17" s="1781">
        <v>51410</v>
      </c>
      <c r="AY17" s="1781">
        <f t="shared" si="16"/>
        <v>6409</v>
      </c>
      <c r="AZ17" s="1777">
        <f>AY17/AX17</f>
        <v>0.1246644621668936</v>
      </c>
      <c r="BA17" s="1791">
        <v>1</v>
      </c>
      <c r="BB17" s="1783">
        <v>43547</v>
      </c>
      <c r="BC17" s="1776">
        <v>49820</v>
      </c>
      <c r="BD17" s="1781">
        <f t="shared" ref="BD17:BD23" si="81">BC17-BB17</f>
        <v>6273</v>
      </c>
      <c r="BE17" s="1780">
        <f t="shared" ref="BE17:BE24" si="82">BD17/BC17</f>
        <v>0.12591328783621036</v>
      </c>
      <c r="BF17" s="1790">
        <v>1</v>
      </c>
      <c r="BG17" s="1781">
        <v>45001</v>
      </c>
      <c r="BH17" s="1781">
        <v>43460</v>
      </c>
      <c r="BI17" s="1781">
        <f t="shared" ref="BI17:BI24" si="83">BH17-BG17</f>
        <v>-1541</v>
      </c>
      <c r="BJ17" s="1780">
        <f>BI17/BH17</f>
        <v>-3.5457892314772206E-2</v>
      </c>
      <c r="BK17" s="1790">
        <v>1</v>
      </c>
      <c r="BL17" s="1783">
        <v>45000</v>
      </c>
      <c r="BM17" s="2577">
        <v>53000</v>
      </c>
      <c r="BN17" s="1781">
        <f t="shared" ref="BN17:BN24" si="84">BM17-BL17</f>
        <v>8000</v>
      </c>
      <c r="BO17" s="5978">
        <f>BN17/BM17</f>
        <v>0.15094339622641509</v>
      </c>
      <c r="BP17" s="1937">
        <f t="shared" si="21"/>
        <v>0.83333333333333337</v>
      </c>
      <c r="BQ17" s="1796">
        <f t="shared" si="22"/>
        <v>448555</v>
      </c>
      <c r="BR17" s="1786">
        <f t="shared" si="22"/>
        <v>500320</v>
      </c>
      <c r="BS17" s="1797">
        <f t="shared" si="7"/>
        <v>51765</v>
      </c>
      <c r="BT17" s="1798">
        <f t="shared" si="23"/>
        <v>1</v>
      </c>
      <c r="BU17" s="1786">
        <f t="shared" si="24"/>
        <v>51410</v>
      </c>
      <c r="BV17" s="1786">
        <f t="shared" si="24"/>
        <v>6409</v>
      </c>
      <c r="BW17" s="1799">
        <f>BV17/BU17</f>
        <v>0.1246644621668936</v>
      </c>
      <c r="BX17" s="1800">
        <f t="shared" si="25"/>
        <v>3</v>
      </c>
      <c r="BY17" s="1786">
        <f t="shared" si="26"/>
        <v>149990</v>
      </c>
      <c r="BZ17" s="1786">
        <f t="shared" si="26"/>
        <v>14987</v>
      </c>
      <c r="CA17" s="1801"/>
      <c r="CB17" s="1802">
        <f t="shared" si="27"/>
        <v>3</v>
      </c>
      <c r="CC17" s="1786">
        <f t="shared" si="75"/>
        <v>152640</v>
      </c>
      <c r="CD17" s="1786">
        <f t="shared" si="75"/>
        <v>17637</v>
      </c>
      <c r="CE17" s="1803"/>
      <c r="CF17" s="1800">
        <f t="shared" si="28"/>
        <v>3</v>
      </c>
      <c r="CG17" s="1776">
        <f t="shared" si="29"/>
        <v>146280</v>
      </c>
      <c r="CH17" s="1776">
        <f t="shared" si="29"/>
        <v>12732</v>
      </c>
      <c r="CI17" s="1801"/>
      <c r="CJ17" s="1804">
        <v>1</v>
      </c>
      <c r="CK17" s="1783">
        <v>11000</v>
      </c>
      <c r="CL17" s="2577">
        <v>14310</v>
      </c>
      <c r="CM17" s="1776">
        <f t="shared" si="80"/>
        <v>3310</v>
      </c>
      <c r="CN17" s="1799">
        <f>CM17/CL17</f>
        <v>0.23130677847658979</v>
      </c>
      <c r="CO17" s="1804"/>
      <c r="CP17" s="1776">
        <v>0</v>
      </c>
      <c r="CQ17" s="1776">
        <v>0</v>
      </c>
      <c r="CR17" s="1776">
        <f t="shared" ref="CR17:CR31" si="85">CQ17-CP17</f>
        <v>0</v>
      </c>
      <c r="CS17" s="1799">
        <v>0</v>
      </c>
      <c r="CT17" s="1804"/>
      <c r="CU17" s="1776">
        <v>0</v>
      </c>
      <c r="CV17" s="1776">
        <v>0</v>
      </c>
      <c r="CW17" s="1776">
        <f t="shared" ref="CW17:CW31" si="86">CV17-CU17</f>
        <v>0</v>
      </c>
      <c r="CX17" s="1799"/>
      <c r="CY17" s="1804"/>
      <c r="CZ17" s="1776"/>
      <c r="DA17" s="1776"/>
      <c r="DB17" s="1776">
        <f t="shared" ref="DB17:DB31" si="87">DA17-CZ17</f>
        <v>0</v>
      </c>
      <c r="DC17" s="1799">
        <v>0</v>
      </c>
      <c r="DD17" s="1805"/>
      <c r="DE17" s="1806"/>
      <c r="DF17" s="1806"/>
      <c r="DG17" s="1783">
        <f t="shared" si="30"/>
        <v>0</v>
      </c>
      <c r="DH17" s="1807" t="s">
        <v>732</v>
      </c>
      <c r="DI17" s="1804"/>
      <c r="DJ17" s="1806"/>
      <c r="DK17" s="1806"/>
      <c r="DL17" s="1776">
        <f t="shared" ref="DL17:DL31" si="88">DK17-DJ17</f>
        <v>0</v>
      </c>
      <c r="DM17" s="1807" t="s">
        <v>732</v>
      </c>
      <c r="DN17" s="1804"/>
      <c r="DO17" s="1776"/>
      <c r="DP17" s="1776"/>
      <c r="DQ17" s="1776"/>
      <c r="DR17" s="1807">
        <v>0</v>
      </c>
      <c r="DS17" s="1804"/>
      <c r="DT17" s="1776"/>
      <c r="DU17" s="1776"/>
      <c r="DV17" s="1776"/>
      <c r="DW17" s="1801"/>
      <c r="DX17" s="1804"/>
      <c r="DY17" s="1776"/>
      <c r="DZ17" s="1776"/>
      <c r="EA17" s="1776">
        <f t="shared" si="31"/>
        <v>0</v>
      </c>
      <c r="EB17" s="1807" t="e">
        <f t="shared" si="32"/>
        <v>#DIV/0!</v>
      </c>
      <c r="EC17" s="1804"/>
      <c r="ED17" s="1776"/>
      <c r="EE17" s="1776"/>
      <c r="EF17" s="1786">
        <f t="shared" si="33"/>
        <v>0</v>
      </c>
      <c r="EG17" s="1938"/>
      <c r="EH17" s="1804"/>
      <c r="EI17" s="1776"/>
      <c r="EJ17" s="1776"/>
      <c r="EK17" s="1776">
        <f t="shared" si="34"/>
        <v>0</v>
      </c>
      <c r="EL17" s="1807" t="e">
        <f t="shared" si="35"/>
        <v>#DIV/0!</v>
      </c>
      <c r="EM17" s="1804"/>
      <c r="EN17" s="1776"/>
      <c r="EO17" s="1776"/>
      <c r="EP17" s="1776">
        <f t="shared" si="36"/>
        <v>0</v>
      </c>
      <c r="EQ17" s="1807" t="e">
        <f t="shared" si="37"/>
        <v>#DIV/0!</v>
      </c>
      <c r="ER17" s="2402">
        <f t="shared" si="38"/>
        <v>8.3333333333333329E-2</v>
      </c>
      <c r="ES17" s="2403">
        <f t="shared" si="39"/>
        <v>11000</v>
      </c>
      <c r="ET17" s="2403">
        <f t="shared" si="39"/>
        <v>14310</v>
      </c>
      <c r="EU17" s="2403">
        <f t="shared" si="39"/>
        <v>3310</v>
      </c>
      <c r="EV17" s="2404">
        <f t="shared" si="40"/>
        <v>0.23130677847658979</v>
      </c>
      <c r="EW17" s="1814">
        <f t="shared" ref="EW17:EW31" si="89">(CJ17+CO17+CT17)/3</f>
        <v>0.33333333333333331</v>
      </c>
      <c r="EX17" s="1776">
        <f t="shared" ref="EX17:EY31" si="90">CL17+CQ17+CV17</f>
        <v>14310</v>
      </c>
      <c r="EY17" s="1776">
        <f t="shared" si="90"/>
        <v>3310</v>
      </c>
      <c r="EZ17" s="1815">
        <f t="shared" si="41"/>
        <v>0.23130677847658979</v>
      </c>
      <c r="FA17" s="1805">
        <f t="shared" si="74"/>
        <v>0</v>
      </c>
      <c r="FB17" s="1786">
        <f t="shared" si="42"/>
        <v>0</v>
      </c>
      <c r="FC17" s="1786">
        <f t="shared" si="42"/>
        <v>0</v>
      </c>
      <c r="FD17" s="1799" t="e">
        <f t="shared" si="43"/>
        <v>#DIV/0!</v>
      </c>
      <c r="FE17" s="5979"/>
      <c r="FF17" s="1806"/>
      <c r="FG17" s="1806"/>
      <c r="FH17" s="1815" t="e">
        <f t="shared" si="44"/>
        <v>#DIV/0!</v>
      </c>
      <c r="FI17" s="1816">
        <f t="shared" si="45"/>
        <v>0</v>
      </c>
      <c r="FJ17" s="1814"/>
      <c r="FK17" s="1786">
        <f t="shared" si="46"/>
        <v>0</v>
      </c>
      <c r="FL17" s="1786">
        <f t="shared" si="46"/>
        <v>0</v>
      </c>
      <c r="FM17" s="1799" t="e">
        <f t="shared" si="47"/>
        <v>#DIV/0!</v>
      </c>
      <c r="FN17" s="1817"/>
      <c r="FO17" s="1818"/>
      <c r="FP17" s="1818"/>
      <c r="FQ17" s="1818">
        <f t="shared" si="48"/>
        <v>0</v>
      </c>
      <c r="FR17" s="1819" t="e">
        <f t="shared" si="49"/>
        <v>#DIV/0!</v>
      </c>
      <c r="FS17" s="1820"/>
      <c r="FT17" s="1818"/>
      <c r="FU17" s="1818"/>
      <c r="FV17" s="1818">
        <f t="shared" si="50"/>
        <v>0</v>
      </c>
      <c r="FW17" s="1821" t="e">
        <f t="shared" si="51"/>
        <v>#DIV/0!</v>
      </c>
      <c r="FX17" s="1820"/>
      <c r="FY17" s="1822"/>
      <c r="FZ17" s="1822"/>
      <c r="GA17" s="1818">
        <f t="shared" si="52"/>
        <v>0</v>
      </c>
      <c r="GB17" s="1821" t="e">
        <f t="shared" si="53"/>
        <v>#DIV/0!</v>
      </c>
      <c r="GC17" s="1823"/>
      <c r="GD17" s="1824"/>
      <c r="GE17" s="1824"/>
      <c r="GF17" s="1818">
        <f t="shared" si="54"/>
        <v>0</v>
      </c>
      <c r="GG17" s="1821" t="e">
        <f t="shared" si="55"/>
        <v>#DIV/0!</v>
      </c>
      <c r="GH17" s="1823"/>
      <c r="GI17" s="1824"/>
      <c r="GJ17" s="1824"/>
      <c r="GK17" s="1818">
        <f t="shared" si="56"/>
        <v>0</v>
      </c>
      <c r="GL17" s="1821" t="e">
        <f t="shared" si="57"/>
        <v>#DIV/0!</v>
      </c>
      <c r="GM17" s="1839"/>
      <c r="GN17" s="1839"/>
      <c r="GO17" s="1839"/>
      <c r="GP17" s="1839"/>
      <c r="GQ17" s="1839"/>
      <c r="GR17" s="1839"/>
      <c r="GS17" s="1839"/>
      <c r="GT17" s="1839"/>
      <c r="GU17" s="1839"/>
      <c r="GV17" s="1660"/>
      <c r="GW17" s="1839"/>
      <c r="GX17" s="1839"/>
      <c r="GY17" s="1839"/>
      <c r="GZ17" s="1839"/>
      <c r="HA17" s="1660"/>
      <c r="HB17" s="1839"/>
      <c r="HC17" s="1839"/>
      <c r="HD17" s="1839"/>
      <c r="HE17" s="1839"/>
      <c r="HF17" s="1660"/>
      <c r="HG17" s="1839"/>
      <c r="HH17" s="1839"/>
      <c r="HI17" s="1839"/>
      <c r="HJ17" s="1839"/>
      <c r="HK17" s="1660"/>
      <c r="HL17" s="1839"/>
      <c r="HM17" s="1839"/>
      <c r="HN17" s="1839"/>
      <c r="HO17" s="1839"/>
      <c r="HP17" s="1660"/>
      <c r="HQ17" s="1839"/>
      <c r="HR17" s="1839"/>
      <c r="HS17" s="1839"/>
      <c r="HT17" s="1839"/>
      <c r="HU17" s="1839"/>
      <c r="HV17" s="5941">
        <f t="shared" si="8"/>
        <v>0</v>
      </c>
      <c r="HW17" s="622">
        <f t="shared" si="9"/>
        <v>0</v>
      </c>
      <c r="HX17" s="622">
        <f t="shared" si="9"/>
        <v>0</v>
      </c>
      <c r="HY17" s="622">
        <f t="shared" si="9"/>
        <v>0</v>
      </c>
      <c r="HZ17" s="5980"/>
      <c r="IA17" s="1907">
        <f t="shared" si="58"/>
        <v>0</v>
      </c>
      <c r="IB17" s="1908">
        <f t="shared" si="59"/>
        <v>0</v>
      </c>
      <c r="IC17" s="1908">
        <f t="shared" si="59"/>
        <v>0</v>
      </c>
      <c r="ID17" s="1909" t="e">
        <f t="shared" si="60"/>
        <v>#DIV/0!</v>
      </c>
      <c r="IE17" s="5981"/>
      <c r="IF17" s="5876"/>
      <c r="IG17" s="5876"/>
      <c r="IH17" s="5877"/>
      <c r="II17" s="5982"/>
      <c r="IJ17" s="5876"/>
      <c r="IK17" s="5876"/>
      <c r="IL17" s="5877"/>
      <c r="IM17" s="5875"/>
      <c r="IN17" s="5876"/>
      <c r="IO17" s="5876"/>
      <c r="IP17" s="5878"/>
      <c r="IQ17" s="1839"/>
      <c r="IR17" s="5983"/>
      <c r="IS17" s="1818"/>
      <c r="IT17" s="1818"/>
      <c r="IU17" s="1818">
        <f t="shared" si="61"/>
        <v>0</v>
      </c>
      <c r="IV17" s="1819" t="e">
        <f t="shared" si="62"/>
        <v>#DIV/0!</v>
      </c>
      <c r="IW17" s="1820"/>
      <c r="IX17" s="1818"/>
      <c r="IY17" s="1818"/>
      <c r="IZ17" s="1818">
        <f t="shared" si="63"/>
        <v>0</v>
      </c>
      <c r="JA17" s="1821" t="e">
        <f t="shared" si="64"/>
        <v>#DIV/0!</v>
      </c>
      <c r="JB17" s="1984"/>
      <c r="JC17" s="1822"/>
      <c r="JD17" s="1822"/>
      <c r="JE17" s="1818">
        <f t="shared" si="65"/>
        <v>0</v>
      </c>
      <c r="JF17" s="1821" t="e">
        <f t="shared" si="66"/>
        <v>#DIV/0!</v>
      </c>
      <c r="JG17" s="1981"/>
      <c r="JH17" s="1824"/>
      <c r="JI17" s="1824"/>
      <c r="JJ17" s="1818">
        <f t="shared" si="67"/>
        <v>0</v>
      </c>
      <c r="JK17" s="1821" t="e">
        <f t="shared" si="68"/>
        <v>#DIV/0!</v>
      </c>
      <c r="JL17" s="1823"/>
      <c r="JM17" s="1824"/>
      <c r="JN17" s="1824"/>
      <c r="JO17" s="1818">
        <f t="shared" si="69"/>
        <v>0</v>
      </c>
      <c r="JP17" s="1821" t="e">
        <f t="shared" si="70"/>
        <v>#DIV/0!</v>
      </c>
      <c r="JQ17" s="5948"/>
      <c r="JR17" s="1839"/>
      <c r="JS17" s="1839"/>
      <c r="JT17" s="1839"/>
      <c r="JU17" s="1839"/>
      <c r="JV17" s="5984"/>
      <c r="JW17" s="1839"/>
      <c r="JX17" s="1839"/>
      <c r="JY17" s="1839"/>
      <c r="JZ17" s="1660"/>
      <c r="KA17" s="1839"/>
      <c r="KB17" s="1839"/>
      <c r="KC17" s="1839"/>
      <c r="KD17" s="1839"/>
      <c r="KE17" s="1660"/>
      <c r="KF17" s="5951"/>
      <c r="KG17" s="1839"/>
      <c r="KH17" s="1839"/>
      <c r="KI17" s="1839"/>
      <c r="KJ17" s="1660"/>
      <c r="KK17" s="5951"/>
      <c r="KL17" s="1839"/>
      <c r="KM17" s="1839"/>
      <c r="KN17" s="1839"/>
      <c r="KO17" s="1660"/>
      <c r="KP17" s="1659"/>
      <c r="KQ17" s="1839"/>
      <c r="KR17" s="1839"/>
      <c r="KS17" s="1839"/>
      <c r="KT17" s="1839"/>
      <c r="KU17" s="1659"/>
      <c r="KV17" s="1839"/>
      <c r="KW17" s="1839"/>
      <c r="KX17" s="1839"/>
      <c r="KY17" s="1660"/>
      <c r="KZ17" s="5739">
        <f t="shared" si="10"/>
        <v>0</v>
      </c>
      <c r="LA17" s="5740">
        <f t="shared" si="11"/>
        <v>0</v>
      </c>
      <c r="LB17" s="5740">
        <f t="shared" si="11"/>
        <v>0</v>
      </c>
      <c r="LC17" s="5740">
        <f t="shared" si="11"/>
        <v>0</v>
      </c>
      <c r="LD17" s="1660"/>
      <c r="LE17" s="1912">
        <f t="shared" si="71"/>
        <v>0</v>
      </c>
      <c r="LF17" s="1908">
        <f t="shared" si="72"/>
        <v>0</v>
      </c>
      <c r="LG17" s="1908">
        <f t="shared" si="72"/>
        <v>0</v>
      </c>
      <c r="LH17" s="1909"/>
      <c r="LI17" s="5875"/>
      <c r="LJ17" s="5876"/>
      <c r="LK17" s="5876"/>
      <c r="LL17" s="5877"/>
      <c r="LM17" s="1907"/>
      <c r="LN17" s="5876"/>
      <c r="LO17" s="5876"/>
      <c r="LP17" s="5877"/>
      <c r="LQ17" s="5875"/>
      <c r="LR17" s="1836">
        <f t="shared" si="76"/>
        <v>0</v>
      </c>
      <c r="LS17" s="1836">
        <f t="shared" si="76"/>
        <v>0</v>
      </c>
      <c r="LT17" s="5878"/>
      <c r="LV17" s="691"/>
      <c r="LW17" s="1839"/>
      <c r="LX17" s="1839"/>
      <c r="LY17" s="1839"/>
      <c r="LZ17" s="5879"/>
      <c r="MF17" s="5880"/>
      <c r="MG17" s="4965"/>
      <c r="MH17" s="4965"/>
      <c r="MI17" s="1839"/>
      <c r="MJ17" s="1660"/>
      <c r="MK17" s="5881"/>
      <c r="MN17" s="372">
        <f t="shared" si="12"/>
        <v>0</v>
      </c>
      <c r="MP17" s="5881"/>
      <c r="MQ17" s="1839"/>
      <c r="MR17" s="1839"/>
      <c r="MS17" s="1839"/>
      <c r="MT17" s="693"/>
      <c r="MU17" s="2035"/>
      <c r="MV17" s="1914"/>
      <c r="MW17" s="1914"/>
      <c r="MX17" s="1914"/>
      <c r="MY17" s="5882"/>
      <c r="MZ17" s="1659"/>
      <c r="NA17" s="1839"/>
      <c r="NB17" s="1839"/>
      <c r="NC17" s="1839"/>
      <c r="ND17" s="1839"/>
      <c r="NO17" s="5883"/>
      <c r="NP17" s="2425"/>
      <c r="NQ17" s="2425"/>
      <c r="NR17" s="5883"/>
      <c r="NT17" s="1839"/>
      <c r="NU17" s="1839"/>
      <c r="NV17" s="715"/>
      <c r="NW17" s="1839"/>
      <c r="NX17" s="1660"/>
      <c r="NY17" s="5884"/>
      <c r="NZ17" s="1914"/>
      <c r="OA17" s="1914"/>
      <c r="OB17" s="5882"/>
      <c r="OC17" s="1660"/>
      <c r="OE17" s="5885"/>
      <c r="OF17" s="5885"/>
      <c r="OG17" s="715"/>
      <c r="OH17" s="1660"/>
      <c r="OI17" s="1659"/>
      <c r="OJ17" s="1839"/>
      <c r="OK17" s="1839"/>
      <c r="OL17" s="1839"/>
      <c r="OM17" s="693"/>
      <c r="ON17" s="1659"/>
      <c r="OO17" s="715"/>
      <c r="OP17" s="715"/>
      <c r="OQ17" s="715"/>
      <c r="OR17" s="705"/>
      <c r="OS17" s="1659"/>
      <c r="OT17" s="1839"/>
      <c r="OU17" s="1839"/>
      <c r="OV17" s="1839"/>
      <c r="OW17" s="705"/>
      <c r="OX17" s="1659"/>
      <c r="OY17" s="1839"/>
      <c r="OZ17" s="1839"/>
      <c r="PA17" s="1839"/>
      <c r="PB17" s="1660"/>
      <c r="PD17" s="691"/>
      <c r="PE17" s="1839"/>
      <c r="PF17" s="1839"/>
      <c r="PG17" s="1839"/>
      <c r="PH17" s="5879"/>
      <c r="PN17" s="5880"/>
      <c r="PO17" s="4965"/>
      <c r="PP17" s="4965"/>
      <c r="PQ17" s="1839"/>
      <c r="PR17" s="1660"/>
      <c r="PS17" s="5886"/>
      <c r="PT17" s="5883"/>
      <c r="PU17" s="5883"/>
      <c r="PV17" s="2892">
        <f t="shared" si="13"/>
        <v>0</v>
      </c>
      <c r="PW17" s="5883"/>
      <c r="PX17" s="5881"/>
      <c r="PY17" s="1839"/>
      <c r="PZ17" s="1839"/>
      <c r="QA17" s="1839"/>
      <c r="QB17" s="693"/>
      <c r="QC17" s="2035"/>
      <c r="QD17" s="1914"/>
      <c r="QE17" s="1914"/>
      <c r="QF17" s="1914"/>
      <c r="QG17" s="5882"/>
      <c r="QH17" s="1910"/>
      <c r="QI17" s="1839"/>
      <c r="QJ17" s="1839"/>
      <c r="QK17" s="1839"/>
      <c r="QL17" s="1839"/>
      <c r="QM17" s="5880"/>
      <c r="QR17" s="5883"/>
      <c r="QS17" s="5883"/>
      <c r="QT17" s="5883"/>
      <c r="QU17" s="5883"/>
      <c r="QV17" s="1677"/>
      <c r="QW17" s="5883"/>
      <c r="QX17" s="2425"/>
      <c r="QY17" s="2425"/>
      <c r="QZ17" s="5883"/>
      <c r="RA17" s="5883"/>
      <c r="RB17" s="1839"/>
      <c r="RC17" s="1839"/>
      <c r="RD17" s="715"/>
      <c r="RE17" s="1839"/>
      <c r="RF17" s="1660"/>
      <c r="RG17" s="2037"/>
      <c r="RH17" s="1914"/>
      <c r="RI17" s="1914"/>
      <c r="RJ17" s="5882"/>
      <c r="RK17" s="1660"/>
      <c r="RL17" s="5883"/>
      <c r="RM17" s="1873">
        <f t="shared" si="77"/>
        <v>0</v>
      </c>
      <c r="RN17" s="1873">
        <f t="shared" si="77"/>
        <v>0</v>
      </c>
      <c r="RO17" s="1873">
        <f t="shared" si="77"/>
        <v>0</v>
      </c>
      <c r="RP17" s="5883"/>
      <c r="RQ17" s="1659"/>
      <c r="RR17" s="1839"/>
      <c r="RS17" s="1839"/>
      <c r="RT17" s="1839"/>
      <c r="RU17" s="693"/>
      <c r="RV17" s="1659"/>
      <c r="RW17" s="715"/>
      <c r="RX17" s="715"/>
      <c r="RY17" s="715"/>
      <c r="RZ17" s="705"/>
      <c r="SA17" s="1659"/>
      <c r="SB17" s="1839"/>
      <c r="SC17" s="1839"/>
      <c r="SD17" s="1839"/>
      <c r="SE17" s="705"/>
      <c r="SF17" s="1659"/>
      <c r="SG17" s="1839"/>
      <c r="SH17" s="1839"/>
      <c r="SI17" s="1839"/>
      <c r="SJ17" s="1660"/>
      <c r="SL17" s="5887"/>
      <c r="SM17" s="5882"/>
      <c r="SN17" s="5882"/>
      <c r="SO17" s="5882"/>
      <c r="SP17" s="5888"/>
      <c r="SQ17" s="5883"/>
      <c r="SR17" s="5883"/>
      <c r="SS17" s="5883"/>
      <c r="ST17" s="5883"/>
      <c r="SU17" s="5883"/>
      <c r="SV17" s="5880"/>
      <c r="SW17" s="4965"/>
      <c r="SX17" s="4965"/>
      <c r="SY17" s="1839"/>
      <c r="SZ17" s="1660"/>
      <c r="TA17" s="5881"/>
      <c r="TD17" s="372">
        <f t="shared" si="14"/>
        <v>0</v>
      </c>
      <c r="TF17" s="5881"/>
      <c r="TG17" s="1839"/>
      <c r="TH17" s="1839"/>
      <c r="TI17" s="1839"/>
      <c r="TJ17" s="693"/>
      <c r="TK17" s="2035"/>
      <c r="TL17" s="1914"/>
      <c r="TM17" s="1914"/>
      <c r="TN17" s="1914"/>
      <c r="TO17" s="5882"/>
      <c r="TP17" s="2407"/>
      <c r="TQ17" s="1839"/>
      <c r="TR17" s="1839"/>
      <c r="TS17" s="1839"/>
      <c r="TT17" s="1839"/>
      <c r="TU17" s="5889"/>
      <c r="TV17" s="5883"/>
      <c r="TW17" s="5883"/>
      <c r="TX17" s="5883"/>
      <c r="TY17" s="5883"/>
      <c r="TZ17" s="5883"/>
      <c r="UA17" s="5883"/>
      <c r="UB17" s="5883"/>
      <c r="UC17" s="5883"/>
      <c r="UD17" s="1677"/>
      <c r="UE17" s="5883"/>
      <c r="UF17" s="2425"/>
      <c r="UG17" s="2425"/>
      <c r="UH17" s="5883"/>
      <c r="UI17" s="5883"/>
      <c r="UJ17" s="1839"/>
      <c r="UK17" s="1839"/>
      <c r="UL17" s="715"/>
      <c r="UM17" s="1839"/>
      <c r="UN17" s="1660"/>
      <c r="UO17" s="2037"/>
      <c r="UP17" s="1914"/>
      <c r="UQ17" s="1914"/>
      <c r="UR17" s="5882"/>
      <c r="US17" s="1660"/>
      <c r="UU17" s="622">
        <f t="shared" si="78"/>
        <v>0</v>
      </c>
      <c r="UV17" s="622">
        <f t="shared" si="78"/>
        <v>0</v>
      </c>
      <c r="UW17" s="622">
        <f t="shared" si="78"/>
        <v>0</v>
      </c>
      <c r="UY17" s="1659"/>
      <c r="UZ17" s="1839"/>
      <c r="VA17" s="1839"/>
      <c r="VB17" s="1839"/>
      <c r="VC17" s="693"/>
      <c r="VD17" s="1659"/>
      <c r="VE17" s="715"/>
      <c r="VF17" s="715"/>
      <c r="VG17" s="715"/>
      <c r="VH17" s="705"/>
      <c r="VI17" s="1659"/>
      <c r="VJ17" s="1839"/>
      <c r="VK17" s="1839"/>
      <c r="VL17" s="1839"/>
      <c r="VM17" s="705"/>
      <c r="VN17" s="1659"/>
      <c r="VO17" s="1839"/>
      <c r="VP17" s="1839"/>
      <c r="VQ17" s="1839"/>
      <c r="VR17" s="1660"/>
    </row>
    <row r="18" spans="1:590" s="122" customFormat="1" hidden="1" x14ac:dyDescent="0.3">
      <c r="A18" s="2906"/>
      <c r="B18" s="1804" t="s">
        <v>53</v>
      </c>
      <c r="C18" s="5959" t="s">
        <v>748</v>
      </c>
      <c r="D18" s="1781" t="s">
        <v>749</v>
      </c>
      <c r="E18" s="5973">
        <v>43344</v>
      </c>
      <c r="F18" s="5985">
        <v>43524</v>
      </c>
      <c r="G18" s="5974">
        <v>1724905</v>
      </c>
      <c r="H18" s="1775">
        <v>62</v>
      </c>
      <c r="I18" s="1776">
        <f>1321335+6666</f>
        <v>1328001</v>
      </c>
      <c r="J18" s="1776">
        <v>2029300</v>
      </c>
      <c r="K18" s="1776">
        <f t="shared" ref="K18:K23" si="91">J18-I18</f>
        <v>701299</v>
      </c>
      <c r="L18" s="1777">
        <f>K18/J18</f>
        <v>0.34558665549696937</v>
      </c>
      <c r="M18" s="5986">
        <v>60</v>
      </c>
      <c r="N18" s="1779">
        <v>1322106</v>
      </c>
      <c r="O18" s="1779">
        <v>2029300</v>
      </c>
      <c r="P18" s="1779">
        <f t="shared" ref="P18:P24" si="92">O18-N18</f>
        <v>707194</v>
      </c>
      <c r="Q18" s="1780">
        <f>P18/O18</f>
        <v>0.34849159808801067</v>
      </c>
      <c r="R18" s="5977">
        <v>59</v>
      </c>
      <c r="S18" s="1783">
        <v>1297008</v>
      </c>
      <c r="T18" s="1776">
        <v>2029300</v>
      </c>
      <c r="U18" s="1776">
        <f t="shared" si="2"/>
        <v>732292</v>
      </c>
      <c r="V18" s="1777">
        <f>U18/T18</f>
        <v>0.36085940964864732</v>
      </c>
      <c r="W18" s="5987">
        <v>59</v>
      </c>
      <c r="X18" s="1783">
        <v>1336841</v>
      </c>
      <c r="Y18" s="2577">
        <v>2029300</v>
      </c>
      <c r="Z18" s="1776">
        <f t="shared" si="3"/>
        <v>692459</v>
      </c>
      <c r="AA18" s="1777">
        <f>Z18/Y18</f>
        <v>0.34123047356231212</v>
      </c>
      <c r="AB18" s="5977">
        <v>60</v>
      </c>
      <c r="AC18" s="1783">
        <v>1343951</v>
      </c>
      <c r="AD18" s="2577">
        <v>2029300</v>
      </c>
      <c r="AE18" s="1776">
        <f t="shared" si="4"/>
        <v>685349</v>
      </c>
      <c r="AF18" s="1777">
        <f>AE18/AD18</f>
        <v>0.3377268023456364</v>
      </c>
      <c r="AG18" s="1785">
        <v>60</v>
      </c>
      <c r="AH18" s="1776">
        <v>1360754</v>
      </c>
      <c r="AI18" s="1776">
        <f>'[7]mgnt data'!$CU$22</f>
        <v>1724905</v>
      </c>
      <c r="AJ18" s="1786">
        <f t="shared" si="5"/>
        <v>364151</v>
      </c>
      <c r="AK18" s="1777">
        <f>AJ18/AI18</f>
        <v>0.21111365553465264</v>
      </c>
      <c r="AL18" s="1785">
        <v>60</v>
      </c>
      <c r="AM18" s="1781">
        <v>1378101</v>
      </c>
      <c r="AN18" s="1781">
        <v>1724905</v>
      </c>
      <c r="AO18" s="1781">
        <f t="shared" si="79"/>
        <v>346804</v>
      </c>
      <c r="AP18" s="1777">
        <f>AO18/AN18</f>
        <v>0.20105686979862658</v>
      </c>
      <c r="AQ18" s="1787">
        <v>58</v>
      </c>
      <c r="AR18" s="1776">
        <f>1329416+5210</f>
        <v>1334626</v>
      </c>
      <c r="AS18" s="1776">
        <v>1724905</v>
      </c>
      <c r="AT18" s="1789">
        <f t="shared" si="15"/>
        <v>390279</v>
      </c>
      <c r="AU18" s="1777">
        <f>AT18/AS18</f>
        <v>0.22626115641151251</v>
      </c>
      <c r="AV18" s="1790">
        <v>58</v>
      </c>
      <c r="AW18" s="1776">
        <v>1449242</v>
      </c>
      <c r="AX18" s="1776">
        <v>1724905</v>
      </c>
      <c r="AY18" s="1781">
        <f t="shared" si="16"/>
        <v>275663</v>
      </c>
      <c r="AZ18" s="1777">
        <f>AY18/AX18</f>
        <v>0.15981343900098846</v>
      </c>
      <c r="BA18" s="1791">
        <v>57</v>
      </c>
      <c r="BB18" s="1781">
        <v>1362019</v>
      </c>
      <c r="BC18" s="1781">
        <v>1724905</v>
      </c>
      <c r="BD18" s="1781">
        <f t="shared" si="81"/>
        <v>362886</v>
      </c>
      <c r="BE18" s="1780">
        <f t="shared" si="82"/>
        <v>0.21038028181262156</v>
      </c>
      <c r="BF18" s="1790">
        <v>50</v>
      </c>
      <c r="BG18" s="1781">
        <v>1191736</v>
      </c>
      <c r="BH18" s="1776">
        <v>1724905</v>
      </c>
      <c r="BI18" s="1781">
        <f t="shared" si="83"/>
        <v>533169</v>
      </c>
      <c r="BJ18" s="1780">
        <f>BI18/BH18</f>
        <v>0.30910050118702187</v>
      </c>
      <c r="BK18" s="1790" t="s">
        <v>732</v>
      </c>
      <c r="BL18" s="1781">
        <v>0</v>
      </c>
      <c r="BM18" s="1776">
        <v>0</v>
      </c>
      <c r="BN18" s="1781">
        <f t="shared" si="84"/>
        <v>0</v>
      </c>
      <c r="BO18" s="5978"/>
      <c r="BP18" s="1937" t="e">
        <f t="shared" si="21"/>
        <v>#VALUE!</v>
      </c>
      <c r="BQ18" s="1796">
        <f t="shared" si="22"/>
        <v>14704385</v>
      </c>
      <c r="BR18" s="1786">
        <f t="shared" si="22"/>
        <v>20495930</v>
      </c>
      <c r="BS18" s="1797">
        <f t="shared" si="7"/>
        <v>5791545</v>
      </c>
      <c r="BT18" s="1798">
        <f t="shared" si="23"/>
        <v>181</v>
      </c>
      <c r="BU18" s="1786">
        <f t="shared" si="24"/>
        <v>6087900</v>
      </c>
      <c r="BV18" s="1786">
        <f t="shared" si="24"/>
        <v>2140785</v>
      </c>
      <c r="BW18" s="1799">
        <f>BV18/BU18</f>
        <v>0.35164588774454247</v>
      </c>
      <c r="BX18" s="1800">
        <f t="shared" si="25"/>
        <v>179</v>
      </c>
      <c r="BY18" s="1786">
        <f t="shared" si="26"/>
        <v>5783505</v>
      </c>
      <c r="BZ18" s="1786">
        <f t="shared" si="26"/>
        <v>1741959</v>
      </c>
      <c r="CA18" s="1801"/>
      <c r="CB18" s="1802">
        <f t="shared" si="27"/>
        <v>176</v>
      </c>
      <c r="CC18" s="1786">
        <f t="shared" si="75"/>
        <v>5174715</v>
      </c>
      <c r="CD18" s="1786">
        <f t="shared" si="75"/>
        <v>1012746</v>
      </c>
      <c r="CE18" s="1803"/>
      <c r="CF18" s="1800" t="e">
        <f t="shared" si="28"/>
        <v>#VALUE!</v>
      </c>
      <c r="CG18" s="1776">
        <f t="shared" si="29"/>
        <v>3449810</v>
      </c>
      <c r="CH18" s="1776">
        <f t="shared" si="29"/>
        <v>896055</v>
      </c>
      <c r="CI18" s="1801"/>
      <c r="CJ18" s="1804"/>
      <c r="CK18" s="1776"/>
      <c r="CL18" s="1776"/>
      <c r="CM18" s="1776">
        <f t="shared" si="80"/>
        <v>0</v>
      </c>
      <c r="CN18" s="1799"/>
      <c r="CO18" s="1804"/>
      <c r="CP18" s="1776"/>
      <c r="CQ18" s="1776"/>
      <c r="CR18" s="1776">
        <f t="shared" si="85"/>
        <v>0</v>
      </c>
      <c r="CS18" s="1799" t="e">
        <f>CR18/CQ18</f>
        <v>#DIV/0!</v>
      </c>
      <c r="CT18" s="1804"/>
      <c r="CU18" s="1776"/>
      <c r="CV18" s="1776"/>
      <c r="CW18" s="1776">
        <f t="shared" si="86"/>
        <v>0</v>
      </c>
      <c r="CX18" s="1799"/>
      <c r="CY18" s="1804"/>
      <c r="CZ18" s="1776"/>
      <c r="DA18" s="1776"/>
      <c r="DB18" s="1776">
        <f t="shared" si="87"/>
        <v>0</v>
      </c>
      <c r="DC18" s="1799" t="e">
        <f>DB18/DA18</f>
        <v>#DIV/0!</v>
      </c>
      <c r="DD18" s="1805"/>
      <c r="DE18" s="1806"/>
      <c r="DF18" s="1806"/>
      <c r="DG18" s="1783">
        <f t="shared" si="30"/>
        <v>0</v>
      </c>
      <c r="DH18" s="1807" t="e">
        <f>DG18/DF18</f>
        <v>#DIV/0!</v>
      </c>
      <c r="DI18" s="1804"/>
      <c r="DJ18" s="1806"/>
      <c r="DK18" s="1806"/>
      <c r="DL18" s="1776">
        <f t="shared" si="88"/>
        <v>0</v>
      </c>
      <c r="DM18" s="1807" t="e">
        <f>DL18/DK18</f>
        <v>#DIV/0!</v>
      </c>
      <c r="DN18" s="1804"/>
      <c r="DO18" s="1776"/>
      <c r="DP18" s="1776"/>
      <c r="DQ18" s="1776"/>
      <c r="DR18" s="1807" t="e">
        <f>DQ18/DP18</f>
        <v>#DIV/0!</v>
      </c>
      <c r="DS18" s="1804"/>
      <c r="DT18" s="1776"/>
      <c r="DU18" s="1776"/>
      <c r="DV18" s="1776"/>
      <c r="DW18" s="1801"/>
      <c r="DX18" s="1804"/>
      <c r="DY18" s="1776"/>
      <c r="DZ18" s="1776"/>
      <c r="EA18" s="1776">
        <f t="shared" si="31"/>
        <v>0</v>
      </c>
      <c r="EB18" s="1807" t="e">
        <f t="shared" si="32"/>
        <v>#DIV/0!</v>
      </c>
      <c r="EC18" s="1804"/>
      <c r="ED18" s="1776"/>
      <c r="EE18" s="1776"/>
      <c r="EF18" s="1786">
        <f t="shared" si="33"/>
        <v>0</v>
      </c>
      <c r="EG18" s="1938"/>
      <c r="EH18" s="1804"/>
      <c r="EI18" s="1776"/>
      <c r="EJ18" s="1776"/>
      <c r="EK18" s="1776">
        <f t="shared" si="34"/>
        <v>0</v>
      </c>
      <c r="EL18" s="1807" t="e">
        <f t="shared" si="35"/>
        <v>#DIV/0!</v>
      </c>
      <c r="EM18" s="1804"/>
      <c r="EN18" s="1776"/>
      <c r="EO18" s="1776"/>
      <c r="EP18" s="1776">
        <f t="shared" si="36"/>
        <v>0</v>
      </c>
      <c r="EQ18" s="1807" t="e">
        <f t="shared" si="37"/>
        <v>#DIV/0!</v>
      </c>
      <c r="ER18" s="2402">
        <f t="shared" si="38"/>
        <v>0</v>
      </c>
      <c r="ES18" s="2403">
        <f t="shared" si="39"/>
        <v>0</v>
      </c>
      <c r="ET18" s="2403">
        <f t="shared" si="39"/>
        <v>0</v>
      </c>
      <c r="EU18" s="2403">
        <f t="shared" si="39"/>
        <v>0</v>
      </c>
      <c r="EV18" s="2404" t="e">
        <f t="shared" si="40"/>
        <v>#DIV/0!</v>
      </c>
      <c r="EW18" s="1814">
        <f t="shared" si="89"/>
        <v>0</v>
      </c>
      <c r="EX18" s="1776">
        <f t="shared" si="90"/>
        <v>0</v>
      </c>
      <c r="EY18" s="1776">
        <f t="shared" si="90"/>
        <v>0</v>
      </c>
      <c r="EZ18" s="1815" t="e">
        <f t="shared" si="41"/>
        <v>#DIV/0!</v>
      </c>
      <c r="FA18" s="1805">
        <f t="shared" si="74"/>
        <v>0</v>
      </c>
      <c r="FB18" s="1786">
        <f t="shared" si="42"/>
        <v>0</v>
      </c>
      <c r="FC18" s="1786">
        <f t="shared" si="42"/>
        <v>0</v>
      </c>
      <c r="FD18" s="1799" t="e">
        <f t="shared" si="43"/>
        <v>#DIV/0!</v>
      </c>
      <c r="FE18" s="5979"/>
      <c r="FF18" s="1806"/>
      <c r="FG18" s="1806"/>
      <c r="FH18" s="1815" t="e">
        <f t="shared" si="44"/>
        <v>#DIV/0!</v>
      </c>
      <c r="FI18" s="1816">
        <f t="shared" si="45"/>
        <v>0</v>
      </c>
      <c r="FJ18" s="1814"/>
      <c r="FK18" s="1786">
        <f t="shared" si="46"/>
        <v>0</v>
      </c>
      <c r="FL18" s="1786">
        <f t="shared" si="46"/>
        <v>0</v>
      </c>
      <c r="FM18" s="1799" t="e">
        <f t="shared" si="47"/>
        <v>#DIV/0!</v>
      </c>
      <c r="FN18" s="1817"/>
      <c r="FO18" s="1818"/>
      <c r="FP18" s="1818"/>
      <c r="FQ18" s="1818">
        <f t="shared" si="48"/>
        <v>0</v>
      </c>
      <c r="FR18" s="1819" t="e">
        <f t="shared" si="49"/>
        <v>#DIV/0!</v>
      </c>
      <c r="FS18" s="1820"/>
      <c r="FT18" s="1818"/>
      <c r="FU18" s="1818"/>
      <c r="FV18" s="1818">
        <f t="shared" si="50"/>
        <v>0</v>
      </c>
      <c r="FW18" s="1821" t="e">
        <f t="shared" si="51"/>
        <v>#DIV/0!</v>
      </c>
      <c r="FX18" s="1820"/>
      <c r="FY18" s="1822"/>
      <c r="FZ18" s="1822"/>
      <c r="GA18" s="1818">
        <f t="shared" si="52"/>
        <v>0</v>
      </c>
      <c r="GB18" s="1821" t="e">
        <f t="shared" si="53"/>
        <v>#DIV/0!</v>
      </c>
      <c r="GC18" s="1823"/>
      <c r="GD18" s="1824"/>
      <c r="GE18" s="1824"/>
      <c r="GF18" s="1818">
        <f t="shared" si="54"/>
        <v>0</v>
      </c>
      <c r="GG18" s="1821" t="e">
        <f t="shared" si="55"/>
        <v>#DIV/0!</v>
      </c>
      <c r="GH18" s="1823"/>
      <c r="GI18" s="1824"/>
      <c r="GJ18" s="1824"/>
      <c r="GK18" s="1818">
        <f t="shared" si="56"/>
        <v>0</v>
      </c>
      <c r="GL18" s="1821" t="e">
        <f t="shared" si="57"/>
        <v>#DIV/0!</v>
      </c>
      <c r="GM18" s="1839"/>
      <c r="GN18" s="1839"/>
      <c r="GO18" s="1839"/>
      <c r="GP18" s="1839"/>
      <c r="GQ18" s="1839"/>
      <c r="GR18" s="1839"/>
      <c r="GS18" s="1839"/>
      <c r="GT18" s="1839"/>
      <c r="GU18" s="1839"/>
      <c r="GV18" s="1660"/>
      <c r="GW18" s="1839"/>
      <c r="GX18" s="1839"/>
      <c r="GY18" s="1839"/>
      <c r="GZ18" s="1839"/>
      <c r="HA18" s="1660"/>
      <c r="HB18" s="1839"/>
      <c r="HC18" s="1839"/>
      <c r="HD18" s="1839"/>
      <c r="HE18" s="1839"/>
      <c r="HF18" s="1660"/>
      <c r="HG18" s="1839"/>
      <c r="HH18" s="1839"/>
      <c r="HI18" s="1839"/>
      <c r="HJ18" s="1839"/>
      <c r="HK18" s="1660"/>
      <c r="HL18" s="1839"/>
      <c r="HM18" s="1839"/>
      <c r="HN18" s="1839"/>
      <c r="HO18" s="1839"/>
      <c r="HP18" s="1660"/>
      <c r="HQ18" s="1839"/>
      <c r="HR18" s="1839"/>
      <c r="HS18" s="1839"/>
      <c r="HT18" s="1839"/>
      <c r="HU18" s="1839"/>
      <c r="HV18" s="5941">
        <f t="shared" si="8"/>
        <v>0</v>
      </c>
      <c r="HW18" s="622">
        <f t="shared" si="9"/>
        <v>0</v>
      </c>
      <c r="HX18" s="622">
        <f t="shared" si="9"/>
        <v>0</v>
      </c>
      <c r="HY18" s="622">
        <f t="shared" si="9"/>
        <v>0</v>
      </c>
      <c r="HZ18" s="5980"/>
      <c r="IA18" s="1907">
        <f t="shared" si="58"/>
        <v>0</v>
      </c>
      <c r="IB18" s="1908">
        <f t="shared" si="59"/>
        <v>0</v>
      </c>
      <c r="IC18" s="1908">
        <f t="shared" si="59"/>
        <v>0</v>
      </c>
      <c r="ID18" s="1909" t="e">
        <f t="shared" si="60"/>
        <v>#DIV/0!</v>
      </c>
      <c r="IE18" s="5981"/>
      <c r="IF18" s="5876"/>
      <c r="IG18" s="5876"/>
      <c r="IH18" s="5877"/>
      <c r="II18" s="5982"/>
      <c r="IJ18" s="5876"/>
      <c r="IK18" s="5876"/>
      <c r="IL18" s="5877"/>
      <c r="IM18" s="5875"/>
      <c r="IN18" s="5876"/>
      <c r="IO18" s="5876"/>
      <c r="IP18" s="5878"/>
      <c r="IQ18" s="1839"/>
      <c r="IR18" s="5983"/>
      <c r="IS18" s="1818"/>
      <c r="IT18" s="1818"/>
      <c r="IU18" s="1818">
        <f t="shared" si="61"/>
        <v>0</v>
      </c>
      <c r="IV18" s="1819" t="e">
        <f t="shared" si="62"/>
        <v>#DIV/0!</v>
      </c>
      <c r="IW18" s="1820"/>
      <c r="IX18" s="1818"/>
      <c r="IY18" s="1818"/>
      <c r="IZ18" s="1818">
        <f t="shared" si="63"/>
        <v>0</v>
      </c>
      <c r="JA18" s="1821" t="e">
        <f t="shared" si="64"/>
        <v>#DIV/0!</v>
      </c>
      <c r="JB18" s="1984"/>
      <c r="JC18" s="1822"/>
      <c r="JD18" s="1822"/>
      <c r="JE18" s="1818">
        <f t="shared" si="65"/>
        <v>0</v>
      </c>
      <c r="JF18" s="1821" t="e">
        <f t="shared" si="66"/>
        <v>#DIV/0!</v>
      </c>
      <c r="JG18" s="1981"/>
      <c r="JH18" s="1824"/>
      <c r="JI18" s="1824"/>
      <c r="JJ18" s="1818">
        <f t="shared" si="67"/>
        <v>0</v>
      </c>
      <c r="JK18" s="1821" t="e">
        <f t="shared" si="68"/>
        <v>#DIV/0!</v>
      </c>
      <c r="JL18" s="1823"/>
      <c r="JM18" s="1824"/>
      <c r="JN18" s="1824"/>
      <c r="JO18" s="1818">
        <f t="shared" si="69"/>
        <v>0</v>
      </c>
      <c r="JP18" s="1821" t="e">
        <f t="shared" si="70"/>
        <v>#DIV/0!</v>
      </c>
      <c r="JQ18" s="5948"/>
      <c r="JR18" s="1839"/>
      <c r="JS18" s="1839"/>
      <c r="JT18" s="1839"/>
      <c r="JU18" s="1839"/>
      <c r="JV18" s="5984"/>
      <c r="JW18" s="1839"/>
      <c r="JX18" s="1839"/>
      <c r="JY18" s="1839"/>
      <c r="JZ18" s="1660"/>
      <c r="KA18" s="1839"/>
      <c r="KB18" s="1839"/>
      <c r="KC18" s="1839"/>
      <c r="KD18" s="1839"/>
      <c r="KE18" s="1660"/>
      <c r="KF18" s="5951"/>
      <c r="KG18" s="1839"/>
      <c r="KH18" s="1839"/>
      <c r="KI18" s="1839"/>
      <c r="KJ18" s="1660"/>
      <c r="KK18" s="5951"/>
      <c r="KL18" s="1839"/>
      <c r="KM18" s="1839"/>
      <c r="KN18" s="1839"/>
      <c r="KO18" s="1660"/>
      <c r="KP18" s="1659"/>
      <c r="KQ18" s="1839"/>
      <c r="KR18" s="1839"/>
      <c r="KS18" s="1839"/>
      <c r="KT18" s="1839"/>
      <c r="KU18" s="1659"/>
      <c r="KV18" s="1839"/>
      <c r="KW18" s="1839"/>
      <c r="KX18" s="1839"/>
      <c r="KY18" s="1660"/>
      <c r="KZ18" s="5739">
        <f t="shared" si="10"/>
        <v>0</v>
      </c>
      <c r="LA18" s="5740">
        <f t="shared" si="11"/>
        <v>0</v>
      </c>
      <c r="LB18" s="5740">
        <f t="shared" si="11"/>
        <v>0</v>
      </c>
      <c r="LC18" s="5740">
        <f t="shared" si="11"/>
        <v>0</v>
      </c>
      <c r="LD18" s="1660"/>
      <c r="LE18" s="1912">
        <f t="shared" si="71"/>
        <v>0</v>
      </c>
      <c r="LF18" s="1908">
        <f t="shared" si="72"/>
        <v>0</v>
      </c>
      <c r="LG18" s="1908">
        <f t="shared" si="72"/>
        <v>0</v>
      </c>
      <c r="LH18" s="1909"/>
      <c r="LI18" s="5875"/>
      <c r="LJ18" s="5876"/>
      <c r="LK18" s="5876"/>
      <c r="LL18" s="5877"/>
      <c r="LM18" s="1907"/>
      <c r="LN18" s="5876"/>
      <c r="LO18" s="5876"/>
      <c r="LP18" s="5877"/>
      <c r="LQ18" s="5875"/>
      <c r="LR18" s="1836">
        <f t="shared" si="76"/>
        <v>0</v>
      </c>
      <c r="LS18" s="1836">
        <f t="shared" si="76"/>
        <v>0</v>
      </c>
      <c r="LT18" s="5878"/>
      <c r="LV18" s="691"/>
      <c r="LW18" s="1839"/>
      <c r="LX18" s="1839"/>
      <c r="LY18" s="1839"/>
      <c r="LZ18" s="5879"/>
      <c r="MF18" s="5880"/>
      <c r="MG18" s="4965"/>
      <c r="MH18" s="4965"/>
      <c r="MI18" s="1839"/>
      <c r="MJ18" s="1660"/>
      <c r="MK18" s="5881"/>
      <c r="MN18" s="372">
        <f t="shared" si="12"/>
        <v>0</v>
      </c>
      <c r="MP18" s="5881"/>
      <c r="MQ18" s="1839"/>
      <c r="MR18" s="1839"/>
      <c r="MS18" s="1839"/>
      <c r="MT18" s="693"/>
      <c r="MU18" s="2035"/>
      <c r="MV18" s="1914"/>
      <c r="MW18" s="1914"/>
      <c r="MX18" s="1914"/>
      <c r="MY18" s="5882"/>
      <c r="MZ18" s="1659"/>
      <c r="NA18" s="1839"/>
      <c r="NB18" s="1839"/>
      <c r="NC18" s="1839"/>
      <c r="ND18" s="1839"/>
      <c r="NO18" s="5883"/>
      <c r="NP18" s="2425"/>
      <c r="NQ18" s="2425"/>
      <c r="NR18" s="5883"/>
      <c r="NT18" s="1839"/>
      <c r="NU18" s="1839"/>
      <c r="NV18" s="715"/>
      <c r="NW18" s="1839"/>
      <c r="NX18" s="1660"/>
      <c r="NY18" s="5884"/>
      <c r="NZ18" s="1914"/>
      <c r="OA18" s="1914"/>
      <c r="OB18" s="5882"/>
      <c r="OC18" s="1660"/>
      <c r="OE18" s="5885"/>
      <c r="OF18" s="5885"/>
      <c r="OG18" s="715"/>
      <c r="OH18" s="1660"/>
      <c r="OI18" s="1659"/>
      <c r="OJ18" s="1839"/>
      <c r="OK18" s="1839"/>
      <c r="OL18" s="1839"/>
      <c r="OM18" s="693"/>
      <c r="ON18" s="1659"/>
      <c r="OO18" s="715"/>
      <c r="OP18" s="715"/>
      <c r="OQ18" s="715"/>
      <c r="OR18" s="705"/>
      <c r="OS18" s="1659"/>
      <c r="OT18" s="1839"/>
      <c r="OU18" s="1839"/>
      <c r="OV18" s="1839"/>
      <c r="OW18" s="705"/>
      <c r="OX18" s="1659"/>
      <c r="OY18" s="1839"/>
      <c r="OZ18" s="1839"/>
      <c r="PA18" s="1839"/>
      <c r="PB18" s="1660"/>
      <c r="PD18" s="691"/>
      <c r="PE18" s="1839"/>
      <c r="PF18" s="1839"/>
      <c r="PG18" s="1839"/>
      <c r="PH18" s="5879"/>
      <c r="PN18" s="5880"/>
      <c r="PO18" s="4965"/>
      <c r="PP18" s="4965"/>
      <c r="PQ18" s="1839"/>
      <c r="PR18" s="1660"/>
      <c r="PS18" s="5886"/>
      <c r="PT18" s="5883"/>
      <c r="PU18" s="5883"/>
      <c r="PV18" s="2892">
        <f t="shared" si="13"/>
        <v>0</v>
      </c>
      <c r="PW18" s="5883"/>
      <c r="PX18" s="5881"/>
      <c r="PY18" s="1839"/>
      <c r="PZ18" s="1839"/>
      <c r="QA18" s="1839"/>
      <c r="QB18" s="693"/>
      <c r="QC18" s="2035"/>
      <c r="QD18" s="1914"/>
      <c r="QE18" s="1914"/>
      <c r="QF18" s="1914"/>
      <c r="QG18" s="5882"/>
      <c r="QH18" s="1910"/>
      <c r="QI18" s="1839"/>
      <c r="QJ18" s="1839"/>
      <c r="QK18" s="1839"/>
      <c r="QL18" s="1839"/>
      <c r="QM18" s="5880"/>
      <c r="QR18" s="5883"/>
      <c r="QS18" s="5883"/>
      <c r="QT18" s="5883"/>
      <c r="QU18" s="5883"/>
      <c r="QV18" s="1677"/>
      <c r="QW18" s="5883"/>
      <c r="QX18" s="2425"/>
      <c r="QY18" s="2425"/>
      <c r="QZ18" s="5883"/>
      <c r="RA18" s="5883"/>
      <c r="RB18" s="1839"/>
      <c r="RC18" s="1839"/>
      <c r="RD18" s="715"/>
      <c r="RE18" s="1839"/>
      <c r="RF18" s="1660"/>
      <c r="RG18" s="2037"/>
      <c r="RH18" s="1914"/>
      <c r="RI18" s="1914"/>
      <c r="RJ18" s="5882"/>
      <c r="RK18" s="1660"/>
      <c r="RL18" s="5883"/>
      <c r="RM18" s="1873">
        <f t="shared" si="77"/>
        <v>0</v>
      </c>
      <c r="RN18" s="1873">
        <f t="shared" si="77"/>
        <v>0</v>
      </c>
      <c r="RO18" s="1873">
        <f t="shared" si="77"/>
        <v>0</v>
      </c>
      <c r="RP18" s="5883"/>
      <c r="RQ18" s="1659"/>
      <c r="RR18" s="1839"/>
      <c r="RS18" s="1839"/>
      <c r="RT18" s="1839"/>
      <c r="RU18" s="693"/>
      <c r="RV18" s="1659"/>
      <c r="RW18" s="715"/>
      <c r="RX18" s="715"/>
      <c r="RY18" s="715"/>
      <c r="RZ18" s="705"/>
      <c r="SA18" s="1659"/>
      <c r="SB18" s="1839"/>
      <c r="SC18" s="1839"/>
      <c r="SD18" s="1839"/>
      <c r="SE18" s="705"/>
      <c r="SF18" s="1659"/>
      <c r="SG18" s="1839"/>
      <c r="SH18" s="1839"/>
      <c r="SI18" s="1839"/>
      <c r="SJ18" s="1660"/>
      <c r="SL18" s="5887"/>
      <c r="SM18" s="5882"/>
      <c r="SN18" s="5882"/>
      <c r="SO18" s="5882"/>
      <c r="SP18" s="5888"/>
      <c r="SQ18" s="5883"/>
      <c r="SR18" s="5883"/>
      <c r="SS18" s="5883"/>
      <c r="ST18" s="5883"/>
      <c r="SU18" s="5883"/>
      <c r="SV18" s="5880"/>
      <c r="SW18" s="4965"/>
      <c r="SX18" s="4965"/>
      <c r="SY18" s="1839"/>
      <c r="SZ18" s="1660"/>
      <c r="TA18" s="5881"/>
      <c r="TD18" s="372">
        <f t="shared" si="14"/>
        <v>0</v>
      </c>
      <c r="TF18" s="5881"/>
      <c r="TG18" s="1839"/>
      <c r="TH18" s="1839"/>
      <c r="TI18" s="1839"/>
      <c r="TJ18" s="693"/>
      <c r="TK18" s="2035"/>
      <c r="TL18" s="1914"/>
      <c r="TM18" s="1914"/>
      <c r="TN18" s="1914"/>
      <c r="TO18" s="5882"/>
      <c r="TP18" s="2407"/>
      <c r="TQ18" s="1839"/>
      <c r="TR18" s="1839"/>
      <c r="TS18" s="1839"/>
      <c r="TT18" s="1839"/>
      <c r="TU18" s="5889"/>
      <c r="TV18" s="5883"/>
      <c r="TW18" s="5883"/>
      <c r="TX18" s="5883"/>
      <c r="TY18" s="5883"/>
      <c r="TZ18" s="5883"/>
      <c r="UA18" s="5883"/>
      <c r="UB18" s="5883"/>
      <c r="UC18" s="5883"/>
      <c r="UD18" s="1677"/>
      <c r="UE18" s="5883"/>
      <c r="UF18" s="2425"/>
      <c r="UG18" s="2425"/>
      <c r="UH18" s="5883"/>
      <c r="UI18" s="5883"/>
      <c r="UJ18" s="1839"/>
      <c r="UK18" s="1839"/>
      <c r="UL18" s="715"/>
      <c r="UM18" s="1839"/>
      <c r="UN18" s="1660"/>
      <c r="UO18" s="2037"/>
      <c r="UP18" s="1914"/>
      <c r="UQ18" s="1914"/>
      <c r="UR18" s="5882"/>
      <c r="US18" s="1660"/>
      <c r="UU18" s="622">
        <f t="shared" si="78"/>
        <v>0</v>
      </c>
      <c r="UV18" s="622">
        <f t="shared" si="78"/>
        <v>0</v>
      </c>
      <c r="UW18" s="622">
        <f t="shared" si="78"/>
        <v>0</v>
      </c>
      <c r="UY18" s="1659"/>
      <c r="UZ18" s="1839"/>
      <c r="VA18" s="1839"/>
      <c r="VB18" s="1839"/>
      <c r="VC18" s="693"/>
      <c r="VD18" s="1659"/>
      <c r="VE18" s="715"/>
      <c r="VF18" s="715"/>
      <c r="VG18" s="715"/>
      <c r="VH18" s="705"/>
      <c r="VI18" s="1659"/>
      <c r="VJ18" s="1839"/>
      <c r="VK18" s="1839"/>
      <c r="VL18" s="1839"/>
      <c r="VM18" s="705"/>
      <c r="VN18" s="1659"/>
      <c r="VO18" s="1839"/>
      <c r="VP18" s="1839"/>
      <c r="VQ18" s="1839"/>
      <c r="VR18" s="1660"/>
    </row>
    <row r="19" spans="1:590" s="122" customFormat="1" hidden="1" x14ac:dyDescent="0.3">
      <c r="A19" s="2906"/>
      <c r="B19" s="1804" t="s">
        <v>53</v>
      </c>
      <c r="C19" s="5988" t="s">
        <v>750</v>
      </c>
      <c r="D19" s="1785" t="s">
        <v>751</v>
      </c>
      <c r="E19" s="5989"/>
      <c r="F19" s="5989"/>
      <c r="G19" s="5965"/>
      <c r="H19" s="1775"/>
      <c r="I19" s="1776">
        <v>0</v>
      </c>
      <c r="J19" s="1776">
        <v>0</v>
      </c>
      <c r="K19" s="1776">
        <f t="shared" si="91"/>
        <v>0</v>
      </c>
      <c r="L19" s="1777">
        <v>0</v>
      </c>
      <c r="M19" s="5990"/>
      <c r="N19" s="1779">
        <v>0</v>
      </c>
      <c r="O19" s="1779">
        <v>0</v>
      </c>
      <c r="P19" s="1779">
        <f t="shared" si="92"/>
        <v>0</v>
      </c>
      <c r="Q19" s="1780">
        <v>0</v>
      </c>
      <c r="R19" s="5991"/>
      <c r="S19" s="1776">
        <v>0</v>
      </c>
      <c r="T19" s="1776">
        <v>0</v>
      </c>
      <c r="U19" s="1776">
        <f t="shared" si="2"/>
        <v>0</v>
      </c>
      <c r="V19" s="1777" t="s">
        <v>732</v>
      </c>
      <c r="W19" s="5976"/>
      <c r="X19" s="1776"/>
      <c r="Y19" s="1776"/>
      <c r="Z19" s="1776">
        <f t="shared" si="3"/>
        <v>0</v>
      </c>
      <c r="AA19" s="1782">
        <v>0</v>
      </c>
      <c r="AB19" s="1785"/>
      <c r="AC19" s="1776"/>
      <c r="AD19" s="1776"/>
      <c r="AE19" s="1776">
        <f t="shared" si="4"/>
        <v>0</v>
      </c>
      <c r="AF19" s="1777"/>
      <c r="AG19" s="1785"/>
      <c r="AH19" s="1776">
        <v>0</v>
      </c>
      <c r="AI19" s="1776">
        <v>0</v>
      </c>
      <c r="AJ19" s="1786">
        <f t="shared" si="5"/>
        <v>0</v>
      </c>
      <c r="AK19" s="1777"/>
      <c r="AL19" s="1785"/>
      <c r="AM19" s="1781">
        <v>0</v>
      </c>
      <c r="AN19" s="1781">
        <v>0</v>
      </c>
      <c r="AO19" s="1781">
        <f t="shared" si="79"/>
        <v>0</v>
      </c>
      <c r="AP19" s="1777"/>
      <c r="AQ19" s="1787"/>
      <c r="AR19" s="1781"/>
      <c r="AS19" s="1781"/>
      <c r="AT19" s="1789">
        <f t="shared" si="15"/>
        <v>0</v>
      </c>
      <c r="AU19" s="1777" t="s">
        <v>732</v>
      </c>
      <c r="AV19" s="1790"/>
      <c r="AW19" s="1781"/>
      <c r="AX19" s="1781"/>
      <c r="AY19" s="1781">
        <f t="shared" si="16"/>
        <v>0</v>
      </c>
      <c r="AZ19" s="1777" t="s">
        <v>732</v>
      </c>
      <c r="BA19" s="1785"/>
      <c r="BB19" s="1776"/>
      <c r="BC19" s="1776"/>
      <c r="BD19" s="1781">
        <f t="shared" si="81"/>
        <v>0</v>
      </c>
      <c r="BE19" s="1780" t="e">
        <f t="shared" si="82"/>
        <v>#DIV/0!</v>
      </c>
      <c r="BF19" s="1785"/>
      <c r="BG19" s="1781"/>
      <c r="BH19" s="1776"/>
      <c r="BI19" s="1781">
        <f t="shared" si="83"/>
        <v>0</v>
      </c>
      <c r="BJ19" s="1780"/>
      <c r="BK19" s="1785"/>
      <c r="BL19" s="1781"/>
      <c r="BM19" s="1776"/>
      <c r="BN19" s="1781">
        <f t="shared" si="84"/>
        <v>0</v>
      </c>
      <c r="BO19" s="5978"/>
      <c r="BP19" s="1937">
        <f t="shared" si="21"/>
        <v>0</v>
      </c>
      <c r="BQ19" s="1796">
        <f t="shared" si="22"/>
        <v>0</v>
      </c>
      <c r="BR19" s="1786">
        <f t="shared" si="22"/>
        <v>0</v>
      </c>
      <c r="BS19" s="1797">
        <f t="shared" si="7"/>
        <v>0</v>
      </c>
      <c r="BT19" s="1798">
        <f t="shared" si="23"/>
        <v>0</v>
      </c>
      <c r="BU19" s="1786">
        <f t="shared" si="24"/>
        <v>0</v>
      </c>
      <c r="BV19" s="1786">
        <f t="shared" si="24"/>
        <v>0</v>
      </c>
      <c r="BW19" s="1799"/>
      <c r="BX19" s="1800">
        <f t="shared" si="25"/>
        <v>0</v>
      </c>
      <c r="BY19" s="1786">
        <f t="shared" si="26"/>
        <v>0</v>
      </c>
      <c r="BZ19" s="1786">
        <f t="shared" si="26"/>
        <v>0</v>
      </c>
      <c r="CA19" s="1801"/>
      <c r="CB19" s="1802">
        <f t="shared" si="27"/>
        <v>0</v>
      </c>
      <c r="CC19" s="1786">
        <f t="shared" si="75"/>
        <v>0</v>
      </c>
      <c r="CD19" s="1786">
        <f t="shared" si="75"/>
        <v>0</v>
      </c>
      <c r="CE19" s="1803"/>
      <c r="CF19" s="1800">
        <f t="shared" si="28"/>
        <v>0</v>
      </c>
      <c r="CG19" s="1776">
        <f t="shared" si="29"/>
        <v>0</v>
      </c>
      <c r="CH19" s="1776">
        <f t="shared" si="29"/>
        <v>0</v>
      </c>
      <c r="CI19" s="1801"/>
      <c r="CJ19" s="1804"/>
      <c r="CK19" s="1776"/>
      <c r="CL19" s="1776"/>
      <c r="CM19" s="1776">
        <f t="shared" si="80"/>
        <v>0</v>
      </c>
      <c r="CN19" s="1799"/>
      <c r="CO19" s="1804"/>
      <c r="CP19" s="1776"/>
      <c r="CQ19" s="1776"/>
      <c r="CR19" s="1776">
        <f t="shared" si="85"/>
        <v>0</v>
      </c>
      <c r="CS19" s="1799" t="e">
        <f>CR19/CQ19</f>
        <v>#DIV/0!</v>
      </c>
      <c r="CT19" s="1804"/>
      <c r="CU19" s="1776"/>
      <c r="CV19" s="1776"/>
      <c r="CW19" s="1776">
        <f t="shared" si="86"/>
        <v>0</v>
      </c>
      <c r="CX19" s="1799"/>
      <c r="CY19" s="1804"/>
      <c r="CZ19" s="1776"/>
      <c r="DA19" s="1776"/>
      <c r="DB19" s="1776">
        <f t="shared" si="87"/>
        <v>0</v>
      </c>
      <c r="DC19" s="1799" t="e">
        <f>DB19/DA19</f>
        <v>#DIV/0!</v>
      </c>
      <c r="DD19" s="1805"/>
      <c r="DE19" s="1806"/>
      <c r="DF19" s="1806"/>
      <c r="DG19" s="1783">
        <f t="shared" si="30"/>
        <v>0</v>
      </c>
      <c r="DH19" s="1807" t="e">
        <f>DG19/DF19</f>
        <v>#DIV/0!</v>
      </c>
      <c r="DI19" s="1804"/>
      <c r="DJ19" s="1806"/>
      <c r="DK19" s="1806"/>
      <c r="DL19" s="1776">
        <f t="shared" si="88"/>
        <v>0</v>
      </c>
      <c r="DM19" s="1807" t="e">
        <f>DL19/DK19</f>
        <v>#DIV/0!</v>
      </c>
      <c r="DN19" s="1804"/>
      <c r="DO19" s="1776"/>
      <c r="DP19" s="1776"/>
      <c r="DQ19" s="1776"/>
      <c r="DR19" s="1807" t="e">
        <f>DQ19/DP19</f>
        <v>#DIV/0!</v>
      </c>
      <c r="DS19" s="1804"/>
      <c r="DT19" s="1776"/>
      <c r="DU19" s="1776"/>
      <c r="DV19" s="1776"/>
      <c r="DW19" s="1801"/>
      <c r="DX19" s="1804"/>
      <c r="DY19" s="1776"/>
      <c r="DZ19" s="1776"/>
      <c r="EA19" s="1776">
        <f t="shared" si="31"/>
        <v>0</v>
      </c>
      <c r="EB19" s="1807" t="e">
        <f t="shared" si="32"/>
        <v>#DIV/0!</v>
      </c>
      <c r="EC19" s="1804"/>
      <c r="ED19" s="1776"/>
      <c r="EE19" s="1776"/>
      <c r="EF19" s="1786">
        <f t="shared" si="33"/>
        <v>0</v>
      </c>
      <c r="EG19" s="1938"/>
      <c r="EH19" s="1804"/>
      <c r="EI19" s="1776"/>
      <c r="EJ19" s="1776"/>
      <c r="EK19" s="1776">
        <f t="shared" si="34"/>
        <v>0</v>
      </c>
      <c r="EL19" s="1807" t="e">
        <f t="shared" si="35"/>
        <v>#DIV/0!</v>
      </c>
      <c r="EM19" s="1804"/>
      <c r="EN19" s="1776"/>
      <c r="EO19" s="1776"/>
      <c r="EP19" s="1776">
        <f t="shared" si="36"/>
        <v>0</v>
      </c>
      <c r="EQ19" s="1807" t="e">
        <f t="shared" si="37"/>
        <v>#DIV/0!</v>
      </c>
      <c r="ER19" s="2402">
        <f t="shared" si="38"/>
        <v>0</v>
      </c>
      <c r="ES19" s="2403">
        <f t="shared" si="39"/>
        <v>0</v>
      </c>
      <c r="ET19" s="2403">
        <f t="shared" si="39"/>
        <v>0</v>
      </c>
      <c r="EU19" s="2403">
        <f t="shared" si="39"/>
        <v>0</v>
      </c>
      <c r="EV19" s="2404" t="e">
        <f t="shared" si="40"/>
        <v>#DIV/0!</v>
      </c>
      <c r="EW19" s="1814">
        <f t="shared" si="89"/>
        <v>0</v>
      </c>
      <c r="EX19" s="1776">
        <f t="shared" si="90"/>
        <v>0</v>
      </c>
      <c r="EY19" s="1776">
        <f t="shared" si="90"/>
        <v>0</v>
      </c>
      <c r="EZ19" s="1815" t="e">
        <f t="shared" si="41"/>
        <v>#DIV/0!</v>
      </c>
      <c r="FA19" s="1805">
        <f t="shared" si="74"/>
        <v>0</v>
      </c>
      <c r="FB19" s="1786">
        <f t="shared" si="42"/>
        <v>0</v>
      </c>
      <c r="FC19" s="1786">
        <f t="shared" si="42"/>
        <v>0</v>
      </c>
      <c r="FD19" s="1799" t="e">
        <f t="shared" si="43"/>
        <v>#DIV/0!</v>
      </c>
      <c r="FE19" s="5979"/>
      <c r="FF19" s="1806"/>
      <c r="FG19" s="1806"/>
      <c r="FH19" s="1815" t="e">
        <f t="shared" si="44"/>
        <v>#DIV/0!</v>
      </c>
      <c r="FI19" s="1816">
        <f t="shared" si="45"/>
        <v>0</v>
      </c>
      <c r="FJ19" s="1814"/>
      <c r="FK19" s="1786">
        <f t="shared" si="46"/>
        <v>0</v>
      </c>
      <c r="FL19" s="1786">
        <f t="shared" si="46"/>
        <v>0</v>
      </c>
      <c r="FM19" s="1799" t="e">
        <f t="shared" si="47"/>
        <v>#DIV/0!</v>
      </c>
      <c r="FN19" s="1817"/>
      <c r="FO19" s="1818"/>
      <c r="FP19" s="1818"/>
      <c r="FQ19" s="1818">
        <f t="shared" si="48"/>
        <v>0</v>
      </c>
      <c r="FR19" s="1819" t="e">
        <f t="shared" si="49"/>
        <v>#DIV/0!</v>
      </c>
      <c r="FS19" s="1820"/>
      <c r="FT19" s="1818"/>
      <c r="FU19" s="1818"/>
      <c r="FV19" s="1818">
        <f t="shared" si="50"/>
        <v>0</v>
      </c>
      <c r="FW19" s="1821" t="e">
        <f t="shared" si="51"/>
        <v>#DIV/0!</v>
      </c>
      <c r="FX19" s="1820"/>
      <c r="FY19" s="1822"/>
      <c r="FZ19" s="1822"/>
      <c r="GA19" s="1818">
        <f t="shared" si="52"/>
        <v>0</v>
      </c>
      <c r="GB19" s="1821" t="e">
        <f t="shared" si="53"/>
        <v>#DIV/0!</v>
      </c>
      <c r="GC19" s="1823"/>
      <c r="GD19" s="1824"/>
      <c r="GE19" s="1824"/>
      <c r="GF19" s="1818">
        <f t="shared" si="54"/>
        <v>0</v>
      </c>
      <c r="GG19" s="1821" t="e">
        <f t="shared" si="55"/>
        <v>#DIV/0!</v>
      </c>
      <c r="GH19" s="1823"/>
      <c r="GI19" s="1824"/>
      <c r="GJ19" s="1824"/>
      <c r="GK19" s="1818">
        <f t="shared" si="56"/>
        <v>0</v>
      </c>
      <c r="GL19" s="1821" t="e">
        <f t="shared" si="57"/>
        <v>#DIV/0!</v>
      </c>
      <c r="GM19" s="1839"/>
      <c r="GN19" s="1839"/>
      <c r="GO19" s="1839"/>
      <c r="GP19" s="1839"/>
      <c r="GQ19" s="1839"/>
      <c r="GR19" s="1839"/>
      <c r="GS19" s="1839"/>
      <c r="GT19" s="1839"/>
      <c r="GU19" s="1839"/>
      <c r="GV19" s="1660"/>
      <c r="GW19" s="1839"/>
      <c r="GX19" s="1839"/>
      <c r="GY19" s="1839"/>
      <c r="GZ19" s="1839"/>
      <c r="HA19" s="1660"/>
      <c r="HB19" s="1839"/>
      <c r="HC19" s="1839"/>
      <c r="HD19" s="1839"/>
      <c r="HE19" s="1839"/>
      <c r="HF19" s="1660"/>
      <c r="HG19" s="1839"/>
      <c r="HH19" s="1839"/>
      <c r="HI19" s="1839"/>
      <c r="HJ19" s="1839"/>
      <c r="HK19" s="1660"/>
      <c r="HL19" s="1839"/>
      <c r="HM19" s="1839"/>
      <c r="HN19" s="1839"/>
      <c r="HO19" s="1839"/>
      <c r="HP19" s="1660"/>
      <c r="HQ19" s="1839"/>
      <c r="HR19" s="1839"/>
      <c r="HS19" s="1839"/>
      <c r="HT19" s="1839"/>
      <c r="HU19" s="1839"/>
      <c r="HV19" s="5941">
        <f t="shared" si="8"/>
        <v>0</v>
      </c>
      <c r="HW19" s="622">
        <f t="shared" si="9"/>
        <v>0</v>
      </c>
      <c r="HX19" s="622">
        <f t="shared" si="9"/>
        <v>0</v>
      </c>
      <c r="HY19" s="622">
        <f t="shared" si="9"/>
        <v>0</v>
      </c>
      <c r="HZ19" s="5980"/>
      <c r="IA19" s="1907">
        <f t="shared" si="58"/>
        <v>0</v>
      </c>
      <c r="IB19" s="1908">
        <f t="shared" si="59"/>
        <v>0</v>
      </c>
      <c r="IC19" s="1908">
        <f t="shared" si="59"/>
        <v>0</v>
      </c>
      <c r="ID19" s="1909" t="e">
        <f t="shared" si="60"/>
        <v>#DIV/0!</v>
      </c>
      <c r="IE19" s="5981"/>
      <c r="IF19" s="5876"/>
      <c r="IG19" s="5876"/>
      <c r="IH19" s="5877"/>
      <c r="II19" s="5982"/>
      <c r="IJ19" s="5876"/>
      <c r="IK19" s="5876"/>
      <c r="IL19" s="5877"/>
      <c r="IM19" s="5875"/>
      <c r="IN19" s="5876"/>
      <c r="IO19" s="5876"/>
      <c r="IP19" s="5878"/>
      <c r="IQ19" s="1839"/>
      <c r="IR19" s="5983"/>
      <c r="IS19" s="1818"/>
      <c r="IT19" s="1818"/>
      <c r="IU19" s="1818">
        <f t="shared" si="61"/>
        <v>0</v>
      </c>
      <c r="IV19" s="1819" t="e">
        <f t="shared" si="62"/>
        <v>#DIV/0!</v>
      </c>
      <c r="IW19" s="1820"/>
      <c r="IX19" s="1818"/>
      <c r="IY19" s="1818"/>
      <c r="IZ19" s="1818">
        <f t="shared" si="63"/>
        <v>0</v>
      </c>
      <c r="JA19" s="1821" t="e">
        <f t="shared" si="64"/>
        <v>#DIV/0!</v>
      </c>
      <c r="JB19" s="1984"/>
      <c r="JC19" s="1822"/>
      <c r="JD19" s="1822"/>
      <c r="JE19" s="1818">
        <f t="shared" si="65"/>
        <v>0</v>
      </c>
      <c r="JF19" s="1821" t="e">
        <f t="shared" si="66"/>
        <v>#DIV/0!</v>
      </c>
      <c r="JG19" s="1981"/>
      <c r="JH19" s="1824"/>
      <c r="JI19" s="1824"/>
      <c r="JJ19" s="1818">
        <f t="shared" si="67"/>
        <v>0</v>
      </c>
      <c r="JK19" s="1821" t="e">
        <f t="shared" si="68"/>
        <v>#DIV/0!</v>
      </c>
      <c r="JL19" s="1823"/>
      <c r="JM19" s="1824"/>
      <c r="JN19" s="1824"/>
      <c r="JO19" s="1818">
        <f t="shared" si="69"/>
        <v>0</v>
      </c>
      <c r="JP19" s="1821" t="e">
        <f t="shared" si="70"/>
        <v>#DIV/0!</v>
      </c>
      <c r="JQ19" s="5948"/>
      <c r="JR19" s="1839"/>
      <c r="JS19" s="1839"/>
      <c r="JT19" s="1839"/>
      <c r="JU19" s="1839"/>
      <c r="JV19" s="5984"/>
      <c r="JW19" s="1839"/>
      <c r="JX19" s="1839"/>
      <c r="JY19" s="1839"/>
      <c r="JZ19" s="1660"/>
      <c r="KA19" s="1839"/>
      <c r="KB19" s="1839"/>
      <c r="KC19" s="1839"/>
      <c r="KD19" s="1839"/>
      <c r="KE19" s="1660"/>
      <c r="KF19" s="5951"/>
      <c r="KG19" s="1839"/>
      <c r="KH19" s="1839"/>
      <c r="KI19" s="1839"/>
      <c r="KJ19" s="1660"/>
      <c r="KK19" s="5951"/>
      <c r="KL19" s="1839"/>
      <c r="KM19" s="1839"/>
      <c r="KN19" s="1839"/>
      <c r="KO19" s="1660"/>
      <c r="KP19" s="1659"/>
      <c r="KQ19" s="1839"/>
      <c r="KR19" s="1839"/>
      <c r="KS19" s="1839"/>
      <c r="KT19" s="1839"/>
      <c r="KU19" s="1659"/>
      <c r="KV19" s="1839"/>
      <c r="KW19" s="1839"/>
      <c r="KX19" s="1839"/>
      <c r="KY19" s="1660"/>
      <c r="KZ19" s="5739">
        <f t="shared" si="10"/>
        <v>0</v>
      </c>
      <c r="LA19" s="5740">
        <f t="shared" si="11"/>
        <v>0</v>
      </c>
      <c r="LB19" s="5740">
        <f t="shared" si="11"/>
        <v>0</v>
      </c>
      <c r="LC19" s="5740">
        <f t="shared" si="11"/>
        <v>0</v>
      </c>
      <c r="LD19" s="1660"/>
      <c r="LE19" s="1912">
        <f t="shared" si="71"/>
        <v>0</v>
      </c>
      <c r="LF19" s="1908">
        <f t="shared" si="72"/>
        <v>0</v>
      </c>
      <c r="LG19" s="1908">
        <f t="shared" si="72"/>
        <v>0</v>
      </c>
      <c r="LH19" s="1909"/>
      <c r="LI19" s="5875"/>
      <c r="LJ19" s="5876"/>
      <c r="LK19" s="5876"/>
      <c r="LL19" s="5877"/>
      <c r="LM19" s="1907"/>
      <c r="LN19" s="5876"/>
      <c r="LO19" s="5876"/>
      <c r="LP19" s="5877"/>
      <c r="LQ19" s="5875"/>
      <c r="LR19" s="1836">
        <f t="shared" si="76"/>
        <v>0</v>
      </c>
      <c r="LS19" s="1836">
        <f t="shared" si="76"/>
        <v>0</v>
      </c>
      <c r="LT19" s="5878"/>
      <c r="LV19" s="691"/>
      <c r="LW19" s="1839"/>
      <c r="LX19" s="1839"/>
      <c r="LY19" s="1839"/>
      <c r="LZ19" s="5879"/>
      <c r="MF19" s="5880"/>
      <c r="MG19" s="4965"/>
      <c r="MH19" s="4965"/>
      <c r="MI19" s="1839"/>
      <c r="MJ19" s="1660"/>
      <c r="MK19" s="5881"/>
      <c r="MN19" s="372">
        <f t="shared" si="12"/>
        <v>0</v>
      </c>
      <c r="MP19" s="5881"/>
      <c r="MQ19" s="1839"/>
      <c r="MR19" s="1839"/>
      <c r="MS19" s="1839"/>
      <c r="MT19" s="693"/>
      <c r="MU19" s="2035"/>
      <c r="MV19" s="1914"/>
      <c r="MW19" s="1914"/>
      <c r="MX19" s="1914"/>
      <c r="MY19" s="5882"/>
      <c r="MZ19" s="1659"/>
      <c r="NA19" s="1839"/>
      <c r="NB19" s="1839"/>
      <c r="NC19" s="1839"/>
      <c r="ND19" s="1839"/>
      <c r="NO19" s="5883"/>
      <c r="NP19" s="2425"/>
      <c r="NQ19" s="2425"/>
      <c r="NR19" s="5883"/>
      <c r="NT19" s="1839"/>
      <c r="NU19" s="1839"/>
      <c r="NV19" s="715"/>
      <c r="NW19" s="1839"/>
      <c r="NX19" s="1660"/>
      <c r="NY19" s="5884"/>
      <c r="NZ19" s="1914"/>
      <c r="OA19" s="1914"/>
      <c r="OB19" s="5882"/>
      <c r="OC19" s="1660"/>
      <c r="OE19" s="5885"/>
      <c r="OF19" s="5885"/>
      <c r="OG19" s="715"/>
      <c r="OH19" s="1660"/>
      <c r="OI19" s="1659"/>
      <c r="OJ19" s="1839"/>
      <c r="OK19" s="1839"/>
      <c r="OL19" s="1839"/>
      <c r="OM19" s="693"/>
      <c r="ON19" s="1659"/>
      <c r="OO19" s="715"/>
      <c r="OP19" s="715"/>
      <c r="OQ19" s="715"/>
      <c r="OR19" s="705"/>
      <c r="OS19" s="1659"/>
      <c r="OT19" s="1839"/>
      <c r="OU19" s="1839"/>
      <c r="OV19" s="1839"/>
      <c r="OW19" s="705"/>
      <c r="OX19" s="1659"/>
      <c r="OY19" s="1839"/>
      <c r="OZ19" s="1839"/>
      <c r="PA19" s="1839"/>
      <c r="PB19" s="1660"/>
      <c r="PD19" s="691"/>
      <c r="PE19" s="1839"/>
      <c r="PF19" s="1839"/>
      <c r="PG19" s="1839"/>
      <c r="PH19" s="5879"/>
      <c r="PN19" s="5880"/>
      <c r="PO19" s="4965"/>
      <c r="PP19" s="4965"/>
      <c r="PQ19" s="1839"/>
      <c r="PR19" s="1660"/>
      <c r="PS19" s="5886"/>
      <c r="PT19" s="5883"/>
      <c r="PU19" s="5883"/>
      <c r="PV19" s="2892">
        <f t="shared" si="13"/>
        <v>0</v>
      </c>
      <c r="PW19" s="5883"/>
      <c r="PX19" s="5881"/>
      <c r="PY19" s="1839"/>
      <c r="PZ19" s="1839"/>
      <c r="QA19" s="1839"/>
      <c r="QB19" s="693"/>
      <c r="QC19" s="2035"/>
      <c r="QD19" s="1914"/>
      <c r="QE19" s="1914"/>
      <c r="QF19" s="1914"/>
      <c r="QG19" s="5882"/>
      <c r="QH19" s="1910"/>
      <c r="QI19" s="1839"/>
      <c r="QJ19" s="1839"/>
      <c r="QK19" s="1839"/>
      <c r="QL19" s="1839"/>
      <c r="QM19" s="5880"/>
      <c r="QR19" s="5883"/>
      <c r="QS19" s="5883"/>
      <c r="QT19" s="5883"/>
      <c r="QU19" s="5883"/>
      <c r="QV19" s="1677"/>
      <c r="QW19" s="5883"/>
      <c r="QX19" s="2425"/>
      <c r="QY19" s="2425"/>
      <c r="QZ19" s="5883"/>
      <c r="RA19" s="5883"/>
      <c r="RB19" s="1839"/>
      <c r="RC19" s="1839"/>
      <c r="RD19" s="715"/>
      <c r="RE19" s="1839"/>
      <c r="RF19" s="1660"/>
      <c r="RG19" s="2037"/>
      <c r="RH19" s="1914"/>
      <c r="RI19" s="1914"/>
      <c r="RJ19" s="5882"/>
      <c r="RK19" s="1660"/>
      <c r="RL19" s="5883"/>
      <c r="RM19" s="1873">
        <f t="shared" si="77"/>
        <v>0</v>
      </c>
      <c r="RN19" s="1873">
        <f t="shared" si="77"/>
        <v>0</v>
      </c>
      <c r="RO19" s="1873">
        <f t="shared" si="77"/>
        <v>0</v>
      </c>
      <c r="RP19" s="5883"/>
      <c r="RQ19" s="1659"/>
      <c r="RR19" s="1839"/>
      <c r="RS19" s="1839"/>
      <c r="RT19" s="1839"/>
      <c r="RU19" s="693"/>
      <c r="RV19" s="1659"/>
      <c r="RW19" s="715"/>
      <c r="RX19" s="715"/>
      <c r="RY19" s="715"/>
      <c r="RZ19" s="705"/>
      <c r="SA19" s="1659"/>
      <c r="SB19" s="1839"/>
      <c r="SC19" s="1839"/>
      <c r="SD19" s="1839"/>
      <c r="SE19" s="705"/>
      <c r="SF19" s="1659"/>
      <c r="SG19" s="1839"/>
      <c r="SH19" s="1839"/>
      <c r="SI19" s="1839"/>
      <c r="SJ19" s="1660"/>
      <c r="SL19" s="5887"/>
      <c r="SM19" s="5882"/>
      <c r="SN19" s="5882"/>
      <c r="SO19" s="5882"/>
      <c r="SP19" s="5888"/>
      <c r="SQ19" s="5883"/>
      <c r="SR19" s="5883"/>
      <c r="SS19" s="5883"/>
      <c r="ST19" s="5883"/>
      <c r="SU19" s="5883"/>
      <c r="SV19" s="5880"/>
      <c r="SW19" s="4965"/>
      <c r="SX19" s="4965"/>
      <c r="SY19" s="1839"/>
      <c r="SZ19" s="1660"/>
      <c r="TA19" s="5881"/>
      <c r="TD19" s="372">
        <f t="shared" si="14"/>
        <v>0</v>
      </c>
      <c r="TF19" s="5881"/>
      <c r="TG19" s="1839"/>
      <c r="TH19" s="1839"/>
      <c r="TI19" s="1839"/>
      <c r="TJ19" s="693"/>
      <c r="TK19" s="2035"/>
      <c r="TL19" s="1914"/>
      <c r="TM19" s="1914"/>
      <c r="TN19" s="1914"/>
      <c r="TO19" s="5882"/>
      <c r="TP19" s="2407"/>
      <c r="TQ19" s="1839"/>
      <c r="TR19" s="1839"/>
      <c r="TS19" s="1839"/>
      <c r="TT19" s="1839"/>
      <c r="TU19" s="5889"/>
      <c r="TV19" s="5883"/>
      <c r="TW19" s="5883"/>
      <c r="TX19" s="5883"/>
      <c r="TY19" s="5883"/>
      <c r="TZ19" s="5883"/>
      <c r="UA19" s="5883"/>
      <c r="UB19" s="5883"/>
      <c r="UC19" s="5883"/>
      <c r="UD19" s="1677"/>
      <c r="UE19" s="5883"/>
      <c r="UF19" s="2425"/>
      <c r="UG19" s="2425"/>
      <c r="UH19" s="5883"/>
      <c r="UI19" s="5883"/>
      <c r="UJ19" s="1839"/>
      <c r="UK19" s="1839"/>
      <c r="UL19" s="715"/>
      <c r="UM19" s="1839"/>
      <c r="UN19" s="1660"/>
      <c r="UO19" s="2037"/>
      <c r="UP19" s="1914"/>
      <c r="UQ19" s="1914"/>
      <c r="UR19" s="5882"/>
      <c r="US19" s="1660"/>
      <c r="UU19" s="622">
        <f t="shared" si="78"/>
        <v>0</v>
      </c>
      <c r="UV19" s="622">
        <f t="shared" si="78"/>
        <v>0</v>
      </c>
      <c r="UW19" s="622">
        <f t="shared" si="78"/>
        <v>0</v>
      </c>
      <c r="UY19" s="1659"/>
      <c r="UZ19" s="1839"/>
      <c r="VA19" s="1839"/>
      <c r="VB19" s="1839"/>
      <c r="VC19" s="693"/>
      <c r="VD19" s="1659"/>
      <c r="VE19" s="715"/>
      <c r="VF19" s="715"/>
      <c r="VG19" s="715"/>
      <c r="VH19" s="705"/>
      <c r="VI19" s="1659"/>
      <c r="VJ19" s="1839"/>
      <c r="VK19" s="1839"/>
      <c r="VL19" s="1839"/>
      <c r="VM19" s="705"/>
      <c r="VN19" s="1659"/>
      <c r="VO19" s="1839"/>
      <c r="VP19" s="1839"/>
      <c r="VQ19" s="1839"/>
      <c r="VR19" s="1660"/>
    </row>
    <row r="20" spans="1:590" s="122" customFormat="1" hidden="1" x14ac:dyDescent="0.3">
      <c r="A20" s="2906"/>
      <c r="B20" s="1804" t="s">
        <v>53</v>
      </c>
      <c r="C20" s="5959" t="s">
        <v>752</v>
      </c>
      <c r="D20" s="1785" t="s">
        <v>753</v>
      </c>
      <c r="E20" s="5973">
        <v>43221</v>
      </c>
      <c r="F20" s="5973">
        <v>43585</v>
      </c>
      <c r="G20" s="5974">
        <v>303333</v>
      </c>
      <c r="H20" s="1775">
        <v>6</v>
      </c>
      <c r="I20" s="1783">
        <v>195819</v>
      </c>
      <c r="J20" s="1776">
        <v>303333</v>
      </c>
      <c r="K20" s="1776">
        <f t="shared" si="91"/>
        <v>107514</v>
      </c>
      <c r="L20" s="1777">
        <f>K20/J20</f>
        <v>0.35444214773862387</v>
      </c>
      <c r="M20" s="5992">
        <v>6</v>
      </c>
      <c r="N20" s="1779">
        <v>206771</v>
      </c>
      <c r="O20" s="1779">
        <v>303333</v>
      </c>
      <c r="P20" s="1779">
        <f t="shared" si="92"/>
        <v>96562</v>
      </c>
      <c r="Q20" s="1780">
        <f>P20/O20</f>
        <v>0.31833661355671822</v>
      </c>
      <c r="R20" s="5977">
        <v>6</v>
      </c>
      <c r="S20" s="1783">
        <f>207483+13200</f>
        <v>220683</v>
      </c>
      <c r="T20" s="1776">
        <v>303333</v>
      </c>
      <c r="U20" s="1776">
        <f t="shared" si="2"/>
        <v>82650</v>
      </c>
      <c r="V20" s="1777">
        <f>U20/T20</f>
        <v>0.27247282689321639</v>
      </c>
      <c r="W20" s="5976">
        <v>5</v>
      </c>
      <c r="X20" s="5993">
        <v>207483</v>
      </c>
      <c r="Y20" s="5994">
        <v>303333</v>
      </c>
      <c r="Z20" s="1776">
        <f t="shared" si="3"/>
        <v>95850</v>
      </c>
      <c r="AA20" s="1777">
        <f>Z20/Y20</f>
        <v>0.31598935823006397</v>
      </c>
      <c r="AB20" s="5977">
        <v>5</v>
      </c>
      <c r="AC20" s="1783">
        <v>207483</v>
      </c>
      <c r="AD20" s="1783">
        <v>303333</v>
      </c>
      <c r="AE20" s="1776">
        <f t="shared" si="4"/>
        <v>95850</v>
      </c>
      <c r="AF20" s="1777">
        <f>AE20/AD20</f>
        <v>0.31598935823006397</v>
      </c>
      <c r="AG20" s="1785">
        <v>5</v>
      </c>
      <c r="AH20" s="1776">
        <v>215816</v>
      </c>
      <c r="AI20" s="5995">
        <v>303333</v>
      </c>
      <c r="AJ20" s="1786">
        <f t="shared" si="5"/>
        <v>87517</v>
      </c>
      <c r="AK20" s="1777">
        <f>AJ20/AI20</f>
        <v>0.28851789947021922</v>
      </c>
      <c r="AL20" s="1785">
        <v>8</v>
      </c>
      <c r="AM20" s="1781">
        <v>190814</v>
      </c>
      <c r="AN20" s="1781">
        <v>274213.03000000003</v>
      </c>
      <c r="AO20" s="1781">
        <f t="shared" si="79"/>
        <v>83399.030000000028</v>
      </c>
      <c r="AP20" s="1777">
        <f>AO20/AN20</f>
        <v>0.30413955894072581</v>
      </c>
      <c r="AQ20" s="1787">
        <v>4</v>
      </c>
      <c r="AR20" s="1781">
        <f>189870+13723</f>
        <v>203593</v>
      </c>
      <c r="AS20" s="5991">
        <v>303333</v>
      </c>
      <c r="AT20" s="1789">
        <f t="shared" si="15"/>
        <v>99740</v>
      </c>
      <c r="AU20" s="1777">
        <f>AT20/AS20</f>
        <v>0.32881354814675623</v>
      </c>
      <c r="AV20" s="1790">
        <v>5</v>
      </c>
      <c r="AW20" s="1776">
        <v>208985</v>
      </c>
      <c r="AX20" s="1781">
        <v>303333</v>
      </c>
      <c r="AY20" s="1781">
        <f t="shared" si="16"/>
        <v>94348</v>
      </c>
      <c r="AZ20" s="1777">
        <f>AY20/AX20</f>
        <v>0.31103770443703782</v>
      </c>
      <c r="BA20" s="1785">
        <v>5</v>
      </c>
      <c r="BB20" s="1776">
        <v>212474</v>
      </c>
      <c r="BC20" s="1776">
        <v>303333</v>
      </c>
      <c r="BD20" s="1781">
        <f t="shared" si="81"/>
        <v>90859</v>
      </c>
      <c r="BE20" s="1780">
        <f t="shared" si="82"/>
        <v>0.29953549399504836</v>
      </c>
      <c r="BF20" s="1785">
        <v>5</v>
      </c>
      <c r="BG20" s="1776">
        <v>212479</v>
      </c>
      <c r="BH20" s="1776">
        <v>303333</v>
      </c>
      <c r="BI20" s="1781">
        <f t="shared" si="83"/>
        <v>90854</v>
      </c>
      <c r="BJ20" s="1780">
        <f>BI20/BH20</f>
        <v>0.29951901046045104</v>
      </c>
      <c r="BK20" s="1785">
        <v>5</v>
      </c>
      <c r="BL20" s="1783">
        <v>195853</v>
      </c>
      <c r="BM20" s="2577">
        <v>303333</v>
      </c>
      <c r="BN20" s="1781">
        <f t="shared" si="84"/>
        <v>107480</v>
      </c>
      <c r="BO20" s="5978">
        <f>BN20/BM20</f>
        <v>0.35433005970336229</v>
      </c>
      <c r="BP20" s="1937">
        <f t="shared" si="21"/>
        <v>5.416666666666667</v>
      </c>
      <c r="BQ20" s="1796">
        <f t="shared" si="22"/>
        <v>2478253</v>
      </c>
      <c r="BR20" s="1786">
        <f t="shared" si="22"/>
        <v>3610876.0300000003</v>
      </c>
      <c r="BS20" s="1797">
        <f t="shared" si="7"/>
        <v>1132623.0300000003</v>
      </c>
      <c r="BT20" s="1798">
        <f t="shared" si="23"/>
        <v>18</v>
      </c>
      <c r="BU20" s="1786">
        <f t="shared" si="24"/>
        <v>909999</v>
      </c>
      <c r="BV20" s="1786">
        <f t="shared" si="24"/>
        <v>286726</v>
      </c>
      <c r="BW20" s="1799">
        <f>BV20/BU20</f>
        <v>0.31508386272951949</v>
      </c>
      <c r="BX20" s="1800">
        <f t="shared" si="25"/>
        <v>15</v>
      </c>
      <c r="BY20" s="1786">
        <f t="shared" si="26"/>
        <v>909999</v>
      </c>
      <c r="BZ20" s="1786">
        <f t="shared" si="26"/>
        <v>279217</v>
      </c>
      <c r="CA20" s="1801"/>
      <c r="CB20" s="1802">
        <f t="shared" si="27"/>
        <v>17</v>
      </c>
      <c r="CC20" s="1786">
        <f t="shared" si="75"/>
        <v>880879.03</v>
      </c>
      <c r="CD20" s="1786">
        <f t="shared" si="75"/>
        <v>277487.03000000003</v>
      </c>
      <c r="CE20" s="1803"/>
      <c r="CF20" s="1800">
        <f t="shared" si="28"/>
        <v>15</v>
      </c>
      <c r="CG20" s="1776">
        <f t="shared" si="29"/>
        <v>909999</v>
      </c>
      <c r="CH20" s="1776">
        <f t="shared" si="29"/>
        <v>289193</v>
      </c>
      <c r="CI20" s="1801"/>
      <c r="CJ20" s="1808">
        <v>5</v>
      </c>
      <c r="CK20" s="1783">
        <v>130000</v>
      </c>
      <c r="CL20" s="2577">
        <v>303333</v>
      </c>
      <c r="CM20" s="1776">
        <f t="shared" si="80"/>
        <v>173333</v>
      </c>
      <c r="CN20" s="1799">
        <f>CM20/CL20</f>
        <v>0.57142810047044013</v>
      </c>
      <c r="CO20" s="1804"/>
      <c r="CP20" s="1776">
        <v>0</v>
      </c>
      <c r="CQ20" s="1776">
        <v>0</v>
      </c>
      <c r="CR20" s="1776">
        <f t="shared" si="85"/>
        <v>0</v>
      </c>
      <c r="CS20" s="1799">
        <v>0</v>
      </c>
      <c r="CT20" s="1804"/>
      <c r="CU20" s="1776">
        <v>0</v>
      </c>
      <c r="CV20" s="1776">
        <v>0</v>
      </c>
      <c r="CW20" s="1776">
        <f t="shared" si="86"/>
        <v>0</v>
      </c>
      <c r="CX20" s="1799"/>
      <c r="CY20" s="1804"/>
      <c r="CZ20" s="1776"/>
      <c r="DA20" s="1776"/>
      <c r="DB20" s="1776">
        <f t="shared" si="87"/>
        <v>0</v>
      </c>
      <c r="DC20" s="1799">
        <v>0</v>
      </c>
      <c r="DD20" s="1805"/>
      <c r="DE20" s="1806"/>
      <c r="DF20" s="1806"/>
      <c r="DG20" s="1783">
        <f t="shared" si="30"/>
        <v>0</v>
      </c>
      <c r="DH20" s="1807" t="s">
        <v>732</v>
      </c>
      <c r="DI20" s="1804"/>
      <c r="DJ20" s="1806"/>
      <c r="DK20" s="1806"/>
      <c r="DL20" s="1776">
        <f t="shared" si="88"/>
        <v>0</v>
      </c>
      <c r="DM20" s="1807" t="s">
        <v>732</v>
      </c>
      <c r="DN20" s="1804"/>
      <c r="DO20" s="1776"/>
      <c r="DP20" s="1776"/>
      <c r="DQ20" s="1776"/>
      <c r="DR20" s="1807">
        <v>0</v>
      </c>
      <c r="DS20" s="1804"/>
      <c r="DT20" s="1776"/>
      <c r="DU20" s="1776"/>
      <c r="DV20" s="1776"/>
      <c r="DW20" s="1801"/>
      <c r="DX20" s="1804"/>
      <c r="DY20" s="1776"/>
      <c r="DZ20" s="1776"/>
      <c r="EA20" s="1776">
        <f t="shared" si="31"/>
        <v>0</v>
      </c>
      <c r="EB20" s="1807" t="e">
        <f t="shared" si="32"/>
        <v>#DIV/0!</v>
      </c>
      <c r="EC20" s="1804"/>
      <c r="ED20" s="1776"/>
      <c r="EE20" s="1776"/>
      <c r="EF20" s="1786">
        <f t="shared" si="33"/>
        <v>0</v>
      </c>
      <c r="EG20" s="1938"/>
      <c r="EH20" s="1804"/>
      <c r="EI20" s="1776"/>
      <c r="EJ20" s="1776"/>
      <c r="EK20" s="1776">
        <f t="shared" si="34"/>
        <v>0</v>
      </c>
      <c r="EL20" s="1807" t="e">
        <f t="shared" si="35"/>
        <v>#DIV/0!</v>
      </c>
      <c r="EM20" s="1804"/>
      <c r="EN20" s="1776"/>
      <c r="EO20" s="1776"/>
      <c r="EP20" s="1776">
        <f t="shared" si="36"/>
        <v>0</v>
      </c>
      <c r="EQ20" s="1807" t="e">
        <f t="shared" si="37"/>
        <v>#DIV/0!</v>
      </c>
      <c r="ER20" s="2402">
        <f t="shared" si="38"/>
        <v>0.41666666666666669</v>
      </c>
      <c r="ES20" s="2403">
        <f t="shared" si="39"/>
        <v>130000</v>
      </c>
      <c r="ET20" s="2403">
        <f t="shared" si="39"/>
        <v>303333</v>
      </c>
      <c r="EU20" s="2403">
        <f t="shared" si="39"/>
        <v>173333</v>
      </c>
      <c r="EV20" s="2404">
        <f t="shared" si="40"/>
        <v>0.57142810047044013</v>
      </c>
      <c r="EW20" s="1814">
        <f t="shared" si="89"/>
        <v>1.6666666666666667</v>
      </c>
      <c r="EX20" s="1776">
        <f t="shared" si="90"/>
        <v>303333</v>
      </c>
      <c r="EY20" s="1776">
        <f t="shared" si="90"/>
        <v>173333</v>
      </c>
      <c r="EZ20" s="1815">
        <f t="shared" si="41"/>
        <v>0.57142810047044013</v>
      </c>
      <c r="FA20" s="1805">
        <f t="shared" si="74"/>
        <v>0</v>
      </c>
      <c r="FB20" s="1786">
        <f t="shared" si="42"/>
        <v>0</v>
      </c>
      <c r="FC20" s="1786">
        <f t="shared" si="42"/>
        <v>0</v>
      </c>
      <c r="FD20" s="1799" t="e">
        <f t="shared" si="43"/>
        <v>#DIV/0!</v>
      </c>
      <c r="FE20" s="5979"/>
      <c r="FF20" s="1806"/>
      <c r="FG20" s="1806"/>
      <c r="FH20" s="1815" t="e">
        <f t="shared" si="44"/>
        <v>#DIV/0!</v>
      </c>
      <c r="FI20" s="1816">
        <f t="shared" si="45"/>
        <v>0</v>
      </c>
      <c r="FJ20" s="1814"/>
      <c r="FK20" s="1786">
        <f t="shared" si="46"/>
        <v>0</v>
      </c>
      <c r="FL20" s="1786">
        <f t="shared" si="46"/>
        <v>0</v>
      </c>
      <c r="FM20" s="1799" t="e">
        <f t="shared" si="47"/>
        <v>#DIV/0!</v>
      </c>
      <c r="FN20" s="1817"/>
      <c r="FO20" s="1818"/>
      <c r="FP20" s="1818"/>
      <c r="FQ20" s="1818">
        <f t="shared" si="48"/>
        <v>0</v>
      </c>
      <c r="FR20" s="1819" t="e">
        <f t="shared" si="49"/>
        <v>#DIV/0!</v>
      </c>
      <c r="FS20" s="1820"/>
      <c r="FT20" s="1818"/>
      <c r="FU20" s="1818"/>
      <c r="FV20" s="1818">
        <f t="shared" si="50"/>
        <v>0</v>
      </c>
      <c r="FW20" s="1821" t="e">
        <f t="shared" si="51"/>
        <v>#DIV/0!</v>
      </c>
      <c r="FX20" s="1820"/>
      <c r="FY20" s="1822"/>
      <c r="FZ20" s="1822"/>
      <c r="GA20" s="1818">
        <f t="shared" si="52"/>
        <v>0</v>
      </c>
      <c r="GB20" s="1821" t="e">
        <f t="shared" si="53"/>
        <v>#DIV/0!</v>
      </c>
      <c r="GC20" s="1823"/>
      <c r="GD20" s="1824"/>
      <c r="GE20" s="1824"/>
      <c r="GF20" s="1818">
        <f t="shared" si="54"/>
        <v>0</v>
      </c>
      <c r="GG20" s="1821" t="e">
        <f t="shared" si="55"/>
        <v>#DIV/0!</v>
      </c>
      <c r="GH20" s="1823"/>
      <c r="GI20" s="1824"/>
      <c r="GJ20" s="1824"/>
      <c r="GK20" s="1818">
        <f t="shared" si="56"/>
        <v>0</v>
      </c>
      <c r="GL20" s="1821" t="e">
        <f t="shared" si="57"/>
        <v>#DIV/0!</v>
      </c>
      <c r="GM20" s="1839"/>
      <c r="GN20" s="1839"/>
      <c r="GO20" s="1839"/>
      <c r="GP20" s="1839"/>
      <c r="GQ20" s="1839"/>
      <c r="GR20" s="1839"/>
      <c r="GS20" s="1839"/>
      <c r="GT20" s="1839"/>
      <c r="GU20" s="1839"/>
      <c r="GV20" s="1660"/>
      <c r="GW20" s="1839"/>
      <c r="GX20" s="1839"/>
      <c r="GY20" s="1839"/>
      <c r="GZ20" s="1839"/>
      <c r="HA20" s="1660"/>
      <c r="HB20" s="1839"/>
      <c r="HC20" s="1839"/>
      <c r="HD20" s="1839"/>
      <c r="HE20" s="1839"/>
      <c r="HF20" s="1660"/>
      <c r="HG20" s="1839"/>
      <c r="HH20" s="1839"/>
      <c r="HI20" s="1839"/>
      <c r="HJ20" s="1839"/>
      <c r="HK20" s="1660"/>
      <c r="HL20" s="1839"/>
      <c r="HM20" s="1839"/>
      <c r="HN20" s="1839"/>
      <c r="HO20" s="1839"/>
      <c r="HP20" s="1660"/>
      <c r="HQ20" s="1839"/>
      <c r="HR20" s="1839"/>
      <c r="HS20" s="1839"/>
      <c r="HT20" s="1839"/>
      <c r="HU20" s="1839"/>
      <c r="HV20" s="5941">
        <f t="shared" si="8"/>
        <v>0</v>
      </c>
      <c r="HW20" s="622">
        <f t="shared" si="9"/>
        <v>0</v>
      </c>
      <c r="HX20" s="622">
        <f t="shared" si="9"/>
        <v>0</v>
      </c>
      <c r="HY20" s="622">
        <f t="shared" si="9"/>
        <v>0</v>
      </c>
      <c r="HZ20" s="5980"/>
      <c r="IA20" s="1907">
        <f t="shared" si="58"/>
        <v>0</v>
      </c>
      <c r="IB20" s="1908">
        <f t="shared" si="59"/>
        <v>0</v>
      </c>
      <c r="IC20" s="1908">
        <f t="shared" si="59"/>
        <v>0</v>
      </c>
      <c r="ID20" s="1909" t="e">
        <f t="shared" si="60"/>
        <v>#DIV/0!</v>
      </c>
      <c r="IE20" s="5981"/>
      <c r="IF20" s="5876"/>
      <c r="IG20" s="5876"/>
      <c r="IH20" s="5877"/>
      <c r="II20" s="5982"/>
      <c r="IJ20" s="5876"/>
      <c r="IK20" s="5876"/>
      <c r="IL20" s="5877"/>
      <c r="IM20" s="5875"/>
      <c r="IN20" s="5876"/>
      <c r="IO20" s="5876"/>
      <c r="IP20" s="5878"/>
      <c r="IQ20" s="1839"/>
      <c r="IR20" s="5983"/>
      <c r="IS20" s="1818"/>
      <c r="IT20" s="1818"/>
      <c r="IU20" s="1818">
        <f t="shared" si="61"/>
        <v>0</v>
      </c>
      <c r="IV20" s="1819" t="e">
        <f t="shared" si="62"/>
        <v>#DIV/0!</v>
      </c>
      <c r="IW20" s="1820"/>
      <c r="IX20" s="1818"/>
      <c r="IY20" s="1818"/>
      <c r="IZ20" s="1818">
        <f t="shared" si="63"/>
        <v>0</v>
      </c>
      <c r="JA20" s="1821" t="e">
        <f t="shared" si="64"/>
        <v>#DIV/0!</v>
      </c>
      <c r="JB20" s="1984"/>
      <c r="JC20" s="1822"/>
      <c r="JD20" s="1822"/>
      <c r="JE20" s="1818">
        <f t="shared" si="65"/>
        <v>0</v>
      </c>
      <c r="JF20" s="1821" t="e">
        <f t="shared" si="66"/>
        <v>#DIV/0!</v>
      </c>
      <c r="JG20" s="1981"/>
      <c r="JH20" s="1824"/>
      <c r="JI20" s="1824"/>
      <c r="JJ20" s="1818">
        <f t="shared" si="67"/>
        <v>0</v>
      </c>
      <c r="JK20" s="1821" t="e">
        <f t="shared" si="68"/>
        <v>#DIV/0!</v>
      </c>
      <c r="JL20" s="1823"/>
      <c r="JM20" s="1824"/>
      <c r="JN20" s="1824"/>
      <c r="JO20" s="1818">
        <f t="shared" si="69"/>
        <v>0</v>
      </c>
      <c r="JP20" s="1821" t="e">
        <f t="shared" si="70"/>
        <v>#DIV/0!</v>
      </c>
      <c r="JQ20" s="5948"/>
      <c r="JR20" s="1839"/>
      <c r="JS20" s="1839"/>
      <c r="JT20" s="1839"/>
      <c r="JU20" s="1839"/>
      <c r="JV20" s="5984"/>
      <c r="JW20" s="1839"/>
      <c r="JX20" s="1839"/>
      <c r="JY20" s="1839"/>
      <c r="JZ20" s="1660"/>
      <c r="KA20" s="1839"/>
      <c r="KB20" s="1839"/>
      <c r="KC20" s="1839"/>
      <c r="KD20" s="1839"/>
      <c r="KE20" s="1660"/>
      <c r="KF20" s="5951"/>
      <c r="KG20" s="1839"/>
      <c r="KH20" s="1839"/>
      <c r="KI20" s="1839"/>
      <c r="KJ20" s="1660"/>
      <c r="KK20" s="5951"/>
      <c r="KL20" s="1839"/>
      <c r="KM20" s="1839"/>
      <c r="KN20" s="1839"/>
      <c r="KO20" s="1660"/>
      <c r="KP20" s="1659"/>
      <c r="KQ20" s="1839"/>
      <c r="KR20" s="1839"/>
      <c r="KS20" s="1839"/>
      <c r="KT20" s="1839"/>
      <c r="KU20" s="1659"/>
      <c r="KV20" s="1839"/>
      <c r="KW20" s="1839"/>
      <c r="KX20" s="1839"/>
      <c r="KY20" s="1660"/>
      <c r="KZ20" s="5739">
        <f t="shared" si="10"/>
        <v>0</v>
      </c>
      <c r="LA20" s="5740">
        <f t="shared" si="11"/>
        <v>0</v>
      </c>
      <c r="LB20" s="5740">
        <f t="shared" si="11"/>
        <v>0</v>
      </c>
      <c r="LC20" s="5740">
        <f t="shared" si="11"/>
        <v>0</v>
      </c>
      <c r="LD20" s="1660"/>
      <c r="LE20" s="1912">
        <f t="shared" si="71"/>
        <v>0</v>
      </c>
      <c r="LF20" s="1908">
        <f t="shared" si="72"/>
        <v>0</v>
      </c>
      <c r="LG20" s="1908">
        <f t="shared" si="72"/>
        <v>0</v>
      </c>
      <c r="LH20" s="1909"/>
      <c r="LI20" s="5875"/>
      <c r="LJ20" s="5876"/>
      <c r="LK20" s="5876"/>
      <c r="LL20" s="5877"/>
      <c r="LM20" s="1907"/>
      <c r="LN20" s="5876"/>
      <c r="LO20" s="5876"/>
      <c r="LP20" s="5877"/>
      <c r="LQ20" s="5875"/>
      <c r="LR20" s="1836">
        <f t="shared" si="76"/>
        <v>0</v>
      </c>
      <c r="LS20" s="1836">
        <f t="shared" si="76"/>
        <v>0</v>
      </c>
      <c r="LT20" s="5878"/>
      <c r="LV20" s="691"/>
      <c r="LW20" s="1839"/>
      <c r="LX20" s="1839"/>
      <c r="LY20" s="1839"/>
      <c r="LZ20" s="5879"/>
      <c r="MF20" s="5880"/>
      <c r="MG20" s="4965"/>
      <c r="MH20" s="4965"/>
      <c r="MI20" s="1839"/>
      <c r="MJ20" s="1660"/>
      <c r="MK20" s="5881"/>
      <c r="MN20" s="372">
        <f t="shared" si="12"/>
        <v>0</v>
      </c>
      <c r="MP20" s="5881"/>
      <c r="MQ20" s="1839"/>
      <c r="MR20" s="1839"/>
      <c r="MS20" s="1839"/>
      <c r="MT20" s="693"/>
      <c r="MU20" s="2035"/>
      <c r="MV20" s="1914"/>
      <c r="MW20" s="1914"/>
      <c r="MX20" s="1914"/>
      <c r="MY20" s="5882"/>
      <c r="MZ20" s="1659"/>
      <c r="NA20" s="1839"/>
      <c r="NB20" s="1839"/>
      <c r="NC20" s="1839"/>
      <c r="ND20" s="1839"/>
      <c r="NO20" s="5883"/>
      <c r="NP20" s="2425"/>
      <c r="NQ20" s="2425"/>
      <c r="NR20" s="5883"/>
      <c r="NT20" s="1839"/>
      <c r="NU20" s="1839"/>
      <c r="NV20" s="715"/>
      <c r="NW20" s="1839"/>
      <c r="NX20" s="1660"/>
      <c r="NY20" s="5884"/>
      <c r="NZ20" s="1914"/>
      <c r="OA20" s="1914"/>
      <c r="OB20" s="5882"/>
      <c r="OC20" s="1660"/>
      <c r="OE20" s="5885"/>
      <c r="OF20" s="5885"/>
      <c r="OG20" s="715"/>
      <c r="OH20" s="1660"/>
      <c r="OI20" s="1659"/>
      <c r="OJ20" s="1839"/>
      <c r="OK20" s="1839"/>
      <c r="OL20" s="1839"/>
      <c r="OM20" s="693"/>
      <c r="ON20" s="1659"/>
      <c r="OO20" s="715"/>
      <c r="OP20" s="715"/>
      <c r="OQ20" s="715"/>
      <c r="OR20" s="705"/>
      <c r="OS20" s="1659"/>
      <c r="OT20" s="1839"/>
      <c r="OU20" s="1839"/>
      <c r="OV20" s="1839"/>
      <c r="OW20" s="705"/>
      <c r="OX20" s="1659"/>
      <c r="OY20" s="1839"/>
      <c r="OZ20" s="1839"/>
      <c r="PA20" s="1839"/>
      <c r="PB20" s="1660"/>
      <c r="PD20" s="691"/>
      <c r="PE20" s="1839"/>
      <c r="PF20" s="1839"/>
      <c r="PG20" s="1839"/>
      <c r="PH20" s="5879"/>
      <c r="PN20" s="5880"/>
      <c r="PO20" s="4965"/>
      <c r="PP20" s="4965"/>
      <c r="PQ20" s="1839"/>
      <c r="PR20" s="1660"/>
      <c r="PS20" s="5886"/>
      <c r="PT20" s="5883"/>
      <c r="PU20" s="5883"/>
      <c r="PV20" s="2892">
        <f t="shared" si="13"/>
        <v>0</v>
      </c>
      <c r="PW20" s="5883"/>
      <c r="PX20" s="5881"/>
      <c r="PY20" s="1839"/>
      <c r="PZ20" s="1839"/>
      <c r="QA20" s="1839"/>
      <c r="QB20" s="693"/>
      <c r="QC20" s="2035"/>
      <c r="QD20" s="1914"/>
      <c r="QE20" s="1914"/>
      <c r="QF20" s="1914"/>
      <c r="QG20" s="5882"/>
      <c r="QH20" s="1910"/>
      <c r="QI20" s="1839"/>
      <c r="QJ20" s="1839"/>
      <c r="QK20" s="1839"/>
      <c r="QL20" s="1839"/>
      <c r="QM20" s="5880"/>
      <c r="QR20" s="5883"/>
      <c r="QS20" s="5883"/>
      <c r="QT20" s="5883"/>
      <c r="QU20" s="5883"/>
      <c r="QV20" s="1677"/>
      <c r="QW20" s="5883"/>
      <c r="QX20" s="2425"/>
      <c r="QY20" s="2425"/>
      <c r="QZ20" s="5883"/>
      <c r="RA20" s="5883"/>
      <c r="RB20" s="1839"/>
      <c r="RC20" s="1839"/>
      <c r="RD20" s="715"/>
      <c r="RE20" s="1839"/>
      <c r="RF20" s="1660"/>
      <c r="RG20" s="2037"/>
      <c r="RH20" s="1914"/>
      <c r="RI20" s="1914"/>
      <c r="RJ20" s="5882"/>
      <c r="RK20" s="1660"/>
      <c r="RL20" s="5883"/>
      <c r="RM20" s="1873">
        <f t="shared" si="77"/>
        <v>0</v>
      </c>
      <c r="RN20" s="1873">
        <f t="shared" si="77"/>
        <v>0</v>
      </c>
      <c r="RO20" s="1873">
        <f t="shared" si="77"/>
        <v>0</v>
      </c>
      <c r="RP20" s="5883"/>
      <c r="RQ20" s="1659"/>
      <c r="RR20" s="1839"/>
      <c r="RS20" s="1839"/>
      <c r="RT20" s="1839"/>
      <c r="RU20" s="693"/>
      <c r="RV20" s="1659"/>
      <c r="RW20" s="715"/>
      <c r="RX20" s="715"/>
      <c r="RY20" s="715"/>
      <c r="RZ20" s="705"/>
      <c r="SA20" s="1659"/>
      <c r="SB20" s="1839"/>
      <c r="SC20" s="1839"/>
      <c r="SD20" s="1839"/>
      <c r="SE20" s="705"/>
      <c r="SF20" s="1659"/>
      <c r="SG20" s="1839"/>
      <c r="SH20" s="1839"/>
      <c r="SI20" s="1839"/>
      <c r="SJ20" s="1660"/>
      <c r="SL20" s="5887"/>
      <c r="SM20" s="5882"/>
      <c r="SN20" s="5882"/>
      <c r="SO20" s="5882"/>
      <c r="SP20" s="5888"/>
      <c r="SQ20" s="5883"/>
      <c r="SR20" s="5883"/>
      <c r="SS20" s="5883"/>
      <c r="ST20" s="5883"/>
      <c r="SU20" s="5883"/>
      <c r="SV20" s="5880"/>
      <c r="SW20" s="4965"/>
      <c r="SX20" s="4965"/>
      <c r="SY20" s="1839"/>
      <c r="SZ20" s="1660"/>
      <c r="TA20" s="5881"/>
      <c r="TD20" s="372">
        <f t="shared" si="14"/>
        <v>0</v>
      </c>
      <c r="TF20" s="5881"/>
      <c r="TG20" s="1839"/>
      <c r="TH20" s="1839"/>
      <c r="TI20" s="1839"/>
      <c r="TJ20" s="693"/>
      <c r="TK20" s="2035"/>
      <c r="TL20" s="1914"/>
      <c r="TM20" s="1914"/>
      <c r="TN20" s="1914"/>
      <c r="TO20" s="5882"/>
      <c r="TP20" s="2407"/>
      <c r="TQ20" s="1839"/>
      <c r="TR20" s="1839"/>
      <c r="TS20" s="1839"/>
      <c r="TT20" s="1839"/>
      <c r="TU20" s="5889"/>
      <c r="TV20" s="5883"/>
      <c r="TW20" s="5883"/>
      <c r="TX20" s="5883"/>
      <c r="TY20" s="5883"/>
      <c r="TZ20" s="5883"/>
      <c r="UA20" s="5883"/>
      <c r="UB20" s="5883"/>
      <c r="UC20" s="5883"/>
      <c r="UD20" s="1677"/>
      <c r="UE20" s="5883"/>
      <c r="UF20" s="2425"/>
      <c r="UG20" s="2425"/>
      <c r="UH20" s="5883"/>
      <c r="UI20" s="5883"/>
      <c r="UJ20" s="1839"/>
      <c r="UK20" s="1839"/>
      <c r="UL20" s="715"/>
      <c r="UM20" s="1839"/>
      <c r="UN20" s="1660"/>
      <c r="UO20" s="2037"/>
      <c r="UP20" s="1914"/>
      <c r="UQ20" s="1914"/>
      <c r="UR20" s="5882"/>
      <c r="US20" s="1660"/>
      <c r="UU20" s="622">
        <f t="shared" si="78"/>
        <v>0</v>
      </c>
      <c r="UV20" s="622">
        <f t="shared" si="78"/>
        <v>0</v>
      </c>
      <c r="UW20" s="622">
        <f t="shared" si="78"/>
        <v>0</v>
      </c>
      <c r="UY20" s="1659"/>
      <c r="UZ20" s="1839"/>
      <c r="VA20" s="1839"/>
      <c r="VB20" s="1839"/>
      <c r="VC20" s="693"/>
      <c r="VD20" s="1659"/>
      <c r="VE20" s="715"/>
      <c r="VF20" s="715"/>
      <c r="VG20" s="715"/>
      <c r="VH20" s="705"/>
      <c r="VI20" s="1659"/>
      <c r="VJ20" s="1839"/>
      <c r="VK20" s="1839"/>
      <c r="VL20" s="1839"/>
      <c r="VM20" s="705"/>
      <c r="VN20" s="1659"/>
      <c r="VO20" s="1839"/>
      <c r="VP20" s="1839"/>
      <c r="VQ20" s="1839"/>
      <c r="VR20" s="1660"/>
    </row>
    <row r="21" spans="1:590" s="122" customFormat="1" hidden="1" x14ac:dyDescent="0.3">
      <c r="A21" s="2906"/>
      <c r="B21" s="1804" t="s">
        <v>53</v>
      </c>
      <c r="C21" s="5988" t="s">
        <v>754</v>
      </c>
      <c r="D21" s="5996" t="s">
        <v>755</v>
      </c>
      <c r="E21" s="5985">
        <v>43054</v>
      </c>
      <c r="F21" s="5985">
        <v>43418</v>
      </c>
      <c r="G21" s="5974">
        <v>240000</v>
      </c>
      <c r="H21" s="1775">
        <v>8</v>
      </c>
      <c r="I21" s="1783">
        <f>65043+84845</f>
        <v>149888</v>
      </c>
      <c r="J21" s="1783">
        <v>177600</v>
      </c>
      <c r="K21" s="1776">
        <f t="shared" si="91"/>
        <v>27712</v>
      </c>
      <c r="L21" s="1777">
        <f>K21/J21</f>
        <v>0.15603603603603602</v>
      </c>
      <c r="M21" s="5986">
        <v>7</v>
      </c>
      <c r="N21" s="1779">
        <v>125391</v>
      </c>
      <c r="O21" s="1779">
        <v>155520</v>
      </c>
      <c r="P21" s="1779">
        <f t="shared" si="92"/>
        <v>30129</v>
      </c>
      <c r="Q21" s="1780">
        <f>P21/O21</f>
        <v>0.1937307098765432</v>
      </c>
      <c r="R21" s="5975" t="s">
        <v>756</v>
      </c>
      <c r="S21" s="1783">
        <f>65047+34098</f>
        <v>99145</v>
      </c>
      <c r="T21" s="1776">
        <v>121920</v>
      </c>
      <c r="U21" s="1776">
        <f t="shared" si="2"/>
        <v>22775</v>
      </c>
      <c r="V21" s="1777">
        <f>U21/T21</f>
        <v>0.1868028215223097</v>
      </c>
      <c r="W21" s="5987">
        <v>5</v>
      </c>
      <c r="X21" s="1783">
        <v>126765</v>
      </c>
      <c r="Y21" s="1776">
        <v>151680</v>
      </c>
      <c r="Z21" s="1776">
        <f t="shared" si="3"/>
        <v>24915</v>
      </c>
      <c r="AA21" s="1777">
        <f>Z21/Y21</f>
        <v>0.16426028481012658</v>
      </c>
      <c r="AB21" s="5977">
        <f>6+3</f>
        <v>9</v>
      </c>
      <c r="AC21" s="1783">
        <f>126249+51098</f>
        <v>177347</v>
      </c>
      <c r="AD21" s="1776">
        <v>199999.68</v>
      </c>
      <c r="AE21" s="1776">
        <f t="shared" si="4"/>
        <v>22652.679999999993</v>
      </c>
      <c r="AF21" s="1777">
        <f>AE21/AD21</f>
        <v>0.11326358122172993</v>
      </c>
      <c r="AG21" s="1785">
        <f>6+3</f>
        <v>9</v>
      </c>
      <c r="AH21" s="1776">
        <v>177347</v>
      </c>
      <c r="AI21" s="5995">
        <v>199999.68</v>
      </c>
      <c r="AJ21" s="1786">
        <f t="shared" si="5"/>
        <v>22652.679999999993</v>
      </c>
      <c r="AK21" s="1777">
        <f>AJ21/AI21</f>
        <v>0.11326358122172993</v>
      </c>
      <c r="AL21" s="1785">
        <v>9</v>
      </c>
      <c r="AM21" s="1776">
        <v>177347</v>
      </c>
      <c r="AN21" s="1788">
        <v>199999.68</v>
      </c>
      <c r="AO21" s="1781">
        <f t="shared" si="79"/>
        <v>22652.679999999993</v>
      </c>
      <c r="AP21" s="1777">
        <f>AO21/AN21</f>
        <v>0.11326358122172993</v>
      </c>
      <c r="AQ21" s="1787">
        <v>9</v>
      </c>
      <c r="AR21" s="1788">
        <v>82762</v>
      </c>
      <c r="AS21" s="1788">
        <v>93331.199999999997</v>
      </c>
      <c r="AT21" s="1789">
        <f t="shared" si="15"/>
        <v>10569.199999999997</v>
      </c>
      <c r="AU21" s="1777">
        <f>AT21/AS21</f>
        <v>0.11324401700610297</v>
      </c>
      <c r="AV21" s="1790"/>
      <c r="AW21" s="1788"/>
      <c r="AX21" s="1788">
        <v>0</v>
      </c>
      <c r="AY21" s="1781">
        <f t="shared" si="16"/>
        <v>0</v>
      </c>
      <c r="AZ21" s="1777" t="s">
        <v>732</v>
      </c>
      <c r="BA21" s="1785"/>
      <c r="BB21" s="1776"/>
      <c r="BC21" s="1776"/>
      <c r="BD21" s="1781">
        <f t="shared" si="81"/>
        <v>0</v>
      </c>
      <c r="BE21" s="1780" t="e">
        <f t="shared" si="82"/>
        <v>#DIV/0!</v>
      </c>
      <c r="BF21" s="1785"/>
      <c r="BG21" s="1776"/>
      <c r="BH21" s="1776"/>
      <c r="BI21" s="1781">
        <f t="shared" si="83"/>
        <v>0</v>
      </c>
      <c r="BJ21" s="1780"/>
      <c r="BK21" s="1785"/>
      <c r="BL21" s="1776"/>
      <c r="BM21" s="1776"/>
      <c r="BN21" s="1781">
        <f t="shared" si="84"/>
        <v>0</v>
      </c>
      <c r="BO21" s="5978"/>
      <c r="BP21" s="1937">
        <f t="shared" si="21"/>
        <v>5.083333333333333</v>
      </c>
      <c r="BQ21" s="1796">
        <f t="shared" si="22"/>
        <v>1115992</v>
      </c>
      <c r="BR21" s="1786">
        <f t="shared" si="22"/>
        <v>1300050.24</v>
      </c>
      <c r="BS21" s="1797">
        <f t="shared" si="7"/>
        <v>184058.23999999999</v>
      </c>
      <c r="BT21" s="1798">
        <f t="shared" si="23"/>
        <v>20</v>
      </c>
      <c r="BU21" s="1786">
        <f t="shared" si="24"/>
        <v>455040</v>
      </c>
      <c r="BV21" s="1786">
        <f t="shared" si="24"/>
        <v>80616</v>
      </c>
      <c r="BW21" s="1799">
        <f>BV21/BU21</f>
        <v>0.17716244725738398</v>
      </c>
      <c r="BX21" s="1800">
        <f t="shared" si="25"/>
        <v>23</v>
      </c>
      <c r="BY21" s="1786">
        <f t="shared" si="26"/>
        <v>551679.36</v>
      </c>
      <c r="BZ21" s="1786">
        <f t="shared" si="26"/>
        <v>70220.359999999986</v>
      </c>
      <c r="CA21" s="1801"/>
      <c r="CB21" s="1802">
        <f t="shared" si="27"/>
        <v>18</v>
      </c>
      <c r="CC21" s="1786">
        <f t="shared" si="75"/>
        <v>293330.88</v>
      </c>
      <c r="CD21" s="1786">
        <f t="shared" si="75"/>
        <v>33221.87999999999</v>
      </c>
      <c r="CE21" s="1803"/>
      <c r="CF21" s="1800">
        <f t="shared" si="28"/>
        <v>0</v>
      </c>
      <c r="CG21" s="1776">
        <f t="shared" si="29"/>
        <v>0</v>
      </c>
      <c r="CH21" s="1776">
        <f t="shared" si="29"/>
        <v>0</v>
      </c>
      <c r="CI21" s="1801"/>
      <c r="CJ21" s="1804"/>
      <c r="CK21" s="1776"/>
      <c r="CL21" s="1776"/>
      <c r="CM21" s="1776">
        <f t="shared" si="80"/>
        <v>0</v>
      </c>
      <c r="CN21" s="1799"/>
      <c r="CO21" s="1804"/>
      <c r="CP21" s="1776"/>
      <c r="CQ21" s="1776"/>
      <c r="CR21" s="1776">
        <f t="shared" si="85"/>
        <v>0</v>
      </c>
      <c r="CS21" s="1799"/>
      <c r="CT21" s="1804"/>
      <c r="CU21" s="1776"/>
      <c r="CV21" s="1776"/>
      <c r="CW21" s="1776">
        <f t="shared" si="86"/>
        <v>0</v>
      </c>
      <c r="CX21" s="1799"/>
      <c r="CY21" s="1804"/>
      <c r="CZ21" s="1776"/>
      <c r="DA21" s="1776"/>
      <c r="DB21" s="1776">
        <f t="shared" si="87"/>
        <v>0</v>
      </c>
      <c r="DC21" s="1799"/>
      <c r="DD21" s="1805"/>
      <c r="DE21" s="1806"/>
      <c r="DF21" s="1806"/>
      <c r="DG21" s="1783">
        <f t="shared" si="30"/>
        <v>0</v>
      </c>
      <c r="DH21" s="1807"/>
      <c r="DI21" s="1804"/>
      <c r="DJ21" s="1806"/>
      <c r="DK21" s="1806"/>
      <c r="DL21" s="1776">
        <f t="shared" si="88"/>
        <v>0</v>
      </c>
      <c r="DM21" s="1807"/>
      <c r="DN21" s="1804"/>
      <c r="DO21" s="1776"/>
      <c r="DP21" s="1776"/>
      <c r="DQ21" s="1776">
        <f t="shared" ref="DQ21:DQ31" si="93">DP21-DO21</f>
        <v>0</v>
      </c>
      <c r="DR21" s="1807"/>
      <c r="DS21" s="1804"/>
      <c r="DT21" s="1776"/>
      <c r="DU21" s="1776"/>
      <c r="DV21" s="1776">
        <f t="shared" ref="DV21:DV31" si="94">DU21-DT21</f>
        <v>0</v>
      </c>
      <c r="DW21" s="1799" t="e">
        <f>DV21/DU21</f>
        <v>#DIV/0!</v>
      </c>
      <c r="DX21" s="1804"/>
      <c r="DY21" s="1776"/>
      <c r="DZ21" s="1776"/>
      <c r="EA21" s="1776">
        <f t="shared" si="31"/>
        <v>0</v>
      </c>
      <c r="EB21" s="1807" t="e">
        <f t="shared" si="32"/>
        <v>#DIV/0!</v>
      </c>
      <c r="EC21" s="1804"/>
      <c r="ED21" s="1776"/>
      <c r="EE21" s="1776"/>
      <c r="EF21" s="1786">
        <f t="shared" si="33"/>
        <v>0</v>
      </c>
      <c r="EG21" s="1807" t="e">
        <f>EF21/EE21</f>
        <v>#DIV/0!</v>
      </c>
      <c r="EH21" s="1804"/>
      <c r="EI21" s="1776"/>
      <c r="EJ21" s="1776"/>
      <c r="EK21" s="1776">
        <f t="shared" si="34"/>
        <v>0</v>
      </c>
      <c r="EL21" s="1807" t="e">
        <f t="shared" si="35"/>
        <v>#DIV/0!</v>
      </c>
      <c r="EM21" s="1804"/>
      <c r="EN21" s="1776"/>
      <c r="EO21" s="1776"/>
      <c r="EP21" s="1776">
        <f t="shared" si="36"/>
        <v>0</v>
      </c>
      <c r="EQ21" s="1807" t="e">
        <f t="shared" si="37"/>
        <v>#DIV/0!</v>
      </c>
      <c r="ER21" s="2402">
        <f t="shared" si="38"/>
        <v>0</v>
      </c>
      <c r="ES21" s="2403">
        <f t="shared" si="39"/>
        <v>0</v>
      </c>
      <c r="ET21" s="2403">
        <f t="shared" si="39"/>
        <v>0</v>
      </c>
      <c r="EU21" s="2403">
        <f t="shared" si="39"/>
        <v>0</v>
      </c>
      <c r="EV21" s="2404" t="e">
        <f t="shared" si="40"/>
        <v>#DIV/0!</v>
      </c>
      <c r="EW21" s="1814">
        <f t="shared" si="89"/>
        <v>0</v>
      </c>
      <c r="EX21" s="1776">
        <f t="shared" si="90"/>
        <v>0</v>
      </c>
      <c r="EY21" s="1776">
        <f t="shared" si="90"/>
        <v>0</v>
      </c>
      <c r="EZ21" s="1815" t="e">
        <f t="shared" si="41"/>
        <v>#DIV/0!</v>
      </c>
      <c r="FA21" s="1939">
        <f t="shared" ref="FA21:FA31" si="95">(CY21+DD21+DI21)/3</f>
        <v>0</v>
      </c>
      <c r="FB21" s="1786">
        <f t="shared" si="42"/>
        <v>0</v>
      </c>
      <c r="FC21" s="1786">
        <f t="shared" si="42"/>
        <v>0</v>
      </c>
      <c r="FD21" s="1799" t="e">
        <f t="shared" si="43"/>
        <v>#DIV/0!</v>
      </c>
      <c r="FE21" s="1814">
        <f t="shared" ref="FE21:FE31" si="96">(DN21+DS21+DX21)/3</f>
        <v>0</v>
      </c>
      <c r="FF21" s="1786">
        <f t="shared" ref="FF21:FG31" si="97">DP21+DU21+DZ21</f>
        <v>0</v>
      </c>
      <c r="FG21" s="1786">
        <f t="shared" si="97"/>
        <v>0</v>
      </c>
      <c r="FH21" s="1815" t="e">
        <f t="shared" si="44"/>
        <v>#DIV/0!</v>
      </c>
      <c r="FI21" s="1816">
        <f t="shared" si="45"/>
        <v>0</v>
      </c>
      <c r="FJ21" s="1814"/>
      <c r="FK21" s="1786">
        <f t="shared" si="46"/>
        <v>0</v>
      </c>
      <c r="FL21" s="1786">
        <f t="shared" si="46"/>
        <v>0</v>
      </c>
      <c r="FM21" s="1799" t="e">
        <f t="shared" si="47"/>
        <v>#DIV/0!</v>
      </c>
      <c r="FN21" s="1817"/>
      <c r="FO21" s="1818"/>
      <c r="FP21" s="1818"/>
      <c r="FQ21" s="1818">
        <f t="shared" si="48"/>
        <v>0</v>
      </c>
      <c r="FR21" s="1819" t="e">
        <f t="shared" si="49"/>
        <v>#DIV/0!</v>
      </c>
      <c r="FS21" s="1820"/>
      <c r="FT21" s="1818"/>
      <c r="FU21" s="1818"/>
      <c r="FV21" s="1818">
        <f t="shared" si="50"/>
        <v>0</v>
      </c>
      <c r="FW21" s="1821" t="e">
        <f t="shared" si="51"/>
        <v>#DIV/0!</v>
      </c>
      <c r="FX21" s="1820"/>
      <c r="FY21" s="1822"/>
      <c r="FZ21" s="1822"/>
      <c r="GA21" s="1818">
        <f t="shared" si="52"/>
        <v>0</v>
      </c>
      <c r="GB21" s="1821" t="e">
        <f t="shared" si="53"/>
        <v>#DIV/0!</v>
      </c>
      <c r="GC21" s="1823"/>
      <c r="GD21" s="1824"/>
      <c r="GE21" s="1824"/>
      <c r="GF21" s="1818">
        <f t="shared" si="54"/>
        <v>0</v>
      </c>
      <c r="GG21" s="1821" t="e">
        <f t="shared" si="55"/>
        <v>#DIV/0!</v>
      </c>
      <c r="GH21" s="1823"/>
      <c r="GI21" s="1824"/>
      <c r="GJ21" s="1824"/>
      <c r="GK21" s="1818">
        <f t="shared" si="56"/>
        <v>0</v>
      </c>
      <c r="GL21" s="1821" t="e">
        <f t="shared" si="57"/>
        <v>#DIV/0!</v>
      </c>
      <c r="GM21" s="1839"/>
      <c r="GN21" s="1839"/>
      <c r="GO21" s="1839"/>
      <c r="GP21" s="1839"/>
      <c r="GQ21" s="1839"/>
      <c r="GR21" s="1839"/>
      <c r="GS21" s="1839"/>
      <c r="GT21" s="1839"/>
      <c r="GU21" s="1839"/>
      <c r="GV21" s="1660"/>
      <c r="GW21" s="1839"/>
      <c r="GX21" s="1839"/>
      <c r="GY21" s="1839"/>
      <c r="GZ21" s="1839"/>
      <c r="HA21" s="1660"/>
      <c r="HB21" s="1839"/>
      <c r="HC21" s="1839"/>
      <c r="HD21" s="1839"/>
      <c r="HE21" s="1839"/>
      <c r="HF21" s="1660"/>
      <c r="HG21" s="1839"/>
      <c r="HH21" s="1839"/>
      <c r="HI21" s="1839"/>
      <c r="HJ21" s="1839"/>
      <c r="HK21" s="1660"/>
      <c r="HL21" s="1839"/>
      <c r="HM21" s="1839"/>
      <c r="HN21" s="1839"/>
      <c r="HO21" s="1839"/>
      <c r="HP21" s="1660"/>
      <c r="HQ21" s="1839"/>
      <c r="HR21" s="1839"/>
      <c r="HS21" s="1839"/>
      <c r="HT21" s="1839"/>
      <c r="HU21" s="1839"/>
      <c r="HV21" s="5941">
        <f t="shared" si="8"/>
        <v>0</v>
      </c>
      <c r="HW21" s="622">
        <f t="shared" si="9"/>
        <v>0</v>
      </c>
      <c r="HX21" s="622">
        <f t="shared" si="9"/>
        <v>0</v>
      </c>
      <c r="HY21" s="622">
        <f t="shared" si="9"/>
        <v>0</v>
      </c>
      <c r="HZ21" s="5980"/>
      <c r="IA21" s="1907">
        <f t="shared" si="58"/>
        <v>0</v>
      </c>
      <c r="IB21" s="1908">
        <f t="shared" si="59"/>
        <v>0</v>
      </c>
      <c r="IC21" s="1908">
        <f t="shared" si="59"/>
        <v>0</v>
      </c>
      <c r="ID21" s="1909" t="e">
        <f t="shared" si="60"/>
        <v>#DIV/0!</v>
      </c>
      <c r="IE21" s="5981"/>
      <c r="IF21" s="5876"/>
      <c r="IG21" s="5876"/>
      <c r="IH21" s="5877"/>
      <c r="II21" s="5982"/>
      <c r="IJ21" s="5876"/>
      <c r="IK21" s="5876"/>
      <c r="IL21" s="5877"/>
      <c r="IM21" s="5875"/>
      <c r="IN21" s="5876"/>
      <c r="IO21" s="5876"/>
      <c r="IP21" s="5878"/>
      <c r="IQ21" s="1839"/>
      <c r="IR21" s="5983"/>
      <c r="IS21" s="1818"/>
      <c r="IT21" s="1818"/>
      <c r="IU21" s="1818">
        <f t="shared" si="61"/>
        <v>0</v>
      </c>
      <c r="IV21" s="1819" t="e">
        <f t="shared" si="62"/>
        <v>#DIV/0!</v>
      </c>
      <c r="IW21" s="1820"/>
      <c r="IX21" s="1818"/>
      <c r="IY21" s="1818"/>
      <c r="IZ21" s="1818">
        <f t="shared" si="63"/>
        <v>0</v>
      </c>
      <c r="JA21" s="1821" t="e">
        <f t="shared" si="64"/>
        <v>#DIV/0!</v>
      </c>
      <c r="JB21" s="1984"/>
      <c r="JC21" s="1822"/>
      <c r="JD21" s="1822"/>
      <c r="JE21" s="1818">
        <f t="shared" si="65"/>
        <v>0</v>
      </c>
      <c r="JF21" s="1821" t="e">
        <f t="shared" si="66"/>
        <v>#DIV/0!</v>
      </c>
      <c r="JG21" s="1981"/>
      <c r="JH21" s="1824"/>
      <c r="JI21" s="1824"/>
      <c r="JJ21" s="1818">
        <f t="shared" si="67"/>
        <v>0</v>
      </c>
      <c r="JK21" s="1821" t="e">
        <f t="shared" si="68"/>
        <v>#DIV/0!</v>
      </c>
      <c r="JL21" s="1823"/>
      <c r="JM21" s="1824"/>
      <c r="JN21" s="1824"/>
      <c r="JO21" s="1818">
        <f t="shared" si="69"/>
        <v>0</v>
      </c>
      <c r="JP21" s="1821" t="e">
        <f t="shared" si="70"/>
        <v>#DIV/0!</v>
      </c>
      <c r="JQ21" s="5948"/>
      <c r="JR21" s="1839"/>
      <c r="JS21" s="1839"/>
      <c r="JT21" s="1839"/>
      <c r="JU21" s="1839"/>
      <c r="JV21" s="5984"/>
      <c r="JW21" s="1839"/>
      <c r="JX21" s="1839"/>
      <c r="JY21" s="1839"/>
      <c r="JZ21" s="1660"/>
      <c r="KA21" s="1839"/>
      <c r="KB21" s="1839"/>
      <c r="KC21" s="1839"/>
      <c r="KD21" s="1839"/>
      <c r="KE21" s="1660"/>
      <c r="KF21" s="5951"/>
      <c r="KG21" s="1839"/>
      <c r="KH21" s="1839"/>
      <c r="KI21" s="1839"/>
      <c r="KJ21" s="1660"/>
      <c r="KK21" s="5951"/>
      <c r="KL21" s="1839"/>
      <c r="KM21" s="1839"/>
      <c r="KN21" s="1839"/>
      <c r="KO21" s="1660"/>
      <c r="KP21" s="1659"/>
      <c r="KQ21" s="1839"/>
      <c r="KR21" s="1839"/>
      <c r="KS21" s="1839"/>
      <c r="KT21" s="1839"/>
      <c r="KU21" s="1659"/>
      <c r="KV21" s="1839"/>
      <c r="KW21" s="1839"/>
      <c r="KX21" s="1839"/>
      <c r="KY21" s="1660"/>
      <c r="KZ21" s="5739">
        <f t="shared" si="10"/>
        <v>0</v>
      </c>
      <c r="LA21" s="5740">
        <f t="shared" si="11"/>
        <v>0</v>
      </c>
      <c r="LB21" s="5740">
        <f t="shared" si="11"/>
        <v>0</v>
      </c>
      <c r="LC21" s="5740">
        <f t="shared" si="11"/>
        <v>0</v>
      </c>
      <c r="LD21" s="1660"/>
      <c r="LE21" s="1912">
        <f t="shared" si="71"/>
        <v>0</v>
      </c>
      <c r="LF21" s="1908">
        <f t="shared" si="72"/>
        <v>0</v>
      </c>
      <c r="LG21" s="1908">
        <f t="shared" si="72"/>
        <v>0</v>
      </c>
      <c r="LH21" s="1909"/>
      <c r="LI21" s="5875"/>
      <c r="LJ21" s="5876"/>
      <c r="LK21" s="5876"/>
      <c r="LL21" s="5877"/>
      <c r="LM21" s="1907"/>
      <c r="LN21" s="5876"/>
      <c r="LO21" s="5876"/>
      <c r="LP21" s="5877"/>
      <c r="LQ21" s="5875"/>
      <c r="LR21" s="1836">
        <f t="shared" si="76"/>
        <v>0</v>
      </c>
      <c r="LS21" s="1836">
        <f t="shared" si="76"/>
        <v>0</v>
      </c>
      <c r="LT21" s="5878"/>
      <c r="LV21" s="691"/>
      <c r="LW21" s="1839"/>
      <c r="LX21" s="1839"/>
      <c r="LY21" s="1839"/>
      <c r="LZ21" s="5879"/>
      <c r="MF21" s="5880"/>
      <c r="MG21" s="4965"/>
      <c r="MH21" s="4965"/>
      <c r="MI21" s="1839"/>
      <c r="MJ21" s="1660"/>
      <c r="MK21" s="5881"/>
      <c r="MN21" s="372">
        <f t="shared" si="12"/>
        <v>0</v>
      </c>
      <c r="MP21" s="5881"/>
      <c r="MQ21" s="1839"/>
      <c r="MR21" s="1839"/>
      <c r="MS21" s="1839"/>
      <c r="MT21" s="693"/>
      <c r="MU21" s="2035"/>
      <c r="MV21" s="1914"/>
      <c r="MW21" s="1914"/>
      <c r="MX21" s="1914"/>
      <c r="MY21" s="5882"/>
      <c r="MZ21" s="1659"/>
      <c r="NA21" s="1839"/>
      <c r="NB21" s="1839"/>
      <c r="NC21" s="1839"/>
      <c r="ND21" s="1839"/>
      <c r="NO21" s="5883"/>
      <c r="NP21" s="2425"/>
      <c r="NQ21" s="2425"/>
      <c r="NR21" s="5883"/>
      <c r="NT21" s="1839"/>
      <c r="NU21" s="1839"/>
      <c r="NV21" s="715"/>
      <c r="NW21" s="1839"/>
      <c r="NX21" s="1660"/>
      <c r="NY21" s="5884"/>
      <c r="NZ21" s="1914"/>
      <c r="OA21" s="1914"/>
      <c r="OB21" s="5882"/>
      <c r="OC21" s="1660"/>
      <c r="OE21" s="5885"/>
      <c r="OF21" s="5885"/>
      <c r="OG21" s="715"/>
      <c r="OH21" s="1660"/>
      <c r="OI21" s="1659"/>
      <c r="OJ21" s="1839"/>
      <c r="OK21" s="1839"/>
      <c r="OL21" s="1839"/>
      <c r="OM21" s="693"/>
      <c r="ON21" s="1659"/>
      <c r="OO21" s="715"/>
      <c r="OP21" s="715"/>
      <c r="OQ21" s="715"/>
      <c r="OR21" s="705"/>
      <c r="OS21" s="1659"/>
      <c r="OT21" s="1839"/>
      <c r="OU21" s="1839"/>
      <c r="OV21" s="1839"/>
      <c r="OW21" s="705"/>
      <c r="OX21" s="1659"/>
      <c r="OY21" s="1839"/>
      <c r="OZ21" s="1839"/>
      <c r="PA21" s="1839"/>
      <c r="PB21" s="1660"/>
      <c r="PD21" s="691"/>
      <c r="PE21" s="1839"/>
      <c r="PF21" s="1839"/>
      <c r="PG21" s="1839"/>
      <c r="PH21" s="5879"/>
      <c r="PN21" s="5880"/>
      <c r="PO21" s="4965"/>
      <c r="PP21" s="4965"/>
      <c r="PQ21" s="1839"/>
      <c r="PR21" s="1660"/>
      <c r="PS21" s="5886"/>
      <c r="PT21" s="5883"/>
      <c r="PU21" s="5883"/>
      <c r="PV21" s="2892">
        <f t="shared" si="13"/>
        <v>0</v>
      </c>
      <c r="PW21" s="5883"/>
      <c r="PX21" s="5881"/>
      <c r="PY21" s="1839"/>
      <c r="PZ21" s="1839"/>
      <c r="QA21" s="1839"/>
      <c r="QB21" s="693"/>
      <c r="QC21" s="2035"/>
      <c r="QD21" s="1914"/>
      <c r="QE21" s="1914"/>
      <c r="QF21" s="1914"/>
      <c r="QG21" s="5882"/>
      <c r="QH21" s="1910"/>
      <c r="QI21" s="1839"/>
      <c r="QJ21" s="1839"/>
      <c r="QK21" s="1839"/>
      <c r="QL21" s="1839"/>
      <c r="QM21" s="5880"/>
      <c r="QR21" s="5883"/>
      <c r="QS21" s="5883"/>
      <c r="QT21" s="5883"/>
      <c r="QU21" s="5883"/>
      <c r="QV21" s="1677"/>
      <c r="QW21" s="5883"/>
      <c r="QX21" s="2425"/>
      <c r="QY21" s="2425"/>
      <c r="QZ21" s="5883"/>
      <c r="RA21" s="5883"/>
      <c r="RB21" s="1839"/>
      <c r="RC21" s="1839"/>
      <c r="RD21" s="715"/>
      <c r="RE21" s="1839"/>
      <c r="RF21" s="1660"/>
      <c r="RG21" s="2037"/>
      <c r="RH21" s="1914"/>
      <c r="RI21" s="1914"/>
      <c r="RJ21" s="5882"/>
      <c r="RK21" s="1660"/>
      <c r="RL21" s="5883"/>
      <c r="RM21" s="1873">
        <f t="shared" si="77"/>
        <v>0</v>
      </c>
      <c r="RN21" s="1873">
        <f t="shared" si="77"/>
        <v>0</v>
      </c>
      <c r="RO21" s="1873">
        <f t="shared" si="77"/>
        <v>0</v>
      </c>
      <c r="RP21" s="5883"/>
      <c r="RQ21" s="1659"/>
      <c r="RR21" s="1839"/>
      <c r="RS21" s="1839"/>
      <c r="RT21" s="1839"/>
      <c r="RU21" s="693"/>
      <c r="RV21" s="1659"/>
      <c r="RW21" s="715"/>
      <c r="RX21" s="715"/>
      <c r="RY21" s="715"/>
      <c r="RZ21" s="705"/>
      <c r="SA21" s="1659"/>
      <c r="SB21" s="1839"/>
      <c r="SC21" s="1839"/>
      <c r="SD21" s="1839"/>
      <c r="SE21" s="705"/>
      <c r="SF21" s="1659"/>
      <c r="SG21" s="1839"/>
      <c r="SH21" s="1839"/>
      <c r="SI21" s="1839"/>
      <c r="SJ21" s="1660"/>
      <c r="SL21" s="5887"/>
      <c r="SM21" s="5882"/>
      <c r="SN21" s="5882"/>
      <c r="SO21" s="5882"/>
      <c r="SP21" s="5888"/>
      <c r="SQ21" s="5883"/>
      <c r="SR21" s="5883"/>
      <c r="SS21" s="5883"/>
      <c r="ST21" s="5883"/>
      <c r="SU21" s="5883"/>
      <c r="SV21" s="5880"/>
      <c r="SW21" s="4965"/>
      <c r="SX21" s="4965"/>
      <c r="SY21" s="1839"/>
      <c r="SZ21" s="1660"/>
      <c r="TA21" s="5881"/>
      <c r="TD21" s="372">
        <f t="shared" si="14"/>
        <v>0</v>
      </c>
      <c r="TF21" s="5881"/>
      <c r="TG21" s="1839"/>
      <c r="TH21" s="1839"/>
      <c r="TI21" s="1839"/>
      <c r="TJ21" s="693"/>
      <c r="TK21" s="2035"/>
      <c r="TL21" s="1914"/>
      <c r="TM21" s="1914"/>
      <c r="TN21" s="1914"/>
      <c r="TO21" s="5882"/>
      <c r="TP21" s="2407"/>
      <c r="TQ21" s="1839"/>
      <c r="TR21" s="1839"/>
      <c r="TS21" s="1839"/>
      <c r="TT21" s="1839"/>
      <c r="TU21" s="5889"/>
      <c r="TV21" s="5883"/>
      <c r="TW21" s="5883"/>
      <c r="TX21" s="5883"/>
      <c r="TY21" s="5883"/>
      <c r="TZ21" s="5883"/>
      <c r="UA21" s="5883"/>
      <c r="UB21" s="5883"/>
      <c r="UC21" s="5883"/>
      <c r="UD21" s="1677"/>
      <c r="UE21" s="5883"/>
      <c r="UF21" s="2425"/>
      <c r="UG21" s="2425"/>
      <c r="UH21" s="5883"/>
      <c r="UI21" s="5883"/>
      <c r="UJ21" s="1839"/>
      <c r="UK21" s="1839"/>
      <c r="UL21" s="715"/>
      <c r="UM21" s="1839"/>
      <c r="UN21" s="1660"/>
      <c r="UO21" s="2037"/>
      <c r="UP21" s="1914"/>
      <c r="UQ21" s="1914"/>
      <c r="UR21" s="5882"/>
      <c r="US21" s="1660"/>
      <c r="UU21" s="622">
        <f t="shared" si="78"/>
        <v>0</v>
      </c>
      <c r="UV21" s="622">
        <f t="shared" si="78"/>
        <v>0</v>
      </c>
      <c r="UW21" s="622">
        <f t="shared" si="78"/>
        <v>0</v>
      </c>
      <c r="UY21" s="1659"/>
      <c r="UZ21" s="1839"/>
      <c r="VA21" s="1839"/>
      <c r="VB21" s="1839"/>
      <c r="VC21" s="693"/>
      <c r="VD21" s="1659"/>
      <c r="VE21" s="715"/>
      <c r="VF21" s="715"/>
      <c r="VG21" s="715"/>
      <c r="VH21" s="705"/>
      <c r="VI21" s="1659"/>
      <c r="VJ21" s="1839"/>
      <c r="VK21" s="1839"/>
      <c r="VL21" s="1839"/>
      <c r="VM21" s="705"/>
      <c r="VN21" s="1659"/>
      <c r="VO21" s="1839"/>
      <c r="VP21" s="1839"/>
      <c r="VQ21" s="1839"/>
      <c r="VR21" s="1660"/>
    </row>
    <row r="22" spans="1:590" s="122" customFormat="1" hidden="1" x14ac:dyDescent="0.3">
      <c r="A22" s="2906"/>
      <c r="B22" s="1804" t="s">
        <v>53</v>
      </c>
      <c r="C22" s="5988" t="s">
        <v>757</v>
      </c>
      <c r="D22" s="1785" t="s">
        <v>758</v>
      </c>
      <c r="E22" s="5973">
        <v>43282</v>
      </c>
      <c r="F22" s="5973">
        <v>43646</v>
      </c>
      <c r="G22" s="5997">
        <v>38000</v>
      </c>
      <c r="H22" s="1775"/>
      <c r="I22" s="1776">
        <v>0</v>
      </c>
      <c r="J22" s="1776">
        <v>0</v>
      </c>
      <c r="K22" s="1776">
        <f t="shared" si="91"/>
        <v>0</v>
      </c>
      <c r="L22" s="1777">
        <v>0</v>
      </c>
      <c r="M22" s="1778"/>
      <c r="N22" s="1779"/>
      <c r="O22" s="1779"/>
      <c r="P22" s="1779">
        <f t="shared" si="92"/>
        <v>0</v>
      </c>
      <c r="Q22" s="1780"/>
      <c r="R22" s="1780"/>
      <c r="S22" s="1776"/>
      <c r="T22" s="1776"/>
      <c r="U22" s="1776">
        <f t="shared" si="2"/>
        <v>0</v>
      </c>
      <c r="V22" s="1777" t="s">
        <v>732</v>
      </c>
      <c r="W22" s="5987">
        <v>1</v>
      </c>
      <c r="X22" s="1783">
        <v>13200</v>
      </c>
      <c r="Y22" s="1783">
        <v>38000</v>
      </c>
      <c r="Z22" s="1776">
        <f t="shared" si="3"/>
        <v>24800</v>
      </c>
      <c r="AA22" s="1777">
        <f>Z22/Y22</f>
        <v>0.65263157894736845</v>
      </c>
      <c r="AB22" s="5977">
        <v>1</v>
      </c>
      <c r="AC22" s="1783">
        <v>13200</v>
      </c>
      <c r="AD22" s="1783">
        <v>38000</v>
      </c>
      <c r="AE22" s="1776">
        <f t="shared" si="4"/>
        <v>24800</v>
      </c>
      <c r="AF22" s="1777">
        <f>AE22/AD22</f>
        <v>0.65263157894736845</v>
      </c>
      <c r="AG22" s="1785">
        <v>1</v>
      </c>
      <c r="AH22" s="1810">
        <v>25000</v>
      </c>
      <c r="AI22" s="1776">
        <v>36860</v>
      </c>
      <c r="AJ22" s="1786">
        <f t="shared" si="5"/>
        <v>11860</v>
      </c>
      <c r="AK22" s="1777">
        <f>AJ22/AI22</f>
        <v>0.32175800325556159</v>
      </c>
      <c r="AL22" s="1785">
        <v>1</v>
      </c>
      <c r="AM22" s="1776">
        <v>25000</v>
      </c>
      <c r="AN22" s="1788">
        <v>29260</v>
      </c>
      <c r="AO22" s="1781">
        <f t="shared" si="79"/>
        <v>4260</v>
      </c>
      <c r="AP22" s="1777">
        <f>AO22/AN22</f>
        <v>0.14559125085440874</v>
      </c>
      <c r="AQ22" s="1787">
        <v>1</v>
      </c>
      <c r="AR22" s="1788">
        <v>25000</v>
      </c>
      <c r="AS22" s="1788">
        <v>35340</v>
      </c>
      <c r="AT22" s="1789">
        <f t="shared" si="15"/>
        <v>10340</v>
      </c>
      <c r="AU22" s="1777">
        <f>AT22/AS22</f>
        <v>0.29258630447085454</v>
      </c>
      <c r="AV22" s="1790">
        <v>1</v>
      </c>
      <c r="AW22" s="1788">
        <v>25000</v>
      </c>
      <c r="AX22" s="1788">
        <v>35340</v>
      </c>
      <c r="AY22" s="1781">
        <f t="shared" si="16"/>
        <v>10340</v>
      </c>
      <c r="AZ22" s="1777">
        <f>AY22/AX22</f>
        <v>0.29258630447085454</v>
      </c>
      <c r="BA22" s="1791">
        <v>1</v>
      </c>
      <c r="BB22" s="1783">
        <v>25000</v>
      </c>
      <c r="BC22" s="1776">
        <v>34200</v>
      </c>
      <c r="BD22" s="1781">
        <f t="shared" si="81"/>
        <v>9200</v>
      </c>
      <c r="BE22" s="1780">
        <f t="shared" si="82"/>
        <v>0.26900584795321636</v>
      </c>
      <c r="BF22" s="1790">
        <v>1</v>
      </c>
      <c r="BG22" s="1781">
        <v>25000</v>
      </c>
      <c r="BH22" s="1781">
        <v>38000</v>
      </c>
      <c r="BI22" s="1781">
        <f t="shared" si="83"/>
        <v>13000</v>
      </c>
      <c r="BJ22" s="1780">
        <f>BI22/BH22</f>
        <v>0.34210526315789475</v>
      </c>
      <c r="BK22" s="1790">
        <v>1</v>
      </c>
      <c r="BL22" s="1783">
        <v>20833</v>
      </c>
      <c r="BM22" s="1783">
        <v>18240</v>
      </c>
      <c r="BN22" s="1781">
        <f t="shared" si="84"/>
        <v>-2593</v>
      </c>
      <c r="BO22" s="5978">
        <f>BN22/BM22</f>
        <v>-0.14216008771929825</v>
      </c>
      <c r="BP22" s="1937">
        <f t="shared" si="21"/>
        <v>0.75</v>
      </c>
      <c r="BQ22" s="1796">
        <f t="shared" si="22"/>
        <v>197233</v>
      </c>
      <c r="BR22" s="1786">
        <f t="shared" si="22"/>
        <v>303240</v>
      </c>
      <c r="BS22" s="1797">
        <f t="shared" si="7"/>
        <v>106007</v>
      </c>
      <c r="BT22" s="1798">
        <f t="shared" si="23"/>
        <v>0</v>
      </c>
      <c r="BU22" s="1786">
        <f t="shared" si="24"/>
        <v>0</v>
      </c>
      <c r="BV22" s="1786">
        <f t="shared" si="24"/>
        <v>0</v>
      </c>
      <c r="BW22" s="1799"/>
      <c r="BX22" s="1800">
        <f t="shared" si="25"/>
        <v>3</v>
      </c>
      <c r="BY22" s="1786">
        <f t="shared" si="26"/>
        <v>112860</v>
      </c>
      <c r="BZ22" s="1786">
        <f t="shared" si="26"/>
        <v>61460</v>
      </c>
      <c r="CA22" s="1801"/>
      <c r="CB22" s="1802">
        <f t="shared" si="27"/>
        <v>3</v>
      </c>
      <c r="CC22" s="1786">
        <f t="shared" si="75"/>
        <v>99940</v>
      </c>
      <c r="CD22" s="1786">
        <f t="shared" si="75"/>
        <v>24940</v>
      </c>
      <c r="CE22" s="1803"/>
      <c r="CF22" s="1800">
        <f t="shared" si="28"/>
        <v>3</v>
      </c>
      <c r="CG22" s="1776">
        <f t="shared" si="29"/>
        <v>90440</v>
      </c>
      <c r="CH22" s="1776">
        <f t="shared" si="29"/>
        <v>19607</v>
      </c>
      <c r="CI22" s="1801"/>
      <c r="CJ22" s="1804"/>
      <c r="CK22" s="1776"/>
      <c r="CL22" s="1776"/>
      <c r="CM22" s="1776">
        <f t="shared" si="80"/>
        <v>0</v>
      </c>
      <c r="CN22" s="1799"/>
      <c r="CO22" s="1804"/>
      <c r="CP22" s="1776"/>
      <c r="CQ22" s="1776"/>
      <c r="CR22" s="1776">
        <f t="shared" si="85"/>
        <v>0</v>
      </c>
      <c r="CS22" s="1799"/>
      <c r="CT22" s="1804"/>
      <c r="CU22" s="1776"/>
      <c r="CV22" s="1776"/>
      <c r="CW22" s="1776">
        <f t="shared" si="86"/>
        <v>0</v>
      </c>
      <c r="CX22" s="1799"/>
      <c r="CY22" s="1804"/>
      <c r="CZ22" s="1776"/>
      <c r="DA22" s="1776"/>
      <c r="DB22" s="1776">
        <f t="shared" si="87"/>
        <v>0</v>
      </c>
      <c r="DC22" s="1799"/>
      <c r="DD22" s="1805"/>
      <c r="DE22" s="1806"/>
      <c r="DF22" s="1806"/>
      <c r="DG22" s="1783">
        <f t="shared" si="30"/>
        <v>0</v>
      </c>
      <c r="DH22" s="1807"/>
      <c r="DI22" s="1804"/>
      <c r="DJ22" s="1806"/>
      <c r="DK22" s="1806"/>
      <c r="DL22" s="1776">
        <f t="shared" si="88"/>
        <v>0</v>
      </c>
      <c r="DM22" s="1807"/>
      <c r="DN22" s="1804"/>
      <c r="DO22" s="1776"/>
      <c r="DP22" s="1776"/>
      <c r="DQ22" s="1776">
        <f t="shared" si="93"/>
        <v>0</v>
      </c>
      <c r="DR22" s="1807"/>
      <c r="DS22" s="1804"/>
      <c r="DT22" s="1776"/>
      <c r="DU22" s="1776"/>
      <c r="DV22" s="1776">
        <f t="shared" si="94"/>
        <v>0</v>
      </c>
      <c r="DW22" s="1799" t="e">
        <f>DV22/DU22</f>
        <v>#DIV/0!</v>
      </c>
      <c r="DX22" s="1804"/>
      <c r="DY22" s="1776"/>
      <c r="DZ22" s="1776"/>
      <c r="EA22" s="1776">
        <f t="shared" si="31"/>
        <v>0</v>
      </c>
      <c r="EB22" s="1807" t="e">
        <f t="shared" si="32"/>
        <v>#DIV/0!</v>
      </c>
      <c r="EC22" s="1804"/>
      <c r="ED22" s="1776"/>
      <c r="EE22" s="1776"/>
      <c r="EF22" s="1786">
        <f t="shared" si="33"/>
        <v>0</v>
      </c>
      <c r="EG22" s="1807" t="e">
        <f>EF22/EE22</f>
        <v>#DIV/0!</v>
      </c>
      <c r="EH22" s="1804"/>
      <c r="EI22" s="1776"/>
      <c r="EJ22" s="1776"/>
      <c r="EK22" s="1776">
        <f t="shared" si="34"/>
        <v>0</v>
      </c>
      <c r="EL22" s="1807" t="e">
        <f t="shared" si="35"/>
        <v>#DIV/0!</v>
      </c>
      <c r="EM22" s="1804"/>
      <c r="EN22" s="1776"/>
      <c r="EO22" s="1776"/>
      <c r="EP22" s="1776">
        <f t="shared" si="36"/>
        <v>0</v>
      </c>
      <c r="EQ22" s="1807" t="e">
        <f t="shared" si="37"/>
        <v>#DIV/0!</v>
      </c>
      <c r="ER22" s="2402">
        <f t="shared" si="38"/>
        <v>0</v>
      </c>
      <c r="ES22" s="2403">
        <f t="shared" si="39"/>
        <v>0</v>
      </c>
      <c r="ET22" s="2403">
        <f t="shared" si="39"/>
        <v>0</v>
      </c>
      <c r="EU22" s="2403">
        <f t="shared" si="39"/>
        <v>0</v>
      </c>
      <c r="EV22" s="2404" t="e">
        <f t="shared" si="40"/>
        <v>#DIV/0!</v>
      </c>
      <c r="EW22" s="1814">
        <f t="shared" si="89"/>
        <v>0</v>
      </c>
      <c r="EX22" s="1776">
        <f t="shared" si="90"/>
        <v>0</v>
      </c>
      <c r="EY22" s="1776">
        <f t="shared" si="90"/>
        <v>0</v>
      </c>
      <c r="EZ22" s="1815" t="e">
        <f t="shared" si="41"/>
        <v>#DIV/0!</v>
      </c>
      <c r="FA22" s="1939">
        <f t="shared" si="95"/>
        <v>0</v>
      </c>
      <c r="FB22" s="1786">
        <f t="shared" si="42"/>
        <v>0</v>
      </c>
      <c r="FC22" s="1786">
        <f t="shared" si="42"/>
        <v>0</v>
      </c>
      <c r="FD22" s="1799" t="e">
        <f t="shared" si="43"/>
        <v>#DIV/0!</v>
      </c>
      <c r="FE22" s="1814">
        <f t="shared" si="96"/>
        <v>0</v>
      </c>
      <c r="FF22" s="1786">
        <f t="shared" si="97"/>
        <v>0</v>
      </c>
      <c r="FG22" s="1786">
        <f t="shared" si="97"/>
        <v>0</v>
      </c>
      <c r="FH22" s="1815" t="e">
        <f t="shared" si="44"/>
        <v>#DIV/0!</v>
      </c>
      <c r="FI22" s="1816">
        <f t="shared" si="45"/>
        <v>0</v>
      </c>
      <c r="FJ22" s="1814"/>
      <c r="FK22" s="1786">
        <f t="shared" si="46"/>
        <v>0</v>
      </c>
      <c r="FL22" s="1786">
        <f t="shared" si="46"/>
        <v>0</v>
      </c>
      <c r="FM22" s="1799" t="e">
        <f t="shared" si="47"/>
        <v>#DIV/0!</v>
      </c>
      <c r="FN22" s="1817"/>
      <c r="FO22" s="1818"/>
      <c r="FP22" s="1818"/>
      <c r="FQ22" s="1818"/>
      <c r="FR22" s="1819" t="e">
        <f t="shared" si="49"/>
        <v>#DIV/0!</v>
      </c>
      <c r="FS22" s="1820"/>
      <c r="FT22" s="1818"/>
      <c r="FU22" s="1818"/>
      <c r="FV22" s="1818">
        <f t="shared" si="50"/>
        <v>0</v>
      </c>
      <c r="FW22" s="1821" t="e">
        <f t="shared" si="51"/>
        <v>#DIV/0!</v>
      </c>
      <c r="FX22" s="1820"/>
      <c r="FY22" s="1822"/>
      <c r="FZ22" s="1822"/>
      <c r="GA22" s="1818">
        <f t="shared" si="52"/>
        <v>0</v>
      </c>
      <c r="GB22" s="1821" t="e">
        <f t="shared" si="53"/>
        <v>#DIV/0!</v>
      </c>
      <c r="GC22" s="1823"/>
      <c r="GD22" s="1824"/>
      <c r="GE22" s="1824"/>
      <c r="GF22" s="1818">
        <f t="shared" si="54"/>
        <v>0</v>
      </c>
      <c r="GG22" s="1821" t="e">
        <f t="shared" si="55"/>
        <v>#DIV/0!</v>
      </c>
      <c r="GH22" s="1823"/>
      <c r="GI22" s="1824"/>
      <c r="GJ22" s="1824"/>
      <c r="GK22" s="1818">
        <f t="shared" si="56"/>
        <v>0</v>
      </c>
      <c r="GL22" s="1821" t="e">
        <f t="shared" si="57"/>
        <v>#DIV/0!</v>
      </c>
      <c r="GM22" s="1839"/>
      <c r="GN22" s="1839"/>
      <c r="GO22" s="1839"/>
      <c r="GP22" s="1839"/>
      <c r="GQ22" s="1839"/>
      <c r="GR22" s="1839"/>
      <c r="GS22" s="1839"/>
      <c r="GT22" s="1839"/>
      <c r="GU22" s="1839"/>
      <c r="GV22" s="1660"/>
      <c r="GW22" s="1839"/>
      <c r="GX22" s="1839"/>
      <c r="GY22" s="1839"/>
      <c r="GZ22" s="1839"/>
      <c r="HA22" s="1660"/>
      <c r="HB22" s="1839"/>
      <c r="HC22" s="1839"/>
      <c r="HD22" s="1839"/>
      <c r="HE22" s="1839"/>
      <c r="HF22" s="1660"/>
      <c r="HG22" s="1839"/>
      <c r="HH22" s="1839"/>
      <c r="HI22" s="1839"/>
      <c r="HJ22" s="1839"/>
      <c r="HK22" s="1660"/>
      <c r="HL22" s="1839"/>
      <c r="HM22" s="1839"/>
      <c r="HN22" s="1839"/>
      <c r="HO22" s="1839"/>
      <c r="HP22" s="1660"/>
      <c r="HQ22" s="1839"/>
      <c r="HR22" s="1839"/>
      <c r="HS22" s="1839"/>
      <c r="HT22" s="1839"/>
      <c r="HU22" s="1839"/>
      <c r="HV22" s="5941">
        <f t="shared" si="8"/>
        <v>0</v>
      </c>
      <c r="HW22" s="622">
        <f t="shared" si="9"/>
        <v>0</v>
      </c>
      <c r="HX22" s="622">
        <f t="shared" si="9"/>
        <v>0</v>
      </c>
      <c r="HY22" s="622">
        <f t="shared" si="9"/>
        <v>0</v>
      </c>
      <c r="HZ22" s="5980"/>
      <c r="IA22" s="1907">
        <f t="shared" si="58"/>
        <v>0</v>
      </c>
      <c r="IB22" s="1908">
        <f t="shared" si="59"/>
        <v>0</v>
      </c>
      <c r="IC22" s="1908">
        <f t="shared" si="59"/>
        <v>0</v>
      </c>
      <c r="ID22" s="1909" t="e">
        <f t="shared" si="60"/>
        <v>#DIV/0!</v>
      </c>
      <c r="IE22" s="5981"/>
      <c r="IF22" s="5876"/>
      <c r="IG22" s="5876"/>
      <c r="IH22" s="5877"/>
      <c r="II22" s="5982"/>
      <c r="IJ22" s="5876"/>
      <c r="IK22" s="5876"/>
      <c r="IL22" s="5877"/>
      <c r="IM22" s="5875"/>
      <c r="IN22" s="5876"/>
      <c r="IO22" s="5876"/>
      <c r="IP22" s="5878"/>
      <c r="IQ22" s="1839"/>
      <c r="IR22" s="5983"/>
      <c r="IS22" s="1818"/>
      <c r="IT22" s="1818"/>
      <c r="IU22" s="1818"/>
      <c r="IV22" s="1819" t="e">
        <f t="shared" si="62"/>
        <v>#DIV/0!</v>
      </c>
      <c r="IW22" s="1820"/>
      <c r="IX22" s="1818"/>
      <c r="IY22" s="1818"/>
      <c r="IZ22" s="1818">
        <f t="shared" si="63"/>
        <v>0</v>
      </c>
      <c r="JA22" s="1821" t="e">
        <f t="shared" si="64"/>
        <v>#DIV/0!</v>
      </c>
      <c r="JB22" s="1984"/>
      <c r="JC22" s="1822"/>
      <c r="JD22" s="1822"/>
      <c r="JE22" s="1818">
        <f t="shared" si="65"/>
        <v>0</v>
      </c>
      <c r="JF22" s="1821" t="e">
        <f t="shared" si="66"/>
        <v>#DIV/0!</v>
      </c>
      <c r="JG22" s="1981"/>
      <c r="JH22" s="1824"/>
      <c r="JI22" s="1824"/>
      <c r="JJ22" s="1818">
        <f t="shared" si="67"/>
        <v>0</v>
      </c>
      <c r="JK22" s="1821" t="e">
        <f t="shared" si="68"/>
        <v>#DIV/0!</v>
      </c>
      <c r="JL22" s="1823"/>
      <c r="JM22" s="1824"/>
      <c r="JN22" s="1824"/>
      <c r="JO22" s="1818">
        <f t="shared" si="69"/>
        <v>0</v>
      </c>
      <c r="JP22" s="1821" t="e">
        <f t="shared" si="70"/>
        <v>#DIV/0!</v>
      </c>
      <c r="JQ22" s="5948"/>
      <c r="JR22" s="1839"/>
      <c r="JS22" s="1839"/>
      <c r="JT22" s="1839"/>
      <c r="JU22" s="1839"/>
      <c r="JV22" s="5984"/>
      <c r="JW22" s="1839"/>
      <c r="JX22" s="1839"/>
      <c r="JY22" s="1839"/>
      <c r="JZ22" s="1660"/>
      <c r="KA22" s="1839"/>
      <c r="KB22" s="1839"/>
      <c r="KC22" s="1839"/>
      <c r="KD22" s="1839"/>
      <c r="KE22" s="1660"/>
      <c r="KF22" s="5951"/>
      <c r="KG22" s="1839"/>
      <c r="KH22" s="1839"/>
      <c r="KI22" s="1839"/>
      <c r="KJ22" s="1660"/>
      <c r="KK22" s="5951"/>
      <c r="KL22" s="1839"/>
      <c r="KM22" s="1839"/>
      <c r="KN22" s="1839"/>
      <c r="KO22" s="1660"/>
      <c r="KP22" s="1659"/>
      <c r="KQ22" s="1839"/>
      <c r="KR22" s="1839"/>
      <c r="KS22" s="1839"/>
      <c r="KT22" s="1839"/>
      <c r="KU22" s="1659"/>
      <c r="KV22" s="1839"/>
      <c r="KW22" s="1839"/>
      <c r="KX22" s="1839"/>
      <c r="KY22" s="1660"/>
      <c r="KZ22" s="5739">
        <f t="shared" si="10"/>
        <v>0</v>
      </c>
      <c r="LA22" s="5740">
        <f t="shared" si="11"/>
        <v>0</v>
      </c>
      <c r="LB22" s="5740">
        <f t="shared" si="11"/>
        <v>0</v>
      </c>
      <c r="LC22" s="5740">
        <f t="shared" si="11"/>
        <v>0</v>
      </c>
      <c r="LD22" s="1660"/>
      <c r="LE22" s="1912">
        <f t="shared" si="71"/>
        <v>0</v>
      </c>
      <c r="LF22" s="1908">
        <f t="shared" si="72"/>
        <v>0</v>
      </c>
      <c r="LG22" s="1908">
        <f t="shared" si="72"/>
        <v>0</v>
      </c>
      <c r="LH22" s="1909"/>
      <c r="LI22" s="5875"/>
      <c r="LJ22" s="5876"/>
      <c r="LK22" s="5876"/>
      <c r="LL22" s="5877"/>
      <c r="LM22" s="1907"/>
      <c r="LN22" s="5876"/>
      <c r="LO22" s="5876"/>
      <c r="LP22" s="5877"/>
      <c r="LQ22" s="5875"/>
      <c r="LR22" s="1836">
        <f t="shared" si="76"/>
        <v>0</v>
      </c>
      <c r="LS22" s="1836">
        <f t="shared" si="76"/>
        <v>0</v>
      </c>
      <c r="LT22" s="5878"/>
      <c r="LV22" s="691"/>
      <c r="LW22" s="1839"/>
      <c r="LX22" s="1839"/>
      <c r="LY22" s="1839"/>
      <c r="LZ22" s="5879"/>
      <c r="MF22" s="5880"/>
      <c r="MG22" s="4965"/>
      <c r="MH22" s="4965"/>
      <c r="MI22" s="1839"/>
      <c r="MJ22" s="1660"/>
      <c r="MK22" s="5881"/>
      <c r="MN22" s="372">
        <f t="shared" si="12"/>
        <v>0</v>
      </c>
      <c r="MP22" s="5881"/>
      <c r="MQ22" s="1839"/>
      <c r="MR22" s="1839"/>
      <c r="MS22" s="1839"/>
      <c r="MT22" s="693"/>
      <c r="MU22" s="2035"/>
      <c r="MV22" s="1914"/>
      <c r="MW22" s="1914"/>
      <c r="MX22" s="1914"/>
      <c r="MY22" s="5882"/>
      <c r="MZ22" s="1659"/>
      <c r="NA22" s="1839"/>
      <c r="NB22" s="1839"/>
      <c r="NC22" s="1839"/>
      <c r="ND22" s="1839"/>
      <c r="NO22" s="5883"/>
      <c r="NP22" s="2425"/>
      <c r="NQ22" s="2425"/>
      <c r="NR22" s="5883"/>
      <c r="NT22" s="1839"/>
      <c r="NU22" s="1839"/>
      <c r="NV22" s="715"/>
      <c r="NW22" s="1839"/>
      <c r="NX22" s="1660"/>
      <c r="NY22" s="5884"/>
      <c r="NZ22" s="1914"/>
      <c r="OA22" s="1914"/>
      <c r="OB22" s="5882"/>
      <c r="OC22" s="1660"/>
      <c r="OE22" s="5885"/>
      <c r="OF22" s="5885"/>
      <c r="OG22" s="715"/>
      <c r="OH22" s="1660"/>
      <c r="OI22" s="1659"/>
      <c r="OJ22" s="1839"/>
      <c r="OK22" s="1839"/>
      <c r="OL22" s="1839"/>
      <c r="OM22" s="693"/>
      <c r="ON22" s="1659"/>
      <c r="OO22" s="715"/>
      <c r="OP22" s="715"/>
      <c r="OQ22" s="715"/>
      <c r="OR22" s="705"/>
      <c r="OS22" s="1659"/>
      <c r="OT22" s="1839"/>
      <c r="OU22" s="1839"/>
      <c r="OV22" s="1839"/>
      <c r="OW22" s="705"/>
      <c r="OX22" s="1659"/>
      <c r="OY22" s="1839"/>
      <c r="OZ22" s="1839"/>
      <c r="PA22" s="1839"/>
      <c r="PB22" s="1660"/>
      <c r="PD22" s="691"/>
      <c r="PE22" s="1839"/>
      <c r="PF22" s="1839"/>
      <c r="PG22" s="1839"/>
      <c r="PH22" s="5879"/>
      <c r="PN22" s="5880"/>
      <c r="PO22" s="4965"/>
      <c r="PP22" s="4965"/>
      <c r="PQ22" s="1839"/>
      <c r="PR22" s="1660"/>
      <c r="PS22" s="5886"/>
      <c r="PT22" s="5883"/>
      <c r="PU22" s="5883"/>
      <c r="PV22" s="2892">
        <f t="shared" si="13"/>
        <v>0</v>
      </c>
      <c r="PW22" s="5883"/>
      <c r="PX22" s="5881"/>
      <c r="PY22" s="1839"/>
      <c r="PZ22" s="1839"/>
      <c r="QA22" s="1839"/>
      <c r="QB22" s="693"/>
      <c r="QC22" s="2035"/>
      <c r="QD22" s="1914"/>
      <c r="QE22" s="1914"/>
      <c r="QF22" s="1914"/>
      <c r="QG22" s="5882"/>
      <c r="QH22" s="1910"/>
      <c r="QI22" s="1839"/>
      <c r="QJ22" s="1839"/>
      <c r="QK22" s="1839"/>
      <c r="QL22" s="1839"/>
      <c r="QM22" s="5880"/>
      <c r="QR22" s="5883"/>
      <c r="QS22" s="5883"/>
      <c r="QT22" s="5883"/>
      <c r="QU22" s="5883"/>
      <c r="QV22" s="1677"/>
      <c r="QW22" s="5883"/>
      <c r="QX22" s="2425"/>
      <c r="QY22" s="2425"/>
      <c r="QZ22" s="5883"/>
      <c r="RA22" s="5883"/>
      <c r="RB22" s="1839"/>
      <c r="RC22" s="1839"/>
      <c r="RD22" s="715"/>
      <c r="RE22" s="1839"/>
      <c r="RF22" s="1660"/>
      <c r="RG22" s="2037"/>
      <c r="RH22" s="1914"/>
      <c r="RI22" s="1914"/>
      <c r="RJ22" s="5882"/>
      <c r="RK22" s="1660"/>
      <c r="RL22" s="5883"/>
      <c r="RM22" s="1873">
        <f t="shared" si="77"/>
        <v>0</v>
      </c>
      <c r="RN22" s="1873">
        <f t="shared" si="77"/>
        <v>0</v>
      </c>
      <c r="RO22" s="1873">
        <f t="shared" si="77"/>
        <v>0</v>
      </c>
      <c r="RP22" s="5883"/>
      <c r="RQ22" s="1659"/>
      <c r="RR22" s="1839"/>
      <c r="RS22" s="1839"/>
      <c r="RT22" s="1839"/>
      <c r="RU22" s="693"/>
      <c r="RV22" s="1659"/>
      <c r="RW22" s="715"/>
      <c r="RX22" s="715"/>
      <c r="RY22" s="715"/>
      <c r="RZ22" s="705"/>
      <c r="SA22" s="1659"/>
      <c r="SB22" s="1839"/>
      <c r="SC22" s="1839"/>
      <c r="SD22" s="1839"/>
      <c r="SE22" s="705"/>
      <c r="SF22" s="1659"/>
      <c r="SG22" s="1839"/>
      <c r="SH22" s="1839"/>
      <c r="SI22" s="1839"/>
      <c r="SJ22" s="1660"/>
      <c r="SL22" s="5887"/>
      <c r="SM22" s="5882"/>
      <c r="SN22" s="5882"/>
      <c r="SO22" s="5882"/>
      <c r="SP22" s="5888"/>
      <c r="SQ22" s="5883"/>
      <c r="SR22" s="5883"/>
      <c r="SS22" s="5883"/>
      <c r="ST22" s="5883"/>
      <c r="SU22" s="5883"/>
      <c r="SV22" s="5880"/>
      <c r="SW22" s="4965"/>
      <c r="SX22" s="4965"/>
      <c r="SY22" s="1839"/>
      <c r="SZ22" s="1660"/>
      <c r="TA22" s="5881"/>
      <c r="TD22" s="372">
        <f t="shared" si="14"/>
        <v>0</v>
      </c>
      <c r="TF22" s="5881"/>
      <c r="TG22" s="1839"/>
      <c r="TH22" s="1839"/>
      <c r="TI22" s="1839"/>
      <c r="TJ22" s="693"/>
      <c r="TK22" s="2035"/>
      <c r="TL22" s="1914"/>
      <c r="TM22" s="1914"/>
      <c r="TN22" s="1914"/>
      <c r="TO22" s="5882"/>
      <c r="TP22" s="2407"/>
      <c r="TQ22" s="1839"/>
      <c r="TR22" s="1839"/>
      <c r="TS22" s="1839"/>
      <c r="TT22" s="1839"/>
      <c r="TU22" s="5889"/>
      <c r="TV22" s="5883"/>
      <c r="TW22" s="5883"/>
      <c r="TX22" s="5883"/>
      <c r="TY22" s="5883"/>
      <c r="TZ22" s="5883"/>
      <c r="UA22" s="5883"/>
      <c r="UB22" s="5883"/>
      <c r="UC22" s="5883"/>
      <c r="UD22" s="1677"/>
      <c r="UE22" s="5883"/>
      <c r="UF22" s="2425"/>
      <c r="UG22" s="2425"/>
      <c r="UH22" s="5883"/>
      <c r="UI22" s="5883"/>
      <c r="UJ22" s="1839"/>
      <c r="UK22" s="1839"/>
      <c r="UL22" s="715"/>
      <c r="UM22" s="1839"/>
      <c r="UN22" s="1660"/>
      <c r="UO22" s="2037"/>
      <c r="UP22" s="1914"/>
      <c r="UQ22" s="1914"/>
      <c r="UR22" s="5882"/>
      <c r="US22" s="1660"/>
      <c r="UU22" s="622">
        <f t="shared" si="78"/>
        <v>0</v>
      </c>
      <c r="UV22" s="622">
        <f t="shared" si="78"/>
        <v>0</v>
      </c>
      <c r="UW22" s="622">
        <f t="shared" si="78"/>
        <v>0</v>
      </c>
      <c r="UY22" s="1659"/>
      <c r="UZ22" s="1839"/>
      <c r="VA22" s="1839"/>
      <c r="VB22" s="1839"/>
      <c r="VC22" s="693"/>
      <c r="VD22" s="1659"/>
      <c r="VE22" s="715"/>
      <c r="VF22" s="715"/>
      <c r="VG22" s="715"/>
      <c r="VH22" s="705"/>
      <c r="VI22" s="1659"/>
      <c r="VJ22" s="1839"/>
      <c r="VK22" s="1839"/>
      <c r="VL22" s="1839"/>
      <c r="VM22" s="705"/>
      <c r="VN22" s="1659"/>
      <c r="VO22" s="1839"/>
      <c r="VP22" s="1839"/>
      <c r="VQ22" s="1839"/>
      <c r="VR22" s="1660"/>
    </row>
    <row r="23" spans="1:590" s="122" customFormat="1" hidden="1" x14ac:dyDescent="0.3">
      <c r="A23" s="2906"/>
      <c r="B23" s="1804" t="s">
        <v>53</v>
      </c>
      <c r="C23" s="5988" t="s">
        <v>759</v>
      </c>
      <c r="D23" s="5977" t="s">
        <v>760</v>
      </c>
      <c r="E23" s="5998">
        <v>43584</v>
      </c>
      <c r="F23" s="5998">
        <v>43949</v>
      </c>
      <c r="G23" s="5974">
        <v>56643</v>
      </c>
      <c r="H23" s="1775">
        <v>1</v>
      </c>
      <c r="I23" s="1776">
        <v>40420</v>
      </c>
      <c r="J23" s="1776">
        <v>44415</v>
      </c>
      <c r="K23" s="1776">
        <f t="shared" si="91"/>
        <v>3995</v>
      </c>
      <c r="L23" s="1777">
        <f>K23/J23</f>
        <v>8.9947089947089942E-2</v>
      </c>
      <c r="M23" s="5986">
        <v>1</v>
      </c>
      <c r="N23" s="1779">
        <v>40420</v>
      </c>
      <c r="O23" s="1779">
        <v>51030</v>
      </c>
      <c r="P23" s="1779">
        <f t="shared" si="92"/>
        <v>10610</v>
      </c>
      <c r="Q23" s="1780">
        <f>P23/O23</f>
        <v>0.20791691162061532</v>
      </c>
      <c r="R23" s="5977">
        <v>1</v>
      </c>
      <c r="S23" s="1776">
        <v>40421</v>
      </c>
      <c r="T23" s="1776">
        <v>47457.9</v>
      </c>
      <c r="U23" s="1776">
        <f t="shared" si="2"/>
        <v>7036.9000000000015</v>
      </c>
      <c r="V23" s="1777">
        <f>U23/T23</f>
        <v>0.14827668312335779</v>
      </c>
      <c r="W23" s="5987">
        <v>1</v>
      </c>
      <c r="X23" s="1776">
        <v>40421</v>
      </c>
      <c r="Y23" s="1776">
        <v>41334.300000000003</v>
      </c>
      <c r="Z23" s="1776">
        <f t="shared" si="3"/>
        <v>913.30000000000291</v>
      </c>
      <c r="AA23" s="1777">
        <f>Z23/Y23</f>
        <v>2.2095450993484898E-2</v>
      </c>
      <c r="AB23" s="5977">
        <v>1</v>
      </c>
      <c r="AC23" s="1776">
        <v>40421</v>
      </c>
      <c r="AD23" s="1776">
        <v>47968.2</v>
      </c>
      <c r="AE23" s="1776">
        <f t="shared" si="4"/>
        <v>7547.1999999999971</v>
      </c>
      <c r="AF23" s="1777">
        <f>AE23/AD23</f>
        <v>0.15733756947310923</v>
      </c>
      <c r="AG23" s="1785">
        <v>1</v>
      </c>
      <c r="AH23" s="5999">
        <v>40421</v>
      </c>
      <c r="AI23" s="5995">
        <v>47457.9</v>
      </c>
      <c r="AJ23" s="1786">
        <f t="shared" si="5"/>
        <v>7036.9000000000015</v>
      </c>
      <c r="AK23" s="1777">
        <f>AJ23/AI23</f>
        <v>0.14827668312335779</v>
      </c>
      <c r="AL23" s="1785">
        <v>1</v>
      </c>
      <c r="AM23" s="1776">
        <v>40421</v>
      </c>
      <c r="AN23" s="1776">
        <v>51030</v>
      </c>
      <c r="AO23" s="1781">
        <f t="shared" si="79"/>
        <v>10609</v>
      </c>
      <c r="AP23" s="1777">
        <f>AO23/AN23</f>
        <v>0.20789731530472272</v>
      </c>
      <c r="AQ23" s="1787">
        <v>1</v>
      </c>
      <c r="AR23" s="1788">
        <v>40421</v>
      </c>
      <c r="AS23" s="1788">
        <v>45927</v>
      </c>
      <c r="AT23" s="1789">
        <f t="shared" si="15"/>
        <v>5506</v>
      </c>
      <c r="AU23" s="1777">
        <f>AT23/AS23</f>
        <v>0.11988590589413635</v>
      </c>
      <c r="AV23" s="1790">
        <v>1</v>
      </c>
      <c r="AW23" s="1788">
        <v>40421</v>
      </c>
      <c r="AX23" s="1788">
        <v>44396.1</v>
      </c>
      <c r="AY23" s="1781">
        <f t="shared" si="16"/>
        <v>3975.0999999999985</v>
      </c>
      <c r="AZ23" s="1777">
        <f>AY23/AX23</f>
        <v>8.9537144028416879E-2</v>
      </c>
      <c r="BA23" s="1791">
        <v>1</v>
      </c>
      <c r="BB23" s="1781">
        <v>40420</v>
      </c>
      <c r="BC23" s="1781">
        <v>51030</v>
      </c>
      <c r="BD23" s="1781">
        <f t="shared" si="81"/>
        <v>10610</v>
      </c>
      <c r="BE23" s="1780">
        <f t="shared" si="82"/>
        <v>0.20791691162061532</v>
      </c>
      <c r="BF23" s="1790">
        <v>1</v>
      </c>
      <c r="BG23" s="1781">
        <v>40420</v>
      </c>
      <c r="BH23" s="1776">
        <v>48988.800000000003</v>
      </c>
      <c r="BI23" s="1781">
        <f t="shared" si="83"/>
        <v>8568.8000000000029</v>
      </c>
      <c r="BJ23" s="1780">
        <f>BI23/BH23</f>
        <v>0.17491344960480767</v>
      </c>
      <c r="BK23" s="1790">
        <v>1</v>
      </c>
      <c r="BL23" s="1781">
        <v>40420</v>
      </c>
      <c r="BM23" s="1783">
        <v>47968.2</v>
      </c>
      <c r="BN23" s="1781">
        <f t="shared" si="84"/>
        <v>7548.1999999999971</v>
      </c>
      <c r="BO23" s="5978">
        <f>BN23/BM23</f>
        <v>0.15735841661767583</v>
      </c>
      <c r="BP23" s="1937">
        <f t="shared" si="21"/>
        <v>1</v>
      </c>
      <c r="BQ23" s="1796">
        <f t="shared" si="22"/>
        <v>485047</v>
      </c>
      <c r="BR23" s="1786">
        <f t="shared" si="22"/>
        <v>569003.4</v>
      </c>
      <c r="BS23" s="1797">
        <f t="shared" si="7"/>
        <v>83956.400000000023</v>
      </c>
      <c r="BT23" s="1798">
        <f t="shared" si="23"/>
        <v>3</v>
      </c>
      <c r="BU23" s="1786">
        <f t="shared" si="24"/>
        <v>142902.9</v>
      </c>
      <c r="BV23" s="1786">
        <f t="shared" si="24"/>
        <v>21641.9</v>
      </c>
      <c r="BW23" s="1799">
        <f>BV23/BU23</f>
        <v>0.15144479223304777</v>
      </c>
      <c r="BX23" s="1800">
        <f t="shared" si="25"/>
        <v>3</v>
      </c>
      <c r="BY23" s="1786">
        <f t="shared" si="26"/>
        <v>136760.4</v>
      </c>
      <c r="BZ23" s="1786">
        <f t="shared" si="26"/>
        <v>15497.400000000001</v>
      </c>
      <c r="CA23" s="1801"/>
      <c r="CB23" s="1802">
        <f t="shared" si="27"/>
        <v>3</v>
      </c>
      <c r="CC23" s="1786">
        <f t="shared" si="75"/>
        <v>141353.1</v>
      </c>
      <c r="CD23" s="1786">
        <f t="shared" si="75"/>
        <v>20090.099999999999</v>
      </c>
      <c r="CE23" s="1803"/>
      <c r="CF23" s="1800">
        <f t="shared" si="28"/>
        <v>3</v>
      </c>
      <c r="CG23" s="1776">
        <f t="shared" si="29"/>
        <v>147987</v>
      </c>
      <c r="CH23" s="1776">
        <f t="shared" si="29"/>
        <v>26727</v>
      </c>
      <c r="CI23" s="1801"/>
      <c r="CJ23" s="1808">
        <v>1</v>
      </c>
      <c r="CK23" s="6000">
        <v>39756</v>
      </c>
      <c r="CL23" s="1783">
        <f>44396.1+3965.01</f>
        <v>48361.11</v>
      </c>
      <c r="CM23" s="1776">
        <f t="shared" si="80"/>
        <v>8605.11</v>
      </c>
      <c r="CN23" s="1799">
        <f>CM23/CL23</f>
        <v>0.17793450150337742</v>
      </c>
      <c r="CO23" s="1804">
        <v>1</v>
      </c>
      <c r="CP23" s="1776">
        <v>40397</v>
      </c>
      <c r="CQ23" s="1776">
        <v>54943</v>
      </c>
      <c r="CR23" s="1776">
        <f t="shared" si="85"/>
        <v>14546</v>
      </c>
      <c r="CS23" s="1799">
        <f>CR23/CQ23</f>
        <v>0.26474710154159764</v>
      </c>
      <c r="CT23" s="1804">
        <v>1</v>
      </c>
      <c r="CU23" s="1783">
        <v>45920</v>
      </c>
      <c r="CV23" s="1776">
        <v>56643</v>
      </c>
      <c r="CW23" s="1776">
        <f t="shared" si="86"/>
        <v>10723</v>
      </c>
      <c r="CX23" s="1799">
        <f>CW23/CV23</f>
        <v>0.18930847589287292</v>
      </c>
      <c r="CY23" s="1808">
        <v>1</v>
      </c>
      <c r="CZ23" s="1783">
        <v>45920</v>
      </c>
      <c r="DA23" s="1783">
        <v>56643</v>
      </c>
      <c r="DB23" s="1776">
        <f t="shared" si="87"/>
        <v>10723</v>
      </c>
      <c r="DC23" s="1799">
        <f>DB23/DA23</f>
        <v>0.18930847589287292</v>
      </c>
      <c r="DD23" s="1808">
        <v>1</v>
      </c>
      <c r="DE23" s="1783">
        <v>45920</v>
      </c>
      <c r="DF23" s="1783">
        <v>56643</v>
      </c>
      <c r="DG23" s="1783">
        <f t="shared" si="30"/>
        <v>10723</v>
      </c>
      <c r="DH23" s="1807">
        <f>DG23/DF23</f>
        <v>0.18930847589287292</v>
      </c>
      <c r="DI23" s="1808">
        <v>1</v>
      </c>
      <c r="DJ23" s="2577">
        <v>45920</v>
      </c>
      <c r="DK23" s="2577">
        <v>45314.400000000001</v>
      </c>
      <c r="DL23" s="1776">
        <f t="shared" si="88"/>
        <v>-605.59999999999854</v>
      </c>
      <c r="DM23" s="1807">
        <f>DL23/DK23</f>
        <v>-1.3364405133908835E-2</v>
      </c>
      <c r="DN23" s="1804">
        <v>1</v>
      </c>
      <c r="DO23" s="2577">
        <v>45920</v>
      </c>
      <c r="DP23" s="1783">
        <v>54943.71</v>
      </c>
      <c r="DQ23" s="1776">
        <f t="shared" si="93"/>
        <v>9023.7099999999991</v>
      </c>
      <c r="DR23" s="1807">
        <f>DQ23/DP23</f>
        <v>0.16423554215760092</v>
      </c>
      <c r="DS23" s="1804">
        <v>1</v>
      </c>
      <c r="DT23" s="2577">
        <v>45920</v>
      </c>
      <c r="DU23" s="1783">
        <v>56643</v>
      </c>
      <c r="DV23" s="1776">
        <f t="shared" si="94"/>
        <v>10723</v>
      </c>
      <c r="DW23" s="1799">
        <f>DV23/DU23</f>
        <v>0.18930847589287292</v>
      </c>
      <c r="DX23" s="1804">
        <v>1</v>
      </c>
      <c r="DY23" s="1776">
        <v>45920</v>
      </c>
      <c r="DZ23" s="1776">
        <v>56643</v>
      </c>
      <c r="EA23" s="1776">
        <f t="shared" si="31"/>
        <v>10723</v>
      </c>
      <c r="EB23" s="1807">
        <f t="shared" si="32"/>
        <v>0.18930847589287292</v>
      </c>
      <c r="EC23" s="1804">
        <v>1</v>
      </c>
      <c r="ED23" s="1776">
        <v>45920</v>
      </c>
      <c r="EE23" s="1776">
        <v>54943.71</v>
      </c>
      <c r="EF23" s="1786">
        <f t="shared" si="33"/>
        <v>9023.7099999999991</v>
      </c>
      <c r="EG23" s="1807">
        <f>EF23/EE23</f>
        <v>0.16423554215760092</v>
      </c>
      <c r="EH23" s="1804">
        <v>1</v>
      </c>
      <c r="EI23" s="1776">
        <v>45920</v>
      </c>
      <c r="EJ23" s="1776">
        <v>56643</v>
      </c>
      <c r="EK23" s="1776">
        <f t="shared" si="34"/>
        <v>10723</v>
      </c>
      <c r="EL23" s="1807">
        <f t="shared" si="35"/>
        <v>0.18930847589287292</v>
      </c>
      <c r="EM23" s="1804">
        <v>1</v>
      </c>
      <c r="EN23" s="1776">
        <v>45921.189308475892</v>
      </c>
      <c r="EO23" s="1776">
        <v>56643</v>
      </c>
      <c r="EP23" s="1776">
        <f t="shared" si="36"/>
        <v>10721.810691524108</v>
      </c>
      <c r="EQ23" s="1807">
        <f t="shared" si="37"/>
        <v>0.18928747932708556</v>
      </c>
      <c r="ER23" s="2402">
        <f t="shared" si="38"/>
        <v>1</v>
      </c>
      <c r="ES23" s="2403">
        <f t="shared" si="39"/>
        <v>539354.18930847594</v>
      </c>
      <c r="ET23" s="2403">
        <f t="shared" si="39"/>
        <v>655006.93000000005</v>
      </c>
      <c r="EU23" s="2403">
        <f t="shared" si="39"/>
        <v>115652.7406915241</v>
      </c>
      <c r="EV23" s="2404">
        <f t="shared" si="40"/>
        <v>0.17656720165010176</v>
      </c>
      <c r="EW23" s="1814">
        <f t="shared" si="89"/>
        <v>1</v>
      </c>
      <c r="EX23" s="1776">
        <f t="shared" si="90"/>
        <v>159947.10999999999</v>
      </c>
      <c r="EY23" s="1776">
        <f t="shared" si="90"/>
        <v>33874.11</v>
      </c>
      <c r="EZ23" s="1815">
        <f t="shared" si="41"/>
        <v>0.21178319508242446</v>
      </c>
      <c r="FA23" s="1939">
        <f t="shared" si="95"/>
        <v>1</v>
      </c>
      <c r="FB23" s="1786">
        <f t="shared" si="42"/>
        <v>158600.4</v>
      </c>
      <c r="FC23" s="1786">
        <f t="shared" si="42"/>
        <v>20840.400000000001</v>
      </c>
      <c r="FD23" s="1799">
        <f t="shared" si="43"/>
        <v>0.13140193845664955</v>
      </c>
      <c r="FE23" s="1814">
        <f t="shared" si="96"/>
        <v>1</v>
      </c>
      <c r="FF23" s="1786">
        <f t="shared" si="97"/>
        <v>168229.71</v>
      </c>
      <c r="FG23" s="1786">
        <f t="shared" si="97"/>
        <v>30469.71</v>
      </c>
      <c r="FH23" s="1815">
        <f t="shared" si="44"/>
        <v>0.18111967261906353</v>
      </c>
      <c r="FI23" s="1816">
        <f t="shared" si="45"/>
        <v>1</v>
      </c>
      <c r="FJ23" s="1814"/>
      <c r="FK23" s="1786">
        <f t="shared" si="46"/>
        <v>168229.71</v>
      </c>
      <c r="FL23" s="1786">
        <f t="shared" si="46"/>
        <v>30468.520691524107</v>
      </c>
      <c r="FM23" s="1799">
        <f t="shared" si="47"/>
        <v>0.18111260306829341</v>
      </c>
      <c r="FN23" s="1817">
        <v>1</v>
      </c>
      <c r="FO23" s="1818">
        <v>50451</v>
      </c>
      <c r="FP23" s="1818">
        <v>61174</v>
      </c>
      <c r="FQ23" s="1818">
        <f t="shared" ref="FQ23:FQ31" si="98">FP23-FO23</f>
        <v>10723</v>
      </c>
      <c r="FR23" s="1819">
        <f t="shared" si="49"/>
        <v>0.17528688658580444</v>
      </c>
      <c r="FS23" s="1820">
        <v>0</v>
      </c>
      <c r="FT23" s="1818">
        <v>0</v>
      </c>
      <c r="FU23" s="1818">
        <v>0</v>
      </c>
      <c r="FV23" s="1818">
        <v>0</v>
      </c>
      <c r="FW23" s="6001" t="s">
        <v>761</v>
      </c>
      <c r="FX23" s="1820"/>
      <c r="FY23" s="1822">
        <v>0</v>
      </c>
      <c r="FZ23" s="1822">
        <v>0</v>
      </c>
      <c r="GA23" s="1818">
        <f t="shared" si="52"/>
        <v>0</v>
      </c>
      <c r="GB23" s="6001"/>
      <c r="GC23" s="1823"/>
      <c r="GD23" s="1824">
        <v>0</v>
      </c>
      <c r="GE23" s="1824">
        <v>0</v>
      </c>
      <c r="GF23" s="1818">
        <f t="shared" si="54"/>
        <v>0</v>
      </c>
      <c r="GG23" s="1821" t="s">
        <v>732</v>
      </c>
      <c r="GH23" s="1823"/>
      <c r="GI23" s="1824"/>
      <c r="GJ23" s="1824"/>
      <c r="GK23" s="1818">
        <f t="shared" si="56"/>
        <v>0</v>
      </c>
      <c r="GL23" s="1821" t="s">
        <v>732</v>
      </c>
      <c r="GM23" s="1839"/>
      <c r="GN23" s="1839"/>
      <c r="GO23" s="1839"/>
      <c r="GP23" s="1839"/>
      <c r="GQ23" s="1839"/>
      <c r="GR23" s="1839"/>
      <c r="GS23" s="1839"/>
      <c r="GT23" s="1839"/>
      <c r="GU23" s="1839"/>
      <c r="GV23" s="1660"/>
      <c r="GW23" s="1839"/>
      <c r="GX23" s="1839"/>
      <c r="GY23" s="1839"/>
      <c r="GZ23" s="1839"/>
      <c r="HA23" s="1660"/>
      <c r="HB23" s="1839"/>
      <c r="HC23" s="1839"/>
      <c r="HD23" s="1839"/>
      <c r="HE23" s="1839"/>
      <c r="HF23" s="1660"/>
      <c r="HG23" s="1839"/>
      <c r="HH23" s="1839"/>
      <c r="HI23" s="1839"/>
      <c r="HJ23" s="1839"/>
      <c r="HK23" s="1660"/>
      <c r="HL23" s="1839"/>
      <c r="HM23" s="1839"/>
      <c r="HN23" s="1839"/>
      <c r="HO23" s="1839"/>
      <c r="HP23" s="1660"/>
      <c r="HQ23" s="1839"/>
      <c r="HR23" s="1839"/>
      <c r="HS23" s="1839"/>
      <c r="HT23" s="1839"/>
      <c r="HU23" s="1839"/>
      <c r="HV23" s="5941">
        <f t="shared" si="8"/>
        <v>8.3333333333333329E-2</v>
      </c>
      <c r="HW23" s="622">
        <f t="shared" si="9"/>
        <v>50451</v>
      </c>
      <c r="HX23" s="622">
        <f t="shared" si="9"/>
        <v>61174</v>
      </c>
      <c r="HY23" s="622">
        <f t="shared" si="9"/>
        <v>10723</v>
      </c>
      <c r="HZ23" s="5980"/>
      <c r="IA23" s="1907">
        <f t="shared" si="58"/>
        <v>0.33333333333333331</v>
      </c>
      <c r="IB23" s="1908">
        <f t="shared" si="59"/>
        <v>61174</v>
      </c>
      <c r="IC23" s="1908">
        <f t="shared" si="59"/>
        <v>10723</v>
      </c>
      <c r="ID23" s="1909">
        <f t="shared" si="60"/>
        <v>0.17528688658580444</v>
      </c>
      <c r="IE23" s="5981"/>
      <c r="IF23" s="5876"/>
      <c r="IG23" s="5876"/>
      <c r="IH23" s="5877"/>
      <c r="II23" s="5982"/>
      <c r="IJ23" s="5876"/>
      <c r="IK23" s="5876"/>
      <c r="IL23" s="5877"/>
      <c r="IM23" s="5875"/>
      <c r="IN23" s="5876"/>
      <c r="IO23" s="5876"/>
      <c r="IP23" s="5878"/>
      <c r="IQ23" s="1839"/>
      <c r="IR23" s="5983"/>
      <c r="IS23" s="1818"/>
      <c r="IT23" s="1818"/>
      <c r="IU23" s="1818"/>
      <c r="IV23" s="1819"/>
      <c r="IW23" s="1820">
        <v>0</v>
      </c>
      <c r="IX23" s="1818">
        <v>0</v>
      </c>
      <c r="IY23" s="1818">
        <v>0</v>
      </c>
      <c r="IZ23" s="1818">
        <v>0</v>
      </c>
      <c r="JA23" s="6001" t="s">
        <v>761</v>
      </c>
      <c r="JB23" s="1984"/>
      <c r="JC23" s="1822">
        <v>0</v>
      </c>
      <c r="JD23" s="1822">
        <v>0</v>
      </c>
      <c r="JE23" s="1818">
        <f t="shared" si="65"/>
        <v>0</v>
      </c>
      <c r="JF23" s="6001"/>
      <c r="JG23" s="1981"/>
      <c r="JH23" s="1824">
        <v>0</v>
      </c>
      <c r="JI23" s="1824">
        <v>0</v>
      </c>
      <c r="JJ23" s="1818">
        <f t="shared" si="67"/>
        <v>0</v>
      </c>
      <c r="JK23" s="1821" t="s">
        <v>732</v>
      </c>
      <c r="JL23" s="1823"/>
      <c r="JM23" s="1824"/>
      <c r="JN23" s="1824"/>
      <c r="JO23" s="1818">
        <f t="shared" si="69"/>
        <v>0</v>
      </c>
      <c r="JP23" s="1821" t="s">
        <v>732</v>
      </c>
      <c r="JQ23" s="5948"/>
      <c r="JR23" s="1839"/>
      <c r="JS23" s="1839"/>
      <c r="JT23" s="1839"/>
      <c r="JU23" s="1839"/>
      <c r="JV23" s="5984"/>
      <c r="JW23" s="1839"/>
      <c r="JX23" s="1839"/>
      <c r="JY23" s="1839"/>
      <c r="JZ23" s="1660"/>
      <c r="KA23" s="1839"/>
      <c r="KB23" s="1839"/>
      <c r="KC23" s="1839"/>
      <c r="KD23" s="1839"/>
      <c r="KE23" s="1660"/>
      <c r="KF23" s="5951"/>
      <c r="KG23" s="1839"/>
      <c r="KH23" s="1839"/>
      <c r="KI23" s="1839"/>
      <c r="KJ23" s="1660"/>
      <c r="KK23" s="5951"/>
      <c r="KL23" s="1839"/>
      <c r="KM23" s="1839"/>
      <c r="KN23" s="1839"/>
      <c r="KO23" s="1660"/>
      <c r="KP23" s="1659"/>
      <c r="KQ23" s="1839"/>
      <c r="KR23" s="1839"/>
      <c r="KS23" s="1839"/>
      <c r="KT23" s="1839"/>
      <c r="KU23" s="1659"/>
      <c r="KV23" s="1839"/>
      <c r="KW23" s="1839"/>
      <c r="KX23" s="1839"/>
      <c r="KY23" s="1660"/>
      <c r="KZ23" s="5739">
        <f t="shared" si="10"/>
        <v>0</v>
      </c>
      <c r="LA23" s="5740">
        <f t="shared" si="11"/>
        <v>0</v>
      </c>
      <c r="LB23" s="5740">
        <f t="shared" si="11"/>
        <v>0</v>
      </c>
      <c r="LC23" s="5740">
        <f t="shared" si="11"/>
        <v>0</v>
      </c>
      <c r="LD23" s="1660"/>
      <c r="LE23" s="1912">
        <f t="shared" si="71"/>
        <v>0</v>
      </c>
      <c r="LF23" s="1908">
        <f t="shared" si="72"/>
        <v>0</v>
      </c>
      <c r="LG23" s="1908">
        <f t="shared" si="72"/>
        <v>0</v>
      </c>
      <c r="LH23" s="1909"/>
      <c r="LI23" s="5875"/>
      <c r="LJ23" s="5876"/>
      <c r="LK23" s="5876"/>
      <c r="LL23" s="5877"/>
      <c r="LM23" s="1907"/>
      <c r="LN23" s="5876"/>
      <c r="LO23" s="5876"/>
      <c r="LP23" s="5877"/>
      <c r="LQ23" s="5875"/>
      <c r="LR23" s="1836">
        <f t="shared" si="76"/>
        <v>0</v>
      </c>
      <c r="LS23" s="1836">
        <f t="shared" si="76"/>
        <v>0</v>
      </c>
      <c r="LT23" s="5878"/>
      <c r="LV23" s="691"/>
      <c r="LW23" s="1839"/>
      <c r="LX23" s="1839"/>
      <c r="LY23" s="1839"/>
      <c r="LZ23" s="5879"/>
      <c r="MF23" s="5880"/>
      <c r="MG23" s="4965"/>
      <c r="MH23" s="4965"/>
      <c r="MI23" s="1839"/>
      <c r="MJ23" s="1660"/>
      <c r="MK23" s="5881"/>
      <c r="MN23" s="372">
        <f t="shared" si="12"/>
        <v>0</v>
      </c>
      <c r="MP23" s="5881"/>
      <c r="MQ23" s="1839"/>
      <c r="MR23" s="1839"/>
      <c r="MS23" s="1839"/>
      <c r="MT23" s="693"/>
      <c r="MU23" s="2035"/>
      <c r="MV23" s="1914"/>
      <c r="MW23" s="1914"/>
      <c r="MX23" s="1914"/>
      <c r="MY23" s="5882"/>
      <c r="MZ23" s="1659"/>
      <c r="NA23" s="1839"/>
      <c r="NB23" s="1839"/>
      <c r="NC23" s="1839"/>
      <c r="ND23" s="1839"/>
      <c r="NO23" s="5883"/>
      <c r="NP23" s="2425"/>
      <c r="NQ23" s="2425"/>
      <c r="NR23" s="5883"/>
      <c r="NT23" s="1839"/>
      <c r="NU23" s="1839"/>
      <c r="NV23" s="715"/>
      <c r="NW23" s="1839"/>
      <c r="NX23" s="1660"/>
      <c r="NY23" s="5884"/>
      <c r="NZ23" s="1914"/>
      <c r="OA23" s="1914"/>
      <c r="OB23" s="5882"/>
      <c r="OC23" s="1660"/>
      <c r="OE23" s="5885"/>
      <c r="OF23" s="5885"/>
      <c r="OG23" s="715"/>
      <c r="OH23" s="1660"/>
      <c r="OI23" s="1659"/>
      <c r="OJ23" s="1839"/>
      <c r="OK23" s="1839"/>
      <c r="OL23" s="1839"/>
      <c r="OM23" s="693"/>
      <c r="ON23" s="1659"/>
      <c r="OO23" s="715"/>
      <c r="OP23" s="715"/>
      <c r="OQ23" s="715"/>
      <c r="OR23" s="705"/>
      <c r="OS23" s="1659"/>
      <c r="OT23" s="1839"/>
      <c r="OU23" s="1839"/>
      <c r="OV23" s="1839"/>
      <c r="OW23" s="705"/>
      <c r="OX23" s="1659"/>
      <c r="OY23" s="1839"/>
      <c r="OZ23" s="1839"/>
      <c r="PA23" s="1839"/>
      <c r="PB23" s="1660"/>
      <c r="PD23" s="691"/>
      <c r="PE23" s="1839"/>
      <c r="PF23" s="1839"/>
      <c r="PG23" s="1839"/>
      <c r="PH23" s="5879"/>
      <c r="PN23" s="5880"/>
      <c r="PO23" s="4965"/>
      <c r="PP23" s="4965"/>
      <c r="PQ23" s="1839"/>
      <c r="PR23" s="1660"/>
      <c r="PS23" s="5886"/>
      <c r="PT23" s="5883"/>
      <c r="PU23" s="5883"/>
      <c r="PV23" s="2892">
        <f t="shared" si="13"/>
        <v>0</v>
      </c>
      <c r="PW23" s="5883"/>
      <c r="PX23" s="5881"/>
      <c r="PY23" s="1839"/>
      <c r="PZ23" s="1839"/>
      <c r="QA23" s="1839"/>
      <c r="QB23" s="693"/>
      <c r="QC23" s="2035"/>
      <c r="QD23" s="1914"/>
      <c r="QE23" s="1914"/>
      <c r="QF23" s="1914"/>
      <c r="QG23" s="5882"/>
      <c r="QH23" s="1910"/>
      <c r="QI23" s="1839"/>
      <c r="QJ23" s="1839"/>
      <c r="QK23" s="1839"/>
      <c r="QL23" s="1839"/>
      <c r="QM23" s="5880"/>
      <c r="QR23" s="5883"/>
      <c r="QS23" s="5883"/>
      <c r="QT23" s="5883"/>
      <c r="QU23" s="5883"/>
      <c r="QV23" s="1677"/>
      <c r="QW23" s="5883"/>
      <c r="QX23" s="2425"/>
      <c r="QY23" s="2425"/>
      <c r="QZ23" s="5883"/>
      <c r="RA23" s="5883"/>
      <c r="RB23" s="1839"/>
      <c r="RC23" s="1839"/>
      <c r="RD23" s="715"/>
      <c r="RE23" s="1839"/>
      <c r="RF23" s="1660"/>
      <c r="RG23" s="2037"/>
      <c r="RH23" s="1914"/>
      <c r="RI23" s="1914"/>
      <c r="RJ23" s="5882"/>
      <c r="RK23" s="1660"/>
      <c r="RL23" s="5883"/>
      <c r="RM23" s="1873">
        <f t="shared" si="77"/>
        <v>0</v>
      </c>
      <c r="RN23" s="1873">
        <f t="shared" si="77"/>
        <v>0</v>
      </c>
      <c r="RO23" s="1873">
        <f t="shared" si="77"/>
        <v>0</v>
      </c>
      <c r="RP23" s="5883"/>
      <c r="RQ23" s="1659"/>
      <c r="RR23" s="1839"/>
      <c r="RS23" s="1839"/>
      <c r="RT23" s="1839"/>
      <c r="RU23" s="693"/>
      <c r="RV23" s="1659"/>
      <c r="RW23" s="715"/>
      <c r="RX23" s="715"/>
      <c r="RY23" s="715"/>
      <c r="RZ23" s="705"/>
      <c r="SA23" s="1659"/>
      <c r="SB23" s="1839"/>
      <c r="SC23" s="1839"/>
      <c r="SD23" s="1839"/>
      <c r="SE23" s="705"/>
      <c r="SF23" s="1659"/>
      <c r="SG23" s="1839"/>
      <c r="SH23" s="1839"/>
      <c r="SI23" s="1839"/>
      <c r="SJ23" s="1660"/>
      <c r="SL23" s="5887"/>
      <c r="SM23" s="5882"/>
      <c r="SN23" s="5882"/>
      <c r="SO23" s="5882"/>
      <c r="SP23" s="5888"/>
      <c r="SQ23" s="5883"/>
      <c r="SR23" s="5883"/>
      <c r="SS23" s="5883"/>
      <c r="ST23" s="5883"/>
      <c r="SU23" s="5883"/>
      <c r="SV23" s="5880"/>
      <c r="SW23" s="4965"/>
      <c r="SX23" s="4965"/>
      <c r="SY23" s="1839"/>
      <c r="SZ23" s="1660"/>
      <c r="TA23" s="5881"/>
      <c r="TD23" s="372">
        <f t="shared" si="14"/>
        <v>0</v>
      </c>
      <c r="TF23" s="5881"/>
      <c r="TG23" s="1839"/>
      <c r="TH23" s="1839"/>
      <c r="TI23" s="1839"/>
      <c r="TJ23" s="693"/>
      <c r="TK23" s="2035"/>
      <c r="TL23" s="1914"/>
      <c r="TM23" s="1914"/>
      <c r="TN23" s="1914"/>
      <c r="TO23" s="5882"/>
      <c r="TP23" s="2407"/>
      <c r="TQ23" s="1839"/>
      <c r="TR23" s="1839"/>
      <c r="TS23" s="1839"/>
      <c r="TT23" s="1839"/>
      <c r="TU23" s="5889"/>
      <c r="TV23" s="5883"/>
      <c r="TW23" s="5883"/>
      <c r="TX23" s="5883"/>
      <c r="TY23" s="5883"/>
      <c r="TZ23" s="5883"/>
      <c r="UA23" s="5883"/>
      <c r="UB23" s="5883"/>
      <c r="UC23" s="5883"/>
      <c r="UD23" s="1677"/>
      <c r="UE23" s="5883"/>
      <c r="UF23" s="2425"/>
      <c r="UG23" s="2425"/>
      <c r="UH23" s="5883"/>
      <c r="UI23" s="5883"/>
      <c r="UJ23" s="1839"/>
      <c r="UK23" s="1839"/>
      <c r="UL23" s="715"/>
      <c r="UM23" s="1839"/>
      <c r="UN23" s="1660"/>
      <c r="UO23" s="2037"/>
      <c r="UP23" s="1914"/>
      <c r="UQ23" s="1914"/>
      <c r="UR23" s="5882"/>
      <c r="US23" s="1660"/>
      <c r="UU23" s="622">
        <f t="shared" si="78"/>
        <v>0</v>
      </c>
      <c r="UV23" s="622">
        <f t="shared" si="78"/>
        <v>0</v>
      </c>
      <c r="UW23" s="622">
        <f t="shared" si="78"/>
        <v>0</v>
      </c>
      <c r="UY23" s="1659"/>
      <c r="UZ23" s="1839"/>
      <c r="VA23" s="1839"/>
      <c r="VB23" s="1839"/>
      <c r="VC23" s="693"/>
      <c r="VD23" s="1659"/>
      <c r="VE23" s="715"/>
      <c r="VF23" s="715"/>
      <c r="VG23" s="715"/>
      <c r="VH23" s="705"/>
      <c r="VI23" s="1659"/>
      <c r="VJ23" s="1839"/>
      <c r="VK23" s="1839"/>
      <c r="VL23" s="1839"/>
      <c r="VM23" s="705"/>
      <c r="VN23" s="1659"/>
      <c r="VO23" s="1839"/>
      <c r="VP23" s="1839"/>
      <c r="VQ23" s="1839"/>
      <c r="VR23" s="1660"/>
    </row>
    <row r="24" spans="1:590" s="122" customFormat="1" hidden="1" x14ac:dyDescent="0.3">
      <c r="A24" s="2906"/>
      <c r="B24" s="1804" t="s">
        <v>53</v>
      </c>
      <c r="C24" s="5988" t="s">
        <v>762</v>
      </c>
      <c r="D24" s="5996"/>
      <c r="E24" s="5973"/>
      <c r="F24" s="5973"/>
      <c r="G24" s="5974"/>
      <c r="H24" s="1775"/>
      <c r="I24" s="1776"/>
      <c r="J24" s="1776"/>
      <c r="K24" s="1776"/>
      <c r="L24" s="1777"/>
      <c r="M24" s="5986"/>
      <c r="N24" s="1779">
        <v>100300</v>
      </c>
      <c r="O24" s="1779">
        <v>190300</v>
      </c>
      <c r="P24" s="1779">
        <f t="shared" si="92"/>
        <v>90000</v>
      </c>
      <c r="Q24" s="1780">
        <f>P24/O24</f>
        <v>0.47293746715712032</v>
      </c>
      <c r="R24" s="1793">
        <v>0</v>
      </c>
      <c r="S24" s="1776">
        <v>0</v>
      </c>
      <c r="T24" s="1776">
        <v>0</v>
      </c>
      <c r="U24" s="1776">
        <f t="shared" si="2"/>
        <v>0</v>
      </c>
      <c r="V24" s="1777" t="s">
        <v>732</v>
      </c>
      <c r="W24" s="5976"/>
      <c r="X24" s="1776"/>
      <c r="Y24" s="1781"/>
      <c r="Z24" s="1776">
        <f t="shared" si="3"/>
        <v>0</v>
      </c>
      <c r="AA24" s="1782">
        <v>0</v>
      </c>
      <c r="AB24" s="1781"/>
      <c r="AC24" s="1776"/>
      <c r="AD24" s="1788">
        <v>0</v>
      </c>
      <c r="AE24" s="1776">
        <f t="shared" si="4"/>
        <v>0</v>
      </c>
      <c r="AF24" s="1782">
        <v>0</v>
      </c>
      <c r="AG24" s="1782"/>
      <c r="AH24" s="1776"/>
      <c r="AI24" s="1776"/>
      <c r="AJ24" s="1786">
        <f t="shared" si="5"/>
        <v>0</v>
      </c>
      <c r="AK24" s="1777" t="s">
        <v>732</v>
      </c>
      <c r="AL24" s="1782"/>
      <c r="AM24" s="1776">
        <v>0</v>
      </c>
      <c r="AN24" s="1776">
        <v>0</v>
      </c>
      <c r="AO24" s="1781">
        <f t="shared" si="79"/>
        <v>0</v>
      </c>
      <c r="AP24" s="1777" t="s">
        <v>732</v>
      </c>
      <c r="AQ24" s="1787"/>
      <c r="AR24" s="1788">
        <v>0</v>
      </c>
      <c r="AS24" s="1788">
        <v>0</v>
      </c>
      <c r="AT24" s="1789">
        <f t="shared" si="15"/>
        <v>0</v>
      </c>
      <c r="AU24" s="1777" t="s">
        <v>732</v>
      </c>
      <c r="AV24" s="1790"/>
      <c r="AW24" s="1788"/>
      <c r="AX24" s="1788"/>
      <c r="AY24" s="1781"/>
      <c r="AZ24" s="1777"/>
      <c r="BA24" s="1791"/>
      <c r="BB24" s="1781"/>
      <c r="BC24" s="1781"/>
      <c r="BD24" s="1781"/>
      <c r="BE24" s="1780" t="e">
        <f t="shared" si="82"/>
        <v>#DIV/0!</v>
      </c>
      <c r="BF24" s="1790"/>
      <c r="BG24" s="1781"/>
      <c r="BH24" s="1776"/>
      <c r="BI24" s="1781">
        <f t="shared" si="83"/>
        <v>0</v>
      </c>
      <c r="BJ24" s="1780"/>
      <c r="BK24" s="1790"/>
      <c r="BL24" s="1781"/>
      <c r="BM24" s="1776"/>
      <c r="BN24" s="1781">
        <f t="shared" si="84"/>
        <v>0</v>
      </c>
      <c r="BO24" s="5978"/>
      <c r="BP24" s="1937">
        <f t="shared" si="21"/>
        <v>0</v>
      </c>
      <c r="BQ24" s="1796">
        <f t="shared" si="22"/>
        <v>100300</v>
      </c>
      <c r="BR24" s="1786">
        <f t="shared" si="22"/>
        <v>190300</v>
      </c>
      <c r="BS24" s="1797">
        <f t="shared" si="7"/>
        <v>90000</v>
      </c>
      <c r="BT24" s="1798">
        <f t="shared" si="23"/>
        <v>0</v>
      </c>
      <c r="BU24" s="1786">
        <f t="shared" si="24"/>
        <v>190300</v>
      </c>
      <c r="BV24" s="1786">
        <f t="shared" si="24"/>
        <v>90000</v>
      </c>
      <c r="BW24" s="1799">
        <f>BV24/BU24</f>
        <v>0.47293746715712032</v>
      </c>
      <c r="BX24" s="1800">
        <f t="shared" si="25"/>
        <v>0</v>
      </c>
      <c r="BY24" s="1786">
        <f t="shared" si="26"/>
        <v>0</v>
      </c>
      <c r="BZ24" s="1786">
        <f t="shared" si="26"/>
        <v>0</v>
      </c>
      <c r="CA24" s="1801"/>
      <c r="CB24" s="1802">
        <f t="shared" si="27"/>
        <v>0</v>
      </c>
      <c r="CC24" s="1786">
        <f t="shared" si="75"/>
        <v>0</v>
      </c>
      <c r="CD24" s="1786">
        <f t="shared" si="75"/>
        <v>0</v>
      </c>
      <c r="CE24" s="1803"/>
      <c r="CF24" s="1800">
        <f t="shared" si="28"/>
        <v>0</v>
      </c>
      <c r="CG24" s="1776">
        <f t="shared" si="29"/>
        <v>0</v>
      </c>
      <c r="CH24" s="1776">
        <f t="shared" si="29"/>
        <v>0</v>
      </c>
      <c r="CI24" s="1801"/>
      <c r="CJ24" s="1804"/>
      <c r="CK24" s="1776"/>
      <c r="CL24" s="1776"/>
      <c r="CM24" s="1776">
        <f t="shared" si="80"/>
        <v>0</v>
      </c>
      <c r="CN24" s="1799"/>
      <c r="CO24" s="1804"/>
      <c r="CP24" s="1776"/>
      <c r="CQ24" s="1776"/>
      <c r="CR24" s="1776">
        <f t="shared" si="85"/>
        <v>0</v>
      </c>
      <c r="CS24" s="1799"/>
      <c r="CT24" s="1804"/>
      <c r="CU24" s="1776"/>
      <c r="CV24" s="1776"/>
      <c r="CW24" s="1776">
        <f t="shared" si="86"/>
        <v>0</v>
      </c>
      <c r="CX24" s="1799"/>
      <c r="CY24" s="1804"/>
      <c r="CZ24" s="1776"/>
      <c r="DA24" s="1776"/>
      <c r="DB24" s="1776">
        <f t="shared" si="87"/>
        <v>0</v>
      </c>
      <c r="DC24" s="1799"/>
      <c r="DD24" s="1805"/>
      <c r="DE24" s="1806"/>
      <c r="DF24" s="1806"/>
      <c r="DG24" s="1783">
        <f t="shared" si="30"/>
        <v>0</v>
      </c>
      <c r="DH24" s="1807"/>
      <c r="DI24" s="1804"/>
      <c r="DJ24" s="1806"/>
      <c r="DK24" s="1806"/>
      <c r="DL24" s="1776">
        <f t="shared" si="88"/>
        <v>0</v>
      </c>
      <c r="DM24" s="1807"/>
      <c r="DN24" s="1804"/>
      <c r="DO24" s="1776"/>
      <c r="DP24" s="1776"/>
      <c r="DQ24" s="1776">
        <f t="shared" si="93"/>
        <v>0</v>
      </c>
      <c r="DR24" s="1807"/>
      <c r="DS24" s="1804"/>
      <c r="DT24" s="1776"/>
      <c r="DU24" s="1776"/>
      <c r="DV24" s="1776">
        <f t="shared" si="94"/>
        <v>0</v>
      </c>
      <c r="DW24" s="1799" t="e">
        <f>DV24/DU24</f>
        <v>#DIV/0!</v>
      </c>
      <c r="DX24" s="1804"/>
      <c r="DY24" s="1776"/>
      <c r="DZ24" s="1776"/>
      <c r="EA24" s="1776">
        <f t="shared" si="31"/>
        <v>0</v>
      </c>
      <c r="EB24" s="1807" t="e">
        <f t="shared" si="32"/>
        <v>#DIV/0!</v>
      </c>
      <c r="EC24" s="1804"/>
      <c r="ED24" s="1776"/>
      <c r="EE24" s="1776"/>
      <c r="EF24" s="1786">
        <f t="shared" si="33"/>
        <v>0</v>
      </c>
      <c r="EG24" s="1807" t="e">
        <f>EF24/EE24</f>
        <v>#DIV/0!</v>
      </c>
      <c r="EH24" s="1804"/>
      <c r="EI24" s="1776"/>
      <c r="EJ24" s="1776"/>
      <c r="EK24" s="1776">
        <f t="shared" si="34"/>
        <v>0</v>
      </c>
      <c r="EL24" s="1807" t="e">
        <f t="shared" si="35"/>
        <v>#DIV/0!</v>
      </c>
      <c r="EM24" s="1804"/>
      <c r="EN24" s="1776"/>
      <c r="EO24" s="1776"/>
      <c r="EP24" s="1776">
        <f t="shared" si="36"/>
        <v>0</v>
      </c>
      <c r="EQ24" s="1807" t="e">
        <f t="shared" si="37"/>
        <v>#DIV/0!</v>
      </c>
      <c r="ER24" s="2402">
        <f t="shared" si="38"/>
        <v>0</v>
      </c>
      <c r="ES24" s="2403">
        <f t="shared" si="39"/>
        <v>0</v>
      </c>
      <c r="ET24" s="2403">
        <f t="shared" si="39"/>
        <v>0</v>
      </c>
      <c r="EU24" s="2403">
        <f t="shared" si="39"/>
        <v>0</v>
      </c>
      <c r="EV24" s="2404" t="e">
        <f t="shared" si="40"/>
        <v>#DIV/0!</v>
      </c>
      <c r="EW24" s="1814">
        <f t="shared" si="89"/>
        <v>0</v>
      </c>
      <c r="EX24" s="1776">
        <f t="shared" si="90"/>
        <v>0</v>
      </c>
      <c r="EY24" s="1776">
        <f t="shared" si="90"/>
        <v>0</v>
      </c>
      <c r="EZ24" s="1815" t="e">
        <f t="shared" si="41"/>
        <v>#DIV/0!</v>
      </c>
      <c r="FA24" s="1939">
        <f t="shared" si="95"/>
        <v>0</v>
      </c>
      <c r="FB24" s="1786">
        <f t="shared" si="42"/>
        <v>0</v>
      </c>
      <c r="FC24" s="1786">
        <f t="shared" si="42"/>
        <v>0</v>
      </c>
      <c r="FD24" s="1799" t="e">
        <f t="shared" si="43"/>
        <v>#DIV/0!</v>
      </c>
      <c r="FE24" s="1814">
        <f t="shared" si="96"/>
        <v>0</v>
      </c>
      <c r="FF24" s="1786">
        <f t="shared" si="97"/>
        <v>0</v>
      </c>
      <c r="FG24" s="1786">
        <f t="shared" si="97"/>
        <v>0</v>
      </c>
      <c r="FH24" s="1815" t="e">
        <f t="shared" si="44"/>
        <v>#DIV/0!</v>
      </c>
      <c r="FI24" s="1816">
        <f t="shared" si="45"/>
        <v>0</v>
      </c>
      <c r="FJ24" s="1814"/>
      <c r="FK24" s="1786">
        <f t="shared" si="46"/>
        <v>0</v>
      </c>
      <c r="FL24" s="1786">
        <f t="shared" si="46"/>
        <v>0</v>
      </c>
      <c r="FM24" s="1799" t="e">
        <f t="shared" si="47"/>
        <v>#DIV/0!</v>
      </c>
      <c r="FN24" s="1817"/>
      <c r="FO24" s="1818"/>
      <c r="FP24" s="1818"/>
      <c r="FQ24" s="1818">
        <f t="shared" si="98"/>
        <v>0</v>
      </c>
      <c r="FR24" s="1819" t="e">
        <f t="shared" si="49"/>
        <v>#DIV/0!</v>
      </c>
      <c r="FS24" s="1820"/>
      <c r="FT24" s="1818"/>
      <c r="FU24" s="1818"/>
      <c r="FV24" s="1818">
        <f t="shared" ref="FV24:FV31" si="99">FU24-FT24</f>
        <v>0</v>
      </c>
      <c r="FW24" s="1821" t="e">
        <f t="shared" ref="FW24:FW31" si="100">FV24/FU24</f>
        <v>#DIV/0!</v>
      </c>
      <c r="FX24" s="1820"/>
      <c r="FY24" s="1822"/>
      <c r="FZ24" s="1822"/>
      <c r="GA24" s="1818">
        <f t="shared" si="52"/>
        <v>0</v>
      </c>
      <c r="GB24" s="1821" t="e">
        <f t="shared" ref="GB24:GB31" si="101">GA24/FZ24</f>
        <v>#DIV/0!</v>
      </c>
      <c r="GC24" s="1823"/>
      <c r="GD24" s="1824"/>
      <c r="GE24" s="1824"/>
      <c r="GF24" s="1818">
        <f t="shared" si="54"/>
        <v>0</v>
      </c>
      <c r="GG24" s="1821" t="e">
        <f t="shared" ref="GG24:GG31" si="102">GF24/GE24</f>
        <v>#DIV/0!</v>
      </c>
      <c r="GH24" s="1823"/>
      <c r="GI24" s="1824"/>
      <c r="GJ24" s="1824"/>
      <c r="GK24" s="1818">
        <f t="shared" si="56"/>
        <v>0</v>
      </c>
      <c r="GL24" s="1821" t="e">
        <f t="shared" ref="GL24:GL31" si="103">GK24/GJ24</f>
        <v>#DIV/0!</v>
      </c>
      <c r="GM24" s="1839"/>
      <c r="GN24" s="1839"/>
      <c r="GO24" s="1839"/>
      <c r="GP24" s="1839"/>
      <c r="GQ24" s="1839"/>
      <c r="GR24" s="1839"/>
      <c r="GS24" s="1839"/>
      <c r="GT24" s="1839"/>
      <c r="GU24" s="1839"/>
      <c r="GV24" s="1660"/>
      <c r="GW24" s="1839"/>
      <c r="GX24" s="1839"/>
      <c r="GY24" s="1839"/>
      <c r="GZ24" s="1839"/>
      <c r="HA24" s="1660"/>
      <c r="HB24" s="1839"/>
      <c r="HC24" s="1839"/>
      <c r="HD24" s="1839"/>
      <c r="HE24" s="1839"/>
      <c r="HF24" s="1660"/>
      <c r="HG24" s="1839"/>
      <c r="HH24" s="1839"/>
      <c r="HI24" s="1839"/>
      <c r="HJ24" s="1839"/>
      <c r="HK24" s="1660"/>
      <c r="HL24" s="1839"/>
      <c r="HM24" s="1839"/>
      <c r="HN24" s="1839"/>
      <c r="HO24" s="1839"/>
      <c r="HP24" s="1660"/>
      <c r="HQ24" s="1839"/>
      <c r="HR24" s="1839"/>
      <c r="HS24" s="1839"/>
      <c r="HT24" s="1839"/>
      <c r="HU24" s="1839"/>
      <c r="HV24" s="5941">
        <f t="shared" si="8"/>
        <v>0</v>
      </c>
      <c r="HW24" s="622">
        <f t="shared" si="9"/>
        <v>0</v>
      </c>
      <c r="HX24" s="622">
        <f t="shared" si="9"/>
        <v>0</v>
      </c>
      <c r="HY24" s="622">
        <f t="shared" si="9"/>
        <v>0</v>
      </c>
      <c r="HZ24" s="5980"/>
      <c r="IA24" s="1907">
        <f t="shared" si="58"/>
        <v>0</v>
      </c>
      <c r="IB24" s="1908">
        <f t="shared" si="59"/>
        <v>0</v>
      </c>
      <c r="IC24" s="1908">
        <f t="shared" si="59"/>
        <v>0</v>
      </c>
      <c r="ID24" s="1909" t="e">
        <f t="shared" si="60"/>
        <v>#DIV/0!</v>
      </c>
      <c r="IE24" s="5981"/>
      <c r="IF24" s="5876"/>
      <c r="IG24" s="5876"/>
      <c r="IH24" s="5877"/>
      <c r="II24" s="5982"/>
      <c r="IJ24" s="5876"/>
      <c r="IK24" s="5876"/>
      <c r="IL24" s="5877"/>
      <c r="IM24" s="5875"/>
      <c r="IN24" s="5876"/>
      <c r="IO24" s="5876"/>
      <c r="IP24" s="5878"/>
      <c r="IQ24" s="1839"/>
      <c r="IR24" s="5983"/>
      <c r="IS24" s="1818"/>
      <c r="IT24" s="1818"/>
      <c r="IU24" s="1818">
        <f t="shared" ref="IU24:IU32" si="104">IT24-IS24</f>
        <v>0</v>
      </c>
      <c r="IV24" s="1819" t="e">
        <f t="shared" ref="IV24:IV32" si="105">IU24/IT24</f>
        <v>#DIV/0!</v>
      </c>
      <c r="IW24" s="1820"/>
      <c r="IX24" s="1818"/>
      <c r="IY24" s="1818"/>
      <c r="IZ24" s="1818">
        <f t="shared" ref="IZ24:IZ38" si="106">IY24-IX24</f>
        <v>0</v>
      </c>
      <c r="JA24" s="1821" t="e">
        <f t="shared" ref="JA24:JA33" si="107">IZ24/IY24</f>
        <v>#DIV/0!</v>
      </c>
      <c r="JB24" s="1984"/>
      <c r="JC24" s="1822"/>
      <c r="JD24" s="1822"/>
      <c r="JE24" s="1818">
        <f t="shared" si="65"/>
        <v>0</v>
      </c>
      <c r="JF24" s="1821" t="e">
        <f t="shared" ref="JF24:JF36" si="108">JE24/JD24</f>
        <v>#DIV/0!</v>
      </c>
      <c r="JG24" s="1981"/>
      <c r="JH24" s="1824"/>
      <c r="JI24" s="1824"/>
      <c r="JJ24" s="1818">
        <f t="shared" si="67"/>
        <v>0</v>
      </c>
      <c r="JK24" s="1821" t="e">
        <f t="shared" ref="JK24:JK39" si="109">JJ24/JI24</f>
        <v>#DIV/0!</v>
      </c>
      <c r="JL24" s="1823"/>
      <c r="JM24" s="1824"/>
      <c r="JN24" s="1824"/>
      <c r="JO24" s="1818">
        <f t="shared" si="69"/>
        <v>0</v>
      </c>
      <c r="JP24" s="1821" t="e">
        <f t="shared" ref="JP24:JP38" si="110">JO24/JN24</f>
        <v>#DIV/0!</v>
      </c>
      <c r="JQ24" s="5948"/>
      <c r="JR24" s="1839"/>
      <c r="JS24" s="1839"/>
      <c r="JT24" s="1839"/>
      <c r="JU24" s="1839"/>
      <c r="JV24" s="5984"/>
      <c r="JW24" s="1839"/>
      <c r="JX24" s="1839"/>
      <c r="JY24" s="1839"/>
      <c r="JZ24" s="1660"/>
      <c r="KA24" s="1839"/>
      <c r="KB24" s="1839"/>
      <c r="KC24" s="1839"/>
      <c r="KD24" s="1839"/>
      <c r="KE24" s="1660"/>
      <c r="KF24" s="5951"/>
      <c r="KG24" s="1839"/>
      <c r="KH24" s="1839"/>
      <c r="KI24" s="1839"/>
      <c r="KJ24" s="1660"/>
      <c r="KK24" s="5951"/>
      <c r="KL24" s="1839"/>
      <c r="KM24" s="1839"/>
      <c r="KN24" s="1839"/>
      <c r="KO24" s="1660"/>
      <c r="KP24" s="1659"/>
      <c r="KQ24" s="1839"/>
      <c r="KR24" s="1839"/>
      <c r="KS24" s="1839"/>
      <c r="KT24" s="1839"/>
      <c r="KU24" s="1659"/>
      <c r="KV24" s="1839"/>
      <c r="KW24" s="1839"/>
      <c r="KX24" s="1839"/>
      <c r="KY24" s="1660"/>
      <c r="KZ24" s="5739">
        <f t="shared" si="10"/>
        <v>0</v>
      </c>
      <c r="LA24" s="5740">
        <f t="shared" si="11"/>
        <v>0</v>
      </c>
      <c r="LB24" s="5740">
        <f t="shared" si="11"/>
        <v>0</v>
      </c>
      <c r="LC24" s="5740">
        <f t="shared" si="11"/>
        <v>0</v>
      </c>
      <c r="LD24" s="1660"/>
      <c r="LE24" s="1912">
        <f t="shared" si="71"/>
        <v>0</v>
      </c>
      <c r="LF24" s="1908">
        <f t="shared" si="72"/>
        <v>0</v>
      </c>
      <c r="LG24" s="1908">
        <f t="shared" si="72"/>
        <v>0</v>
      </c>
      <c r="LH24" s="1909"/>
      <c r="LI24" s="5875"/>
      <c r="LJ24" s="5876"/>
      <c r="LK24" s="5876"/>
      <c r="LL24" s="5877"/>
      <c r="LM24" s="1907"/>
      <c r="LN24" s="5876"/>
      <c r="LO24" s="5876"/>
      <c r="LP24" s="5877"/>
      <c r="LQ24" s="5875"/>
      <c r="LR24" s="1836">
        <f t="shared" si="76"/>
        <v>0</v>
      </c>
      <c r="LS24" s="1836">
        <f t="shared" si="76"/>
        <v>0</v>
      </c>
      <c r="LT24" s="5878"/>
      <c r="LV24" s="691"/>
      <c r="LW24" s="1839"/>
      <c r="LX24" s="1839"/>
      <c r="LY24" s="1839"/>
      <c r="LZ24" s="5879"/>
      <c r="MF24" s="5880"/>
      <c r="MG24" s="4965"/>
      <c r="MH24" s="4965"/>
      <c r="MI24" s="1839"/>
      <c r="MJ24" s="1660"/>
      <c r="MK24" s="5881"/>
      <c r="MN24" s="372">
        <f t="shared" si="12"/>
        <v>0</v>
      </c>
      <c r="MP24" s="5881"/>
      <c r="MQ24" s="1839"/>
      <c r="MR24" s="1839"/>
      <c r="MS24" s="1839"/>
      <c r="MT24" s="693"/>
      <c r="MU24" s="2035"/>
      <c r="MV24" s="1914"/>
      <c r="MW24" s="1914"/>
      <c r="MX24" s="1914"/>
      <c r="MY24" s="5882"/>
      <c r="MZ24" s="1659"/>
      <c r="NA24" s="1839"/>
      <c r="NB24" s="1839"/>
      <c r="NC24" s="1839"/>
      <c r="ND24" s="1839"/>
      <c r="NO24" s="5883"/>
      <c r="NP24" s="2425"/>
      <c r="NQ24" s="2425"/>
      <c r="NR24" s="5883"/>
      <c r="NT24" s="1839"/>
      <c r="NU24" s="1839"/>
      <c r="NV24" s="715"/>
      <c r="NW24" s="1839"/>
      <c r="NX24" s="1660"/>
      <c r="NY24" s="5884"/>
      <c r="NZ24" s="1914"/>
      <c r="OA24" s="1914"/>
      <c r="OB24" s="5882"/>
      <c r="OC24" s="1660"/>
      <c r="OE24" s="5885"/>
      <c r="OF24" s="5885"/>
      <c r="OG24" s="715"/>
      <c r="OH24" s="1660"/>
      <c r="OI24" s="1659"/>
      <c r="OJ24" s="1839"/>
      <c r="OK24" s="1839"/>
      <c r="OL24" s="1839"/>
      <c r="OM24" s="693"/>
      <c r="ON24" s="1659"/>
      <c r="OO24" s="715"/>
      <c r="OP24" s="715"/>
      <c r="OQ24" s="715"/>
      <c r="OR24" s="705"/>
      <c r="OS24" s="1659"/>
      <c r="OT24" s="1839"/>
      <c r="OU24" s="1839"/>
      <c r="OV24" s="1839"/>
      <c r="OW24" s="705"/>
      <c r="OX24" s="1659"/>
      <c r="OY24" s="1839"/>
      <c r="OZ24" s="1839"/>
      <c r="PA24" s="1839"/>
      <c r="PB24" s="1660"/>
      <c r="PD24" s="691"/>
      <c r="PE24" s="1839"/>
      <c r="PF24" s="1839"/>
      <c r="PG24" s="1839"/>
      <c r="PH24" s="5879"/>
      <c r="PN24" s="5880"/>
      <c r="PO24" s="4965"/>
      <c r="PP24" s="4965"/>
      <c r="PQ24" s="1839"/>
      <c r="PR24" s="1660"/>
      <c r="PS24" s="5886"/>
      <c r="PT24" s="5883"/>
      <c r="PU24" s="5883"/>
      <c r="PV24" s="2892">
        <f t="shared" si="13"/>
        <v>0</v>
      </c>
      <c r="PW24" s="5883"/>
      <c r="PX24" s="5881"/>
      <c r="PY24" s="1839"/>
      <c r="PZ24" s="1839"/>
      <c r="QA24" s="1839"/>
      <c r="QB24" s="693"/>
      <c r="QC24" s="2035"/>
      <c r="QD24" s="1914"/>
      <c r="QE24" s="1914"/>
      <c r="QF24" s="1914"/>
      <c r="QG24" s="5882"/>
      <c r="QH24" s="1910"/>
      <c r="QI24" s="1839"/>
      <c r="QJ24" s="1839"/>
      <c r="QK24" s="1839"/>
      <c r="QL24" s="1839"/>
      <c r="QM24" s="5880"/>
      <c r="QR24" s="5883"/>
      <c r="QS24" s="5883"/>
      <c r="QT24" s="5883"/>
      <c r="QU24" s="5883"/>
      <c r="QV24" s="1677"/>
      <c r="QW24" s="5883"/>
      <c r="QX24" s="2425"/>
      <c r="QY24" s="2425"/>
      <c r="QZ24" s="5883"/>
      <c r="RA24" s="5883"/>
      <c r="RB24" s="1839"/>
      <c r="RC24" s="1839"/>
      <c r="RD24" s="715"/>
      <c r="RE24" s="1839"/>
      <c r="RF24" s="1660"/>
      <c r="RG24" s="2037"/>
      <c r="RH24" s="1914"/>
      <c r="RI24" s="1914"/>
      <c r="RJ24" s="5882"/>
      <c r="RK24" s="1660"/>
      <c r="RL24" s="5883"/>
      <c r="RM24" s="1873">
        <f t="shared" si="77"/>
        <v>0</v>
      </c>
      <c r="RN24" s="1873">
        <f t="shared" si="77"/>
        <v>0</v>
      </c>
      <c r="RO24" s="1873">
        <f t="shared" si="77"/>
        <v>0</v>
      </c>
      <c r="RP24" s="5883"/>
      <c r="RQ24" s="1659"/>
      <c r="RR24" s="1839"/>
      <c r="RS24" s="1839"/>
      <c r="RT24" s="1839"/>
      <c r="RU24" s="693"/>
      <c r="RV24" s="1659"/>
      <c r="RW24" s="715"/>
      <c r="RX24" s="715"/>
      <c r="RY24" s="715"/>
      <c r="RZ24" s="705"/>
      <c r="SA24" s="1659"/>
      <c r="SB24" s="1839"/>
      <c r="SC24" s="1839"/>
      <c r="SD24" s="1839"/>
      <c r="SE24" s="705"/>
      <c r="SF24" s="1659"/>
      <c r="SG24" s="1839"/>
      <c r="SH24" s="1839"/>
      <c r="SI24" s="1839"/>
      <c r="SJ24" s="1660"/>
      <c r="SL24" s="5887"/>
      <c r="SM24" s="5882"/>
      <c r="SN24" s="5882"/>
      <c r="SO24" s="5882"/>
      <c r="SP24" s="5888"/>
      <c r="SQ24" s="5883"/>
      <c r="SR24" s="5883"/>
      <c r="SS24" s="5883"/>
      <c r="ST24" s="5883"/>
      <c r="SU24" s="5883"/>
      <c r="SV24" s="5880"/>
      <c r="SW24" s="4965"/>
      <c r="SX24" s="4965"/>
      <c r="SY24" s="1839"/>
      <c r="SZ24" s="1660"/>
      <c r="TA24" s="5881"/>
      <c r="TD24" s="372">
        <f t="shared" si="14"/>
        <v>0</v>
      </c>
      <c r="TF24" s="5881"/>
      <c r="TG24" s="1839"/>
      <c r="TH24" s="1839"/>
      <c r="TI24" s="1839"/>
      <c r="TJ24" s="693"/>
      <c r="TK24" s="2035"/>
      <c r="TL24" s="1914"/>
      <c r="TM24" s="1914"/>
      <c r="TN24" s="1914"/>
      <c r="TO24" s="5882"/>
      <c r="TP24" s="2407"/>
      <c r="TQ24" s="1839"/>
      <c r="TR24" s="1839"/>
      <c r="TS24" s="1839"/>
      <c r="TT24" s="1839"/>
      <c r="TU24" s="5889"/>
      <c r="TV24" s="5883"/>
      <c r="TW24" s="5883"/>
      <c r="TX24" s="5883"/>
      <c r="TY24" s="5883"/>
      <c r="TZ24" s="5883"/>
      <c r="UA24" s="5883"/>
      <c r="UB24" s="5883"/>
      <c r="UC24" s="5883"/>
      <c r="UD24" s="1677"/>
      <c r="UE24" s="5883"/>
      <c r="UF24" s="2425"/>
      <c r="UG24" s="2425"/>
      <c r="UH24" s="5883"/>
      <c r="UI24" s="5883"/>
      <c r="UJ24" s="1839"/>
      <c r="UK24" s="1839"/>
      <c r="UL24" s="715"/>
      <c r="UM24" s="1839"/>
      <c r="UN24" s="1660"/>
      <c r="UO24" s="2037"/>
      <c r="UP24" s="1914"/>
      <c r="UQ24" s="1914"/>
      <c r="UR24" s="5882"/>
      <c r="US24" s="1660"/>
      <c r="UU24" s="622">
        <f t="shared" si="78"/>
        <v>0</v>
      </c>
      <c r="UV24" s="622">
        <f t="shared" si="78"/>
        <v>0</v>
      </c>
      <c r="UW24" s="622">
        <f t="shared" si="78"/>
        <v>0</v>
      </c>
      <c r="UY24" s="1659"/>
      <c r="UZ24" s="1839"/>
      <c r="VA24" s="1839"/>
      <c r="VB24" s="1839"/>
      <c r="VC24" s="693"/>
      <c r="VD24" s="1659"/>
      <c r="VE24" s="715"/>
      <c r="VF24" s="715"/>
      <c r="VG24" s="715"/>
      <c r="VH24" s="705"/>
      <c r="VI24" s="1659"/>
      <c r="VJ24" s="1839"/>
      <c r="VK24" s="1839"/>
      <c r="VL24" s="1839"/>
      <c r="VM24" s="705"/>
      <c r="VN24" s="1659"/>
      <c r="VO24" s="1839"/>
      <c r="VP24" s="1839"/>
      <c r="VQ24" s="1839"/>
      <c r="VR24" s="1660"/>
    </row>
    <row r="25" spans="1:590" s="122" customFormat="1" hidden="1" x14ac:dyDescent="0.3">
      <c r="A25" s="2906"/>
      <c r="B25" s="1804" t="s">
        <v>53</v>
      </c>
      <c r="C25" s="5988" t="s">
        <v>763</v>
      </c>
      <c r="D25" s="5977" t="s">
        <v>764</v>
      </c>
      <c r="E25" s="5985">
        <v>43556</v>
      </c>
      <c r="F25" s="5985">
        <v>43708</v>
      </c>
      <c r="G25" s="5974">
        <v>225000</v>
      </c>
      <c r="H25" s="1775"/>
      <c r="I25" s="1776"/>
      <c r="J25" s="1776"/>
      <c r="K25" s="1776"/>
      <c r="L25" s="1777"/>
      <c r="M25" s="1778"/>
      <c r="N25" s="1779"/>
      <c r="O25" s="1779"/>
      <c r="P25" s="1779"/>
      <c r="Q25" s="1780"/>
      <c r="R25" s="1780"/>
      <c r="S25" s="1776"/>
      <c r="T25" s="1776"/>
      <c r="U25" s="1776"/>
      <c r="V25" s="1777"/>
      <c r="W25" s="1776"/>
      <c r="X25" s="1776"/>
      <c r="Y25" s="1781"/>
      <c r="Z25" s="1776"/>
      <c r="AA25" s="1782"/>
      <c r="AB25" s="1781"/>
      <c r="AC25" s="1783"/>
      <c r="AD25" s="1784"/>
      <c r="AE25" s="1776"/>
      <c r="AF25" s="1777"/>
      <c r="AG25" s="1785"/>
      <c r="AH25" s="1776"/>
      <c r="AI25" s="1776"/>
      <c r="AJ25" s="1786"/>
      <c r="AK25" s="1777"/>
      <c r="AL25" s="1785"/>
      <c r="AM25" s="1776"/>
      <c r="AN25" s="1776"/>
      <c r="AO25" s="1781"/>
      <c r="AP25" s="1777"/>
      <c r="AQ25" s="1787"/>
      <c r="AR25" s="1788"/>
      <c r="AS25" s="1788"/>
      <c r="AT25" s="1789"/>
      <c r="AU25" s="1777"/>
      <c r="AV25" s="1790"/>
      <c r="AW25" s="1781"/>
      <c r="AX25" s="1781"/>
      <c r="AY25" s="1781"/>
      <c r="AZ25" s="1777"/>
      <c r="BA25" s="1791"/>
      <c r="BB25" s="1792"/>
      <c r="BC25" s="1783"/>
      <c r="BD25" s="1781"/>
      <c r="BE25" s="1780"/>
      <c r="BF25" s="1790"/>
      <c r="BG25" s="1781"/>
      <c r="BH25" s="1776"/>
      <c r="BI25" s="1781"/>
      <c r="BJ25" s="1793"/>
      <c r="BK25" s="1790"/>
      <c r="BL25" s="1781"/>
      <c r="BM25" s="1776"/>
      <c r="BN25" s="1781"/>
      <c r="BO25" s="1794"/>
      <c r="BP25" s="1937">
        <f t="shared" si="21"/>
        <v>0</v>
      </c>
      <c r="BQ25" s="1796">
        <f t="shared" si="22"/>
        <v>0</v>
      </c>
      <c r="BR25" s="1786">
        <f t="shared" si="22"/>
        <v>0</v>
      </c>
      <c r="BS25" s="1797">
        <f t="shared" si="7"/>
        <v>0</v>
      </c>
      <c r="BT25" s="1798"/>
      <c r="BU25" s="1786"/>
      <c r="BV25" s="1786"/>
      <c r="BW25" s="1799"/>
      <c r="BX25" s="1800"/>
      <c r="BY25" s="1786"/>
      <c r="BZ25" s="1786"/>
      <c r="CA25" s="1801"/>
      <c r="CB25" s="1802"/>
      <c r="CC25" s="1786"/>
      <c r="CD25" s="1786"/>
      <c r="CE25" s="1803"/>
      <c r="CF25" s="1800"/>
      <c r="CG25" s="1776"/>
      <c r="CH25" s="1776"/>
      <c r="CI25" s="1801"/>
      <c r="CJ25" s="1804"/>
      <c r="CK25" s="1776"/>
      <c r="CL25" s="1776"/>
      <c r="CM25" s="1776"/>
      <c r="CN25" s="1799"/>
      <c r="CO25" s="1804">
        <v>3</v>
      </c>
      <c r="CP25" s="1776">
        <v>113300</v>
      </c>
      <c r="CQ25" s="1776">
        <v>119700</v>
      </c>
      <c r="CR25" s="1776">
        <f t="shared" si="85"/>
        <v>6400</v>
      </c>
      <c r="CS25" s="1799">
        <f>CR25/CQ25</f>
        <v>5.3467000835421885E-2</v>
      </c>
      <c r="CT25" s="1804">
        <v>3</v>
      </c>
      <c r="CU25" s="1776">
        <v>129166</v>
      </c>
      <c r="CV25" s="1776">
        <v>164925</v>
      </c>
      <c r="CW25" s="1776">
        <f t="shared" si="86"/>
        <v>35759</v>
      </c>
      <c r="CX25" s="1799">
        <f>CW25/CV25</f>
        <v>0.21681976656055782</v>
      </c>
      <c r="CY25" s="1808">
        <v>2</v>
      </c>
      <c r="CZ25" s="1783">
        <f>50000+32551</f>
        <v>82551</v>
      </c>
      <c r="DA25" s="2577">
        <v>110700</v>
      </c>
      <c r="DB25" s="1776">
        <f t="shared" si="87"/>
        <v>28149</v>
      </c>
      <c r="DC25" s="1799">
        <f>DB25/DA25</f>
        <v>0.25428184281842819</v>
      </c>
      <c r="DD25" s="1805"/>
      <c r="DE25" s="1806"/>
      <c r="DF25" s="1806"/>
      <c r="DG25" s="1783">
        <f t="shared" si="30"/>
        <v>0</v>
      </c>
      <c r="DH25" s="1807" t="s">
        <v>732</v>
      </c>
      <c r="DI25" s="1804"/>
      <c r="DJ25" s="1806"/>
      <c r="DK25" s="1806"/>
      <c r="DL25" s="1776">
        <f t="shared" si="88"/>
        <v>0</v>
      </c>
      <c r="DM25" s="1807" t="s">
        <v>732</v>
      </c>
      <c r="DN25" s="1804"/>
      <c r="DO25" s="1776">
        <v>0</v>
      </c>
      <c r="DP25" s="1776">
        <v>0</v>
      </c>
      <c r="DQ25" s="1776">
        <f t="shared" si="93"/>
        <v>0</v>
      </c>
      <c r="DR25" s="1807"/>
      <c r="DS25" s="1804"/>
      <c r="DT25" s="1776"/>
      <c r="DU25" s="1776"/>
      <c r="DV25" s="1776">
        <f t="shared" si="94"/>
        <v>0</v>
      </c>
      <c r="DW25" s="1799"/>
      <c r="DX25" s="1804"/>
      <c r="DY25" s="1776"/>
      <c r="DZ25" s="1776"/>
      <c r="EA25" s="1776">
        <f t="shared" si="31"/>
        <v>0</v>
      </c>
      <c r="EB25" s="1807" t="s">
        <v>732</v>
      </c>
      <c r="EC25" s="1804"/>
      <c r="ED25" s="1776"/>
      <c r="EE25" s="1776"/>
      <c r="EF25" s="1786">
        <f t="shared" si="33"/>
        <v>0</v>
      </c>
      <c r="EG25" s="1807"/>
      <c r="EH25" s="1804"/>
      <c r="EI25" s="1776">
        <v>0</v>
      </c>
      <c r="EJ25" s="1776">
        <v>0</v>
      </c>
      <c r="EK25" s="1776">
        <f t="shared" si="34"/>
        <v>0</v>
      </c>
      <c r="EL25" s="1807" t="s">
        <v>732</v>
      </c>
      <c r="EM25" s="1804"/>
      <c r="EN25" s="1776">
        <v>0</v>
      </c>
      <c r="EO25" s="1776">
        <v>0</v>
      </c>
      <c r="EP25" s="1776">
        <f t="shared" si="36"/>
        <v>0</v>
      </c>
      <c r="EQ25" s="1807" t="s">
        <v>732</v>
      </c>
      <c r="ER25" s="2402">
        <f t="shared" si="38"/>
        <v>0.66666666666666663</v>
      </c>
      <c r="ES25" s="2403">
        <f t="shared" si="39"/>
        <v>325017</v>
      </c>
      <c r="ET25" s="2403">
        <f t="shared" si="39"/>
        <v>395325</v>
      </c>
      <c r="EU25" s="2403">
        <f t="shared" si="39"/>
        <v>70308</v>
      </c>
      <c r="EV25" s="2404">
        <f t="shared" si="40"/>
        <v>0.17784860557768925</v>
      </c>
      <c r="EW25" s="1814">
        <f t="shared" si="89"/>
        <v>2</v>
      </c>
      <c r="EX25" s="1776">
        <f t="shared" si="90"/>
        <v>284625</v>
      </c>
      <c r="EY25" s="1776">
        <f t="shared" si="90"/>
        <v>42159</v>
      </c>
      <c r="EZ25" s="1815">
        <f t="shared" si="41"/>
        <v>0.14812121212121213</v>
      </c>
      <c r="FA25" s="1939">
        <f t="shared" si="95"/>
        <v>0.66666666666666663</v>
      </c>
      <c r="FB25" s="1786">
        <f t="shared" si="42"/>
        <v>110700</v>
      </c>
      <c r="FC25" s="1786">
        <f t="shared" si="42"/>
        <v>28149</v>
      </c>
      <c r="FD25" s="1799">
        <f t="shared" si="43"/>
        <v>0.25428184281842819</v>
      </c>
      <c r="FE25" s="1814">
        <f t="shared" si="96"/>
        <v>0</v>
      </c>
      <c r="FF25" s="1786">
        <f t="shared" si="97"/>
        <v>0</v>
      </c>
      <c r="FG25" s="1786">
        <f t="shared" si="97"/>
        <v>0</v>
      </c>
      <c r="FH25" s="1815">
        <v>0</v>
      </c>
      <c r="FI25" s="1816"/>
      <c r="FJ25" s="1814"/>
      <c r="FK25" s="1786">
        <f t="shared" si="46"/>
        <v>0</v>
      </c>
      <c r="FL25" s="1786">
        <f t="shared" si="46"/>
        <v>0</v>
      </c>
      <c r="FM25" s="1799">
        <v>0</v>
      </c>
      <c r="FN25" s="1817"/>
      <c r="FO25" s="1818"/>
      <c r="FP25" s="1818"/>
      <c r="FQ25" s="1818">
        <f t="shared" si="98"/>
        <v>0</v>
      </c>
      <c r="FR25" s="1819" t="e">
        <f t="shared" si="49"/>
        <v>#DIV/0!</v>
      </c>
      <c r="FS25" s="1820"/>
      <c r="FT25" s="1818"/>
      <c r="FU25" s="1818"/>
      <c r="FV25" s="1818">
        <f t="shared" si="99"/>
        <v>0</v>
      </c>
      <c r="FW25" s="1821" t="e">
        <f t="shared" si="100"/>
        <v>#DIV/0!</v>
      </c>
      <c r="FX25" s="1820"/>
      <c r="FY25" s="1822"/>
      <c r="FZ25" s="1822"/>
      <c r="GA25" s="1818">
        <f t="shared" si="52"/>
        <v>0</v>
      </c>
      <c r="GB25" s="1821" t="e">
        <f t="shared" si="101"/>
        <v>#DIV/0!</v>
      </c>
      <c r="GC25" s="1823"/>
      <c r="GD25" s="1824"/>
      <c r="GE25" s="1824"/>
      <c r="GF25" s="1818">
        <f t="shared" si="54"/>
        <v>0</v>
      </c>
      <c r="GG25" s="1821" t="e">
        <f t="shared" si="102"/>
        <v>#DIV/0!</v>
      </c>
      <c r="GH25" s="1823"/>
      <c r="GI25" s="1824"/>
      <c r="GJ25" s="1824"/>
      <c r="GK25" s="1818">
        <f t="shared" si="56"/>
        <v>0</v>
      </c>
      <c r="GL25" s="1821" t="e">
        <f t="shared" si="103"/>
        <v>#DIV/0!</v>
      </c>
      <c r="GM25" s="1839"/>
      <c r="GN25" s="1839"/>
      <c r="GO25" s="1839"/>
      <c r="GP25" s="1839"/>
      <c r="GQ25" s="1839"/>
      <c r="GR25" s="1839"/>
      <c r="GS25" s="1839"/>
      <c r="GT25" s="1839"/>
      <c r="GU25" s="1839"/>
      <c r="GV25" s="1660"/>
      <c r="GW25" s="1839"/>
      <c r="GX25" s="1839"/>
      <c r="GY25" s="1839"/>
      <c r="GZ25" s="1839"/>
      <c r="HA25" s="1660"/>
      <c r="HB25" s="1839"/>
      <c r="HC25" s="1839"/>
      <c r="HD25" s="1839"/>
      <c r="HE25" s="1839"/>
      <c r="HF25" s="1660"/>
      <c r="HG25" s="1839"/>
      <c r="HH25" s="1839"/>
      <c r="HI25" s="1839"/>
      <c r="HJ25" s="1839"/>
      <c r="HK25" s="1660"/>
      <c r="HL25" s="1839"/>
      <c r="HM25" s="1839"/>
      <c r="HN25" s="1839"/>
      <c r="HO25" s="1839"/>
      <c r="HP25" s="1660"/>
      <c r="HQ25" s="1839"/>
      <c r="HR25" s="1839"/>
      <c r="HS25" s="1839"/>
      <c r="HT25" s="1839"/>
      <c r="HU25" s="1839"/>
      <c r="HV25" s="5941">
        <f t="shared" si="8"/>
        <v>0</v>
      </c>
      <c r="HW25" s="622">
        <f t="shared" si="9"/>
        <v>0</v>
      </c>
      <c r="HX25" s="622">
        <f t="shared" si="9"/>
        <v>0</v>
      </c>
      <c r="HY25" s="622">
        <f t="shared" si="9"/>
        <v>0</v>
      </c>
      <c r="HZ25" s="5980"/>
      <c r="IA25" s="1907">
        <f t="shared" si="58"/>
        <v>0</v>
      </c>
      <c r="IB25" s="1908">
        <f t="shared" si="59"/>
        <v>0</v>
      </c>
      <c r="IC25" s="1908">
        <f t="shared" si="59"/>
        <v>0</v>
      </c>
      <c r="ID25" s="1909" t="e">
        <f t="shared" si="60"/>
        <v>#DIV/0!</v>
      </c>
      <c r="IE25" s="5981"/>
      <c r="IF25" s="5876"/>
      <c r="IG25" s="5876"/>
      <c r="IH25" s="5877"/>
      <c r="II25" s="5982"/>
      <c r="IJ25" s="5876"/>
      <c r="IK25" s="5876"/>
      <c r="IL25" s="5877"/>
      <c r="IM25" s="5875"/>
      <c r="IN25" s="5876"/>
      <c r="IO25" s="5876"/>
      <c r="IP25" s="5878"/>
      <c r="IQ25" s="1839"/>
      <c r="IR25" s="5983"/>
      <c r="IS25" s="1818"/>
      <c r="IT25" s="1818"/>
      <c r="IU25" s="1818">
        <f t="shared" si="104"/>
        <v>0</v>
      </c>
      <c r="IV25" s="1819" t="e">
        <f t="shared" si="105"/>
        <v>#DIV/0!</v>
      </c>
      <c r="IW25" s="1820"/>
      <c r="IX25" s="1818"/>
      <c r="IY25" s="1818"/>
      <c r="IZ25" s="1818">
        <f t="shared" si="106"/>
        <v>0</v>
      </c>
      <c r="JA25" s="1821" t="e">
        <f t="shared" si="107"/>
        <v>#DIV/0!</v>
      </c>
      <c r="JB25" s="1984"/>
      <c r="JC25" s="1822"/>
      <c r="JD25" s="1822"/>
      <c r="JE25" s="1818">
        <f t="shared" si="65"/>
        <v>0</v>
      </c>
      <c r="JF25" s="1821" t="e">
        <f t="shared" si="108"/>
        <v>#DIV/0!</v>
      </c>
      <c r="JG25" s="1981"/>
      <c r="JH25" s="1824"/>
      <c r="JI25" s="1824"/>
      <c r="JJ25" s="1818">
        <f t="shared" si="67"/>
        <v>0</v>
      </c>
      <c r="JK25" s="1821" t="e">
        <f t="shared" si="109"/>
        <v>#DIV/0!</v>
      </c>
      <c r="JL25" s="1823"/>
      <c r="JM25" s="1824"/>
      <c r="JN25" s="1824"/>
      <c r="JO25" s="1818">
        <f t="shared" si="69"/>
        <v>0</v>
      </c>
      <c r="JP25" s="1821" t="e">
        <f t="shared" si="110"/>
        <v>#DIV/0!</v>
      </c>
      <c r="JQ25" s="5948"/>
      <c r="JR25" s="1839"/>
      <c r="JS25" s="1839"/>
      <c r="JT25" s="1839"/>
      <c r="JU25" s="1839"/>
      <c r="JV25" s="5984"/>
      <c r="JW25" s="1839"/>
      <c r="JX25" s="1839"/>
      <c r="JY25" s="1839"/>
      <c r="JZ25" s="1660"/>
      <c r="KA25" s="1839"/>
      <c r="KB25" s="1839"/>
      <c r="KC25" s="1839"/>
      <c r="KD25" s="1839"/>
      <c r="KE25" s="1660"/>
      <c r="KF25" s="5951"/>
      <c r="KG25" s="1839"/>
      <c r="KH25" s="1839"/>
      <c r="KI25" s="1839"/>
      <c r="KJ25" s="1660"/>
      <c r="KK25" s="5951"/>
      <c r="KL25" s="1839"/>
      <c r="KM25" s="1839"/>
      <c r="KN25" s="1839"/>
      <c r="KO25" s="1660"/>
      <c r="KP25" s="1659"/>
      <c r="KQ25" s="1839"/>
      <c r="KR25" s="1839"/>
      <c r="KS25" s="1839"/>
      <c r="KT25" s="1839"/>
      <c r="KU25" s="1659"/>
      <c r="KV25" s="1839"/>
      <c r="KW25" s="1839"/>
      <c r="KX25" s="1839"/>
      <c r="KY25" s="1660"/>
      <c r="KZ25" s="5739">
        <f t="shared" si="10"/>
        <v>0</v>
      </c>
      <c r="LA25" s="5740">
        <f t="shared" si="11"/>
        <v>0</v>
      </c>
      <c r="LB25" s="5740">
        <f t="shared" si="11"/>
        <v>0</v>
      </c>
      <c r="LC25" s="5740">
        <f t="shared" si="11"/>
        <v>0</v>
      </c>
      <c r="LD25" s="1660"/>
      <c r="LE25" s="1912">
        <f t="shared" si="71"/>
        <v>0</v>
      </c>
      <c r="LF25" s="1908">
        <f t="shared" si="72"/>
        <v>0</v>
      </c>
      <c r="LG25" s="1908">
        <f t="shared" si="72"/>
        <v>0</v>
      </c>
      <c r="LH25" s="1909"/>
      <c r="LI25" s="5875"/>
      <c r="LJ25" s="5876"/>
      <c r="LK25" s="5876"/>
      <c r="LL25" s="5877"/>
      <c r="LM25" s="1907"/>
      <c r="LN25" s="5876"/>
      <c r="LO25" s="5876"/>
      <c r="LP25" s="5877"/>
      <c r="LQ25" s="5875"/>
      <c r="LR25" s="1836">
        <f t="shared" si="76"/>
        <v>0</v>
      </c>
      <c r="LS25" s="1836">
        <f t="shared" si="76"/>
        <v>0</v>
      </c>
      <c r="LT25" s="5878"/>
      <c r="LV25" s="691"/>
      <c r="LW25" s="1839"/>
      <c r="LX25" s="1839"/>
      <c r="LY25" s="1839"/>
      <c r="LZ25" s="5879"/>
      <c r="MF25" s="5880"/>
      <c r="MG25" s="4965"/>
      <c r="MH25" s="4965"/>
      <c r="MI25" s="1839"/>
      <c r="MJ25" s="1660"/>
      <c r="MK25" s="5881"/>
      <c r="MN25" s="372">
        <f t="shared" si="12"/>
        <v>0</v>
      </c>
      <c r="MP25" s="5881"/>
      <c r="MQ25" s="1839"/>
      <c r="MR25" s="1839"/>
      <c r="MS25" s="1839"/>
      <c r="MT25" s="693"/>
      <c r="MU25" s="2035"/>
      <c r="MV25" s="1914"/>
      <c r="MW25" s="1914"/>
      <c r="MX25" s="1914"/>
      <c r="MY25" s="5882"/>
      <c r="MZ25" s="1659"/>
      <c r="NA25" s="1839"/>
      <c r="NB25" s="1839"/>
      <c r="NC25" s="1839"/>
      <c r="ND25" s="1839"/>
      <c r="NO25" s="5883"/>
      <c r="NP25" s="2425"/>
      <c r="NQ25" s="2425"/>
      <c r="NR25" s="5883"/>
      <c r="NT25" s="1839"/>
      <c r="NU25" s="1839"/>
      <c r="NV25" s="715"/>
      <c r="NW25" s="1839"/>
      <c r="NX25" s="1660"/>
      <c r="NY25" s="5884"/>
      <c r="NZ25" s="1914"/>
      <c r="OA25" s="1914"/>
      <c r="OB25" s="5882"/>
      <c r="OC25" s="1660"/>
      <c r="OE25" s="5885"/>
      <c r="OF25" s="5885"/>
      <c r="OG25" s="715"/>
      <c r="OH25" s="1660"/>
      <c r="OI25" s="1659"/>
      <c r="OJ25" s="1839"/>
      <c r="OK25" s="1839"/>
      <c r="OL25" s="1839"/>
      <c r="OM25" s="693"/>
      <c r="ON25" s="1659"/>
      <c r="OO25" s="715"/>
      <c r="OP25" s="715"/>
      <c r="OQ25" s="715"/>
      <c r="OR25" s="705"/>
      <c r="OS25" s="1659"/>
      <c r="OT25" s="1839"/>
      <c r="OU25" s="1839"/>
      <c r="OV25" s="1839"/>
      <c r="OW25" s="705"/>
      <c r="OX25" s="1659"/>
      <c r="OY25" s="1839"/>
      <c r="OZ25" s="1839"/>
      <c r="PA25" s="1839"/>
      <c r="PB25" s="1660"/>
      <c r="PD25" s="691"/>
      <c r="PE25" s="1839"/>
      <c r="PF25" s="1839"/>
      <c r="PG25" s="1839"/>
      <c r="PH25" s="5879"/>
      <c r="PN25" s="5880"/>
      <c r="PO25" s="4965"/>
      <c r="PP25" s="4965"/>
      <c r="PQ25" s="1839"/>
      <c r="PR25" s="1660"/>
      <c r="PS25" s="5886"/>
      <c r="PT25" s="5883"/>
      <c r="PU25" s="5883"/>
      <c r="PV25" s="2892">
        <f t="shared" si="13"/>
        <v>0</v>
      </c>
      <c r="PW25" s="5883"/>
      <c r="PX25" s="5881"/>
      <c r="PY25" s="1839"/>
      <c r="PZ25" s="1839"/>
      <c r="QA25" s="1839"/>
      <c r="QB25" s="693"/>
      <c r="QC25" s="2035"/>
      <c r="QD25" s="1914"/>
      <c r="QE25" s="1914"/>
      <c r="QF25" s="1914"/>
      <c r="QG25" s="5882"/>
      <c r="QH25" s="1910"/>
      <c r="QI25" s="1839"/>
      <c r="QJ25" s="1839"/>
      <c r="QK25" s="1839"/>
      <c r="QL25" s="1839"/>
      <c r="QM25" s="5880"/>
      <c r="QR25" s="5883"/>
      <c r="QS25" s="5883"/>
      <c r="QT25" s="5883"/>
      <c r="QU25" s="5883"/>
      <c r="QV25" s="1677"/>
      <c r="QW25" s="5883"/>
      <c r="QX25" s="2425"/>
      <c r="QY25" s="2425"/>
      <c r="QZ25" s="5883"/>
      <c r="RA25" s="5883"/>
      <c r="RB25" s="1839"/>
      <c r="RC25" s="1839"/>
      <c r="RD25" s="715"/>
      <c r="RE25" s="1839"/>
      <c r="RF25" s="1660"/>
      <c r="RG25" s="2037"/>
      <c r="RH25" s="1914"/>
      <c r="RI25" s="1914"/>
      <c r="RJ25" s="5882"/>
      <c r="RK25" s="1660"/>
      <c r="RL25" s="5883"/>
      <c r="RM25" s="1873">
        <f t="shared" si="77"/>
        <v>0</v>
      </c>
      <c r="RN25" s="1873">
        <f t="shared" si="77"/>
        <v>0</v>
      </c>
      <c r="RO25" s="1873">
        <f t="shared" si="77"/>
        <v>0</v>
      </c>
      <c r="RP25" s="5883"/>
      <c r="RQ25" s="1659"/>
      <c r="RR25" s="1839"/>
      <c r="RS25" s="1839"/>
      <c r="RT25" s="1839"/>
      <c r="RU25" s="693"/>
      <c r="RV25" s="1659"/>
      <c r="RW25" s="715"/>
      <c r="RX25" s="715"/>
      <c r="RY25" s="715"/>
      <c r="RZ25" s="705"/>
      <c r="SA25" s="1659"/>
      <c r="SB25" s="1839"/>
      <c r="SC25" s="1839"/>
      <c r="SD25" s="1839"/>
      <c r="SE25" s="705"/>
      <c r="SF25" s="1659"/>
      <c r="SG25" s="1839"/>
      <c r="SH25" s="1839"/>
      <c r="SI25" s="1839"/>
      <c r="SJ25" s="1660"/>
      <c r="SL25" s="5887"/>
      <c r="SM25" s="5882"/>
      <c r="SN25" s="5882"/>
      <c r="SO25" s="5882"/>
      <c r="SP25" s="5888"/>
      <c r="SQ25" s="5883"/>
      <c r="SR25" s="5883"/>
      <c r="SS25" s="5883"/>
      <c r="ST25" s="5883"/>
      <c r="SU25" s="5883"/>
      <c r="SV25" s="5880"/>
      <c r="SW25" s="4965"/>
      <c r="SX25" s="4965"/>
      <c r="SY25" s="1839"/>
      <c r="SZ25" s="1660"/>
      <c r="TA25" s="5881"/>
      <c r="TD25" s="372">
        <f t="shared" si="14"/>
        <v>0</v>
      </c>
      <c r="TF25" s="5881"/>
      <c r="TG25" s="1839"/>
      <c r="TH25" s="1839"/>
      <c r="TI25" s="1839"/>
      <c r="TJ25" s="693"/>
      <c r="TK25" s="2035"/>
      <c r="TL25" s="1914"/>
      <c r="TM25" s="1914"/>
      <c r="TN25" s="1914"/>
      <c r="TO25" s="5882"/>
      <c r="TP25" s="2407"/>
      <c r="TQ25" s="1839"/>
      <c r="TR25" s="1839"/>
      <c r="TS25" s="1839"/>
      <c r="TT25" s="1839"/>
      <c r="TU25" s="5889"/>
      <c r="TV25" s="5883"/>
      <c r="TW25" s="5883"/>
      <c r="TX25" s="5883"/>
      <c r="TY25" s="5883"/>
      <c r="TZ25" s="5883"/>
      <c r="UA25" s="5883"/>
      <c r="UB25" s="5883"/>
      <c r="UC25" s="5883"/>
      <c r="UD25" s="1677"/>
      <c r="UE25" s="5883"/>
      <c r="UF25" s="2425"/>
      <c r="UG25" s="2425"/>
      <c r="UH25" s="5883"/>
      <c r="UI25" s="5883"/>
      <c r="UJ25" s="1839"/>
      <c r="UK25" s="1839"/>
      <c r="UL25" s="715"/>
      <c r="UM25" s="1839"/>
      <c r="UN25" s="1660"/>
      <c r="UO25" s="2037"/>
      <c r="UP25" s="1914"/>
      <c r="UQ25" s="1914"/>
      <c r="UR25" s="5882"/>
      <c r="US25" s="1660"/>
      <c r="UU25" s="622">
        <f t="shared" si="78"/>
        <v>0</v>
      </c>
      <c r="UV25" s="622">
        <f t="shared" si="78"/>
        <v>0</v>
      </c>
      <c r="UW25" s="622">
        <f t="shared" si="78"/>
        <v>0</v>
      </c>
      <c r="UY25" s="1659"/>
      <c r="UZ25" s="1839"/>
      <c r="VA25" s="1839"/>
      <c r="VB25" s="1839"/>
      <c r="VC25" s="693"/>
      <c r="VD25" s="1659"/>
      <c r="VE25" s="715"/>
      <c r="VF25" s="715"/>
      <c r="VG25" s="715"/>
      <c r="VH25" s="705"/>
      <c r="VI25" s="1659"/>
      <c r="VJ25" s="1839"/>
      <c r="VK25" s="1839"/>
      <c r="VL25" s="1839"/>
      <c r="VM25" s="705"/>
      <c r="VN25" s="1659"/>
      <c r="VO25" s="1839"/>
      <c r="VP25" s="1839"/>
      <c r="VQ25" s="1839"/>
      <c r="VR25" s="1660"/>
    </row>
    <row r="26" spans="1:590" s="122" customFormat="1" hidden="1" x14ac:dyDescent="0.3">
      <c r="A26" s="2906"/>
      <c r="B26" s="1804" t="s">
        <v>53</v>
      </c>
      <c r="C26" s="5988" t="s">
        <v>765</v>
      </c>
      <c r="D26" s="6002" t="s">
        <v>766</v>
      </c>
      <c r="E26" s="5985">
        <v>43543</v>
      </c>
      <c r="F26" s="5985">
        <v>43634</v>
      </c>
      <c r="G26" s="5974">
        <v>157300</v>
      </c>
      <c r="H26" s="1775"/>
      <c r="I26" s="1776"/>
      <c r="J26" s="1776"/>
      <c r="K26" s="1776">
        <f t="shared" ref="K26:K31" si="111">J26-I26</f>
        <v>0</v>
      </c>
      <c r="L26" s="1777"/>
      <c r="M26" s="1778"/>
      <c r="N26" s="1779"/>
      <c r="O26" s="1779"/>
      <c r="P26" s="1779">
        <f t="shared" ref="P26:P31" si="112">O26-N26</f>
        <v>0</v>
      </c>
      <c r="Q26" s="1780"/>
      <c r="R26" s="1780"/>
      <c r="S26" s="1776"/>
      <c r="T26" s="1776"/>
      <c r="U26" s="1776">
        <f t="shared" ref="U26:U31" si="113">T26-S26</f>
        <v>0</v>
      </c>
      <c r="V26" s="1777"/>
      <c r="W26" s="1776"/>
      <c r="X26" s="1776"/>
      <c r="Y26" s="1781"/>
      <c r="Z26" s="1776">
        <f t="shared" ref="Z26:Z31" si="114">Y26-X26</f>
        <v>0</v>
      </c>
      <c r="AA26" s="1782"/>
      <c r="AB26" s="1781"/>
      <c r="AC26" s="1783"/>
      <c r="AD26" s="1784"/>
      <c r="AE26" s="1776"/>
      <c r="AF26" s="1777"/>
      <c r="AG26" s="1785"/>
      <c r="AH26" s="1776"/>
      <c r="AI26" s="1776"/>
      <c r="AJ26" s="1786"/>
      <c r="AK26" s="1777"/>
      <c r="AL26" s="1785">
        <v>1</v>
      </c>
      <c r="AM26" s="1776">
        <v>8667</v>
      </c>
      <c r="AN26" s="1776">
        <v>18665</v>
      </c>
      <c r="AO26" s="1781">
        <f>AN26-AM26</f>
        <v>9998</v>
      </c>
      <c r="AP26" s="1777"/>
      <c r="AQ26" s="1787">
        <v>1</v>
      </c>
      <c r="AR26" s="1788">
        <v>20000</v>
      </c>
      <c r="AS26" s="1788">
        <v>48245.4</v>
      </c>
      <c r="AT26" s="1789">
        <f>AS26-AR26</f>
        <v>28245.4</v>
      </c>
      <c r="AU26" s="1777">
        <f>AT26/AS26</f>
        <v>0.58545270637200642</v>
      </c>
      <c r="AV26" s="1790">
        <v>2</v>
      </c>
      <c r="AW26" s="1776">
        <v>71966</v>
      </c>
      <c r="AX26" s="1776">
        <v>66900</v>
      </c>
      <c r="AY26" s="1781">
        <f>AX26-AW26</f>
        <v>-5066</v>
      </c>
      <c r="AZ26" s="1777">
        <f>AY26/AX26</f>
        <v>-7.5724962630792231E-2</v>
      </c>
      <c r="BA26" s="1791">
        <v>3</v>
      </c>
      <c r="BB26" s="1776">
        <v>60450</v>
      </c>
      <c r="BC26" s="1776">
        <v>66900</v>
      </c>
      <c r="BD26" s="1781">
        <f t="shared" ref="BD26:BD31" si="115">BC26-BB26</f>
        <v>6450</v>
      </c>
      <c r="BE26" s="1780">
        <f t="shared" ref="BE26:BE31" si="116">BD26/BC26</f>
        <v>9.641255605381166E-2</v>
      </c>
      <c r="BF26" s="1790">
        <v>4</v>
      </c>
      <c r="BG26" s="1781">
        <v>54000</v>
      </c>
      <c r="BH26" s="1776">
        <v>57333.3</v>
      </c>
      <c r="BI26" s="1781">
        <f t="shared" ref="BI26:BI31" si="117">BH26-BG26</f>
        <v>3333.3000000000029</v>
      </c>
      <c r="BJ26" s="1780">
        <f>BI26/BH26</f>
        <v>5.813898729010894E-2</v>
      </c>
      <c r="BK26" s="1790">
        <v>4</v>
      </c>
      <c r="BL26" s="1783">
        <f>62000+6775</f>
        <v>68775</v>
      </c>
      <c r="BM26" s="1783">
        <f>40140+36885</f>
        <v>77025</v>
      </c>
      <c r="BN26" s="1781">
        <f t="shared" ref="BN26:BN31" si="118">BM26-BL26</f>
        <v>8250</v>
      </c>
      <c r="BO26" s="5978">
        <f>BN26/BM26</f>
        <v>0.10710808179162609</v>
      </c>
      <c r="BP26" s="1937">
        <f t="shared" si="21"/>
        <v>1.25</v>
      </c>
      <c r="BQ26" s="1796">
        <f t="shared" si="22"/>
        <v>283858</v>
      </c>
      <c r="BR26" s="1786">
        <f t="shared" si="22"/>
        <v>335068.7</v>
      </c>
      <c r="BS26" s="1797">
        <f t="shared" si="7"/>
        <v>51210.700000000012</v>
      </c>
      <c r="BT26" s="1798">
        <f t="shared" ref="BT26:BT31" si="119">H26+M26+R26</f>
        <v>0</v>
      </c>
      <c r="BU26" s="1786">
        <f t="shared" ref="BU26:BV31" si="120">J26+O26+T26</f>
        <v>0</v>
      </c>
      <c r="BV26" s="1786">
        <f t="shared" si="120"/>
        <v>0</v>
      </c>
      <c r="BW26" s="1799"/>
      <c r="BX26" s="1800">
        <f t="shared" ref="BX26:BX31" si="121">W26+AB26+AG26</f>
        <v>0</v>
      </c>
      <c r="BY26" s="1786">
        <f t="shared" ref="BY26:BZ31" si="122">Y26+AD26+AI26</f>
        <v>0</v>
      </c>
      <c r="BZ26" s="1786">
        <f t="shared" si="122"/>
        <v>0</v>
      </c>
      <c r="CA26" s="1801"/>
      <c r="CB26" s="1802">
        <f t="shared" ref="CB26:CB31" si="123">AL26+AQ26+AV26</f>
        <v>4</v>
      </c>
      <c r="CC26" s="1786">
        <f t="shared" ref="CC26:CD31" si="124">AN26+AS26+AX26</f>
        <v>133810.4</v>
      </c>
      <c r="CD26" s="1786">
        <f t="shared" si="124"/>
        <v>33177.4</v>
      </c>
      <c r="CE26" s="1803"/>
      <c r="CF26" s="1800">
        <f t="shared" ref="CF26:CF31" si="125">BA26+BF26+BK26</f>
        <v>11</v>
      </c>
      <c r="CG26" s="1776">
        <f t="shared" ref="CG26:CH31" si="126">BC26+BH26+BM26</f>
        <v>201258.3</v>
      </c>
      <c r="CH26" s="1776">
        <f t="shared" si="126"/>
        <v>18033.300000000003</v>
      </c>
      <c r="CI26" s="1801"/>
      <c r="CJ26" s="1808">
        <v>4</v>
      </c>
      <c r="CK26" s="1783">
        <v>92000</v>
      </c>
      <c r="CL26" s="1783">
        <v>111855</v>
      </c>
      <c r="CM26" s="1776">
        <f t="shared" ref="CM26:CM31" si="127">CL26-CK26</f>
        <v>19855</v>
      </c>
      <c r="CN26" s="1799">
        <f>CM26/CL26</f>
        <v>0.17750659335747174</v>
      </c>
      <c r="CO26" s="1804">
        <v>4</v>
      </c>
      <c r="CP26" s="1776">
        <v>92000</v>
      </c>
      <c r="CQ26" s="1776">
        <v>111855</v>
      </c>
      <c r="CR26" s="1776">
        <f t="shared" si="85"/>
        <v>19855</v>
      </c>
      <c r="CS26" s="1799">
        <f>CR26/CQ26</f>
        <v>0.17750659335747174</v>
      </c>
      <c r="CT26" s="1804">
        <v>4</v>
      </c>
      <c r="CU26" s="1776">
        <v>106616</v>
      </c>
      <c r="CV26" s="1776">
        <v>108307</v>
      </c>
      <c r="CW26" s="1776">
        <f t="shared" si="86"/>
        <v>1691</v>
      </c>
      <c r="CX26" s="1799">
        <f>CW26/CV26</f>
        <v>1.56130259355351E-2</v>
      </c>
      <c r="CY26" s="1804"/>
      <c r="CZ26" s="1776"/>
      <c r="DA26" s="1776"/>
      <c r="DB26" s="1776">
        <f t="shared" si="87"/>
        <v>0</v>
      </c>
      <c r="DC26" s="1799" t="s">
        <v>732</v>
      </c>
      <c r="DD26" s="1805"/>
      <c r="DE26" s="1806"/>
      <c r="DF26" s="1806"/>
      <c r="DG26" s="1783">
        <f t="shared" si="30"/>
        <v>0</v>
      </c>
      <c r="DH26" s="1807" t="s">
        <v>732</v>
      </c>
      <c r="DI26" s="1804"/>
      <c r="DJ26" s="1806"/>
      <c r="DK26" s="1806"/>
      <c r="DL26" s="1776">
        <f t="shared" si="88"/>
        <v>0</v>
      </c>
      <c r="DM26" s="1807" t="s">
        <v>732</v>
      </c>
      <c r="DN26" s="1804"/>
      <c r="DO26" s="1776"/>
      <c r="DP26" s="1776"/>
      <c r="DQ26" s="1776">
        <f t="shared" si="93"/>
        <v>0</v>
      </c>
      <c r="DR26" s="1807" t="s">
        <v>732</v>
      </c>
      <c r="DS26" s="1804"/>
      <c r="DT26" s="1776"/>
      <c r="DU26" s="1776"/>
      <c r="DV26" s="1776">
        <f t="shared" si="94"/>
        <v>0</v>
      </c>
      <c r="DW26" s="1799"/>
      <c r="DX26" s="1804"/>
      <c r="DY26" s="1776"/>
      <c r="DZ26" s="1776"/>
      <c r="EA26" s="1776">
        <f t="shared" si="31"/>
        <v>0</v>
      </c>
      <c r="EB26" s="1807" t="s">
        <v>732</v>
      </c>
      <c r="EC26" s="1804"/>
      <c r="ED26" s="1776">
        <v>0</v>
      </c>
      <c r="EE26" s="1776">
        <v>0</v>
      </c>
      <c r="EF26" s="1786">
        <f t="shared" si="33"/>
        <v>0</v>
      </c>
      <c r="EG26" s="6003">
        <v>0</v>
      </c>
      <c r="EH26" s="1804"/>
      <c r="EI26" s="1776">
        <v>0</v>
      </c>
      <c r="EJ26" s="1776">
        <v>0</v>
      </c>
      <c r="EK26" s="1776">
        <f t="shared" si="34"/>
        <v>0</v>
      </c>
      <c r="EL26" s="1807" t="s">
        <v>732</v>
      </c>
      <c r="EM26" s="1804"/>
      <c r="EN26" s="1776"/>
      <c r="EO26" s="1776"/>
      <c r="EP26" s="1776">
        <f t="shared" si="36"/>
        <v>0</v>
      </c>
      <c r="EQ26" s="1807" t="s">
        <v>732</v>
      </c>
      <c r="ER26" s="2402">
        <f t="shared" si="38"/>
        <v>1</v>
      </c>
      <c r="ES26" s="2403">
        <f t="shared" si="39"/>
        <v>290616</v>
      </c>
      <c r="ET26" s="2403">
        <f t="shared" si="39"/>
        <v>332017</v>
      </c>
      <c r="EU26" s="2403">
        <f t="shared" si="39"/>
        <v>41401</v>
      </c>
      <c r="EV26" s="2404">
        <f t="shared" si="40"/>
        <v>0.12469542222235608</v>
      </c>
      <c r="EW26" s="1814">
        <f t="shared" si="89"/>
        <v>4</v>
      </c>
      <c r="EX26" s="1776">
        <f t="shared" si="90"/>
        <v>332017</v>
      </c>
      <c r="EY26" s="1776">
        <f t="shared" si="90"/>
        <v>41401</v>
      </c>
      <c r="EZ26" s="1815">
        <f t="shared" si="41"/>
        <v>0.12469542222235608</v>
      </c>
      <c r="FA26" s="1939">
        <f t="shared" si="95"/>
        <v>0</v>
      </c>
      <c r="FB26" s="1786">
        <f t="shared" si="42"/>
        <v>0</v>
      </c>
      <c r="FC26" s="1786">
        <f t="shared" si="42"/>
        <v>0</v>
      </c>
      <c r="FD26" s="1799"/>
      <c r="FE26" s="1814">
        <f t="shared" si="96"/>
        <v>0</v>
      </c>
      <c r="FF26" s="1786">
        <f t="shared" si="97"/>
        <v>0</v>
      </c>
      <c r="FG26" s="1786">
        <f t="shared" si="97"/>
        <v>0</v>
      </c>
      <c r="FH26" s="1815">
        <v>0</v>
      </c>
      <c r="FI26" s="1816">
        <f t="shared" ref="FI26:FI31" si="128">(EC26+EH26+EM26)/3</f>
        <v>0</v>
      </c>
      <c r="FJ26" s="1814"/>
      <c r="FK26" s="1786">
        <f t="shared" si="46"/>
        <v>0</v>
      </c>
      <c r="FL26" s="1786">
        <f t="shared" si="46"/>
        <v>0</v>
      </c>
      <c r="FM26" s="1799">
        <v>0</v>
      </c>
      <c r="FN26" s="1817"/>
      <c r="FO26" s="1818"/>
      <c r="FP26" s="1818"/>
      <c r="FQ26" s="1818">
        <f t="shared" si="98"/>
        <v>0</v>
      </c>
      <c r="FR26" s="1819" t="e">
        <f t="shared" si="49"/>
        <v>#DIV/0!</v>
      </c>
      <c r="FS26" s="1820"/>
      <c r="FT26" s="1818"/>
      <c r="FU26" s="1818"/>
      <c r="FV26" s="1818">
        <f t="shared" si="99"/>
        <v>0</v>
      </c>
      <c r="FW26" s="1821" t="e">
        <f t="shared" si="100"/>
        <v>#DIV/0!</v>
      </c>
      <c r="FX26" s="1820"/>
      <c r="FY26" s="1822"/>
      <c r="FZ26" s="1822"/>
      <c r="GA26" s="1818">
        <f t="shared" si="52"/>
        <v>0</v>
      </c>
      <c r="GB26" s="1821" t="e">
        <f t="shared" si="101"/>
        <v>#DIV/0!</v>
      </c>
      <c r="GC26" s="1823"/>
      <c r="GD26" s="1824"/>
      <c r="GE26" s="1824"/>
      <c r="GF26" s="1818">
        <f t="shared" si="54"/>
        <v>0</v>
      </c>
      <c r="GG26" s="1821" t="e">
        <f t="shared" si="102"/>
        <v>#DIV/0!</v>
      </c>
      <c r="GH26" s="1823"/>
      <c r="GI26" s="1824"/>
      <c r="GJ26" s="1824"/>
      <c r="GK26" s="1818">
        <f t="shared" si="56"/>
        <v>0</v>
      </c>
      <c r="GL26" s="1821" t="e">
        <f t="shared" si="103"/>
        <v>#DIV/0!</v>
      </c>
      <c r="GM26" s="1839"/>
      <c r="GN26" s="1839"/>
      <c r="GO26" s="1839"/>
      <c r="GP26" s="1839"/>
      <c r="GQ26" s="1839"/>
      <c r="GR26" s="1839"/>
      <c r="GS26" s="1839"/>
      <c r="GT26" s="1839"/>
      <c r="GU26" s="1839"/>
      <c r="GV26" s="1660"/>
      <c r="GW26" s="1839"/>
      <c r="GX26" s="1839"/>
      <c r="GY26" s="1839"/>
      <c r="GZ26" s="1839"/>
      <c r="HA26" s="1660"/>
      <c r="HB26" s="1839"/>
      <c r="HC26" s="1839"/>
      <c r="HD26" s="1839"/>
      <c r="HE26" s="1839"/>
      <c r="HF26" s="1660"/>
      <c r="HG26" s="1839"/>
      <c r="HH26" s="1839"/>
      <c r="HI26" s="1839"/>
      <c r="HJ26" s="1839"/>
      <c r="HK26" s="1660"/>
      <c r="HL26" s="1839"/>
      <c r="HM26" s="1839"/>
      <c r="HN26" s="1839"/>
      <c r="HO26" s="1839"/>
      <c r="HP26" s="1660"/>
      <c r="HQ26" s="1839"/>
      <c r="HR26" s="1839"/>
      <c r="HS26" s="1839"/>
      <c r="HT26" s="1839"/>
      <c r="HU26" s="1839"/>
      <c r="HV26" s="5941">
        <f t="shared" si="8"/>
        <v>0</v>
      </c>
      <c r="HW26" s="622">
        <f t="shared" si="9"/>
        <v>0</v>
      </c>
      <c r="HX26" s="622">
        <f t="shared" si="9"/>
        <v>0</v>
      </c>
      <c r="HY26" s="622">
        <f t="shared" si="9"/>
        <v>0</v>
      </c>
      <c r="HZ26" s="5980"/>
      <c r="IA26" s="1907">
        <f t="shared" si="58"/>
        <v>0</v>
      </c>
      <c r="IB26" s="1908">
        <f t="shared" si="59"/>
        <v>0</v>
      </c>
      <c r="IC26" s="1908">
        <f t="shared" si="59"/>
        <v>0</v>
      </c>
      <c r="ID26" s="1909" t="e">
        <f t="shared" si="60"/>
        <v>#DIV/0!</v>
      </c>
      <c r="IE26" s="5981"/>
      <c r="IF26" s="5876"/>
      <c r="IG26" s="5876"/>
      <c r="IH26" s="5877"/>
      <c r="II26" s="5982"/>
      <c r="IJ26" s="5876"/>
      <c r="IK26" s="5876"/>
      <c r="IL26" s="5877"/>
      <c r="IM26" s="5875"/>
      <c r="IN26" s="5876"/>
      <c r="IO26" s="5876"/>
      <c r="IP26" s="5878"/>
      <c r="IQ26" s="1839"/>
      <c r="IR26" s="5983"/>
      <c r="IS26" s="1818"/>
      <c r="IT26" s="1818"/>
      <c r="IU26" s="1818">
        <f t="shared" si="104"/>
        <v>0</v>
      </c>
      <c r="IV26" s="1819" t="e">
        <f t="shared" si="105"/>
        <v>#DIV/0!</v>
      </c>
      <c r="IW26" s="1820"/>
      <c r="IX26" s="1818"/>
      <c r="IY26" s="1818"/>
      <c r="IZ26" s="1818">
        <f t="shared" si="106"/>
        <v>0</v>
      </c>
      <c r="JA26" s="1821" t="e">
        <f t="shared" si="107"/>
        <v>#DIV/0!</v>
      </c>
      <c r="JB26" s="1984"/>
      <c r="JC26" s="1822"/>
      <c r="JD26" s="1822"/>
      <c r="JE26" s="1818">
        <f t="shared" si="65"/>
        <v>0</v>
      </c>
      <c r="JF26" s="1821" t="e">
        <f t="shared" si="108"/>
        <v>#DIV/0!</v>
      </c>
      <c r="JG26" s="1981"/>
      <c r="JH26" s="1824"/>
      <c r="JI26" s="1824"/>
      <c r="JJ26" s="1818">
        <f t="shared" si="67"/>
        <v>0</v>
      </c>
      <c r="JK26" s="1821" t="e">
        <f t="shared" si="109"/>
        <v>#DIV/0!</v>
      </c>
      <c r="JL26" s="1823"/>
      <c r="JM26" s="1824"/>
      <c r="JN26" s="1824"/>
      <c r="JO26" s="1818">
        <f t="shared" si="69"/>
        <v>0</v>
      </c>
      <c r="JP26" s="1821" t="e">
        <f t="shared" si="110"/>
        <v>#DIV/0!</v>
      </c>
      <c r="JQ26" s="5948"/>
      <c r="JR26" s="1839"/>
      <c r="JS26" s="1839"/>
      <c r="JT26" s="1839"/>
      <c r="JU26" s="1839"/>
      <c r="JV26" s="5984"/>
      <c r="JW26" s="1839"/>
      <c r="JX26" s="1839"/>
      <c r="JY26" s="1839"/>
      <c r="JZ26" s="1660"/>
      <c r="KA26" s="1839"/>
      <c r="KB26" s="1839"/>
      <c r="KC26" s="1839"/>
      <c r="KD26" s="1839"/>
      <c r="KE26" s="1660"/>
      <c r="KF26" s="5951"/>
      <c r="KG26" s="1839"/>
      <c r="KH26" s="1839"/>
      <c r="KI26" s="1839"/>
      <c r="KJ26" s="1660"/>
      <c r="KK26" s="5951"/>
      <c r="KL26" s="1839"/>
      <c r="KM26" s="1839"/>
      <c r="KN26" s="1839"/>
      <c r="KO26" s="1660"/>
      <c r="KP26" s="1659"/>
      <c r="KQ26" s="1839"/>
      <c r="KR26" s="1839"/>
      <c r="KS26" s="1839"/>
      <c r="KT26" s="1839"/>
      <c r="KU26" s="1659"/>
      <c r="KV26" s="1839"/>
      <c r="KW26" s="1839"/>
      <c r="KX26" s="1839"/>
      <c r="KY26" s="1660"/>
      <c r="KZ26" s="5739">
        <f t="shared" si="10"/>
        <v>0</v>
      </c>
      <c r="LA26" s="5740">
        <f t="shared" si="11"/>
        <v>0</v>
      </c>
      <c r="LB26" s="5740">
        <f t="shared" si="11"/>
        <v>0</v>
      </c>
      <c r="LC26" s="5740">
        <f t="shared" si="11"/>
        <v>0</v>
      </c>
      <c r="LD26" s="1660"/>
      <c r="LE26" s="1912">
        <f t="shared" si="71"/>
        <v>0</v>
      </c>
      <c r="LF26" s="1908">
        <f t="shared" si="72"/>
        <v>0</v>
      </c>
      <c r="LG26" s="1908">
        <f t="shared" si="72"/>
        <v>0</v>
      </c>
      <c r="LH26" s="1909"/>
      <c r="LI26" s="5875"/>
      <c r="LJ26" s="5876"/>
      <c r="LK26" s="5876"/>
      <c r="LL26" s="5877"/>
      <c r="LM26" s="1907"/>
      <c r="LN26" s="5876"/>
      <c r="LO26" s="5876"/>
      <c r="LP26" s="5877"/>
      <c r="LQ26" s="5875"/>
      <c r="LR26" s="1836">
        <f t="shared" si="76"/>
        <v>0</v>
      </c>
      <c r="LS26" s="1836">
        <f t="shared" si="76"/>
        <v>0</v>
      </c>
      <c r="LT26" s="5878"/>
      <c r="LV26" s="691"/>
      <c r="LW26" s="1839"/>
      <c r="LX26" s="1839"/>
      <c r="LY26" s="1839"/>
      <c r="LZ26" s="5879"/>
      <c r="MF26" s="5880"/>
      <c r="MG26" s="4965"/>
      <c r="MH26" s="4965"/>
      <c r="MI26" s="1839"/>
      <c r="MJ26" s="1660"/>
      <c r="MK26" s="5881"/>
      <c r="MN26" s="372">
        <f t="shared" si="12"/>
        <v>0</v>
      </c>
      <c r="MP26" s="5881"/>
      <c r="MQ26" s="1839"/>
      <c r="MR26" s="1839"/>
      <c r="MS26" s="1839"/>
      <c r="MT26" s="693"/>
      <c r="MU26" s="2035"/>
      <c r="MV26" s="1914"/>
      <c r="MW26" s="1914"/>
      <c r="MX26" s="1914"/>
      <c r="MY26" s="5882"/>
      <c r="MZ26" s="1659"/>
      <c r="NA26" s="1839"/>
      <c r="NB26" s="1839"/>
      <c r="NC26" s="1839"/>
      <c r="ND26" s="1839"/>
      <c r="NO26" s="5883"/>
      <c r="NP26" s="2425"/>
      <c r="NQ26" s="2425"/>
      <c r="NR26" s="5883"/>
      <c r="NT26" s="1839"/>
      <c r="NU26" s="1839"/>
      <c r="NV26" s="715"/>
      <c r="NW26" s="1839"/>
      <c r="NX26" s="1660"/>
      <c r="NY26" s="5884"/>
      <c r="NZ26" s="1914"/>
      <c r="OA26" s="1914"/>
      <c r="OB26" s="5882"/>
      <c r="OC26" s="1660"/>
      <c r="OE26" s="5885"/>
      <c r="OF26" s="5885"/>
      <c r="OG26" s="715"/>
      <c r="OH26" s="1660"/>
      <c r="OI26" s="1659"/>
      <c r="OJ26" s="1839"/>
      <c r="OK26" s="1839"/>
      <c r="OL26" s="1839"/>
      <c r="OM26" s="693"/>
      <c r="ON26" s="1659"/>
      <c r="OO26" s="715"/>
      <c r="OP26" s="715"/>
      <c r="OQ26" s="715"/>
      <c r="OR26" s="705"/>
      <c r="OS26" s="1659"/>
      <c r="OT26" s="1839"/>
      <c r="OU26" s="1839"/>
      <c r="OV26" s="1839"/>
      <c r="OW26" s="705"/>
      <c r="OX26" s="1659"/>
      <c r="OY26" s="1839"/>
      <c r="OZ26" s="1839"/>
      <c r="PA26" s="1839"/>
      <c r="PB26" s="1660"/>
      <c r="PD26" s="691"/>
      <c r="PE26" s="1839"/>
      <c r="PF26" s="1839"/>
      <c r="PG26" s="1839"/>
      <c r="PH26" s="5879"/>
      <c r="PN26" s="5880"/>
      <c r="PO26" s="4965"/>
      <c r="PP26" s="4965"/>
      <c r="PQ26" s="1839"/>
      <c r="PR26" s="1660"/>
      <c r="PS26" s="5886"/>
      <c r="PT26" s="5883"/>
      <c r="PU26" s="5883"/>
      <c r="PV26" s="2892">
        <f t="shared" si="13"/>
        <v>0</v>
      </c>
      <c r="PW26" s="5883"/>
      <c r="PX26" s="5881"/>
      <c r="PY26" s="1839"/>
      <c r="PZ26" s="1839"/>
      <c r="QA26" s="1839"/>
      <c r="QB26" s="693"/>
      <c r="QC26" s="2035"/>
      <c r="QD26" s="1914"/>
      <c r="QE26" s="1914"/>
      <c r="QF26" s="1914"/>
      <c r="QG26" s="5882"/>
      <c r="QH26" s="1910"/>
      <c r="QI26" s="1839"/>
      <c r="QJ26" s="1839"/>
      <c r="QK26" s="1839"/>
      <c r="QL26" s="1839"/>
      <c r="QM26" s="5880"/>
      <c r="QR26" s="5883"/>
      <c r="QS26" s="5883"/>
      <c r="QT26" s="5883"/>
      <c r="QU26" s="5883"/>
      <c r="QV26" s="1677"/>
      <c r="QW26" s="5883"/>
      <c r="QX26" s="2425"/>
      <c r="QY26" s="2425"/>
      <c r="QZ26" s="5883"/>
      <c r="RA26" s="5883"/>
      <c r="RB26" s="1839"/>
      <c r="RC26" s="1839"/>
      <c r="RD26" s="715"/>
      <c r="RE26" s="1839"/>
      <c r="RF26" s="1660"/>
      <c r="RG26" s="2037"/>
      <c r="RH26" s="1914"/>
      <c r="RI26" s="1914"/>
      <c r="RJ26" s="5882"/>
      <c r="RK26" s="1660"/>
      <c r="RL26" s="5883"/>
      <c r="RM26" s="1873">
        <f t="shared" si="77"/>
        <v>0</v>
      </c>
      <c r="RN26" s="1873">
        <f t="shared" si="77"/>
        <v>0</v>
      </c>
      <c r="RO26" s="1873">
        <f t="shared" si="77"/>
        <v>0</v>
      </c>
      <c r="RP26" s="5883"/>
      <c r="RQ26" s="1659"/>
      <c r="RR26" s="1839"/>
      <c r="RS26" s="1839"/>
      <c r="RT26" s="1839"/>
      <c r="RU26" s="693"/>
      <c r="RV26" s="1659"/>
      <c r="RW26" s="715"/>
      <c r="RX26" s="715"/>
      <c r="RY26" s="715"/>
      <c r="RZ26" s="705"/>
      <c r="SA26" s="1659"/>
      <c r="SB26" s="1839"/>
      <c r="SC26" s="1839"/>
      <c r="SD26" s="1839"/>
      <c r="SE26" s="705"/>
      <c r="SF26" s="1659"/>
      <c r="SG26" s="1839"/>
      <c r="SH26" s="1839"/>
      <c r="SI26" s="1839"/>
      <c r="SJ26" s="1660"/>
      <c r="SL26" s="5887"/>
      <c r="SM26" s="5882"/>
      <c r="SN26" s="5882"/>
      <c r="SO26" s="5882"/>
      <c r="SP26" s="5888"/>
      <c r="SQ26" s="5883"/>
      <c r="SR26" s="5883"/>
      <c r="SS26" s="5883"/>
      <c r="ST26" s="5883"/>
      <c r="SU26" s="5883"/>
      <c r="SV26" s="5880"/>
      <c r="SW26" s="4965"/>
      <c r="SX26" s="4965"/>
      <c r="SY26" s="1839"/>
      <c r="SZ26" s="1660"/>
      <c r="TA26" s="5881"/>
      <c r="TD26" s="372">
        <f t="shared" si="14"/>
        <v>0</v>
      </c>
      <c r="TF26" s="5881"/>
      <c r="TG26" s="1839"/>
      <c r="TH26" s="1839"/>
      <c r="TI26" s="1839"/>
      <c r="TJ26" s="693"/>
      <c r="TK26" s="2035"/>
      <c r="TL26" s="1914"/>
      <c r="TM26" s="1914"/>
      <c r="TN26" s="1914"/>
      <c r="TO26" s="5882"/>
      <c r="TP26" s="2407"/>
      <c r="TQ26" s="1839"/>
      <c r="TR26" s="1839"/>
      <c r="TS26" s="1839"/>
      <c r="TT26" s="1839"/>
      <c r="TU26" s="5889"/>
      <c r="TV26" s="5883"/>
      <c r="TW26" s="5883"/>
      <c r="TX26" s="5883"/>
      <c r="TY26" s="5883"/>
      <c r="TZ26" s="5883"/>
      <c r="UA26" s="5883"/>
      <c r="UB26" s="5883"/>
      <c r="UC26" s="5883"/>
      <c r="UD26" s="1677"/>
      <c r="UE26" s="5883"/>
      <c r="UF26" s="2425"/>
      <c r="UG26" s="2425"/>
      <c r="UH26" s="5883"/>
      <c r="UI26" s="5883"/>
      <c r="UJ26" s="1839"/>
      <c r="UK26" s="1839"/>
      <c r="UL26" s="715"/>
      <c r="UM26" s="1839"/>
      <c r="UN26" s="1660"/>
      <c r="UO26" s="2037"/>
      <c r="UP26" s="1914"/>
      <c r="UQ26" s="1914"/>
      <c r="UR26" s="5882"/>
      <c r="US26" s="1660"/>
      <c r="UU26" s="622">
        <f t="shared" si="78"/>
        <v>0</v>
      </c>
      <c r="UV26" s="622">
        <f t="shared" si="78"/>
        <v>0</v>
      </c>
      <c r="UW26" s="622">
        <f t="shared" si="78"/>
        <v>0</v>
      </c>
      <c r="UY26" s="1659"/>
      <c r="UZ26" s="1839"/>
      <c r="VA26" s="1839"/>
      <c r="VB26" s="1839"/>
      <c r="VC26" s="693"/>
      <c r="VD26" s="1659"/>
      <c r="VE26" s="715"/>
      <c r="VF26" s="715"/>
      <c r="VG26" s="715"/>
      <c r="VH26" s="705"/>
      <c r="VI26" s="1659"/>
      <c r="VJ26" s="1839"/>
      <c r="VK26" s="1839"/>
      <c r="VL26" s="1839"/>
      <c r="VM26" s="705"/>
      <c r="VN26" s="1659"/>
      <c r="VO26" s="1839"/>
      <c r="VP26" s="1839"/>
      <c r="VQ26" s="1839"/>
      <c r="VR26" s="1660"/>
    </row>
    <row r="27" spans="1:590" s="122" customFormat="1" hidden="1" x14ac:dyDescent="0.3">
      <c r="A27" s="2906"/>
      <c r="B27" s="1804" t="s">
        <v>53</v>
      </c>
      <c r="C27" s="6004" t="s">
        <v>767</v>
      </c>
      <c r="D27" s="1785" t="s">
        <v>768</v>
      </c>
      <c r="E27" s="5985">
        <v>43430</v>
      </c>
      <c r="F27" s="5985">
        <v>43496</v>
      </c>
      <c r="G27" s="5974">
        <v>64000</v>
      </c>
      <c r="H27" s="1775"/>
      <c r="I27" s="1776"/>
      <c r="J27" s="1776"/>
      <c r="K27" s="1776">
        <f t="shared" si="111"/>
        <v>0</v>
      </c>
      <c r="L27" s="1777"/>
      <c r="M27" s="1778"/>
      <c r="N27" s="1779"/>
      <c r="O27" s="1779"/>
      <c r="P27" s="1779">
        <f t="shared" si="112"/>
        <v>0</v>
      </c>
      <c r="Q27" s="1780"/>
      <c r="R27" s="1780"/>
      <c r="S27" s="1776"/>
      <c r="T27" s="1776"/>
      <c r="U27" s="1776">
        <f t="shared" si="113"/>
        <v>0</v>
      </c>
      <c r="V27" s="1777"/>
      <c r="W27" s="1776"/>
      <c r="X27" s="1776"/>
      <c r="Y27" s="1781"/>
      <c r="Z27" s="1776">
        <f t="shared" si="114"/>
        <v>0</v>
      </c>
      <c r="AA27" s="1782"/>
      <c r="AB27" s="1781"/>
      <c r="AC27" s="1783"/>
      <c r="AD27" s="1784"/>
      <c r="AE27" s="1776"/>
      <c r="AF27" s="1777"/>
      <c r="AG27" s="1785"/>
      <c r="AH27" s="1776"/>
      <c r="AI27" s="1776"/>
      <c r="AJ27" s="1786"/>
      <c r="AK27" s="1777"/>
      <c r="AL27" s="1785"/>
      <c r="AM27" s="1776"/>
      <c r="AN27" s="1776"/>
      <c r="AO27" s="1781">
        <f>AN27-AM27</f>
        <v>0</v>
      </c>
      <c r="AP27" s="1777"/>
      <c r="AQ27" s="1787">
        <v>1</v>
      </c>
      <c r="AR27" s="1788">
        <v>6740</v>
      </c>
      <c r="AS27" s="1788">
        <v>10880</v>
      </c>
      <c r="AT27" s="1789">
        <f>AS27-AR27</f>
        <v>4140</v>
      </c>
      <c r="AU27" s="1777">
        <f>AT27/AS27</f>
        <v>0.38051470588235292</v>
      </c>
      <c r="AV27" s="1790">
        <v>1</v>
      </c>
      <c r="AW27" s="1781">
        <v>50001</v>
      </c>
      <c r="AX27" s="1781">
        <v>64000</v>
      </c>
      <c r="AY27" s="1781">
        <f>AX27-AW27</f>
        <v>13999</v>
      </c>
      <c r="AZ27" s="1777">
        <f>AY27/AX27</f>
        <v>0.21873437500000001</v>
      </c>
      <c r="BA27" s="1791">
        <v>1</v>
      </c>
      <c r="BB27" s="1781">
        <v>50000</v>
      </c>
      <c r="BC27" s="1781">
        <v>63360</v>
      </c>
      <c r="BD27" s="1781">
        <f t="shared" si="115"/>
        <v>13360</v>
      </c>
      <c r="BE27" s="1780">
        <f t="shared" si="116"/>
        <v>0.21085858585858586</v>
      </c>
      <c r="BF27" s="1782">
        <v>0</v>
      </c>
      <c r="BG27" s="1781">
        <v>0</v>
      </c>
      <c r="BH27" s="1776">
        <v>0</v>
      </c>
      <c r="BI27" s="1781">
        <f t="shared" si="117"/>
        <v>0</v>
      </c>
      <c r="BJ27" s="1793">
        <v>0</v>
      </c>
      <c r="BK27" s="1782"/>
      <c r="BL27" s="1781"/>
      <c r="BM27" s="1776"/>
      <c r="BN27" s="1781">
        <f t="shared" si="118"/>
        <v>0</v>
      </c>
      <c r="BO27" s="1794">
        <v>0</v>
      </c>
      <c r="BP27" s="1937">
        <f t="shared" si="21"/>
        <v>0.25</v>
      </c>
      <c r="BQ27" s="1796">
        <f t="shared" si="22"/>
        <v>106741</v>
      </c>
      <c r="BR27" s="1786">
        <f t="shared" si="22"/>
        <v>138240</v>
      </c>
      <c r="BS27" s="1797">
        <f t="shared" si="7"/>
        <v>31499</v>
      </c>
      <c r="BT27" s="1798">
        <f t="shared" si="119"/>
        <v>0</v>
      </c>
      <c r="BU27" s="1786">
        <f t="shared" si="120"/>
        <v>0</v>
      </c>
      <c r="BV27" s="1786">
        <f t="shared" si="120"/>
        <v>0</v>
      </c>
      <c r="BW27" s="1799"/>
      <c r="BX27" s="1800">
        <f t="shared" si="121"/>
        <v>0</v>
      </c>
      <c r="BY27" s="1786">
        <f t="shared" si="122"/>
        <v>0</v>
      </c>
      <c r="BZ27" s="1786">
        <f t="shared" si="122"/>
        <v>0</v>
      </c>
      <c r="CA27" s="1801"/>
      <c r="CB27" s="1802">
        <f t="shared" si="123"/>
        <v>2</v>
      </c>
      <c r="CC27" s="1786">
        <f t="shared" si="124"/>
        <v>74880</v>
      </c>
      <c r="CD27" s="1786">
        <f t="shared" si="124"/>
        <v>18139</v>
      </c>
      <c r="CE27" s="1803"/>
      <c r="CF27" s="1800">
        <f t="shared" si="125"/>
        <v>1</v>
      </c>
      <c r="CG27" s="1776">
        <f t="shared" si="126"/>
        <v>63360</v>
      </c>
      <c r="CH27" s="1776">
        <f t="shared" si="126"/>
        <v>13360</v>
      </c>
      <c r="CI27" s="1801"/>
      <c r="CJ27" s="1804"/>
      <c r="CK27" s="1776"/>
      <c r="CL27" s="1776"/>
      <c r="CM27" s="1776">
        <f t="shared" si="127"/>
        <v>0</v>
      </c>
      <c r="CN27" s="1799"/>
      <c r="CO27" s="1804"/>
      <c r="CP27" s="1776">
        <v>0</v>
      </c>
      <c r="CQ27" s="1776">
        <v>0</v>
      </c>
      <c r="CR27" s="1776">
        <f t="shared" si="85"/>
        <v>0</v>
      </c>
      <c r="CS27" s="1799">
        <v>0</v>
      </c>
      <c r="CT27" s="1804"/>
      <c r="CU27" s="1776"/>
      <c r="CV27" s="1776">
        <v>0</v>
      </c>
      <c r="CW27" s="1776">
        <f t="shared" si="86"/>
        <v>0</v>
      </c>
      <c r="CX27" s="1799"/>
      <c r="CY27" s="1804"/>
      <c r="CZ27" s="1776"/>
      <c r="DA27" s="1776"/>
      <c r="DB27" s="1776">
        <f t="shared" si="87"/>
        <v>0</v>
      </c>
      <c r="DC27" s="1799" t="s">
        <v>732</v>
      </c>
      <c r="DD27" s="1805"/>
      <c r="DE27" s="1806"/>
      <c r="DF27" s="1806"/>
      <c r="DG27" s="1783">
        <f t="shared" si="30"/>
        <v>0</v>
      </c>
      <c r="DH27" s="1807" t="s">
        <v>732</v>
      </c>
      <c r="DI27" s="1804"/>
      <c r="DJ27" s="1806"/>
      <c r="DK27" s="1806"/>
      <c r="DL27" s="1776">
        <f t="shared" si="88"/>
        <v>0</v>
      </c>
      <c r="DM27" s="1807">
        <v>0</v>
      </c>
      <c r="DN27" s="1804"/>
      <c r="DO27" s="1776"/>
      <c r="DP27" s="1776"/>
      <c r="DQ27" s="1776">
        <f t="shared" si="93"/>
        <v>0</v>
      </c>
      <c r="DR27" s="1807">
        <v>0</v>
      </c>
      <c r="DS27" s="1804"/>
      <c r="DT27" s="1776"/>
      <c r="DU27" s="1776"/>
      <c r="DV27" s="1776">
        <f t="shared" si="94"/>
        <v>0</v>
      </c>
      <c r="DW27" s="1799" t="e">
        <f>DV27/DU27</f>
        <v>#DIV/0!</v>
      </c>
      <c r="DX27" s="1804"/>
      <c r="DY27" s="1776"/>
      <c r="DZ27" s="1776"/>
      <c r="EA27" s="1776">
        <f t="shared" si="31"/>
        <v>0</v>
      </c>
      <c r="EB27" s="1807" t="e">
        <f>EA27/DZ27</f>
        <v>#DIV/0!</v>
      </c>
      <c r="EC27" s="1804"/>
      <c r="ED27" s="1776"/>
      <c r="EE27" s="1776"/>
      <c r="EF27" s="1786">
        <f t="shared" si="33"/>
        <v>0</v>
      </c>
      <c r="EG27" s="1807" t="e">
        <f>EF27/EE27</f>
        <v>#DIV/0!</v>
      </c>
      <c r="EH27" s="1804"/>
      <c r="EI27" s="1776"/>
      <c r="EJ27" s="1776"/>
      <c r="EK27" s="1776">
        <f t="shared" si="34"/>
        <v>0</v>
      </c>
      <c r="EL27" s="1807" t="e">
        <f>EK27/EJ27</f>
        <v>#DIV/0!</v>
      </c>
      <c r="EM27" s="1804"/>
      <c r="EN27" s="1776"/>
      <c r="EO27" s="1776"/>
      <c r="EP27" s="1776">
        <f t="shared" si="36"/>
        <v>0</v>
      </c>
      <c r="EQ27" s="1807" t="e">
        <f>EP27/EO27</f>
        <v>#DIV/0!</v>
      </c>
      <c r="ER27" s="2402">
        <f t="shared" si="38"/>
        <v>0</v>
      </c>
      <c r="ES27" s="2403">
        <f t="shared" si="39"/>
        <v>0</v>
      </c>
      <c r="ET27" s="2403">
        <f t="shared" si="39"/>
        <v>0</v>
      </c>
      <c r="EU27" s="2403">
        <f t="shared" si="39"/>
        <v>0</v>
      </c>
      <c r="EV27" s="2404" t="e">
        <f t="shared" si="40"/>
        <v>#DIV/0!</v>
      </c>
      <c r="EW27" s="1814">
        <f t="shared" si="89"/>
        <v>0</v>
      </c>
      <c r="EX27" s="1776">
        <f t="shared" si="90"/>
        <v>0</v>
      </c>
      <c r="EY27" s="1776">
        <f t="shared" si="90"/>
        <v>0</v>
      </c>
      <c r="EZ27" s="1815"/>
      <c r="FA27" s="1939">
        <f t="shared" si="95"/>
        <v>0</v>
      </c>
      <c r="FB27" s="1786">
        <f t="shared" si="42"/>
        <v>0</v>
      </c>
      <c r="FC27" s="1786">
        <f t="shared" si="42"/>
        <v>0</v>
      </c>
      <c r="FD27" s="1799" t="e">
        <f>FC27/FB27</f>
        <v>#DIV/0!</v>
      </c>
      <c r="FE27" s="1814">
        <f t="shared" si="96"/>
        <v>0</v>
      </c>
      <c r="FF27" s="1786">
        <f t="shared" si="97"/>
        <v>0</v>
      </c>
      <c r="FG27" s="1786">
        <f t="shared" si="97"/>
        <v>0</v>
      </c>
      <c r="FH27" s="1815" t="e">
        <f>FG27/FF27</f>
        <v>#DIV/0!</v>
      </c>
      <c r="FI27" s="1816">
        <f t="shared" si="128"/>
        <v>0</v>
      </c>
      <c r="FJ27" s="1814"/>
      <c r="FK27" s="1786">
        <f t="shared" si="46"/>
        <v>0</v>
      </c>
      <c r="FL27" s="1786">
        <f t="shared" si="46"/>
        <v>0</v>
      </c>
      <c r="FM27" s="1799" t="e">
        <f>FL27/FK27</f>
        <v>#DIV/0!</v>
      </c>
      <c r="FN27" s="1817"/>
      <c r="FO27" s="1818"/>
      <c r="FP27" s="1818"/>
      <c r="FQ27" s="1818">
        <f t="shared" si="98"/>
        <v>0</v>
      </c>
      <c r="FR27" s="1819" t="e">
        <f t="shared" si="49"/>
        <v>#DIV/0!</v>
      </c>
      <c r="FS27" s="1820"/>
      <c r="FT27" s="1818"/>
      <c r="FU27" s="1818"/>
      <c r="FV27" s="1818">
        <f t="shared" si="99"/>
        <v>0</v>
      </c>
      <c r="FW27" s="1821" t="e">
        <f t="shared" si="100"/>
        <v>#DIV/0!</v>
      </c>
      <c r="FX27" s="1820"/>
      <c r="FY27" s="1822"/>
      <c r="FZ27" s="1822"/>
      <c r="GA27" s="1818">
        <f t="shared" si="52"/>
        <v>0</v>
      </c>
      <c r="GB27" s="1821" t="e">
        <f t="shared" si="101"/>
        <v>#DIV/0!</v>
      </c>
      <c r="GC27" s="1823"/>
      <c r="GD27" s="1824"/>
      <c r="GE27" s="1824"/>
      <c r="GF27" s="1818">
        <f t="shared" si="54"/>
        <v>0</v>
      </c>
      <c r="GG27" s="1821" t="e">
        <f t="shared" si="102"/>
        <v>#DIV/0!</v>
      </c>
      <c r="GH27" s="1823"/>
      <c r="GI27" s="1824"/>
      <c r="GJ27" s="1824"/>
      <c r="GK27" s="1818">
        <f t="shared" si="56"/>
        <v>0</v>
      </c>
      <c r="GL27" s="1821" t="e">
        <f t="shared" si="103"/>
        <v>#DIV/0!</v>
      </c>
      <c r="GM27" s="1839"/>
      <c r="GN27" s="1839"/>
      <c r="GO27" s="1839"/>
      <c r="GP27" s="1839"/>
      <c r="GQ27" s="1839"/>
      <c r="GR27" s="1839"/>
      <c r="GS27" s="1839"/>
      <c r="GT27" s="1839"/>
      <c r="GU27" s="1839"/>
      <c r="GV27" s="1660"/>
      <c r="GW27" s="1839"/>
      <c r="GX27" s="1839"/>
      <c r="GY27" s="1839"/>
      <c r="GZ27" s="1839"/>
      <c r="HA27" s="1660"/>
      <c r="HB27" s="1839"/>
      <c r="HC27" s="1839"/>
      <c r="HD27" s="1839"/>
      <c r="HE27" s="1839"/>
      <c r="HF27" s="1660"/>
      <c r="HG27" s="1839"/>
      <c r="HH27" s="1839"/>
      <c r="HI27" s="1839"/>
      <c r="HJ27" s="1839"/>
      <c r="HK27" s="1660"/>
      <c r="HL27" s="1839"/>
      <c r="HM27" s="1839"/>
      <c r="HN27" s="1839"/>
      <c r="HO27" s="1839"/>
      <c r="HP27" s="1660"/>
      <c r="HQ27" s="1839"/>
      <c r="HR27" s="1839"/>
      <c r="HS27" s="1839"/>
      <c r="HT27" s="1839"/>
      <c r="HU27" s="1839"/>
      <c r="HV27" s="5941">
        <f t="shared" si="8"/>
        <v>0</v>
      </c>
      <c r="HW27" s="622">
        <f t="shared" si="9"/>
        <v>0</v>
      </c>
      <c r="HX27" s="622">
        <f t="shared" si="9"/>
        <v>0</v>
      </c>
      <c r="HY27" s="622">
        <f t="shared" si="9"/>
        <v>0</v>
      </c>
      <c r="HZ27" s="5980"/>
      <c r="IA27" s="1907">
        <f t="shared" si="58"/>
        <v>0</v>
      </c>
      <c r="IB27" s="1908">
        <f t="shared" si="59"/>
        <v>0</v>
      </c>
      <c r="IC27" s="1908">
        <f t="shared" si="59"/>
        <v>0</v>
      </c>
      <c r="ID27" s="1909" t="e">
        <f t="shared" si="60"/>
        <v>#DIV/0!</v>
      </c>
      <c r="IE27" s="5981"/>
      <c r="IF27" s="5876"/>
      <c r="IG27" s="5876"/>
      <c r="IH27" s="5877"/>
      <c r="II27" s="5982"/>
      <c r="IJ27" s="5876"/>
      <c r="IK27" s="5876"/>
      <c r="IL27" s="5877"/>
      <c r="IM27" s="5875"/>
      <c r="IN27" s="5876"/>
      <c r="IO27" s="5876"/>
      <c r="IP27" s="5878"/>
      <c r="IQ27" s="1839"/>
      <c r="IR27" s="5983"/>
      <c r="IS27" s="1818"/>
      <c r="IT27" s="1818"/>
      <c r="IU27" s="1818">
        <f t="shared" si="104"/>
        <v>0</v>
      </c>
      <c r="IV27" s="1819" t="e">
        <f t="shared" si="105"/>
        <v>#DIV/0!</v>
      </c>
      <c r="IW27" s="1820"/>
      <c r="IX27" s="1818"/>
      <c r="IY27" s="1818"/>
      <c r="IZ27" s="1818">
        <f t="shared" si="106"/>
        <v>0</v>
      </c>
      <c r="JA27" s="1821" t="e">
        <f t="shared" si="107"/>
        <v>#DIV/0!</v>
      </c>
      <c r="JB27" s="1984"/>
      <c r="JC27" s="1822"/>
      <c r="JD27" s="1822"/>
      <c r="JE27" s="1818">
        <f t="shared" si="65"/>
        <v>0</v>
      </c>
      <c r="JF27" s="1821" t="e">
        <f t="shared" si="108"/>
        <v>#DIV/0!</v>
      </c>
      <c r="JG27" s="1981"/>
      <c r="JH27" s="1824"/>
      <c r="JI27" s="1824"/>
      <c r="JJ27" s="1818">
        <f t="shared" si="67"/>
        <v>0</v>
      </c>
      <c r="JK27" s="1821" t="e">
        <f t="shared" si="109"/>
        <v>#DIV/0!</v>
      </c>
      <c r="JL27" s="1823"/>
      <c r="JM27" s="1824"/>
      <c r="JN27" s="1824"/>
      <c r="JO27" s="1818">
        <f t="shared" si="69"/>
        <v>0</v>
      </c>
      <c r="JP27" s="1821" t="e">
        <f t="shared" si="110"/>
        <v>#DIV/0!</v>
      </c>
      <c r="JQ27" s="5948"/>
      <c r="JR27" s="1839"/>
      <c r="JS27" s="1839"/>
      <c r="JT27" s="1839"/>
      <c r="JU27" s="1839"/>
      <c r="JV27" s="5984"/>
      <c r="JW27" s="1839"/>
      <c r="JX27" s="1839"/>
      <c r="JY27" s="1839"/>
      <c r="JZ27" s="1660"/>
      <c r="KA27" s="1839"/>
      <c r="KB27" s="1839"/>
      <c r="KC27" s="1839"/>
      <c r="KD27" s="1839"/>
      <c r="KE27" s="1660"/>
      <c r="KF27" s="5951"/>
      <c r="KG27" s="1839"/>
      <c r="KH27" s="1839"/>
      <c r="KI27" s="1839"/>
      <c r="KJ27" s="1660"/>
      <c r="KK27" s="5951"/>
      <c r="KL27" s="1839"/>
      <c r="KM27" s="1839"/>
      <c r="KN27" s="1839"/>
      <c r="KO27" s="1660"/>
      <c r="KP27" s="1659"/>
      <c r="KQ27" s="1839"/>
      <c r="KR27" s="1839"/>
      <c r="KS27" s="1839"/>
      <c r="KT27" s="1839"/>
      <c r="KU27" s="1659"/>
      <c r="KV27" s="1839"/>
      <c r="KW27" s="1839"/>
      <c r="KX27" s="1839"/>
      <c r="KY27" s="1660"/>
      <c r="KZ27" s="5739">
        <f t="shared" si="10"/>
        <v>0</v>
      </c>
      <c r="LA27" s="5740">
        <f t="shared" si="11"/>
        <v>0</v>
      </c>
      <c r="LB27" s="5740">
        <f t="shared" si="11"/>
        <v>0</v>
      </c>
      <c r="LC27" s="5740">
        <f t="shared" si="11"/>
        <v>0</v>
      </c>
      <c r="LD27" s="1660"/>
      <c r="LE27" s="1912">
        <f t="shared" si="71"/>
        <v>0</v>
      </c>
      <c r="LF27" s="1908">
        <f t="shared" si="72"/>
        <v>0</v>
      </c>
      <c r="LG27" s="1908">
        <f t="shared" si="72"/>
        <v>0</v>
      </c>
      <c r="LH27" s="1909"/>
      <c r="LI27" s="5875"/>
      <c r="LJ27" s="5876"/>
      <c r="LK27" s="5876"/>
      <c r="LL27" s="5877"/>
      <c r="LM27" s="1907"/>
      <c r="LN27" s="5876"/>
      <c r="LO27" s="5876"/>
      <c r="LP27" s="5877"/>
      <c r="LQ27" s="5875"/>
      <c r="LR27" s="1836">
        <f t="shared" si="76"/>
        <v>0</v>
      </c>
      <c r="LS27" s="1836">
        <f t="shared" si="76"/>
        <v>0</v>
      </c>
      <c r="LT27" s="5878"/>
      <c r="LV27" s="691"/>
      <c r="LW27" s="1839"/>
      <c r="LX27" s="1839"/>
      <c r="LY27" s="1839"/>
      <c r="LZ27" s="5879"/>
      <c r="MF27" s="5880"/>
      <c r="MG27" s="4965"/>
      <c r="MH27" s="4965"/>
      <c r="MI27" s="1839"/>
      <c r="MJ27" s="1660"/>
      <c r="MK27" s="5881"/>
      <c r="MN27" s="372">
        <f t="shared" si="12"/>
        <v>0</v>
      </c>
      <c r="MP27" s="5881"/>
      <c r="MQ27" s="1839"/>
      <c r="MR27" s="1839"/>
      <c r="MS27" s="1839"/>
      <c r="MT27" s="693"/>
      <c r="MU27" s="2035"/>
      <c r="MV27" s="1914"/>
      <c r="MW27" s="1914"/>
      <c r="MX27" s="1914"/>
      <c r="MY27" s="5882"/>
      <c r="MZ27" s="1659"/>
      <c r="NA27" s="1839"/>
      <c r="NB27" s="1839"/>
      <c r="NC27" s="1839"/>
      <c r="ND27" s="1839"/>
      <c r="NO27" s="5883"/>
      <c r="NP27" s="2425"/>
      <c r="NQ27" s="2425"/>
      <c r="NR27" s="5883"/>
      <c r="NT27" s="1839"/>
      <c r="NU27" s="1839"/>
      <c r="NV27" s="715"/>
      <c r="NW27" s="1839"/>
      <c r="NX27" s="1660"/>
      <c r="NY27" s="5884"/>
      <c r="NZ27" s="1914"/>
      <c r="OA27" s="1914"/>
      <c r="OB27" s="5882"/>
      <c r="OC27" s="1660"/>
      <c r="OE27" s="5885"/>
      <c r="OF27" s="5885"/>
      <c r="OG27" s="715"/>
      <c r="OH27" s="1660"/>
      <c r="OI27" s="1659"/>
      <c r="OJ27" s="1839"/>
      <c r="OK27" s="1839"/>
      <c r="OL27" s="1839"/>
      <c r="OM27" s="693"/>
      <c r="ON27" s="1659"/>
      <c r="OO27" s="715"/>
      <c r="OP27" s="715"/>
      <c r="OQ27" s="715"/>
      <c r="OR27" s="705"/>
      <c r="OS27" s="1659"/>
      <c r="OT27" s="1839"/>
      <c r="OU27" s="1839"/>
      <c r="OV27" s="1839"/>
      <c r="OW27" s="705"/>
      <c r="OX27" s="1659"/>
      <c r="OY27" s="1839"/>
      <c r="OZ27" s="1839"/>
      <c r="PA27" s="1839"/>
      <c r="PB27" s="1660"/>
      <c r="PD27" s="691"/>
      <c r="PE27" s="1839"/>
      <c r="PF27" s="1839"/>
      <c r="PG27" s="1839"/>
      <c r="PH27" s="5879"/>
      <c r="PN27" s="5880"/>
      <c r="PO27" s="4965"/>
      <c r="PP27" s="4965"/>
      <c r="PQ27" s="1839"/>
      <c r="PR27" s="1660"/>
      <c r="PS27" s="5886"/>
      <c r="PT27" s="5883"/>
      <c r="PU27" s="5883"/>
      <c r="PV27" s="2892">
        <f t="shared" si="13"/>
        <v>0</v>
      </c>
      <c r="PW27" s="5883"/>
      <c r="PX27" s="5881"/>
      <c r="PY27" s="1839"/>
      <c r="PZ27" s="1839"/>
      <c r="QA27" s="1839"/>
      <c r="QB27" s="693"/>
      <c r="QC27" s="2035"/>
      <c r="QD27" s="1914"/>
      <c r="QE27" s="1914"/>
      <c r="QF27" s="1914"/>
      <c r="QG27" s="5882"/>
      <c r="QH27" s="1910"/>
      <c r="QI27" s="1839"/>
      <c r="QJ27" s="1839"/>
      <c r="QK27" s="1839"/>
      <c r="QL27" s="1839"/>
      <c r="QM27" s="5880"/>
      <c r="QR27" s="5883"/>
      <c r="QS27" s="5883"/>
      <c r="QT27" s="5883"/>
      <c r="QU27" s="5883"/>
      <c r="QV27" s="1677"/>
      <c r="QW27" s="5883"/>
      <c r="QX27" s="2425"/>
      <c r="QY27" s="2425"/>
      <c r="QZ27" s="5883"/>
      <c r="RA27" s="5883"/>
      <c r="RB27" s="1839"/>
      <c r="RC27" s="1839"/>
      <c r="RD27" s="715"/>
      <c r="RE27" s="1839"/>
      <c r="RF27" s="1660"/>
      <c r="RG27" s="2037"/>
      <c r="RH27" s="1914"/>
      <c r="RI27" s="1914"/>
      <c r="RJ27" s="5882"/>
      <c r="RK27" s="1660"/>
      <c r="RL27" s="5883"/>
      <c r="RM27" s="1873">
        <f t="shared" si="77"/>
        <v>0</v>
      </c>
      <c r="RN27" s="1873">
        <f t="shared" si="77"/>
        <v>0</v>
      </c>
      <c r="RO27" s="1873">
        <f t="shared" si="77"/>
        <v>0</v>
      </c>
      <c r="RP27" s="5883"/>
      <c r="RQ27" s="1659"/>
      <c r="RR27" s="1839"/>
      <c r="RS27" s="1839"/>
      <c r="RT27" s="1839"/>
      <c r="RU27" s="693"/>
      <c r="RV27" s="1659"/>
      <c r="RW27" s="715"/>
      <c r="RX27" s="715"/>
      <c r="RY27" s="715"/>
      <c r="RZ27" s="705"/>
      <c r="SA27" s="1659"/>
      <c r="SB27" s="1839"/>
      <c r="SC27" s="1839"/>
      <c r="SD27" s="1839"/>
      <c r="SE27" s="705"/>
      <c r="SF27" s="1659"/>
      <c r="SG27" s="1839"/>
      <c r="SH27" s="1839"/>
      <c r="SI27" s="1839"/>
      <c r="SJ27" s="1660"/>
      <c r="SL27" s="5887"/>
      <c r="SM27" s="5882"/>
      <c r="SN27" s="5882"/>
      <c r="SO27" s="5882"/>
      <c r="SP27" s="5888"/>
      <c r="SQ27" s="5883"/>
      <c r="SR27" s="5883"/>
      <c r="SS27" s="5883"/>
      <c r="ST27" s="5883"/>
      <c r="SU27" s="5883"/>
      <c r="SV27" s="5880"/>
      <c r="SW27" s="4965"/>
      <c r="SX27" s="4965"/>
      <c r="SY27" s="1839"/>
      <c r="SZ27" s="1660"/>
      <c r="TA27" s="5881"/>
      <c r="TD27" s="372">
        <f t="shared" si="14"/>
        <v>0</v>
      </c>
      <c r="TF27" s="5881"/>
      <c r="TG27" s="1839"/>
      <c r="TH27" s="1839"/>
      <c r="TI27" s="1839"/>
      <c r="TJ27" s="693"/>
      <c r="TK27" s="2035"/>
      <c r="TL27" s="1914"/>
      <c r="TM27" s="1914"/>
      <c r="TN27" s="1914"/>
      <c r="TO27" s="5882"/>
      <c r="TP27" s="2407"/>
      <c r="TQ27" s="1839"/>
      <c r="TR27" s="1839"/>
      <c r="TS27" s="1839"/>
      <c r="TT27" s="1839"/>
      <c r="TU27" s="5889"/>
      <c r="TV27" s="5883"/>
      <c r="TW27" s="5883"/>
      <c r="TX27" s="5883"/>
      <c r="TY27" s="5883"/>
      <c r="TZ27" s="5883"/>
      <c r="UA27" s="5883"/>
      <c r="UB27" s="5883"/>
      <c r="UC27" s="5883"/>
      <c r="UD27" s="1677"/>
      <c r="UE27" s="5883"/>
      <c r="UF27" s="2425"/>
      <c r="UG27" s="2425"/>
      <c r="UH27" s="5883"/>
      <c r="UI27" s="5883"/>
      <c r="UJ27" s="1839"/>
      <c r="UK27" s="1839"/>
      <c r="UL27" s="715"/>
      <c r="UM27" s="1839"/>
      <c r="UN27" s="1660"/>
      <c r="UO27" s="2037"/>
      <c r="UP27" s="1914"/>
      <c r="UQ27" s="1914"/>
      <c r="UR27" s="5882"/>
      <c r="US27" s="1660"/>
      <c r="UU27" s="622">
        <f t="shared" si="78"/>
        <v>0</v>
      </c>
      <c r="UV27" s="622">
        <f t="shared" si="78"/>
        <v>0</v>
      </c>
      <c r="UW27" s="622">
        <f t="shared" si="78"/>
        <v>0</v>
      </c>
      <c r="UY27" s="1659"/>
      <c r="UZ27" s="1839"/>
      <c r="VA27" s="1839"/>
      <c r="VB27" s="1839"/>
      <c r="VC27" s="693"/>
      <c r="VD27" s="1659"/>
      <c r="VE27" s="715"/>
      <c r="VF27" s="715"/>
      <c r="VG27" s="715"/>
      <c r="VH27" s="705"/>
      <c r="VI27" s="1659"/>
      <c r="VJ27" s="1839"/>
      <c r="VK27" s="1839"/>
      <c r="VL27" s="1839"/>
      <c r="VM27" s="705"/>
      <c r="VN27" s="1659"/>
      <c r="VO27" s="1839"/>
      <c r="VP27" s="1839"/>
      <c r="VQ27" s="1839"/>
      <c r="VR27" s="1660"/>
    </row>
    <row r="28" spans="1:590" s="122" customFormat="1" hidden="1" x14ac:dyDescent="0.3">
      <c r="A28" s="2906"/>
      <c r="B28" s="1804" t="s">
        <v>53</v>
      </c>
      <c r="C28" s="5988" t="s">
        <v>769</v>
      </c>
      <c r="D28" s="5977" t="s">
        <v>770</v>
      </c>
      <c r="E28" s="5985">
        <v>43454</v>
      </c>
      <c r="F28" s="5985">
        <v>43818</v>
      </c>
      <c r="G28" s="5974">
        <v>312960</v>
      </c>
      <c r="H28" s="1775"/>
      <c r="I28" s="1776"/>
      <c r="J28" s="1776"/>
      <c r="K28" s="1776">
        <f t="shared" si="111"/>
        <v>0</v>
      </c>
      <c r="L28" s="1777"/>
      <c r="M28" s="1778"/>
      <c r="N28" s="1779"/>
      <c r="O28" s="1779"/>
      <c r="P28" s="1779">
        <f t="shared" si="112"/>
        <v>0</v>
      </c>
      <c r="Q28" s="1780"/>
      <c r="R28" s="1780"/>
      <c r="S28" s="1776"/>
      <c r="T28" s="1776"/>
      <c r="U28" s="1776">
        <f t="shared" si="113"/>
        <v>0</v>
      </c>
      <c r="V28" s="1777"/>
      <c r="W28" s="1776"/>
      <c r="X28" s="1776"/>
      <c r="Y28" s="1781"/>
      <c r="Z28" s="1776">
        <f t="shared" si="114"/>
        <v>0</v>
      </c>
      <c r="AA28" s="1782"/>
      <c r="AB28" s="1781"/>
      <c r="AC28" s="1783"/>
      <c r="AD28" s="1784"/>
      <c r="AE28" s="1776"/>
      <c r="AF28" s="1777"/>
      <c r="AG28" s="1785"/>
      <c r="AH28" s="1776"/>
      <c r="AI28" s="1776"/>
      <c r="AJ28" s="1786"/>
      <c r="AK28" s="1777"/>
      <c r="AL28" s="1785"/>
      <c r="AM28" s="1776"/>
      <c r="AN28" s="1776"/>
      <c r="AO28" s="1781"/>
      <c r="AP28" s="1777"/>
      <c r="AQ28" s="1787"/>
      <c r="AR28" s="1788"/>
      <c r="AS28" s="1788"/>
      <c r="AT28" s="1789"/>
      <c r="AU28" s="1777"/>
      <c r="AV28" s="1790"/>
      <c r="AW28" s="1781"/>
      <c r="AX28" s="1781"/>
      <c r="AY28" s="1781"/>
      <c r="AZ28" s="1777"/>
      <c r="BA28" s="1791">
        <v>7</v>
      </c>
      <c r="BB28" s="1781">
        <v>88626</v>
      </c>
      <c r="BC28" s="1783">
        <v>312960</v>
      </c>
      <c r="BD28" s="1781">
        <f t="shared" si="115"/>
        <v>224334</v>
      </c>
      <c r="BE28" s="1780">
        <f t="shared" si="116"/>
        <v>0.71681365030674848</v>
      </c>
      <c r="BF28" s="1790">
        <v>8</v>
      </c>
      <c r="BG28" s="1781">
        <v>157490</v>
      </c>
      <c r="BH28" s="1776">
        <v>312960</v>
      </c>
      <c r="BI28" s="1781">
        <f t="shared" si="117"/>
        <v>155470</v>
      </c>
      <c r="BJ28" s="1780">
        <f>BI28/BH28</f>
        <v>0.49677275051124742</v>
      </c>
      <c r="BK28" s="1790">
        <v>8</v>
      </c>
      <c r="BL28" s="1783">
        <f>141052+16935</f>
        <v>157987</v>
      </c>
      <c r="BM28" s="1783">
        <v>250368</v>
      </c>
      <c r="BN28" s="1781">
        <f t="shared" si="118"/>
        <v>92381</v>
      </c>
      <c r="BO28" s="5978">
        <f>BN28/BM28</f>
        <v>0.36898086017382414</v>
      </c>
      <c r="BP28" s="1937">
        <f t="shared" si="21"/>
        <v>1.9166666666666667</v>
      </c>
      <c r="BQ28" s="1796">
        <f t="shared" si="22"/>
        <v>404103</v>
      </c>
      <c r="BR28" s="1786">
        <f t="shared" si="22"/>
        <v>876288</v>
      </c>
      <c r="BS28" s="1797">
        <f t="shared" si="7"/>
        <v>472185</v>
      </c>
      <c r="BT28" s="1798">
        <f t="shared" si="119"/>
        <v>0</v>
      </c>
      <c r="BU28" s="1786">
        <f t="shared" si="120"/>
        <v>0</v>
      </c>
      <c r="BV28" s="1786">
        <f t="shared" si="120"/>
        <v>0</v>
      </c>
      <c r="BW28" s="1799"/>
      <c r="BX28" s="1800">
        <f t="shared" si="121"/>
        <v>0</v>
      </c>
      <c r="BY28" s="1786">
        <f t="shared" si="122"/>
        <v>0</v>
      </c>
      <c r="BZ28" s="1786">
        <f t="shared" si="122"/>
        <v>0</v>
      </c>
      <c r="CA28" s="1801"/>
      <c r="CB28" s="1802">
        <f t="shared" si="123"/>
        <v>0</v>
      </c>
      <c r="CC28" s="1786">
        <f t="shared" si="124"/>
        <v>0</v>
      </c>
      <c r="CD28" s="1786">
        <f t="shared" si="124"/>
        <v>0</v>
      </c>
      <c r="CE28" s="1803"/>
      <c r="CF28" s="1800">
        <f t="shared" si="125"/>
        <v>23</v>
      </c>
      <c r="CG28" s="1776">
        <f t="shared" si="126"/>
        <v>876288</v>
      </c>
      <c r="CH28" s="1776">
        <f t="shared" si="126"/>
        <v>472185</v>
      </c>
      <c r="CI28" s="1801"/>
      <c r="CJ28" s="1808">
        <v>8</v>
      </c>
      <c r="CK28" s="1783">
        <f>143279+17500</f>
        <v>160779</v>
      </c>
      <c r="CL28" s="1783">
        <v>250368</v>
      </c>
      <c r="CM28" s="1776">
        <f t="shared" si="127"/>
        <v>89589</v>
      </c>
      <c r="CN28" s="1799">
        <f>CM28/CL28</f>
        <v>0.35782927530674846</v>
      </c>
      <c r="CO28" s="1804">
        <v>8</v>
      </c>
      <c r="CP28" s="1776">
        <v>162640</v>
      </c>
      <c r="CQ28" s="1776">
        <v>250368</v>
      </c>
      <c r="CR28" s="1776">
        <f t="shared" si="85"/>
        <v>87728</v>
      </c>
      <c r="CS28" s="1799">
        <f>CR28/CQ28</f>
        <v>0.35039621676891614</v>
      </c>
      <c r="CT28" s="1804">
        <v>8</v>
      </c>
      <c r="CU28" s="1783">
        <f>144834+17500</f>
        <v>162334</v>
      </c>
      <c r="CV28" s="1776">
        <v>250368</v>
      </c>
      <c r="CW28" s="1776">
        <f t="shared" si="86"/>
        <v>88034</v>
      </c>
      <c r="CX28" s="1799">
        <f>CW28/CV28</f>
        <v>0.35161841768916158</v>
      </c>
      <c r="CY28" s="1808">
        <f>7+1</f>
        <v>8</v>
      </c>
      <c r="CZ28" s="1783">
        <f>145402+17500</f>
        <v>162902</v>
      </c>
      <c r="DA28" s="1783">
        <v>250368</v>
      </c>
      <c r="DB28" s="1776">
        <f t="shared" si="87"/>
        <v>87466</v>
      </c>
      <c r="DC28" s="1799">
        <f>DB28/DA28</f>
        <v>0.34934975715746419</v>
      </c>
      <c r="DD28" s="1808">
        <f>7+1</f>
        <v>8</v>
      </c>
      <c r="DE28" s="1783">
        <f>144866+17500</f>
        <v>162366</v>
      </c>
      <c r="DF28" s="1783">
        <v>250368</v>
      </c>
      <c r="DG28" s="1783">
        <f t="shared" si="30"/>
        <v>88002</v>
      </c>
      <c r="DH28" s="1807">
        <f>DG28/DF28</f>
        <v>0.35149060582822084</v>
      </c>
      <c r="DI28" s="1808">
        <f>7+1</f>
        <v>8</v>
      </c>
      <c r="DJ28" s="2577">
        <f>140588+17500</f>
        <v>158088</v>
      </c>
      <c r="DK28" s="2577">
        <v>250368</v>
      </c>
      <c r="DL28" s="1776">
        <f t="shared" si="88"/>
        <v>92280</v>
      </c>
      <c r="DM28" s="1807">
        <f>DL28/DK28</f>
        <v>0.36857745398773006</v>
      </c>
      <c r="DN28" s="1804">
        <v>8</v>
      </c>
      <c r="DO28" s="1776">
        <v>161033</v>
      </c>
      <c r="DP28" s="1776">
        <v>250368</v>
      </c>
      <c r="DQ28" s="1776">
        <f t="shared" si="93"/>
        <v>89335</v>
      </c>
      <c r="DR28" s="1807">
        <f>DQ28/DP28</f>
        <v>0.35681476866053169</v>
      </c>
      <c r="DS28" s="1808">
        <v>8</v>
      </c>
      <c r="DT28" s="2577">
        <f>164033+4400</f>
        <v>168433</v>
      </c>
      <c r="DU28" s="1783">
        <v>250368</v>
      </c>
      <c r="DV28" s="1776">
        <f t="shared" si="94"/>
        <v>81935</v>
      </c>
      <c r="DW28" s="1799">
        <f>DV28/DU28</f>
        <v>0.32725827581799594</v>
      </c>
      <c r="DX28" s="1804">
        <v>8</v>
      </c>
      <c r="DY28" s="1776">
        <v>130023.65</v>
      </c>
      <c r="DZ28" s="1776">
        <v>183982.84</v>
      </c>
      <c r="EA28" s="1776">
        <f t="shared" si="31"/>
        <v>53959.19</v>
      </c>
      <c r="EB28" s="1807">
        <f>EA28/DZ28</f>
        <v>0.29328381929532127</v>
      </c>
      <c r="EC28" s="1804">
        <v>2</v>
      </c>
      <c r="ED28" s="1776">
        <v>53740</v>
      </c>
      <c r="EE28" s="1776">
        <v>61200</v>
      </c>
      <c r="EF28" s="1786">
        <f t="shared" si="33"/>
        <v>7460</v>
      </c>
      <c r="EG28" s="1807">
        <f>EF28/EE28</f>
        <v>0.1218954248366013</v>
      </c>
      <c r="EH28" s="1804">
        <v>2</v>
      </c>
      <c r="EI28" s="1776">
        <v>52642</v>
      </c>
      <c r="EJ28" s="1776">
        <v>61200</v>
      </c>
      <c r="EK28" s="1776">
        <f t="shared" si="34"/>
        <v>8558</v>
      </c>
      <c r="EL28" s="1807">
        <f>EK28/EJ28</f>
        <v>0.13983660130718953</v>
      </c>
      <c r="EM28" s="1804"/>
      <c r="EN28" s="1776">
        <v>0</v>
      </c>
      <c r="EO28" s="1776">
        <v>0</v>
      </c>
      <c r="EP28" s="1776">
        <f t="shared" si="36"/>
        <v>0</v>
      </c>
      <c r="EQ28" s="1807"/>
      <c r="ER28" s="2402">
        <f t="shared" si="38"/>
        <v>6.333333333333333</v>
      </c>
      <c r="ES28" s="2403">
        <f t="shared" si="39"/>
        <v>1534980.65</v>
      </c>
      <c r="ET28" s="2403">
        <f t="shared" si="39"/>
        <v>2309326.84</v>
      </c>
      <c r="EU28" s="2403">
        <f t="shared" si="39"/>
        <v>774346.19</v>
      </c>
      <c r="EV28" s="2404">
        <f t="shared" si="40"/>
        <v>0.33531251470666662</v>
      </c>
      <c r="EW28" s="1814">
        <f t="shared" si="89"/>
        <v>8</v>
      </c>
      <c r="EX28" s="1776">
        <f t="shared" si="90"/>
        <v>751104</v>
      </c>
      <c r="EY28" s="1776">
        <f t="shared" si="90"/>
        <v>265351</v>
      </c>
      <c r="EZ28" s="1815">
        <f>EY28/EX28</f>
        <v>0.35328130325494206</v>
      </c>
      <c r="FA28" s="1939">
        <f t="shared" si="95"/>
        <v>8</v>
      </c>
      <c r="FB28" s="1786">
        <f t="shared" si="42"/>
        <v>751104</v>
      </c>
      <c r="FC28" s="1786">
        <f t="shared" si="42"/>
        <v>267748</v>
      </c>
      <c r="FD28" s="1799">
        <f>FC28/FB28</f>
        <v>0.35647260565780503</v>
      </c>
      <c r="FE28" s="1814">
        <f t="shared" si="96"/>
        <v>8</v>
      </c>
      <c r="FF28" s="1786">
        <f t="shared" si="97"/>
        <v>684718.84</v>
      </c>
      <c r="FG28" s="1786">
        <f t="shared" si="97"/>
        <v>225229.19</v>
      </c>
      <c r="FH28" s="1815">
        <f>FG28/FF28</f>
        <v>0.32893675015572815</v>
      </c>
      <c r="FI28" s="1816">
        <f t="shared" si="128"/>
        <v>1.3333333333333333</v>
      </c>
      <c r="FJ28" s="1814"/>
      <c r="FK28" s="1786">
        <f t="shared" si="46"/>
        <v>122400</v>
      </c>
      <c r="FL28" s="1786">
        <f t="shared" si="46"/>
        <v>16018</v>
      </c>
      <c r="FM28" s="1799">
        <f>FL28/FK28</f>
        <v>0.13086601307189544</v>
      </c>
      <c r="FN28" s="1817"/>
      <c r="FO28" s="1818"/>
      <c r="FP28" s="1818"/>
      <c r="FQ28" s="1818">
        <f t="shared" si="98"/>
        <v>0</v>
      </c>
      <c r="FR28" s="1819" t="e">
        <f t="shared" si="49"/>
        <v>#DIV/0!</v>
      </c>
      <c r="FS28" s="1820"/>
      <c r="FT28" s="1818"/>
      <c r="FU28" s="1818"/>
      <c r="FV28" s="1818">
        <f t="shared" si="99"/>
        <v>0</v>
      </c>
      <c r="FW28" s="1821" t="e">
        <f t="shared" si="100"/>
        <v>#DIV/0!</v>
      </c>
      <c r="FX28" s="1820"/>
      <c r="FY28" s="1822"/>
      <c r="FZ28" s="1822"/>
      <c r="GA28" s="1818">
        <f t="shared" si="52"/>
        <v>0</v>
      </c>
      <c r="GB28" s="1821" t="e">
        <f t="shared" si="101"/>
        <v>#DIV/0!</v>
      </c>
      <c r="GC28" s="1823"/>
      <c r="GD28" s="1824"/>
      <c r="GE28" s="1824"/>
      <c r="GF28" s="1818">
        <f t="shared" si="54"/>
        <v>0</v>
      </c>
      <c r="GG28" s="1821" t="e">
        <f t="shared" si="102"/>
        <v>#DIV/0!</v>
      </c>
      <c r="GH28" s="1823"/>
      <c r="GI28" s="1824"/>
      <c r="GJ28" s="1824"/>
      <c r="GK28" s="1818">
        <f t="shared" si="56"/>
        <v>0</v>
      </c>
      <c r="GL28" s="1821" t="e">
        <f t="shared" si="103"/>
        <v>#DIV/0!</v>
      </c>
      <c r="GM28" s="1839"/>
      <c r="GN28" s="1839"/>
      <c r="GO28" s="1839"/>
      <c r="GP28" s="1839"/>
      <c r="GQ28" s="1839"/>
      <c r="GR28" s="1839"/>
      <c r="GS28" s="1839"/>
      <c r="GT28" s="1839"/>
      <c r="GU28" s="1839"/>
      <c r="GV28" s="1660"/>
      <c r="GW28" s="1839"/>
      <c r="GX28" s="1839"/>
      <c r="GY28" s="1839"/>
      <c r="GZ28" s="1839"/>
      <c r="HA28" s="1660"/>
      <c r="HB28" s="1839"/>
      <c r="HC28" s="1839"/>
      <c r="HD28" s="1839"/>
      <c r="HE28" s="1839"/>
      <c r="HF28" s="1660"/>
      <c r="HG28" s="1839"/>
      <c r="HH28" s="1839"/>
      <c r="HI28" s="1839"/>
      <c r="HJ28" s="1839"/>
      <c r="HK28" s="1660"/>
      <c r="HL28" s="1839"/>
      <c r="HM28" s="1839"/>
      <c r="HN28" s="1839"/>
      <c r="HO28" s="1839"/>
      <c r="HP28" s="1660"/>
      <c r="HQ28" s="1839"/>
      <c r="HR28" s="1839"/>
      <c r="HS28" s="1839"/>
      <c r="HT28" s="1839"/>
      <c r="HU28" s="1839"/>
      <c r="HV28" s="5941">
        <f t="shared" si="8"/>
        <v>0</v>
      </c>
      <c r="HW28" s="622">
        <f t="shared" si="9"/>
        <v>0</v>
      </c>
      <c r="HX28" s="622">
        <f t="shared" si="9"/>
        <v>0</v>
      </c>
      <c r="HY28" s="622">
        <f t="shared" si="9"/>
        <v>0</v>
      </c>
      <c r="HZ28" s="5980"/>
      <c r="IA28" s="1907">
        <f t="shared" si="58"/>
        <v>0</v>
      </c>
      <c r="IB28" s="1908">
        <f t="shared" si="59"/>
        <v>0</v>
      </c>
      <c r="IC28" s="1908">
        <f t="shared" si="59"/>
        <v>0</v>
      </c>
      <c r="ID28" s="1909" t="e">
        <f t="shared" si="60"/>
        <v>#DIV/0!</v>
      </c>
      <c r="IE28" s="5981"/>
      <c r="IF28" s="5876"/>
      <c r="IG28" s="5876"/>
      <c r="IH28" s="5877"/>
      <c r="II28" s="5982"/>
      <c r="IJ28" s="5876"/>
      <c r="IK28" s="5876"/>
      <c r="IL28" s="5877"/>
      <c r="IM28" s="5875"/>
      <c r="IN28" s="5876"/>
      <c r="IO28" s="5876"/>
      <c r="IP28" s="5878"/>
      <c r="IQ28" s="1839"/>
      <c r="IR28" s="5983"/>
      <c r="IS28" s="1818"/>
      <c r="IT28" s="1818"/>
      <c r="IU28" s="1818">
        <f t="shared" si="104"/>
        <v>0</v>
      </c>
      <c r="IV28" s="1819" t="e">
        <f t="shared" si="105"/>
        <v>#DIV/0!</v>
      </c>
      <c r="IW28" s="1820"/>
      <c r="IX28" s="1818"/>
      <c r="IY28" s="1818"/>
      <c r="IZ28" s="1818">
        <f t="shared" si="106"/>
        <v>0</v>
      </c>
      <c r="JA28" s="1821" t="e">
        <f t="shared" si="107"/>
        <v>#DIV/0!</v>
      </c>
      <c r="JB28" s="1984"/>
      <c r="JC28" s="1822"/>
      <c r="JD28" s="1822"/>
      <c r="JE28" s="1818">
        <f t="shared" si="65"/>
        <v>0</v>
      </c>
      <c r="JF28" s="1821" t="e">
        <f t="shared" si="108"/>
        <v>#DIV/0!</v>
      </c>
      <c r="JG28" s="1981"/>
      <c r="JH28" s="1824"/>
      <c r="JI28" s="1824"/>
      <c r="JJ28" s="1818">
        <f t="shared" si="67"/>
        <v>0</v>
      </c>
      <c r="JK28" s="1821" t="e">
        <f t="shared" si="109"/>
        <v>#DIV/0!</v>
      </c>
      <c r="JL28" s="1823"/>
      <c r="JM28" s="1824"/>
      <c r="JN28" s="1824"/>
      <c r="JO28" s="1818">
        <f t="shared" si="69"/>
        <v>0</v>
      </c>
      <c r="JP28" s="1821" t="e">
        <f t="shared" si="110"/>
        <v>#DIV/0!</v>
      </c>
      <c r="JQ28" s="5948"/>
      <c r="JR28" s="1839"/>
      <c r="JS28" s="1839"/>
      <c r="JT28" s="1839"/>
      <c r="JU28" s="1839"/>
      <c r="JV28" s="5984"/>
      <c r="JW28" s="1839"/>
      <c r="JX28" s="1839"/>
      <c r="JY28" s="1839"/>
      <c r="JZ28" s="1660"/>
      <c r="KA28" s="1839"/>
      <c r="KB28" s="1839"/>
      <c r="KC28" s="1839"/>
      <c r="KD28" s="1839"/>
      <c r="KE28" s="1660"/>
      <c r="KF28" s="5951"/>
      <c r="KG28" s="1839"/>
      <c r="KH28" s="1839"/>
      <c r="KI28" s="1839"/>
      <c r="KJ28" s="1660"/>
      <c r="KK28" s="5951"/>
      <c r="KL28" s="1839"/>
      <c r="KM28" s="1839"/>
      <c r="KN28" s="1839"/>
      <c r="KO28" s="1660"/>
      <c r="KP28" s="1659"/>
      <c r="KQ28" s="1839"/>
      <c r="KR28" s="1839"/>
      <c r="KS28" s="1839"/>
      <c r="KT28" s="1839"/>
      <c r="KU28" s="1659"/>
      <c r="KV28" s="1839"/>
      <c r="KW28" s="1839"/>
      <c r="KX28" s="1839"/>
      <c r="KY28" s="1660"/>
      <c r="KZ28" s="5739">
        <f t="shared" si="10"/>
        <v>0</v>
      </c>
      <c r="LA28" s="5740">
        <f t="shared" si="11"/>
        <v>0</v>
      </c>
      <c r="LB28" s="5740">
        <f t="shared" si="11"/>
        <v>0</v>
      </c>
      <c r="LC28" s="5740">
        <f t="shared" si="11"/>
        <v>0</v>
      </c>
      <c r="LD28" s="1660"/>
      <c r="LE28" s="1912">
        <f t="shared" si="71"/>
        <v>0</v>
      </c>
      <c r="LF28" s="1908">
        <f t="shared" si="72"/>
        <v>0</v>
      </c>
      <c r="LG28" s="1908">
        <f t="shared" si="72"/>
        <v>0</v>
      </c>
      <c r="LH28" s="1909"/>
      <c r="LI28" s="5875"/>
      <c r="LJ28" s="5876"/>
      <c r="LK28" s="5876"/>
      <c r="LL28" s="5877"/>
      <c r="LM28" s="1907"/>
      <c r="LN28" s="5876"/>
      <c r="LO28" s="5876"/>
      <c r="LP28" s="5877"/>
      <c r="LQ28" s="5875"/>
      <c r="LR28" s="1836">
        <f t="shared" si="76"/>
        <v>0</v>
      </c>
      <c r="LS28" s="1836">
        <f t="shared" si="76"/>
        <v>0</v>
      </c>
      <c r="LT28" s="5878"/>
      <c r="LV28" s="691"/>
      <c r="LW28" s="1839"/>
      <c r="LX28" s="1839"/>
      <c r="LY28" s="1839"/>
      <c r="LZ28" s="5879"/>
      <c r="MF28" s="5880"/>
      <c r="MG28" s="4965"/>
      <c r="MH28" s="4965"/>
      <c r="MI28" s="1839"/>
      <c r="MJ28" s="1660"/>
      <c r="MK28" s="5881"/>
      <c r="MN28" s="372">
        <f t="shared" si="12"/>
        <v>0</v>
      </c>
      <c r="MP28" s="5881"/>
      <c r="MQ28" s="1839"/>
      <c r="MR28" s="1839"/>
      <c r="MS28" s="1839"/>
      <c r="MT28" s="693"/>
      <c r="MU28" s="2035"/>
      <c r="MV28" s="1914"/>
      <c r="MW28" s="1914"/>
      <c r="MX28" s="1914"/>
      <c r="MY28" s="5882"/>
      <c r="MZ28" s="1659"/>
      <c r="NA28" s="1839"/>
      <c r="NB28" s="1839"/>
      <c r="NC28" s="1839"/>
      <c r="ND28" s="1839"/>
      <c r="NO28" s="5883"/>
      <c r="NP28" s="2425"/>
      <c r="NQ28" s="2425"/>
      <c r="NR28" s="5883"/>
      <c r="NT28" s="1839"/>
      <c r="NU28" s="1839"/>
      <c r="NV28" s="715"/>
      <c r="NW28" s="1839"/>
      <c r="NX28" s="1660"/>
      <c r="NY28" s="5884"/>
      <c r="NZ28" s="1914"/>
      <c r="OA28" s="1914"/>
      <c r="OB28" s="5882"/>
      <c r="OC28" s="1660"/>
      <c r="OE28" s="5885"/>
      <c r="OF28" s="5885"/>
      <c r="OG28" s="715"/>
      <c r="OH28" s="1660"/>
      <c r="OI28" s="1659"/>
      <c r="OJ28" s="1839"/>
      <c r="OK28" s="1839"/>
      <c r="OL28" s="1839"/>
      <c r="OM28" s="693"/>
      <c r="ON28" s="1659"/>
      <c r="OO28" s="715"/>
      <c r="OP28" s="715"/>
      <c r="OQ28" s="715"/>
      <c r="OR28" s="705"/>
      <c r="OS28" s="1659"/>
      <c r="OT28" s="1839"/>
      <c r="OU28" s="1839"/>
      <c r="OV28" s="1839"/>
      <c r="OW28" s="705"/>
      <c r="OX28" s="1659"/>
      <c r="OY28" s="1839"/>
      <c r="OZ28" s="1839"/>
      <c r="PA28" s="1839"/>
      <c r="PB28" s="1660"/>
      <c r="PD28" s="691"/>
      <c r="PE28" s="1839"/>
      <c r="PF28" s="1839"/>
      <c r="PG28" s="1839"/>
      <c r="PH28" s="5879"/>
      <c r="PN28" s="5880"/>
      <c r="PO28" s="4965"/>
      <c r="PP28" s="4965"/>
      <c r="PQ28" s="1839"/>
      <c r="PR28" s="1660"/>
      <c r="PS28" s="5886"/>
      <c r="PT28" s="5883"/>
      <c r="PU28" s="5883"/>
      <c r="PV28" s="2892">
        <f t="shared" si="13"/>
        <v>0</v>
      </c>
      <c r="PW28" s="5883"/>
      <c r="PX28" s="5881"/>
      <c r="PY28" s="1839"/>
      <c r="PZ28" s="1839"/>
      <c r="QA28" s="1839"/>
      <c r="QB28" s="693"/>
      <c r="QC28" s="2035"/>
      <c r="QD28" s="1914"/>
      <c r="QE28" s="1914"/>
      <c r="QF28" s="1914"/>
      <c r="QG28" s="5882"/>
      <c r="QH28" s="1910"/>
      <c r="QI28" s="1839"/>
      <c r="QJ28" s="1839"/>
      <c r="QK28" s="1839"/>
      <c r="QL28" s="1839"/>
      <c r="QM28" s="5880"/>
      <c r="QR28" s="5883"/>
      <c r="QS28" s="5883"/>
      <c r="QT28" s="5883"/>
      <c r="QU28" s="5883"/>
      <c r="QV28" s="1677"/>
      <c r="QW28" s="5883"/>
      <c r="QX28" s="2425"/>
      <c r="QY28" s="2425"/>
      <c r="QZ28" s="5883"/>
      <c r="RA28" s="5883"/>
      <c r="RB28" s="1839"/>
      <c r="RC28" s="1839"/>
      <c r="RD28" s="715"/>
      <c r="RE28" s="1839"/>
      <c r="RF28" s="1660"/>
      <c r="RG28" s="2037"/>
      <c r="RH28" s="1914"/>
      <c r="RI28" s="1914"/>
      <c r="RJ28" s="5882"/>
      <c r="RK28" s="1660"/>
      <c r="RL28" s="5883"/>
      <c r="RM28" s="1873">
        <f t="shared" si="77"/>
        <v>0</v>
      </c>
      <c r="RN28" s="1873">
        <f t="shared" si="77"/>
        <v>0</v>
      </c>
      <c r="RO28" s="1873">
        <f t="shared" si="77"/>
        <v>0</v>
      </c>
      <c r="RP28" s="5883"/>
      <c r="RQ28" s="1659"/>
      <c r="RR28" s="1839"/>
      <c r="RS28" s="1839"/>
      <c r="RT28" s="1839"/>
      <c r="RU28" s="693"/>
      <c r="RV28" s="1659"/>
      <c r="RW28" s="715"/>
      <c r="RX28" s="715"/>
      <c r="RY28" s="715"/>
      <c r="RZ28" s="705"/>
      <c r="SA28" s="1659"/>
      <c r="SB28" s="1839"/>
      <c r="SC28" s="1839"/>
      <c r="SD28" s="1839"/>
      <c r="SE28" s="705"/>
      <c r="SF28" s="1659"/>
      <c r="SG28" s="1839"/>
      <c r="SH28" s="1839"/>
      <c r="SI28" s="1839"/>
      <c r="SJ28" s="1660"/>
      <c r="SL28" s="5887"/>
      <c r="SM28" s="5882"/>
      <c r="SN28" s="5882"/>
      <c r="SO28" s="5882"/>
      <c r="SP28" s="5888"/>
      <c r="SQ28" s="5883"/>
      <c r="SR28" s="5883"/>
      <c r="SS28" s="5883"/>
      <c r="ST28" s="5883"/>
      <c r="SU28" s="5883"/>
      <c r="SV28" s="5880"/>
      <c r="SW28" s="4965"/>
      <c r="SX28" s="4965"/>
      <c r="SY28" s="1839"/>
      <c r="SZ28" s="1660"/>
      <c r="TA28" s="5881"/>
      <c r="TD28" s="372">
        <f t="shared" si="14"/>
        <v>0</v>
      </c>
      <c r="TF28" s="5881"/>
      <c r="TG28" s="1839"/>
      <c r="TH28" s="1839"/>
      <c r="TI28" s="1839"/>
      <c r="TJ28" s="693"/>
      <c r="TK28" s="2035"/>
      <c r="TL28" s="1914"/>
      <c r="TM28" s="1914"/>
      <c r="TN28" s="1914"/>
      <c r="TO28" s="5882"/>
      <c r="TP28" s="2407"/>
      <c r="TQ28" s="1839"/>
      <c r="TR28" s="1839"/>
      <c r="TS28" s="1839"/>
      <c r="TT28" s="1839"/>
      <c r="TU28" s="5889"/>
      <c r="TV28" s="5883"/>
      <c r="TW28" s="5883"/>
      <c r="TX28" s="5883"/>
      <c r="TY28" s="5883"/>
      <c r="TZ28" s="5883"/>
      <c r="UA28" s="5883"/>
      <c r="UB28" s="5883"/>
      <c r="UC28" s="5883"/>
      <c r="UD28" s="1677"/>
      <c r="UE28" s="5883"/>
      <c r="UF28" s="2425"/>
      <c r="UG28" s="2425"/>
      <c r="UH28" s="5883"/>
      <c r="UI28" s="5883"/>
      <c r="UJ28" s="1839"/>
      <c r="UK28" s="1839"/>
      <c r="UL28" s="715"/>
      <c r="UM28" s="1839"/>
      <c r="UN28" s="1660"/>
      <c r="UO28" s="2037"/>
      <c r="UP28" s="1914"/>
      <c r="UQ28" s="1914"/>
      <c r="UR28" s="5882"/>
      <c r="US28" s="1660"/>
      <c r="UU28" s="622">
        <f t="shared" si="78"/>
        <v>0</v>
      </c>
      <c r="UV28" s="622">
        <f t="shared" si="78"/>
        <v>0</v>
      </c>
      <c r="UW28" s="622">
        <f t="shared" si="78"/>
        <v>0</v>
      </c>
      <c r="UY28" s="1659"/>
      <c r="UZ28" s="1839"/>
      <c r="VA28" s="1839"/>
      <c r="VB28" s="1839"/>
      <c r="VC28" s="693"/>
      <c r="VD28" s="1659"/>
      <c r="VE28" s="715"/>
      <c r="VF28" s="715"/>
      <c r="VG28" s="715"/>
      <c r="VH28" s="705"/>
      <c r="VI28" s="1659"/>
      <c r="VJ28" s="1839"/>
      <c r="VK28" s="1839"/>
      <c r="VL28" s="1839"/>
      <c r="VM28" s="705"/>
      <c r="VN28" s="1659"/>
      <c r="VO28" s="1839"/>
      <c r="VP28" s="1839"/>
      <c r="VQ28" s="1839"/>
      <c r="VR28" s="1660"/>
    </row>
    <row r="29" spans="1:590" s="122" customFormat="1" hidden="1" x14ac:dyDescent="0.3">
      <c r="A29" s="2906"/>
      <c r="B29" s="1804" t="s">
        <v>53</v>
      </c>
      <c r="C29" s="5988" t="s">
        <v>771</v>
      </c>
      <c r="D29" s="6005" t="s">
        <v>772</v>
      </c>
      <c r="E29" s="5985">
        <v>43466</v>
      </c>
      <c r="F29" s="5985">
        <v>43769</v>
      </c>
      <c r="G29" s="5974">
        <v>702500</v>
      </c>
      <c r="H29" s="1775"/>
      <c r="I29" s="1776"/>
      <c r="J29" s="1776"/>
      <c r="K29" s="1776">
        <f t="shared" si="111"/>
        <v>0</v>
      </c>
      <c r="L29" s="1777" t="s">
        <v>732</v>
      </c>
      <c r="M29" s="1778"/>
      <c r="N29" s="1779"/>
      <c r="O29" s="1779"/>
      <c r="P29" s="1779">
        <f t="shared" si="112"/>
        <v>0</v>
      </c>
      <c r="Q29" s="1780" t="s">
        <v>732</v>
      </c>
      <c r="R29" s="5977">
        <v>3</v>
      </c>
      <c r="S29" s="1783">
        <f>29352+63000</f>
        <v>92352</v>
      </c>
      <c r="T29" s="6006">
        <v>110000</v>
      </c>
      <c r="U29" s="1776">
        <f t="shared" si="113"/>
        <v>17648</v>
      </c>
      <c r="V29" s="1777">
        <f>U29/T29</f>
        <v>0.16043636363636363</v>
      </c>
      <c r="W29" s="5987">
        <v>3</v>
      </c>
      <c r="X29" s="1783">
        <v>150073</v>
      </c>
      <c r="Y29" s="6006">
        <v>175941</v>
      </c>
      <c r="Z29" s="1776">
        <f t="shared" si="114"/>
        <v>25868</v>
      </c>
      <c r="AA29" s="1777">
        <f>Z29/Y29</f>
        <v>0.14702656004001341</v>
      </c>
      <c r="AB29" s="5977">
        <v>2</v>
      </c>
      <c r="AC29" s="1783">
        <v>111001</v>
      </c>
      <c r="AD29" s="6006">
        <f>85635+47068</f>
        <v>132703</v>
      </c>
      <c r="AE29" s="1776">
        <f>AD29-AC29</f>
        <v>21702</v>
      </c>
      <c r="AF29" s="1777">
        <f>AE29/AD29</f>
        <v>0.16353812649299565</v>
      </c>
      <c r="AG29" s="1785">
        <v>2</v>
      </c>
      <c r="AH29" s="1776">
        <v>109533</v>
      </c>
      <c r="AI29" s="1788">
        <v>132775.5</v>
      </c>
      <c r="AJ29" s="1786">
        <f>AI29-AH29</f>
        <v>23242.5</v>
      </c>
      <c r="AK29" s="1777">
        <f>AJ29/AI29</f>
        <v>0.17505112012381802</v>
      </c>
      <c r="AL29" s="1785">
        <v>3</v>
      </c>
      <c r="AM29" s="1776">
        <v>133581</v>
      </c>
      <c r="AN29" s="1776">
        <v>158765</v>
      </c>
      <c r="AO29" s="1781">
        <f>AN29-AM29</f>
        <v>25184</v>
      </c>
      <c r="AP29" s="1777">
        <f>AO29/AN29</f>
        <v>0.15862438194816239</v>
      </c>
      <c r="AQ29" s="1787">
        <v>3</v>
      </c>
      <c r="AR29" s="1776">
        <v>133581</v>
      </c>
      <c r="AS29" s="1776">
        <v>183352</v>
      </c>
      <c r="AT29" s="1789">
        <f>AS29-AR29</f>
        <v>49771</v>
      </c>
      <c r="AU29" s="1777">
        <f>AT29/AS29</f>
        <v>0.27145054321741785</v>
      </c>
      <c r="AV29" s="1790">
        <v>4</v>
      </c>
      <c r="AW29" s="1776">
        <v>203500</v>
      </c>
      <c r="AX29" s="1776">
        <v>236940</v>
      </c>
      <c r="AY29" s="1781">
        <f>AX29-AW29</f>
        <v>33440</v>
      </c>
      <c r="AZ29" s="1777">
        <f>AY29/AX29</f>
        <v>0.14113277623026926</v>
      </c>
      <c r="BA29" s="1791">
        <v>3</v>
      </c>
      <c r="BB29" s="1781">
        <v>157666</v>
      </c>
      <c r="BC29" s="1781">
        <v>177030</v>
      </c>
      <c r="BD29" s="1781">
        <f t="shared" si="115"/>
        <v>19364</v>
      </c>
      <c r="BE29" s="1780">
        <f t="shared" si="116"/>
        <v>0.10938259052138055</v>
      </c>
      <c r="BF29" s="1790">
        <v>3</v>
      </c>
      <c r="BG29" s="1781">
        <v>128042</v>
      </c>
      <c r="BH29" s="1776">
        <v>154550</v>
      </c>
      <c r="BI29" s="1781">
        <f t="shared" si="117"/>
        <v>26508</v>
      </c>
      <c r="BJ29" s="1780">
        <f>BI29/BH29</f>
        <v>0.17151730831446135</v>
      </c>
      <c r="BK29" s="1790">
        <v>5</v>
      </c>
      <c r="BL29" s="1783">
        <f>167147+25000</f>
        <v>192147</v>
      </c>
      <c r="BM29" s="1783">
        <v>235337.5</v>
      </c>
      <c r="BN29" s="1781">
        <f t="shared" si="118"/>
        <v>43190.5</v>
      </c>
      <c r="BO29" s="5978">
        <f>BN29/BM29</f>
        <v>0.18352578743294204</v>
      </c>
      <c r="BP29" s="1937">
        <f t="shared" si="21"/>
        <v>2.5833333333333335</v>
      </c>
      <c r="BQ29" s="1796">
        <f t="shared" si="22"/>
        <v>1411476</v>
      </c>
      <c r="BR29" s="1786">
        <f t="shared" si="22"/>
        <v>1697394</v>
      </c>
      <c r="BS29" s="1797">
        <f t="shared" si="7"/>
        <v>285918</v>
      </c>
      <c r="BT29" s="1798">
        <f t="shared" si="119"/>
        <v>3</v>
      </c>
      <c r="BU29" s="1786">
        <f t="shared" si="120"/>
        <v>110000</v>
      </c>
      <c r="BV29" s="1786">
        <f t="shared" si="120"/>
        <v>17648</v>
      </c>
      <c r="BW29" s="1799">
        <f>BV29/BU29</f>
        <v>0.16043636363636363</v>
      </c>
      <c r="BX29" s="1800">
        <f t="shared" si="121"/>
        <v>7</v>
      </c>
      <c r="BY29" s="1786">
        <f t="shared" si="122"/>
        <v>441419.5</v>
      </c>
      <c r="BZ29" s="1786">
        <f t="shared" si="122"/>
        <v>70812.5</v>
      </c>
      <c r="CA29" s="1801"/>
      <c r="CB29" s="1802">
        <f t="shared" si="123"/>
        <v>10</v>
      </c>
      <c r="CC29" s="1786">
        <f t="shared" si="124"/>
        <v>579057</v>
      </c>
      <c r="CD29" s="1786">
        <f t="shared" si="124"/>
        <v>108395</v>
      </c>
      <c r="CE29" s="1803"/>
      <c r="CF29" s="1800">
        <f t="shared" si="125"/>
        <v>11</v>
      </c>
      <c r="CG29" s="1776">
        <f t="shared" si="126"/>
        <v>566917.5</v>
      </c>
      <c r="CH29" s="1776">
        <f t="shared" si="126"/>
        <v>89062.5</v>
      </c>
      <c r="CI29" s="1801"/>
      <c r="CJ29" s="1808">
        <v>5</v>
      </c>
      <c r="CK29" s="1783">
        <v>269264</v>
      </c>
      <c r="CL29" s="1783">
        <v>327365</v>
      </c>
      <c r="CM29" s="1776">
        <f t="shared" si="127"/>
        <v>58101</v>
      </c>
      <c r="CN29" s="1799">
        <f>CM29/CL29</f>
        <v>0.17748079360957952</v>
      </c>
      <c r="CO29" s="1804">
        <v>5</v>
      </c>
      <c r="CP29" s="1776">
        <v>253000</v>
      </c>
      <c r="CQ29" s="1776">
        <v>288727.5</v>
      </c>
      <c r="CR29" s="1776">
        <f t="shared" si="85"/>
        <v>35727.5</v>
      </c>
      <c r="CS29" s="1799">
        <f>CR29/CQ29</f>
        <v>0.12374124390645158</v>
      </c>
      <c r="CT29" s="1804"/>
      <c r="CU29" s="1776">
        <v>0</v>
      </c>
      <c r="CV29" s="1776">
        <v>0</v>
      </c>
      <c r="CW29" s="1776">
        <f t="shared" si="86"/>
        <v>0</v>
      </c>
      <c r="CX29" s="1799"/>
      <c r="CY29" s="1804"/>
      <c r="CZ29" s="1776"/>
      <c r="DA29" s="1776"/>
      <c r="DB29" s="1776">
        <f t="shared" si="87"/>
        <v>0</v>
      </c>
      <c r="DC29" s="1799">
        <v>0</v>
      </c>
      <c r="DD29" s="1805"/>
      <c r="DE29" s="1806"/>
      <c r="DF29" s="1806"/>
      <c r="DG29" s="1783">
        <f t="shared" si="30"/>
        <v>0</v>
      </c>
      <c r="DH29" s="1807">
        <v>0</v>
      </c>
      <c r="DI29" s="1804"/>
      <c r="DJ29" s="1806"/>
      <c r="DK29" s="1806"/>
      <c r="DL29" s="1776">
        <f t="shared" si="88"/>
        <v>0</v>
      </c>
      <c r="DM29" s="1807" t="s">
        <v>732</v>
      </c>
      <c r="DN29" s="1804"/>
      <c r="DO29" s="1776"/>
      <c r="DP29" s="1776"/>
      <c r="DQ29" s="1776">
        <f t="shared" si="93"/>
        <v>0</v>
      </c>
      <c r="DR29" s="1807">
        <v>0</v>
      </c>
      <c r="DS29" s="1804"/>
      <c r="DT29" s="1776"/>
      <c r="DU29" s="1776"/>
      <c r="DV29" s="1776">
        <f t="shared" si="94"/>
        <v>0</v>
      </c>
      <c r="DW29" s="1799" t="e">
        <f>DV29/DU29</f>
        <v>#DIV/0!</v>
      </c>
      <c r="DX29" s="1804"/>
      <c r="DY29" s="1776"/>
      <c r="DZ29" s="1776"/>
      <c r="EA29" s="1776">
        <f t="shared" si="31"/>
        <v>0</v>
      </c>
      <c r="EB29" s="1807" t="e">
        <f>EA29/DZ29</f>
        <v>#DIV/0!</v>
      </c>
      <c r="EC29" s="1804"/>
      <c r="ED29" s="1776"/>
      <c r="EE29" s="1776"/>
      <c r="EF29" s="1786">
        <f t="shared" si="33"/>
        <v>0</v>
      </c>
      <c r="EG29" s="1807" t="e">
        <f>EF29/EE29</f>
        <v>#DIV/0!</v>
      </c>
      <c r="EH29" s="1804"/>
      <c r="EI29" s="1776"/>
      <c r="EJ29" s="1776"/>
      <c r="EK29" s="1776">
        <f t="shared" si="34"/>
        <v>0</v>
      </c>
      <c r="EL29" s="1807" t="e">
        <f>EK29/EJ29</f>
        <v>#DIV/0!</v>
      </c>
      <c r="EM29" s="1804"/>
      <c r="EN29" s="1776"/>
      <c r="EO29" s="1776"/>
      <c r="EP29" s="1776">
        <f t="shared" si="36"/>
        <v>0</v>
      </c>
      <c r="EQ29" s="1807" t="e">
        <f>EP29/EO29</f>
        <v>#DIV/0!</v>
      </c>
      <c r="ER29" s="2402">
        <f t="shared" si="38"/>
        <v>0.83333333333333337</v>
      </c>
      <c r="ES29" s="2403">
        <f t="shared" si="39"/>
        <v>522264</v>
      </c>
      <c r="ET29" s="2403">
        <f t="shared" si="39"/>
        <v>616092.5</v>
      </c>
      <c r="EU29" s="2403">
        <f t="shared" si="39"/>
        <v>93828.5</v>
      </c>
      <c r="EV29" s="2404">
        <f t="shared" si="40"/>
        <v>0.15229612436444204</v>
      </c>
      <c r="EW29" s="1814">
        <f t="shared" si="89"/>
        <v>3.3333333333333335</v>
      </c>
      <c r="EX29" s="1776">
        <f t="shared" si="90"/>
        <v>616092.5</v>
      </c>
      <c r="EY29" s="1776">
        <f t="shared" si="90"/>
        <v>93828.5</v>
      </c>
      <c r="EZ29" s="1815">
        <f>EY29/EX29</f>
        <v>0.15229612436444204</v>
      </c>
      <c r="FA29" s="1939">
        <f t="shared" si="95"/>
        <v>0</v>
      </c>
      <c r="FB29" s="1786">
        <f t="shared" si="42"/>
        <v>0</v>
      </c>
      <c r="FC29" s="1786">
        <f t="shared" si="42"/>
        <v>0</v>
      </c>
      <c r="FD29" s="1799"/>
      <c r="FE29" s="1814">
        <f t="shared" si="96"/>
        <v>0</v>
      </c>
      <c r="FF29" s="1786">
        <f t="shared" si="97"/>
        <v>0</v>
      </c>
      <c r="FG29" s="1786">
        <f t="shared" si="97"/>
        <v>0</v>
      </c>
      <c r="FH29" s="1815" t="e">
        <f>FG29/FF29</f>
        <v>#DIV/0!</v>
      </c>
      <c r="FI29" s="1816">
        <f t="shared" si="128"/>
        <v>0</v>
      </c>
      <c r="FJ29" s="1814"/>
      <c r="FK29" s="1786">
        <f t="shared" si="46"/>
        <v>0</v>
      </c>
      <c r="FL29" s="1786">
        <f t="shared" si="46"/>
        <v>0</v>
      </c>
      <c r="FM29" s="1799" t="e">
        <f>FL29/FK29</f>
        <v>#DIV/0!</v>
      </c>
      <c r="FN29" s="1817"/>
      <c r="FO29" s="1818"/>
      <c r="FP29" s="1818"/>
      <c r="FQ29" s="1818">
        <f t="shared" si="98"/>
        <v>0</v>
      </c>
      <c r="FR29" s="1819" t="e">
        <f t="shared" si="49"/>
        <v>#DIV/0!</v>
      </c>
      <c r="FS29" s="1820"/>
      <c r="FT29" s="1818"/>
      <c r="FU29" s="1818"/>
      <c r="FV29" s="1818">
        <f t="shared" si="99"/>
        <v>0</v>
      </c>
      <c r="FW29" s="1821" t="e">
        <f t="shared" si="100"/>
        <v>#DIV/0!</v>
      </c>
      <c r="FX29" s="1820"/>
      <c r="FY29" s="1822"/>
      <c r="FZ29" s="1822"/>
      <c r="GA29" s="1818">
        <f t="shared" si="52"/>
        <v>0</v>
      </c>
      <c r="GB29" s="1821" t="e">
        <f t="shared" si="101"/>
        <v>#DIV/0!</v>
      </c>
      <c r="GC29" s="1823"/>
      <c r="GD29" s="1824"/>
      <c r="GE29" s="1824"/>
      <c r="GF29" s="1818">
        <f t="shared" si="54"/>
        <v>0</v>
      </c>
      <c r="GG29" s="1821" t="e">
        <f t="shared" si="102"/>
        <v>#DIV/0!</v>
      </c>
      <c r="GH29" s="1823"/>
      <c r="GI29" s="1824"/>
      <c r="GJ29" s="1824"/>
      <c r="GK29" s="1818">
        <f t="shared" si="56"/>
        <v>0</v>
      </c>
      <c r="GL29" s="1821" t="e">
        <f t="shared" si="103"/>
        <v>#DIV/0!</v>
      </c>
      <c r="GM29" s="1839"/>
      <c r="GN29" s="1839"/>
      <c r="GO29" s="1839"/>
      <c r="GP29" s="1839"/>
      <c r="GQ29" s="1839"/>
      <c r="GR29" s="1839"/>
      <c r="GS29" s="1839"/>
      <c r="GT29" s="1839"/>
      <c r="GU29" s="1839"/>
      <c r="GV29" s="1660"/>
      <c r="GW29" s="1839"/>
      <c r="GX29" s="1839"/>
      <c r="GY29" s="1839"/>
      <c r="GZ29" s="1839"/>
      <c r="HA29" s="1660"/>
      <c r="HB29" s="1839"/>
      <c r="HC29" s="1839"/>
      <c r="HD29" s="1839"/>
      <c r="HE29" s="1839"/>
      <c r="HF29" s="1660"/>
      <c r="HG29" s="1839"/>
      <c r="HH29" s="1839"/>
      <c r="HI29" s="1839"/>
      <c r="HJ29" s="1839"/>
      <c r="HK29" s="1660"/>
      <c r="HL29" s="1839"/>
      <c r="HM29" s="1839"/>
      <c r="HN29" s="1839"/>
      <c r="HO29" s="1839"/>
      <c r="HP29" s="1660"/>
      <c r="HQ29" s="1839"/>
      <c r="HR29" s="1839"/>
      <c r="HS29" s="1839"/>
      <c r="HT29" s="1839"/>
      <c r="HU29" s="1839"/>
      <c r="HV29" s="5941">
        <f t="shared" si="8"/>
        <v>0</v>
      </c>
      <c r="HW29" s="622">
        <f t="shared" si="9"/>
        <v>0</v>
      </c>
      <c r="HX29" s="622">
        <f t="shared" si="9"/>
        <v>0</v>
      </c>
      <c r="HY29" s="622">
        <f t="shared" si="9"/>
        <v>0</v>
      </c>
      <c r="HZ29" s="5980"/>
      <c r="IA29" s="1907">
        <f t="shared" si="58"/>
        <v>0</v>
      </c>
      <c r="IB29" s="1908">
        <f t="shared" si="59"/>
        <v>0</v>
      </c>
      <c r="IC29" s="1908">
        <f t="shared" si="59"/>
        <v>0</v>
      </c>
      <c r="ID29" s="1909" t="e">
        <f t="shared" si="60"/>
        <v>#DIV/0!</v>
      </c>
      <c r="IE29" s="5981"/>
      <c r="IF29" s="5876"/>
      <c r="IG29" s="5876"/>
      <c r="IH29" s="5877"/>
      <c r="II29" s="5982"/>
      <c r="IJ29" s="5876"/>
      <c r="IK29" s="5876"/>
      <c r="IL29" s="5877"/>
      <c r="IM29" s="5875"/>
      <c r="IN29" s="5876"/>
      <c r="IO29" s="5876"/>
      <c r="IP29" s="5878"/>
      <c r="IQ29" s="1839"/>
      <c r="IR29" s="5983"/>
      <c r="IS29" s="1818"/>
      <c r="IT29" s="1818"/>
      <c r="IU29" s="1818">
        <f t="shared" si="104"/>
        <v>0</v>
      </c>
      <c r="IV29" s="1819" t="e">
        <f t="shared" si="105"/>
        <v>#DIV/0!</v>
      </c>
      <c r="IW29" s="1820"/>
      <c r="IX29" s="1818"/>
      <c r="IY29" s="1818"/>
      <c r="IZ29" s="1818">
        <f t="shared" si="106"/>
        <v>0</v>
      </c>
      <c r="JA29" s="1821" t="e">
        <f t="shared" si="107"/>
        <v>#DIV/0!</v>
      </c>
      <c r="JB29" s="1984"/>
      <c r="JC29" s="1822"/>
      <c r="JD29" s="1822"/>
      <c r="JE29" s="1818">
        <f t="shared" si="65"/>
        <v>0</v>
      </c>
      <c r="JF29" s="1821" t="e">
        <f t="shared" si="108"/>
        <v>#DIV/0!</v>
      </c>
      <c r="JG29" s="1981"/>
      <c r="JH29" s="1824"/>
      <c r="JI29" s="1824"/>
      <c r="JJ29" s="1818">
        <f t="shared" si="67"/>
        <v>0</v>
      </c>
      <c r="JK29" s="1821" t="e">
        <f t="shared" si="109"/>
        <v>#DIV/0!</v>
      </c>
      <c r="JL29" s="1823"/>
      <c r="JM29" s="1824"/>
      <c r="JN29" s="1824"/>
      <c r="JO29" s="1818">
        <f t="shared" si="69"/>
        <v>0</v>
      </c>
      <c r="JP29" s="1821" t="e">
        <f t="shared" si="110"/>
        <v>#DIV/0!</v>
      </c>
      <c r="JQ29" s="5948"/>
      <c r="JR29" s="1839"/>
      <c r="JS29" s="1839"/>
      <c r="JT29" s="1839"/>
      <c r="JU29" s="1839"/>
      <c r="JV29" s="5984"/>
      <c r="JW29" s="1839"/>
      <c r="JX29" s="1839"/>
      <c r="JY29" s="1839"/>
      <c r="JZ29" s="1660"/>
      <c r="KA29" s="1839"/>
      <c r="KB29" s="1839"/>
      <c r="KC29" s="1839"/>
      <c r="KD29" s="1839"/>
      <c r="KE29" s="1660"/>
      <c r="KF29" s="5951"/>
      <c r="KG29" s="1839"/>
      <c r="KH29" s="1839"/>
      <c r="KI29" s="1839"/>
      <c r="KJ29" s="1660"/>
      <c r="KK29" s="5951"/>
      <c r="KL29" s="1839"/>
      <c r="KM29" s="1839"/>
      <c r="KN29" s="1839"/>
      <c r="KO29" s="1660"/>
      <c r="KP29" s="1659"/>
      <c r="KQ29" s="1839"/>
      <c r="KR29" s="1839"/>
      <c r="KS29" s="1839"/>
      <c r="KT29" s="1839"/>
      <c r="KU29" s="1659"/>
      <c r="KV29" s="1839"/>
      <c r="KW29" s="1839"/>
      <c r="KX29" s="1839"/>
      <c r="KY29" s="1660"/>
      <c r="KZ29" s="5739">
        <f t="shared" si="10"/>
        <v>0</v>
      </c>
      <c r="LA29" s="5740">
        <f t="shared" si="11"/>
        <v>0</v>
      </c>
      <c r="LB29" s="5740">
        <f t="shared" si="11"/>
        <v>0</v>
      </c>
      <c r="LC29" s="5740">
        <f t="shared" si="11"/>
        <v>0</v>
      </c>
      <c r="LD29" s="1660"/>
      <c r="LE29" s="1912">
        <f t="shared" si="71"/>
        <v>0</v>
      </c>
      <c r="LF29" s="1908">
        <f t="shared" si="72"/>
        <v>0</v>
      </c>
      <c r="LG29" s="1908">
        <f t="shared" si="72"/>
        <v>0</v>
      </c>
      <c r="LH29" s="1909"/>
      <c r="LI29" s="5875"/>
      <c r="LJ29" s="5876"/>
      <c r="LK29" s="5876"/>
      <c r="LL29" s="5877"/>
      <c r="LM29" s="1907"/>
      <c r="LN29" s="5876"/>
      <c r="LO29" s="5876"/>
      <c r="LP29" s="5877"/>
      <c r="LQ29" s="5875"/>
      <c r="LR29" s="1836">
        <f t="shared" si="76"/>
        <v>0</v>
      </c>
      <c r="LS29" s="1836">
        <f t="shared" si="76"/>
        <v>0</v>
      </c>
      <c r="LT29" s="5878"/>
      <c r="LV29" s="691"/>
      <c r="LW29" s="1839"/>
      <c r="LX29" s="1839"/>
      <c r="LY29" s="1839"/>
      <c r="LZ29" s="5879"/>
      <c r="MF29" s="5880"/>
      <c r="MG29" s="4965"/>
      <c r="MH29" s="4965"/>
      <c r="MI29" s="1839"/>
      <c r="MJ29" s="1660"/>
      <c r="MK29" s="5881"/>
      <c r="MN29" s="372">
        <f t="shared" si="12"/>
        <v>0</v>
      </c>
      <c r="MP29" s="5881"/>
      <c r="MQ29" s="1839"/>
      <c r="MR29" s="1839"/>
      <c r="MS29" s="1839"/>
      <c r="MT29" s="693"/>
      <c r="MU29" s="2035"/>
      <c r="MV29" s="1914"/>
      <c r="MW29" s="1914"/>
      <c r="MX29" s="1914"/>
      <c r="MY29" s="5882"/>
      <c r="MZ29" s="1659"/>
      <c r="NA29" s="1839"/>
      <c r="NB29" s="1839"/>
      <c r="NC29" s="1839"/>
      <c r="ND29" s="1839"/>
      <c r="NO29" s="5883"/>
      <c r="NP29" s="2425"/>
      <c r="NQ29" s="2425"/>
      <c r="NR29" s="5883"/>
      <c r="NT29" s="1839"/>
      <c r="NU29" s="1839"/>
      <c r="NV29" s="715"/>
      <c r="NW29" s="1839"/>
      <c r="NX29" s="1660"/>
      <c r="NY29" s="5884"/>
      <c r="NZ29" s="1914"/>
      <c r="OA29" s="1914"/>
      <c r="OB29" s="5882"/>
      <c r="OC29" s="1660"/>
      <c r="OE29" s="5885"/>
      <c r="OF29" s="5885"/>
      <c r="OG29" s="715"/>
      <c r="OH29" s="1660"/>
      <c r="OI29" s="1659"/>
      <c r="OJ29" s="1839"/>
      <c r="OK29" s="1839"/>
      <c r="OL29" s="1839"/>
      <c r="OM29" s="693"/>
      <c r="ON29" s="1659"/>
      <c r="OO29" s="715"/>
      <c r="OP29" s="715"/>
      <c r="OQ29" s="715"/>
      <c r="OR29" s="705"/>
      <c r="OS29" s="1659"/>
      <c r="OT29" s="1839"/>
      <c r="OU29" s="1839"/>
      <c r="OV29" s="1839"/>
      <c r="OW29" s="705"/>
      <c r="OX29" s="1659"/>
      <c r="OY29" s="1839"/>
      <c r="OZ29" s="1839"/>
      <c r="PA29" s="1839"/>
      <c r="PB29" s="1660"/>
      <c r="PD29" s="691"/>
      <c r="PE29" s="1839"/>
      <c r="PF29" s="1839"/>
      <c r="PG29" s="1839"/>
      <c r="PH29" s="5879"/>
      <c r="PN29" s="5880"/>
      <c r="PO29" s="4965"/>
      <c r="PP29" s="4965"/>
      <c r="PQ29" s="1839"/>
      <c r="PR29" s="1660"/>
      <c r="PS29" s="5886"/>
      <c r="PT29" s="5883"/>
      <c r="PU29" s="5883"/>
      <c r="PV29" s="2892">
        <f t="shared" si="13"/>
        <v>0</v>
      </c>
      <c r="PW29" s="5883"/>
      <c r="PX29" s="5881"/>
      <c r="PY29" s="1839"/>
      <c r="PZ29" s="1839"/>
      <c r="QA29" s="1839"/>
      <c r="QB29" s="693"/>
      <c r="QC29" s="2035"/>
      <c r="QD29" s="1914"/>
      <c r="QE29" s="1914"/>
      <c r="QF29" s="1914"/>
      <c r="QG29" s="5882"/>
      <c r="QH29" s="1910"/>
      <c r="QI29" s="1839"/>
      <c r="QJ29" s="1839"/>
      <c r="QK29" s="1839"/>
      <c r="QL29" s="1839"/>
      <c r="QM29" s="5880"/>
      <c r="QR29" s="5883"/>
      <c r="QS29" s="5883"/>
      <c r="QT29" s="5883"/>
      <c r="QU29" s="5883"/>
      <c r="QV29" s="1677"/>
      <c r="QW29" s="5883"/>
      <c r="QX29" s="2425"/>
      <c r="QY29" s="2425"/>
      <c r="QZ29" s="5883"/>
      <c r="RA29" s="5883"/>
      <c r="RB29" s="1839"/>
      <c r="RC29" s="1839"/>
      <c r="RD29" s="715"/>
      <c r="RE29" s="1839"/>
      <c r="RF29" s="1660"/>
      <c r="RG29" s="2037"/>
      <c r="RH29" s="1914"/>
      <c r="RI29" s="1914"/>
      <c r="RJ29" s="5882"/>
      <c r="RK29" s="1660"/>
      <c r="RL29" s="5883"/>
      <c r="RM29" s="1873">
        <f t="shared" si="77"/>
        <v>0</v>
      </c>
      <c r="RN29" s="1873">
        <f t="shared" si="77"/>
        <v>0</v>
      </c>
      <c r="RO29" s="1873">
        <f t="shared" si="77"/>
        <v>0</v>
      </c>
      <c r="RP29" s="5883"/>
      <c r="RQ29" s="1659"/>
      <c r="RR29" s="1839"/>
      <c r="RS29" s="1839"/>
      <c r="RT29" s="1839"/>
      <c r="RU29" s="693"/>
      <c r="RV29" s="1659"/>
      <c r="RW29" s="715"/>
      <c r="RX29" s="715"/>
      <c r="RY29" s="715"/>
      <c r="RZ29" s="705"/>
      <c r="SA29" s="1659"/>
      <c r="SB29" s="1839"/>
      <c r="SC29" s="1839"/>
      <c r="SD29" s="1839"/>
      <c r="SE29" s="705"/>
      <c r="SF29" s="1659"/>
      <c r="SG29" s="1839"/>
      <c r="SH29" s="1839"/>
      <c r="SI29" s="1839"/>
      <c r="SJ29" s="1660"/>
      <c r="SL29" s="5887"/>
      <c r="SM29" s="5882"/>
      <c r="SN29" s="5882"/>
      <c r="SO29" s="5882"/>
      <c r="SP29" s="5888"/>
      <c r="SQ29" s="5883"/>
      <c r="SR29" s="5883"/>
      <c r="SS29" s="5883"/>
      <c r="ST29" s="5883"/>
      <c r="SU29" s="5883"/>
      <c r="SV29" s="5880"/>
      <c r="SW29" s="4965"/>
      <c r="SX29" s="4965"/>
      <c r="SY29" s="1839"/>
      <c r="SZ29" s="1660"/>
      <c r="TA29" s="5881"/>
      <c r="TD29" s="372">
        <f t="shared" si="14"/>
        <v>0</v>
      </c>
      <c r="TF29" s="5881"/>
      <c r="TG29" s="1839"/>
      <c r="TH29" s="1839"/>
      <c r="TI29" s="1839"/>
      <c r="TJ29" s="693"/>
      <c r="TK29" s="2035"/>
      <c r="TL29" s="1914"/>
      <c r="TM29" s="1914"/>
      <c r="TN29" s="1914"/>
      <c r="TO29" s="5882"/>
      <c r="TP29" s="2407"/>
      <c r="TQ29" s="1839"/>
      <c r="TR29" s="1839"/>
      <c r="TS29" s="1839"/>
      <c r="TT29" s="1839"/>
      <c r="TU29" s="5889"/>
      <c r="TV29" s="5883"/>
      <c r="TW29" s="5883"/>
      <c r="TX29" s="5883"/>
      <c r="TY29" s="5883"/>
      <c r="TZ29" s="5883"/>
      <c r="UA29" s="5883"/>
      <c r="UB29" s="5883"/>
      <c r="UC29" s="5883"/>
      <c r="UD29" s="1677"/>
      <c r="UE29" s="5883"/>
      <c r="UF29" s="2425"/>
      <c r="UG29" s="2425"/>
      <c r="UH29" s="5883"/>
      <c r="UI29" s="5883"/>
      <c r="UJ29" s="1839"/>
      <c r="UK29" s="1839"/>
      <c r="UL29" s="715"/>
      <c r="UM29" s="1839"/>
      <c r="UN29" s="1660"/>
      <c r="UO29" s="2037"/>
      <c r="UP29" s="1914"/>
      <c r="UQ29" s="1914"/>
      <c r="UR29" s="5882"/>
      <c r="US29" s="1660"/>
      <c r="UU29" s="622">
        <f t="shared" si="78"/>
        <v>0</v>
      </c>
      <c r="UV29" s="622">
        <f t="shared" si="78"/>
        <v>0</v>
      </c>
      <c r="UW29" s="622">
        <f t="shared" si="78"/>
        <v>0</v>
      </c>
      <c r="UY29" s="1659"/>
      <c r="UZ29" s="1839"/>
      <c r="VA29" s="1839"/>
      <c r="VB29" s="1839"/>
      <c r="VC29" s="693"/>
      <c r="VD29" s="1659"/>
      <c r="VE29" s="715"/>
      <c r="VF29" s="715"/>
      <c r="VG29" s="715"/>
      <c r="VH29" s="705"/>
      <c r="VI29" s="1659"/>
      <c r="VJ29" s="1839"/>
      <c r="VK29" s="1839"/>
      <c r="VL29" s="1839"/>
      <c r="VM29" s="705"/>
      <c r="VN29" s="1659"/>
      <c r="VO29" s="1839"/>
      <c r="VP29" s="1839"/>
      <c r="VQ29" s="1839"/>
      <c r="VR29" s="1660"/>
    </row>
    <row r="30" spans="1:590" s="122" customFormat="1" hidden="1" x14ac:dyDescent="0.3">
      <c r="A30" s="2906"/>
      <c r="B30" s="1804" t="s">
        <v>53</v>
      </c>
      <c r="C30" s="5988" t="s">
        <v>773</v>
      </c>
      <c r="D30" s="6007" t="s">
        <v>774</v>
      </c>
      <c r="E30" s="5973">
        <v>43586</v>
      </c>
      <c r="F30" s="5973">
        <v>43646</v>
      </c>
      <c r="G30" s="5974">
        <v>363977</v>
      </c>
      <c r="H30" s="1775">
        <v>5</v>
      </c>
      <c r="I30" s="1776">
        <v>199147</v>
      </c>
      <c r="J30" s="1776">
        <v>387759</v>
      </c>
      <c r="K30" s="1776">
        <f t="shared" si="111"/>
        <v>188612</v>
      </c>
      <c r="L30" s="1777">
        <f>K30/J30</f>
        <v>0.48641553129650117</v>
      </c>
      <c r="M30" s="5986">
        <v>4</v>
      </c>
      <c r="N30" s="1779">
        <v>170334</v>
      </c>
      <c r="O30" s="1779">
        <v>387759</v>
      </c>
      <c r="P30" s="1779">
        <f t="shared" si="112"/>
        <v>217425</v>
      </c>
      <c r="Q30" s="1780">
        <f>P30/O30</f>
        <v>0.560721994847315</v>
      </c>
      <c r="R30" s="5977">
        <v>6</v>
      </c>
      <c r="S30" s="1783">
        <v>224174</v>
      </c>
      <c r="T30" s="1776">
        <v>387759</v>
      </c>
      <c r="U30" s="1776">
        <f t="shared" si="113"/>
        <v>163585</v>
      </c>
      <c r="V30" s="1777">
        <f>U30/T30</f>
        <v>0.42187286433067961</v>
      </c>
      <c r="W30" s="5987">
        <v>6</v>
      </c>
      <c r="X30" s="1776">
        <v>268612</v>
      </c>
      <c r="Y30" s="1781">
        <v>395272.66</v>
      </c>
      <c r="Z30" s="1776">
        <f t="shared" si="114"/>
        <v>126660.65999999997</v>
      </c>
      <c r="AA30" s="1777">
        <f>Z30/Y30</f>
        <v>0.32043870679039621</v>
      </c>
      <c r="AB30" s="5977">
        <v>6</v>
      </c>
      <c r="AC30" s="1783">
        <v>281777</v>
      </c>
      <c r="AD30" s="1776">
        <v>404419</v>
      </c>
      <c r="AE30" s="1776">
        <f>AD30-AC30</f>
        <v>122642</v>
      </c>
      <c r="AF30" s="1777">
        <f>AE30/AD30</f>
        <v>0.30325479267789102</v>
      </c>
      <c r="AG30" s="1785">
        <v>8</v>
      </c>
      <c r="AH30" s="1776">
        <v>281177</v>
      </c>
      <c r="AI30" s="5995">
        <v>404419</v>
      </c>
      <c r="AJ30" s="1786">
        <f>AI30-AH30</f>
        <v>123242</v>
      </c>
      <c r="AK30" s="1777">
        <f>AJ30/AI30</f>
        <v>0.30473840249839895</v>
      </c>
      <c r="AL30" s="1785">
        <v>8</v>
      </c>
      <c r="AM30" s="1776">
        <v>281177</v>
      </c>
      <c r="AN30" s="1788">
        <v>404419</v>
      </c>
      <c r="AO30" s="1781">
        <f>AN30-AM30</f>
        <v>123242</v>
      </c>
      <c r="AP30" s="1777">
        <f>AO30/AN30</f>
        <v>0.30473840249839895</v>
      </c>
      <c r="AQ30" s="1787">
        <v>8</v>
      </c>
      <c r="AR30" s="1788">
        <v>279511</v>
      </c>
      <c r="AS30" s="1788">
        <v>404419</v>
      </c>
      <c r="AT30" s="1789">
        <v>124908</v>
      </c>
      <c r="AU30" s="1777">
        <f>AT30/AS30</f>
        <v>0.30885789243334266</v>
      </c>
      <c r="AV30" s="1790">
        <v>7</v>
      </c>
      <c r="AW30" s="1788">
        <v>236177</v>
      </c>
      <c r="AX30" s="1788">
        <v>340644.52</v>
      </c>
      <c r="AY30" s="1781">
        <f>AX30-AW30</f>
        <v>104467.52000000002</v>
      </c>
      <c r="AZ30" s="1777">
        <f>AY30/AX30</f>
        <v>0.30667606218940502</v>
      </c>
      <c r="BA30" s="1785">
        <v>6</v>
      </c>
      <c r="BB30" s="1788">
        <v>181502</v>
      </c>
      <c r="BC30" s="1781">
        <v>275909.2</v>
      </c>
      <c r="BD30" s="1781">
        <f t="shared" si="115"/>
        <v>94407.200000000012</v>
      </c>
      <c r="BE30" s="1780">
        <f t="shared" si="116"/>
        <v>0.34216764065859351</v>
      </c>
      <c r="BF30" s="1785">
        <v>6</v>
      </c>
      <c r="BG30" s="1788">
        <v>172007</v>
      </c>
      <c r="BH30" s="1788">
        <v>280192.86</v>
      </c>
      <c r="BI30" s="1781">
        <f t="shared" si="117"/>
        <v>108185.85999999999</v>
      </c>
      <c r="BJ30" s="1780">
        <f>BI30/BH30</f>
        <v>0.38611212291419555</v>
      </c>
      <c r="BK30" s="1785">
        <v>8</v>
      </c>
      <c r="BL30" s="1783">
        <v>231790</v>
      </c>
      <c r="BM30" s="2577">
        <v>391807.44499999995</v>
      </c>
      <c r="BN30" s="1781">
        <f t="shared" si="118"/>
        <v>160017.44499999995</v>
      </c>
      <c r="BO30" s="5978">
        <f>BN30/BM30</f>
        <v>0.40840838284734476</v>
      </c>
      <c r="BP30" s="1937">
        <f t="shared" si="21"/>
        <v>6.5</v>
      </c>
      <c r="BQ30" s="1796">
        <f t="shared" si="22"/>
        <v>2807385</v>
      </c>
      <c r="BR30" s="1786">
        <f t="shared" si="22"/>
        <v>4464779.6850000005</v>
      </c>
      <c r="BS30" s="1797">
        <f t="shared" si="7"/>
        <v>1657394.6850000005</v>
      </c>
      <c r="BT30" s="1798">
        <f t="shared" si="119"/>
        <v>15</v>
      </c>
      <c r="BU30" s="1786">
        <f t="shared" si="120"/>
        <v>1163277</v>
      </c>
      <c r="BV30" s="1786">
        <f t="shared" si="120"/>
        <v>569622</v>
      </c>
      <c r="BW30" s="1799">
        <f>BV30/BU30</f>
        <v>0.48967013015816524</v>
      </c>
      <c r="BX30" s="1800">
        <f t="shared" si="121"/>
        <v>20</v>
      </c>
      <c r="BY30" s="1786">
        <f t="shared" si="122"/>
        <v>1204110.6599999999</v>
      </c>
      <c r="BZ30" s="1786">
        <f t="shared" si="122"/>
        <v>372544.66</v>
      </c>
      <c r="CA30" s="1801"/>
      <c r="CB30" s="1802">
        <f t="shared" si="123"/>
        <v>23</v>
      </c>
      <c r="CC30" s="1786">
        <f t="shared" si="124"/>
        <v>1149482.52</v>
      </c>
      <c r="CD30" s="1786">
        <f t="shared" si="124"/>
        <v>352617.52</v>
      </c>
      <c r="CE30" s="1803"/>
      <c r="CF30" s="1800">
        <f t="shared" si="125"/>
        <v>20</v>
      </c>
      <c r="CG30" s="1776">
        <f t="shared" si="126"/>
        <v>947909.505</v>
      </c>
      <c r="CH30" s="1776">
        <f t="shared" si="126"/>
        <v>362610.50499999995</v>
      </c>
      <c r="CI30" s="1801"/>
      <c r="CJ30" s="1808">
        <v>8</v>
      </c>
      <c r="CK30" s="1783">
        <v>204483</v>
      </c>
      <c r="CL30" s="2577">
        <v>398879.01</v>
      </c>
      <c r="CM30" s="1776">
        <f t="shared" si="127"/>
        <v>194396.01</v>
      </c>
      <c r="CN30" s="1799">
        <f>CM30/CL30</f>
        <v>0.48735582752273682</v>
      </c>
      <c r="CO30" s="1804">
        <v>8</v>
      </c>
      <c r="CP30" s="1776">
        <v>238995</v>
      </c>
      <c r="CQ30" s="1776">
        <v>363977</v>
      </c>
      <c r="CR30" s="1776">
        <f t="shared" si="85"/>
        <v>124982</v>
      </c>
      <c r="CS30" s="1799">
        <f>CR30/CQ30</f>
        <v>0.34337883987175016</v>
      </c>
      <c r="CT30" s="1804">
        <v>7</v>
      </c>
      <c r="CU30" s="1783">
        <v>206151</v>
      </c>
      <c r="CV30" s="1776">
        <f>'[8]TIME SHEET'!$T$382</f>
        <v>363977</v>
      </c>
      <c r="CW30" s="1776">
        <f t="shared" si="86"/>
        <v>157826</v>
      </c>
      <c r="CX30" s="1799">
        <f>CW30/CV30</f>
        <v>0.43361531085755417</v>
      </c>
      <c r="CY30" s="1804"/>
      <c r="CZ30" s="1776"/>
      <c r="DA30" s="1776"/>
      <c r="DB30" s="1776">
        <f t="shared" si="87"/>
        <v>0</v>
      </c>
      <c r="DC30" s="1799" t="s">
        <v>732</v>
      </c>
      <c r="DD30" s="1805"/>
      <c r="DE30" s="1806"/>
      <c r="DF30" s="1806"/>
      <c r="DG30" s="1783">
        <f t="shared" si="30"/>
        <v>0</v>
      </c>
      <c r="DH30" s="1807" t="s">
        <v>732</v>
      </c>
      <c r="DI30" s="1804"/>
      <c r="DJ30" s="1806"/>
      <c r="DK30" s="1806"/>
      <c r="DL30" s="1776">
        <f t="shared" si="88"/>
        <v>0</v>
      </c>
      <c r="DM30" s="1807" t="s">
        <v>732</v>
      </c>
      <c r="DN30" s="1804"/>
      <c r="DO30" s="1776"/>
      <c r="DP30" s="1776"/>
      <c r="DQ30" s="1776">
        <f t="shared" si="93"/>
        <v>0</v>
      </c>
      <c r="DR30" s="1807" t="e">
        <f>DQ30/DP30</f>
        <v>#DIV/0!</v>
      </c>
      <c r="DS30" s="1804"/>
      <c r="DT30" s="1776"/>
      <c r="DU30" s="1776"/>
      <c r="DV30" s="1776">
        <f t="shared" si="94"/>
        <v>0</v>
      </c>
      <c r="DW30" s="1799" t="e">
        <f>DV30/DU30</f>
        <v>#DIV/0!</v>
      </c>
      <c r="DX30" s="1804"/>
      <c r="DY30" s="1776"/>
      <c r="DZ30" s="1776"/>
      <c r="EA30" s="1776">
        <f t="shared" si="31"/>
        <v>0</v>
      </c>
      <c r="EB30" s="1807" t="e">
        <f>EA30/DZ30</f>
        <v>#DIV/0!</v>
      </c>
      <c r="EC30" s="1804"/>
      <c r="ED30" s="1776"/>
      <c r="EE30" s="1776"/>
      <c r="EF30" s="1786">
        <f t="shared" si="33"/>
        <v>0</v>
      </c>
      <c r="EG30" s="1807" t="e">
        <f>EF30/EE30</f>
        <v>#DIV/0!</v>
      </c>
      <c r="EH30" s="1804"/>
      <c r="EI30" s="1776"/>
      <c r="EJ30" s="1776"/>
      <c r="EK30" s="1776">
        <f t="shared" si="34"/>
        <v>0</v>
      </c>
      <c r="EL30" s="1807" t="e">
        <f>EK30/EJ30</f>
        <v>#DIV/0!</v>
      </c>
      <c r="EM30" s="1804"/>
      <c r="EN30" s="1776"/>
      <c r="EO30" s="1776"/>
      <c r="EP30" s="1776">
        <f t="shared" si="36"/>
        <v>0</v>
      </c>
      <c r="EQ30" s="1807" t="e">
        <f>EP30/EO30</f>
        <v>#DIV/0!</v>
      </c>
      <c r="ER30" s="2402">
        <f t="shared" si="38"/>
        <v>1.9166666666666667</v>
      </c>
      <c r="ES30" s="2403">
        <f t="shared" si="39"/>
        <v>649629</v>
      </c>
      <c r="ET30" s="2403">
        <f t="shared" si="39"/>
        <v>1126833.01</v>
      </c>
      <c r="EU30" s="2403">
        <f t="shared" si="39"/>
        <v>477204.01</v>
      </c>
      <c r="EV30" s="2404">
        <f t="shared" si="40"/>
        <v>0.42349132991764238</v>
      </c>
      <c r="EW30" s="1814">
        <f t="shared" si="89"/>
        <v>7.666666666666667</v>
      </c>
      <c r="EX30" s="1776">
        <f t="shared" si="90"/>
        <v>1126833.01</v>
      </c>
      <c r="EY30" s="1776">
        <f t="shared" si="90"/>
        <v>477204.01</v>
      </c>
      <c r="EZ30" s="1815">
        <f>EY30/EX30</f>
        <v>0.42349132991764238</v>
      </c>
      <c r="FA30" s="1939">
        <f t="shared" si="95"/>
        <v>0</v>
      </c>
      <c r="FB30" s="1786">
        <f t="shared" si="42"/>
        <v>0</v>
      </c>
      <c r="FC30" s="1786">
        <f t="shared" si="42"/>
        <v>0</v>
      </c>
      <c r="FD30" s="1799"/>
      <c r="FE30" s="1814">
        <f t="shared" si="96"/>
        <v>0</v>
      </c>
      <c r="FF30" s="1786">
        <f t="shared" si="97"/>
        <v>0</v>
      </c>
      <c r="FG30" s="1786">
        <f t="shared" si="97"/>
        <v>0</v>
      </c>
      <c r="FH30" s="1815" t="e">
        <f>FG30/FF30</f>
        <v>#DIV/0!</v>
      </c>
      <c r="FI30" s="1816">
        <f t="shared" si="128"/>
        <v>0</v>
      </c>
      <c r="FJ30" s="1814"/>
      <c r="FK30" s="1786">
        <f t="shared" si="46"/>
        <v>0</v>
      </c>
      <c r="FL30" s="1786">
        <f t="shared" si="46"/>
        <v>0</v>
      </c>
      <c r="FM30" s="1799" t="e">
        <f>FL30/FK30</f>
        <v>#DIV/0!</v>
      </c>
      <c r="FN30" s="1817"/>
      <c r="FO30" s="1818"/>
      <c r="FP30" s="1818"/>
      <c r="FQ30" s="1818">
        <f t="shared" si="98"/>
        <v>0</v>
      </c>
      <c r="FR30" s="1819" t="e">
        <f t="shared" si="49"/>
        <v>#DIV/0!</v>
      </c>
      <c r="FS30" s="1820"/>
      <c r="FT30" s="1818"/>
      <c r="FU30" s="1818"/>
      <c r="FV30" s="1818">
        <f t="shared" si="99"/>
        <v>0</v>
      </c>
      <c r="FW30" s="1821" t="e">
        <f t="shared" si="100"/>
        <v>#DIV/0!</v>
      </c>
      <c r="FX30" s="1820"/>
      <c r="FY30" s="1822"/>
      <c r="FZ30" s="1822"/>
      <c r="GA30" s="1818">
        <f t="shared" si="52"/>
        <v>0</v>
      </c>
      <c r="GB30" s="1821" t="e">
        <f t="shared" si="101"/>
        <v>#DIV/0!</v>
      </c>
      <c r="GC30" s="1823"/>
      <c r="GD30" s="1824"/>
      <c r="GE30" s="1824"/>
      <c r="GF30" s="1818">
        <f t="shared" si="54"/>
        <v>0</v>
      </c>
      <c r="GG30" s="1821" t="e">
        <f t="shared" si="102"/>
        <v>#DIV/0!</v>
      </c>
      <c r="GH30" s="1823"/>
      <c r="GI30" s="1824"/>
      <c r="GJ30" s="1824"/>
      <c r="GK30" s="1818">
        <f t="shared" si="56"/>
        <v>0</v>
      </c>
      <c r="GL30" s="1821" t="e">
        <f t="shared" si="103"/>
        <v>#DIV/0!</v>
      </c>
      <c r="GM30" s="1839"/>
      <c r="GN30" s="1839"/>
      <c r="GO30" s="1839"/>
      <c r="GP30" s="1839"/>
      <c r="GQ30" s="1839"/>
      <c r="GR30" s="1839"/>
      <c r="GS30" s="1839"/>
      <c r="GT30" s="1839"/>
      <c r="GU30" s="1839"/>
      <c r="GV30" s="1660"/>
      <c r="GW30" s="1839"/>
      <c r="GX30" s="1839"/>
      <c r="GY30" s="1839"/>
      <c r="GZ30" s="1839"/>
      <c r="HA30" s="1660"/>
      <c r="HB30" s="1839"/>
      <c r="HC30" s="1839"/>
      <c r="HD30" s="1839"/>
      <c r="HE30" s="1839"/>
      <c r="HF30" s="1660"/>
      <c r="HG30" s="1839"/>
      <c r="HH30" s="1839"/>
      <c r="HI30" s="1839"/>
      <c r="HJ30" s="1839"/>
      <c r="HK30" s="1660"/>
      <c r="HL30" s="1839"/>
      <c r="HM30" s="1839"/>
      <c r="HN30" s="1839"/>
      <c r="HO30" s="1839"/>
      <c r="HP30" s="1660"/>
      <c r="HQ30" s="1839"/>
      <c r="HR30" s="1839"/>
      <c r="HS30" s="1839"/>
      <c r="HT30" s="1839"/>
      <c r="HU30" s="1839"/>
      <c r="HV30" s="5941">
        <f t="shared" si="8"/>
        <v>0</v>
      </c>
      <c r="HW30" s="622">
        <f t="shared" si="9"/>
        <v>0</v>
      </c>
      <c r="HX30" s="622">
        <f t="shared" si="9"/>
        <v>0</v>
      </c>
      <c r="HY30" s="622">
        <f t="shared" si="9"/>
        <v>0</v>
      </c>
      <c r="HZ30" s="5980"/>
      <c r="IA30" s="1907">
        <f t="shared" si="58"/>
        <v>0</v>
      </c>
      <c r="IB30" s="1908">
        <f t="shared" si="59"/>
        <v>0</v>
      </c>
      <c r="IC30" s="1908">
        <f t="shared" si="59"/>
        <v>0</v>
      </c>
      <c r="ID30" s="1909" t="e">
        <f t="shared" si="60"/>
        <v>#DIV/0!</v>
      </c>
      <c r="IE30" s="5981"/>
      <c r="IF30" s="5876"/>
      <c r="IG30" s="5876"/>
      <c r="IH30" s="5877"/>
      <c r="II30" s="5982"/>
      <c r="IJ30" s="5876"/>
      <c r="IK30" s="5876"/>
      <c r="IL30" s="5877"/>
      <c r="IM30" s="5875"/>
      <c r="IN30" s="5876"/>
      <c r="IO30" s="5876"/>
      <c r="IP30" s="5878"/>
      <c r="IQ30" s="1839"/>
      <c r="IR30" s="5983"/>
      <c r="IS30" s="1818"/>
      <c r="IT30" s="1818"/>
      <c r="IU30" s="1818">
        <f t="shared" si="104"/>
        <v>0</v>
      </c>
      <c r="IV30" s="1819" t="e">
        <f t="shared" si="105"/>
        <v>#DIV/0!</v>
      </c>
      <c r="IW30" s="1820"/>
      <c r="IX30" s="1818"/>
      <c r="IY30" s="1818"/>
      <c r="IZ30" s="1818">
        <f t="shared" si="106"/>
        <v>0</v>
      </c>
      <c r="JA30" s="1821" t="e">
        <f t="shared" si="107"/>
        <v>#DIV/0!</v>
      </c>
      <c r="JB30" s="1984"/>
      <c r="JC30" s="1822"/>
      <c r="JD30" s="1822"/>
      <c r="JE30" s="1818">
        <f t="shared" si="65"/>
        <v>0</v>
      </c>
      <c r="JF30" s="1821" t="e">
        <f t="shared" si="108"/>
        <v>#DIV/0!</v>
      </c>
      <c r="JG30" s="1981"/>
      <c r="JH30" s="1824"/>
      <c r="JI30" s="1824"/>
      <c r="JJ30" s="1818">
        <f t="shared" si="67"/>
        <v>0</v>
      </c>
      <c r="JK30" s="1821" t="e">
        <f t="shared" si="109"/>
        <v>#DIV/0!</v>
      </c>
      <c r="JL30" s="1823"/>
      <c r="JM30" s="1824"/>
      <c r="JN30" s="1824"/>
      <c r="JO30" s="1818">
        <f t="shared" si="69"/>
        <v>0</v>
      </c>
      <c r="JP30" s="1821" t="e">
        <f t="shared" si="110"/>
        <v>#DIV/0!</v>
      </c>
      <c r="JQ30" s="5948"/>
      <c r="JR30" s="1839"/>
      <c r="JS30" s="1839"/>
      <c r="JT30" s="1839"/>
      <c r="JU30" s="1839"/>
      <c r="JV30" s="5984"/>
      <c r="JW30" s="1839"/>
      <c r="JX30" s="1839"/>
      <c r="JY30" s="1839"/>
      <c r="JZ30" s="1660"/>
      <c r="KA30" s="1839"/>
      <c r="KB30" s="1839"/>
      <c r="KC30" s="1839"/>
      <c r="KD30" s="1839"/>
      <c r="KE30" s="1660"/>
      <c r="KF30" s="5951"/>
      <c r="KG30" s="1839"/>
      <c r="KH30" s="1839"/>
      <c r="KI30" s="1839"/>
      <c r="KJ30" s="1660"/>
      <c r="KK30" s="5951"/>
      <c r="KL30" s="1839"/>
      <c r="KM30" s="1839"/>
      <c r="KN30" s="1839"/>
      <c r="KO30" s="1660"/>
      <c r="KP30" s="1659"/>
      <c r="KQ30" s="1839"/>
      <c r="KR30" s="1839"/>
      <c r="KS30" s="1839"/>
      <c r="KT30" s="1839"/>
      <c r="KU30" s="1659"/>
      <c r="KV30" s="1839"/>
      <c r="KW30" s="1839"/>
      <c r="KX30" s="1839"/>
      <c r="KY30" s="1660"/>
      <c r="KZ30" s="5739">
        <f t="shared" si="10"/>
        <v>0</v>
      </c>
      <c r="LA30" s="5740">
        <f t="shared" si="11"/>
        <v>0</v>
      </c>
      <c r="LB30" s="5740">
        <f t="shared" si="11"/>
        <v>0</v>
      </c>
      <c r="LC30" s="5740">
        <f t="shared" si="11"/>
        <v>0</v>
      </c>
      <c r="LD30" s="1660"/>
      <c r="LE30" s="1912">
        <f t="shared" si="71"/>
        <v>0</v>
      </c>
      <c r="LF30" s="1908">
        <f t="shared" si="72"/>
        <v>0</v>
      </c>
      <c r="LG30" s="1908">
        <f t="shared" si="72"/>
        <v>0</v>
      </c>
      <c r="LH30" s="1909"/>
      <c r="LI30" s="5875"/>
      <c r="LJ30" s="5876"/>
      <c r="LK30" s="5876"/>
      <c r="LL30" s="5877"/>
      <c r="LM30" s="1907"/>
      <c r="LN30" s="5876"/>
      <c r="LO30" s="5876"/>
      <c r="LP30" s="5877"/>
      <c r="LQ30" s="5875"/>
      <c r="LR30" s="1836">
        <f t="shared" si="76"/>
        <v>0</v>
      </c>
      <c r="LS30" s="1836">
        <f t="shared" si="76"/>
        <v>0</v>
      </c>
      <c r="LT30" s="5878"/>
      <c r="LV30" s="691"/>
      <c r="LW30" s="1839"/>
      <c r="LX30" s="1839"/>
      <c r="LY30" s="1839"/>
      <c r="LZ30" s="5879"/>
      <c r="MF30" s="5880"/>
      <c r="MG30" s="4965"/>
      <c r="MH30" s="4965"/>
      <c r="MI30" s="1839"/>
      <c r="MJ30" s="1660"/>
      <c r="MK30" s="5881"/>
      <c r="MN30" s="372">
        <f t="shared" si="12"/>
        <v>0</v>
      </c>
      <c r="MP30" s="5881"/>
      <c r="MQ30" s="1839"/>
      <c r="MR30" s="1839"/>
      <c r="MS30" s="1839"/>
      <c r="MT30" s="693"/>
      <c r="MU30" s="2035"/>
      <c r="MV30" s="1914"/>
      <c r="MW30" s="1914"/>
      <c r="MX30" s="1914"/>
      <c r="MY30" s="5882"/>
      <c r="MZ30" s="1659"/>
      <c r="NA30" s="1839"/>
      <c r="NB30" s="1839"/>
      <c r="NC30" s="1839"/>
      <c r="ND30" s="1839"/>
      <c r="NO30" s="5883"/>
      <c r="NP30" s="2425"/>
      <c r="NQ30" s="2425"/>
      <c r="NR30" s="5883"/>
      <c r="NT30" s="1839"/>
      <c r="NU30" s="1839"/>
      <c r="NV30" s="715"/>
      <c r="NW30" s="1839"/>
      <c r="NX30" s="1660"/>
      <c r="NY30" s="5884"/>
      <c r="NZ30" s="1914"/>
      <c r="OA30" s="1914"/>
      <c r="OB30" s="5882"/>
      <c r="OC30" s="1660"/>
      <c r="OE30" s="5885"/>
      <c r="OF30" s="5885"/>
      <c r="OG30" s="715"/>
      <c r="OH30" s="1660"/>
      <c r="OI30" s="1659"/>
      <c r="OJ30" s="1839"/>
      <c r="OK30" s="1839"/>
      <c r="OL30" s="1839"/>
      <c r="OM30" s="693"/>
      <c r="ON30" s="1659"/>
      <c r="OO30" s="715"/>
      <c r="OP30" s="715"/>
      <c r="OQ30" s="715"/>
      <c r="OR30" s="705"/>
      <c r="OS30" s="1659"/>
      <c r="OT30" s="1839"/>
      <c r="OU30" s="1839"/>
      <c r="OV30" s="1839"/>
      <c r="OW30" s="705"/>
      <c r="OX30" s="1659"/>
      <c r="OY30" s="1839"/>
      <c r="OZ30" s="1839"/>
      <c r="PA30" s="1839"/>
      <c r="PB30" s="1660"/>
      <c r="PD30" s="691"/>
      <c r="PE30" s="1839"/>
      <c r="PF30" s="1839"/>
      <c r="PG30" s="1839"/>
      <c r="PH30" s="5879"/>
      <c r="PN30" s="5880"/>
      <c r="PO30" s="4965"/>
      <c r="PP30" s="4965"/>
      <c r="PQ30" s="1839"/>
      <c r="PR30" s="1660"/>
      <c r="PS30" s="5886"/>
      <c r="PT30" s="5883"/>
      <c r="PU30" s="5883"/>
      <c r="PV30" s="2892">
        <f t="shared" si="13"/>
        <v>0</v>
      </c>
      <c r="PW30" s="5883"/>
      <c r="PX30" s="5881"/>
      <c r="PY30" s="1839"/>
      <c r="PZ30" s="1839"/>
      <c r="QA30" s="1839"/>
      <c r="QB30" s="693"/>
      <c r="QC30" s="2035"/>
      <c r="QD30" s="1914"/>
      <c r="QE30" s="1914"/>
      <c r="QF30" s="1914"/>
      <c r="QG30" s="5882"/>
      <c r="QH30" s="1910"/>
      <c r="QI30" s="1839"/>
      <c r="QJ30" s="1839"/>
      <c r="QK30" s="1839"/>
      <c r="QL30" s="1839"/>
      <c r="QM30" s="5880"/>
      <c r="QR30" s="5883"/>
      <c r="QS30" s="5883"/>
      <c r="QT30" s="5883"/>
      <c r="QU30" s="5883"/>
      <c r="QV30" s="1677"/>
      <c r="QW30" s="5883"/>
      <c r="QX30" s="2425"/>
      <c r="QY30" s="2425"/>
      <c r="QZ30" s="5883"/>
      <c r="RA30" s="5883"/>
      <c r="RB30" s="1839"/>
      <c r="RC30" s="1839"/>
      <c r="RD30" s="715"/>
      <c r="RE30" s="1839"/>
      <c r="RF30" s="1660"/>
      <c r="RG30" s="2037"/>
      <c r="RH30" s="1914"/>
      <c r="RI30" s="1914"/>
      <c r="RJ30" s="5882"/>
      <c r="RK30" s="1660"/>
      <c r="RL30" s="5883"/>
      <c r="RM30" s="1873">
        <f t="shared" si="77"/>
        <v>0</v>
      </c>
      <c r="RN30" s="1873">
        <f t="shared" si="77"/>
        <v>0</v>
      </c>
      <c r="RO30" s="1873">
        <f t="shared" si="77"/>
        <v>0</v>
      </c>
      <c r="RP30" s="5883"/>
      <c r="RQ30" s="1659"/>
      <c r="RR30" s="1839"/>
      <c r="RS30" s="1839"/>
      <c r="RT30" s="1839"/>
      <c r="RU30" s="693"/>
      <c r="RV30" s="1659"/>
      <c r="RW30" s="715"/>
      <c r="RX30" s="715"/>
      <c r="RY30" s="715"/>
      <c r="RZ30" s="705"/>
      <c r="SA30" s="1659"/>
      <c r="SB30" s="1839"/>
      <c r="SC30" s="1839"/>
      <c r="SD30" s="1839"/>
      <c r="SE30" s="705"/>
      <c r="SF30" s="1659"/>
      <c r="SG30" s="1839"/>
      <c r="SH30" s="1839"/>
      <c r="SI30" s="1839"/>
      <c r="SJ30" s="1660"/>
      <c r="SL30" s="5887"/>
      <c r="SM30" s="5882"/>
      <c r="SN30" s="5882"/>
      <c r="SO30" s="5882"/>
      <c r="SP30" s="5888"/>
      <c r="SQ30" s="5883"/>
      <c r="SR30" s="5883"/>
      <c r="SS30" s="5883"/>
      <c r="ST30" s="5883"/>
      <c r="SU30" s="5883"/>
      <c r="SV30" s="5880"/>
      <c r="SW30" s="4965"/>
      <c r="SX30" s="4965"/>
      <c r="SY30" s="1839"/>
      <c r="SZ30" s="1660"/>
      <c r="TA30" s="5881"/>
      <c r="TD30" s="372">
        <f t="shared" si="14"/>
        <v>0</v>
      </c>
      <c r="TF30" s="5881"/>
      <c r="TG30" s="1839"/>
      <c r="TH30" s="1839"/>
      <c r="TI30" s="1839"/>
      <c r="TJ30" s="693"/>
      <c r="TK30" s="2035"/>
      <c r="TL30" s="1914"/>
      <c r="TM30" s="1914"/>
      <c r="TN30" s="1914"/>
      <c r="TO30" s="5882"/>
      <c r="TP30" s="2407"/>
      <c r="TQ30" s="1839"/>
      <c r="TR30" s="1839"/>
      <c r="TS30" s="1839"/>
      <c r="TT30" s="1839"/>
      <c r="TU30" s="5889"/>
      <c r="TV30" s="5883"/>
      <c r="TW30" s="5883"/>
      <c r="TX30" s="5883"/>
      <c r="TY30" s="5883"/>
      <c r="TZ30" s="5883"/>
      <c r="UA30" s="5883"/>
      <c r="UB30" s="5883"/>
      <c r="UC30" s="5883"/>
      <c r="UD30" s="1677"/>
      <c r="UE30" s="5883"/>
      <c r="UF30" s="2425"/>
      <c r="UG30" s="2425"/>
      <c r="UH30" s="5883"/>
      <c r="UI30" s="5883"/>
      <c r="UJ30" s="1839"/>
      <c r="UK30" s="1839"/>
      <c r="UL30" s="715"/>
      <c r="UM30" s="1839"/>
      <c r="UN30" s="1660"/>
      <c r="UO30" s="2037"/>
      <c r="UP30" s="1914"/>
      <c r="UQ30" s="1914"/>
      <c r="UR30" s="5882"/>
      <c r="US30" s="1660"/>
      <c r="UU30" s="622">
        <f t="shared" si="78"/>
        <v>0</v>
      </c>
      <c r="UV30" s="622">
        <f t="shared" si="78"/>
        <v>0</v>
      </c>
      <c r="UW30" s="622">
        <f t="shared" si="78"/>
        <v>0</v>
      </c>
      <c r="UY30" s="1659"/>
      <c r="UZ30" s="1839"/>
      <c r="VA30" s="1839"/>
      <c r="VB30" s="1839"/>
      <c r="VC30" s="693"/>
      <c r="VD30" s="1659"/>
      <c r="VE30" s="715"/>
      <c r="VF30" s="715"/>
      <c r="VG30" s="715"/>
      <c r="VH30" s="705"/>
      <c r="VI30" s="1659"/>
      <c r="VJ30" s="1839"/>
      <c r="VK30" s="1839"/>
      <c r="VL30" s="1839"/>
      <c r="VM30" s="705"/>
      <c r="VN30" s="1659"/>
      <c r="VO30" s="1839"/>
      <c r="VP30" s="1839"/>
      <c r="VQ30" s="1839"/>
      <c r="VR30" s="1660"/>
    </row>
    <row r="31" spans="1:590" s="122" customFormat="1" hidden="1" x14ac:dyDescent="0.3">
      <c r="A31" s="2906"/>
      <c r="B31" s="1804" t="s">
        <v>53</v>
      </c>
      <c r="C31" s="5988" t="s">
        <v>775</v>
      </c>
      <c r="D31" s="5996" t="s">
        <v>776</v>
      </c>
      <c r="E31" s="5973">
        <v>42932</v>
      </c>
      <c r="F31" s="5973">
        <v>43281</v>
      </c>
      <c r="G31" s="5997">
        <v>7290416.6699999999</v>
      </c>
      <c r="H31" s="1775">
        <v>236</v>
      </c>
      <c r="I31" s="6006">
        <f>6029311+16433</f>
        <v>6045744</v>
      </c>
      <c r="J31" s="6006">
        <v>7290417</v>
      </c>
      <c r="K31" s="1776">
        <f t="shared" si="111"/>
        <v>1244673</v>
      </c>
      <c r="L31" s="1777">
        <f>K31/J31</f>
        <v>0.17072727115609437</v>
      </c>
      <c r="M31" s="5986">
        <v>228</v>
      </c>
      <c r="N31" s="6008">
        <f>5795769+17000+6059</f>
        <v>5818828</v>
      </c>
      <c r="O31" s="1779">
        <v>7290417</v>
      </c>
      <c r="P31" s="1779">
        <f t="shared" si="112"/>
        <v>1471589</v>
      </c>
      <c r="Q31" s="1780">
        <f>P31/O31</f>
        <v>0.20185251406058116</v>
      </c>
      <c r="R31" s="5977">
        <v>221</v>
      </c>
      <c r="S31" s="1783">
        <f>5664214+17000</f>
        <v>5681214</v>
      </c>
      <c r="T31" s="6006">
        <v>7290417</v>
      </c>
      <c r="U31" s="1776">
        <f t="shared" si="113"/>
        <v>1609203</v>
      </c>
      <c r="V31" s="1777">
        <f>U31/T31</f>
        <v>0.22072852622833508</v>
      </c>
      <c r="W31" s="5976">
        <v>193</v>
      </c>
      <c r="X31" s="1783">
        <v>4929442</v>
      </c>
      <c r="Y31" s="6006">
        <v>5460812</v>
      </c>
      <c r="Z31" s="1776">
        <f t="shared" si="114"/>
        <v>531370</v>
      </c>
      <c r="AA31" s="1777">
        <f>Z31/Y31</f>
        <v>9.7306041665598447E-2</v>
      </c>
      <c r="AB31" s="5977">
        <v>182</v>
      </c>
      <c r="AC31" s="1783">
        <v>4610245</v>
      </c>
      <c r="AD31" s="6006">
        <v>5460812</v>
      </c>
      <c r="AE31" s="1776">
        <f>AD31-AC31</f>
        <v>850567</v>
      </c>
      <c r="AF31" s="1777">
        <f>AE31/AD31</f>
        <v>0.15575833777101281</v>
      </c>
      <c r="AG31" s="1785">
        <f>177+1</f>
        <v>178</v>
      </c>
      <c r="AH31" s="1776">
        <v>4527237</v>
      </c>
      <c r="AI31" s="1788">
        <v>5460812</v>
      </c>
      <c r="AJ31" s="1786">
        <f>AI31-AH31</f>
        <v>933575</v>
      </c>
      <c r="AK31" s="1777">
        <f>AJ31/AI31</f>
        <v>0.17095900756151283</v>
      </c>
      <c r="AL31" s="1785">
        <v>184</v>
      </c>
      <c r="AM31" s="1781">
        <v>4672865</v>
      </c>
      <c r="AN31" s="1781">
        <v>5460812</v>
      </c>
      <c r="AO31" s="1781">
        <f>AN31-AM31</f>
        <v>787947</v>
      </c>
      <c r="AP31" s="1777">
        <f>AO31/AN31</f>
        <v>0.14429117867452679</v>
      </c>
      <c r="AQ31" s="1787">
        <v>177</v>
      </c>
      <c r="AR31" s="1788">
        <f>4453856+42626+110508+17223</f>
        <v>4624213</v>
      </c>
      <c r="AS31" s="1788">
        <v>5460812</v>
      </c>
      <c r="AT31" s="1789">
        <f>AS31-AR31</f>
        <v>836599</v>
      </c>
      <c r="AU31" s="1777">
        <f>AT31/AS31</f>
        <v>0.15320047641266538</v>
      </c>
      <c r="AV31" s="1790">
        <v>175</v>
      </c>
      <c r="AW31" s="1788">
        <v>4417757</v>
      </c>
      <c r="AX31" s="1788">
        <v>5460812</v>
      </c>
      <c r="AY31" s="1781">
        <f>AX31-AW31</f>
        <v>1043055</v>
      </c>
      <c r="AZ31" s="1777">
        <f>AY31/AX31</f>
        <v>0.19100730807066787</v>
      </c>
      <c r="BA31" s="1791">
        <v>171</v>
      </c>
      <c r="BB31" s="1783">
        <v>4354948</v>
      </c>
      <c r="BC31" s="1776">
        <v>5460812</v>
      </c>
      <c r="BD31" s="1781">
        <f t="shared" si="115"/>
        <v>1105864</v>
      </c>
      <c r="BE31" s="1780">
        <f t="shared" si="116"/>
        <v>0.20250907740460578</v>
      </c>
      <c r="BF31" s="1790">
        <v>166</v>
      </c>
      <c r="BG31" s="1788">
        <v>4244216</v>
      </c>
      <c r="BH31" s="1788">
        <v>5460812</v>
      </c>
      <c r="BI31" s="1781">
        <f t="shared" si="117"/>
        <v>1216596</v>
      </c>
      <c r="BJ31" s="1780">
        <f>BI31/BH31</f>
        <v>0.22278664784651073</v>
      </c>
      <c r="BK31" s="1790">
        <v>192</v>
      </c>
      <c r="BL31" s="1783">
        <f>4847098+44112</f>
        <v>4891210</v>
      </c>
      <c r="BM31" s="5993">
        <v>5460812</v>
      </c>
      <c r="BN31" s="1781">
        <f t="shared" si="118"/>
        <v>569602</v>
      </c>
      <c r="BO31" s="5978">
        <f>BN31/BM31</f>
        <v>0.10430719827014737</v>
      </c>
      <c r="BP31" s="1937">
        <f t="shared" si="21"/>
        <v>191.91666666666666</v>
      </c>
      <c r="BQ31" s="1796">
        <f t="shared" si="22"/>
        <v>58817919</v>
      </c>
      <c r="BR31" s="1786">
        <f t="shared" si="22"/>
        <v>71018559</v>
      </c>
      <c r="BS31" s="1797">
        <f t="shared" si="7"/>
        <v>12200640</v>
      </c>
      <c r="BT31" s="1798">
        <f t="shared" si="119"/>
        <v>685</v>
      </c>
      <c r="BU31" s="1786">
        <f t="shared" si="120"/>
        <v>21871251</v>
      </c>
      <c r="BV31" s="1786">
        <f t="shared" si="120"/>
        <v>4325465</v>
      </c>
      <c r="BW31" s="1799">
        <f>BV31/BU31</f>
        <v>0.19776943714833686</v>
      </c>
      <c r="BX31" s="1800">
        <f t="shared" si="121"/>
        <v>553</v>
      </c>
      <c r="BY31" s="1786">
        <f t="shared" si="122"/>
        <v>16382436</v>
      </c>
      <c r="BZ31" s="1786">
        <f t="shared" si="122"/>
        <v>2315512</v>
      </c>
      <c r="CA31" s="1801"/>
      <c r="CB31" s="1802">
        <f t="shared" si="123"/>
        <v>536</v>
      </c>
      <c r="CC31" s="1786">
        <f t="shared" si="124"/>
        <v>16382436</v>
      </c>
      <c r="CD31" s="1786">
        <f t="shared" si="124"/>
        <v>2667601</v>
      </c>
      <c r="CE31" s="1803"/>
      <c r="CF31" s="1800">
        <f t="shared" si="125"/>
        <v>529</v>
      </c>
      <c r="CG31" s="1776">
        <f t="shared" si="126"/>
        <v>16382436</v>
      </c>
      <c r="CH31" s="1776">
        <f t="shared" si="126"/>
        <v>2892062</v>
      </c>
      <c r="CI31" s="1801"/>
      <c r="CJ31" s="1804"/>
      <c r="CK31" s="1776"/>
      <c r="CL31" s="1776"/>
      <c r="CM31" s="1776">
        <f t="shared" si="127"/>
        <v>0</v>
      </c>
      <c r="CN31" s="1799"/>
      <c r="CO31" s="1804"/>
      <c r="CP31" s="1776"/>
      <c r="CQ31" s="1776"/>
      <c r="CR31" s="1776">
        <f t="shared" si="85"/>
        <v>0</v>
      </c>
      <c r="CS31" s="1799"/>
      <c r="CT31" s="1804"/>
      <c r="CU31" s="1776"/>
      <c r="CV31" s="1776"/>
      <c r="CW31" s="1776">
        <f t="shared" si="86"/>
        <v>0</v>
      </c>
      <c r="CX31" s="1799"/>
      <c r="CY31" s="1804"/>
      <c r="CZ31" s="1776"/>
      <c r="DA31" s="1776"/>
      <c r="DB31" s="1776">
        <f t="shared" si="87"/>
        <v>0</v>
      </c>
      <c r="DC31" s="1799"/>
      <c r="DD31" s="1805"/>
      <c r="DE31" s="1806"/>
      <c r="DF31" s="1806"/>
      <c r="DG31" s="1783">
        <f t="shared" si="30"/>
        <v>0</v>
      </c>
      <c r="DH31" s="1807"/>
      <c r="DI31" s="1804"/>
      <c r="DJ31" s="1806"/>
      <c r="DK31" s="1806"/>
      <c r="DL31" s="1776">
        <f t="shared" si="88"/>
        <v>0</v>
      </c>
      <c r="DM31" s="1807"/>
      <c r="DN31" s="1804"/>
      <c r="DO31" s="1776"/>
      <c r="DP31" s="1776"/>
      <c r="DQ31" s="1776">
        <f t="shared" si="93"/>
        <v>0</v>
      </c>
      <c r="DR31" s="1807"/>
      <c r="DS31" s="1804"/>
      <c r="DT31" s="1776"/>
      <c r="DU31" s="1776"/>
      <c r="DV31" s="1776">
        <f t="shared" si="94"/>
        <v>0</v>
      </c>
      <c r="DW31" s="1799" t="e">
        <f>DV31/DU31</f>
        <v>#DIV/0!</v>
      </c>
      <c r="DX31" s="1804"/>
      <c r="DY31" s="1776"/>
      <c r="DZ31" s="1776"/>
      <c r="EA31" s="1776">
        <f t="shared" si="31"/>
        <v>0</v>
      </c>
      <c r="EB31" s="1807" t="e">
        <f>EA31/DZ31</f>
        <v>#DIV/0!</v>
      </c>
      <c r="EC31" s="1804"/>
      <c r="ED31" s="1776"/>
      <c r="EE31" s="1776"/>
      <c r="EF31" s="1786">
        <f t="shared" si="33"/>
        <v>0</v>
      </c>
      <c r="EG31" s="1807" t="e">
        <f>EF31/EE31</f>
        <v>#DIV/0!</v>
      </c>
      <c r="EH31" s="1804"/>
      <c r="EI31" s="1776"/>
      <c r="EJ31" s="1776"/>
      <c r="EK31" s="1776">
        <f t="shared" si="34"/>
        <v>0</v>
      </c>
      <c r="EL31" s="1807" t="e">
        <f>EK31/EJ31</f>
        <v>#DIV/0!</v>
      </c>
      <c r="EM31" s="1804"/>
      <c r="EN31" s="1776"/>
      <c r="EO31" s="1776"/>
      <c r="EP31" s="1776">
        <f t="shared" si="36"/>
        <v>0</v>
      </c>
      <c r="EQ31" s="1807" t="e">
        <f>EP31/EO31</f>
        <v>#DIV/0!</v>
      </c>
      <c r="ER31" s="2402">
        <f t="shared" si="38"/>
        <v>0</v>
      </c>
      <c r="ES31" s="2403">
        <f t="shared" si="39"/>
        <v>0</v>
      </c>
      <c r="ET31" s="2403">
        <f t="shared" si="39"/>
        <v>0</v>
      </c>
      <c r="EU31" s="2403">
        <f t="shared" si="39"/>
        <v>0</v>
      </c>
      <c r="EV31" s="2404" t="e">
        <f t="shared" si="40"/>
        <v>#DIV/0!</v>
      </c>
      <c r="EW31" s="1814">
        <f t="shared" si="89"/>
        <v>0</v>
      </c>
      <c r="EX31" s="1776">
        <f t="shared" si="90"/>
        <v>0</v>
      </c>
      <c r="EY31" s="1776">
        <f t="shared" si="90"/>
        <v>0</v>
      </c>
      <c r="EZ31" s="1815" t="e">
        <f>EY31/EX31</f>
        <v>#DIV/0!</v>
      </c>
      <c r="FA31" s="1939">
        <f t="shared" si="95"/>
        <v>0</v>
      </c>
      <c r="FB31" s="1786">
        <f t="shared" si="42"/>
        <v>0</v>
      </c>
      <c r="FC31" s="1786">
        <f t="shared" si="42"/>
        <v>0</v>
      </c>
      <c r="FD31" s="1799" t="e">
        <f>FC31/FB31</f>
        <v>#DIV/0!</v>
      </c>
      <c r="FE31" s="1814">
        <f t="shared" si="96"/>
        <v>0</v>
      </c>
      <c r="FF31" s="1786">
        <f t="shared" si="97"/>
        <v>0</v>
      </c>
      <c r="FG31" s="1786">
        <f t="shared" si="97"/>
        <v>0</v>
      </c>
      <c r="FH31" s="1815" t="e">
        <f>FG31/FF31</f>
        <v>#DIV/0!</v>
      </c>
      <c r="FI31" s="1816">
        <f t="shared" si="128"/>
        <v>0</v>
      </c>
      <c r="FJ31" s="1814"/>
      <c r="FK31" s="1786">
        <f t="shared" si="46"/>
        <v>0</v>
      </c>
      <c r="FL31" s="1786">
        <f t="shared" si="46"/>
        <v>0</v>
      </c>
      <c r="FM31" s="1799" t="e">
        <f>FL31/FK31</f>
        <v>#DIV/0!</v>
      </c>
      <c r="FN31" s="1817"/>
      <c r="FO31" s="1818"/>
      <c r="FP31" s="1818"/>
      <c r="FQ31" s="1818">
        <f t="shared" si="98"/>
        <v>0</v>
      </c>
      <c r="FR31" s="1819" t="e">
        <f t="shared" si="49"/>
        <v>#DIV/0!</v>
      </c>
      <c r="FS31" s="1820"/>
      <c r="FT31" s="1818"/>
      <c r="FU31" s="1818"/>
      <c r="FV31" s="1818">
        <f t="shared" si="99"/>
        <v>0</v>
      </c>
      <c r="FW31" s="1821" t="e">
        <f t="shared" si="100"/>
        <v>#DIV/0!</v>
      </c>
      <c r="FX31" s="1820"/>
      <c r="FY31" s="1822"/>
      <c r="FZ31" s="1822"/>
      <c r="GA31" s="1818">
        <f t="shared" si="52"/>
        <v>0</v>
      </c>
      <c r="GB31" s="1821" t="e">
        <f t="shared" si="101"/>
        <v>#DIV/0!</v>
      </c>
      <c r="GC31" s="1823"/>
      <c r="GD31" s="1824"/>
      <c r="GE31" s="1824"/>
      <c r="GF31" s="1818">
        <f t="shared" si="54"/>
        <v>0</v>
      </c>
      <c r="GG31" s="1821" t="e">
        <f t="shared" si="102"/>
        <v>#DIV/0!</v>
      </c>
      <c r="GH31" s="1823"/>
      <c r="GI31" s="1824"/>
      <c r="GJ31" s="1824"/>
      <c r="GK31" s="1818">
        <f t="shared" si="56"/>
        <v>0</v>
      </c>
      <c r="GL31" s="1821" t="e">
        <f t="shared" si="103"/>
        <v>#DIV/0!</v>
      </c>
      <c r="GM31" s="1839"/>
      <c r="GN31" s="1839"/>
      <c r="GO31" s="1839"/>
      <c r="GP31" s="1839"/>
      <c r="GQ31" s="1839"/>
      <c r="GR31" s="1839"/>
      <c r="GS31" s="1839"/>
      <c r="GT31" s="1839"/>
      <c r="GU31" s="1839"/>
      <c r="GV31" s="1660"/>
      <c r="GW31" s="1839"/>
      <c r="GX31" s="1839"/>
      <c r="GY31" s="1839"/>
      <c r="GZ31" s="1839"/>
      <c r="HA31" s="1660"/>
      <c r="HB31" s="1839"/>
      <c r="HC31" s="1839"/>
      <c r="HD31" s="1839"/>
      <c r="HE31" s="1839"/>
      <c r="HF31" s="1660"/>
      <c r="HG31" s="1839"/>
      <c r="HH31" s="1839"/>
      <c r="HI31" s="1839"/>
      <c r="HJ31" s="1839"/>
      <c r="HK31" s="1660"/>
      <c r="HL31" s="1839"/>
      <c r="HM31" s="1839"/>
      <c r="HN31" s="1839"/>
      <c r="HO31" s="1839"/>
      <c r="HP31" s="1660"/>
      <c r="HQ31" s="1839"/>
      <c r="HR31" s="1839"/>
      <c r="HS31" s="1839"/>
      <c r="HT31" s="1839"/>
      <c r="HU31" s="1839"/>
      <c r="HV31" s="5941">
        <f t="shared" si="8"/>
        <v>0</v>
      </c>
      <c r="HW31" s="622">
        <f t="shared" si="9"/>
        <v>0</v>
      </c>
      <c r="HX31" s="622">
        <f t="shared" si="9"/>
        <v>0</v>
      </c>
      <c r="HY31" s="622">
        <f t="shared" si="9"/>
        <v>0</v>
      </c>
      <c r="HZ31" s="5980"/>
      <c r="IA31" s="1907">
        <f t="shared" si="58"/>
        <v>0</v>
      </c>
      <c r="IB31" s="1908">
        <f t="shared" si="59"/>
        <v>0</v>
      </c>
      <c r="IC31" s="1908">
        <f t="shared" si="59"/>
        <v>0</v>
      </c>
      <c r="ID31" s="1909" t="e">
        <f t="shared" si="60"/>
        <v>#DIV/0!</v>
      </c>
      <c r="IE31" s="5981"/>
      <c r="IF31" s="5876"/>
      <c r="IG31" s="5876"/>
      <c r="IH31" s="5877"/>
      <c r="II31" s="5982"/>
      <c r="IJ31" s="5876"/>
      <c r="IK31" s="5876"/>
      <c r="IL31" s="5877"/>
      <c r="IM31" s="5875"/>
      <c r="IN31" s="5876"/>
      <c r="IO31" s="5876"/>
      <c r="IP31" s="5878"/>
      <c r="IQ31" s="1839"/>
      <c r="IR31" s="5983"/>
      <c r="IS31" s="1818"/>
      <c r="IT31" s="1818"/>
      <c r="IU31" s="1818">
        <f t="shared" si="104"/>
        <v>0</v>
      </c>
      <c r="IV31" s="1819" t="e">
        <f t="shared" si="105"/>
        <v>#DIV/0!</v>
      </c>
      <c r="IW31" s="1820"/>
      <c r="IX31" s="1818"/>
      <c r="IY31" s="1818"/>
      <c r="IZ31" s="1818">
        <f t="shared" si="106"/>
        <v>0</v>
      </c>
      <c r="JA31" s="1821" t="e">
        <f t="shared" si="107"/>
        <v>#DIV/0!</v>
      </c>
      <c r="JB31" s="1984"/>
      <c r="JC31" s="1822"/>
      <c r="JD31" s="1822"/>
      <c r="JE31" s="1818">
        <f t="shared" si="65"/>
        <v>0</v>
      </c>
      <c r="JF31" s="1821" t="e">
        <f t="shared" si="108"/>
        <v>#DIV/0!</v>
      </c>
      <c r="JG31" s="1981"/>
      <c r="JH31" s="1824"/>
      <c r="JI31" s="1824"/>
      <c r="JJ31" s="1818">
        <f t="shared" si="67"/>
        <v>0</v>
      </c>
      <c r="JK31" s="1821" t="e">
        <f t="shared" si="109"/>
        <v>#DIV/0!</v>
      </c>
      <c r="JL31" s="1823"/>
      <c r="JM31" s="1824"/>
      <c r="JN31" s="1824"/>
      <c r="JO31" s="1818">
        <f t="shared" si="69"/>
        <v>0</v>
      </c>
      <c r="JP31" s="1821" t="e">
        <f t="shared" si="110"/>
        <v>#DIV/0!</v>
      </c>
      <c r="JQ31" s="5948"/>
      <c r="JR31" s="1839"/>
      <c r="JS31" s="1839"/>
      <c r="JT31" s="1839"/>
      <c r="JU31" s="1839"/>
      <c r="JV31" s="5984"/>
      <c r="JW31" s="1839"/>
      <c r="JX31" s="1839"/>
      <c r="JY31" s="1839"/>
      <c r="JZ31" s="1660"/>
      <c r="KA31" s="1839"/>
      <c r="KB31" s="1839"/>
      <c r="KC31" s="1839"/>
      <c r="KD31" s="1839"/>
      <c r="KE31" s="1660"/>
      <c r="KF31" s="5951"/>
      <c r="KG31" s="1839"/>
      <c r="KH31" s="1839"/>
      <c r="KI31" s="1839"/>
      <c r="KJ31" s="1660"/>
      <c r="KK31" s="5951"/>
      <c r="KL31" s="1839"/>
      <c r="KM31" s="1839"/>
      <c r="KN31" s="1839"/>
      <c r="KO31" s="1660"/>
      <c r="KP31" s="1659"/>
      <c r="KQ31" s="1839"/>
      <c r="KR31" s="1839"/>
      <c r="KS31" s="1839"/>
      <c r="KT31" s="1839"/>
      <c r="KU31" s="1659"/>
      <c r="KV31" s="1839"/>
      <c r="KW31" s="1839"/>
      <c r="KX31" s="1839"/>
      <c r="KY31" s="1660"/>
      <c r="KZ31" s="5739">
        <f t="shared" si="10"/>
        <v>0</v>
      </c>
      <c r="LA31" s="5740">
        <f t="shared" si="11"/>
        <v>0</v>
      </c>
      <c r="LB31" s="5740">
        <f t="shared" si="11"/>
        <v>0</v>
      </c>
      <c r="LC31" s="5740">
        <f t="shared" si="11"/>
        <v>0</v>
      </c>
      <c r="LD31" s="1660"/>
      <c r="LE31" s="1912">
        <f t="shared" si="71"/>
        <v>0</v>
      </c>
      <c r="LF31" s="1908">
        <f t="shared" si="72"/>
        <v>0</v>
      </c>
      <c r="LG31" s="1908">
        <f t="shared" si="72"/>
        <v>0</v>
      </c>
      <c r="LH31" s="1909"/>
      <c r="LI31" s="5875"/>
      <c r="LJ31" s="5876"/>
      <c r="LK31" s="5876"/>
      <c r="LL31" s="5877"/>
      <c r="LM31" s="1907"/>
      <c r="LN31" s="5876"/>
      <c r="LO31" s="5876"/>
      <c r="LP31" s="5877"/>
      <c r="LQ31" s="5875"/>
      <c r="LR31" s="1836">
        <f t="shared" si="76"/>
        <v>0</v>
      </c>
      <c r="LS31" s="1836">
        <f t="shared" si="76"/>
        <v>0</v>
      </c>
      <c r="LT31" s="5878"/>
      <c r="LV31" s="691"/>
      <c r="LW31" s="1839"/>
      <c r="LX31" s="1839"/>
      <c r="LY31" s="1839"/>
      <c r="LZ31" s="5879"/>
      <c r="MF31" s="5880"/>
      <c r="MG31" s="4965"/>
      <c r="MH31" s="4965"/>
      <c r="MI31" s="1839"/>
      <c r="MJ31" s="1660"/>
      <c r="MK31" s="5881"/>
      <c r="MN31" s="372">
        <f t="shared" si="12"/>
        <v>0</v>
      </c>
      <c r="MP31" s="5881"/>
      <c r="MQ31" s="1839"/>
      <c r="MR31" s="1839"/>
      <c r="MS31" s="1839"/>
      <c r="MT31" s="693"/>
      <c r="MU31" s="2035"/>
      <c r="MV31" s="1914"/>
      <c r="MW31" s="1914"/>
      <c r="MX31" s="1914"/>
      <c r="MY31" s="5882"/>
      <c r="MZ31" s="1659"/>
      <c r="NA31" s="1839"/>
      <c r="NB31" s="1839"/>
      <c r="NC31" s="1839"/>
      <c r="ND31" s="1839"/>
      <c r="NO31" s="5883"/>
      <c r="NP31" s="2425"/>
      <c r="NQ31" s="2425"/>
      <c r="NR31" s="5883"/>
      <c r="NT31" s="1839"/>
      <c r="NU31" s="1839"/>
      <c r="NV31" s="715"/>
      <c r="NW31" s="1839"/>
      <c r="NX31" s="1660"/>
      <c r="NY31" s="1659"/>
      <c r="NZ31" s="715"/>
      <c r="OA31" s="715"/>
      <c r="OB31" s="1839"/>
      <c r="OC31" s="1660"/>
      <c r="OE31" s="5885"/>
      <c r="OF31" s="5885"/>
      <c r="OG31" s="715"/>
      <c r="OH31" s="1660"/>
      <c r="OI31" s="1659"/>
      <c r="OJ31" s="1839"/>
      <c r="OK31" s="1839"/>
      <c r="OL31" s="1839"/>
      <c r="OM31" s="693"/>
      <c r="ON31" s="1659"/>
      <c r="OO31" s="715"/>
      <c r="OP31" s="715"/>
      <c r="OQ31" s="715"/>
      <c r="OR31" s="705"/>
      <c r="OS31" s="1659"/>
      <c r="OT31" s="1839"/>
      <c r="OU31" s="1839"/>
      <c r="OV31" s="1839"/>
      <c r="OW31" s="705"/>
      <c r="OX31" s="1659"/>
      <c r="OY31" s="1839"/>
      <c r="OZ31" s="1839"/>
      <c r="PA31" s="1839"/>
      <c r="PB31" s="1660"/>
      <c r="PD31" s="691"/>
      <c r="PE31" s="1839"/>
      <c r="PF31" s="1839"/>
      <c r="PG31" s="1839"/>
      <c r="PH31" s="5879"/>
      <c r="PN31" s="5880"/>
      <c r="PO31" s="4965"/>
      <c r="PP31" s="4965"/>
      <c r="PQ31" s="1839"/>
      <c r="PR31" s="1660"/>
      <c r="PS31" s="5886"/>
      <c r="PT31" s="5883"/>
      <c r="PU31" s="5883"/>
      <c r="PV31" s="2892">
        <f t="shared" si="13"/>
        <v>0</v>
      </c>
      <c r="PW31" s="5883"/>
      <c r="PX31" s="5881"/>
      <c r="PY31" s="1839"/>
      <c r="PZ31" s="1839"/>
      <c r="QA31" s="1839"/>
      <c r="QB31" s="693"/>
      <c r="QC31" s="2035"/>
      <c r="QD31" s="1914"/>
      <c r="QE31" s="1914"/>
      <c r="QF31" s="1914"/>
      <c r="QG31" s="5882"/>
      <c r="QH31" s="1910"/>
      <c r="QI31" s="1839"/>
      <c r="QJ31" s="1839"/>
      <c r="QK31" s="1839"/>
      <c r="QL31" s="1839"/>
      <c r="QM31" s="5880"/>
      <c r="QR31" s="5883"/>
      <c r="QS31" s="5883"/>
      <c r="QT31" s="5883"/>
      <c r="QU31" s="5883"/>
      <c r="QV31" s="1677"/>
      <c r="QW31" s="5883"/>
      <c r="QX31" s="2425"/>
      <c r="QY31" s="2425"/>
      <c r="QZ31" s="5883"/>
      <c r="RA31" s="5883"/>
      <c r="RB31" s="1839"/>
      <c r="RC31" s="1839"/>
      <c r="RD31" s="715"/>
      <c r="RE31" s="1839"/>
      <c r="RF31" s="1660"/>
      <c r="RG31" s="2037"/>
      <c r="RH31" s="1914"/>
      <c r="RI31" s="1914"/>
      <c r="RJ31" s="5882"/>
      <c r="RK31" s="1660"/>
      <c r="RL31" s="5883"/>
      <c r="RM31" s="1873">
        <f t="shared" si="77"/>
        <v>0</v>
      </c>
      <c r="RN31" s="1873">
        <f t="shared" si="77"/>
        <v>0</v>
      </c>
      <c r="RO31" s="1873">
        <f t="shared" si="77"/>
        <v>0</v>
      </c>
      <c r="RP31" s="5883"/>
      <c r="RQ31" s="1659"/>
      <c r="RR31" s="1839"/>
      <c r="RS31" s="1839"/>
      <c r="RT31" s="1839"/>
      <c r="RU31" s="693"/>
      <c r="RV31" s="1659"/>
      <c r="RW31" s="715"/>
      <c r="RX31" s="715"/>
      <c r="RY31" s="715"/>
      <c r="RZ31" s="705"/>
      <c r="SA31" s="1659"/>
      <c r="SB31" s="1839"/>
      <c r="SC31" s="1839"/>
      <c r="SD31" s="1839"/>
      <c r="SE31" s="705"/>
      <c r="SF31" s="1659"/>
      <c r="SG31" s="1839"/>
      <c r="SH31" s="1839"/>
      <c r="SI31" s="1839"/>
      <c r="SJ31" s="1660"/>
      <c r="SL31" s="5887"/>
      <c r="SM31" s="5882"/>
      <c r="SN31" s="5882"/>
      <c r="SO31" s="5882"/>
      <c r="SP31" s="5888"/>
      <c r="SQ31" s="5883"/>
      <c r="SR31" s="5883"/>
      <c r="SS31" s="5883"/>
      <c r="ST31" s="5883"/>
      <c r="SU31" s="5883"/>
      <c r="SV31" s="5880"/>
      <c r="SW31" s="4965"/>
      <c r="SX31" s="4965"/>
      <c r="SY31" s="1839"/>
      <c r="SZ31" s="1660"/>
      <c r="TA31" s="5881"/>
      <c r="TD31" s="372">
        <f t="shared" si="14"/>
        <v>0</v>
      </c>
      <c r="TF31" s="5881"/>
      <c r="TG31" s="1839"/>
      <c r="TH31" s="1839"/>
      <c r="TI31" s="1839"/>
      <c r="TJ31" s="693"/>
      <c r="TK31" s="2035"/>
      <c r="TL31" s="1914"/>
      <c r="TM31" s="1914"/>
      <c r="TN31" s="1914"/>
      <c r="TO31" s="5882"/>
      <c r="TP31" s="2407"/>
      <c r="TQ31" s="1839"/>
      <c r="TR31" s="1839"/>
      <c r="TS31" s="1839"/>
      <c r="TT31" s="1839"/>
      <c r="TU31" s="5889"/>
      <c r="TV31" s="5883"/>
      <c r="TW31" s="5883"/>
      <c r="TX31" s="5883"/>
      <c r="TY31" s="5883"/>
      <c r="TZ31" s="5883"/>
      <c r="UA31" s="5883"/>
      <c r="UB31" s="5883"/>
      <c r="UC31" s="5883"/>
      <c r="UD31" s="1677"/>
      <c r="UE31" s="5883"/>
      <c r="UF31" s="2425"/>
      <c r="UG31" s="2425"/>
      <c r="UH31" s="5883"/>
      <c r="UI31" s="5883"/>
      <c r="UJ31" s="1839"/>
      <c r="UK31" s="1839"/>
      <c r="UL31" s="715"/>
      <c r="UM31" s="1839"/>
      <c r="UN31" s="1660"/>
      <c r="UO31" s="2037"/>
      <c r="UP31" s="1914"/>
      <c r="UQ31" s="1914"/>
      <c r="UR31" s="5882"/>
      <c r="US31" s="1660"/>
      <c r="UU31" s="622">
        <f t="shared" si="78"/>
        <v>0</v>
      </c>
      <c r="UV31" s="622">
        <f t="shared" si="78"/>
        <v>0</v>
      </c>
      <c r="UW31" s="622">
        <f t="shared" si="78"/>
        <v>0</v>
      </c>
      <c r="UY31" s="1659"/>
      <c r="UZ31" s="1839"/>
      <c r="VA31" s="1839"/>
      <c r="VB31" s="1839"/>
      <c r="VC31" s="693"/>
      <c r="VD31" s="1659"/>
      <c r="VE31" s="715"/>
      <c r="VF31" s="715"/>
      <c r="VG31" s="715"/>
      <c r="VH31" s="705"/>
      <c r="VI31" s="1659"/>
      <c r="VJ31" s="1839"/>
      <c r="VK31" s="1839"/>
      <c r="VL31" s="1839"/>
      <c r="VM31" s="705"/>
      <c r="VN31" s="1659"/>
      <c r="VO31" s="1839"/>
      <c r="VP31" s="1839"/>
      <c r="VQ31" s="1839"/>
      <c r="VR31" s="1660"/>
    </row>
    <row r="32" spans="1:590" s="122" customFormat="1" ht="13.45" hidden="1" x14ac:dyDescent="0.3">
      <c r="A32" s="2906"/>
      <c r="B32" s="1773" t="s">
        <v>53</v>
      </c>
      <c r="C32" s="1774" t="s">
        <v>777</v>
      </c>
      <c r="D32" s="6009" t="s">
        <v>778</v>
      </c>
      <c r="E32" s="6010">
        <v>44232</v>
      </c>
      <c r="F32" s="6010">
        <v>44596</v>
      </c>
      <c r="G32" s="6011">
        <v>75000</v>
      </c>
      <c r="H32" s="1775"/>
      <c r="I32" s="1776"/>
      <c r="J32" s="1776"/>
      <c r="K32" s="1776"/>
      <c r="L32" s="1777"/>
      <c r="M32" s="1778"/>
      <c r="N32" s="1779"/>
      <c r="O32" s="1779"/>
      <c r="P32" s="1779"/>
      <c r="Q32" s="1780"/>
      <c r="R32" s="1780"/>
      <c r="S32" s="1776"/>
      <c r="T32" s="1776"/>
      <c r="U32" s="1776"/>
      <c r="V32" s="1777"/>
      <c r="W32" s="1776"/>
      <c r="X32" s="1776"/>
      <c r="Y32" s="1781"/>
      <c r="Z32" s="1776"/>
      <c r="AA32" s="1782"/>
      <c r="AB32" s="1781"/>
      <c r="AC32" s="1783"/>
      <c r="AD32" s="1784"/>
      <c r="AE32" s="1776"/>
      <c r="AF32" s="1777"/>
      <c r="AG32" s="1785"/>
      <c r="AH32" s="1776"/>
      <c r="AI32" s="1776"/>
      <c r="AJ32" s="1786"/>
      <c r="AK32" s="1777"/>
      <c r="AL32" s="1785"/>
      <c r="AM32" s="1776"/>
      <c r="AN32" s="1776"/>
      <c r="AO32" s="1781"/>
      <c r="AP32" s="1777"/>
      <c r="AQ32" s="1787"/>
      <c r="AR32" s="1788"/>
      <c r="AS32" s="1788"/>
      <c r="AT32" s="1789"/>
      <c r="AU32" s="1777"/>
      <c r="AV32" s="1790"/>
      <c r="AW32" s="1781"/>
      <c r="AX32" s="1781"/>
      <c r="AY32" s="1781"/>
      <c r="AZ32" s="1777"/>
      <c r="BA32" s="1791"/>
      <c r="BB32" s="1792"/>
      <c r="BC32" s="1783"/>
      <c r="BD32" s="1781"/>
      <c r="BE32" s="1780"/>
      <c r="BF32" s="1790"/>
      <c r="BG32" s="1781"/>
      <c r="BH32" s="1776"/>
      <c r="BI32" s="1781"/>
      <c r="BJ32" s="1793"/>
      <c r="BK32" s="1790"/>
      <c r="BL32" s="1781"/>
      <c r="BM32" s="1776"/>
      <c r="BN32" s="1781"/>
      <c r="BO32" s="1794"/>
      <c r="BP32" s="1795"/>
      <c r="BQ32" s="1796"/>
      <c r="BR32" s="1786"/>
      <c r="BS32" s="1797"/>
      <c r="BT32" s="1798"/>
      <c r="BU32" s="1786"/>
      <c r="BV32" s="1786"/>
      <c r="BW32" s="1799"/>
      <c r="BX32" s="1800"/>
      <c r="BY32" s="1786"/>
      <c r="BZ32" s="1786"/>
      <c r="CA32" s="1801"/>
      <c r="CB32" s="1802"/>
      <c r="CC32" s="1786"/>
      <c r="CD32" s="1786"/>
      <c r="CE32" s="1803"/>
      <c r="CF32" s="1800"/>
      <c r="CG32" s="1776"/>
      <c r="CH32" s="1776"/>
      <c r="CI32" s="1801"/>
      <c r="CJ32" s="1804"/>
      <c r="CK32" s="1776"/>
      <c r="CL32" s="1776"/>
      <c r="CM32" s="1776"/>
      <c r="CN32" s="1799"/>
      <c r="CO32" s="1804"/>
      <c r="CP32" s="1776"/>
      <c r="CQ32" s="1776"/>
      <c r="CR32" s="1776"/>
      <c r="CS32" s="1799"/>
      <c r="CT32" s="1804"/>
      <c r="CU32" s="1776"/>
      <c r="CV32" s="1776"/>
      <c r="CW32" s="1776"/>
      <c r="CX32" s="1799"/>
      <c r="CY32" s="1804"/>
      <c r="CZ32" s="1776"/>
      <c r="DA32" s="1776"/>
      <c r="DB32" s="1776"/>
      <c r="DC32" s="1799"/>
      <c r="DD32" s="1805"/>
      <c r="DE32" s="1806"/>
      <c r="DF32" s="1806"/>
      <c r="DG32" s="1783"/>
      <c r="DH32" s="1807"/>
      <c r="DI32" s="1804"/>
      <c r="DJ32" s="1806"/>
      <c r="DK32" s="1806"/>
      <c r="DL32" s="1776"/>
      <c r="DM32" s="1807"/>
      <c r="DN32" s="1804"/>
      <c r="DO32" s="1776"/>
      <c r="DP32" s="1776"/>
      <c r="DQ32" s="1776"/>
      <c r="DR32" s="1807"/>
      <c r="DS32" s="1808"/>
      <c r="DT32" s="1783"/>
      <c r="DU32" s="1783"/>
      <c r="DV32" s="1776"/>
      <c r="DW32" s="1799"/>
      <c r="DX32" s="1804"/>
      <c r="DY32" s="1776"/>
      <c r="DZ32" s="1776"/>
      <c r="EA32" s="1776"/>
      <c r="EB32" s="1807"/>
      <c r="EC32" s="1804"/>
      <c r="ED32" s="1776"/>
      <c r="EE32" s="1776"/>
      <c r="EF32" s="1786"/>
      <c r="EG32" s="1807"/>
      <c r="EH32" s="1804"/>
      <c r="EI32" s="1776"/>
      <c r="EJ32" s="1776"/>
      <c r="EK32" s="1776"/>
      <c r="EL32" s="1807"/>
      <c r="EM32" s="1804"/>
      <c r="EN32" s="1776"/>
      <c r="EO32" s="1776"/>
      <c r="EP32" s="1776"/>
      <c r="EQ32" s="1807"/>
      <c r="ER32" s="2402">
        <f t="shared" si="38"/>
        <v>0</v>
      </c>
      <c r="ES32" s="2403">
        <f t="shared" si="39"/>
        <v>0</v>
      </c>
      <c r="ET32" s="2403">
        <f t="shared" si="39"/>
        <v>0</v>
      </c>
      <c r="EU32" s="2403">
        <f t="shared" si="39"/>
        <v>0</v>
      </c>
      <c r="EV32" s="2404" t="e">
        <f t="shared" si="40"/>
        <v>#DIV/0!</v>
      </c>
      <c r="EW32" s="1809"/>
      <c r="EX32" s="1810"/>
      <c r="EY32" s="1810"/>
      <c r="EZ32" s="1811"/>
      <c r="FA32" s="1812"/>
      <c r="FB32" s="1810"/>
      <c r="FC32" s="1810"/>
      <c r="FD32" s="1813"/>
      <c r="FE32" s="1814"/>
      <c r="FF32" s="1786"/>
      <c r="FG32" s="1786"/>
      <c r="FH32" s="1815"/>
      <c r="FI32" s="1816"/>
      <c r="FJ32" s="1814"/>
      <c r="FK32" s="1786"/>
      <c r="FL32" s="1786"/>
      <c r="FM32" s="1799"/>
      <c r="FN32" s="1817"/>
      <c r="FO32" s="1818"/>
      <c r="FP32" s="1818"/>
      <c r="FQ32" s="1818"/>
      <c r="FR32" s="1819"/>
      <c r="FS32" s="1820"/>
      <c r="FT32" s="1818"/>
      <c r="FU32" s="1818"/>
      <c r="FV32" s="1818"/>
      <c r="FW32" s="1821"/>
      <c r="FX32" s="1820"/>
      <c r="FY32" s="1822"/>
      <c r="FZ32" s="1822"/>
      <c r="GA32" s="1818"/>
      <c r="GB32" s="1821"/>
      <c r="GC32" s="1823"/>
      <c r="GD32" s="1824"/>
      <c r="GE32" s="1824"/>
      <c r="GF32" s="1825"/>
      <c r="GG32" s="1821"/>
      <c r="GH32" s="1823"/>
      <c r="GI32" s="1824"/>
      <c r="GJ32" s="1824"/>
      <c r="GK32" s="1818"/>
      <c r="GL32" s="1821"/>
      <c r="GM32" s="1823"/>
      <c r="GN32" s="1824"/>
      <c r="GO32" s="1824"/>
      <c r="GP32" s="1818"/>
      <c r="GQ32" s="1821"/>
      <c r="GR32" s="1823"/>
      <c r="GS32" s="1824"/>
      <c r="GT32" s="1824"/>
      <c r="GU32" s="1818"/>
      <c r="GV32" s="1821"/>
      <c r="GW32" s="1823"/>
      <c r="GX32" s="1824"/>
      <c r="GY32" s="1824"/>
      <c r="GZ32" s="1818"/>
      <c r="HA32" s="1821"/>
      <c r="HB32" s="1823"/>
      <c r="HC32" s="1824"/>
      <c r="HD32" s="1824"/>
      <c r="HE32" s="1818"/>
      <c r="HF32" s="1821"/>
      <c r="HG32" s="1823"/>
      <c r="HH32" s="1824"/>
      <c r="HI32" s="1824"/>
      <c r="HJ32" s="1818"/>
      <c r="HK32" s="1821"/>
      <c r="HL32" s="1823">
        <v>1</v>
      </c>
      <c r="HM32" s="1824">
        <v>21876</v>
      </c>
      <c r="HN32" s="1824">
        <v>56250</v>
      </c>
      <c r="HO32" s="1818">
        <f>HN32-HM32</f>
        <v>34374</v>
      </c>
      <c r="HP32" s="1821">
        <f>HO32/HN32</f>
        <v>0.61109333333333338</v>
      </c>
      <c r="HQ32" s="654">
        <v>1</v>
      </c>
      <c r="HR32" s="1248">
        <v>29166</v>
      </c>
      <c r="HS32" s="1248">
        <v>75000</v>
      </c>
      <c r="HT32" s="1248">
        <f>HS32-HR32</f>
        <v>45834</v>
      </c>
      <c r="HU32" s="1826">
        <f>HT32/HS32</f>
        <v>0.61112</v>
      </c>
      <c r="HV32" s="2405">
        <f t="shared" si="8"/>
        <v>0.16666666666666666</v>
      </c>
      <c r="HW32" s="2406">
        <f t="shared" si="9"/>
        <v>51042</v>
      </c>
      <c r="HX32" s="2406">
        <f t="shared" si="9"/>
        <v>131250</v>
      </c>
      <c r="HY32" s="2406">
        <f t="shared" si="9"/>
        <v>80208</v>
      </c>
      <c r="HZ32" s="1828"/>
      <c r="IA32" s="1829"/>
      <c r="IB32" s="1830"/>
      <c r="IC32" s="1830"/>
      <c r="ID32" s="1831"/>
      <c r="IE32" s="1832"/>
      <c r="IF32" s="1833"/>
      <c r="IG32" s="1834"/>
      <c r="IH32" s="1831"/>
      <c r="II32" s="1835"/>
      <c r="IJ32" s="1836"/>
      <c r="IK32" s="1836"/>
      <c r="IL32" s="239"/>
      <c r="IM32" s="1837">
        <f>(HB32+HG32+HL32)/3</f>
        <v>0.33333333333333331</v>
      </c>
      <c r="IN32" s="1836">
        <f>(HI32+HN32+HS32)</f>
        <v>131250</v>
      </c>
      <c r="IO32" s="1836">
        <f>(HJ32+HO32+HT32)</f>
        <v>80208</v>
      </c>
      <c r="IP32" s="1838">
        <f>IO32/IN32</f>
        <v>0.61110857142857145</v>
      </c>
      <c r="IQ32" s="1839"/>
      <c r="IR32" s="1840">
        <v>1</v>
      </c>
      <c r="IS32" s="1818">
        <v>29166</v>
      </c>
      <c r="IT32" s="1818">
        <v>75000</v>
      </c>
      <c r="IU32" s="1818">
        <f t="shared" si="104"/>
        <v>45834</v>
      </c>
      <c r="IV32" s="1819">
        <f t="shared" si="105"/>
        <v>0.61112</v>
      </c>
      <c r="IW32" s="1820">
        <v>1</v>
      </c>
      <c r="IX32" s="1818">
        <v>29166</v>
      </c>
      <c r="IY32" s="1818">
        <v>75000</v>
      </c>
      <c r="IZ32" s="1818">
        <f t="shared" si="106"/>
        <v>45834</v>
      </c>
      <c r="JA32" s="1821">
        <f t="shared" si="107"/>
        <v>0.61112</v>
      </c>
      <c r="JB32" s="1984">
        <v>1</v>
      </c>
      <c r="JC32" s="1985">
        <v>29166</v>
      </c>
      <c r="JD32" s="1986">
        <v>75000</v>
      </c>
      <c r="JE32" s="1818">
        <f t="shared" si="65"/>
        <v>45834</v>
      </c>
      <c r="JF32" s="1821">
        <f t="shared" si="108"/>
        <v>0.61112</v>
      </c>
      <c r="JG32" s="1981">
        <v>1</v>
      </c>
      <c r="JH32" s="1824">
        <v>29166</v>
      </c>
      <c r="JI32" s="1824">
        <v>75000</v>
      </c>
      <c r="JJ32" s="1822">
        <f t="shared" si="67"/>
        <v>45834</v>
      </c>
      <c r="JK32" s="1821">
        <f t="shared" si="109"/>
        <v>0.61112</v>
      </c>
      <c r="JL32" s="1823">
        <v>1</v>
      </c>
      <c r="JM32" s="1824">
        <v>29166</v>
      </c>
      <c r="JN32" s="1824">
        <v>75000</v>
      </c>
      <c r="JO32" s="6012">
        <f t="shared" si="69"/>
        <v>45834</v>
      </c>
      <c r="JP32" s="1821">
        <f t="shared" si="110"/>
        <v>0.61112</v>
      </c>
      <c r="JQ32" s="6013">
        <v>1</v>
      </c>
      <c r="JR32" s="1982">
        <v>28194</v>
      </c>
      <c r="JS32" s="1248">
        <v>75000</v>
      </c>
      <c r="JT32" s="1996">
        <f t="shared" ref="JT32:JT42" si="129">JS32-JR32</f>
        <v>46806</v>
      </c>
      <c r="JU32" s="1821">
        <f>JT32/JS32</f>
        <v>0.62407999999999997</v>
      </c>
      <c r="JV32" s="6014">
        <v>1</v>
      </c>
      <c r="JW32" s="1982">
        <v>29166</v>
      </c>
      <c r="JX32" s="1248">
        <v>75000</v>
      </c>
      <c r="JY32" s="1996">
        <f>JX32-JW32</f>
        <v>45834</v>
      </c>
      <c r="JZ32" s="1821">
        <f>JY32/JX32</f>
        <v>0.61112</v>
      </c>
      <c r="KA32" s="1925">
        <v>1</v>
      </c>
      <c r="KB32" s="1248">
        <v>29166</v>
      </c>
      <c r="KC32" s="1248">
        <v>75000</v>
      </c>
      <c r="KD32" s="1983">
        <f>KC32-KB32</f>
        <v>45834</v>
      </c>
      <c r="KE32" s="1952">
        <f>KD32/KC32</f>
        <v>0.61112</v>
      </c>
      <c r="KF32" s="1990">
        <v>1</v>
      </c>
      <c r="KG32" s="1904">
        <v>29166</v>
      </c>
      <c r="KH32" s="1904">
        <v>75000</v>
      </c>
      <c r="KI32" s="1818">
        <f>KH32-KG32</f>
        <v>45834</v>
      </c>
      <c r="KJ32" s="1821">
        <f>KI32/KH32</f>
        <v>0.61112</v>
      </c>
      <c r="KK32" s="1990">
        <v>1</v>
      </c>
      <c r="KL32" s="1904">
        <v>29166</v>
      </c>
      <c r="KM32" s="1904">
        <v>75000</v>
      </c>
      <c r="KN32" s="2023">
        <f t="shared" ref="KN32:KN61" si="130">KM32-KL32</f>
        <v>45834</v>
      </c>
      <c r="KO32" s="2024">
        <f>KN32/KM32</f>
        <v>0.61112</v>
      </c>
      <c r="KP32" s="1823">
        <v>1</v>
      </c>
      <c r="KQ32" s="1982">
        <f>28000/30*4</f>
        <v>3733.3333333333335</v>
      </c>
      <c r="KR32" s="1248">
        <v>10500</v>
      </c>
      <c r="KS32" s="1996">
        <f>KR32-KQ32</f>
        <v>6766.6666666666661</v>
      </c>
      <c r="KT32" s="1819">
        <f>KS32/KR32</f>
        <v>0.64444444444444438</v>
      </c>
      <c r="KU32" s="1905"/>
      <c r="KV32" s="1248">
        <v>0</v>
      </c>
      <c r="KW32" s="1248">
        <v>0</v>
      </c>
      <c r="KX32" s="1248">
        <v>0</v>
      </c>
      <c r="KY32" s="77"/>
      <c r="KZ32" s="1832"/>
      <c r="LA32" s="622">
        <f t="shared" si="11"/>
        <v>294421.33333333331</v>
      </c>
      <c r="LB32" s="622">
        <f t="shared" si="11"/>
        <v>760500</v>
      </c>
      <c r="LC32" s="622">
        <f t="shared" si="11"/>
        <v>466078.66666666669</v>
      </c>
      <c r="LD32" s="239">
        <f>LC32/LB32</f>
        <v>0.61285820731974583</v>
      </c>
      <c r="LE32" s="1834">
        <f t="shared" si="71"/>
        <v>1</v>
      </c>
      <c r="LF32" s="1830">
        <f t="shared" si="72"/>
        <v>225000</v>
      </c>
      <c r="LG32" s="1830">
        <f t="shared" si="72"/>
        <v>137502</v>
      </c>
      <c r="LH32" s="1831">
        <f t="shared" ref="LH32:LH39" si="131">LG32/LF32</f>
        <v>0.61112</v>
      </c>
      <c r="LI32" s="1832">
        <f t="shared" ref="LI32:LI61" si="132">(JG32+JL32+JQ32)/3</f>
        <v>1</v>
      </c>
      <c r="LJ32" s="1833">
        <f t="shared" ref="LJ32:LK61" si="133">(JI32+JN32+JS32)</f>
        <v>225000</v>
      </c>
      <c r="LK32" s="1834">
        <f t="shared" si="133"/>
        <v>138474</v>
      </c>
      <c r="LL32" s="1831">
        <f t="shared" ref="LL32:LL39" si="134">LK32/LJ32</f>
        <v>0.61543999999999999</v>
      </c>
      <c r="LM32" s="1835">
        <f t="shared" ref="LM32:LM61" si="135">(JV32+KA32+KF32)/3</f>
        <v>1</v>
      </c>
      <c r="LN32" s="1836">
        <f t="shared" ref="LN32:LO61" si="136">(JX32+KC32+KH32)</f>
        <v>225000</v>
      </c>
      <c r="LO32" s="1836">
        <f t="shared" si="136"/>
        <v>137502</v>
      </c>
      <c r="LP32" s="239">
        <f>LO32/LN32</f>
        <v>0.61112</v>
      </c>
      <c r="LQ32" s="1837">
        <f>(KK32+KP32+KU32)/3</f>
        <v>0.66666666666666663</v>
      </c>
      <c r="LR32" s="1836">
        <f t="shared" si="76"/>
        <v>85500</v>
      </c>
      <c r="LS32" s="1836">
        <f t="shared" si="76"/>
        <v>52600.666666666664</v>
      </c>
      <c r="LT32" s="1838">
        <f>LS32/LR32</f>
        <v>0.61521247563352821</v>
      </c>
      <c r="LV32" s="401"/>
      <c r="LW32" s="395">
        <v>0</v>
      </c>
      <c r="LX32" s="395">
        <v>0</v>
      </c>
      <c r="LY32" s="115">
        <f t="shared" ref="LY32:LY56" si="137">LX32-LW32</f>
        <v>0</v>
      </c>
      <c r="LZ32" s="186"/>
      <c r="MA32" s="2000"/>
      <c r="MB32" s="1317"/>
      <c r="MC32" s="1317"/>
      <c r="MD32" s="372">
        <f>MC32-MB32</f>
        <v>0</v>
      </c>
      <c r="ME32" s="207"/>
      <c r="MF32" s="401"/>
      <c r="MG32" s="395">
        <v>0</v>
      </c>
      <c r="MH32" s="395">
        <v>0</v>
      </c>
      <c r="MI32" s="372">
        <f>MH32-MG32</f>
        <v>0</v>
      </c>
      <c r="MJ32" s="207"/>
      <c r="MK32" s="2573"/>
      <c r="ML32" s="395"/>
      <c r="MM32" s="395"/>
      <c r="MN32" s="372">
        <f t="shared" si="12"/>
        <v>0</v>
      </c>
      <c r="MO32" s="207"/>
      <c r="MP32" s="1577"/>
      <c r="MQ32" s="1248">
        <v>0</v>
      </c>
      <c r="MR32" s="1248">
        <v>0</v>
      </c>
      <c r="MS32" s="1248">
        <f>MR32-MQ32</f>
        <v>0</v>
      </c>
      <c r="MT32" s="655"/>
      <c r="MU32" s="1318"/>
      <c r="MV32" s="395">
        <v>0</v>
      </c>
      <c r="MW32" s="395">
        <v>0</v>
      </c>
      <c r="MX32" s="395">
        <f>MW32-MV32</f>
        <v>0</v>
      </c>
      <c r="MY32" s="655"/>
      <c r="MZ32" s="1318"/>
      <c r="NA32" s="395"/>
      <c r="NB32" s="395"/>
      <c r="NC32" s="395">
        <f>NB32-NA32</f>
        <v>0</v>
      </c>
      <c r="ND32" s="801"/>
      <c r="NE32" s="1318"/>
      <c r="NF32" s="395"/>
      <c r="NG32" s="395"/>
      <c r="NH32" s="395"/>
      <c r="NI32" s="801"/>
      <c r="NJ32" s="1318"/>
      <c r="NK32" s="395"/>
      <c r="NL32" s="395"/>
      <c r="NM32" s="395"/>
      <c r="NN32" s="801"/>
      <c r="NO32" s="2738"/>
      <c r="NP32" s="622"/>
      <c r="NQ32" s="2437"/>
      <c r="NR32" s="395"/>
      <c r="NS32" s="801"/>
      <c r="NT32" s="2738"/>
      <c r="NU32" s="2911"/>
      <c r="NV32" s="622"/>
      <c r="NW32" s="395"/>
      <c r="NX32" s="801"/>
      <c r="NY32" s="2738"/>
      <c r="NZ32" s="622"/>
      <c r="OA32" s="622"/>
      <c r="OB32" s="622"/>
      <c r="OC32" s="116"/>
      <c r="OD32" s="2433"/>
      <c r="OE32" s="622">
        <f>NZ32+NU32+NP32+NK32+NF32+NA32+MV32+MQ32+ML32+MG32+MB32+LW32</f>
        <v>0</v>
      </c>
      <c r="OF32" s="622">
        <f>OA32+NV32+NQ32+NL32+NG32+NB32+MW32+MR32+MM32+MH32+MC32+LX32</f>
        <v>0</v>
      </c>
      <c r="OG32" s="622">
        <f>OB32+NW32+NR32+NM32+NH32+NC32+MX32+MS32+MN32+MI32+MD32+LY32</f>
        <v>0</v>
      </c>
      <c r="OH32" s="1576"/>
      <c r="OI32" s="2435"/>
      <c r="OJ32" s="2436">
        <f>LW32+MB32+MG32</f>
        <v>0</v>
      </c>
      <c r="OK32" s="2436"/>
      <c r="OL32" s="2436">
        <f>LY32+MD32+MI32</f>
        <v>0</v>
      </c>
      <c r="OM32" s="1439"/>
      <c r="ON32" s="622"/>
      <c r="OO32" s="622">
        <f>ML32+MQ32+MV32</f>
        <v>0</v>
      </c>
      <c r="OP32" s="622">
        <f>MM32+MR32+MW32</f>
        <v>0</v>
      </c>
      <c r="OQ32" s="2437">
        <f>MN32+MS32+MX32</f>
        <v>0</v>
      </c>
      <c r="OR32" s="421"/>
      <c r="OS32" s="2438">
        <f>(NJ32+NE32+MZ32)/3</f>
        <v>0</v>
      </c>
      <c r="OT32" s="2439">
        <f>NK32+NF32+NA32</f>
        <v>0</v>
      </c>
      <c r="OU32" s="2439">
        <f>NL32+NG32+NB32</f>
        <v>0</v>
      </c>
      <c r="OV32" s="2440">
        <f>NM32+NH32+NC32</f>
        <v>0</v>
      </c>
      <c r="OW32" s="460"/>
      <c r="OX32" s="2432">
        <f>(NO32+NT32+NY32)/3</f>
        <v>0</v>
      </c>
      <c r="OY32" s="622">
        <f>NP32+NU32+NZ32</f>
        <v>0</v>
      </c>
      <c r="OZ32" s="622">
        <f>NQ32+NV32+OA32</f>
        <v>0</v>
      </c>
      <c r="PA32" s="2437">
        <f>NR32+NW32+OB32</f>
        <v>0</v>
      </c>
      <c r="PB32" s="116"/>
      <c r="PC32" s="2441"/>
      <c r="PD32" s="401"/>
      <c r="PE32" s="395"/>
      <c r="PF32" s="395"/>
      <c r="PG32" s="115">
        <f t="shared" ref="PG32:PG57" si="138">PF32-PE32</f>
        <v>0</v>
      </c>
      <c r="PH32" s="186"/>
      <c r="PI32" s="2000"/>
      <c r="PJ32" s="1317"/>
      <c r="PK32" s="1317"/>
      <c r="PL32" s="372">
        <f>PK32-PJ32</f>
        <v>0</v>
      </c>
      <c r="PM32" s="207"/>
      <c r="PN32" s="401"/>
      <c r="PO32" s="395"/>
      <c r="PP32" s="395"/>
      <c r="PQ32" s="372">
        <f>PP32-PO32</f>
        <v>0</v>
      </c>
      <c r="PR32" s="207"/>
      <c r="PS32" s="2891"/>
      <c r="PT32" s="2001"/>
      <c r="PU32" s="2001"/>
      <c r="PV32" s="2892">
        <f t="shared" si="13"/>
        <v>0</v>
      </c>
      <c r="PW32" s="370"/>
      <c r="PX32" s="1577"/>
      <c r="PY32" s="1248"/>
      <c r="PZ32" s="1248"/>
      <c r="QA32" s="1248">
        <f>PZ32-PY32</f>
        <v>0</v>
      </c>
      <c r="QB32" s="655"/>
      <c r="QC32" s="2002"/>
      <c r="QD32" s="2001"/>
      <c r="QE32" s="2001"/>
      <c r="QF32" s="2001">
        <f>QE32-QD32</f>
        <v>0</v>
      </c>
      <c r="QG32" s="2019"/>
      <c r="QH32" s="401"/>
      <c r="QI32" s="395"/>
      <c r="QJ32" s="395"/>
      <c r="QK32" s="395">
        <f>QJ32-QI32</f>
        <v>0</v>
      </c>
      <c r="QL32" s="801"/>
      <c r="QM32" s="401"/>
      <c r="QN32" s="395"/>
      <c r="QO32" s="395"/>
      <c r="QP32" s="395"/>
      <c r="QQ32" s="801"/>
      <c r="QR32" s="2002"/>
      <c r="QS32" s="2001"/>
      <c r="QT32" s="2001"/>
      <c r="QU32" s="2001"/>
      <c r="QV32" s="370"/>
      <c r="QW32" s="1336"/>
      <c r="QX32" s="1873"/>
      <c r="QY32" s="2431"/>
      <c r="QZ32" s="2001"/>
      <c r="RA32" s="2003"/>
      <c r="RB32" s="2738"/>
      <c r="RC32" s="2911"/>
      <c r="RD32" s="622"/>
      <c r="RE32" s="395"/>
      <c r="RF32" s="801"/>
      <c r="RG32" s="2108"/>
      <c r="RH32" s="1873"/>
      <c r="RI32" s="1873"/>
      <c r="RJ32" s="1873"/>
      <c r="RK32" s="116"/>
      <c r="RL32" s="3717"/>
      <c r="RM32" s="1873">
        <f t="shared" si="77"/>
        <v>0</v>
      </c>
      <c r="RN32" s="1873">
        <f t="shared" si="77"/>
        <v>0</v>
      </c>
      <c r="RO32" s="1873">
        <f t="shared" si="77"/>
        <v>0</v>
      </c>
      <c r="RP32" s="1576"/>
      <c r="RQ32" s="2435"/>
      <c r="RR32" s="2436">
        <f>PE32+PJ32+PO32</f>
        <v>0</v>
      </c>
      <c r="RS32" s="2436"/>
      <c r="RT32" s="2436">
        <f>PG32+PL32+PQ32</f>
        <v>0</v>
      </c>
      <c r="RU32" s="1439"/>
      <c r="RV32" s="622"/>
      <c r="RW32" s="622">
        <f>PT32+PY32+QD32</f>
        <v>0</v>
      </c>
      <c r="RX32" s="622">
        <f>PU32+PZ32+QE32</f>
        <v>0</v>
      </c>
      <c r="RY32" s="2437">
        <f>PV32+QA32+QF32</f>
        <v>0</v>
      </c>
      <c r="RZ32" s="421"/>
      <c r="SA32" s="2438">
        <f>(QR32+QM32+QH32)/3</f>
        <v>0</v>
      </c>
      <c r="SB32" s="2439">
        <f>QS32+QN32+QI32</f>
        <v>0</v>
      </c>
      <c r="SC32" s="2439">
        <f>QT32+QO32+QJ32</f>
        <v>0</v>
      </c>
      <c r="SD32" s="2440">
        <f>QU32+QP32+QK32</f>
        <v>0</v>
      </c>
      <c r="SE32" s="460"/>
      <c r="SF32" s="2432">
        <f>(QW32+RB32+RG32)/3</f>
        <v>0</v>
      </c>
      <c r="SG32" s="622">
        <f>QX32+RC32+RH32</f>
        <v>0</v>
      </c>
      <c r="SH32" s="622">
        <f>QY32+RD32+RI32</f>
        <v>0</v>
      </c>
      <c r="SI32" s="2437">
        <f>QZ32+RE32+RJ32</f>
        <v>0</v>
      </c>
      <c r="SJ32" s="116"/>
      <c r="SL32" s="2445"/>
      <c r="SM32" s="2001"/>
      <c r="SN32" s="2001"/>
      <c r="SO32" s="3534">
        <f t="shared" ref="SO32:SO57" si="139">SN32-SM32</f>
        <v>0</v>
      </c>
      <c r="SP32" s="1498"/>
      <c r="SQ32" s="6015"/>
      <c r="SR32" s="3208"/>
      <c r="SS32" s="3208"/>
      <c r="ST32" s="2892">
        <f>SS32-SR32</f>
        <v>0</v>
      </c>
      <c r="SU32" s="370"/>
      <c r="SV32" s="401"/>
      <c r="SW32" s="395"/>
      <c r="SX32" s="395"/>
      <c r="SY32" s="372">
        <f>SX32-SW32</f>
        <v>0</v>
      </c>
      <c r="SZ32" s="207"/>
      <c r="TA32" s="2573"/>
      <c r="TB32" s="395"/>
      <c r="TC32" s="395"/>
      <c r="TD32" s="372">
        <f t="shared" si="14"/>
        <v>0</v>
      </c>
      <c r="TE32" s="207"/>
      <c r="TF32" s="1577"/>
      <c r="TG32" s="1248"/>
      <c r="TH32" s="1248"/>
      <c r="TI32" s="1248">
        <f>TH32-TG32</f>
        <v>0</v>
      </c>
      <c r="TJ32" s="655"/>
      <c r="TK32" s="2002"/>
      <c r="TL32" s="2001"/>
      <c r="TM32" s="2001"/>
      <c r="TN32" s="2001">
        <f>TM32-TL32</f>
        <v>0</v>
      </c>
      <c r="TO32" s="2019"/>
      <c r="TP32" s="4434"/>
      <c r="TQ32" s="395"/>
      <c r="TR32" s="395"/>
      <c r="TS32" s="395">
        <f>TR32-TQ32</f>
        <v>0</v>
      </c>
      <c r="TT32" s="801"/>
      <c r="TU32" s="4464"/>
      <c r="TV32" s="2001"/>
      <c r="TW32" s="2001"/>
      <c r="TX32" s="2001"/>
      <c r="TY32" s="2003"/>
      <c r="TZ32" s="2002"/>
      <c r="UA32" s="2001"/>
      <c r="UB32" s="2001"/>
      <c r="UC32" s="2001"/>
      <c r="UD32" s="370"/>
      <c r="UE32" s="1336"/>
      <c r="UF32" s="1873"/>
      <c r="UG32" s="2431"/>
      <c r="UH32" s="2001"/>
      <c r="UI32" s="2003"/>
      <c r="UJ32" s="2738"/>
      <c r="UK32" s="2911"/>
      <c r="UL32" s="622"/>
      <c r="UM32" s="395"/>
      <c r="UN32" s="801"/>
      <c r="UO32" s="2108"/>
      <c r="UP32" s="1873"/>
      <c r="UQ32" s="1873"/>
      <c r="UR32" s="1873"/>
      <c r="US32" s="116"/>
      <c r="UT32" s="2433"/>
      <c r="UU32" s="622">
        <f t="shared" si="78"/>
        <v>0</v>
      </c>
      <c r="UV32" s="622">
        <f t="shared" si="78"/>
        <v>0</v>
      </c>
      <c r="UW32" s="622">
        <f t="shared" si="78"/>
        <v>0</v>
      </c>
      <c r="UX32" s="1576"/>
      <c r="UY32" s="2435"/>
      <c r="UZ32" s="2436">
        <f>SM32+SR32+SW32</f>
        <v>0</v>
      </c>
      <c r="VA32" s="2436"/>
      <c r="VB32" s="2436">
        <f>SO32+ST32+SY32</f>
        <v>0</v>
      </c>
      <c r="VC32" s="1439"/>
      <c r="VD32" s="622"/>
      <c r="VE32" s="622">
        <f>TB32+TG32+TL32</f>
        <v>0</v>
      </c>
      <c r="VF32" s="622">
        <f>TC32+TH32+TM32</f>
        <v>0</v>
      </c>
      <c r="VG32" s="2437">
        <f>TD32+TI32+TN32</f>
        <v>0</v>
      </c>
      <c r="VH32" s="421"/>
      <c r="VI32" s="2438">
        <f>(TZ32+TU32+TP32)/3</f>
        <v>0</v>
      </c>
      <c r="VJ32" s="2439">
        <f>UA32+TV32+TQ32</f>
        <v>0</v>
      </c>
      <c r="VK32" s="2439">
        <f>UB32+TW32+TR32</f>
        <v>0</v>
      </c>
      <c r="VL32" s="2440">
        <f>UC32+TX32+TS32</f>
        <v>0</v>
      </c>
      <c r="VM32" s="460"/>
      <c r="VN32" s="2432">
        <f>(UE32+UJ32+UO32)/3</f>
        <v>0</v>
      </c>
      <c r="VO32" s="622">
        <f>UF32+UK32+UP32</f>
        <v>0</v>
      </c>
      <c r="VP32" s="622">
        <f>UG32+UL32+UQ32</f>
        <v>0</v>
      </c>
      <c r="VQ32" s="2437">
        <f>UH32+UM32+UR32</f>
        <v>0</v>
      </c>
      <c r="VR32" s="116"/>
    </row>
    <row r="33" spans="1:590" s="2425" customFormat="1" ht="13.45" hidden="1" x14ac:dyDescent="0.3">
      <c r="A33" s="2399"/>
      <c r="B33" s="6016" t="s">
        <v>53</v>
      </c>
      <c r="C33" s="6017" t="s">
        <v>779</v>
      </c>
      <c r="D33" s="6018" t="s">
        <v>780</v>
      </c>
      <c r="E33" s="6019">
        <v>44326</v>
      </c>
      <c r="F33" s="6019">
        <v>44690</v>
      </c>
      <c r="G33" s="6020">
        <v>120000</v>
      </c>
      <c r="H33" s="1874"/>
      <c r="I33" s="1875"/>
      <c r="J33" s="1875"/>
      <c r="K33" s="1875"/>
      <c r="L33" s="1876"/>
      <c r="M33" s="1874"/>
      <c r="N33" s="1875"/>
      <c r="O33" s="1875"/>
      <c r="P33" s="1875"/>
      <c r="Q33" s="1876"/>
      <c r="R33" s="1874"/>
      <c r="S33" s="1875"/>
      <c r="T33" s="1875"/>
      <c r="U33" s="1875"/>
      <c r="V33" s="1876"/>
      <c r="W33" s="1874"/>
      <c r="X33" s="1875"/>
      <c r="Y33" s="1875"/>
      <c r="Z33" s="1875"/>
      <c r="AA33" s="1877"/>
      <c r="AB33" s="1874"/>
      <c r="AC33" s="1875"/>
      <c r="AD33" s="1875"/>
      <c r="AE33" s="1875"/>
      <c r="AF33" s="1877"/>
      <c r="AG33" s="1875"/>
      <c r="AH33" s="1875"/>
      <c r="AI33" s="1875"/>
      <c r="AJ33" s="1875"/>
      <c r="AK33" s="1876"/>
      <c r="AL33" s="1875"/>
      <c r="AM33" s="1875"/>
      <c r="AN33" s="1875"/>
      <c r="AO33" s="1875"/>
      <c r="AP33" s="1876"/>
      <c r="AQ33" s="1875"/>
      <c r="AR33" s="1875"/>
      <c r="AS33" s="1875"/>
      <c r="AT33" s="1875"/>
      <c r="AU33" s="1876"/>
      <c r="AV33" s="1878"/>
      <c r="AW33" s="1875"/>
      <c r="AX33" s="1875"/>
      <c r="AY33" s="1875"/>
      <c r="AZ33" s="1877"/>
      <c r="BA33" s="1878"/>
      <c r="BB33" s="1875"/>
      <c r="BC33" s="1875"/>
      <c r="BD33" s="1875"/>
      <c r="BE33" s="1877"/>
      <c r="BF33" s="1878"/>
      <c r="BG33" s="1875"/>
      <c r="BH33" s="1875"/>
      <c r="BI33" s="1875"/>
      <c r="BJ33" s="1877"/>
      <c r="BK33" s="1878"/>
      <c r="BL33" s="1875"/>
      <c r="BM33" s="1875"/>
      <c r="BN33" s="1875"/>
      <c r="BO33" s="1877"/>
      <c r="BP33" s="1879"/>
      <c r="BQ33" s="1875"/>
      <c r="BR33" s="1875"/>
      <c r="BS33" s="1875"/>
      <c r="BT33" s="1880"/>
      <c r="BU33" s="1875"/>
      <c r="BV33" s="1875"/>
      <c r="BW33" s="1881"/>
      <c r="BX33" s="1880"/>
      <c r="BY33" s="1875"/>
      <c r="BZ33" s="1875"/>
      <c r="CA33" s="1882"/>
      <c r="CB33" s="1875"/>
      <c r="CC33" s="1875"/>
      <c r="CD33" s="1875"/>
      <c r="CE33" s="1875"/>
      <c r="CF33" s="1880"/>
      <c r="CG33" s="1875"/>
      <c r="CH33" s="1875"/>
      <c r="CI33" s="1882"/>
      <c r="CJ33" s="1883"/>
      <c r="CK33" s="1875"/>
      <c r="CL33" s="1875"/>
      <c r="CM33" s="1875"/>
      <c r="CN33" s="1881"/>
      <c r="CO33" s="1883"/>
      <c r="CP33" s="1874"/>
      <c r="CQ33" s="1874"/>
      <c r="CR33" s="1874"/>
      <c r="CS33" s="1881"/>
      <c r="CT33" s="1883"/>
      <c r="CU33" s="1875"/>
      <c r="CV33" s="1875"/>
      <c r="CW33" s="1875"/>
      <c r="CX33" s="1881"/>
      <c r="CY33" s="1883"/>
      <c r="CZ33" s="1875"/>
      <c r="DA33" s="1875"/>
      <c r="DB33" s="1875"/>
      <c r="DC33" s="1881"/>
      <c r="DD33" s="1883"/>
      <c r="DE33" s="1875"/>
      <c r="DF33" s="1875"/>
      <c r="DG33" s="1875"/>
      <c r="DH33" s="1884"/>
      <c r="DI33" s="1883"/>
      <c r="DJ33" s="1875"/>
      <c r="DK33" s="1875"/>
      <c r="DL33" s="1875"/>
      <c r="DM33" s="1884"/>
      <c r="DN33" s="1883"/>
      <c r="DO33" s="1875"/>
      <c r="DP33" s="1875"/>
      <c r="DQ33" s="1875"/>
      <c r="DR33" s="1884"/>
      <c r="DS33" s="1883"/>
      <c r="DT33" s="1875"/>
      <c r="DU33" s="1875"/>
      <c r="DV33" s="1875"/>
      <c r="DW33" s="1884"/>
      <c r="DX33" s="1883"/>
      <c r="DY33" s="1875"/>
      <c r="DZ33" s="1875"/>
      <c r="EA33" s="1875"/>
      <c r="EB33" s="1884"/>
      <c r="EC33" s="1883"/>
      <c r="ED33" s="1875"/>
      <c r="EE33" s="1875"/>
      <c r="EF33" s="1875"/>
      <c r="EG33" s="1884"/>
      <c r="EH33" s="1885"/>
      <c r="EI33" s="1886"/>
      <c r="EJ33" s="1886"/>
      <c r="EK33" s="1886"/>
      <c r="EL33" s="1887"/>
      <c r="EM33" s="1888"/>
      <c r="EN33" s="1889"/>
      <c r="EO33" s="1889"/>
      <c r="EP33" s="1889"/>
      <c r="EQ33" s="166"/>
      <c r="ER33" s="2402">
        <f t="shared" si="38"/>
        <v>0</v>
      </c>
      <c r="ES33" s="2403">
        <f t="shared" si="39"/>
        <v>0</v>
      </c>
      <c r="ET33" s="2403">
        <f t="shared" si="39"/>
        <v>0</v>
      </c>
      <c r="EU33" s="2403">
        <f t="shared" si="39"/>
        <v>0</v>
      </c>
      <c r="EV33" s="2404" t="e">
        <f t="shared" si="40"/>
        <v>#DIV/0!</v>
      </c>
      <c r="EW33" s="1890"/>
      <c r="EX33" s="1890"/>
      <c r="EY33" s="1890"/>
      <c r="EZ33" s="1891"/>
      <c r="FA33" s="1885"/>
      <c r="FB33" s="1890"/>
      <c r="FC33" s="1890"/>
      <c r="FD33" s="1892"/>
      <c r="FE33" s="1890"/>
      <c r="FF33" s="1890"/>
      <c r="FG33" s="1890"/>
      <c r="FH33" s="1891"/>
      <c r="FI33" s="1893"/>
      <c r="FJ33" s="1894"/>
      <c r="FK33" s="1895"/>
      <c r="FL33" s="1895"/>
      <c r="FM33" s="1896"/>
      <c r="FN33" s="1890"/>
      <c r="FO33" s="1886"/>
      <c r="FP33" s="1886"/>
      <c r="FQ33" s="1886"/>
      <c r="FR33" s="1897"/>
      <c r="FS33" s="1888"/>
      <c r="FT33" s="1889"/>
      <c r="FU33" s="1889"/>
      <c r="FV33" s="1889"/>
      <c r="FW33" s="1898"/>
      <c r="FX33" s="1885"/>
      <c r="FY33" s="1886"/>
      <c r="FZ33" s="1886"/>
      <c r="GA33" s="1889"/>
      <c r="GB33" s="1898"/>
      <c r="GC33" s="1899"/>
      <c r="GD33" s="1900"/>
      <c r="GE33" s="1900"/>
      <c r="GF33" s="1889"/>
      <c r="GG33" s="166"/>
      <c r="GH33" s="1901"/>
      <c r="GI33" s="1824"/>
      <c r="GJ33" s="1824"/>
      <c r="GK33" s="1902"/>
      <c r="GL33" s="1898"/>
      <c r="GM33" s="1901"/>
      <c r="GN33" s="1824"/>
      <c r="GO33" s="1824"/>
      <c r="GP33" s="1902"/>
      <c r="GQ33" s="1898"/>
      <c r="GR33" s="1903"/>
      <c r="GS33" s="1904"/>
      <c r="GT33" s="1904"/>
      <c r="GU33" s="1902"/>
      <c r="GV33" s="1898"/>
      <c r="GW33" s="1903"/>
      <c r="GX33" s="1904"/>
      <c r="GY33" s="1904"/>
      <c r="GZ33" s="1902"/>
      <c r="HA33" s="1898"/>
      <c r="HB33" s="1903"/>
      <c r="HC33" s="1904"/>
      <c r="HD33" s="1904"/>
      <c r="HE33" s="1902"/>
      <c r="HF33" s="1898"/>
      <c r="HG33" s="1903"/>
      <c r="HH33" s="1904"/>
      <c r="HI33" s="1904"/>
      <c r="HJ33" s="1818"/>
      <c r="HK33" s="1898"/>
      <c r="HL33" s="1903"/>
      <c r="HM33" s="1904"/>
      <c r="HN33" s="1904"/>
      <c r="HO33" s="715"/>
      <c r="HP33" s="166"/>
      <c r="HQ33" s="1905"/>
      <c r="HR33" s="1248"/>
      <c r="HS33" s="1248"/>
      <c r="HT33" s="1248"/>
      <c r="HU33" s="1826"/>
      <c r="HV33" s="5941">
        <f t="shared" si="8"/>
        <v>0</v>
      </c>
      <c r="HW33" s="622">
        <f t="shared" si="9"/>
        <v>0</v>
      </c>
      <c r="HX33" s="622">
        <f t="shared" si="9"/>
        <v>0</v>
      </c>
      <c r="HY33" s="622">
        <f t="shared" si="9"/>
        <v>0</v>
      </c>
      <c r="HZ33" s="1906"/>
      <c r="IA33" s="1907"/>
      <c r="IB33" s="1908"/>
      <c r="IC33" s="1908"/>
      <c r="ID33" s="1909"/>
      <c r="IE33" s="1910"/>
      <c r="IF33" s="1911"/>
      <c r="IG33" s="1912"/>
      <c r="IH33" s="1909"/>
      <c r="II33" s="1835"/>
      <c r="IJ33" s="1836"/>
      <c r="IK33" s="1836"/>
      <c r="IL33" s="693"/>
      <c r="IM33" s="1913"/>
      <c r="IN33" s="1836"/>
      <c r="IO33" s="1836"/>
      <c r="IP33" s="1838"/>
      <c r="IQ33" s="1914"/>
      <c r="IR33" s="1915"/>
      <c r="IS33" s="1916">
        <v>0</v>
      </c>
      <c r="IT33" s="1916">
        <v>0</v>
      </c>
      <c r="IU33" s="1917">
        <v>0</v>
      </c>
      <c r="IV33" s="1918">
        <v>0</v>
      </c>
      <c r="IW33" s="1919">
        <v>1</v>
      </c>
      <c r="IX33" s="1920">
        <v>64581</v>
      </c>
      <c r="IY33" s="1920">
        <v>80400</v>
      </c>
      <c r="IZ33" s="1818">
        <f t="shared" si="106"/>
        <v>15819</v>
      </c>
      <c r="JA33" s="1821">
        <f t="shared" si="107"/>
        <v>0.19675373134328358</v>
      </c>
      <c r="JB33" s="6021">
        <v>1</v>
      </c>
      <c r="JC33" s="6022">
        <v>95333</v>
      </c>
      <c r="JD33" s="6023">
        <v>120000</v>
      </c>
      <c r="JE33" s="1818">
        <f t="shared" si="65"/>
        <v>24667</v>
      </c>
      <c r="JF33" s="1821">
        <f t="shared" si="108"/>
        <v>0.20555833333333334</v>
      </c>
      <c r="JG33" s="1925">
        <v>1</v>
      </c>
      <c r="JH33" s="1824">
        <v>95333</v>
      </c>
      <c r="JI33" s="1824">
        <v>120000</v>
      </c>
      <c r="JJ33" s="1822">
        <f t="shared" si="67"/>
        <v>24667</v>
      </c>
      <c r="JK33" s="1821">
        <f t="shared" si="109"/>
        <v>0.20555833333333334</v>
      </c>
      <c r="JL33" s="1926">
        <v>1</v>
      </c>
      <c r="JM33" s="1824">
        <v>95333</v>
      </c>
      <c r="JN33" s="1824">
        <v>120000</v>
      </c>
      <c r="JO33" s="6012">
        <f t="shared" si="69"/>
        <v>24667</v>
      </c>
      <c r="JP33" s="1821">
        <f t="shared" si="110"/>
        <v>0.20555833333333334</v>
      </c>
      <c r="JQ33" s="1926">
        <v>1</v>
      </c>
      <c r="JR33" s="1982">
        <v>95333</v>
      </c>
      <c r="JS33" s="1248">
        <v>120000</v>
      </c>
      <c r="JT33" s="1996">
        <f t="shared" si="129"/>
        <v>24667</v>
      </c>
      <c r="JU33" s="1821">
        <f>JT33/JS33</f>
        <v>0.20555833333333334</v>
      </c>
      <c r="JV33" s="1990"/>
      <c r="JW33" s="2130">
        <v>0</v>
      </c>
      <c r="JX33" s="1904">
        <v>0</v>
      </c>
      <c r="JY33" s="1996">
        <f>JX33-JW33</f>
        <v>0</v>
      </c>
      <c r="JZ33" s="1821"/>
      <c r="KA33" s="6014"/>
      <c r="KB33" s="1248">
        <v>0</v>
      </c>
      <c r="KC33" s="1248">
        <v>0</v>
      </c>
      <c r="KD33" s="1983">
        <f>KC33-KB33</f>
        <v>0</v>
      </c>
      <c r="KE33" s="1952"/>
      <c r="KF33" s="1990"/>
      <c r="KG33" s="1904">
        <v>0</v>
      </c>
      <c r="KH33" s="1904">
        <v>0</v>
      </c>
      <c r="KI33" s="1818">
        <f>KH33-KG33</f>
        <v>0</v>
      </c>
      <c r="KJ33" s="1821"/>
      <c r="KK33" s="1990"/>
      <c r="KL33" s="1904"/>
      <c r="KM33" s="1904">
        <v>0</v>
      </c>
      <c r="KN33" s="2023">
        <f t="shared" si="130"/>
        <v>0</v>
      </c>
      <c r="KO33" s="2024"/>
      <c r="KP33" s="1823"/>
      <c r="KQ33" s="1982"/>
      <c r="KR33" s="1248"/>
      <c r="KS33" s="1996">
        <f>KR33-KQ33</f>
        <v>0</v>
      </c>
      <c r="KT33" s="1819">
        <v>0</v>
      </c>
      <c r="KU33" s="1905"/>
      <c r="KV33" s="1248"/>
      <c r="KW33" s="1248"/>
      <c r="KX33" s="1248">
        <f>KW33-KV33</f>
        <v>0</v>
      </c>
      <c r="KY33" s="77"/>
      <c r="KZ33" s="1832"/>
      <c r="LA33" s="622">
        <f t="shared" si="11"/>
        <v>445913</v>
      </c>
      <c r="LB33" s="622">
        <f t="shared" si="11"/>
        <v>560400</v>
      </c>
      <c r="LC33" s="622">
        <f t="shared" si="11"/>
        <v>114487</v>
      </c>
      <c r="LD33" s="239">
        <f>LC33/LB33</f>
        <v>0.20429514632405424</v>
      </c>
      <c r="LE33" s="1834">
        <f t="shared" si="71"/>
        <v>0.66666666666666663</v>
      </c>
      <c r="LF33" s="1830">
        <f t="shared" si="72"/>
        <v>200400</v>
      </c>
      <c r="LG33" s="1830">
        <f t="shared" si="72"/>
        <v>40486</v>
      </c>
      <c r="LH33" s="1831">
        <f t="shared" si="131"/>
        <v>0.2020259481037924</v>
      </c>
      <c r="LI33" s="1832">
        <f t="shared" si="132"/>
        <v>1</v>
      </c>
      <c r="LJ33" s="1833">
        <f t="shared" si="133"/>
        <v>360000</v>
      </c>
      <c r="LK33" s="1834">
        <f t="shared" si="133"/>
        <v>74001</v>
      </c>
      <c r="LL33" s="1831">
        <f t="shared" si="134"/>
        <v>0.20555833333333334</v>
      </c>
      <c r="LM33" s="1835">
        <f t="shared" si="135"/>
        <v>0</v>
      </c>
      <c r="LN33" s="1836">
        <f t="shared" si="136"/>
        <v>0</v>
      </c>
      <c r="LO33" s="1836">
        <f t="shared" si="136"/>
        <v>0</v>
      </c>
      <c r="LP33" s="239"/>
      <c r="LQ33" s="1837">
        <f t="shared" ref="LQ33:LQ56" si="140">(KF33+KK33+KP33)/3</f>
        <v>0</v>
      </c>
      <c r="LR33" s="1836">
        <f t="shared" si="76"/>
        <v>0</v>
      </c>
      <c r="LS33" s="1836">
        <f t="shared" si="76"/>
        <v>0</v>
      </c>
      <c r="LT33" s="1838"/>
      <c r="LV33" s="3661"/>
      <c r="LW33" s="3662"/>
      <c r="LX33" s="3662"/>
      <c r="LY33" s="2589">
        <f t="shared" si="137"/>
        <v>0</v>
      </c>
      <c r="LZ33" s="6024"/>
      <c r="MF33" s="2399"/>
      <c r="MG33" s="6025"/>
      <c r="MH33" s="6025"/>
      <c r="MI33" s="1914"/>
      <c r="MJ33" s="2010"/>
      <c r="MK33" s="6026"/>
      <c r="MN33" s="372">
        <f t="shared" si="12"/>
        <v>0</v>
      </c>
      <c r="MP33" s="6026"/>
      <c r="MQ33" s="1914"/>
      <c r="MR33" s="1914"/>
      <c r="MS33" s="1914"/>
      <c r="MT33" s="2036"/>
      <c r="MU33" s="2035"/>
      <c r="MV33" s="1914"/>
      <c r="MW33" s="1914"/>
      <c r="MX33" s="1914"/>
      <c r="MY33" s="1914"/>
      <c r="MZ33" s="2035"/>
      <c r="NA33" s="1914"/>
      <c r="NB33" s="1914"/>
      <c r="NC33" s="1914"/>
      <c r="ND33" s="1914"/>
      <c r="NT33" s="715"/>
      <c r="NU33" s="715"/>
      <c r="NV33" s="715"/>
      <c r="NW33" s="715"/>
      <c r="NX33" s="6027"/>
      <c r="NY33" s="4975"/>
      <c r="NZ33" s="715"/>
      <c r="OA33" s="715"/>
      <c r="OB33" s="715"/>
      <c r="OC33" s="2010"/>
      <c r="OG33" s="1914"/>
      <c r="OH33" s="2010"/>
      <c r="OI33" s="2035"/>
      <c r="OJ33" s="1914"/>
      <c r="OK33" s="1914"/>
      <c r="OL33" s="1914"/>
      <c r="OM33" s="2036"/>
      <c r="ON33" s="2035"/>
      <c r="OO33" s="1914"/>
      <c r="OP33" s="1914"/>
      <c r="OQ33" s="1914"/>
      <c r="OR33" s="593"/>
      <c r="OS33" s="2035"/>
      <c r="OT33" s="1914"/>
      <c r="OU33" s="1914"/>
      <c r="OV33" s="1914"/>
      <c r="OW33" s="593"/>
      <c r="OX33" s="2035"/>
      <c r="OY33" s="1914"/>
      <c r="OZ33" s="1914"/>
      <c r="PA33" s="1914"/>
      <c r="PB33" s="2010"/>
      <c r="PD33" s="3661"/>
      <c r="PE33" s="3662"/>
      <c r="PF33" s="3662"/>
      <c r="PG33" s="2589">
        <f t="shared" si="138"/>
        <v>0</v>
      </c>
      <c r="PH33" s="6024"/>
      <c r="PN33" s="2399"/>
      <c r="PO33" s="6025"/>
      <c r="PP33" s="6025"/>
      <c r="PQ33" s="1914"/>
      <c r="PR33" s="2010"/>
      <c r="PS33" s="6026"/>
      <c r="PV33" s="2892">
        <f t="shared" si="13"/>
        <v>0</v>
      </c>
      <c r="PX33" s="6028"/>
      <c r="PY33" s="715"/>
      <c r="PZ33" s="715"/>
      <c r="QA33" s="715"/>
      <c r="QB33" s="693"/>
      <c r="QC33" s="2035"/>
      <c r="QD33" s="1914"/>
      <c r="QE33" s="1914"/>
      <c r="QF33" s="1914"/>
      <c r="QG33" s="1914"/>
      <c r="QH33" s="2037"/>
      <c r="QI33" s="1914"/>
      <c r="QJ33" s="1914"/>
      <c r="QK33" s="1914"/>
      <c r="QL33" s="1914"/>
      <c r="QM33" s="2399"/>
      <c r="QV33" s="2399"/>
      <c r="RB33" s="715"/>
      <c r="RC33" s="715"/>
      <c r="RD33" s="715"/>
      <c r="RE33" s="715"/>
      <c r="RF33" s="6027"/>
      <c r="RG33" s="2037"/>
      <c r="RH33" s="1914"/>
      <c r="RI33" s="1914"/>
      <c r="RJ33" s="1914"/>
      <c r="RK33" s="2010"/>
      <c r="RM33" s="1873">
        <f t="shared" si="77"/>
        <v>0</v>
      </c>
      <c r="RN33" s="1873">
        <f t="shared" si="77"/>
        <v>0</v>
      </c>
      <c r="RO33" s="1873">
        <f t="shared" si="77"/>
        <v>0</v>
      </c>
      <c r="RQ33" s="2035"/>
      <c r="RR33" s="1914"/>
      <c r="RS33" s="1914"/>
      <c r="RT33" s="1914"/>
      <c r="RU33" s="2036"/>
      <c r="RV33" s="2035"/>
      <c r="RW33" s="1914"/>
      <c r="RX33" s="1914"/>
      <c r="RY33" s="1914"/>
      <c r="RZ33" s="593"/>
      <c r="SA33" s="2035"/>
      <c r="SB33" s="1914"/>
      <c r="SC33" s="1914"/>
      <c r="SD33" s="1914"/>
      <c r="SE33" s="593"/>
      <c r="SF33" s="2035"/>
      <c r="SG33" s="1914"/>
      <c r="SH33" s="1914"/>
      <c r="SI33" s="1914"/>
      <c r="SJ33" s="2010"/>
      <c r="SL33" s="3661"/>
      <c r="SM33" s="3662"/>
      <c r="SN33" s="3662"/>
      <c r="SO33" s="6029">
        <f t="shared" si="139"/>
        <v>0</v>
      </c>
      <c r="SP33" s="6024"/>
      <c r="SV33" s="5880"/>
      <c r="SW33" s="4965"/>
      <c r="SX33" s="4965"/>
      <c r="SY33" s="715"/>
      <c r="SZ33" s="6027"/>
      <c r="TA33" s="6028"/>
      <c r="TB33" s="5885"/>
      <c r="TC33" s="5885"/>
      <c r="TD33" s="372">
        <f t="shared" si="14"/>
        <v>0</v>
      </c>
      <c r="TE33" s="5885"/>
      <c r="TF33" s="6028"/>
      <c r="TG33" s="715"/>
      <c r="TH33" s="715"/>
      <c r="TI33" s="715"/>
      <c r="TJ33" s="693"/>
      <c r="TK33" s="2035"/>
      <c r="TL33" s="1914"/>
      <c r="TM33" s="1914"/>
      <c r="TN33" s="1914"/>
      <c r="TO33" s="1914"/>
      <c r="TP33" s="6030"/>
      <c r="TQ33" s="1914"/>
      <c r="TR33" s="1914"/>
      <c r="TS33" s="1914"/>
      <c r="TT33" s="1914"/>
      <c r="TU33" s="5889"/>
      <c r="UD33" s="2399"/>
      <c r="UJ33" s="715"/>
      <c r="UK33" s="715"/>
      <c r="UL33" s="715"/>
      <c r="UM33" s="715"/>
      <c r="UN33" s="6027"/>
      <c r="UO33" s="2037"/>
      <c r="UP33" s="1914"/>
      <c r="UQ33" s="1914"/>
      <c r="UR33" s="1914"/>
      <c r="US33" s="2010"/>
      <c r="UU33" s="622">
        <f t="shared" si="78"/>
        <v>0</v>
      </c>
      <c r="UV33" s="622">
        <f t="shared" si="78"/>
        <v>0</v>
      </c>
      <c r="UW33" s="622">
        <f t="shared" si="78"/>
        <v>0</v>
      </c>
      <c r="UY33" s="2035"/>
      <c r="UZ33" s="1914"/>
      <c r="VA33" s="1914"/>
      <c r="VB33" s="1914"/>
      <c r="VC33" s="2036"/>
      <c r="VD33" s="2035"/>
      <c r="VE33" s="1914"/>
      <c r="VF33" s="1914"/>
      <c r="VG33" s="1914"/>
      <c r="VH33" s="593"/>
      <c r="VI33" s="2035"/>
      <c r="VJ33" s="1914"/>
      <c r="VK33" s="1914"/>
      <c r="VL33" s="1914"/>
      <c r="VM33" s="593"/>
      <c r="VN33" s="2035"/>
      <c r="VO33" s="1914"/>
      <c r="VP33" s="1914"/>
      <c r="VQ33" s="1914"/>
      <c r="VR33" s="2010"/>
    </row>
    <row r="34" spans="1:590" s="122" customFormat="1" ht="13.45" hidden="1" x14ac:dyDescent="0.3">
      <c r="A34" s="2906"/>
      <c r="B34" s="6016" t="s">
        <v>53</v>
      </c>
      <c r="C34" s="6031" t="s">
        <v>781</v>
      </c>
      <c r="D34" s="5989" t="s">
        <v>782</v>
      </c>
      <c r="E34" s="6032">
        <v>44013</v>
      </c>
      <c r="F34" s="6032">
        <v>44104</v>
      </c>
      <c r="G34" s="5965">
        <v>98000</v>
      </c>
      <c r="H34" s="1775"/>
      <c r="I34" s="1776"/>
      <c r="J34" s="1776"/>
      <c r="K34" s="1776">
        <f>J34-I34</f>
        <v>0</v>
      </c>
      <c r="L34" s="1777"/>
      <c r="M34" s="1778"/>
      <c r="N34" s="1779"/>
      <c r="O34" s="1779"/>
      <c r="P34" s="1779">
        <f>O34-N34</f>
        <v>0</v>
      </c>
      <c r="Q34" s="1780"/>
      <c r="R34" s="1780"/>
      <c r="S34" s="1776"/>
      <c r="T34" s="1776"/>
      <c r="U34" s="1776">
        <f>T34-S34</f>
        <v>0</v>
      </c>
      <c r="V34" s="1777"/>
      <c r="W34" s="1776"/>
      <c r="X34" s="1776"/>
      <c r="Y34" s="1781"/>
      <c r="Z34" s="1776">
        <f>Y34-X34</f>
        <v>0</v>
      </c>
      <c r="AA34" s="1782"/>
      <c r="AB34" s="1781"/>
      <c r="AC34" s="1783"/>
      <c r="AD34" s="1784"/>
      <c r="AE34" s="1776"/>
      <c r="AF34" s="1777"/>
      <c r="AG34" s="1785"/>
      <c r="AH34" s="1776"/>
      <c r="AI34" s="1776"/>
      <c r="AJ34" s="1786"/>
      <c r="AK34" s="1777"/>
      <c r="AL34" s="1785"/>
      <c r="AM34" s="1776"/>
      <c r="AN34" s="1776"/>
      <c r="AO34" s="1781">
        <f>AN34-AM34</f>
        <v>0</v>
      </c>
      <c r="AP34" s="1777"/>
      <c r="AQ34" s="1787">
        <v>3</v>
      </c>
      <c r="AR34" s="1788">
        <v>69595</v>
      </c>
      <c r="AS34" s="1788">
        <v>98022</v>
      </c>
      <c r="AT34" s="1789">
        <f>AS34-AR34</f>
        <v>28427</v>
      </c>
      <c r="AU34" s="1777">
        <f>AT34/AS34</f>
        <v>0.29000632511068941</v>
      </c>
      <c r="AV34" s="1790">
        <v>3</v>
      </c>
      <c r="AW34" s="1788">
        <v>81403</v>
      </c>
      <c r="AX34" s="1788">
        <v>98022.61</v>
      </c>
      <c r="AY34" s="1781">
        <f>AX34-AW34</f>
        <v>16619.61</v>
      </c>
      <c r="AZ34" s="1777">
        <f>AY34/AX34</f>
        <v>0.16954873982645433</v>
      </c>
      <c r="BA34" s="1791">
        <v>3</v>
      </c>
      <c r="BB34" s="1781">
        <v>81400</v>
      </c>
      <c r="BC34" s="1781">
        <v>98022.61</v>
      </c>
      <c r="BD34" s="1781">
        <f>BC34-BB34</f>
        <v>16622.61</v>
      </c>
      <c r="BE34" s="1780">
        <f>BD34/BC34</f>
        <v>0.16957934501029917</v>
      </c>
      <c r="BF34" s="1790">
        <v>3</v>
      </c>
      <c r="BG34" s="1781">
        <v>81403</v>
      </c>
      <c r="BH34" s="1776">
        <v>98022.61</v>
      </c>
      <c r="BI34" s="1781">
        <f>BH34-BG34</f>
        <v>16619.61</v>
      </c>
      <c r="BJ34" s="1780">
        <f>BI34/BH34</f>
        <v>0.16954873982645433</v>
      </c>
      <c r="BK34" s="1790">
        <v>4</v>
      </c>
      <c r="BL34" s="1783">
        <f>78188+2000</f>
        <v>80188</v>
      </c>
      <c r="BM34" s="2577">
        <v>99307.31</v>
      </c>
      <c r="BN34" s="1781">
        <f>BM34-BL34</f>
        <v>19119.309999999998</v>
      </c>
      <c r="BO34" s="5978">
        <f>BN34/BM34</f>
        <v>0.1925267132902905</v>
      </c>
      <c r="BP34" s="1937">
        <f>(AV34+AQ34+AL34+AG34+AB34+W34+R34+M34+H34+BA34+BF34+BK34)/12</f>
        <v>1.3333333333333333</v>
      </c>
      <c r="BQ34" s="1796">
        <f>AW34+AR34+AM34+AH34+AC34+X34+S34+N34+I34+BB34+BG34+BL34</f>
        <v>393989</v>
      </c>
      <c r="BR34" s="1786">
        <f>AX34+AS34+AN34+AI34+AD34+Y34+T34+O34+J34+BC34+BH34+BM34</f>
        <v>491397.13999999996</v>
      </c>
      <c r="BS34" s="1797">
        <f>BR34-BQ34</f>
        <v>97408.139999999956</v>
      </c>
      <c r="BT34" s="1798">
        <f>H34+M34+R34</f>
        <v>0</v>
      </c>
      <c r="BU34" s="1786">
        <f>J34+O34+T34</f>
        <v>0</v>
      </c>
      <c r="BV34" s="1786">
        <f>K34+P34+U34</f>
        <v>0</v>
      </c>
      <c r="BW34" s="1799"/>
      <c r="BX34" s="1800">
        <f>W34+AB34+AG34</f>
        <v>0</v>
      </c>
      <c r="BY34" s="1786">
        <f>Y34+AD34+AI34</f>
        <v>0</v>
      </c>
      <c r="BZ34" s="1786">
        <f>Z34+AE34+AJ34</f>
        <v>0</v>
      </c>
      <c r="CA34" s="1801"/>
      <c r="CB34" s="1802">
        <f>AL34+AQ34+AV34</f>
        <v>6</v>
      </c>
      <c r="CC34" s="1786">
        <f>AN34+AS34+AX34</f>
        <v>196044.61</v>
      </c>
      <c r="CD34" s="1786">
        <f>AO34+AT34+AY34</f>
        <v>45046.61</v>
      </c>
      <c r="CE34" s="1803"/>
      <c r="CF34" s="1800">
        <f>BA34+BF34+BK34</f>
        <v>10</v>
      </c>
      <c r="CG34" s="1776">
        <f>BC34+BH34+BM34</f>
        <v>295352.53000000003</v>
      </c>
      <c r="CH34" s="1776">
        <f>BD34+BI34+BN34</f>
        <v>52361.53</v>
      </c>
      <c r="CI34" s="1801"/>
      <c r="CJ34" s="1808">
        <v>4</v>
      </c>
      <c r="CK34" s="1783">
        <v>81365</v>
      </c>
      <c r="CL34" s="2577">
        <v>98022.61</v>
      </c>
      <c r="CM34" s="1776">
        <f>CL34-CK34</f>
        <v>16657.61</v>
      </c>
      <c r="CN34" s="1799">
        <f>CM34/CL34</f>
        <v>0.16993640548848885</v>
      </c>
      <c r="CO34" s="1804">
        <v>3</v>
      </c>
      <c r="CP34" s="1776">
        <v>81364</v>
      </c>
      <c r="CQ34" s="1776">
        <v>98022.61</v>
      </c>
      <c r="CR34" s="1776">
        <f>CQ34-CP34</f>
        <v>16658.61</v>
      </c>
      <c r="CS34" s="1799">
        <f>CR34/CQ34</f>
        <v>0.16994660721643712</v>
      </c>
      <c r="CT34" s="1804">
        <v>4</v>
      </c>
      <c r="CU34" s="1776">
        <v>81365</v>
      </c>
      <c r="CV34" s="1776">
        <v>98022</v>
      </c>
      <c r="CW34" s="1776">
        <f>CV34-CU34</f>
        <v>16657</v>
      </c>
      <c r="CX34" s="1799">
        <f>CW34/CV34</f>
        <v>0.16993123992573095</v>
      </c>
      <c r="CY34" s="1808">
        <v>2</v>
      </c>
      <c r="CZ34" s="1783">
        <v>53487</v>
      </c>
      <c r="DA34" s="2577">
        <v>67832.160000000003</v>
      </c>
      <c r="DB34" s="1776">
        <f>DA34-CZ34</f>
        <v>14345.160000000003</v>
      </c>
      <c r="DC34" s="1799">
        <f>DB34/DA34</f>
        <v>0.2114802182327675</v>
      </c>
      <c r="DD34" s="1808">
        <v>3</v>
      </c>
      <c r="DE34" s="1783">
        <v>81726</v>
      </c>
      <c r="DF34" s="2577">
        <v>98151.08</v>
      </c>
      <c r="DG34" s="1783">
        <f>DF34-DE34</f>
        <v>16425.080000000002</v>
      </c>
      <c r="DH34" s="1807">
        <f>DG34/DF34</f>
        <v>0.16734487282259147</v>
      </c>
      <c r="DI34" s="1808">
        <v>3</v>
      </c>
      <c r="DJ34" s="2577">
        <v>81726</v>
      </c>
      <c r="DK34" s="2577">
        <v>98151.08</v>
      </c>
      <c r="DL34" s="1776">
        <f>DK34-DJ34</f>
        <v>16425.080000000002</v>
      </c>
      <c r="DM34" s="1807">
        <f>DL34/DK34</f>
        <v>0.16734487282259147</v>
      </c>
      <c r="DN34" s="1808">
        <v>3</v>
      </c>
      <c r="DO34" s="2577">
        <v>81726</v>
      </c>
      <c r="DP34" s="1783">
        <v>98151.08</v>
      </c>
      <c r="DQ34" s="1776">
        <f>DP34-DO34</f>
        <v>16425.080000000002</v>
      </c>
      <c r="DR34" s="1807">
        <f>DQ34/DP34</f>
        <v>0.16734487282259147</v>
      </c>
      <c r="DS34" s="1804">
        <v>3</v>
      </c>
      <c r="DT34" s="2577">
        <v>81726</v>
      </c>
      <c r="DU34" s="1783">
        <v>98151.08</v>
      </c>
      <c r="DV34" s="1776">
        <f>DU34-DT34</f>
        <v>16425.080000000002</v>
      </c>
      <c r="DW34" s="1799">
        <f>DV34/DU34</f>
        <v>0.16734487282259147</v>
      </c>
      <c r="DX34" s="1804">
        <v>5</v>
      </c>
      <c r="DY34" s="1776">
        <v>104295</v>
      </c>
      <c r="DZ34" s="1776">
        <v>126414.48</v>
      </c>
      <c r="EA34" s="1776">
        <f>DZ34-DY34</f>
        <v>22119.479999999996</v>
      </c>
      <c r="EB34" s="1807">
        <f>EA34/DZ34</f>
        <v>0.17497584137513358</v>
      </c>
      <c r="EC34" s="1804">
        <v>5</v>
      </c>
      <c r="ED34" s="1776">
        <v>90995.959999999992</v>
      </c>
      <c r="EE34" s="1776">
        <v>113952.89</v>
      </c>
      <c r="EF34" s="1786">
        <f>EE34-ED34</f>
        <v>22956.930000000008</v>
      </c>
      <c r="EG34" s="1807">
        <f>EF34/EE34</f>
        <v>0.20145983133907361</v>
      </c>
      <c r="EH34" s="1804">
        <v>3</v>
      </c>
      <c r="EI34" s="1776">
        <v>78417</v>
      </c>
      <c r="EJ34" s="1776">
        <v>87745</v>
      </c>
      <c r="EK34" s="1776">
        <f>EJ34-EI34</f>
        <v>9328</v>
      </c>
      <c r="EL34" s="1807">
        <f>EK34/EJ34</f>
        <v>0.10630805174083993</v>
      </c>
      <c r="EM34" s="1804">
        <v>3</v>
      </c>
      <c r="EN34" s="1776">
        <v>78417</v>
      </c>
      <c r="EO34" s="1776">
        <v>87745.01</v>
      </c>
      <c r="EP34" s="1776">
        <f>EO34-EN34</f>
        <v>9328.0099999999948</v>
      </c>
      <c r="EQ34" s="1807">
        <f>EP34/EO34</f>
        <v>0.10630815359186802</v>
      </c>
      <c r="ER34" s="2402">
        <f t="shared" si="38"/>
        <v>3.4166666666666665</v>
      </c>
      <c r="ES34" s="2403">
        <f t="shared" si="39"/>
        <v>976609.96</v>
      </c>
      <c r="ET34" s="2403">
        <f t="shared" si="39"/>
        <v>1170361.0799999998</v>
      </c>
      <c r="EU34" s="2403">
        <f t="shared" si="39"/>
        <v>193751.12</v>
      </c>
      <c r="EV34" s="2404">
        <f t="shared" si="40"/>
        <v>0.16554815715505511</v>
      </c>
      <c r="EW34" s="1814">
        <f>(CJ34+CO34+CT34)/3</f>
        <v>3.6666666666666665</v>
      </c>
      <c r="EX34" s="1776">
        <f>CL34+CQ34+CV34</f>
        <v>294067.21999999997</v>
      </c>
      <c r="EY34" s="1776">
        <f>CM34+CR34+CW34</f>
        <v>49973.22</v>
      </c>
      <c r="EZ34" s="1815">
        <f>EY34/EX34</f>
        <v>0.16993808422441647</v>
      </c>
      <c r="FA34" s="1939">
        <f>(CY34+DD34+DI34)/3</f>
        <v>2.6666666666666665</v>
      </c>
      <c r="FB34" s="1786">
        <f>DK34+DF34+DA34</f>
        <v>264134.32</v>
      </c>
      <c r="FC34" s="1786">
        <f>DL34+DG34+DB34</f>
        <v>47195.320000000007</v>
      </c>
      <c r="FD34" s="1799">
        <f>FC34/FB34</f>
        <v>0.17867924168279231</v>
      </c>
      <c r="FE34" s="1814">
        <f>(DN34+DS34+DX34)/3</f>
        <v>3.6666666666666665</v>
      </c>
      <c r="FF34" s="1786">
        <f>DP34+DU34+DZ34</f>
        <v>322716.64</v>
      </c>
      <c r="FG34" s="1786">
        <f>DQ34+DV34+EA34</f>
        <v>54969.64</v>
      </c>
      <c r="FH34" s="1815">
        <f>FG34/FF34</f>
        <v>0.17033407387979746</v>
      </c>
      <c r="FI34" s="1816">
        <f>(EC34+EH34+EM34)/3</f>
        <v>3.6666666666666665</v>
      </c>
      <c r="FJ34" s="1814"/>
      <c r="FK34" s="1786">
        <f>EE34+EJ34+EO34</f>
        <v>289442.90000000002</v>
      </c>
      <c r="FL34" s="1786">
        <f>EF34+EK34+EP34</f>
        <v>41612.94</v>
      </c>
      <c r="FM34" s="1799">
        <f>FL34/FK34</f>
        <v>0.14376908191563861</v>
      </c>
      <c r="FN34" s="1817">
        <v>3</v>
      </c>
      <c r="FO34" s="1818">
        <v>78417</v>
      </c>
      <c r="FP34" s="1818">
        <v>98154</v>
      </c>
      <c r="FQ34" s="1818">
        <f>FP34-FO34</f>
        <v>19737</v>
      </c>
      <c r="FR34" s="1819">
        <f>FQ34/FP34</f>
        <v>0.20108197322574731</v>
      </c>
      <c r="FS34" s="1820">
        <v>3</v>
      </c>
      <c r="FT34" s="1818">
        <v>67125</v>
      </c>
      <c r="FU34" s="1818">
        <v>98154</v>
      </c>
      <c r="FV34" s="1818">
        <f>FU34-FT34</f>
        <v>31029</v>
      </c>
      <c r="FW34" s="1821">
        <f>FV34/FU34</f>
        <v>0.31612568005379305</v>
      </c>
      <c r="FX34" s="1820">
        <v>3</v>
      </c>
      <c r="FY34" s="1822">
        <v>67583</v>
      </c>
      <c r="FZ34" s="1822">
        <v>85050</v>
      </c>
      <c r="GA34" s="1818">
        <f>FZ34-FY34</f>
        <v>17467</v>
      </c>
      <c r="GB34" s="1821">
        <f>GA34/FZ34</f>
        <v>0.20537330981775426</v>
      </c>
      <c r="GC34" s="1823">
        <v>4</v>
      </c>
      <c r="GD34" s="1824">
        <v>82449</v>
      </c>
      <c r="GE34" s="1824">
        <v>98000</v>
      </c>
      <c r="GF34" s="1818">
        <f>GE34-GD34</f>
        <v>15551</v>
      </c>
      <c r="GG34" s="1821">
        <f>GF34/GE34</f>
        <v>0.15868367346938775</v>
      </c>
      <c r="GH34" s="1823">
        <v>3</v>
      </c>
      <c r="GI34" s="1824">
        <v>78417</v>
      </c>
      <c r="GJ34" s="1824">
        <v>98000</v>
      </c>
      <c r="GK34" s="1818">
        <f>GJ34-GI34</f>
        <v>19583</v>
      </c>
      <c r="GL34" s="1821">
        <f>GK34/GJ34</f>
        <v>0.1998265306122449</v>
      </c>
      <c r="GM34" s="1823">
        <v>3</v>
      </c>
      <c r="GN34" s="1824">
        <v>78417</v>
      </c>
      <c r="GO34" s="1824">
        <v>98000</v>
      </c>
      <c r="GP34" s="1818">
        <f>GO34-GN34</f>
        <v>19583</v>
      </c>
      <c r="GQ34" s="1821">
        <f>GP34/GO34</f>
        <v>0.1998265306122449</v>
      </c>
      <c r="GR34" s="1823"/>
      <c r="GS34" s="1824">
        <v>0</v>
      </c>
      <c r="GT34" s="1824">
        <v>0</v>
      </c>
      <c r="GU34" s="1818">
        <v>0</v>
      </c>
      <c r="GV34" s="1821"/>
      <c r="GW34" s="1823"/>
      <c r="GX34" s="1824">
        <v>0</v>
      </c>
      <c r="GY34" s="1824">
        <v>0</v>
      </c>
      <c r="GZ34" s="1818">
        <v>0</v>
      </c>
      <c r="HA34" s="1821"/>
      <c r="HB34" s="1823"/>
      <c r="HC34" s="1824"/>
      <c r="HD34" s="1824">
        <v>0</v>
      </c>
      <c r="HE34" s="1818">
        <v>0</v>
      </c>
      <c r="HF34" s="1821"/>
      <c r="HG34" s="1823"/>
      <c r="HH34" s="1824"/>
      <c r="HI34" s="1824"/>
      <c r="HJ34" s="1818">
        <f>HI34-HH34</f>
        <v>0</v>
      </c>
      <c r="HK34" s="1821"/>
      <c r="HL34" s="1823"/>
      <c r="HM34" s="1824"/>
      <c r="HN34" s="1824"/>
      <c r="HO34" s="1818">
        <f>HN34-HM34</f>
        <v>0</v>
      </c>
      <c r="HP34" s="1821"/>
      <c r="HQ34" s="654"/>
      <c r="HR34" s="1248"/>
      <c r="HS34" s="1248"/>
      <c r="HT34" s="1248">
        <f>HS34-HR34</f>
        <v>0</v>
      </c>
      <c r="HU34" s="1826"/>
      <c r="HV34" s="5941">
        <f t="shared" si="8"/>
        <v>1.5833333333333333</v>
      </c>
      <c r="HW34" s="622">
        <f t="shared" si="9"/>
        <v>452408</v>
      </c>
      <c r="HX34" s="622">
        <f t="shared" si="9"/>
        <v>575358</v>
      </c>
      <c r="HY34" s="622">
        <f t="shared" si="9"/>
        <v>122950</v>
      </c>
      <c r="HZ34" s="1828"/>
      <c r="IA34" s="1829">
        <f>(FN34+FS34+FX34)/3</f>
        <v>3</v>
      </c>
      <c r="IB34" s="1830">
        <f>FP34+FU34+FZ34</f>
        <v>281358</v>
      </c>
      <c r="IC34" s="1830">
        <f>FQ34+FV34+GA34</f>
        <v>68233</v>
      </c>
      <c r="ID34" s="1831">
        <f>IC34/IB34</f>
        <v>0.24251309719290015</v>
      </c>
      <c r="IE34" s="1832">
        <f>(GC34+GH34+GM34)/3</f>
        <v>3.3333333333333335</v>
      </c>
      <c r="IF34" s="1833">
        <f>(GE34+GJ34+GO34)</f>
        <v>294000</v>
      </c>
      <c r="IG34" s="1834">
        <f>(GF34+GK34+GP34)</f>
        <v>54717</v>
      </c>
      <c r="IH34" s="1831">
        <f>IG34/IF34</f>
        <v>0.18611224489795919</v>
      </c>
      <c r="II34" s="1835">
        <f>(GR34+GW34+HB34)/3</f>
        <v>0</v>
      </c>
      <c r="IJ34" s="1836">
        <f>(GT34+GY34+HD34)</f>
        <v>0</v>
      </c>
      <c r="IK34" s="1836">
        <f>(GU34+GZ34+HE34)</f>
        <v>0</v>
      </c>
      <c r="IL34" s="239"/>
      <c r="IM34" s="1837">
        <f>(HB34+HG34+HL34)/3</f>
        <v>0</v>
      </c>
      <c r="IN34" s="1836">
        <f>(HI34+HN34+HS34)</f>
        <v>0</v>
      </c>
      <c r="IO34" s="1836">
        <f>(HJ34+HO34+HT34)</f>
        <v>0</v>
      </c>
      <c r="IP34" s="1838" t="e">
        <f>IO34/IN34</f>
        <v>#DIV/0!</v>
      </c>
      <c r="IQ34" s="1839"/>
      <c r="IR34" s="1840"/>
      <c r="IS34" s="1818"/>
      <c r="IT34" s="1818"/>
      <c r="IU34" s="1818">
        <f>IT34-IS34</f>
        <v>0</v>
      </c>
      <c r="IV34" s="1819"/>
      <c r="IW34" s="1820"/>
      <c r="IX34" s="1818"/>
      <c r="IY34" s="1818"/>
      <c r="IZ34" s="1818">
        <f t="shared" si="106"/>
        <v>0</v>
      </c>
      <c r="JA34" s="1821"/>
      <c r="JB34" s="1984"/>
      <c r="JC34" s="1985"/>
      <c r="JD34" s="1986"/>
      <c r="JE34" s="1818">
        <f t="shared" si="65"/>
        <v>0</v>
      </c>
      <c r="JF34" s="1821" t="e">
        <f t="shared" si="108"/>
        <v>#DIV/0!</v>
      </c>
      <c r="JG34" s="1981"/>
      <c r="JH34" s="1824"/>
      <c r="JI34" s="1824"/>
      <c r="JJ34" s="1822">
        <f t="shared" si="67"/>
        <v>0</v>
      </c>
      <c r="JK34" s="1821" t="e">
        <f t="shared" si="109"/>
        <v>#DIV/0!</v>
      </c>
      <c r="JL34" s="1823"/>
      <c r="JM34" s="1824"/>
      <c r="JN34" s="1824"/>
      <c r="JO34" s="1996">
        <f t="shared" si="69"/>
        <v>0</v>
      </c>
      <c r="JP34" s="1821" t="e">
        <f t="shared" si="110"/>
        <v>#DIV/0!</v>
      </c>
      <c r="JQ34" s="6013"/>
      <c r="JR34" s="1982"/>
      <c r="JS34" s="1248"/>
      <c r="JT34" s="1996">
        <f t="shared" si="129"/>
        <v>0</v>
      </c>
      <c r="JU34" s="1821" t="e">
        <f>JT34/JS34</f>
        <v>#DIV/0!</v>
      </c>
      <c r="JV34" s="1981"/>
      <c r="JW34" s="1824"/>
      <c r="JX34" s="1248"/>
      <c r="JY34" s="1996">
        <v>0</v>
      </c>
      <c r="JZ34" s="1821"/>
      <c r="KA34" s="1981"/>
      <c r="KB34" s="1248"/>
      <c r="KC34" s="1982"/>
      <c r="KD34" s="1983">
        <v>0</v>
      </c>
      <c r="KE34" s="1952"/>
      <c r="KF34" s="1981"/>
      <c r="KG34" s="1248"/>
      <c r="KH34" s="1824"/>
      <c r="KI34" s="1818">
        <v>0</v>
      </c>
      <c r="KJ34" s="1821"/>
      <c r="KK34" s="1990"/>
      <c r="KL34" s="1904"/>
      <c r="KM34" s="1904"/>
      <c r="KN34" s="2023">
        <f t="shared" si="130"/>
        <v>0</v>
      </c>
      <c r="KO34" s="2024"/>
      <c r="KP34" s="1823"/>
      <c r="KQ34" s="1982"/>
      <c r="KR34" s="1248"/>
      <c r="KS34" s="1996">
        <f>KR34-KQ34</f>
        <v>0</v>
      </c>
      <c r="KT34" s="1819"/>
      <c r="KU34" s="1905"/>
      <c r="KV34" s="1248"/>
      <c r="KW34" s="1248"/>
      <c r="KX34" s="1248">
        <f>KW34-KV34</f>
        <v>0</v>
      </c>
      <c r="KY34" s="77"/>
      <c r="KZ34" s="1832"/>
      <c r="LA34" s="622">
        <f t="shared" si="11"/>
        <v>0</v>
      </c>
      <c r="LB34" s="622">
        <f t="shared" si="11"/>
        <v>0</v>
      </c>
      <c r="LC34" s="622">
        <f t="shared" si="11"/>
        <v>0</v>
      </c>
      <c r="LD34" s="239"/>
      <c r="LE34" s="1834">
        <f t="shared" si="71"/>
        <v>0</v>
      </c>
      <c r="LF34" s="1830">
        <f t="shared" si="72"/>
        <v>0</v>
      </c>
      <c r="LG34" s="1830">
        <f t="shared" si="72"/>
        <v>0</v>
      </c>
      <c r="LH34" s="1831" t="e">
        <f t="shared" si="131"/>
        <v>#DIV/0!</v>
      </c>
      <c r="LI34" s="1832">
        <f t="shared" si="132"/>
        <v>0</v>
      </c>
      <c r="LJ34" s="1833">
        <f t="shared" si="133"/>
        <v>0</v>
      </c>
      <c r="LK34" s="1834">
        <f t="shared" si="133"/>
        <v>0</v>
      </c>
      <c r="LL34" s="1831" t="e">
        <f t="shared" si="134"/>
        <v>#DIV/0!</v>
      </c>
      <c r="LM34" s="1835">
        <f t="shared" si="135"/>
        <v>0</v>
      </c>
      <c r="LN34" s="1836">
        <f t="shared" si="136"/>
        <v>0</v>
      </c>
      <c r="LO34" s="1836">
        <f t="shared" si="136"/>
        <v>0</v>
      </c>
      <c r="LP34" s="239"/>
      <c r="LQ34" s="1837">
        <f t="shared" si="140"/>
        <v>0</v>
      </c>
      <c r="LR34" s="1836">
        <f t="shared" si="76"/>
        <v>0</v>
      </c>
      <c r="LS34" s="1836">
        <f t="shared" si="76"/>
        <v>0</v>
      </c>
      <c r="LT34" s="1838"/>
      <c r="LV34" s="3645"/>
      <c r="LW34" s="2897"/>
      <c r="LX34" s="2897"/>
      <c r="LY34" s="2589">
        <f t="shared" si="137"/>
        <v>0</v>
      </c>
      <c r="LZ34" s="6033"/>
      <c r="MF34" s="5880"/>
      <c r="MG34" s="4965"/>
      <c r="MH34" s="4965"/>
      <c r="MI34" s="1839"/>
      <c r="MJ34" s="1660"/>
      <c r="MK34" s="5881"/>
      <c r="MN34" s="372">
        <f t="shared" si="12"/>
        <v>0</v>
      </c>
      <c r="MP34" s="5881"/>
      <c r="MQ34" s="1839"/>
      <c r="MR34" s="1839"/>
      <c r="MS34" s="1839"/>
      <c r="MT34" s="693"/>
      <c r="MU34" s="2035"/>
      <c r="MV34" s="1914"/>
      <c r="MW34" s="1914"/>
      <c r="MX34" s="1914"/>
      <c r="MY34" s="5882"/>
      <c r="MZ34" s="1659"/>
      <c r="NA34" s="1839"/>
      <c r="NB34" s="1839"/>
      <c r="NC34" s="1839"/>
      <c r="ND34" s="1839"/>
      <c r="NO34" s="5883"/>
      <c r="NP34" s="2425"/>
      <c r="NQ34" s="2425"/>
      <c r="NR34" s="5883"/>
      <c r="NT34" s="1839"/>
      <c r="NU34" s="1839"/>
      <c r="NV34" s="715"/>
      <c r="NW34" s="1839"/>
      <c r="NX34" s="1660"/>
      <c r="NY34" s="1659"/>
      <c r="NZ34" s="715"/>
      <c r="OA34" s="715"/>
      <c r="OB34" s="1839"/>
      <c r="OC34" s="1660"/>
      <c r="OE34" s="5885"/>
      <c r="OF34" s="5885"/>
      <c r="OG34" s="715"/>
      <c r="OH34" s="1660"/>
      <c r="OI34" s="1659"/>
      <c r="OJ34" s="1839"/>
      <c r="OK34" s="1839"/>
      <c r="OL34" s="1839"/>
      <c r="OM34" s="693"/>
      <c r="ON34" s="1659"/>
      <c r="OO34" s="715"/>
      <c r="OP34" s="715"/>
      <c r="OQ34" s="715"/>
      <c r="OR34" s="705"/>
      <c r="OS34" s="1659"/>
      <c r="OT34" s="1839"/>
      <c r="OU34" s="1839"/>
      <c r="OV34" s="1839"/>
      <c r="OW34" s="705"/>
      <c r="OX34" s="1659"/>
      <c r="OY34" s="1839"/>
      <c r="OZ34" s="1839"/>
      <c r="PA34" s="1839"/>
      <c r="PB34" s="1660"/>
      <c r="PD34" s="3645"/>
      <c r="PE34" s="2897"/>
      <c r="PF34" s="2897"/>
      <c r="PG34" s="2589">
        <f t="shared" si="138"/>
        <v>0</v>
      </c>
      <c r="PH34" s="6033"/>
      <c r="PN34" s="5880"/>
      <c r="PO34" s="4965"/>
      <c r="PP34" s="4965"/>
      <c r="PQ34" s="1839"/>
      <c r="PR34" s="1660"/>
      <c r="PS34" s="5886"/>
      <c r="PT34" s="5883"/>
      <c r="PU34" s="5883"/>
      <c r="PV34" s="2892">
        <f t="shared" si="13"/>
        <v>0</v>
      </c>
      <c r="PW34" s="5883"/>
      <c r="PX34" s="5881"/>
      <c r="PY34" s="1839"/>
      <c r="PZ34" s="1839"/>
      <c r="QA34" s="1839"/>
      <c r="QB34" s="693"/>
      <c r="QC34" s="2035"/>
      <c r="QD34" s="1914"/>
      <c r="QE34" s="1914"/>
      <c r="QF34" s="1914"/>
      <c r="QG34" s="5882"/>
      <c r="QH34" s="1910"/>
      <c r="QI34" s="1839"/>
      <c r="QJ34" s="1839"/>
      <c r="QK34" s="1839"/>
      <c r="QL34" s="1839"/>
      <c r="QM34" s="5880"/>
      <c r="QR34" s="5883"/>
      <c r="QS34" s="5883"/>
      <c r="QT34" s="5883"/>
      <c r="QU34" s="5883"/>
      <c r="QV34" s="1677"/>
      <c r="QW34" s="5883"/>
      <c r="QX34" s="2425"/>
      <c r="QY34" s="2425"/>
      <c r="QZ34" s="5883"/>
      <c r="RA34" s="5883"/>
      <c r="RB34" s="1839"/>
      <c r="RC34" s="1839"/>
      <c r="RD34" s="715"/>
      <c r="RE34" s="1839"/>
      <c r="RF34" s="1660"/>
      <c r="RG34" s="2037"/>
      <c r="RH34" s="1914"/>
      <c r="RI34" s="1914"/>
      <c r="RJ34" s="5882"/>
      <c r="RK34" s="1660"/>
      <c r="RL34" s="5883"/>
      <c r="RM34" s="1873">
        <f t="shared" si="77"/>
        <v>0</v>
      </c>
      <c r="RN34" s="1873">
        <f t="shared" si="77"/>
        <v>0</v>
      </c>
      <c r="RO34" s="1873">
        <f t="shared" si="77"/>
        <v>0</v>
      </c>
      <c r="RP34" s="5883"/>
      <c r="RQ34" s="1659"/>
      <c r="RR34" s="1839"/>
      <c r="RS34" s="1839"/>
      <c r="RT34" s="1839"/>
      <c r="RU34" s="693"/>
      <c r="RV34" s="1659"/>
      <c r="RW34" s="715"/>
      <c r="RX34" s="715"/>
      <c r="RY34" s="715"/>
      <c r="RZ34" s="705"/>
      <c r="SA34" s="1659"/>
      <c r="SB34" s="1839"/>
      <c r="SC34" s="1839"/>
      <c r="SD34" s="1839"/>
      <c r="SE34" s="705"/>
      <c r="SF34" s="1659"/>
      <c r="SG34" s="1839"/>
      <c r="SH34" s="1839"/>
      <c r="SI34" s="1839"/>
      <c r="SJ34" s="1660"/>
      <c r="SL34" s="3645"/>
      <c r="SM34" s="2897"/>
      <c r="SN34" s="2897"/>
      <c r="SO34" s="6029">
        <f t="shared" si="139"/>
        <v>0</v>
      </c>
      <c r="SP34" s="6034"/>
      <c r="SQ34" s="5883"/>
      <c r="SR34" s="5883"/>
      <c r="SS34" s="5883"/>
      <c r="ST34" s="5883"/>
      <c r="SU34" s="5883"/>
      <c r="SV34" s="5880"/>
      <c r="SW34" s="4965"/>
      <c r="SX34" s="4965"/>
      <c r="SY34" s="1839"/>
      <c r="SZ34" s="1660"/>
      <c r="TA34" s="5881"/>
      <c r="TD34" s="372">
        <f t="shared" si="14"/>
        <v>0</v>
      </c>
      <c r="TF34" s="5881"/>
      <c r="TG34" s="1839"/>
      <c r="TH34" s="1839"/>
      <c r="TI34" s="1839"/>
      <c r="TJ34" s="693"/>
      <c r="TK34" s="2035"/>
      <c r="TL34" s="1914"/>
      <c r="TM34" s="1914"/>
      <c r="TN34" s="1914"/>
      <c r="TO34" s="5882"/>
      <c r="TP34" s="2407"/>
      <c r="TQ34" s="1839"/>
      <c r="TR34" s="1839"/>
      <c r="TS34" s="1839"/>
      <c r="TT34" s="1839"/>
      <c r="TU34" s="5889"/>
      <c r="TV34" s="5883"/>
      <c r="TW34" s="5883"/>
      <c r="TX34" s="5883"/>
      <c r="TY34" s="5883"/>
      <c r="TZ34" s="5883"/>
      <c r="UA34" s="5883"/>
      <c r="UB34" s="5883"/>
      <c r="UC34" s="5883"/>
      <c r="UD34" s="1677"/>
      <c r="UE34" s="5883"/>
      <c r="UF34" s="2425"/>
      <c r="UG34" s="2425"/>
      <c r="UH34" s="5883"/>
      <c r="UI34" s="5883"/>
      <c r="UJ34" s="1839"/>
      <c r="UK34" s="1839"/>
      <c r="UL34" s="715"/>
      <c r="UM34" s="1839"/>
      <c r="UN34" s="1660"/>
      <c r="UO34" s="2037"/>
      <c r="UP34" s="1914"/>
      <c r="UQ34" s="1914"/>
      <c r="UR34" s="5882"/>
      <c r="US34" s="1660"/>
      <c r="UU34" s="622">
        <f t="shared" si="78"/>
        <v>0</v>
      </c>
      <c r="UV34" s="622">
        <f t="shared" si="78"/>
        <v>0</v>
      </c>
      <c r="UW34" s="622">
        <f t="shared" si="78"/>
        <v>0</v>
      </c>
      <c r="UY34" s="1659"/>
      <c r="UZ34" s="1839"/>
      <c r="VA34" s="1839"/>
      <c r="VB34" s="1839"/>
      <c r="VC34" s="693"/>
      <c r="VD34" s="1659"/>
      <c r="VE34" s="715"/>
      <c r="VF34" s="715"/>
      <c r="VG34" s="715"/>
      <c r="VH34" s="705"/>
      <c r="VI34" s="1659"/>
      <c r="VJ34" s="1839"/>
      <c r="VK34" s="1839"/>
      <c r="VL34" s="1839"/>
      <c r="VM34" s="705"/>
      <c r="VN34" s="1659"/>
      <c r="VO34" s="1839"/>
      <c r="VP34" s="1839"/>
      <c r="VQ34" s="1839"/>
      <c r="VR34" s="1660"/>
    </row>
    <row r="35" spans="1:590" s="122" customFormat="1" ht="13.45" hidden="1" x14ac:dyDescent="0.3">
      <c r="A35" s="2906"/>
      <c r="B35" s="6016" t="s">
        <v>53</v>
      </c>
      <c r="C35" s="6031" t="s">
        <v>783</v>
      </c>
      <c r="D35" s="5989" t="s">
        <v>784</v>
      </c>
      <c r="E35" s="5964">
        <v>44013</v>
      </c>
      <c r="F35" s="5964">
        <v>44074</v>
      </c>
      <c r="G35" s="6035">
        <v>3979200</v>
      </c>
      <c r="H35" s="1775"/>
      <c r="I35" s="6006"/>
      <c r="J35" s="6006"/>
      <c r="K35" s="1776"/>
      <c r="L35" s="1777"/>
      <c r="M35" s="5986"/>
      <c r="N35" s="6008"/>
      <c r="O35" s="1779"/>
      <c r="P35" s="1779"/>
      <c r="Q35" s="1780"/>
      <c r="R35" s="5977"/>
      <c r="S35" s="1783"/>
      <c r="T35" s="6006"/>
      <c r="U35" s="1776"/>
      <c r="V35" s="1777"/>
      <c r="W35" s="5976"/>
      <c r="X35" s="1783"/>
      <c r="Y35" s="6006"/>
      <c r="Z35" s="1776">
        <f>Y35-X35</f>
        <v>0</v>
      </c>
      <c r="AA35" s="1777"/>
      <c r="AB35" s="1781"/>
      <c r="AC35" s="1776"/>
      <c r="AD35" s="1788"/>
      <c r="AE35" s="1776">
        <f>AD35-AC35</f>
        <v>0</v>
      </c>
      <c r="AF35" s="1777"/>
      <c r="AG35" s="1785"/>
      <c r="AH35" s="1776"/>
      <c r="AI35" s="1776"/>
      <c r="AJ35" s="1786">
        <f>AI35-AH35</f>
        <v>0</v>
      </c>
      <c r="AK35" s="1777"/>
      <c r="AL35" s="1785"/>
      <c r="AM35" s="1781"/>
      <c r="AN35" s="1781"/>
      <c r="AO35" s="1781"/>
      <c r="AP35" s="1777"/>
      <c r="AQ35" s="1787"/>
      <c r="AR35" s="1788"/>
      <c r="AS35" s="1788"/>
      <c r="AT35" s="1789">
        <f>AS35-AR35</f>
        <v>0</v>
      </c>
      <c r="AU35" s="1777" t="s">
        <v>732</v>
      </c>
      <c r="AV35" s="1790"/>
      <c r="AW35" s="1788"/>
      <c r="AX35" s="1788"/>
      <c r="AY35" s="1781">
        <f>AX35-AW35</f>
        <v>0</v>
      </c>
      <c r="AZ35" s="1777" t="s">
        <v>732</v>
      </c>
      <c r="BA35" s="1791"/>
      <c r="BB35" s="1788"/>
      <c r="BC35" s="1781"/>
      <c r="BD35" s="1781"/>
      <c r="BE35" s="1780" t="e">
        <f>BD35/BC35</f>
        <v>#DIV/0!</v>
      </c>
      <c r="BF35" s="1790"/>
      <c r="BG35" s="1788"/>
      <c r="BH35" s="1788"/>
      <c r="BI35" s="1781"/>
      <c r="BJ35" s="1780"/>
      <c r="BK35" s="1790"/>
      <c r="BL35" s="1788"/>
      <c r="BM35" s="1788"/>
      <c r="BN35" s="1781"/>
      <c r="BO35" s="5978"/>
      <c r="BP35" s="1937">
        <f>(AV35+AQ35+AL35+AG35+AB35+W35+R35+M35+H35+BA35+BF35+BK35)/12</f>
        <v>0</v>
      </c>
      <c r="BQ35" s="1796">
        <f>AW35+AR35+AM35+AH35+AC35+X35+S35+N35+I35+BB35+BG35+BL35</f>
        <v>0</v>
      </c>
      <c r="BR35" s="1786">
        <f>AX35+AS35+AN35+AI35+AD35+Y35+T35+O35+J35+BC35+BH35+BM35</f>
        <v>0</v>
      </c>
      <c r="BS35" s="1797">
        <f>BR35-BQ35</f>
        <v>0</v>
      </c>
      <c r="BT35" s="1798">
        <f>H35+M35+R35</f>
        <v>0</v>
      </c>
      <c r="BU35" s="1786">
        <f>J35+O35+T35</f>
        <v>0</v>
      </c>
      <c r="BV35" s="1786">
        <f>K35+P35+U35</f>
        <v>0</v>
      </c>
      <c r="BW35" s="1799"/>
      <c r="BX35" s="1800">
        <f>W35+AB35+AG35</f>
        <v>0</v>
      </c>
      <c r="BY35" s="1786">
        <f>Y35+AD35+AI35</f>
        <v>0</v>
      </c>
      <c r="BZ35" s="1786">
        <f>Z35+AE35+AJ35</f>
        <v>0</v>
      </c>
      <c r="CA35" s="1801"/>
      <c r="CB35" s="1802">
        <f>AL35+AQ35+AV35</f>
        <v>0</v>
      </c>
      <c r="CC35" s="1786">
        <f>AN35+AS35+AX35</f>
        <v>0</v>
      </c>
      <c r="CD35" s="1786">
        <f>AO35+AT35+AY35</f>
        <v>0</v>
      </c>
      <c r="CE35" s="1803"/>
      <c r="CF35" s="1800">
        <f>BA35+BF35+BK35</f>
        <v>0</v>
      </c>
      <c r="CG35" s="1776">
        <f>BC35+BH35+BM35</f>
        <v>0</v>
      </c>
      <c r="CH35" s="1776">
        <f>BD35+BI35+BN35</f>
        <v>0</v>
      </c>
      <c r="CI35" s="1801"/>
      <c r="CJ35" s="1808">
        <f>185+4</f>
        <v>189</v>
      </c>
      <c r="CK35" s="1783">
        <f>4716838+52446+16240+87595</f>
        <v>4873119</v>
      </c>
      <c r="CL35" s="2577">
        <v>5381092.1200000001</v>
      </c>
      <c r="CM35" s="1776">
        <f>CL35-CK35</f>
        <v>507973.12000000011</v>
      </c>
      <c r="CN35" s="1799">
        <f>CM35/CL35</f>
        <v>9.4399632764510286E-2</v>
      </c>
      <c r="CO35" s="1804">
        <v>175</v>
      </c>
      <c r="CP35" s="1776">
        <f>4341100+44112+4436+121400</f>
        <v>4511048</v>
      </c>
      <c r="CQ35" s="1776">
        <v>4914730</v>
      </c>
      <c r="CR35" s="1776">
        <f>CQ35-CP35</f>
        <v>403682</v>
      </c>
      <c r="CS35" s="1799">
        <f>CR35/CQ35</f>
        <v>8.2137167250286386E-2</v>
      </c>
      <c r="CT35" s="1808">
        <f>171+1</f>
        <v>172</v>
      </c>
      <c r="CU35" s="1783">
        <f>4059976+56556+26650+95000</f>
        <v>4238182</v>
      </c>
      <c r="CV35" s="1776">
        <v>4914730</v>
      </c>
      <c r="CW35" s="1776">
        <f>CV35-CU35</f>
        <v>676548</v>
      </c>
      <c r="CX35" s="1799">
        <f>CW35/CV35</f>
        <v>0.13765720599097001</v>
      </c>
      <c r="CY35" s="1808">
        <f>134+3</f>
        <v>137</v>
      </c>
      <c r="CZ35" s="1783">
        <f>3391282+44112+60549</f>
        <v>3495943</v>
      </c>
      <c r="DA35" s="2577">
        <v>4145000</v>
      </c>
      <c r="DB35" s="1776">
        <f>DA35-CZ35</f>
        <v>649057</v>
      </c>
      <c r="DC35" s="1799">
        <f>DB35/DA35</f>
        <v>0.15658793727382389</v>
      </c>
      <c r="DD35" s="1808">
        <v>140</v>
      </c>
      <c r="DE35" s="1783">
        <f>3574794+39249</f>
        <v>3614043</v>
      </c>
      <c r="DF35" s="2577">
        <v>4145000</v>
      </c>
      <c r="DG35" s="1783">
        <f>DF35-DE35</f>
        <v>530957</v>
      </c>
      <c r="DH35" s="1807">
        <f>DG35/DF35</f>
        <v>0.12809577804583835</v>
      </c>
      <c r="DI35" s="1808">
        <v>141</v>
      </c>
      <c r="DJ35" s="2577">
        <f>3663852+30366</f>
        <v>3694218</v>
      </c>
      <c r="DK35" s="2577">
        <v>4145000</v>
      </c>
      <c r="DL35" s="1776">
        <f>DK35-DJ35</f>
        <v>450782</v>
      </c>
      <c r="DM35" s="1807">
        <f>DL35/DK35</f>
        <v>0.10875319662243667</v>
      </c>
      <c r="DN35" s="1808">
        <v>145</v>
      </c>
      <c r="DO35" s="2577">
        <f>3694324+30943+33150</f>
        <v>3758417</v>
      </c>
      <c r="DP35" s="1783">
        <v>4145000</v>
      </c>
      <c r="DQ35" s="1776">
        <f>DP35-DO35</f>
        <v>386583</v>
      </c>
      <c r="DR35" s="1807">
        <f>DQ35/DP35</f>
        <v>9.3264897466827507E-2</v>
      </c>
      <c r="DS35" s="1808">
        <v>142</v>
      </c>
      <c r="DT35" s="2577">
        <f>3569258+44112+24624</f>
        <v>3637994</v>
      </c>
      <c r="DU35" s="1783">
        <v>4145000</v>
      </c>
      <c r="DV35" s="1776">
        <f>DU35-DT35</f>
        <v>507006</v>
      </c>
      <c r="DW35" s="1799">
        <f>DV35/DU35</f>
        <v>0.12231749095295537</v>
      </c>
      <c r="DX35" s="1804">
        <v>141</v>
      </c>
      <c r="DY35" s="1776">
        <v>3697585.5</v>
      </c>
      <c r="DZ35" s="1776">
        <v>4145000</v>
      </c>
      <c r="EA35" s="1776">
        <f>DZ35-DY35</f>
        <v>447414.5</v>
      </c>
      <c r="EB35" s="1807">
        <f>EA35/DZ35</f>
        <v>0.10794077201447527</v>
      </c>
      <c r="EC35" s="1804">
        <v>145</v>
      </c>
      <c r="ED35" s="1776">
        <v>3692791</v>
      </c>
      <c r="EE35" s="1776">
        <v>4145000</v>
      </c>
      <c r="EF35" s="1786">
        <f>EE35-ED35</f>
        <v>452209</v>
      </c>
      <c r="EG35" s="1807">
        <f>EF35/EE35</f>
        <v>0.10909746682750301</v>
      </c>
      <c r="EH35" s="1804">
        <v>150</v>
      </c>
      <c r="EI35" s="1776">
        <v>3596651</v>
      </c>
      <c r="EJ35" s="1776">
        <v>4145000</v>
      </c>
      <c r="EK35" s="1776">
        <f>EJ35-EI35</f>
        <v>548349</v>
      </c>
      <c r="EL35" s="1807">
        <f>EK35/EJ35</f>
        <v>0.13229167671893849</v>
      </c>
      <c r="EM35" s="1804">
        <v>143</v>
      </c>
      <c r="EN35" s="1776">
        <v>3503605</v>
      </c>
      <c r="EO35" s="1776">
        <v>4145000</v>
      </c>
      <c r="EP35" s="1776">
        <f>EO35-EN35</f>
        <v>641395</v>
      </c>
      <c r="EQ35" s="1807">
        <f>EP35/EO35</f>
        <v>0.15473944511459589</v>
      </c>
      <c r="ER35" s="2402">
        <f t="shared" si="38"/>
        <v>151.66666666666666</v>
      </c>
      <c r="ES35" s="2403">
        <f t="shared" si="39"/>
        <v>46313596.5</v>
      </c>
      <c r="ET35" s="2403">
        <f t="shared" si="39"/>
        <v>52515552.120000005</v>
      </c>
      <c r="EU35" s="2403">
        <f t="shared" si="39"/>
        <v>6201955.6200000001</v>
      </c>
      <c r="EV35" s="2404">
        <f t="shared" si="40"/>
        <v>0.11809750387520061</v>
      </c>
      <c r="EW35" s="1814">
        <f>(CJ35+CO35+CT35)/3</f>
        <v>178.66666666666666</v>
      </c>
      <c r="EX35" s="1776">
        <f>CL35+CQ35+CV35</f>
        <v>15210552.120000001</v>
      </c>
      <c r="EY35" s="1776">
        <f>CM35+CR35+CW35</f>
        <v>1588203.12</v>
      </c>
      <c r="EZ35" s="1815">
        <f>EY35/EX35</f>
        <v>0.10441456085684811</v>
      </c>
      <c r="FA35" s="1939">
        <f>(CY35+DD35+DI35)/3</f>
        <v>139.33333333333334</v>
      </c>
      <c r="FB35" s="1786">
        <f>DK35+DF35+DA35</f>
        <v>12435000</v>
      </c>
      <c r="FC35" s="1786">
        <f>DL35+DG35+DB35</f>
        <v>1630796</v>
      </c>
      <c r="FD35" s="1799">
        <f>FC35/FB35</f>
        <v>0.13114563731403298</v>
      </c>
      <c r="FE35" s="1814">
        <f>(DN35+DS35+DX35)/3</f>
        <v>142.66666666666666</v>
      </c>
      <c r="FF35" s="1786">
        <f>DP35+DU35+DZ35</f>
        <v>12435000</v>
      </c>
      <c r="FG35" s="1786">
        <f>DQ35+DV35+EA35</f>
        <v>1341003.5</v>
      </c>
      <c r="FH35" s="1815">
        <f>FG35/FF35</f>
        <v>0.10784105347808605</v>
      </c>
      <c r="FI35" s="1816">
        <f>(EC35+EH35+EM35)/3</f>
        <v>146</v>
      </c>
      <c r="FJ35" s="1814"/>
      <c r="FK35" s="1786">
        <f>EE35+EJ35+EO35</f>
        <v>12435000</v>
      </c>
      <c r="FL35" s="1786">
        <f>EF35+EK35+EP35</f>
        <v>1641953</v>
      </c>
      <c r="FM35" s="1799">
        <f>FL35/FK35</f>
        <v>0.13204286288701247</v>
      </c>
      <c r="FN35" s="1817">
        <v>137</v>
      </c>
      <c r="FO35" s="1818">
        <v>3505600</v>
      </c>
      <c r="FP35" s="1818">
        <v>4145000</v>
      </c>
      <c r="FQ35" s="1818">
        <f>FP35-FO35</f>
        <v>639400</v>
      </c>
      <c r="FR35" s="1819">
        <f>FQ35/FP35</f>
        <v>0.15425814234016888</v>
      </c>
      <c r="FS35" s="1820">
        <v>134</v>
      </c>
      <c r="FT35" s="1818">
        <v>3457490.54</v>
      </c>
      <c r="FU35" s="1818">
        <v>4145000</v>
      </c>
      <c r="FV35" s="1818">
        <f>FU35-FT35</f>
        <v>687509.46</v>
      </c>
      <c r="FW35" s="1821">
        <f>FV35/FU35</f>
        <v>0.16586476718938478</v>
      </c>
      <c r="FX35" s="1820">
        <v>135</v>
      </c>
      <c r="FY35" s="1822">
        <f>3240898+154927</f>
        <v>3395825</v>
      </c>
      <c r="FZ35" s="1822">
        <v>4145000</v>
      </c>
      <c r="GA35" s="1818">
        <f>FZ35-FY35</f>
        <v>749175</v>
      </c>
      <c r="GB35" s="1821">
        <f>GA35/FZ35</f>
        <v>0.18074185765983111</v>
      </c>
      <c r="GC35" s="1823">
        <v>136</v>
      </c>
      <c r="GD35" s="1824">
        <v>3450392</v>
      </c>
      <c r="GE35" s="1824">
        <v>3979200</v>
      </c>
      <c r="GF35" s="1818">
        <f>GE35-GD35</f>
        <v>528808</v>
      </c>
      <c r="GG35" s="1821">
        <f>GF35/GE35</f>
        <v>0.13289304382790509</v>
      </c>
      <c r="GH35" s="1823">
        <v>136</v>
      </c>
      <c r="GI35" s="1824">
        <v>3476769</v>
      </c>
      <c r="GJ35" s="1824">
        <v>3979200</v>
      </c>
      <c r="GK35" s="1818">
        <f>GJ35-GI35</f>
        <v>502431</v>
      </c>
      <c r="GL35" s="1821">
        <f>GK35/GJ35</f>
        <v>0.12626432448733413</v>
      </c>
      <c r="GM35" s="1823"/>
      <c r="GN35" s="1824">
        <v>0</v>
      </c>
      <c r="GO35" s="1824">
        <v>0</v>
      </c>
      <c r="GP35" s="1818">
        <f>GO35-GN35</f>
        <v>0</v>
      </c>
      <c r="GQ35" s="1821"/>
      <c r="GR35" s="1823"/>
      <c r="GS35" s="1824">
        <v>0</v>
      </c>
      <c r="GT35" s="1824">
        <v>0</v>
      </c>
      <c r="GU35" s="1818">
        <f>GT35-GS35</f>
        <v>0</v>
      </c>
      <c r="GV35" s="1821">
        <v>0</v>
      </c>
      <c r="GW35" s="1823"/>
      <c r="GX35" s="1824">
        <v>0</v>
      </c>
      <c r="GY35" s="1824">
        <v>0</v>
      </c>
      <c r="GZ35" s="1818">
        <f>GY35-GX35</f>
        <v>0</v>
      </c>
      <c r="HA35" s="1821"/>
      <c r="HB35" s="1823"/>
      <c r="HC35" s="1824"/>
      <c r="HD35" s="1824">
        <v>0</v>
      </c>
      <c r="HE35" s="1818">
        <f>HD35-HC35</f>
        <v>0</v>
      </c>
      <c r="HF35" s="1821"/>
      <c r="HG35" s="1823"/>
      <c r="HH35" s="1824"/>
      <c r="HI35" s="1824"/>
      <c r="HJ35" s="1818">
        <f>HI35-HH35</f>
        <v>0</v>
      </c>
      <c r="HK35" s="1821"/>
      <c r="HL35" s="1823"/>
      <c r="HM35" s="1824"/>
      <c r="HN35" s="1824"/>
      <c r="HO35" s="1818">
        <f>HN35-HM35</f>
        <v>0</v>
      </c>
      <c r="HP35" s="1821"/>
      <c r="HQ35" s="654"/>
      <c r="HR35" s="1248"/>
      <c r="HS35" s="1248"/>
      <c r="HT35" s="1248">
        <f>HS35-HR35</f>
        <v>0</v>
      </c>
      <c r="HU35" s="1826"/>
      <c r="HV35" s="5941">
        <f t="shared" si="8"/>
        <v>56.5</v>
      </c>
      <c r="HW35" s="622">
        <f t="shared" si="9"/>
        <v>17286076.539999999</v>
      </c>
      <c r="HX35" s="622">
        <f t="shared" si="9"/>
        <v>20393400</v>
      </c>
      <c r="HY35" s="622">
        <f t="shared" si="9"/>
        <v>3107323.46</v>
      </c>
      <c r="HZ35" s="1828"/>
      <c r="IA35" s="1829">
        <f>(FN35+FS35+FX35)/3</f>
        <v>135.33333333333334</v>
      </c>
      <c r="IB35" s="1830">
        <f>FP35+FU35+FZ35</f>
        <v>12435000</v>
      </c>
      <c r="IC35" s="1830">
        <f>FQ35+FV35+GA35</f>
        <v>2076084.46</v>
      </c>
      <c r="ID35" s="1831">
        <f>IC35/IB35</f>
        <v>0.16695492239646159</v>
      </c>
      <c r="IE35" s="1832">
        <f>(GC35+GH35+GM35)/3</f>
        <v>90.666666666666671</v>
      </c>
      <c r="IF35" s="1833">
        <f>(GE35+GJ35+GO35)</f>
        <v>7958400</v>
      </c>
      <c r="IG35" s="1834">
        <f>(GF35+GK35+GP35)</f>
        <v>1031239</v>
      </c>
      <c r="IH35" s="1831">
        <f>IG35/IF35</f>
        <v>0.12957868415761961</v>
      </c>
      <c r="II35" s="1835">
        <f>(GR35+GW35+HB35)/3</f>
        <v>0</v>
      </c>
      <c r="IJ35" s="1836">
        <f>(GT35+GY35+HD35)</f>
        <v>0</v>
      </c>
      <c r="IK35" s="1836">
        <f>(GU35+GZ35+HE35)</f>
        <v>0</v>
      </c>
      <c r="IL35" s="239"/>
      <c r="IM35" s="1837">
        <f>(HB35+HG35+HL35)/3</f>
        <v>0</v>
      </c>
      <c r="IN35" s="1836">
        <f>(HI35+HN35+HS35)</f>
        <v>0</v>
      </c>
      <c r="IO35" s="1836">
        <f>(HJ35+HO35+HT35)</f>
        <v>0</v>
      </c>
      <c r="IP35" s="1838"/>
      <c r="IQ35" s="1839"/>
      <c r="IR35" s="1840"/>
      <c r="IS35" s="1818"/>
      <c r="IT35" s="1818"/>
      <c r="IU35" s="1818">
        <f>IT35-IS35</f>
        <v>0</v>
      </c>
      <c r="IV35" s="1819">
        <v>0</v>
      </c>
      <c r="IW35" s="1820"/>
      <c r="IX35" s="1818"/>
      <c r="IY35" s="1818"/>
      <c r="IZ35" s="1818">
        <f t="shared" si="106"/>
        <v>0</v>
      </c>
      <c r="JA35" s="1821" t="e">
        <f>IZ35/IY35</f>
        <v>#DIV/0!</v>
      </c>
      <c r="JB35" s="1984"/>
      <c r="JC35" s="1985"/>
      <c r="JD35" s="1986"/>
      <c r="JE35" s="1818">
        <f t="shared" si="65"/>
        <v>0</v>
      </c>
      <c r="JF35" s="1821" t="e">
        <f t="shared" si="108"/>
        <v>#DIV/0!</v>
      </c>
      <c r="JG35" s="1981"/>
      <c r="JH35" s="1824"/>
      <c r="JI35" s="1824"/>
      <c r="JJ35" s="1822">
        <f t="shared" si="67"/>
        <v>0</v>
      </c>
      <c r="JK35" s="1821" t="e">
        <f t="shared" si="109"/>
        <v>#DIV/0!</v>
      </c>
      <c r="JL35" s="1823"/>
      <c r="JM35" s="1824"/>
      <c r="JN35" s="1824"/>
      <c r="JO35" s="1996">
        <f t="shared" si="69"/>
        <v>0</v>
      </c>
      <c r="JP35" s="1821" t="e">
        <f t="shared" si="110"/>
        <v>#DIV/0!</v>
      </c>
      <c r="JQ35" s="6013"/>
      <c r="JR35" s="1982"/>
      <c r="JS35" s="1248"/>
      <c r="JT35" s="1996">
        <f t="shared" si="129"/>
        <v>0</v>
      </c>
      <c r="JU35" s="1821"/>
      <c r="JV35" s="1981"/>
      <c r="JW35" s="1824"/>
      <c r="JX35" s="1248"/>
      <c r="JY35" s="1996">
        <f t="shared" ref="JY35:JY50" si="141">JX35-JW35</f>
        <v>0</v>
      </c>
      <c r="JZ35" s="1821">
        <v>0</v>
      </c>
      <c r="KA35" s="1981"/>
      <c r="KB35" s="1248"/>
      <c r="KC35" s="1982"/>
      <c r="KD35" s="1983">
        <f t="shared" ref="KD35:KD43" si="142">KC35-KB35</f>
        <v>0</v>
      </c>
      <c r="KE35" s="1952"/>
      <c r="KF35" s="1981"/>
      <c r="KG35" s="1248"/>
      <c r="KH35" s="1824"/>
      <c r="KI35" s="1818">
        <f>KH35-KG35</f>
        <v>0</v>
      </c>
      <c r="KJ35" s="1821"/>
      <c r="KK35" s="1990"/>
      <c r="KL35" s="1904"/>
      <c r="KM35" s="1904"/>
      <c r="KN35" s="2023">
        <f t="shared" si="130"/>
        <v>0</v>
      </c>
      <c r="KO35" s="2024"/>
      <c r="KP35" s="1823"/>
      <c r="KQ35" s="1982"/>
      <c r="KR35" s="1248"/>
      <c r="KS35" s="1996">
        <f>KR35-KQ35</f>
        <v>0</v>
      </c>
      <c r="KT35" s="1819"/>
      <c r="KU35" s="1905"/>
      <c r="KV35" s="1248"/>
      <c r="KW35" s="1248"/>
      <c r="KX35" s="1248">
        <f>KW35-KV35</f>
        <v>0</v>
      </c>
      <c r="KY35" s="77"/>
      <c r="KZ35" s="1832"/>
      <c r="LA35" s="622">
        <f t="shared" si="11"/>
        <v>0</v>
      </c>
      <c r="LB35" s="622">
        <f t="shared" si="11"/>
        <v>0</v>
      </c>
      <c r="LC35" s="622">
        <f t="shared" si="11"/>
        <v>0</v>
      </c>
      <c r="LD35" s="239"/>
      <c r="LE35" s="1834">
        <f t="shared" si="71"/>
        <v>0</v>
      </c>
      <c r="LF35" s="1830">
        <f t="shared" si="72"/>
        <v>0</v>
      </c>
      <c r="LG35" s="1830">
        <f t="shared" si="72"/>
        <v>0</v>
      </c>
      <c r="LH35" s="1831" t="e">
        <f t="shared" si="131"/>
        <v>#DIV/0!</v>
      </c>
      <c r="LI35" s="1832">
        <f t="shared" si="132"/>
        <v>0</v>
      </c>
      <c r="LJ35" s="1833">
        <f t="shared" si="133"/>
        <v>0</v>
      </c>
      <c r="LK35" s="1834">
        <f t="shared" si="133"/>
        <v>0</v>
      </c>
      <c r="LL35" s="1831" t="e">
        <f t="shared" si="134"/>
        <v>#DIV/0!</v>
      </c>
      <c r="LM35" s="1835">
        <f t="shared" si="135"/>
        <v>0</v>
      </c>
      <c r="LN35" s="1836">
        <f t="shared" si="136"/>
        <v>0</v>
      </c>
      <c r="LO35" s="1836">
        <f t="shared" si="136"/>
        <v>0</v>
      </c>
      <c r="LP35" s="239"/>
      <c r="LQ35" s="1837">
        <f t="shared" si="140"/>
        <v>0</v>
      </c>
      <c r="LR35" s="1836">
        <f t="shared" si="76"/>
        <v>0</v>
      </c>
      <c r="LS35" s="1836">
        <f t="shared" si="76"/>
        <v>0</v>
      </c>
      <c r="LT35" s="1838"/>
      <c r="LV35" s="3645"/>
      <c r="LW35" s="2897"/>
      <c r="LX35" s="2897"/>
      <c r="LY35" s="2589">
        <f t="shared" si="137"/>
        <v>0</v>
      </c>
      <c r="LZ35" s="6033"/>
      <c r="MF35" s="5880"/>
      <c r="MG35" s="4965"/>
      <c r="MH35" s="4965"/>
      <c r="MI35" s="1839"/>
      <c r="MJ35" s="1660"/>
      <c r="MK35" s="5881"/>
      <c r="MN35" s="372">
        <f t="shared" si="12"/>
        <v>0</v>
      </c>
      <c r="MP35" s="5881"/>
      <c r="MQ35" s="1839"/>
      <c r="MR35" s="1839"/>
      <c r="MS35" s="1839"/>
      <c r="MT35" s="693"/>
      <c r="MU35" s="2035"/>
      <c r="MV35" s="1914"/>
      <c r="MW35" s="1914"/>
      <c r="MX35" s="1914"/>
      <c r="MY35" s="5882"/>
      <c r="MZ35" s="1659"/>
      <c r="NA35" s="1839"/>
      <c r="NB35" s="1839"/>
      <c r="NC35" s="1839"/>
      <c r="ND35" s="1839"/>
      <c r="NO35" s="5883"/>
      <c r="NP35" s="2425"/>
      <c r="NQ35" s="2425"/>
      <c r="NR35" s="5883"/>
      <c r="NT35" s="1839"/>
      <c r="NU35" s="1839"/>
      <c r="NV35" s="715"/>
      <c r="NW35" s="1839"/>
      <c r="NX35" s="1660"/>
      <c r="NY35" s="1659"/>
      <c r="NZ35" s="715"/>
      <c r="OA35" s="715"/>
      <c r="OB35" s="1839"/>
      <c r="OC35" s="1660"/>
      <c r="OE35" s="5885"/>
      <c r="OF35" s="5885"/>
      <c r="OG35" s="715"/>
      <c r="OH35" s="1660"/>
      <c r="OI35" s="1659"/>
      <c r="OJ35" s="1839"/>
      <c r="OK35" s="1839"/>
      <c r="OL35" s="1839"/>
      <c r="OM35" s="693"/>
      <c r="ON35" s="1659"/>
      <c r="OO35" s="715"/>
      <c r="OP35" s="715"/>
      <c r="OQ35" s="715"/>
      <c r="OR35" s="705"/>
      <c r="OS35" s="1659"/>
      <c r="OT35" s="1839"/>
      <c r="OU35" s="1839"/>
      <c r="OV35" s="1839"/>
      <c r="OW35" s="705"/>
      <c r="OX35" s="1659"/>
      <c r="OY35" s="1839"/>
      <c r="OZ35" s="1839"/>
      <c r="PA35" s="1839"/>
      <c r="PB35" s="1660"/>
      <c r="PD35" s="3645"/>
      <c r="PE35" s="2897"/>
      <c r="PF35" s="2897"/>
      <c r="PG35" s="2589">
        <f t="shared" si="138"/>
        <v>0</v>
      </c>
      <c r="PH35" s="6033"/>
      <c r="PN35" s="5880"/>
      <c r="PO35" s="4965"/>
      <c r="PP35" s="4965"/>
      <c r="PQ35" s="1839"/>
      <c r="PR35" s="1660"/>
      <c r="PS35" s="5886"/>
      <c r="PT35" s="5883"/>
      <c r="PU35" s="5883"/>
      <c r="PV35" s="2892">
        <f t="shared" si="13"/>
        <v>0</v>
      </c>
      <c r="PW35" s="5883"/>
      <c r="PX35" s="5881"/>
      <c r="PY35" s="1839"/>
      <c r="PZ35" s="1839"/>
      <c r="QA35" s="1839"/>
      <c r="QB35" s="693"/>
      <c r="QC35" s="2035"/>
      <c r="QD35" s="1914"/>
      <c r="QE35" s="1914"/>
      <c r="QF35" s="1914"/>
      <c r="QG35" s="5882"/>
      <c r="QH35" s="1910"/>
      <c r="QI35" s="1839"/>
      <c r="QJ35" s="1839"/>
      <c r="QK35" s="1839"/>
      <c r="QL35" s="1839"/>
      <c r="QM35" s="5880"/>
      <c r="QR35" s="5883"/>
      <c r="QS35" s="5883"/>
      <c r="QT35" s="5883"/>
      <c r="QU35" s="5883"/>
      <c r="QV35" s="1677"/>
      <c r="QW35" s="5883"/>
      <c r="QX35" s="2425"/>
      <c r="QY35" s="2425"/>
      <c r="QZ35" s="5883"/>
      <c r="RA35" s="5883"/>
      <c r="RB35" s="1839"/>
      <c r="RC35" s="1839"/>
      <c r="RD35" s="715"/>
      <c r="RE35" s="1839"/>
      <c r="RF35" s="1660"/>
      <c r="RG35" s="2037"/>
      <c r="RH35" s="1914"/>
      <c r="RI35" s="1914"/>
      <c r="RJ35" s="5882"/>
      <c r="RK35" s="1660"/>
      <c r="RL35" s="5883"/>
      <c r="RM35" s="1873">
        <f t="shared" si="77"/>
        <v>0</v>
      </c>
      <c r="RN35" s="1873">
        <f t="shared" si="77"/>
        <v>0</v>
      </c>
      <c r="RO35" s="1873">
        <f t="shared" si="77"/>
        <v>0</v>
      </c>
      <c r="RP35" s="5883"/>
      <c r="RQ35" s="1659"/>
      <c r="RR35" s="1839"/>
      <c r="RS35" s="1839"/>
      <c r="RT35" s="1839"/>
      <c r="RU35" s="693"/>
      <c r="RV35" s="1659"/>
      <c r="RW35" s="715"/>
      <c r="RX35" s="715"/>
      <c r="RY35" s="715"/>
      <c r="RZ35" s="705"/>
      <c r="SA35" s="1659"/>
      <c r="SB35" s="1839"/>
      <c r="SC35" s="1839"/>
      <c r="SD35" s="1839"/>
      <c r="SE35" s="705"/>
      <c r="SF35" s="1659"/>
      <c r="SG35" s="1839"/>
      <c r="SH35" s="1839"/>
      <c r="SI35" s="1839"/>
      <c r="SJ35" s="1660"/>
      <c r="SL35" s="3645"/>
      <c r="SM35" s="2897"/>
      <c r="SN35" s="2897"/>
      <c r="SO35" s="6029">
        <f t="shared" si="139"/>
        <v>0</v>
      </c>
      <c r="SP35" s="6034"/>
      <c r="SQ35" s="5883"/>
      <c r="SR35" s="5883"/>
      <c r="SS35" s="5883"/>
      <c r="ST35" s="5883"/>
      <c r="SU35" s="5883"/>
      <c r="SV35" s="5880"/>
      <c r="SW35" s="4965"/>
      <c r="SX35" s="4965"/>
      <c r="SY35" s="1839"/>
      <c r="SZ35" s="1660"/>
      <c r="TA35" s="5881"/>
      <c r="TD35" s="372">
        <f t="shared" si="14"/>
        <v>0</v>
      </c>
      <c r="TF35" s="5881"/>
      <c r="TG35" s="1839"/>
      <c r="TH35" s="1839"/>
      <c r="TI35" s="1839"/>
      <c r="TJ35" s="693"/>
      <c r="TK35" s="2035"/>
      <c r="TL35" s="1914"/>
      <c r="TM35" s="1914"/>
      <c r="TN35" s="1914"/>
      <c r="TO35" s="5882"/>
      <c r="TP35" s="2407"/>
      <c r="TQ35" s="1839"/>
      <c r="TR35" s="1839"/>
      <c r="TS35" s="1839"/>
      <c r="TT35" s="1839"/>
      <c r="TU35" s="5889"/>
      <c r="TV35" s="5883"/>
      <c r="TW35" s="5883"/>
      <c r="TX35" s="5883"/>
      <c r="TY35" s="5883"/>
      <c r="TZ35" s="5883"/>
      <c r="UA35" s="5883"/>
      <c r="UB35" s="5883"/>
      <c r="UC35" s="5883"/>
      <c r="UD35" s="1677"/>
      <c r="UE35" s="5883"/>
      <c r="UF35" s="2425"/>
      <c r="UG35" s="2425"/>
      <c r="UH35" s="5883"/>
      <c r="UI35" s="5883"/>
      <c r="UJ35" s="1839"/>
      <c r="UK35" s="1839"/>
      <c r="UL35" s="715"/>
      <c r="UM35" s="1839"/>
      <c r="UN35" s="1660"/>
      <c r="UO35" s="2037"/>
      <c r="UP35" s="1914"/>
      <c r="UQ35" s="1914"/>
      <c r="UR35" s="5882"/>
      <c r="US35" s="1660"/>
      <c r="UU35" s="622">
        <f t="shared" si="78"/>
        <v>0</v>
      </c>
      <c r="UV35" s="622">
        <f t="shared" si="78"/>
        <v>0</v>
      </c>
      <c r="UW35" s="622">
        <f t="shared" si="78"/>
        <v>0</v>
      </c>
      <c r="UY35" s="1659"/>
      <c r="UZ35" s="1839"/>
      <c r="VA35" s="1839"/>
      <c r="VB35" s="1839"/>
      <c r="VC35" s="693"/>
      <c r="VD35" s="1659"/>
      <c r="VE35" s="715"/>
      <c r="VF35" s="715"/>
      <c r="VG35" s="715"/>
      <c r="VH35" s="705"/>
      <c r="VI35" s="1659"/>
      <c r="VJ35" s="1839"/>
      <c r="VK35" s="1839"/>
      <c r="VL35" s="1839"/>
      <c r="VM35" s="705"/>
      <c r="VN35" s="1659"/>
      <c r="VO35" s="1839"/>
      <c r="VP35" s="1839"/>
      <c r="VQ35" s="1839"/>
      <c r="VR35" s="1660"/>
    </row>
    <row r="36" spans="1:590" s="122" customFormat="1" ht="13.45" hidden="1" x14ac:dyDescent="0.3">
      <c r="B36" s="6016" t="s">
        <v>53</v>
      </c>
      <c r="C36" s="6031" t="s">
        <v>785</v>
      </c>
      <c r="D36" s="5989" t="s">
        <v>786</v>
      </c>
      <c r="E36" s="6032">
        <v>44313</v>
      </c>
      <c r="F36" s="6032">
        <v>44677</v>
      </c>
      <c r="G36" s="5965">
        <v>1008000</v>
      </c>
      <c r="H36" s="1775"/>
      <c r="I36" s="1776"/>
      <c r="J36" s="1776"/>
      <c r="K36" s="1776"/>
      <c r="L36" s="1777"/>
      <c r="M36" s="1778"/>
      <c r="N36" s="1779"/>
      <c r="O36" s="1779"/>
      <c r="P36" s="1779"/>
      <c r="Q36" s="1780"/>
      <c r="R36" s="1780"/>
      <c r="S36" s="1776"/>
      <c r="T36" s="1776"/>
      <c r="U36" s="1776"/>
      <c r="V36" s="1777"/>
      <c r="W36" s="1776"/>
      <c r="X36" s="1776"/>
      <c r="Y36" s="1781"/>
      <c r="Z36" s="1776"/>
      <c r="AA36" s="1782"/>
      <c r="AB36" s="1781"/>
      <c r="AC36" s="1783"/>
      <c r="AD36" s="1784"/>
      <c r="AE36" s="1776"/>
      <c r="AF36" s="1777"/>
      <c r="AG36" s="1785"/>
      <c r="AH36" s="1776"/>
      <c r="AI36" s="1776"/>
      <c r="AJ36" s="1786"/>
      <c r="AK36" s="1777"/>
      <c r="AL36" s="1785"/>
      <c r="AM36" s="1776"/>
      <c r="AN36" s="1776"/>
      <c r="AO36" s="1781"/>
      <c r="AP36" s="1777"/>
      <c r="AQ36" s="1787"/>
      <c r="AR36" s="1788"/>
      <c r="AS36" s="1788"/>
      <c r="AT36" s="1789"/>
      <c r="AU36" s="1777"/>
      <c r="AV36" s="1790"/>
      <c r="AW36" s="1781"/>
      <c r="AX36" s="1781"/>
      <c r="AY36" s="1781"/>
      <c r="AZ36" s="1777"/>
      <c r="BA36" s="1791"/>
      <c r="BB36" s="1792"/>
      <c r="BC36" s="1783"/>
      <c r="BD36" s="1781"/>
      <c r="BE36" s="1780"/>
      <c r="BF36" s="1790"/>
      <c r="BG36" s="1781"/>
      <c r="BH36" s="1776"/>
      <c r="BI36" s="1781"/>
      <c r="BJ36" s="1793"/>
      <c r="BK36" s="1790"/>
      <c r="BL36" s="1781"/>
      <c r="BM36" s="1776"/>
      <c r="BN36" s="1781"/>
      <c r="BO36" s="1794"/>
      <c r="BP36" s="1937"/>
      <c r="BQ36" s="1796"/>
      <c r="BR36" s="1786"/>
      <c r="BS36" s="1797"/>
      <c r="BT36" s="1798"/>
      <c r="BU36" s="1786"/>
      <c r="BV36" s="1786"/>
      <c r="BW36" s="1799"/>
      <c r="BX36" s="1800"/>
      <c r="BY36" s="1786"/>
      <c r="BZ36" s="1786"/>
      <c r="CA36" s="1801"/>
      <c r="CB36" s="1802"/>
      <c r="CC36" s="1786"/>
      <c r="CD36" s="1786"/>
      <c r="CE36" s="1803"/>
      <c r="CF36" s="1800"/>
      <c r="CG36" s="1776"/>
      <c r="CH36" s="1776"/>
      <c r="CI36" s="1801"/>
      <c r="CJ36" s="1804"/>
      <c r="CK36" s="1776"/>
      <c r="CL36" s="1776"/>
      <c r="CM36" s="1776"/>
      <c r="CN36" s="1799"/>
      <c r="CO36" s="1804"/>
      <c r="CP36" s="1776"/>
      <c r="CQ36" s="1776"/>
      <c r="CR36" s="1776"/>
      <c r="CS36" s="1799"/>
      <c r="CT36" s="1804"/>
      <c r="CU36" s="1776"/>
      <c r="CV36" s="1776"/>
      <c r="CW36" s="1776"/>
      <c r="CX36" s="1801"/>
      <c r="CY36" s="1804"/>
      <c r="CZ36" s="1776"/>
      <c r="DA36" s="1776"/>
      <c r="DB36" s="1776"/>
      <c r="DC36" s="1801"/>
      <c r="DD36" s="1805"/>
      <c r="DE36" s="1806"/>
      <c r="DF36" s="1806"/>
      <c r="DG36" s="1783"/>
      <c r="DH36" s="1938"/>
      <c r="DI36" s="1804"/>
      <c r="DJ36" s="1806"/>
      <c r="DK36" s="1806"/>
      <c r="DL36" s="1776"/>
      <c r="DM36" s="1938"/>
      <c r="DN36" s="1804"/>
      <c r="DO36" s="1806"/>
      <c r="DP36" s="1806"/>
      <c r="DQ36" s="1776"/>
      <c r="DR36" s="1938"/>
      <c r="DS36" s="1804"/>
      <c r="DT36" s="1806"/>
      <c r="DU36" s="1806"/>
      <c r="DV36" s="1810"/>
      <c r="DW36" s="1801"/>
      <c r="DX36" s="1804"/>
      <c r="DY36" s="1776"/>
      <c r="DZ36" s="1776"/>
      <c r="EA36" s="1776"/>
      <c r="EB36" s="1807"/>
      <c r="EC36" s="1804"/>
      <c r="ED36" s="1776"/>
      <c r="EE36" s="1776"/>
      <c r="EF36" s="1786"/>
      <c r="EG36" s="1807"/>
      <c r="EH36" s="1805"/>
      <c r="EI36" s="1776"/>
      <c r="EJ36" s="1776"/>
      <c r="EK36" s="1776"/>
      <c r="EL36" s="1801"/>
      <c r="EM36" s="1804"/>
      <c r="EN36" s="1776"/>
      <c r="EO36" s="1776"/>
      <c r="EP36" s="1776"/>
      <c r="EQ36" s="1801"/>
      <c r="ER36" s="2402">
        <f t="shared" si="38"/>
        <v>0</v>
      </c>
      <c r="ES36" s="2403">
        <f t="shared" si="39"/>
        <v>0</v>
      </c>
      <c r="ET36" s="2403">
        <f t="shared" si="39"/>
        <v>0</v>
      </c>
      <c r="EU36" s="2403">
        <f t="shared" si="39"/>
        <v>0</v>
      </c>
      <c r="EV36" s="2404" t="e">
        <f t="shared" si="40"/>
        <v>#DIV/0!</v>
      </c>
      <c r="EW36" s="1814"/>
      <c r="EX36" s="1776"/>
      <c r="EY36" s="1776"/>
      <c r="EZ36" s="1815"/>
      <c r="FA36" s="1939"/>
      <c r="FB36" s="1786"/>
      <c r="FC36" s="1786"/>
      <c r="FD36" s="1799"/>
      <c r="FE36" s="1814"/>
      <c r="FF36" s="1786"/>
      <c r="FG36" s="1786"/>
      <c r="FH36" s="1803"/>
      <c r="FI36" s="1816"/>
      <c r="FJ36" s="1814"/>
      <c r="FK36" s="1786"/>
      <c r="FL36" s="1786"/>
      <c r="FM36" s="1799"/>
      <c r="FN36" s="1817"/>
      <c r="FO36" s="1818"/>
      <c r="FP36" s="1818"/>
      <c r="FQ36" s="6036"/>
      <c r="FR36" s="1819"/>
      <c r="FS36" s="1820"/>
      <c r="FT36" s="1822"/>
      <c r="FU36" s="1822"/>
      <c r="FV36" s="1822"/>
      <c r="FW36" s="1821"/>
      <c r="FX36" s="1820"/>
      <c r="FY36" s="6037"/>
      <c r="FZ36" s="6037"/>
      <c r="GA36" s="1822"/>
      <c r="GB36" s="1821"/>
      <c r="GC36" s="6038"/>
      <c r="GD36" s="1824"/>
      <c r="GE36" s="1824"/>
      <c r="GF36" s="1825"/>
      <c r="GG36" s="1821"/>
      <c r="GH36" s="1823"/>
      <c r="GI36" s="1824"/>
      <c r="GJ36" s="1824"/>
      <c r="GK36" s="1818"/>
      <c r="GL36" s="1821"/>
      <c r="GM36" s="1823"/>
      <c r="GN36" s="1824"/>
      <c r="GO36" s="1824"/>
      <c r="GP36" s="1818"/>
      <c r="GQ36" s="1821"/>
      <c r="GR36" s="1823"/>
      <c r="GS36" s="1824"/>
      <c r="GT36" s="1824"/>
      <c r="GU36" s="1818"/>
      <c r="GV36" s="1821"/>
      <c r="GW36" s="1823"/>
      <c r="GX36" s="1824"/>
      <c r="GY36" s="1824"/>
      <c r="GZ36" s="1818"/>
      <c r="HA36" s="1821"/>
      <c r="HB36" s="1823"/>
      <c r="HC36" s="1824"/>
      <c r="HD36" s="1824"/>
      <c r="HE36" s="1818"/>
      <c r="HF36" s="1821"/>
      <c r="HG36" s="1823"/>
      <c r="HH36" s="1824"/>
      <c r="HI36" s="1824"/>
      <c r="HJ36" s="1818"/>
      <c r="HK36" s="1821"/>
      <c r="HL36" s="1823"/>
      <c r="HM36" s="1824"/>
      <c r="HN36" s="1824"/>
      <c r="HO36" s="1818"/>
      <c r="HP36" s="6039"/>
      <c r="HQ36" s="654"/>
      <c r="HR36" s="1248"/>
      <c r="HS36" s="1248"/>
      <c r="HT36" s="1248"/>
      <c r="HU36" s="1826"/>
      <c r="HV36" s="5941"/>
      <c r="HW36" s="622"/>
      <c r="HX36" s="622"/>
      <c r="HY36" s="622"/>
      <c r="HZ36" s="1828"/>
      <c r="IA36" s="1829"/>
      <c r="IB36" s="1830"/>
      <c r="IC36" s="1830"/>
      <c r="ID36" s="1831"/>
      <c r="IE36" s="1832"/>
      <c r="IF36" s="1833"/>
      <c r="IG36" s="1834"/>
      <c r="IH36" s="1831"/>
      <c r="II36" s="1835"/>
      <c r="IJ36" s="1836"/>
      <c r="IK36" s="1836"/>
      <c r="IL36" s="239"/>
      <c r="IM36" s="1837"/>
      <c r="IN36" s="1836"/>
      <c r="IO36" s="1836"/>
      <c r="IP36" s="1838"/>
      <c r="IQ36" s="1839"/>
      <c r="IR36" s="1840"/>
      <c r="IS36" s="1818"/>
      <c r="IT36" s="1818"/>
      <c r="IU36" s="1818"/>
      <c r="IV36" s="1819"/>
      <c r="IW36" s="1820">
        <v>1</v>
      </c>
      <c r="IX36" s="1818">
        <f>37136+3700</f>
        <v>40836</v>
      </c>
      <c r="IY36" s="1818">
        <v>69552</v>
      </c>
      <c r="IZ36" s="1818">
        <f t="shared" si="106"/>
        <v>28716</v>
      </c>
      <c r="JA36" s="1821">
        <f>IZ36/IY36</f>
        <v>0.41287094547964115</v>
      </c>
      <c r="JB36" s="1984">
        <v>1</v>
      </c>
      <c r="JC36" s="1985">
        <v>37136</v>
      </c>
      <c r="JD36" s="1986">
        <v>60480</v>
      </c>
      <c r="JE36" s="1818">
        <f t="shared" si="65"/>
        <v>23344</v>
      </c>
      <c r="JF36" s="1821">
        <f t="shared" si="108"/>
        <v>0.38597883597883598</v>
      </c>
      <c r="JG36" s="1981">
        <v>1</v>
      </c>
      <c r="JH36" s="1824">
        <v>37136</v>
      </c>
      <c r="JI36" s="1824">
        <v>60480</v>
      </c>
      <c r="JJ36" s="1822">
        <f t="shared" si="67"/>
        <v>23344</v>
      </c>
      <c r="JK36" s="1821">
        <f t="shared" si="109"/>
        <v>0.38597883597883598</v>
      </c>
      <c r="JL36" s="1823">
        <v>1</v>
      </c>
      <c r="JM36" s="1824">
        <v>37136</v>
      </c>
      <c r="JN36" s="1824">
        <v>75600</v>
      </c>
      <c r="JO36" s="1996">
        <f t="shared" si="69"/>
        <v>38464</v>
      </c>
      <c r="JP36" s="1821">
        <f t="shared" si="110"/>
        <v>0.50878306878306878</v>
      </c>
      <c r="JQ36" s="6013">
        <v>1</v>
      </c>
      <c r="JR36" s="1982">
        <v>37136</v>
      </c>
      <c r="JS36" s="1248">
        <v>60480</v>
      </c>
      <c r="JT36" s="1996">
        <f t="shared" si="129"/>
        <v>23344</v>
      </c>
      <c r="JU36" s="1821">
        <f>JT36/JS36</f>
        <v>0.38597883597883598</v>
      </c>
      <c r="JV36" s="1981"/>
      <c r="JW36" s="1824"/>
      <c r="JX36" s="1248"/>
      <c r="JY36" s="1996">
        <f t="shared" si="141"/>
        <v>0</v>
      </c>
      <c r="JZ36" s="1821"/>
      <c r="KA36" s="1981"/>
      <c r="KB36" s="1248">
        <v>0</v>
      </c>
      <c r="KC36" s="1982">
        <v>0</v>
      </c>
      <c r="KD36" s="1983">
        <f t="shared" si="142"/>
        <v>0</v>
      </c>
      <c r="KE36" s="1952"/>
      <c r="KF36" s="1990"/>
      <c r="KG36" s="1904">
        <v>0</v>
      </c>
      <c r="KH36" s="1904">
        <v>0</v>
      </c>
      <c r="KI36" s="1818">
        <f>KH36-KG36</f>
        <v>0</v>
      </c>
      <c r="KJ36" s="1821"/>
      <c r="KK36" s="1990"/>
      <c r="KL36" s="1904"/>
      <c r="KM36" s="1904"/>
      <c r="KN36" s="2023">
        <f t="shared" si="130"/>
        <v>0</v>
      </c>
      <c r="KO36" s="2024"/>
      <c r="KP36" s="1823"/>
      <c r="KQ36" s="1982"/>
      <c r="KR36" s="1248"/>
      <c r="KS36" s="1996"/>
      <c r="KT36" s="1980"/>
      <c r="KU36" s="1905"/>
      <c r="KV36" s="1248"/>
      <c r="KW36" s="1248"/>
      <c r="KX36" s="1248">
        <f>KW36-KV36</f>
        <v>0</v>
      </c>
      <c r="KY36" s="77"/>
      <c r="KZ36" s="1832"/>
      <c r="LA36" s="622">
        <f t="shared" si="11"/>
        <v>189380</v>
      </c>
      <c r="LB36" s="622">
        <f t="shared" si="11"/>
        <v>326592</v>
      </c>
      <c r="LC36" s="622">
        <f t="shared" si="11"/>
        <v>137212</v>
      </c>
      <c r="LD36" s="239">
        <f>LC36/LB36</f>
        <v>0.42013276504017244</v>
      </c>
      <c r="LE36" s="1834">
        <f t="shared" si="71"/>
        <v>0.66666666666666663</v>
      </c>
      <c r="LF36" s="1830">
        <f t="shared" si="72"/>
        <v>130032</v>
      </c>
      <c r="LG36" s="1830">
        <f t="shared" si="72"/>
        <v>52060</v>
      </c>
      <c r="LH36" s="1831">
        <f t="shared" si="131"/>
        <v>0.40036298757228989</v>
      </c>
      <c r="LI36" s="1832">
        <f t="shared" si="132"/>
        <v>1</v>
      </c>
      <c r="LJ36" s="1833">
        <f t="shared" si="133"/>
        <v>196560</v>
      </c>
      <c r="LK36" s="1834">
        <f t="shared" si="133"/>
        <v>85152</v>
      </c>
      <c r="LL36" s="1831">
        <f t="shared" si="134"/>
        <v>0.43321123321123323</v>
      </c>
      <c r="LM36" s="1835">
        <f t="shared" si="135"/>
        <v>0</v>
      </c>
      <c r="LN36" s="1836">
        <f t="shared" si="136"/>
        <v>0</v>
      </c>
      <c r="LO36" s="1836">
        <f t="shared" si="136"/>
        <v>0</v>
      </c>
      <c r="LP36" s="239"/>
      <c r="LQ36" s="1837">
        <f t="shared" si="140"/>
        <v>0</v>
      </c>
      <c r="LR36" s="1836">
        <f t="shared" si="76"/>
        <v>0</v>
      </c>
      <c r="LS36" s="1836">
        <f t="shared" si="76"/>
        <v>0</v>
      </c>
      <c r="LT36" s="1838"/>
      <c r="LV36" s="3645"/>
      <c r="LW36" s="2897"/>
      <c r="LX36" s="2897"/>
      <c r="LY36" s="2589">
        <f t="shared" si="137"/>
        <v>0</v>
      </c>
      <c r="LZ36" s="6033"/>
      <c r="MF36" s="5880"/>
      <c r="MG36" s="4965"/>
      <c r="MH36" s="4965"/>
      <c r="MI36" s="1839"/>
      <c r="MJ36" s="1660"/>
      <c r="MK36" s="5881"/>
      <c r="MN36" s="372">
        <f t="shared" si="12"/>
        <v>0</v>
      </c>
      <c r="MP36" s="5881"/>
      <c r="MQ36" s="1839"/>
      <c r="MR36" s="1839"/>
      <c r="MS36" s="1839"/>
      <c r="MT36" s="693"/>
      <c r="MU36" s="2035"/>
      <c r="MV36" s="1914"/>
      <c r="MW36" s="1914"/>
      <c r="MX36" s="1914"/>
      <c r="MY36" s="5882"/>
      <c r="MZ36" s="1659"/>
      <c r="NA36" s="1839"/>
      <c r="NB36" s="1839"/>
      <c r="NC36" s="1839"/>
      <c r="ND36" s="1839"/>
      <c r="NO36" s="5883"/>
      <c r="NP36" s="2425"/>
      <c r="NQ36" s="2425"/>
      <c r="NR36" s="5883"/>
      <c r="NT36" s="1839"/>
      <c r="NU36" s="1839"/>
      <c r="NV36" s="715"/>
      <c r="NW36" s="1839"/>
      <c r="NX36" s="1660"/>
      <c r="NY36" s="1659"/>
      <c r="NZ36" s="715"/>
      <c r="OA36" s="715"/>
      <c r="OB36" s="1839"/>
      <c r="OC36" s="1660"/>
      <c r="OE36" s="5885"/>
      <c r="OF36" s="5885"/>
      <c r="OG36" s="715"/>
      <c r="OH36" s="1660"/>
      <c r="OI36" s="1659"/>
      <c r="OJ36" s="1839"/>
      <c r="OK36" s="1839"/>
      <c r="OL36" s="1839"/>
      <c r="OM36" s="693"/>
      <c r="ON36" s="1659"/>
      <c r="OO36" s="715"/>
      <c r="OP36" s="715"/>
      <c r="OQ36" s="715"/>
      <c r="OR36" s="705"/>
      <c r="OS36" s="1659"/>
      <c r="OT36" s="1839"/>
      <c r="OU36" s="1839"/>
      <c r="OV36" s="1839"/>
      <c r="OW36" s="705"/>
      <c r="OX36" s="1659"/>
      <c r="OY36" s="1839"/>
      <c r="OZ36" s="1839"/>
      <c r="PA36" s="1839"/>
      <c r="PB36" s="1660"/>
      <c r="PD36" s="3645"/>
      <c r="PE36" s="2897"/>
      <c r="PF36" s="2897"/>
      <c r="PG36" s="2589">
        <f t="shared" si="138"/>
        <v>0</v>
      </c>
      <c r="PH36" s="6033"/>
      <c r="PN36" s="5880"/>
      <c r="PO36" s="4965"/>
      <c r="PP36" s="4965"/>
      <c r="PQ36" s="1839"/>
      <c r="PR36" s="1660"/>
      <c r="PS36" s="5886"/>
      <c r="PT36" s="5883"/>
      <c r="PU36" s="5883"/>
      <c r="PV36" s="2892">
        <f t="shared" si="13"/>
        <v>0</v>
      </c>
      <c r="PW36" s="5883"/>
      <c r="PX36" s="5881"/>
      <c r="PY36" s="1839"/>
      <c r="PZ36" s="1839"/>
      <c r="QA36" s="1839"/>
      <c r="QB36" s="693"/>
      <c r="QC36" s="2035"/>
      <c r="QD36" s="1914"/>
      <c r="QE36" s="1914"/>
      <c r="QF36" s="1914"/>
      <c r="QG36" s="5882"/>
      <c r="QH36" s="1910"/>
      <c r="QI36" s="1839"/>
      <c r="QJ36" s="1839"/>
      <c r="QK36" s="1839"/>
      <c r="QL36" s="1839"/>
      <c r="QM36" s="5880"/>
      <c r="QR36" s="5883"/>
      <c r="QS36" s="5883"/>
      <c r="QT36" s="5883"/>
      <c r="QU36" s="5883"/>
      <c r="QV36" s="1677"/>
      <c r="QW36" s="5883"/>
      <c r="QX36" s="2425"/>
      <c r="QY36" s="2425"/>
      <c r="QZ36" s="5883"/>
      <c r="RA36" s="5883"/>
      <c r="RB36" s="1839"/>
      <c r="RC36" s="1839"/>
      <c r="RD36" s="715"/>
      <c r="RE36" s="1839"/>
      <c r="RF36" s="1660"/>
      <c r="RG36" s="2037"/>
      <c r="RH36" s="1914"/>
      <c r="RI36" s="1914"/>
      <c r="RJ36" s="5882"/>
      <c r="RK36" s="1660"/>
      <c r="RL36" s="5883"/>
      <c r="RM36" s="1873">
        <f t="shared" si="77"/>
        <v>0</v>
      </c>
      <c r="RN36" s="1873">
        <f t="shared" si="77"/>
        <v>0</v>
      </c>
      <c r="RO36" s="1873">
        <f t="shared" si="77"/>
        <v>0</v>
      </c>
      <c r="RP36" s="5883"/>
      <c r="RQ36" s="1659"/>
      <c r="RR36" s="1839"/>
      <c r="RS36" s="1839"/>
      <c r="RT36" s="1839"/>
      <c r="RU36" s="693"/>
      <c r="RV36" s="1659"/>
      <c r="RW36" s="715"/>
      <c r="RX36" s="715"/>
      <c r="RY36" s="715"/>
      <c r="RZ36" s="705"/>
      <c r="SA36" s="1659"/>
      <c r="SB36" s="1839"/>
      <c r="SC36" s="1839"/>
      <c r="SD36" s="1839"/>
      <c r="SE36" s="705"/>
      <c r="SF36" s="1659"/>
      <c r="SG36" s="1839"/>
      <c r="SH36" s="1839"/>
      <c r="SI36" s="1839"/>
      <c r="SJ36" s="1660"/>
      <c r="SL36" s="3645"/>
      <c r="SM36" s="2897"/>
      <c r="SN36" s="2897"/>
      <c r="SO36" s="6029">
        <f t="shared" si="139"/>
        <v>0</v>
      </c>
      <c r="SP36" s="6034"/>
      <c r="SQ36" s="5883"/>
      <c r="SR36" s="5883"/>
      <c r="SS36" s="5883"/>
      <c r="ST36" s="5883"/>
      <c r="SU36" s="5883"/>
      <c r="SV36" s="5880"/>
      <c r="SW36" s="4965"/>
      <c r="SX36" s="4965"/>
      <c r="SY36" s="1839"/>
      <c r="SZ36" s="1660"/>
      <c r="TA36" s="5881"/>
      <c r="TD36" s="372">
        <f t="shared" si="14"/>
        <v>0</v>
      </c>
      <c r="TF36" s="5881"/>
      <c r="TG36" s="1839"/>
      <c r="TH36" s="1839"/>
      <c r="TI36" s="1839"/>
      <c r="TJ36" s="693"/>
      <c r="TK36" s="2035"/>
      <c r="TL36" s="1914"/>
      <c r="TM36" s="1914"/>
      <c r="TN36" s="1914"/>
      <c r="TO36" s="5882"/>
      <c r="TP36" s="2407"/>
      <c r="TQ36" s="1839"/>
      <c r="TR36" s="1839"/>
      <c r="TS36" s="1839"/>
      <c r="TT36" s="1839"/>
      <c r="TU36" s="5889"/>
      <c r="TV36" s="5883"/>
      <c r="TW36" s="5883"/>
      <c r="TX36" s="5883"/>
      <c r="TY36" s="5883"/>
      <c r="TZ36" s="5883"/>
      <c r="UA36" s="5883"/>
      <c r="UB36" s="5883"/>
      <c r="UC36" s="5883"/>
      <c r="UD36" s="1677"/>
      <c r="UE36" s="5883"/>
      <c r="UF36" s="2425"/>
      <c r="UG36" s="2425"/>
      <c r="UH36" s="5883"/>
      <c r="UI36" s="5883"/>
      <c r="UJ36" s="1839"/>
      <c r="UK36" s="1839"/>
      <c r="UL36" s="715"/>
      <c r="UM36" s="1839"/>
      <c r="UN36" s="1660"/>
      <c r="UO36" s="2037"/>
      <c r="UP36" s="1914"/>
      <c r="UQ36" s="1914"/>
      <c r="UR36" s="5882"/>
      <c r="US36" s="1660"/>
      <c r="UU36" s="622">
        <f t="shared" si="78"/>
        <v>0</v>
      </c>
      <c r="UV36" s="622">
        <f t="shared" si="78"/>
        <v>0</v>
      </c>
      <c r="UW36" s="622">
        <f t="shared" si="78"/>
        <v>0</v>
      </c>
      <c r="UY36" s="1659"/>
      <c r="UZ36" s="1839"/>
      <c r="VA36" s="1839"/>
      <c r="VB36" s="1839"/>
      <c r="VC36" s="693"/>
      <c r="VD36" s="1659"/>
      <c r="VE36" s="715"/>
      <c r="VF36" s="715"/>
      <c r="VG36" s="715"/>
      <c r="VH36" s="705"/>
      <c r="VI36" s="1659"/>
      <c r="VJ36" s="1839"/>
      <c r="VK36" s="1839"/>
      <c r="VL36" s="1839"/>
      <c r="VM36" s="705"/>
      <c r="VN36" s="1659"/>
      <c r="VO36" s="1839"/>
      <c r="VP36" s="1839"/>
      <c r="VQ36" s="1839"/>
      <c r="VR36" s="1660"/>
    </row>
    <row r="37" spans="1:590" s="122" customFormat="1" ht="13.45" hidden="1" x14ac:dyDescent="0.3">
      <c r="B37" s="6016" t="s">
        <v>53</v>
      </c>
      <c r="C37" s="6031" t="s">
        <v>787</v>
      </c>
      <c r="D37" s="5989" t="s">
        <v>788</v>
      </c>
      <c r="E37" s="6032">
        <v>44048</v>
      </c>
      <c r="F37" s="6032">
        <v>44200</v>
      </c>
      <c r="G37" s="5965">
        <v>2700000</v>
      </c>
      <c r="H37" s="1775"/>
      <c r="I37" s="1776"/>
      <c r="J37" s="1776"/>
      <c r="K37" s="1776"/>
      <c r="L37" s="1777"/>
      <c r="M37" s="1778"/>
      <c r="N37" s="1779"/>
      <c r="O37" s="1779"/>
      <c r="P37" s="1779"/>
      <c r="Q37" s="1780"/>
      <c r="R37" s="1780"/>
      <c r="S37" s="1776"/>
      <c r="T37" s="1776"/>
      <c r="U37" s="1776"/>
      <c r="V37" s="1777"/>
      <c r="W37" s="1776"/>
      <c r="X37" s="1776"/>
      <c r="Y37" s="1781"/>
      <c r="Z37" s="1776"/>
      <c r="AA37" s="1782"/>
      <c r="AB37" s="1781"/>
      <c r="AC37" s="1783"/>
      <c r="AD37" s="1784"/>
      <c r="AE37" s="1776"/>
      <c r="AF37" s="1777"/>
      <c r="AG37" s="1785"/>
      <c r="AH37" s="1776"/>
      <c r="AI37" s="1776"/>
      <c r="AJ37" s="1786"/>
      <c r="AK37" s="1777"/>
      <c r="AL37" s="1785"/>
      <c r="AM37" s="1776"/>
      <c r="AN37" s="1776"/>
      <c r="AO37" s="1781"/>
      <c r="AP37" s="1777"/>
      <c r="AQ37" s="1787"/>
      <c r="AR37" s="1788"/>
      <c r="AS37" s="1788"/>
      <c r="AT37" s="1789"/>
      <c r="AU37" s="1777"/>
      <c r="AV37" s="1790"/>
      <c r="AW37" s="1781"/>
      <c r="AX37" s="1781"/>
      <c r="AY37" s="1781"/>
      <c r="AZ37" s="1777"/>
      <c r="BA37" s="1791"/>
      <c r="BB37" s="1792"/>
      <c r="BC37" s="1783"/>
      <c r="BD37" s="1781"/>
      <c r="BE37" s="1780"/>
      <c r="BF37" s="1790"/>
      <c r="BG37" s="1781"/>
      <c r="BH37" s="1776"/>
      <c r="BI37" s="1781"/>
      <c r="BJ37" s="1793"/>
      <c r="BK37" s="1790"/>
      <c r="BL37" s="1781"/>
      <c r="BM37" s="1776"/>
      <c r="BN37" s="1781"/>
      <c r="BO37" s="1794"/>
      <c r="BP37" s="1795"/>
      <c r="BQ37" s="1796"/>
      <c r="BR37" s="1786"/>
      <c r="BS37" s="1797"/>
      <c r="BT37" s="1798"/>
      <c r="BU37" s="1786"/>
      <c r="BV37" s="1786"/>
      <c r="BW37" s="1799"/>
      <c r="BX37" s="1800"/>
      <c r="BY37" s="1786"/>
      <c r="BZ37" s="1786"/>
      <c r="CA37" s="1801"/>
      <c r="CB37" s="1802"/>
      <c r="CC37" s="1786"/>
      <c r="CD37" s="1786"/>
      <c r="CE37" s="1803"/>
      <c r="CF37" s="1800"/>
      <c r="CG37" s="1776"/>
      <c r="CH37" s="1776"/>
      <c r="CI37" s="1801"/>
      <c r="CJ37" s="1804"/>
      <c r="CK37" s="1776"/>
      <c r="CL37" s="1776"/>
      <c r="CM37" s="1776"/>
      <c r="CN37" s="1799"/>
      <c r="CO37" s="1804"/>
      <c r="CP37" s="1776"/>
      <c r="CQ37" s="1776"/>
      <c r="CR37" s="1776"/>
      <c r="CS37" s="1799"/>
      <c r="CT37" s="1804"/>
      <c r="CU37" s="1776"/>
      <c r="CV37" s="1776"/>
      <c r="CW37" s="1776"/>
      <c r="CX37" s="1799"/>
      <c r="CY37" s="1804"/>
      <c r="CZ37" s="1776"/>
      <c r="DA37" s="1776"/>
      <c r="DB37" s="1776"/>
      <c r="DC37" s="1799"/>
      <c r="DD37" s="1805"/>
      <c r="DE37" s="1806"/>
      <c r="DF37" s="1806"/>
      <c r="DG37" s="1783"/>
      <c r="DH37" s="1807"/>
      <c r="DI37" s="1804"/>
      <c r="DJ37" s="1806"/>
      <c r="DK37" s="1806"/>
      <c r="DL37" s="1776"/>
      <c r="DM37" s="1807"/>
      <c r="DN37" s="1804"/>
      <c r="DO37" s="1776"/>
      <c r="DP37" s="1776"/>
      <c r="DQ37" s="1776"/>
      <c r="DR37" s="1807"/>
      <c r="DS37" s="1808"/>
      <c r="DT37" s="1783"/>
      <c r="DU37" s="1783"/>
      <c r="DV37" s="1776"/>
      <c r="DW37" s="1799"/>
      <c r="DX37" s="1804"/>
      <c r="DY37" s="1776"/>
      <c r="DZ37" s="1776"/>
      <c r="EA37" s="1776"/>
      <c r="EB37" s="1807"/>
      <c r="EC37" s="1804"/>
      <c r="ED37" s="1776"/>
      <c r="EE37" s="1776"/>
      <c r="EF37" s="1786"/>
      <c r="EG37" s="1807"/>
      <c r="EH37" s="1804"/>
      <c r="EI37" s="1776"/>
      <c r="EJ37" s="1776"/>
      <c r="EK37" s="1776"/>
      <c r="EL37" s="1807"/>
      <c r="EM37" s="1804"/>
      <c r="EN37" s="1776"/>
      <c r="EO37" s="1776"/>
      <c r="EP37" s="1776"/>
      <c r="EQ37" s="1807"/>
      <c r="ER37" s="2402">
        <f t="shared" si="38"/>
        <v>0</v>
      </c>
      <c r="ES37" s="2403">
        <f t="shared" si="39"/>
        <v>0</v>
      </c>
      <c r="ET37" s="2403">
        <f t="shared" si="39"/>
        <v>0</v>
      </c>
      <c r="EU37" s="2403">
        <f t="shared" si="39"/>
        <v>0</v>
      </c>
      <c r="EV37" s="2404" t="e">
        <f t="shared" si="40"/>
        <v>#DIV/0!</v>
      </c>
      <c r="EW37" s="1809"/>
      <c r="EX37" s="1810"/>
      <c r="EY37" s="1810"/>
      <c r="EZ37" s="1811"/>
      <c r="FA37" s="1812"/>
      <c r="FB37" s="1810"/>
      <c r="FC37" s="1810"/>
      <c r="FD37" s="1813"/>
      <c r="FE37" s="1814"/>
      <c r="FF37" s="1786"/>
      <c r="FG37" s="1786"/>
      <c r="FH37" s="1815"/>
      <c r="FI37" s="1816"/>
      <c r="FJ37" s="1814"/>
      <c r="FK37" s="1786"/>
      <c r="FL37" s="1786"/>
      <c r="FM37" s="1799"/>
      <c r="FN37" s="1817"/>
      <c r="FO37" s="1818"/>
      <c r="FP37" s="1818"/>
      <c r="FQ37" s="1818"/>
      <c r="FR37" s="1819"/>
      <c r="FS37" s="1820"/>
      <c r="FT37" s="1818"/>
      <c r="FU37" s="1818"/>
      <c r="FV37" s="1818"/>
      <c r="FW37" s="1821"/>
      <c r="FX37" s="1820"/>
      <c r="FY37" s="1822"/>
      <c r="FZ37" s="1822"/>
      <c r="GA37" s="1818"/>
      <c r="GB37" s="1821"/>
      <c r="GC37" s="1823"/>
      <c r="GD37" s="1824"/>
      <c r="GE37" s="1824">
        <v>0</v>
      </c>
      <c r="GF37" s="1825">
        <v>0</v>
      </c>
      <c r="GG37" s="1821"/>
      <c r="GH37" s="1823"/>
      <c r="GI37" s="1824">
        <v>210000</v>
      </c>
      <c r="GJ37" s="1824">
        <v>450900</v>
      </c>
      <c r="GK37" s="1818">
        <f>GJ37-GI37</f>
        <v>240900</v>
      </c>
      <c r="GL37" s="1821">
        <f>GK37/GJ37</f>
        <v>0.53426480372588159</v>
      </c>
      <c r="GM37" s="1823"/>
      <c r="GN37" s="1824">
        <f>210000+80833</f>
        <v>290833</v>
      </c>
      <c r="GO37" s="1824">
        <v>450900</v>
      </c>
      <c r="GP37" s="1818">
        <f>GO37-GN37</f>
        <v>160067</v>
      </c>
      <c r="GQ37" s="1821">
        <f>GP37/GO37</f>
        <v>0.35499445553337766</v>
      </c>
      <c r="GR37" s="1823"/>
      <c r="GS37" s="1824">
        <v>80333</v>
      </c>
      <c r="GT37" s="1824">
        <v>0</v>
      </c>
      <c r="GU37" s="1818">
        <f>GT37-GS37</f>
        <v>-80333</v>
      </c>
      <c r="GV37" s="1821"/>
      <c r="GW37" s="1823"/>
      <c r="GX37" s="1824">
        <f>210000+80833</f>
        <v>290833</v>
      </c>
      <c r="GY37" s="1824">
        <v>450900</v>
      </c>
      <c r="GZ37" s="1818">
        <f>GY37-GX37</f>
        <v>160067</v>
      </c>
      <c r="HA37" s="1821">
        <f>GZ37/GY37</f>
        <v>0.35499445553337766</v>
      </c>
      <c r="HB37" s="1823"/>
      <c r="HC37" s="1824">
        <f>210000+80833</f>
        <v>290833</v>
      </c>
      <c r="HD37" s="1824">
        <v>450900</v>
      </c>
      <c r="HE37" s="1818">
        <f>HD37-HC37</f>
        <v>160067</v>
      </c>
      <c r="HF37" s="1821">
        <f>HE37/HD37</f>
        <v>0.35499445553337766</v>
      </c>
      <c r="HG37" s="1823"/>
      <c r="HH37" s="1824">
        <v>0</v>
      </c>
      <c r="HI37" s="1824">
        <v>0</v>
      </c>
      <c r="HJ37" s="1818">
        <v>0</v>
      </c>
      <c r="HK37" s="1821"/>
      <c r="HL37" s="1823"/>
      <c r="HM37" s="1824"/>
      <c r="HN37" s="1824"/>
      <c r="HO37" s="1818">
        <f>HN37-HM37</f>
        <v>0</v>
      </c>
      <c r="HP37" s="6039">
        <v>0</v>
      </c>
      <c r="HQ37" s="654"/>
      <c r="HR37" s="1248">
        <v>0</v>
      </c>
      <c r="HS37" s="1248">
        <v>0</v>
      </c>
      <c r="HT37" s="1248">
        <f>HS37-HR37</f>
        <v>0</v>
      </c>
      <c r="HU37" s="1826"/>
      <c r="HV37" s="5941">
        <f>(FN37+FS37+FX37+GC37+GH37+GM37+GR37+GW37+HB37+HG37+HL37+HQ37)/12</f>
        <v>0</v>
      </c>
      <c r="HW37" s="622">
        <f t="shared" ref="HW37:HY38" si="143">FO37+FT37+FY37+GD37+GI37+GN37+GS37+GX37+HC37+HH37+HM37+HR37</f>
        <v>1162832</v>
      </c>
      <c r="HX37" s="622">
        <f t="shared" si="143"/>
        <v>1803600</v>
      </c>
      <c r="HY37" s="622">
        <f t="shared" si="143"/>
        <v>640768</v>
      </c>
      <c r="HZ37" s="1828"/>
      <c r="IA37" s="1829">
        <f>(FN37+FS37+FX37)/3</f>
        <v>0</v>
      </c>
      <c r="IB37" s="1830">
        <f>FP37+FU37+FZ37</f>
        <v>0</v>
      </c>
      <c r="IC37" s="1830">
        <f>FQ37+FV37+GA37</f>
        <v>0</v>
      </c>
      <c r="ID37" s="1831"/>
      <c r="IE37" s="1832">
        <f>(GC37+GH37+GM37)/3</f>
        <v>0</v>
      </c>
      <c r="IF37" s="1833">
        <f>(GE37+GJ37+GO37)</f>
        <v>901800</v>
      </c>
      <c r="IG37" s="1834">
        <f>(GF37+GK37+GP37)</f>
        <v>400967</v>
      </c>
      <c r="IH37" s="1831">
        <f>IG37/IF37</f>
        <v>0.44462962962962965</v>
      </c>
      <c r="II37" s="1835">
        <f>(GR37+GW37+HB37)/3</f>
        <v>0</v>
      </c>
      <c r="IJ37" s="1836">
        <f>(GT37+GY37+HD37)</f>
        <v>901800</v>
      </c>
      <c r="IK37" s="1836">
        <f>(GU37+GZ37+HE37)</f>
        <v>239801</v>
      </c>
      <c r="IL37" s="239">
        <f>IK37/IJ37</f>
        <v>0.26591372809935682</v>
      </c>
      <c r="IM37" s="1837">
        <f>(HB37+HG37+HL37)/3</f>
        <v>0</v>
      </c>
      <c r="IN37" s="1836">
        <f>(HI37+HN37+HS37)</f>
        <v>0</v>
      </c>
      <c r="IO37" s="1836">
        <f>(HJ37+HO37+HT37)</f>
        <v>0</v>
      </c>
      <c r="IP37" s="1838"/>
      <c r="IQ37" s="1839"/>
      <c r="IR37" s="1840"/>
      <c r="IS37" s="1818"/>
      <c r="IT37" s="1818"/>
      <c r="IU37" s="1818">
        <f>IT37-IS37</f>
        <v>0</v>
      </c>
      <c r="IV37" s="1819"/>
      <c r="IW37" s="1820"/>
      <c r="IX37" s="1818"/>
      <c r="IY37" s="1818"/>
      <c r="IZ37" s="1818">
        <f t="shared" si="106"/>
        <v>0</v>
      </c>
      <c r="JA37" s="1821"/>
      <c r="JB37" s="1984"/>
      <c r="JC37" s="1985"/>
      <c r="JD37" s="1986"/>
      <c r="JE37" s="1818">
        <f t="shared" si="65"/>
        <v>0</v>
      </c>
      <c r="JF37" s="1821"/>
      <c r="JG37" s="1981"/>
      <c r="JH37" s="1824"/>
      <c r="JI37" s="1824"/>
      <c r="JJ37" s="1822">
        <f t="shared" si="67"/>
        <v>0</v>
      </c>
      <c r="JK37" s="1821" t="e">
        <f t="shared" si="109"/>
        <v>#DIV/0!</v>
      </c>
      <c r="JL37" s="1823"/>
      <c r="JM37" s="1824"/>
      <c r="JN37" s="1824"/>
      <c r="JO37" s="1996">
        <f t="shared" si="69"/>
        <v>0</v>
      </c>
      <c r="JP37" s="1821" t="e">
        <f t="shared" si="110"/>
        <v>#DIV/0!</v>
      </c>
      <c r="JQ37" s="6013"/>
      <c r="JR37" s="1982"/>
      <c r="JS37" s="1248"/>
      <c r="JT37" s="1996">
        <f t="shared" si="129"/>
        <v>0</v>
      </c>
      <c r="JU37" s="1821"/>
      <c r="JV37" s="1981"/>
      <c r="JW37" s="1824"/>
      <c r="JX37" s="1248"/>
      <c r="JY37" s="1996">
        <f t="shared" si="141"/>
        <v>0</v>
      </c>
      <c r="JZ37" s="1821" t="e">
        <f>JY37/JX37</f>
        <v>#DIV/0!</v>
      </c>
      <c r="KA37" s="1981"/>
      <c r="KB37" s="1248"/>
      <c r="KC37" s="1982"/>
      <c r="KD37" s="1983">
        <f t="shared" si="142"/>
        <v>0</v>
      </c>
      <c r="KE37" s="1952"/>
      <c r="KF37" s="1990"/>
      <c r="KG37" s="1904"/>
      <c r="KH37" s="1904"/>
      <c r="KI37" s="1818">
        <f>KH37-KG37</f>
        <v>0</v>
      </c>
      <c r="KJ37" s="1821"/>
      <c r="KK37" s="1990"/>
      <c r="KL37" s="1904"/>
      <c r="KM37" s="1904"/>
      <c r="KN37" s="2023">
        <f t="shared" si="130"/>
        <v>0</v>
      </c>
      <c r="KO37" s="2024"/>
      <c r="KP37" s="1823"/>
      <c r="KQ37" s="1982"/>
      <c r="KR37" s="1248"/>
      <c r="KS37" s="1996">
        <f>KR37-KQ37</f>
        <v>0</v>
      </c>
      <c r="KT37" s="1980">
        <v>0</v>
      </c>
      <c r="KU37" s="1905"/>
      <c r="KV37" s="1248"/>
      <c r="KW37" s="1248"/>
      <c r="KX37" s="1248">
        <f>KW37-KV37</f>
        <v>0</v>
      </c>
      <c r="KY37" s="77"/>
      <c r="KZ37" s="1832"/>
      <c r="LA37" s="622">
        <f t="shared" ref="LA37:LC62" si="144">IS37+IX37+JC37+JH37+JM37+JR37+JW37+KB37+KG37+KL37+KQ37+KV37</f>
        <v>0</v>
      </c>
      <c r="LB37" s="622">
        <f t="shared" si="144"/>
        <v>0</v>
      </c>
      <c r="LC37" s="622">
        <f t="shared" si="144"/>
        <v>0</v>
      </c>
      <c r="LD37" s="239"/>
      <c r="LE37" s="1834">
        <f t="shared" si="71"/>
        <v>0</v>
      </c>
      <c r="LF37" s="1830">
        <f t="shared" si="72"/>
        <v>0</v>
      </c>
      <c r="LG37" s="1830">
        <f t="shared" si="72"/>
        <v>0</v>
      </c>
      <c r="LH37" s="1831" t="e">
        <f t="shared" si="131"/>
        <v>#DIV/0!</v>
      </c>
      <c r="LI37" s="1832">
        <f t="shared" si="132"/>
        <v>0</v>
      </c>
      <c r="LJ37" s="1833">
        <f t="shared" si="133"/>
        <v>0</v>
      </c>
      <c r="LK37" s="1834">
        <f t="shared" si="133"/>
        <v>0</v>
      </c>
      <c r="LL37" s="1831" t="e">
        <f t="shared" si="134"/>
        <v>#DIV/0!</v>
      </c>
      <c r="LM37" s="1835">
        <f t="shared" si="135"/>
        <v>0</v>
      </c>
      <c r="LN37" s="1836">
        <f t="shared" si="136"/>
        <v>0</v>
      </c>
      <c r="LO37" s="1836">
        <f t="shared" si="136"/>
        <v>0</v>
      </c>
      <c r="LP37" s="239"/>
      <c r="LQ37" s="1837">
        <f t="shared" si="140"/>
        <v>0</v>
      </c>
      <c r="LR37" s="1836">
        <f t="shared" si="76"/>
        <v>0</v>
      </c>
      <c r="LS37" s="1836">
        <f t="shared" si="76"/>
        <v>0</v>
      </c>
      <c r="LT37" s="1838"/>
      <c r="LV37" s="3645"/>
      <c r="LW37" s="2897"/>
      <c r="LX37" s="2897"/>
      <c r="LY37" s="2589">
        <f t="shared" si="137"/>
        <v>0</v>
      </c>
      <c r="LZ37" s="6033"/>
      <c r="MF37" s="5880"/>
      <c r="MG37" s="4965"/>
      <c r="MH37" s="4965"/>
      <c r="MI37" s="1839"/>
      <c r="MJ37" s="1660"/>
      <c r="MK37" s="5881"/>
      <c r="MN37" s="372">
        <f t="shared" si="12"/>
        <v>0</v>
      </c>
      <c r="MP37" s="5881"/>
      <c r="MQ37" s="1839"/>
      <c r="MR37" s="1839"/>
      <c r="MS37" s="1839"/>
      <c r="MT37" s="693"/>
      <c r="MU37" s="2035"/>
      <c r="MV37" s="1914"/>
      <c r="MW37" s="1914"/>
      <c r="MX37" s="1914"/>
      <c r="MY37" s="5882"/>
      <c r="MZ37" s="1659"/>
      <c r="NA37" s="1839"/>
      <c r="NB37" s="1839"/>
      <c r="NC37" s="1839"/>
      <c r="ND37" s="1839"/>
      <c r="NO37" s="5883"/>
      <c r="NP37" s="2425"/>
      <c r="NQ37" s="2425"/>
      <c r="NR37" s="5883"/>
      <c r="NT37" s="1839"/>
      <c r="NU37" s="1839"/>
      <c r="NV37" s="715"/>
      <c r="NW37" s="1839"/>
      <c r="NX37" s="1660"/>
      <c r="NY37" s="1659"/>
      <c r="NZ37" s="715"/>
      <c r="OA37" s="715"/>
      <c r="OB37" s="1839"/>
      <c r="OC37" s="1660"/>
      <c r="OE37" s="5885"/>
      <c r="OF37" s="5885"/>
      <c r="OG37" s="715"/>
      <c r="OH37" s="1660"/>
      <c r="OI37" s="1659"/>
      <c r="OJ37" s="1839"/>
      <c r="OK37" s="1839"/>
      <c r="OL37" s="1839"/>
      <c r="OM37" s="693"/>
      <c r="ON37" s="1659"/>
      <c r="OO37" s="715"/>
      <c r="OP37" s="715"/>
      <c r="OQ37" s="715"/>
      <c r="OR37" s="705"/>
      <c r="OS37" s="1659"/>
      <c r="OT37" s="1839"/>
      <c r="OU37" s="1839"/>
      <c r="OV37" s="1839"/>
      <c r="OW37" s="705"/>
      <c r="OX37" s="1659"/>
      <c r="OY37" s="1839"/>
      <c r="OZ37" s="1839"/>
      <c r="PA37" s="1839"/>
      <c r="PB37" s="1660"/>
      <c r="PD37" s="3645"/>
      <c r="PE37" s="2897"/>
      <c r="PF37" s="2897"/>
      <c r="PG37" s="2589">
        <f t="shared" si="138"/>
        <v>0</v>
      </c>
      <c r="PH37" s="6033"/>
      <c r="PN37" s="5880"/>
      <c r="PO37" s="4965"/>
      <c r="PP37" s="4965"/>
      <c r="PQ37" s="1839"/>
      <c r="PR37" s="1660"/>
      <c r="PS37" s="5886"/>
      <c r="PT37" s="5883"/>
      <c r="PU37" s="5883"/>
      <c r="PV37" s="2892">
        <f t="shared" si="13"/>
        <v>0</v>
      </c>
      <c r="PW37" s="5883"/>
      <c r="PX37" s="5881"/>
      <c r="PY37" s="1839"/>
      <c r="PZ37" s="1839"/>
      <c r="QA37" s="1839"/>
      <c r="QB37" s="693"/>
      <c r="QC37" s="2035"/>
      <c r="QD37" s="1914"/>
      <c r="QE37" s="1914"/>
      <c r="QF37" s="1914"/>
      <c r="QG37" s="5882"/>
      <c r="QH37" s="1910"/>
      <c r="QI37" s="1839"/>
      <c r="QJ37" s="1839"/>
      <c r="QK37" s="1839"/>
      <c r="QL37" s="1839"/>
      <c r="QM37" s="5880"/>
      <c r="QR37" s="5883"/>
      <c r="QS37" s="5883"/>
      <c r="QT37" s="5883"/>
      <c r="QU37" s="5883"/>
      <c r="QV37" s="1677"/>
      <c r="QW37" s="5883"/>
      <c r="QX37" s="2425"/>
      <c r="QY37" s="2425"/>
      <c r="QZ37" s="5883"/>
      <c r="RA37" s="5883"/>
      <c r="RB37" s="1839"/>
      <c r="RC37" s="1839"/>
      <c r="RD37" s="715"/>
      <c r="RE37" s="1839"/>
      <c r="RF37" s="1660"/>
      <c r="RG37" s="2037"/>
      <c r="RH37" s="1914"/>
      <c r="RI37" s="1914"/>
      <c r="RJ37" s="5882"/>
      <c r="RK37" s="1660"/>
      <c r="RL37" s="5883"/>
      <c r="RM37" s="1873">
        <f t="shared" si="77"/>
        <v>0</v>
      </c>
      <c r="RN37" s="1873">
        <f t="shared" si="77"/>
        <v>0</v>
      </c>
      <c r="RO37" s="1873">
        <f t="shared" si="77"/>
        <v>0</v>
      </c>
      <c r="RP37" s="5883"/>
      <c r="RQ37" s="1659"/>
      <c r="RR37" s="1839"/>
      <c r="RS37" s="1839"/>
      <c r="RT37" s="1839"/>
      <c r="RU37" s="693"/>
      <c r="RV37" s="1659"/>
      <c r="RW37" s="715"/>
      <c r="RX37" s="715"/>
      <c r="RY37" s="715"/>
      <c r="RZ37" s="705"/>
      <c r="SA37" s="1659"/>
      <c r="SB37" s="1839"/>
      <c r="SC37" s="1839"/>
      <c r="SD37" s="1839"/>
      <c r="SE37" s="705"/>
      <c r="SF37" s="1659"/>
      <c r="SG37" s="1839"/>
      <c r="SH37" s="1839"/>
      <c r="SI37" s="1839"/>
      <c r="SJ37" s="1660"/>
      <c r="SL37" s="3645"/>
      <c r="SM37" s="2897"/>
      <c r="SN37" s="2897"/>
      <c r="SO37" s="6029">
        <f t="shared" si="139"/>
        <v>0</v>
      </c>
      <c r="SP37" s="6034"/>
      <c r="SQ37" s="5883"/>
      <c r="SR37" s="5883"/>
      <c r="SS37" s="5883"/>
      <c r="ST37" s="5883"/>
      <c r="SU37" s="5883"/>
      <c r="SV37" s="5880"/>
      <c r="SW37" s="4965"/>
      <c r="SX37" s="4965"/>
      <c r="SY37" s="1839"/>
      <c r="SZ37" s="1660"/>
      <c r="TA37" s="5881"/>
      <c r="TD37" s="372">
        <f t="shared" si="14"/>
        <v>0</v>
      </c>
      <c r="TF37" s="5881"/>
      <c r="TG37" s="1839"/>
      <c r="TH37" s="1839"/>
      <c r="TI37" s="1839"/>
      <c r="TJ37" s="693"/>
      <c r="TK37" s="2035"/>
      <c r="TL37" s="1914"/>
      <c r="TM37" s="1914"/>
      <c r="TN37" s="1914"/>
      <c r="TO37" s="5882"/>
      <c r="TP37" s="2407"/>
      <c r="TQ37" s="1839"/>
      <c r="TR37" s="1839"/>
      <c r="TS37" s="1839"/>
      <c r="TT37" s="1839"/>
      <c r="TU37" s="5889"/>
      <c r="TV37" s="5883"/>
      <c r="TW37" s="5883"/>
      <c r="TX37" s="5883"/>
      <c r="TY37" s="5883"/>
      <c r="TZ37" s="5883"/>
      <c r="UA37" s="5883"/>
      <c r="UB37" s="5883"/>
      <c r="UC37" s="5883"/>
      <c r="UD37" s="1677"/>
      <c r="UE37" s="5883"/>
      <c r="UF37" s="2425"/>
      <c r="UG37" s="2425"/>
      <c r="UH37" s="5883"/>
      <c r="UI37" s="5883"/>
      <c r="UJ37" s="1839"/>
      <c r="UK37" s="1839"/>
      <c r="UL37" s="715"/>
      <c r="UM37" s="1839"/>
      <c r="UN37" s="1660"/>
      <c r="UO37" s="2037"/>
      <c r="UP37" s="1914"/>
      <c r="UQ37" s="1914"/>
      <c r="UR37" s="5882"/>
      <c r="US37" s="1660"/>
      <c r="UU37" s="622">
        <f t="shared" si="78"/>
        <v>0</v>
      </c>
      <c r="UV37" s="622">
        <f t="shared" si="78"/>
        <v>0</v>
      </c>
      <c r="UW37" s="622">
        <f t="shared" si="78"/>
        <v>0</v>
      </c>
      <c r="UY37" s="1659"/>
      <c r="UZ37" s="1839"/>
      <c r="VA37" s="1839"/>
      <c r="VB37" s="1839"/>
      <c r="VC37" s="693"/>
      <c r="VD37" s="1659"/>
      <c r="VE37" s="715"/>
      <c r="VF37" s="715"/>
      <c r="VG37" s="715"/>
      <c r="VH37" s="705"/>
      <c r="VI37" s="1659"/>
      <c r="VJ37" s="1839"/>
      <c r="VK37" s="1839"/>
      <c r="VL37" s="1839"/>
      <c r="VM37" s="705"/>
      <c r="VN37" s="1659"/>
      <c r="VO37" s="1839"/>
      <c r="VP37" s="1839"/>
      <c r="VQ37" s="1839"/>
      <c r="VR37" s="1660"/>
    </row>
    <row r="38" spans="1:590" s="2425" customFormat="1" ht="13.45" hidden="1" x14ac:dyDescent="0.3">
      <c r="A38" s="2399"/>
      <c r="B38" s="6016" t="s">
        <v>53</v>
      </c>
      <c r="C38" s="6040" t="s">
        <v>789</v>
      </c>
      <c r="D38" s="6041" t="s">
        <v>790</v>
      </c>
      <c r="E38" s="6042">
        <v>44298</v>
      </c>
      <c r="F38" s="6042">
        <v>44662</v>
      </c>
      <c r="G38" s="5974">
        <v>40000</v>
      </c>
      <c r="H38" s="1940"/>
      <c r="I38" s="1941"/>
      <c r="J38" s="1941"/>
      <c r="K38" s="1941"/>
      <c r="L38" s="1942"/>
      <c r="M38" s="1940"/>
      <c r="N38" s="1941"/>
      <c r="O38" s="1941"/>
      <c r="P38" s="1941"/>
      <c r="Q38" s="1942"/>
      <c r="R38" s="1940"/>
      <c r="S38" s="1941"/>
      <c r="T38" s="1941"/>
      <c r="U38" s="1941"/>
      <c r="V38" s="1942"/>
      <c r="W38" s="1940"/>
      <c r="X38" s="1941"/>
      <c r="Y38" s="1941"/>
      <c r="Z38" s="1941"/>
      <c r="AA38" s="1943"/>
      <c r="AB38" s="1940"/>
      <c r="AC38" s="1941"/>
      <c r="AD38" s="1941"/>
      <c r="AE38" s="1941"/>
      <c r="AF38" s="1943"/>
      <c r="AG38" s="1941"/>
      <c r="AH38" s="1941"/>
      <c r="AI38" s="1941"/>
      <c r="AJ38" s="1941"/>
      <c r="AK38" s="1942"/>
      <c r="AL38" s="1941"/>
      <c r="AM38" s="1941"/>
      <c r="AN38" s="1941"/>
      <c r="AO38" s="1941"/>
      <c r="AP38" s="1942"/>
      <c r="AQ38" s="1941"/>
      <c r="AR38" s="1941"/>
      <c r="AS38" s="1941"/>
      <c r="AT38" s="1941"/>
      <c r="AU38" s="1942"/>
      <c r="AV38" s="1944"/>
      <c r="AW38" s="1941"/>
      <c r="AX38" s="1941"/>
      <c r="AY38" s="1941"/>
      <c r="AZ38" s="1943"/>
      <c r="BA38" s="1944"/>
      <c r="BB38" s="1941"/>
      <c r="BC38" s="1941"/>
      <c r="BD38" s="1941"/>
      <c r="BE38" s="1943"/>
      <c r="BF38" s="1944"/>
      <c r="BG38" s="1941"/>
      <c r="BH38" s="1941"/>
      <c r="BI38" s="1941"/>
      <c r="BJ38" s="1943"/>
      <c r="BK38" s="1944"/>
      <c r="BL38" s="1941"/>
      <c r="BM38" s="1941"/>
      <c r="BN38" s="1941"/>
      <c r="BO38" s="1943"/>
      <c r="BP38" s="1945"/>
      <c r="BQ38" s="1941"/>
      <c r="BR38" s="1941"/>
      <c r="BS38" s="1941"/>
      <c r="BT38" s="1946"/>
      <c r="BU38" s="1941"/>
      <c r="BV38" s="1941"/>
      <c r="BW38" s="1947"/>
      <c r="BX38" s="1946"/>
      <c r="BY38" s="1941"/>
      <c r="BZ38" s="1941"/>
      <c r="CA38" s="1948"/>
      <c r="CB38" s="1941"/>
      <c r="CC38" s="1941"/>
      <c r="CD38" s="1941"/>
      <c r="CE38" s="1941"/>
      <c r="CF38" s="1946"/>
      <c r="CG38" s="1941"/>
      <c r="CH38" s="1941"/>
      <c r="CI38" s="1948"/>
      <c r="CJ38" s="1949"/>
      <c r="CK38" s="1941"/>
      <c r="CL38" s="1941"/>
      <c r="CM38" s="1941"/>
      <c r="CN38" s="1947"/>
      <c r="CO38" s="1949"/>
      <c r="CP38" s="1940"/>
      <c r="CQ38" s="1940"/>
      <c r="CR38" s="1940"/>
      <c r="CS38" s="1947"/>
      <c r="CT38" s="1949"/>
      <c r="CU38" s="1941"/>
      <c r="CV38" s="1941"/>
      <c r="CW38" s="1941"/>
      <c r="CX38" s="1947"/>
      <c r="CY38" s="1949"/>
      <c r="CZ38" s="1941"/>
      <c r="DA38" s="1941"/>
      <c r="DB38" s="1941"/>
      <c r="DC38" s="1947"/>
      <c r="DD38" s="1949"/>
      <c r="DE38" s="1941"/>
      <c r="DF38" s="1941"/>
      <c r="DG38" s="1941"/>
      <c r="DH38" s="1950"/>
      <c r="DI38" s="1949"/>
      <c r="DJ38" s="1941"/>
      <c r="DK38" s="1941"/>
      <c r="DL38" s="1941"/>
      <c r="DM38" s="1950"/>
      <c r="DN38" s="1949"/>
      <c r="DO38" s="1941"/>
      <c r="DP38" s="1941"/>
      <c r="DQ38" s="1941"/>
      <c r="DR38" s="1950"/>
      <c r="DS38" s="1949"/>
      <c r="DT38" s="1941"/>
      <c r="DU38" s="1941"/>
      <c r="DV38" s="1941"/>
      <c r="DW38" s="1950"/>
      <c r="DX38" s="1949"/>
      <c r="DY38" s="1941"/>
      <c r="DZ38" s="1941"/>
      <c r="EA38" s="1941"/>
      <c r="EB38" s="1950"/>
      <c r="EC38" s="1949"/>
      <c r="ED38" s="1941"/>
      <c r="EE38" s="1941"/>
      <c r="EF38" s="1941"/>
      <c r="EG38" s="1950"/>
      <c r="EH38" s="1899"/>
      <c r="EI38" s="1900"/>
      <c r="EJ38" s="1900"/>
      <c r="EK38" s="1900"/>
      <c r="EL38" s="1951"/>
      <c r="EM38" s="1901"/>
      <c r="EN38" s="1824"/>
      <c r="EO38" s="1824"/>
      <c r="EP38" s="1824"/>
      <c r="EQ38" s="1952"/>
      <c r="ER38" s="2402">
        <f t="shared" si="38"/>
        <v>0</v>
      </c>
      <c r="ES38" s="2403">
        <f t="shared" si="39"/>
        <v>0</v>
      </c>
      <c r="ET38" s="2403">
        <f t="shared" si="39"/>
        <v>0</v>
      </c>
      <c r="EU38" s="2403">
        <f t="shared" si="39"/>
        <v>0</v>
      </c>
      <c r="EV38" s="2404" t="e">
        <f t="shared" si="40"/>
        <v>#DIV/0!</v>
      </c>
      <c r="EW38" s="1953"/>
      <c r="EX38" s="1953"/>
      <c r="EY38" s="1953"/>
      <c r="EZ38" s="1954"/>
      <c r="FA38" s="1899"/>
      <c r="FB38" s="1953"/>
      <c r="FC38" s="1953"/>
      <c r="FD38" s="1955"/>
      <c r="FE38" s="1953"/>
      <c r="FF38" s="1953"/>
      <c r="FG38" s="1953"/>
      <c r="FH38" s="1954"/>
      <c r="FI38" s="1956"/>
      <c r="FJ38" s="1957"/>
      <c r="FK38" s="1958"/>
      <c r="FL38" s="1958"/>
      <c r="FM38" s="1959"/>
      <c r="FN38" s="1953"/>
      <c r="FO38" s="1900"/>
      <c r="FP38" s="1900"/>
      <c r="FQ38" s="1900"/>
      <c r="FR38" s="1960"/>
      <c r="FS38" s="1919"/>
      <c r="FT38" s="1920"/>
      <c r="FU38" s="1920"/>
      <c r="FV38" s="1920"/>
      <c r="FW38" s="1961"/>
      <c r="FX38" s="1899"/>
      <c r="FY38" s="1900"/>
      <c r="FZ38" s="1900"/>
      <c r="GA38" s="1920"/>
      <c r="GB38" s="1961"/>
      <c r="GC38" s="1899"/>
      <c r="GD38" s="1900"/>
      <c r="GE38" s="1900"/>
      <c r="GF38" s="1824"/>
      <c r="GG38" s="1952"/>
      <c r="GH38" s="1901"/>
      <c r="GI38" s="1824"/>
      <c r="GJ38" s="1824"/>
      <c r="GK38" s="1962">
        <f>GJ38-GI38</f>
        <v>0</v>
      </c>
      <c r="GL38" s="1961" t="e">
        <f>GK38/GJ38</f>
        <v>#DIV/0!</v>
      </c>
      <c r="GM38" s="1901"/>
      <c r="GN38" s="1824"/>
      <c r="GO38" s="1824"/>
      <c r="GP38" s="1962">
        <f>GO38-GN38</f>
        <v>0</v>
      </c>
      <c r="GQ38" s="1961" t="e">
        <f>GP38/GO38</f>
        <v>#DIV/0!</v>
      </c>
      <c r="GR38" s="715"/>
      <c r="GS38" s="715"/>
      <c r="GT38" s="715"/>
      <c r="GU38" s="1962">
        <f>GT38-GS38</f>
        <v>0</v>
      </c>
      <c r="GV38" s="1961" t="e">
        <f>GU38/GT38</f>
        <v>#DIV/0!</v>
      </c>
      <c r="GW38" s="715"/>
      <c r="GX38" s="715"/>
      <c r="GY38" s="715"/>
      <c r="GZ38" s="1962">
        <f>GY38-GX38</f>
        <v>0</v>
      </c>
      <c r="HA38" s="1961" t="e">
        <f>GZ38/GY38</f>
        <v>#DIV/0!</v>
      </c>
      <c r="HB38" s="715"/>
      <c r="HC38" s="715"/>
      <c r="HD38" s="715"/>
      <c r="HE38" s="1962">
        <f>HD38-HC38</f>
        <v>0</v>
      </c>
      <c r="HF38" s="1961" t="e">
        <f>HE38/HD38</f>
        <v>#DIV/0!</v>
      </c>
      <c r="HG38" s="715"/>
      <c r="HH38" s="715"/>
      <c r="HI38" s="715"/>
      <c r="HJ38" s="1962">
        <f>HI38-HH38</f>
        <v>0</v>
      </c>
      <c r="HK38" s="1961" t="e">
        <f>HJ38/HI38</f>
        <v>#DIV/0!</v>
      </c>
      <c r="HL38" s="715"/>
      <c r="HM38" s="715"/>
      <c r="HN38" s="715"/>
      <c r="HO38" s="1962">
        <f>HN38-HM38</f>
        <v>0</v>
      </c>
      <c r="HP38" s="1961"/>
      <c r="HQ38" s="1963"/>
      <c r="HR38" s="1248"/>
      <c r="HS38" s="1248"/>
      <c r="HT38" s="1248">
        <f>HS38-HR38</f>
        <v>0</v>
      </c>
      <c r="HU38" s="1826"/>
      <c r="HV38" s="6043">
        <f>FN38+FS38+FX38+GC38+GH38+GM38+GR38+GW38+HB38+HG38+HL38+HQ38</f>
        <v>0</v>
      </c>
      <c r="HW38" s="715">
        <f t="shared" si="143"/>
        <v>0</v>
      </c>
      <c r="HX38" s="715">
        <f t="shared" si="143"/>
        <v>0</v>
      </c>
      <c r="HY38" s="715">
        <f t="shared" si="143"/>
        <v>0</v>
      </c>
      <c r="HZ38" s="6044"/>
      <c r="IA38" s="1907"/>
      <c r="IB38" s="1908"/>
      <c r="IC38" s="1908"/>
      <c r="ID38" s="1909"/>
      <c r="IE38" s="1964"/>
      <c r="IF38" s="1964"/>
      <c r="IG38" s="1964"/>
      <c r="IH38" s="1965"/>
      <c r="II38" s="1966"/>
      <c r="IJ38" s="6045"/>
      <c r="IK38" s="6045"/>
      <c r="IL38" s="1965"/>
      <c r="IM38" s="1967"/>
      <c r="IN38" s="6045"/>
      <c r="IO38" s="6045"/>
      <c r="IP38" s="1968"/>
      <c r="IQ38" s="1914"/>
      <c r="IR38" s="1969">
        <v>1</v>
      </c>
      <c r="IS38" s="1248">
        <v>19001</v>
      </c>
      <c r="IT38" s="1248">
        <v>25320</v>
      </c>
      <c r="IU38" s="1917">
        <f>IT38-IS38</f>
        <v>6319</v>
      </c>
      <c r="IV38" s="1970">
        <f>IU38/IT38</f>
        <v>0.24956556082148498</v>
      </c>
      <c r="IW38" s="1820">
        <v>1</v>
      </c>
      <c r="IX38" s="1920">
        <v>29032</v>
      </c>
      <c r="IY38" s="1920">
        <v>38800</v>
      </c>
      <c r="IZ38" s="1818">
        <f t="shared" si="106"/>
        <v>9768</v>
      </c>
      <c r="JA38" s="1821">
        <f>IZ38/IY38</f>
        <v>0.25175257731958761</v>
      </c>
      <c r="JB38" s="1925">
        <v>1</v>
      </c>
      <c r="JC38" s="6046">
        <v>30000</v>
      </c>
      <c r="JD38" s="6047">
        <v>40000</v>
      </c>
      <c r="JE38" s="1818">
        <f t="shared" si="65"/>
        <v>10000</v>
      </c>
      <c r="JF38" s="1821">
        <f>JE38/JD38</f>
        <v>0.25</v>
      </c>
      <c r="JG38" s="1925">
        <v>1</v>
      </c>
      <c r="JH38" s="1824">
        <v>30000</v>
      </c>
      <c r="JI38" s="1824">
        <v>40000</v>
      </c>
      <c r="JJ38" s="1822">
        <f t="shared" si="67"/>
        <v>10000</v>
      </c>
      <c r="JK38" s="1821">
        <f t="shared" si="109"/>
        <v>0.25</v>
      </c>
      <c r="JL38" s="1823">
        <v>1</v>
      </c>
      <c r="JM38" s="1824">
        <v>30000</v>
      </c>
      <c r="JN38" s="1824">
        <v>40000</v>
      </c>
      <c r="JO38" s="6012">
        <f t="shared" si="69"/>
        <v>10000</v>
      </c>
      <c r="JP38" s="1821">
        <f t="shared" si="110"/>
        <v>0.25</v>
      </c>
      <c r="JQ38" s="1926">
        <v>1</v>
      </c>
      <c r="JR38" s="1982">
        <v>30000</v>
      </c>
      <c r="JS38" s="1248">
        <v>40000</v>
      </c>
      <c r="JT38" s="1996">
        <f t="shared" si="129"/>
        <v>10000</v>
      </c>
      <c r="JU38" s="1821">
        <f>JT38/JS38</f>
        <v>0.25</v>
      </c>
      <c r="JV38" s="6014">
        <v>1</v>
      </c>
      <c r="JW38" s="1982">
        <v>30000</v>
      </c>
      <c r="JX38" s="1248">
        <v>40000</v>
      </c>
      <c r="JY38" s="1996">
        <f t="shared" si="141"/>
        <v>10000</v>
      </c>
      <c r="JZ38" s="1821">
        <f>JY38/JX38</f>
        <v>0.25</v>
      </c>
      <c r="KA38" s="1925">
        <v>1</v>
      </c>
      <c r="KB38" s="1248">
        <v>8000</v>
      </c>
      <c r="KC38" s="1248">
        <v>10800</v>
      </c>
      <c r="KD38" s="1983">
        <f t="shared" si="142"/>
        <v>2800</v>
      </c>
      <c r="KE38" s="1952">
        <f>KD38/KC38</f>
        <v>0.25925925925925924</v>
      </c>
      <c r="KF38" s="1990"/>
      <c r="KG38" s="1904"/>
      <c r="KH38" s="1904"/>
      <c r="KI38" s="1818"/>
      <c r="KJ38" s="1821"/>
      <c r="KK38" s="1990"/>
      <c r="KL38" s="1904"/>
      <c r="KM38" s="1904"/>
      <c r="KN38" s="2023">
        <f t="shared" si="130"/>
        <v>0</v>
      </c>
      <c r="KO38" s="2024"/>
      <c r="KP38" s="1823"/>
      <c r="KQ38" s="1982">
        <v>0</v>
      </c>
      <c r="KR38" s="1248">
        <v>0</v>
      </c>
      <c r="KS38" s="1996">
        <f>KR38-KQ38</f>
        <v>0</v>
      </c>
      <c r="KT38" s="1819"/>
      <c r="KU38" s="1905"/>
      <c r="KV38" s="1248"/>
      <c r="KW38" s="1248"/>
      <c r="KX38" s="1248"/>
      <c r="KY38" s="77"/>
      <c r="KZ38" s="1832"/>
      <c r="LA38" s="622">
        <f t="shared" si="144"/>
        <v>206033</v>
      </c>
      <c r="LB38" s="622">
        <f t="shared" si="144"/>
        <v>274920</v>
      </c>
      <c r="LC38" s="622">
        <f t="shared" si="144"/>
        <v>68887</v>
      </c>
      <c r="LD38" s="239">
        <f>LC38/LB38</f>
        <v>0.25057107522188271</v>
      </c>
      <c r="LE38" s="1834">
        <f t="shared" si="71"/>
        <v>1</v>
      </c>
      <c r="LF38" s="1830">
        <f t="shared" si="72"/>
        <v>104120</v>
      </c>
      <c r="LG38" s="1830">
        <f t="shared" si="72"/>
        <v>26087</v>
      </c>
      <c r="LH38" s="1831">
        <f t="shared" si="131"/>
        <v>0.25054744525547445</v>
      </c>
      <c r="LI38" s="1832">
        <f t="shared" si="132"/>
        <v>1</v>
      </c>
      <c r="LJ38" s="1833">
        <f t="shared" si="133"/>
        <v>120000</v>
      </c>
      <c r="LK38" s="1834">
        <f t="shared" si="133"/>
        <v>30000</v>
      </c>
      <c r="LL38" s="1831">
        <f t="shared" si="134"/>
        <v>0.25</v>
      </c>
      <c r="LM38" s="1835">
        <f t="shared" si="135"/>
        <v>0.66666666666666663</v>
      </c>
      <c r="LN38" s="1836">
        <f t="shared" si="136"/>
        <v>50800</v>
      </c>
      <c r="LO38" s="1836">
        <f t="shared" si="136"/>
        <v>12800</v>
      </c>
      <c r="LP38" s="239">
        <f>LO38/LN38</f>
        <v>0.25196850393700787</v>
      </c>
      <c r="LQ38" s="1837">
        <f t="shared" si="140"/>
        <v>0</v>
      </c>
      <c r="LR38" s="1836">
        <f t="shared" si="76"/>
        <v>0</v>
      </c>
      <c r="LS38" s="1836">
        <f t="shared" si="76"/>
        <v>0</v>
      </c>
      <c r="LT38" s="1838"/>
      <c r="LV38" s="3645"/>
      <c r="LW38" s="2897"/>
      <c r="LX38" s="2897"/>
      <c r="LY38" s="2589">
        <f t="shared" si="137"/>
        <v>0</v>
      </c>
      <c r="LZ38" s="6048"/>
      <c r="MF38" s="2399"/>
      <c r="MG38" s="6025"/>
      <c r="MH38" s="6025"/>
      <c r="MI38" s="1914"/>
      <c r="MJ38" s="2010"/>
      <c r="MK38" s="6026"/>
      <c r="MN38" s="372">
        <f t="shared" si="12"/>
        <v>0</v>
      </c>
      <c r="MP38" s="6026"/>
      <c r="MQ38" s="1914"/>
      <c r="MR38" s="1914"/>
      <c r="MS38" s="1914"/>
      <c r="MT38" s="2036"/>
      <c r="MU38" s="2035"/>
      <c r="MV38" s="1914"/>
      <c r="MW38" s="1914"/>
      <c r="MX38" s="1914"/>
      <c r="MY38" s="1914"/>
      <c r="MZ38" s="2035"/>
      <c r="NA38" s="1914"/>
      <c r="NB38" s="1914"/>
      <c r="NC38" s="1914"/>
      <c r="ND38" s="1914"/>
      <c r="NT38" s="715"/>
      <c r="NU38" s="715"/>
      <c r="NV38" s="715"/>
      <c r="NW38" s="715"/>
      <c r="NX38" s="6027"/>
      <c r="NY38" s="4975"/>
      <c r="NZ38" s="715"/>
      <c r="OA38" s="715"/>
      <c r="OB38" s="715"/>
      <c r="OC38" s="2010"/>
      <c r="OG38" s="1914"/>
      <c r="OH38" s="2010"/>
      <c r="OI38" s="2035"/>
      <c r="OJ38" s="1914"/>
      <c r="OK38" s="1914"/>
      <c r="OL38" s="1914"/>
      <c r="OM38" s="2036"/>
      <c r="ON38" s="2035"/>
      <c r="OO38" s="1914"/>
      <c r="OP38" s="1914"/>
      <c r="OQ38" s="1914"/>
      <c r="OR38" s="593"/>
      <c r="OS38" s="2035"/>
      <c r="OT38" s="1914"/>
      <c r="OU38" s="1914"/>
      <c r="OV38" s="1914"/>
      <c r="OW38" s="593"/>
      <c r="OX38" s="2035"/>
      <c r="OY38" s="1914"/>
      <c r="OZ38" s="1914"/>
      <c r="PA38" s="1914"/>
      <c r="PB38" s="2010"/>
      <c r="PD38" s="3645"/>
      <c r="PE38" s="2897"/>
      <c r="PF38" s="2897"/>
      <c r="PG38" s="2589">
        <f t="shared" si="138"/>
        <v>0</v>
      </c>
      <c r="PH38" s="6048"/>
      <c r="PN38" s="2399"/>
      <c r="PO38" s="6025"/>
      <c r="PP38" s="6025"/>
      <c r="PQ38" s="1914"/>
      <c r="PR38" s="2010"/>
      <c r="PS38" s="6026"/>
      <c r="PV38" s="2892">
        <f t="shared" si="13"/>
        <v>0</v>
      </c>
      <c r="PX38" s="6028"/>
      <c r="PY38" s="715"/>
      <c r="PZ38" s="715"/>
      <c r="QA38" s="715"/>
      <c r="QB38" s="693"/>
      <c r="QC38" s="2035"/>
      <c r="QD38" s="1914"/>
      <c r="QE38" s="1914"/>
      <c r="QF38" s="1914"/>
      <c r="QG38" s="1914"/>
      <c r="QH38" s="2037"/>
      <c r="QI38" s="1914"/>
      <c r="QJ38" s="1914"/>
      <c r="QK38" s="1914"/>
      <c r="QL38" s="1914"/>
      <c r="QM38" s="2399"/>
      <c r="QV38" s="2399"/>
      <c r="RB38" s="715"/>
      <c r="RC38" s="715"/>
      <c r="RD38" s="715"/>
      <c r="RE38" s="715"/>
      <c r="RF38" s="6027"/>
      <c r="RG38" s="2037"/>
      <c r="RH38" s="1914"/>
      <c r="RI38" s="1914"/>
      <c r="RJ38" s="1914"/>
      <c r="RK38" s="2010"/>
      <c r="RM38" s="1873">
        <f t="shared" si="77"/>
        <v>0</v>
      </c>
      <c r="RN38" s="1873">
        <f t="shared" si="77"/>
        <v>0</v>
      </c>
      <c r="RO38" s="1873">
        <f t="shared" si="77"/>
        <v>0</v>
      </c>
      <c r="RQ38" s="2035"/>
      <c r="RR38" s="1914"/>
      <c r="RS38" s="1914"/>
      <c r="RT38" s="1914"/>
      <c r="RU38" s="2036"/>
      <c r="RV38" s="2035"/>
      <c r="RW38" s="1914"/>
      <c r="RX38" s="1914"/>
      <c r="RY38" s="1914"/>
      <c r="RZ38" s="593"/>
      <c r="SA38" s="2035"/>
      <c r="SB38" s="1914"/>
      <c r="SC38" s="1914"/>
      <c r="SD38" s="1914"/>
      <c r="SE38" s="593"/>
      <c r="SF38" s="2035"/>
      <c r="SG38" s="1914"/>
      <c r="SH38" s="1914"/>
      <c r="SI38" s="1914"/>
      <c r="SJ38" s="2010"/>
      <c r="SL38" s="3645"/>
      <c r="SM38" s="2897"/>
      <c r="SN38" s="2897"/>
      <c r="SO38" s="6029">
        <f t="shared" si="139"/>
        <v>0</v>
      </c>
      <c r="SP38" s="6048"/>
      <c r="SV38" s="5880"/>
      <c r="SW38" s="4965"/>
      <c r="SX38" s="4965"/>
      <c r="SY38" s="715"/>
      <c r="SZ38" s="6027"/>
      <c r="TA38" s="6028"/>
      <c r="TB38" s="5885"/>
      <c r="TC38" s="5885"/>
      <c r="TD38" s="372">
        <f t="shared" si="14"/>
        <v>0</v>
      </c>
      <c r="TE38" s="5885"/>
      <c r="TF38" s="6028"/>
      <c r="TG38" s="715"/>
      <c r="TH38" s="715"/>
      <c r="TI38" s="715"/>
      <c r="TJ38" s="693"/>
      <c r="TK38" s="2035"/>
      <c r="TL38" s="1914"/>
      <c r="TM38" s="1914"/>
      <c r="TN38" s="1914"/>
      <c r="TO38" s="1914"/>
      <c r="TP38" s="6030"/>
      <c r="TQ38" s="1914"/>
      <c r="TR38" s="1914"/>
      <c r="TS38" s="1914"/>
      <c r="TT38" s="1914"/>
      <c r="TU38" s="5889"/>
      <c r="UD38" s="2399"/>
      <c r="UJ38" s="715"/>
      <c r="UK38" s="715"/>
      <c r="UL38" s="715"/>
      <c r="UM38" s="715"/>
      <c r="UN38" s="6027"/>
      <c r="UO38" s="2037"/>
      <c r="UP38" s="1914"/>
      <c r="UQ38" s="1914"/>
      <c r="UR38" s="1914"/>
      <c r="US38" s="2010"/>
      <c r="UU38" s="622">
        <f t="shared" si="78"/>
        <v>0</v>
      </c>
      <c r="UV38" s="622">
        <f t="shared" si="78"/>
        <v>0</v>
      </c>
      <c r="UW38" s="622">
        <f t="shared" si="78"/>
        <v>0</v>
      </c>
      <c r="UY38" s="2035"/>
      <c r="UZ38" s="1914"/>
      <c r="VA38" s="1914"/>
      <c r="VB38" s="1914"/>
      <c r="VC38" s="2036"/>
      <c r="VD38" s="2035"/>
      <c r="VE38" s="1914"/>
      <c r="VF38" s="1914"/>
      <c r="VG38" s="1914"/>
      <c r="VH38" s="593"/>
      <c r="VI38" s="2035"/>
      <c r="VJ38" s="1914"/>
      <c r="VK38" s="1914"/>
      <c r="VL38" s="1914"/>
      <c r="VM38" s="593"/>
      <c r="VN38" s="2035"/>
      <c r="VO38" s="1914"/>
      <c r="VP38" s="1914"/>
      <c r="VQ38" s="1914"/>
      <c r="VR38" s="2010"/>
    </row>
    <row r="39" spans="1:590" s="122" customFormat="1" ht="13.45" hidden="1" x14ac:dyDescent="0.3">
      <c r="A39" s="2906"/>
      <c r="B39" s="6016" t="s">
        <v>53</v>
      </c>
      <c r="C39" s="6031" t="s">
        <v>54</v>
      </c>
      <c r="D39" s="5989" t="s">
        <v>55</v>
      </c>
      <c r="E39" s="6032"/>
      <c r="F39" s="6032"/>
      <c r="G39" s="5965">
        <v>551000</v>
      </c>
      <c r="H39" s="1775"/>
      <c r="I39" s="1776"/>
      <c r="J39" s="1776"/>
      <c r="K39" s="1776"/>
      <c r="L39" s="1777"/>
      <c r="M39" s="1778"/>
      <c r="N39" s="1779"/>
      <c r="O39" s="1779"/>
      <c r="P39" s="1779"/>
      <c r="Q39" s="1780"/>
      <c r="R39" s="1780"/>
      <c r="S39" s="1776"/>
      <c r="T39" s="1776"/>
      <c r="U39" s="1776"/>
      <c r="V39" s="1777"/>
      <c r="W39" s="1776"/>
      <c r="X39" s="1776"/>
      <c r="Y39" s="1781"/>
      <c r="Z39" s="1776"/>
      <c r="AA39" s="1782"/>
      <c r="AB39" s="1781"/>
      <c r="AC39" s="1783"/>
      <c r="AD39" s="1784"/>
      <c r="AE39" s="1776"/>
      <c r="AF39" s="1777"/>
      <c r="AG39" s="1785"/>
      <c r="AH39" s="1776"/>
      <c r="AI39" s="1776"/>
      <c r="AJ39" s="1786"/>
      <c r="AK39" s="1777"/>
      <c r="AL39" s="1785"/>
      <c r="AM39" s="1776"/>
      <c r="AN39" s="1776"/>
      <c r="AO39" s="1781"/>
      <c r="AP39" s="1777"/>
      <c r="AQ39" s="1787"/>
      <c r="AR39" s="1788"/>
      <c r="AS39" s="1788"/>
      <c r="AT39" s="1789"/>
      <c r="AU39" s="1777"/>
      <c r="AV39" s="1790"/>
      <c r="AW39" s="1781"/>
      <c r="AX39" s="1781"/>
      <c r="AY39" s="1781"/>
      <c r="AZ39" s="1777"/>
      <c r="BA39" s="1791"/>
      <c r="BB39" s="1792"/>
      <c r="BC39" s="1783"/>
      <c r="BD39" s="1781"/>
      <c r="BE39" s="1780"/>
      <c r="BF39" s="1790"/>
      <c r="BG39" s="1781"/>
      <c r="BH39" s="1776"/>
      <c r="BI39" s="1781"/>
      <c r="BJ39" s="1793"/>
      <c r="BK39" s="1790"/>
      <c r="BL39" s="1781"/>
      <c r="BM39" s="1776"/>
      <c r="BN39" s="1781"/>
      <c r="BO39" s="1794"/>
      <c r="BP39" s="1795"/>
      <c r="BQ39" s="1796"/>
      <c r="BR39" s="1786"/>
      <c r="BS39" s="1797"/>
      <c r="BT39" s="1798"/>
      <c r="BU39" s="1786"/>
      <c r="BV39" s="1786"/>
      <c r="BW39" s="1799"/>
      <c r="BX39" s="1800"/>
      <c r="BY39" s="1786"/>
      <c r="BZ39" s="1786"/>
      <c r="CA39" s="1801"/>
      <c r="CB39" s="1802"/>
      <c r="CC39" s="1786"/>
      <c r="CD39" s="1786"/>
      <c r="CE39" s="1803"/>
      <c r="CF39" s="1800"/>
      <c r="CG39" s="1776"/>
      <c r="CH39" s="1776"/>
      <c r="CI39" s="1801"/>
      <c r="CJ39" s="1804"/>
      <c r="CK39" s="1776"/>
      <c r="CL39" s="1776"/>
      <c r="CM39" s="1776"/>
      <c r="CN39" s="1799"/>
      <c r="CO39" s="1804"/>
      <c r="CP39" s="1776"/>
      <c r="CQ39" s="1776"/>
      <c r="CR39" s="1776"/>
      <c r="CS39" s="1799"/>
      <c r="CT39" s="1804"/>
      <c r="CU39" s="1776"/>
      <c r="CV39" s="1776"/>
      <c r="CW39" s="1776"/>
      <c r="CX39" s="1799"/>
      <c r="CY39" s="1804"/>
      <c r="CZ39" s="1776"/>
      <c r="DA39" s="1776"/>
      <c r="DB39" s="1776"/>
      <c r="DC39" s="1799"/>
      <c r="DD39" s="1805"/>
      <c r="DE39" s="1806"/>
      <c r="DF39" s="1806"/>
      <c r="DG39" s="1783"/>
      <c r="DH39" s="1807"/>
      <c r="DI39" s="1804"/>
      <c r="DJ39" s="1806"/>
      <c r="DK39" s="1806"/>
      <c r="DL39" s="1776"/>
      <c r="DM39" s="1807"/>
      <c r="DN39" s="1804"/>
      <c r="DO39" s="1776"/>
      <c r="DP39" s="1776"/>
      <c r="DQ39" s="1776"/>
      <c r="DR39" s="1807"/>
      <c r="DS39" s="1808"/>
      <c r="DT39" s="1783"/>
      <c r="DU39" s="1783"/>
      <c r="DV39" s="1776"/>
      <c r="DW39" s="1799"/>
      <c r="DX39" s="1804"/>
      <c r="DY39" s="1776"/>
      <c r="DZ39" s="1776"/>
      <c r="EA39" s="1776"/>
      <c r="EB39" s="1807"/>
      <c r="EC39" s="1804"/>
      <c r="ED39" s="1776"/>
      <c r="EE39" s="1776"/>
      <c r="EF39" s="1786"/>
      <c r="EG39" s="1807"/>
      <c r="EH39" s="1804"/>
      <c r="EI39" s="1776"/>
      <c r="EJ39" s="1776"/>
      <c r="EK39" s="1776"/>
      <c r="EL39" s="1807"/>
      <c r="EM39" s="1804"/>
      <c r="EN39" s="1776"/>
      <c r="EO39" s="1776"/>
      <c r="EP39" s="1776"/>
      <c r="EQ39" s="1807"/>
      <c r="ER39" s="2402">
        <f t="shared" si="38"/>
        <v>0</v>
      </c>
      <c r="ES39" s="2403">
        <f t="shared" si="39"/>
        <v>0</v>
      </c>
      <c r="ET39" s="2403">
        <f t="shared" si="39"/>
        <v>0</v>
      </c>
      <c r="EU39" s="2403">
        <f t="shared" si="39"/>
        <v>0</v>
      </c>
      <c r="EV39" s="2404" t="e">
        <f t="shared" si="40"/>
        <v>#DIV/0!</v>
      </c>
      <c r="EW39" s="1809"/>
      <c r="EX39" s="1810"/>
      <c r="EY39" s="1810"/>
      <c r="EZ39" s="1811"/>
      <c r="FA39" s="1812"/>
      <c r="FB39" s="1810"/>
      <c r="FC39" s="1810"/>
      <c r="FD39" s="1813"/>
      <c r="FE39" s="1814"/>
      <c r="FF39" s="1786"/>
      <c r="FG39" s="1786"/>
      <c r="FH39" s="1815"/>
      <c r="FI39" s="1816"/>
      <c r="FJ39" s="1814"/>
      <c r="FK39" s="1786"/>
      <c r="FL39" s="1786"/>
      <c r="FM39" s="1799"/>
      <c r="FN39" s="1817"/>
      <c r="FO39" s="1818"/>
      <c r="FP39" s="1818"/>
      <c r="FQ39" s="1818"/>
      <c r="FR39" s="1819"/>
      <c r="FS39" s="1820"/>
      <c r="FT39" s="1818"/>
      <c r="FU39" s="1818"/>
      <c r="FV39" s="1818"/>
      <c r="FW39" s="1821"/>
      <c r="FX39" s="1820"/>
      <c r="FY39" s="1822"/>
      <c r="FZ39" s="1822"/>
      <c r="GA39" s="1818"/>
      <c r="GB39" s="1821"/>
      <c r="GC39" s="1823"/>
      <c r="GD39" s="715"/>
      <c r="GE39" s="1824"/>
      <c r="GF39" s="1818"/>
      <c r="GG39" s="1821"/>
      <c r="GH39" s="1823"/>
      <c r="GI39" s="715"/>
      <c r="GJ39" s="1824"/>
      <c r="GK39" s="1818"/>
      <c r="GL39" s="1821"/>
      <c r="GM39" s="1823"/>
      <c r="GN39" s="715"/>
      <c r="GO39" s="1824"/>
      <c r="GP39" s="1818"/>
      <c r="GQ39" s="1821"/>
      <c r="GR39" s="1823"/>
      <c r="GS39" s="715"/>
      <c r="GT39" s="1824"/>
      <c r="GU39" s="1818"/>
      <c r="GV39" s="1821"/>
      <c r="GW39" s="1823"/>
      <c r="GX39" s="715"/>
      <c r="GY39" s="1824"/>
      <c r="GZ39" s="1818"/>
      <c r="HA39" s="1821"/>
      <c r="HB39" s="1823"/>
      <c r="HC39" s="715"/>
      <c r="HD39" s="1824"/>
      <c r="HE39" s="1818"/>
      <c r="HF39" s="1821"/>
      <c r="HG39" s="1823"/>
      <c r="HH39" s="715"/>
      <c r="HI39" s="1824"/>
      <c r="HJ39" s="1818"/>
      <c r="HK39" s="1821"/>
      <c r="HL39" s="1823"/>
      <c r="HM39" s="715"/>
      <c r="HN39" s="1824"/>
      <c r="HO39" s="1818"/>
      <c r="HP39" s="1821"/>
      <c r="HQ39" s="654"/>
      <c r="HR39" s="1248"/>
      <c r="HS39" s="1248"/>
      <c r="HT39" s="1248"/>
      <c r="HU39" s="1826"/>
      <c r="HV39" s="5941"/>
      <c r="HW39" s="622"/>
      <c r="HX39" s="622"/>
      <c r="HY39" s="622"/>
      <c r="HZ39" s="1828"/>
      <c r="IA39" s="1829"/>
      <c r="IB39" s="1830"/>
      <c r="IC39" s="1830"/>
      <c r="ID39" s="1831"/>
      <c r="IE39" s="1832"/>
      <c r="IF39" s="1833"/>
      <c r="IG39" s="1834"/>
      <c r="IH39" s="1831"/>
      <c r="II39" s="1835"/>
      <c r="IJ39" s="1836"/>
      <c r="IK39" s="1836"/>
      <c r="IL39" s="239"/>
      <c r="IM39" s="1837"/>
      <c r="IN39" s="1836"/>
      <c r="IO39" s="1836"/>
      <c r="IP39" s="1838"/>
      <c r="IQ39" s="1839"/>
      <c r="IR39" s="1840"/>
      <c r="IS39" s="1818"/>
      <c r="IT39" s="1818"/>
      <c r="IU39" s="1818"/>
      <c r="IV39" s="1819"/>
      <c r="IW39" s="1820"/>
      <c r="IX39" s="1818"/>
      <c r="IY39" s="1818"/>
      <c r="IZ39" s="1818"/>
      <c r="JA39" s="1821"/>
      <c r="JB39" s="1984"/>
      <c r="JC39" s="1985"/>
      <c r="JD39" s="1986"/>
      <c r="JE39" s="1818"/>
      <c r="JF39" s="1821"/>
      <c r="JG39" s="1981">
        <v>1</v>
      </c>
      <c r="JH39" s="715">
        <v>39326</v>
      </c>
      <c r="JI39" s="1824">
        <v>71096</v>
      </c>
      <c r="JJ39" s="1822">
        <f t="shared" si="67"/>
        <v>31770</v>
      </c>
      <c r="JK39" s="1821">
        <f t="shared" si="109"/>
        <v>0.44686058287386071</v>
      </c>
      <c r="JL39" s="1823"/>
      <c r="JM39" s="1824"/>
      <c r="JN39" s="1824"/>
      <c r="JO39" s="1996"/>
      <c r="JP39" s="1821"/>
      <c r="JQ39" s="6013"/>
      <c r="JR39" s="6049"/>
      <c r="JS39" s="1248"/>
      <c r="JT39" s="1996">
        <f t="shared" si="129"/>
        <v>0</v>
      </c>
      <c r="JU39" s="1821"/>
      <c r="JV39" s="1981"/>
      <c r="JW39" s="715"/>
      <c r="JX39" s="1248"/>
      <c r="JY39" s="1996">
        <f t="shared" si="141"/>
        <v>0</v>
      </c>
      <c r="JZ39" s="1821"/>
      <c r="KA39" s="1981"/>
      <c r="KB39" s="1248"/>
      <c r="KC39" s="1982"/>
      <c r="KD39" s="1983">
        <f t="shared" si="142"/>
        <v>0</v>
      </c>
      <c r="KE39" s="1952"/>
      <c r="KF39" s="1981"/>
      <c r="KG39" s="2118">
        <v>0</v>
      </c>
      <c r="KH39" s="1824">
        <v>0</v>
      </c>
      <c r="KI39" s="1818">
        <f>KH39-KG39</f>
        <v>0</v>
      </c>
      <c r="KJ39" s="1821"/>
      <c r="KK39" s="1990"/>
      <c r="KL39" s="1904"/>
      <c r="KM39" s="1904"/>
      <c r="KN39" s="2023">
        <f t="shared" si="130"/>
        <v>0</v>
      </c>
      <c r="KO39" s="2024"/>
      <c r="KP39" s="1823"/>
      <c r="KQ39" s="1982"/>
      <c r="KR39" s="1248"/>
      <c r="KS39" s="1996"/>
      <c r="KT39" s="1819"/>
      <c r="KU39" s="1905"/>
      <c r="KV39" s="1248"/>
      <c r="KW39" s="1248"/>
      <c r="KX39" s="1248">
        <f t="shared" ref="KX39:KX57" si="145">KW39-KV39</f>
        <v>0</v>
      </c>
      <c r="KY39" s="77"/>
      <c r="KZ39" s="1832"/>
      <c r="LA39" s="622">
        <f t="shared" si="144"/>
        <v>39326</v>
      </c>
      <c r="LB39" s="622">
        <f t="shared" si="144"/>
        <v>71096</v>
      </c>
      <c r="LC39" s="622">
        <f t="shared" si="144"/>
        <v>31770</v>
      </c>
      <c r="LD39" s="239">
        <f>LC39/LB39</f>
        <v>0.44686058287386071</v>
      </c>
      <c r="LE39" s="1834">
        <f t="shared" si="71"/>
        <v>0</v>
      </c>
      <c r="LF39" s="1830">
        <f t="shared" si="72"/>
        <v>0</v>
      </c>
      <c r="LG39" s="1830">
        <f t="shared" si="72"/>
        <v>0</v>
      </c>
      <c r="LH39" s="1831" t="e">
        <f t="shared" si="131"/>
        <v>#DIV/0!</v>
      </c>
      <c r="LI39" s="1832">
        <f t="shared" si="132"/>
        <v>0.33333333333333331</v>
      </c>
      <c r="LJ39" s="1833">
        <f t="shared" si="133"/>
        <v>71096</v>
      </c>
      <c r="LK39" s="1834">
        <f t="shared" si="133"/>
        <v>31770</v>
      </c>
      <c r="LL39" s="1831">
        <f t="shared" si="134"/>
        <v>0.44686058287386071</v>
      </c>
      <c r="LM39" s="1835">
        <f t="shared" si="135"/>
        <v>0</v>
      </c>
      <c r="LN39" s="1836">
        <f t="shared" si="136"/>
        <v>0</v>
      </c>
      <c r="LO39" s="1836">
        <f t="shared" si="136"/>
        <v>0</v>
      </c>
      <c r="LP39" s="239"/>
      <c r="LQ39" s="1837">
        <f t="shared" si="140"/>
        <v>0</v>
      </c>
      <c r="LR39" s="1836">
        <f t="shared" si="76"/>
        <v>0</v>
      </c>
      <c r="LS39" s="1836">
        <f t="shared" si="76"/>
        <v>0</v>
      </c>
      <c r="LT39" s="1838"/>
      <c r="LV39" s="3645"/>
      <c r="LW39" s="2897"/>
      <c r="LX39" s="2897"/>
      <c r="LY39" s="2589">
        <f t="shared" si="137"/>
        <v>0</v>
      </c>
      <c r="LZ39" s="6033"/>
      <c r="MF39" s="5880"/>
      <c r="MG39" s="4965"/>
      <c r="MH39" s="4965"/>
      <c r="MI39" s="1839"/>
      <c r="MJ39" s="1660"/>
      <c r="MK39" s="5881"/>
      <c r="MN39" s="372">
        <f t="shared" si="12"/>
        <v>0</v>
      </c>
      <c r="MP39" s="5881"/>
      <c r="MQ39" s="1839"/>
      <c r="MR39" s="1839"/>
      <c r="MS39" s="1839"/>
      <c r="MT39" s="693"/>
      <c r="MU39" s="2035"/>
      <c r="MV39" s="1914"/>
      <c r="MW39" s="1914"/>
      <c r="MX39" s="1914"/>
      <c r="MY39" s="5882"/>
      <c r="MZ39" s="1659"/>
      <c r="NA39" s="1839"/>
      <c r="NB39" s="1839"/>
      <c r="NC39" s="1839"/>
      <c r="ND39" s="1839"/>
      <c r="NO39" s="5883"/>
      <c r="NP39" s="2425"/>
      <c r="NQ39" s="2425"/>
      <c r="NR39" s="5883"/>
      <c r="NT39" s="1839"/>
      <c r="NU39" s="1839"/>
      <c r="NV39" s="715"/>
      <c r="NW39" s="1839"/>
      <c r="NX39" s="1660"/>
      <c r="NY39" s="1659"/>
      <c r="NZ39" s="715"/>
      <c r="OA39" s="715"/>
      <c r="OB39" s="1839"/>
      <c r="OC39" s="1660"/>
      <c r="OE39" s="5885"/>
      <c r="OF39" s="5885"/>
      <c r="OG39" s="715"/>
      <c r="OH39" s="1660"/>
      <c r="OI39" s="1659"/>
      <c r="OJ39" s="1839"/>
      <c r="OK39" s="1839"/>
      <c r="OL39" s="1839"/>
      <c r="OM39" s="693"/>
      <c r="ON39" s="1659"/>
      <c r="OO39" s="715"/>
      <c r="OP39" s="715"/>
      <c r="OQ39" s="715"/>
      <c r="OR39" s="705"/>
      <c r="OS39" s="1659"/>
      <c r="OT39" s="1839"/>
      <c r="OU39" s="1839"/>
      <c r="OV39" s="1839"/>
      <c r="OW39" s="705"/>
      <c r="OX39" s="1659"/>
      <c r="OY39" s="1839"/>
      <c r="OZ39" s="1839"/>
      <c r="PA39" s="1839"/>
      <c r="PB39" s="1660"/>
      <c r="PD39" s="3645"/>
      <c r="PE39" s="2897"/>
      <c r="PF39" s="2897"/>
      <c r="PG39" s="2589">
        <f t="shared" si="138"/>
        <v>0</v>
      </c>
      <c r="PH39" s="6033"/>
      <c r="PN39" s="5880"/>
      <c r="PO39" s="4965"/>
      <c r="PP39" s="4965"/>
      <c r="PQ39" s="1839"/>
      <c r="PR39" s="1660"/>
      <c r="PS39" s="5886"/>
      <c r="PT39" s="5883"/>
      <c r="PU39" s="5883"/>
      <c r="PV39" s="2892">
        <f t="shared" si="13"/>
        <v>0</v>
      </c>
      <c r="PW39" s="5883"/>
      <c r="PX39" s="5881"/>
      <c r="PY39" s="1839"/>
      <c r="PZ39" s="1839"/>
      <c r="QA39" s="1839"/>
      <c r="QB39" s="693"/>
      <c r="QC39" s="2035"/>
      <c r="QD39" s="1914"/>
      <c r="QE39" s="1914"/>
      <c r="QF39" s="1914"/>
      <c r="QG39" s="5882"/>
      <c r="QH39" s="1910"/>
      <c r="QI39" s="1839"/>
      <c r="QJ39" s="1839"/>
      <c r="QK39" s="1839"/>
      <c r="QL39" s="1839"/>
      <c r="QM39" s="5880"/>
      <c r="QR39" s="5883"/>
      <c r="QS39" s="5883"/>
      <c r="QT39" s="5883"/>
      <c r="QU39" s="5883"/>
      <c r="QV39" s="1677"/>
      <c r="QW39" s="5883"/>
      <c r="QX39" s="2425"/>
      <c r="QY39" s="2425"/>
      <c r="QZ39" s="5883"/>
      <c r="RA39" s="5883"/>
      <c r="RB39" s="1839"/>
      <c r="RC39" s="1839"/>
      <c r="RD39" s="715"/>
      <c r="RE39" s="1839"/>
      <c r="RF39" s="1660"/>
      <c r="RG39" s="2037"/>
      <c r="RH39" s="1914"/>
      <c r="RI39" s="1914"/>
      <c r="RJ39" s="5882"/>
      <c r="RK39" s="1660"/>
      <c r="RL39" s="5883"/>
      <c r="RM39" s="1873">
        <f t="shared" si="77"/>
        <v>0</v>
      </c>
      <c r="RN39" s="1873">
        <f t="shared" si="77"/>
        <v>0</v>
      </c>
      <c r="RO39" s="1873">
        <f t="shared" si="77"/>
        <v>0</v>
      </c>
      <c r="RP39" s="5883"/>
      <c r="RQ39" s="1659"/>
      <c r="RR39" s="1839"/>
      <c r="RS39" s="1839"/>
      <c r="RT39" s="1839"/>
      <c r="RU39" s="693"/>
      <c r="RV39" s="1659"/>
      <c r="RW39" s="715"/>
      <c r="RX39" s="715"/>
      <c r="RY39" s="715"/>
      <c r="RZ39" s="705"/>
      <c r="SA39" s="1659"/>
      <c r="SB39" s="1839"/>
      <c r="SC39" s="1839"/>
      <c r="SD39" s="1839"/>
      <c r="SE39" s="705"/>
      <c r="SF39" s="1659"/>
      <c r="SG39" s="1839"/>
      <c r="SH39" s="1839"/>
      <c r="SI39" s="1839"/>
      <c r="SJ39" s="1660"/>
      <c r="SL39" s="3645"/>
      <c r="SM39" s="2897"/>
      <c r="SN39" s="2897"/>
      <c r="SO39" s="6029">
        <f t="shared" si="139"/>
        <v>0</v>
      </c>
      <c r="SP39" s="6034"/>
      <c r="SQ39" s="5883"/>
      <c r="SR39" s="5883"/>
      <c r="SS39" s="5883"/>
      <c r="ST39" s="5883"/>
      <c r="SU39" s="5883"/>
      <c r="SV39" s="5880"/>
      <c r="SW39" s="4965"/>
      <c r="SX39" s="4965"/>
      <c r="SY39" s="1839"/>
      <c r="SZ39" s="1660"/>
      <c r="TA39" s="5881"/>
      <c r="TD39" s="372">
        <f t="shared" si="14"/>
        <v>0</v>
      </c>
      <c r="TF39" s="5881"/>
      <c r="TG39" s="1839"/>
      <c r="TH39" s="1839"/>
      <c r="TI39" s="1839"/>
      <c r="TJ39" s="693"/>
      <c r="TK39" s="2035"/>
      <c r="TL39" s="1914"/>
      <c r="TM39" s="1914"/>
      <c r="TN39" s="1914"/>
      <c r="TO39" s="5882"/>
      <c r="TP39" s="2407"/>
      <c r="TQ39" s="1839"/>
      <c r="TR39" s="1839"/>
      <c r="TS39" s="1839"/>
      <c r="TT39" s="1839"/>
      <c r="TU39" s="5889"/>
      <c r="TV39" s="5883"/>
      <c r="TW39" s="5883"/>
      <c r="TX39" s="5883"/>
      <c r="TY39" s="5883"/>
      <c r="TZ39" s="5883"/>
      <c r="UA39" s="5883"/>
      <c r="UB39" s="5883"/>
      <c r="UC39" s="5883"/>
      <c r="UD39" s="1677"/>
      <c r="UE39" s="5883"/>
      <c r="UF39" s="2425"/>
      <c r="UG39" s="2425"/>
      <c r="UH39" s="5883"/>
      <c r="UI39" s="5883"/>
      <c r="UJ39" s="1839"/>
      <c r="UK39" s="1839"/>
      <c r="UL39" s="715"/>
      <c r="UM39" s="1839"/>
      <c r="UN39" s="1660"/>
      <c r="UO39" s="2037"/>
      <c r="UP39" s="1914"/>
      <c r="UQ39" s="1914"/>
      <c r="UR39" s="5882"/>
      <c r="US39" s="1660"/>
      <c r="UU39" s="622">
        <f t="shared" si="78"/>
        <v>0</v>
      </c>
      <c r="UV39" s="622">
        <f t="shared" si="78"/>
        <v>0</v>
      </c>
      <c r="UW39" s="622">
        <f t="shared" si="78"/>
        <v>0</v>
      </c>
      <c r="UY39" s="1659"/>
      <c r="UZ39" s="1839"/>
      <c r="VA39" s="1839"/>
      <c r="VB39" s="1839"/>
      <c r="VC39" s="693"/>
      <c r="VD39" s="1659"/>
      <c r="VE39" s="715"/>
      <c r="VF39" s="715"/>
      <c r="VG39" s="715"/>
      <c r="VH39" s="705"/>
      <c r="VI39" s="1659"/>
      <c r="VJ39" s="1839"/>
      <c r="VK39" s="1839"/>
      <c r="VL39" s="1839"/>
      <c r="VM39" s="705"/>
      <c r="VN39" s="1659"/>
      <c r="VO39" s="1839"/>
      <c r="VP39" s="1839"/>
      <c r="VQ39" s="1839"/>
      <c r="VR39" s="1660"/>
    </row>
    <row r="40" spans="1:590" s="122" customFormat="1" ht="13.45" hidden="1" x14ac:dyDescent="0.3">
      <c r="A40" s="2906"/>
      <c r="B40" s="6016" t="s">
        <v>53</v>
      </c>
      <c r="C40" s="6050" t="s">
        <v>791</v>
      </c>
      <c r="D40" s="5989" t="s">
        <v>792</v>
      </c>
      <c r="E40" s="5973">
        <v>43806</v>
      </c>
      <c r="F40" s="5973">
        <v>43896</v>
      </c>
      <c r="G40" s="5974">
        <v>631000</v>
      </c>
      <c r="H40" s="1775">
        <v>28</v>
      </c>
      <c r="I40" s="1783">
        <f>572313+42300+18000</f>
        <v>632613</v>
      </c>
      <c r="J40" s="1783">
        <v>656291.67000000004</v>
      </c>
      <c r="K40" s="1776">
        <f>J40-I40</f>
        <v>23678.670000000042</v>
      </c>
      <c r="L40" s="1777">
        <f>K40/J40</f>
        <v>3.6079491912490741E-2</v>
      </c>
      <c r="M40" s="5986">
        <v>26</v>
      </c>
      <c r="N40" s="1779">
        <v>587919</v>
      </c>
      <c r="O40" s="1779">
        <v>627792</v>
      </c>
      <c r="P40" s="1779">
        <f>O40-N40</f>
        <v>39873</v>
      </c>
      <c r="Q40" s="1780">
        <f>P40/O40</f>
        <v>6.3513074394066824E-2</v>
      </c>
      <c r="R40" s="5991">
        <v>25</v>
      </c>
      <c r="S40" s="1783">
        <f>417543+140118</f>
        <v>557661</v>
      </c>
      <c r="T40" s="1776">
        <f>125847+419400</f>
        <v>545247</v>
      </c>
      <c r="U40" s="1776">
        <f>T40-S40</f>
        <v>-12414</v>
      </c>
      <c r="V40" s="1777">
        <f>U40/T40</f>
        <v>-2.2767663095807956E-2</v>
      </c>
      <c r="W40" s="5976">
        <v>25</v>
      </c>
      <c r="X40" s="1783">
        <v>514245</v>
      </c>
      <c r="Y40" s="5995">
        <v>476413.2</v>
      </c>
      <c r="Z40" s="1776">
        <f>Y40-X40</f>
        <v>-37831.799999999988</v>
      </c>
      <c r="AA40" s="1777">
        <v>0</v>
      </c>
      <c r="AB40" s="1785">
        <v>15</v>
      </c>
      <c r="AC40" s="1776">
        <v>298998</v>
      </c>
      <c r="AD40" s="1776">
        <v>279926.40000000002</v>
      </c>
      <c r="AE40" s="1776">
        <f>AD40-AC40</f>
        <v>-19071.599999999977</v>
      </c>
      <c r="AF40" s="1777">
        <v>0</v>
      </c>
      <c r="AG40" s="1785">
        <v>12</v>
      </c>
      <c r="AH40" s="1776">
        <f>238725+11952</f>
        <v>250677</v>
      </c>
      <c r="AI40" s="1776">
        <v>280599.3</v>
      </c>
      <c r="AJ40" s="1786">
        <f>AI40-AH40</f>
        <v>29922.299999999988</v>
      </c>
      <c r="AK40" s="1777">
        <f>AJ40/AI40</f>
        <v>0.1066371156307232</v>
      </c>
      <c r="AL40" s="1785">
        <v>8</v>
      </c>
      <c r="AM40" s="1781">
        <v>193478</v>
      </c>
      <c r="AN40" s="1781">
        <v>206580.3</v>
      </c>
      <c r="AO40" s="1781">
        <f>AN40-AM40</f>
        <v>13102.299999999988</v>
      </c>
      <c r="AP40" s="1777">
        <f>AO40/AN40</f>
        <v>6.342473120621854E-2</v>
      </c>
      <c r="AQ40" s="1785">
        <v>8</v>
      </c>
      <c r="AR40" s="1781">
        <v>172091</v>
      </c>
      <c r="AS40" s="1781">
        <v>188412</v>
      </c>
      <c r="AT40" s="1781">
        <f>AS40-AR40</f>
        <v>16321</v>
      </c>
      <c r="AU40" s="1777">
        <f>AT40/AS40</f>
        <v>8.6623994225420886E-2</v>
      </c>
      <c r="AV40" s="1790">
        <v>5</v>
      </c>
      <c r="AW40" s="1781">
        <v>149511</v>
      </c>
      <c r="AX40" s="1781">
        <v>166879</v>
      </c>
      <c r="AY40" s="1781">
        <f>AX40-AW40</f>
        <v>17368</v>
      </c>
      <c r="AZ40" s="1777">
        <f>AY40/AX40</f>
        <v>0.10407540793029681</v>
      </c>
      <c r="BA40" s="1785">
        <v>6</v>
      </c>
      <c r="BB40" s="1783">
        <v>105155</v>
      </c>
      <c r="BC40" s="1776">
        <v>113720.1</v>
      </c>
      <c r="BD40" s="1781">
        <f>BC40-BB40</f>
        <v>8565.1000000000058</v>
      </c>
      <c r="BE40" s="1780">
        <f>BD40/BC40</f>
        <v>7.5317380128930647E-2</v>
      </c>
      <c r="BF40" s="1785">
        <v>5</v>
      </c>
      <c r="BG40" s="1776">
        <v>108422</v>
      </c>
      <c r="BH40" s="1776">
        <v>122467.8</v>
      </c>
      <c r="BI40" s="1781">
        <f>BH40-BG40</f>
        <v>14045.800000000003</v>
      </c>
      <c r="BJ40" s="1780">
        <f>BI40/BH40</f>
        <v>0.11468973885380486</v>
      </c>
      <c r="BK40" s="1785">
        <v>5</v>
      </c>
      <c r="BL40" s="1783">
        <f>94934+13500</f>
        <v>108434</v>
      </c>
      <c r="BM40" s="1783">
        <v>122467.8</v>
      </c>
      <c r="BN40" s="1781">
        <f>BM40-BL40</f>
        <v>14033.800000000003</v>
      </c>
      <c r="BO40" s="5978">
        <f>BN40/BM40</f>
        <v>0.11459175391409009</v>
      </c>
      <c r="BP40" s="1937">
        <f>(AV40+AQ40+AL40+AG40+AB40+W40+R40+M40+H40+BA40+BF40+BK40)/12</f>
        <v>14</v>
      </c>
      <c r="BQ40" s="1796">
        <f>AW40+AR40+AM40+AH40+AC40+X40+S40+N40+I40+BB40+BG40+BL40</f>
        <v>3679204</v>
      </c>
      <c r="BR40" s="1786">
        <f>AX40+AS40+AN40+AI40+AD40+Y40+T40+O40+J40+BC40+BH40+BM40</f>
        <v>3786796.57</v>
      </c>
      <c r="BS40" s="1797">
        <f>BR40-BQ40</f>
        <v>107592.56999999983</v>
      </c>
      <c r="BT40" s="1798">
        <f>H40+M40+R40</f>
        <v>79</v>
      </c>
      <c r="BU40" s="1786">
        <f>J40+O40+T40</f>
        <v>1829330.67</v>
      </c>
      <c r="BV40" s="1786">
        <f>K40+P40+U40</f>
        <v>51137.670000000042</v>
      </c>
      <c r="BW40" s="1799">
        <f>BV40/BU40</f>
        <v>2.7954306369334551E-2</v>
      </c>
      <c r="BX40" s="1800">
        <f>W40+AB40+AG40</f>
        <v>52</v>
      </c>
      <c r="BY40" s="1786">
        <f>Y40+AD40+AI40</f>
        <v>1036938.9000000001</v>
      </c>
      <c r="BZ40" s="1786">
        <f>Z40+AE40+AJ40</f>
        <v>-26981.099999999977</v>
      </c>
      <c r="CA40" s="1801"/>
      <c r="CB40" s="1802">
        <f>AL40+AQ40+AV40</f>
        <v>21</v>
      </c>
      <c r="CC40" s="1786">
        <f>AN40+AS40+AX40</f>
        <v>561871.30000000005</v>
      </c>
      <c r="CD40" s="1786">
        <f>AO40+AT40+AY40</f>
        <v>46791.299999999988</v>
      </c>
      <c r="CE40" s="1803"/>
      <c r="CF40" s="1800">
        <f>BA40+BF40+BK40</f>
        <v>16</v>
      </c>
      <c r="CG40" s="1776">
        <f>BC40+BH40+BM40</f>
        <v>358655.7</v>
      </c>
      <c r="CH40" s="1776">
        <f>BD40+BI40+BN40</f>
        <v>36644.700000000012</v>
      </c>
      <c r="CI40" s="1801"/>
      <c r="CJ40" s="1808">
        <v>5</v>
      </c>
      <c r="CK40" s="1783">
        <f>101351+13500</f>
        <v>114851</v>
      </c>
      <c r="CL40" s="1783">
        <v>168897.9</v>
      </c>
      <c r="CM40" s="1776">
        <f>CL40-CK40</f>
        <v>54046.899999999994</v>
      </c>
      <c r="CN40" s="1799">
        <f>CM40/CL40</f>
        <v>0.31999746592467992</v>
      </c>
      <c r="CO40" s="1804">
        <v>7</v>
      </c>
      <c r="CP40" s="1776">
        <v>154976</v>
      </c>
      <c r="CQ40" s="1776">
        <v>198505.5</v>
      </c>
      <c r="CR40" s="1776">
        <f>CQ40-CP40</f>
        <v>43529.5</v>
      </c>
      <c r="CS40" s="1799">
        <f>CR40/CQ40</f>
        <v>0.21928611549805924</v>
      </c>
      <c r="CT40" s="1804">
        <v>6</v>
      </c>
      <c r="CU40" s="1783">
        <f>162467+13500</f>
        <v>175967</v>
      </c>
      <c r="CV40" s="6000">
        <v>222729.9</v>
      </c>
      <c r="CW40" s="1776">
        <f>CV40-CU40</f>
        <v>46762.899999999994</v>
      </c>
      <c r="CX40" s="1799">
        <f>CW40/CV40</f>
        <v>0.20995340095784173</v>
      </c>
      <c r="CY40" s="1808">
        <f>5+1</f>
        <v>6</v>
      </c>
      <c r="CZ40" s="1783">
        <f>142436+13500</f>
        <v>155936</v>
      </c>
      <c r="DA40" s="1783">
        <v>285982.5</v>
      </c>
      <c r="DB40" s="1776">
        <f>DA40-CZ40</f>
        <v>130046.5</v>
      </c>
      <c r="DC40" s="1799">
        <f>DB40/DA40</f>
        <v>0.45473586670513055</v>
      </c>
      <c r="DD40" s="1808">
        <f>7+1</f>
        <v>8</v>
      </c>
      <c r="DE40" s="1783">
        <f>198677+13500</f>
        <v>212177</v>
      </c>
      <c r="DF40" s="1783">
        <v>275216.09999999998</v>
      </c>
      <c r="DG40" s="1783">
        <f>DF40-DE40</f>
        <v>63039.099999999977</v>
      </c>
      <c r="DH40" s="1807">
        <f>DG40/DF40</f>
        <v>0.22905309682100713</v>
      </c>
      <c r="DI40" s="1808">
        <f>8+1</f>
        <v>9</v>
      </c>
      <c r="DJ40" s="2577">
        <f>236046+13500</f>
        <v>249546</v>
      </c>
      <c r="DK40" s="2577">
        <v>322319.09999999998</v>
      </c>
      <c r="DL40" s="1776">
        <f>DK40-DJ40</f>
        <v>72773.099999999977</v>
      </c>
      <c r="DM40" s="1807">
        <f>DL40/DK40</f>
        <v>0.22577966989855699</v>
      </c>
      <c r="DN40" s="1808">
        <v>10</v>
      </c>
      <c r="DO40" s="2577">
        <v>283834</v>
      </c>
      <c r="DP40" s="2577">
        <v>365384</v>
      </c>
      <c r="DQ40" s="1776">
        <f>DP40-DO40</f>
        <v>81550</v>
      </c>
      <c r="DR40" s="1807">
        <f>DQ40/DP40</f>
        <v>0.22318984958290455</v>
      </c>
      <c r="DS40" s="1808">
        <v>9</v>
      </c>
      <c r="DT40" s="2577">
        <f>271502+9500</f>
        <v>281002</v>
      </c>
      <c r="DU40" s="2577">
        <v>355964.1</v>
      </c>
      <c r="DV40" s="1776">
        <f>DU40-DT40</f>
        <v>74962.099999999977</v>
      </c>
      <c r="DW40" s="1799">
        <f>DV40/DU40</f>
        <v>0.21058893298509593</v>
      </c>
      <c r="DX40" s="1804">
        <v>10</v>
      </c>
      <c r="DY40" s="1776">
        <v>333551</v>
      </c>
      <c r="DZ40" s="1776">
        <v>456863</v>
      </c>
      <c r="EA40" s="1776">
        <f>DZ40-DY40</f>
        <v>123312</v>
      </c>
      <c r="EB40" s="1807">
        <f>EA40/DZ40</f>
        <v>0.26991023567240069</v>
      </c>
      <c r="EC40" s="1804">
        <v>11</v>
      </c>
      <c r="ED40" s="1776">
        <v>395326</v>
      </c>
      <c r="EE40" s="1776">
        <v>406364</v>
      </c>
      <c r="EF40" s="1786">
        <f>EE40-ED40</f>
        <v>11038</v>
      </c>
      <c r="EG40" s="1807">
        <f>EF40/EE40</f>
        <v>2.7162839227884358E-2</v>
      </c>
      <c r="EH40" s="1804">
        <v>10</v>
      </c>
      <c r="EI40" s="1776">
        <v>306502</v>
      </c>
      <c r="EJ40" s="1776">
        <v>411412</v>
      </c>
      <c r="EK40" s="1776">
        <f>EJ40-EI40</f>
        <v>104910</v>
      </c>
      <c r="EL40" s="1807">
        <f>EK40/EJ40</f>
        <v>0.25499985416079257</v>
      </c>
      <c r="EM40" s="1804">
        <v>10</v>
      </c>
      <c r="EN40" s="1776">
        <v>284051</v>
      </c>
      <c r="EO40" s="1776">
        <v>341255</v>
      </c>
      <c r="EP40" s="1776">
        <f>EO40-EN40</f>
        <v>57204</v>
      </c>
      <c r="EQ40" s="1807">
        <f>EP40/EO40</f>
        <v>0.16762831313826904</v>
      </c>
      <c r="ER40" s="2402">
        <f t="shared" si="38"/>
        <v>8.4166666666666661</v>
      </c>
      <c r="ES40" s="2403">
        <f t="shared" ref="ES40:EU77" si="146">CK40+CP40+CU40+CZ40+DE40+DJ40+DO40+DT40+DY40+ED40+EI40+EN40</f>
        <v>2947719</v>
      </c>
      <c r="ET40" s="2403">
        <f t="shared" si="146"/>
        <v>3810893.1</v>
      </c>
      <c r="EU40" s="2403">
        <f t="shared" si="146"/>
        <v>863174.09999999986</v>
      </c>
      <c r="EV40" s="2404">
        <f t="shared" si="40"/>
        <v>0.22650178773054533</v>
      </c>
      <c r="EW40" s="1814">
        <f>(CJ40+CO40+CT40)/3</f>
        <v>6</v>
      </c>
      <c r="EX40" s="1776">
        <f>CL40+CQ40+CV40</f>
        <v>590133.30000000005</v>
      </c>
      <c r="EY40" s="1776">
        <f>CM40+CR40+CW40</f>
        <v>144339.29999999999</v>
      </c>
      <c r="EZ40" s="1815">
        <f>EY40/EX40</f>
        <v>0.2445876211357671</v>
      </c>
      <c r="FA40" s="1939">
        <f>(CY40+DD40+DI40)/3</f>
        <v>7.666666666666667</v>
      </c>
      <c r="FB40" s="1786">
        <f>DK40+DF40+DA40</f>
        <v>883517.7</v>
      </c>
      <c r="FC40" s="1786">
        <f>DL40+DG40+DB40</f>
        <v>265858.69999999995</v>
      </c>
      <c r="FD40" s="1799">
        <f>FC40/FB40</f>
        <v>0.30090930832511897</v>
      </c>
      <c r="FE40" s="1814">
        <f>(DN40+DS40+DX40)/3</f>
        <v>9.6666666666666661</v>
      </c>
      <c r="FF40" s="1786">
        <f>DP40+DU40+DZ40</f>
        <v>1178211.1000000001</v>
      </c>
      <c r="FG40" s="1786">
        <f>DQ40+DV40+EA40</f>
        <v>279824.09999999998</v>
      </c>
      <c r="FH40" s="1815">
        <f>FG40/FF40</f>
        <v>0.2374991204886798</v>
      </c>
      <c r="FI40" s="1816">
        <f>(EC40+EH40+EM40)/3</f>
        <v>10.333333333333334</v>
      </c>
      <c r="FJ40" s="1814"/>
      <c r="FK40" s="1786">
        <f>EE40+EJ40+EO40</f>
        <v>1159031</v>
      </c>
      <c r="FL40" s="1786">
        <f>EF40+EK40+EP40</f>
        <v>173152</v>
      </c>
      <c r="FM40" s="1799">
        <f>FL40/FK40</f>
        <v>0.14939376082261821</v>
      </c>
      <c r="FN40" s="1817">
        <v>9</v>
      </c>
      <c r="FO40" s="1818">
        <v>285501</v>
      </c>
      <c r="FP40" s="1818">
        <v>388750</v>
      </c>
      <c r="FQ40" s="1818">
        <v>103249</v>
      </c>
      <c r="FR40" s="1819">
        <f>FQ40/FP40</f>
        <v>0.26559228295819937</v>
      </c>
      <c r="FS40" s="1820">
        <v>9</v>
      </c>
      <c r="FT40" s="1818">
        <v>285501</v>
      </c>
      <c r="FU40" s="1818">
        <v>388125</v>
      </c>
      <c r="FV40" s="1818">
        <f>FU40-FT40</f>
        <v>102624</v>
      </c>
      <c r="FW40" s="1821">
        <f>FV40/FU40</f>
        <v>0.26440966183574877</v>
      </c>
      <c r="FX40" s="1820">
        <v>9</v>
      </c>
      <c r="FY40" s="1822">
        <f>265616+19790</f>
        <v>285406</v>
      </c>
      <c r="FZ40" s="1822">
        <v>387500</v>
      </c>
      <c r="GA40" s="1818">
        <f>FZ40-FY40</f>
        <v>102094</v>
      </c>
      <c r="GB40" s="1821">
        <f>GA40/FZ40</f>
        <v>0.26346838709677417</v>
      </c>
      <c r="GC40" s="1823">
        <v>9</v>
      </c>
      <c r="GD40" s="1824">
        <v>268974</v>
      </c>
      <c r="GE40" s="1824">
        <v>375625</v>
      </c>
      <c r="GF40" s="1818">
        <f>GE40-GD40</f>
        <v>106651</v>
      </c>
      <c r="GG40" s="1821">
        <f>GF40/GE40</f>
        <v>0.28392945091514143</v>
      </c>
      <c r="GH40" s="1823">
        <v>10</v>
      </c>
      <c r="GI40" s="1824">
        <f>261089+45644</f>
        <v>306733</v>
      </c>
      <c r="GJ40" s="1824">
        <v>370000</v>
      </c>
      <c r="GK40" s="1818">
        <f>GJ40-GI40</f>
        <v>63267</v>
      </c>
      <c r="GL40" s="1821">
        <f>GK40/GJ40</f>
        <v>0.1709918918918919</v>
      </c>
      <c r="GM40" s="1823">
        <v>8</v>
      </c>
      <c r="GN40" s="1824">
        <v>262168</v>
      </c>
      <c r="GO40" s="1824">
        <v>315625</v>
      </c>
      <c r="GP40" s="1818">
        <f>GO40-GN40</f>
        <v>53457</v>
      </c>
      <c r="GQ40" s="1821">
        <f>GP40/GO40</f>
        <v>0.16936871287128713</v>
      </c>
      <c r="GR40" s="1823">
        <v>8</v>
      </c>
      <c r="GS40" s="1824">
        <v>262168</v>
      </c>
      <c r="GT40" s="1824">
        <v>359375</v>
      </c>
      <c r="GU40" s="1818">
        <f>GT40-GS40</f>
        <v>97207</v>
      </c>
      <c r="GV40" s="1821">
        <f>GU40/GT40</f>
        <v>0.27048904347826086</v>
      </c>
      <c r="GW40" s="1823">
        <v>8</v>
      </c>
      <c r="GX40" s="1824">
        <v>262168</v>
      </c>
      <c r="GY40" s="1824">
        <v>351250.00000000006</v>
      </c>
      <c r="GZ40" s="1818">
        <f>GY40-GX40</f>
        <v>89082.000000000058</v>
      </c>
      <c r="HA40" s="1821">
        <f>GZ40/GY40</f>
        <v>0.25361423487544499</v>
      </c>
      <c r="HB40" s="1823">
        <v>8</v>
      </c>
      <c r="HC40" s="1824">
        <v>262168</v>
      </c>
      <c r="HD40" s="1824">
        <v>359375</v>
      </c>
      <c r="HE40" s="1818">
        <f t="shared" ref="HE40:HE52" si="147">HD40-HC40</f>
        <v>97207</v>
      </c>
      <c r="HF40" s="1821">
        <f t="shared" ref="HF40:HF52" si="148">HE40/HD40</f>
        <v>0.27048904347826086</v>
      </c>
      <c r="HG40" s="1823">
        <v>8</v>
      </c>
      <c r="HH40" s="1824">
        <v>199668</v>
      </c>
      <c r="HI40" s="1824">
        <v>362500</v>
      </c>
      <c r="HJ40" s="1818">
        <f t="shared" ref="HJ40:HJ55" si="149">HI40-HH40</f>
        <v>162832</v>
      </c>
      <c r="HK40" s="1821">
        <f t="shared" ref="HK40:HK52" si="150">HJ40/HI40</f>
        <v>0.44919172413793101</v>
      </c>
      <c r="HL40" s="1823">
        <v>8</v>
      </c>
      <c r="HM40" s="1824">
        <v>206364.42857142858</v>
      </c>
      <c r="HN40" s="1824">
        <v>370625</v>
      </c>
      <c r="HO40" s="1818">
        <f t="shared" ref="HO40:HO56" si="151">HN40-HM40</f>
        <v>164260.57142857142</v>
      </c>
      <c r="HP40" s="1821">
        <f t="shared" ref="HP40:HP52" si="152">HO40/HN40</f>
        <v>0.44319884365213197</v>
      </c>
      <c r="HQ40" s="654">
        <v>7</v>
      </c>
      <c r="HR40" s="1248">
        <v>199668</v>
      </c>
      <c r="HS40" s="1248">
        <v>312842.75800000003</v>
      </c>
      <c r="HT40" s="6051">
        <f t="shared" ref="HT40:HT45" si="153">HS40-HR40</f>
        <v>113174.75800000003</v>
      </c>
      <c r="HU40" s="6052">
        <f t="shared" ref="HU40:HU52" si="154">HT40/HS40</f>
        <v>0.36176243529984486</v>
      </c>
      <c r="HV40" s="5941">
        <f t="shared" ref="HV40:HV77" si="155">(FN40+FS40+FX40+GC40+GH40+GM40+GR40+GW40+HB40+HG40+HL40+HQ40)/12</f>
        <v>8.4166666666666661</v>
      </c>
      <c r="HW40" s="622">
        <f t="shared" ref="HW40:HY77" si="156">FO40+FT40+FY40+GD40+GI40+GN40+GS40+GX40+HC40+HH40+HM40+HR40</f>
        <v>3086487.4285714286</v>
      </c>
      <c r="HX40" s="622">
        <f t="shared" si="156"/>
        <v>4341592.7580000004</v>
      </c>
      <c r="HY40" s="622">
        <f t="shared" si="156"/>
        <v>1255105.3294285713</v>
      </c>
      <c r="HZ40" s="1828"/>
      <c r="IA40" s="1829">
        <f>(FN40+FS40+FX40)/3</f>
        <v>9</v>
      </c>
      <c r="IB40" s="1830">
        <f>FP40+FU40+FZ40</f>
        <v>1164375</v>
      </c>
      <c r="IC40" s="1830">
        <f>FQ40+FV40+GA40</f>
        <v>307967</v>
      </c>
      <c r="ID40" s="1831">
        <f>IC40/IB40</f>
        <v>0.2644912506709608</v>
      </c>
      <c r="IE40" s="1832">
        <f>(GC40+GH40+GM40)/3</f>
        <v>9</v>
      </c>
      <c r="IF40" s="1833">
        <f>(GE40+GJ40+GO40)</f>
        <v>1061250</v>
      </c>
      <c r="IG40" s="1834">
        <f>(GF40+GK40+GP40)</f>
        <v>223375</v>
      </c>
      <c r="IH40" s="1831">
        <f>IG40/IF40</f>
        <v>0.21048292108362779</v>
      </c>
      <c r="II40" s="1913">
        <f t="shared" ref="II40:II54" si="157">(GR40+GW40+HB40)/3</f>
        <v>8</v>
      </c>
      <c r="IJ40" s="1836">
        <f t="shared" ref="IJ40:IK54" si="158">(GT40+GY40+HD40)</f>
        <v>1070000</v>
      </c>
      <c r="IK40" s="1836">
        <f t="shared" si="158"/>
        <v>283496.00000000006</v>
      </c>
      <c r="IL40" s="239">
        <f t="shared" ref="IL40:IL52" si="159">IK40/IJ40</f>
        <v>0.26494953271028043</v>
      </c>
      <c r="IM40" s="1837">
        <f t="shared" ref="IM40:IM56" si="160">(HB40+HG40+HL40)/3</f>
        <v>8</v>
      </c>
      <c r="IN40" s="1836">
        <f t="shared" ref="IN40:IO56" si="161">(HI40+HN40+HS40)</f>
        <v>1045967.758</v>
      </c>
      <c r="IO40" s="1836">
        <f t="shared" si="161"/>
        <v>440267.32942857145</v>
      </c>
      <c r="IP40" s="1838">
        <f t="shared" ref="IP40:IP52" si="162">IO40/IN40</f>
        <v>0.4209186431046486</v>
      </c>
      <c r="IQ40" s="1839"/>
      <c r="IR40" s="1840"/>
      <c r="IS40" s="1818">
        <v>0</v>
      </c>
      <c r="IT40" s="1818">
        <v>0</v>
      </c>
      <c r="IU40" s="1818">
        <f t="shared" ref="IU40:IU56" si="163">IT40-IS40</f>
        <v>0</v>
      </c>
      <c r="IV40" s="1980">
        <v>0</v>
      </c>
      <c r="IW40" s="1820"/>
      <c r="IX40" s="1818"/>
      <c r="IY40" s="1818"/>
      <c r="IZ40" s="1818">
        <f>IY40-IX40</f>
        <v>0</v>
      </c>
      <c r="JA40" s="1821"/>
      <c r="JB40" s="1984"/>
      <c r="JC40" s="1985">
        <v>0</v>
      </c>
      <c r="JD40" s="1986">
        <v>0</v>
      </c>
      <c r="JE40" s="1818">
        <f t="shared" ref="JE40:JE56" si="164">JD40-JC40</f>
        <v>0</v>
      </c>
      <c r="JF40" s="1821"/>
      <c r="JG40" s="1981"/>
      <c r="JH40" s="1824"/>
      <c r="JI40" s="1824"/>
      <c r="JJ40" s="1822">
        <f t="shared" si="67"/>
        <v>0</v>
      </c>
      <c r="JK40" s="1821"/>
      <c r="JL40" s="1823"/>
      <c r="JM40" s="1824"/>
      <c r="JN40" s="1824"/>
      <c r="JO40" s="1996">
        <f t="shared" ref="JO40:JO56" si="165">JN40-JM40</f>
        <v>0</v>
      </c>
      <c r="JP40" s="1821"/>
      <c r="JQ40" s="6013"/>
      <c r="JR40" s="1982"/>
      <c r="JS40" s="1248"/>
      <c r="JT40" s="1996">
        <f t="shared" si="129"/>
        <v>0</v>
      </c>
      <c r="JU40" s="1821"/>
      <c r="JV40" s="1981"/>
      <c r="JW40" s="1824">
        <v>0</v>
      </c>
      <c r="JX40" s="1248">
        <v>0</v>
      </c>
      <c r="JY40" s="1996">
        <f t="shared" si="141"/>
        <v>0</v>
      </c>
      <c r="JZ40" s="1821"/>
      <c r="KA40" s="1981"/>
      <c r="KB40" s="1248">
        <v>0</v>
      </c>
      <c r="KC40" s="1982">
        <v>0</v>
      </c>
      <c r="KD40" s="1983">
        <f t="shared" si="142"/>
        <v>0</v>
      </c>
      <c r="KE40" s="1952"/>
      <c r="KF40" s="1981"/>
      <c r="KG40" s="1248">
        <v>0</v>
      </c>
      <c r="KH40" s="1824">
        <v>0</v>
      </c>
      <c r="KI40" s="1818">
        <f>KH40-KG40</f>
        <v>0</v>
      </c>
      <c r="KJ40" s="1821"/>
      <c r="KK40" s="1981"/>
      <c r="KL40" s="1904"/>
      <c r="KM40" s="1824"/>
      <c r="KN40" s="2023">
        <f t="shared" si="130"/>
        <v>0</v>
      </c>
      <c r="KO40" s="2024"/>
      <c r="KP40" s="1823"/>
      <c r="KQ40" s="1982"/>
      <c r="KR40" s="1248"/>
      <c r="KS40" s="1996">
        <f t="shared" ref="KS40:KS49" si="166">KR40-KQ40</f>
        <v>0</v>
      </c>
      <c r="KT40" s="1819"/>
      <c r="KU40" s="1905"/>
      <c r="KV40" s="1248"/>
      <c r="KW40" s="1248"/>
      <c r="KX40" s="6051">
        <f t="shared" si="145"/>
        <v>0</v>
      </c>
      <c r="KY40" s="6053"/>
      <c r="KZ40" s="1832"/>
      <c r="LA40" s="622">
        <f t="shared" si="144"/>
        <v>0</v>
      </c>
      <c r="LB40" s="622">
        <f t="shared" si="144"/>
        <v>0</v>
      </c>
      <c r="LC40" s="622">
        <f t="shared" si="144"/>
        <v>0</v>
      </c>
      <c r="LD40" s="239"/>
      <c r="LE40" s="1834">
        <f t="shared" si="71"/>
        <v>0</v>
      </c>
      <c r="LF40" s="1830">
        <f t="shared" ref="LF40:LG61" si="167">IT40+IY40+JD40</f>
        <v>0</v>
      </c>
      <c r="LG40" s="1830">
        <f t="shared" si="167"/>
        <v>0</v>
      </c>
      <c r="LH40" s="1831"/>
      <c r="LI40" s="1832">
        <f t="shared" si="132"/>
        <v>0</v>
      </c>
      <c r="LJ40" s="1833">
        <f t="shared" si="133"/>
        <v>0</v>
      </c>
      <c r="LK40" s="1834">
        <f t="shared" si="133"/>
        <v>0</v>
      </c>
      <c r="LL40" s="1831"/>
      <c r="LM40" s="1835">
        <f t="shared" si="135"/>
        <v>0</v>
      </c>
      <c r="LN40" s="1836">
        <f t="shared" si="136"/>
        <v>0</v>
      </c>
      <c r="LO40" s="1836">
        <f t="shared" si="136"/>
        <v>0</v>
      </c>
      <c r="LP40" s="239"/>
      <c r="LQ40" s="1837">
        <f t="shared" si="140"/>
        <v>0</v>
      </c>
      <c r="LR40" s="1836">
        <f t="shared" si="76"/>
        <v>0</v>
      </c>
      <c r="LS40" s="1836">
        <f t="shared" si="76"/>
        <v>0</v>
      </c>
      <c r="LT40" s="1838"/>
      <c r="LV40" s="3645"/>
      <c r="LW40" s="2897"/>
      <c r="LX40" s="2897"/>
      <c r="LY40" s="2589">
        <f t="shared" si="137"/>
        <v>0</v>
      </c>
      <c r="LZ40" s="6033"/>
      <c r="MF40" s="5880"/>
      <c r="MG40" s="4965"/>
      <c r="MH40" s="4965"/>
      <c r="MI40" s="1839"/>
      <c r="MJ40" s="1660"/>
      <c r="MK40" s="5881"/>
      <c r="MN40" s="372">
        <f t="shared" si="12"/>
        <v>0</v>
      </c>
      <c r="MP40" s="5881"/>
      <c r="MQ40" s="1839"/>
      <c r="MR40" s="1839"/>
      <c r="MS40" s="1839"/>
      <c r="MT40" s="693"/>
      <c r="MU40" s="2035"/>
      <c r="MV40" s="1914"/>
      <c r="MW40" s="1914"/>
      <c r="MX40" s="1914"/>
      <c r="MY40" s="5882"/>
      <c r="MZ40" s="1659"/>
      <c r="NA40" s="1839"/>
      <c r="NB40" s="1839"/>
      <c r="NC40" s="1839"/>
      <c r="ND40" s="1839"/>
      <c r="NO40" s="5883"/>
      <c r="NP40" s="2425"/>
      <c r="NQ40" s="2425"/>
      <c r="NR40" s="5883"/>
      <c r="NT40" s="1839"/>
      <c r="NU40" s="1839"/>
      <c r="NV40" s="715"/>
      <c r="NW40" s="1839"/>
      <c r="NX40" s="1660"/>
      <c r="NY40" s="1659"/>
      <c r="NZ40" s="715"/>
      <c r="OA40" s="715"/>
      <c r="OB40" s="1839"/>
      <c r="OC40" s="1660"/>
      <c r="OE40" s="5885"/>
      <c r="OF40" s="5885"/>
      <c r="OG40" s="715"/>
      <c r="OH40" s="1660"/>
      <c r="OI40" s="1659"/>
      <c r="OJ40" s="1839"/>
      <c r="OK40" s="1839"/>
      <c r="OL40" s="1839"/>
      <c r="OM40" s="693"/>
      <c r="ON40" s="1659"/>
      <c r="OO40" s="715"/>
      <c r="OP40" s="715"/>
      <c r="OQ40" s="715"/>
      <c r="OR40" s="705"/>
      <c r="OS40" s="1659"/>
      <c r="OT40" s="1839"/>
      <c r="OU40" s="1839"/>
      <c r="OV40" s="1839"/>
      <c r="OW40" s="705"/>
      <c r="OX40" s="1659"/>
      <c r="OY40" s="1839"/>
      <c r="OZ40" s="1839"/>
      <c r="PA40" s="1839"/>
      <c r="PB40" s="1660"/>
      <c r="PD40" s="3645"/>
      <c r="PE40" s="2897"/>
      <c r="PF40" s="2897"/>
      <c r="PG40" s="2589">
        <f t="shared" si="138"/>
        <v>0</v>
      </c>
      <c r="PH40" s="6033"/>
      <c r="PN40" s="5880"/>
      <c r="PO40" s="4965"/>
      <c r="PP40" s="4965"/>
      <c r="PQ40" s="1839"/>
      <c r="PR40" s="1660"/>
      <c r="PS40" s="5886"/>
      <c r="PT40" s="5883"/>
      <c r="PU40" s="5883"/>
      <c r="PV40" s="2892">
        <f t="shared" si="13"/>
        <v>0</v>
      </c>
      <c r="PW40" s="5883"/>
      <c r="PX40" s="5881"/>
      <c r="PY40" s="1839"/>
      <c r="PZ40" s="1839"/>
      <c r="QA40" s="1839"/>
      <c r="QB40" s="693"/>
      <c r="QC40" s="2035"/>
      <c r="QD40" s="1914"/>
      <c r="QE40" s="1914"/>
      <c r="QF40" s="1914"/>
      <c r="QG40" s="5882"/>
      <c r="QH40" s="1910"/>
      <c r="QI40" s="1839"/>
      <c r="QJ40" s="1839"/>
      <c r="QK40" s="1839"/>
      <c r="QL40" s="1839"/>
      <c r="QM40" s="5880"/>
      <c r="QR40" s="5883"/>
      <c r="QS40" s="5883"/>
      <c r="QT40" s="5883"/>
      <c r="QU40" s="5883"/>
      <c r="QV40" s="1677"/>
      <c r="QW40" s="5883"/>
      <c r="QX40" s="2425"/>
      <c r="QY40" s="2425"/>
      <c r="QZ40" s="5883"/>
      <c r="RA40" s="5883"/>
      <c r="RB40" s="1839"/>
      <c r="RC40" s="1839"/>
      <c r="RD40" s="715"/>
      <c r="RE40" s="1839"/>
      <c r="RF40" s="1660"/>
      <c r="RG40" s="2037"/>
      <c r="RH40" s="1914"/>
      <c r="RI40" s="1914"/>
      <c r="RJ40" s="5882"/>
      <c r="RK40" s="1660"/>
      <c r="RL40" s="5883"/>
      <c r="RM40" s="1873">
        <f t="shared" si="77"/>
        <v>0</v>
      </c>
      <c r="RN40" s="1873">
        <f t="shared" si="77"/>
        <v>0</v>
      </c>
      <c r="RO40" s="1873">
        <f t="shared" si="77"/>
        <v>0</v>
      </c>
      <c r="RP40" s="5883"/>
      <c r="RQ40" s="1659"/>
      <c r="RR40" s="1839"/>
      <c r="RS40" s="1839"/>
      <c r="RT40" s="1839"/>
      <c r="RU40" s="693"/>
      <c r="RV40" s="1659"/>
      <c r="RW40" s="715"/>
      <c r="RX40" s="715"/>
      <c r="RY40" s="715"/>
      <c r="RZ40" s="705"/>
      <c r="SA40" s="1659"/>
      <c r="SB40" s="1839"/>
      <c r="SC40" s="1839"/>
      <c r="SD40" s="1839"/>
      <c r="SE40" s="705"/>
      <c r="SF40" s="1659"/>
      <c r="SG40" s="1839"/>
      <c r="SH40" s="1839"/>
      <c r="SI40" s="1839"/>
      <c r="SJ40" s="1660"/>
      <c r="SL40" s="3645"/>
      <c r="SM40" s="2897"/>
      <c r="SN40" s="2897"/>
      <c r="SO40" s="6029">
        <f t="shared" si="139"/>
        <v>0</v>
      </c>
      <c r="SP40" s="6034"/>
      <c r="SQ40" s="5883"/>
      <c r="SR40" s="5883"/>
      <c r="SS40" s="5883"/>
      <c r="ST40" s="5883"/>
      <c r="SU40" s="5883"/>
      <c r="SV40" s="5880"/>
      <c r="SW40" s="4965"/>
      <c r="SX40" s="4965"/>
      <c r="SY40" s="1839"/>
      <c r="SZ40" s="1660"/>
      <c r="TA40" s="5881"/>
      <c r="TD40" s="372">
        <f t="shared" si="14"/>
        <v>0</v>
      </c>
      <c r="TF40" s="5881"/>
      <c r="TG40" s="1839"/>
      <c r="TH40" s="1839"/>
      <c r="TI40" s="1839"/>
      <c r="TJ40" s="693"/>
      <c r="TK40" s="2035"/>
      <c r="TL40" s="1914"/>
      <c r="TM40" s="1914"/>
      <c r="TN40" s="1914"/>
      <c r="TO40" s="5882"/>
      <c r="TP40" s="2407"/>
      <c r="TQ40" s="1839"/>
      <c r="TR40" s="1839"/>
      <c r="TS40" s="1839"/>
      <c r="TT40" s="1839"/>
      <c r="TU40" s="5889"/>
      <c r="TV40" s="5883"/>
      <c r="TW40" s="5883"/>
      <c r="TX40" s="5883"/>
      <c r="TY40" s="5883"/>
      <c r="TZ40" s="5883"/>
      <c r="UA40" s="5883"/>
      <c r="UB40" s="5883"/>
      <c r="UC40" s="5883"/>
      <c r="UD40" s="1677"/>
      <c r="UE40" s="5883"/>
      <c r="UF40" s="2425"/>
      <c r="UG40" s="2425"/>
      <c r="UH40" s="5883"/>
      <c r="UI40" s="5883"/>
      <c r="UJ40" s="1839"/>
      <c r="UK40" s="1839"/>
      <c r="UL40" s="715"/>
      <c r="UM40" s="1839"/>
      <c r="UN40" s="1660"/>
      <c r="UO40" s="2037"/>
      <c r="UP40" s="1914"/>
      <c r="UQ40" s="1914"/>
      <c r="UR40" s="5882"/>
      <c r="US40" s="1660"/>
      <c r="UU40" s="622">
        <f t="shared" si="78"/>
        <v>0</v>
      </c>
      <c r="UV40" s="622">
        <f t="shared" si="78"/>
        <v>0</v>
      </c>
      <c r="UW40" s="622">
        <f t="shared" si="78"/>
        <v>0</v>
      </c>
      <c r="UY40" s="1659"/>
      <c r="UZ40" s="1839"/>
      <c r="VA40" s="1839"/>
      <c r="VB40" s="1839"/>
      <c r="VC40" s="693"/>
      <c r="VD40" s="1659"/>
      <c r="VE40" s="715"/>
      <c r="VF40" s="715"/>
      <c r="VG40" s="715"/>
      <c r="VH40" s="705"/>
      <c r="VI40" s="1659"/>
      <c r="VJ40" s="1839"/>
      <c r="VK40" s="1839"/>
      <c r="VL40" s="1839"/>
      <c r="VM40" s="705"/>
      <c r="VN40" s="1659"/>
      <c r="VO40" s="1839"/>
      <c r="VP40" s="1839"/>
      <c r="VQ40" s="1839"/>
      <c r="VR40" s="1660"/>
    </row>
    <row r="41" spans="1:590" s="122" customFormat="1" ht="13.45" hidden="1" x14ac:dyDescent="0.3">
      <c r="B41" s="6016" t="s">
        <v>53</v>
      </c>
      <c r="C41" s="6031" t="s">
        <v>793</v>
      </c>
      <c r="D41" s="5989" t="s">
        <v>794</v>
      </c>
      <c r="E41" s="6032">
        <v>44136</v>
      </c>
      <c r="F41" s="6032">
        <v>44500</v>
      </c>
      <c r="G41" s="5965">
        <v>198900</v>
      </c>
      <c r="H41" s="1775"/>
      <c r="I41" s="1776"/>
      <c r="J41" s="1776"/>
      <c r="K41" s="1776"/>
      <c r="L41" s="1777"/>
      <c r="M41" s="1778"/>
      <c r="N41" s="1779"/>
      <c r="O41" s="1779"/>
      <c r="P41" s="1779"/>
      <c r="Q41" s="1780"/>
      <c r="R41" s="1780"/>
      <c r="S41" s="1776"/>
      <c r="T41" s="1776"/>
      <c r="U41" s="1776"/>
      <c r="V41" s="1777"/>
      <c r="W41" s="1776"/>
      <c r="X41" s="1776"/>
      <c r="Y41" s="1781"/>
      <c r="Z41" s="1776"/>
      <c r="AA41" s="1782"/>
      <c r="AB41" s="1781"/>
      <c r="AC41" s="1783"/>
      <c r="AD41" s="1784"/>
      <c r="AE41" s="1776"/>
      <c r="AF41" s="1777"/>
      <c r="AG41" s="1785"/>
      <c r="AH41" s="1776"/>
      <c r="AI41" s="1776"/>
      <c r="AJ41" s="1786"/>
      <c r="AK41" s="1777"/>
      <c r="AL41" s="1785"/>
      <c r="AM41" s="1776"/>
      <c r="AN41" s="1776"/>
      <c r="AO41" s="1781"/>
      <c r="AP41" s="1777"/>
      <c r="AQ41" s="1787"/>
      <c r="AR41" s="1788"/>
      <c r="AS41" s="1788"/>
      <c r="AT41" s="1789"/>
      <c r="AU41" s="1777"/>
      <c r="AV41" s="1790"/>
      <c r="AW41" s="1781"/>
      <c r="AX41" s="1781"/>
      <c r="AY41" s="1781"/>
      <c r="AZ41" s="1777"/>
      <c r="BA41" s="1791"/>
      <c r="BB41" s="1792"/>
      <c r="BC41" s="1783"/>
      <c r="BD41" s="1781"/>
      <c r="BE41" s="1780"/>
      <c r="BF41" s="1790"/>
      <c r="BG41" s="1781"/>
      <c r="BH41" s="1776"/>
      <c r="BI41" s="1781"/>
      <c r="BJ41" s="1793"/>
      <c r="BK41" s="1790"/>
      <c r="BL41" s="1781"/>
      <c r="BM41" s="1776"/>
      <c r="BN41" s="1781"/>
      <c r="BO41" s="1794"/>
      <c r="BP41" s="1795"/>
      <c r="BQ41" s="1796"/>
      <c r="BR41" s="1786"/>
      <c r="BS41" s="1797"/>
      <c r="BT41" s="1798"/>
      <c r="BU41" s="1786"/>
      <c r="BV41" s="1786"/>
      <c r="BW41" s="1799"/>
      <c r="BX41" s="1800"/>
      <c r="BY41" s="1786"/>
      <c r="BZ41" s="1786"/>
      <c r="CA41" s="1801"/>
      <c r="CB41" s="1802"/>
      <c r="CC41" s="1786"/>
      <c r="CD41" s="1786"/>
      <c r="CE41" s="1803"/>
      <c r="CF41" s="1800"/>
      <c r="CG41" s="1776"/>
      <c r="CH41" s="1776"/>
      <c r="CI41" s="1801"/>
      <c r="CJ41" s="1804"/>
      <c r="CK41" s="1776"/>
      <c r="CL41" s="1776"/>
      <c r="CM41" s="1776"/>
      <c r="CN41" s="1799"/>
      <c r="CO41" s="1804"/>
      <c r="CP41" s="1776"/>
      <c r="CQ41" s="1776"/>
      <c r="CR41" s="1776"/>
      <c r="CS41" s="1799"/>
      <c r="CT41" s="1804"/>
      <c r="CU41" s="1776"/>
      <c r="CV41" s="1776"/>
      <c r="CW41" s="1776"/>
      <c r="CX41" s="1799"/>
      <c r="CY41" s="1804"/>
      <c r="CZ41" s="1776"/>
      <c r="DA41" s="1776"/>
      <c r="DB41" s="1776"/>
      <c r="DC41" s="1799"/>
      <c r="DD41" s="1805"/>
      <c r="DE41" s="1806"/>
      <c r="DF41" s="1806"/>
      <c r="DG41" s="1783"/>
      <c r="DH41" s="1807"/>
      <c r="DI41" s="1804"/>
      <c r="DJ41" s="1806"/>
      <c r="DK41" s="1806"/>
      <c r="DL41" s="1776"/>
      <c r="DM41" s="1807"/>
      <c r="DN41" s="1804"/>
      <c r="DO41" s="1776"/>
      <c r="DP41" s="1776"/>
      <c r="DQ41" s="1776"/>
      <c r="DR41" s="1807"/>
      <c r="DS41" s="1808"/>
      <c r="DT41" s="1783"/>
      <c r="DU41" s="1783"/>
      <c r="DV41" s="1776"/>
      <c r="DW41" s="1799"/>
      <c r="DX41" s="1804"/>
      <c r="DY41" s="1776"/>
      <c r="DZ41" s="1776"/>
      <c r="EA41" s="1776"/>
      <c r="EB41" s="1807"/>
      <c r="EC41" s="1804"/>
      <c r="ED41" s="1776"/>
      <c r="EE41" s="1776"/>
      <c r="EF41" s="1786"/>
      <c r="EG41" s="1807"/>
      <c r="EH41" s="1804"/>
      <c r="EI41" s="1776"/>
      <c r="EJ41" s="1776"/>
      <c r="EK41" s="1776"/>
      <c r="EL41" s="1807"/>
      <c r="EM41" s="1804"/>
      <c r="EN41" s="1776"/>
      <c r="EO41" s="1776"/>
      <c r="EP41" s="1776"/>
      <c r="EQ41" s="1807"/>
      <c r="ER41" s="2402">
        <f t="shared" si="38"/>
        <v>0</v>
      </c>
      <c r="ES41" s="2403">
        <f t="shared" si="146"/>
        <v>0</v>
      </c>
      <c r="ET41" s="2403">
        <f t="shared" si="146"/>
        <v>0</v>
      </c>
      <c r="EU41" s="2403">
        <f t="shared" si="146"/>
        <v>0</v>
      </c>
      <c r="EV41" s="2404" t="e">
        <f t="shared" si="40"/>
        <v>#DIV/0!</v>
      </c>
      <c r="EW41" s="1809"/>
      <c r="EX41" s="1810"/>
      <c r="EY41" s="1810"/>
      <c r="EZ41" s="1811"/>
      <c r="FA41" s="1812"/>
      <c r="FB41" s="1810"/>
      <c r="FC41" s="1810"/>
      <c r="FD41" s="1813"/>
      <c r="FE41" s="1814"/>
      <c r="FF41" s="1786"/>
      <c r="FG41" s="1786"/>
      <c r="FH41" s="1815"/>
      <c r="FI41" s="1816"/>
      <c r="FJ41" s="1814"/>
      <c r="FK41" s="1786"/>
      <c r="FL41" s="1786"/>
      <c r="FM41" s="1799"/>
      <c r="FN41" s="1817"/>
      <c r="FO41" s="1818"/>
      <c r="FP41" s="1818"/>
      <c r="FQ41" s="1818"/>
      <c r="FR41" s="1819"/>
      <c r="FS41" s="1820"/>
      <c r="FT41" s="1818"/>
      <c r="FU41" s="1818"/>
      <c r="FV41" s="1818"/>
      <c r="FW41" s="1821"/>
      <c r="FX41" s="1820"/>
      <c r="FY41" s="1822"/>
      <c r="FZ41" s="1822"/>
      <c r="GA41" s="1818"/>
      <c r="GB41" s="1821"/>
      <c r="GC41" s="1823"/>
      <c r="GD41" s="1824"/>
      <c r="GE41" s="1824"/>
      <c r="GF41" s="1825"/>
      <c r="GG41" s="1821"/>
      <c r="GH41" s="1823"/>
      <c r="GI41" s="1824"/>
      <c r="GJ41" s="1824"/>
      <c r="GK41" s="1818"/>
      <c r="GL41" s="1821"/>
      <c r="GM41" s="1823"/>
      <c r="GN41" s="1824"/>
      <c r="GO41" s="1824"/>
      <c r="GP41" s="1818"/>
      <c r="GQ41" s="1821"/>
      <c r="GR41" s="1823"/>
      <c r="GS41" s="1824"/>
      <c r="GT41" s="1824"/>
      <c r="GU41" s="1818"/>
      <c r="GV41" s="1821"/>
      <c r="GW41" s="1823"/>
      <c r="GX41" s="1824"/>
      <c r="GY41" s="1824"/>
      <c r="GZ41" s="1818"/>
      <c r="HA41" s="1821"/>
      <c r="HB41" s="1823">
        <v>1</v>
      </c>
      <c r="HC41" s="1824">
        <v>189933</v>
      </c>
      <c r="HD41" s="1824">
        <v>192933</v>
      </c>
      <c r="HE41" s="1818">
        <f t="shared" si="147"/>
        <v>3000</v>
      </c>
      <c r="HF41" s="1821">
        <f t="shared" si="148"/>
        <v>1.5549439442708091E-2</v>
      </c>
      <c r="HG41" s="1823">
        <v>2</v>
      </c>
      <c r="HH41" s="1824">
        <v>194920</v>
      </c>
      <c r="HI41" s="1824">
        <v>198900</v>
      </c>
      <c r="HJ41" s="1818">
        <f t="shared" si="149"/>
        <v>3980</v>
      </c>
      <c r="HK41" s="1821">
        <f t="shared" si="150"/>
        <v>2.001005530417295E-2</v>
      </c>
      <c r="HL41" s="1823">
        <v>2</v>
      </c>
      <c r="HM41" s="1824">
        <v>194920</v>
      </c>
      <c r="HN41" s="1824">
        <v>198900</v>
      </c>
      <c r="HO41" s="1818">
        <f t="shared" si="151"/>
        <v>3980</v>
      </c>
      <c r="HP41" s="1821">
        <f t="shared" si="152"/>
        <v>2.001005530417295E-2</v>
      </c>
      <c r="HQ41" s="654">
        <v>1</v>
      </c>
      <c r="HR41" s="1248">
        <v>194920</v>
      </c>
      <c r="HS41" s="1248">
        <v>198900</v>
      </c>
      <c r="HT41" s="1248">
        <f t="shared" si="153"/>
        <v>3980</v>
      </c>
      <c r="HU41" s="1826">
        <f t="shared" si="154"/>
        <v>2.001005530417295E-2</v>
      </c>
      <c r="HV41" s="5941">
        <f t="shared" si="155"/>
        <v>0.5</v>
      </c>
      <c r="HW41" s="622">
        <f t="shared" si="156"/>
        <v>774693</v>
      </c>
      <c r="HX41" s="622">
        <f t="shared" si="156"/>
        <v>789633</v>
      </c>
      <c r="HY41" s="622">
        <f t="shared" si="156"/>
        <v>14940</v>
      </c>
      <c r="HZ41" s="1828"/>
      <c r="IA41" s="1829"/>
      <c r="IB41" s="1830"/>
      <c r="IC41" s="1830"/>
      <c r="ID41" s="1831"/>
      <c r="IE41" s="1832"/>
      <c r="IF41" s="1833"/>
      <c r="IG41" s="1834"/>
      <c r="IH41" s="1831"/>
      <c r="II41" s="1835">
        <f t="shared" si="157"/>
        <v>0.33333333333333331</v>
      </c>
      <c r="IJ41" s="1836">
        <f t="shared" si="158"/>
        <v>192933</v>
      </c>
      <c r="IK41" s="1836">
        <f t="shared" si="158"/>
        <v>3000</v>
      </c>
      <c r="IL41" s="239">
        <f t="shared" si="159"/>
        <v>1.5549439442708091E-2</v>
      </c>
      <c r="IM41" s="1837">
        <f t="shared" si="160"/>
        <v>1.6666666666666667</v>
      </c>
      <c r="IN41" s="1836">
        <f t="shared" si="161"/>
        <v>596700</v>
      </c>
      <c r="IO41" s="1836">
        <f t="shared" si="161"/>
        <v>11940</v>
      </c>
      <c r="IP41" s="1838">
        <f t="shared" si="162"/>
        <v>2.001005530417295E-2</v>
      </c>
      <c r="IQ41" s="1839"/>
      <c r="IR41" s="1840">
        <v>1</v>
      </c>
      <c r="IS41" s="1818">
        <v>194920</v>
      </c>
      <c r="IT41" s="1818">
        <v>198900</v>
      </c>
      <c r="IU41" s="1818">
        <f t="shared" si="163"/>
        <v>3980</v>
      </c>
      <c r="IV41" s="1819">
        <f>IU41/IT41</f>
        <v>2.001005530417295E-2</v>
      </c>
      <c r="IW41" s="1820">
        <v>1</v>
      </c>
      <c r="IX41" s="1818">
        <v>194920</v>
      </c>
      <c r="IY41" s="1818">
        <v>198900</v>
      </c>
      <c r="IZ41" s="1818">
        <f>IY41-IX41</f>
        <v>3980</v>
      </c>
      <c r="JA41" s="1821">
        <f>IZ41/IY41</f>
        <v>2.001005530417295E-2</v>
      </c>
      <c r="JB41" s="1984">
        <v>1</v>
      </c>
      <c r="JC41" s="1985">
        <v>194920</v>
      </c>
      <c r="JD41" s="1986">
        <v>198900</v>
      </c>
      <c r="JE41" s="1818">
        <f t="shared" si="164"/>
        <v>3980</v>
      </c>
      <c r="JF41" s="1821">
        <f>JE41/JD41</f>
        <v>2.001005530417295E-2</v>
      </c>
      <c r="JG41" s="1981">
        <v>1</v>
      </c>
      <c r="JH41" s="1824">
        <v>194920</v>
      </c>
      <c r="JI41" s="1824">
        <v>198900</v>
      </c>
      <c r="JJ41" s="1822">
        <f t="shared" si="67"/>
        <v>3980</v>
      </c>
      <c r="JK41" s="1821">
        <f>JJ41/JI41</f>
        <v>2.001005530417295E-2</v>
      </c>
      <c r="JL41" s="1823">
        <v>1</v>
      </c>
      <c r="JM41" s="1824">
        <v>194920</v>
      </c>
      <c r="JN41" s="1824">
        <v>198900</v>
      </c>
      <c r="JO41" s="1996">
        <f t="shared" si="165"/>
        <v>3980</v>
      </c>
      <c r="JP41" s="1821">
        <f>JO41/JN41</f>
        <v>2.001005530417295E-2</v>
      </c>
      <c r="JQ41" s="6013"/>
      <c r="JR41" s="1982"/>
      <c r="JS41" s="1248"/>
      <c r="JT41" s="1996">
        <f t="shared" si="129"/>
        <v>0</v>
      </c>
      <c r="JU41" s="1821"/>
      <c r="JV41" s="1981"/>
      <c r="JW41" s="1824">
        <v>0</v>
      </c>
      <c r="JX41" s="1248">
        <v>0</v>
      </c>
      <c r="JY41" s="1996">
        <f t="shared" si="141"/>
        <v>0</v>
      </c>
      <c r="JZ41" s="1821"/>
      <c r="KA41" s="1981"/>
      <c r="KB41" s="1248">
        <v>0</v>
      </c>
      <c r="KC41" s="1982">
        <v>0</v>
      </c>
      <c r="KD41" s="1983">
        <f t="shared" si="142"/>
        <v>0</v>
      </c>
      <c r="KE41" s="1952"/>
      <c r="KF41" s="1990"/>
      <c r="KG41" s="1904"/>
      <c r="KH41" s="1904"/>
      <c r="KI41" s="1818"/>
      <c r="KJ41" s="1821"/>
      <c r="KK41" s="1990"/>
      <c r="KL41" s="1904"/>
      <c r="KM41" s="1904"/>
      <c r="KN41" s="2023">
        <f t="shared" si="130"/>
        <v>0</v>
      </c>
      <c r="KO41" s="2024"/>
      <c r="KP41" s="1823"/>
      <c r="KQ41" s="1982"/>
      <c r="KR41" s="1248"/>
      <c r="KS41" s="1996">
        <f t="shared" si="166"/>
        <v>0</v>
      </c>
      <c r="KT41" s="1819"/>
      <c r="KU41" s="1905"/>
      <c r="KV41" s="1248"/>
      <c r="KW41" s="1248"/>
      <c r="KX41" s="1248">
        <f t="shared" si="145"/>
        <v>0</v>
      </c>
      <c r="KY41" s="77"/>
      <c r="KZ41" s="1832"/>
      <c r="LA41" s="622">
        <f t="shared" si="144"/>
        <v>974600</v>
      </c>
      <c r="LB41" s="622">
        <f t="shared" si="144"/>
        <v>994500</v>
      </c>
      <c r="LC41" s="622">
        <f t="shared" si="144"/>
        <v>19900</v>
      </c>
      <c r="LD41" s="239">
        <f>LC41/LB41</f>
        <v>2.001005530417295E-2</v>
      </c>
      <c r="LE41" s="1834">
        <f t="shared" si="71"/>
        <v>1</v>
      </c>
      <c r="LF41" s="1830">
        <f t="shared" si="167"/>
        <v>596700</v>
      </c>
      <c r="LG41" s="1830">
        <f t="shared" si="167"/>
        <v>11940</v>
      </c>
      <c r="LH41" s="1831">
        <f t="shared" ref="LH41:LH56" si="168">LG41/LF41</f>
        <v>2.001005530417295E-2</v>
      </c>
      <c r="LI41" s="1832">
        <f t="shared" si="132"/>
        <v>0.66666666666666663</v>
      </c>
      <c r="LJ41" s="1833">
        <f t="shared" si="133"/>
        <v>397800</v>
      </c>
      <c r="LK41" s="1834">
        <f t="shared" si="133"/>
        <v>7960</v>
      </c>
      <c r="LL41" s="1831">
        <f t="shared" ref="LL41:LL56" si="169">LK41/LJ41</f>
        <v>2.001005530417295E-2</v>
      </c>
      <c r="LM41" s="1835">
        <f t="shared" si="135"/>
        <v>0</v>
      </c>
      <c r="LN41" s="1836">
        <f t="shared" si="136"/>
        <v>0</v>
      </c>
      <c r="LO41" s="1836">
        <f t="shared" si="136"/>
        <v>0</v>
      </c>
      <c r="LP41" s="239"/>
      <c r="LQ41" s="1837">
        <f t="shared" si="140"/>
        <v>0</v>
      </c>
      <c r="LR41" s="1836">
        <f t="shared" si="76"/>
        <v>0</v>
      </c>
      <c r="LS41" s="1836">
        <f t="shared" si="76"/>
        <v>0</v>
      </c>
      <c r="LT41" s="1838"/>
      <c r="LV41" s="3645"/>
      <c r="LW41" s="2897"/>
      <c r="LX41" s="2897"/>
      <c r="LY41" s="2589">
        <f t="shared" si="137"/>
        <v>0</v>
      </c>
      <c r="LZ41" s="6033"/>
      <c r="MF41" s="5880"/>
      <c r="MG41" s="4965"/>
      <c r="MH41" s="4965"/>
      <c r="MI41" s="1839"/>
      <c r="MJ41" s="207" t="e">
        <f t="shared" ref="MJ41:MJ56" si="170">MI41/MH41</f>
        <v>#DIV/0!</v>
      </c>
      <c r="MK41" s="5881"/>
      <c r="MN41" s="372">
        <f t="shared" si="12"/>
        <v>0</v>
      </c>
      <c r="MP41" s="5881"/>
      <c r="MQ41" s="1839"/>
      <c r="MR41" s="1839"/>
      <c r="MS41" s="1839"/>
      <c r="MT41" s="693"/>
      <c r="MU41" s="2035"/>
      <c r="MV41" s="1914"/>
      <c r="MW41" s="1914"/>
      <c r="MX41" s="1914"/>
      <c r="MY41" s="5882"/>
      <c r="MZ41" s="1659"/>
      <c r="NA41" s="1839"/>
      <c r="NB41" s="1839"/>
      <c r="NC41" s="1839"/>
      <c r="ND41" s="1839"/>
      <c r="NO41" s="5883"/>
      <c r="NP41" s="2425"/>
      <c r="NQ41" s="2425"/>
      <c r="NR41" s="5883"/>
      <c r="NT41" s="1839"/>
      <c r="NU41" s="1839"/>
      <c r="NV41" s="715"/>
      <c r="NW41" s="1839"/>
      <c r="NX41" s="1660"/>
      <c r="NY41" s="1659"/>
      <c r="NZ41" s="715"/>
      <c r="OA41" s="715"/>
      <c r="OB41" s="1839"/>
      <c r="OC41" s="1660"/>
      <c r="OE41" s="5885"/>
      <c r="OF41" s="5885"/>
      <c r="OG41" s="715"/>
      <c r="OH41" s="1660"/>
      <c r="OI41" s="1659"/>
      <c r="OJ41" s="1839"/>
      <c r="OK41" s="1839"/>
      <c r="OL41" s="1839"/>
      <c r="OM41" s="693"/>
      <c r="ON41" s="1659"/>
      <c r="OO41" s="715"/>
      <c r="OP41" s="715"/>
      <c r="OQ41" s="715"/>
      <c r="OR41" s="705"/>
      <c r="OS41" s="1659"/>
      <c r="OT41" s="1839"/>
      <c r="OU41" s="1839"/>
      <c r="OV41" s="1839"/>
      <c r="OW41" s="705"/>
      <c r="OX41" s="1659"/>
      <c r="OY41" s="1839"/>
      <c r="OZ41" s="1839"/>
      <c r="PA41" s="1839"/>
      <c r="PB41" s="1660"/>
      <c r="PD41" s="3645"/>
      <c r="PE41" s="2897"/>
      <c r="PF41" s="2897"/>
      <c r="PG41" s="2589">
        <f t="shared" si="138"/>
        <v>0</v>
      </c>
      <c r="PH41" s="6033"/>
      <c r="PN41" s="5880"/>
      <c r="PO41" s="4965"/>
      <c r="PP41" s="4965"/>
      <c r="PQ41" s="1839"/>
      <c r="PR41" s="207" t="e">
        <f t="shared" ref="PR41:PR56" si="171">PQ41/PP41</f>
        <v>#DIV/0!</v>
      </c>
      <c r="PS41" s="5886"/>
      <c r="PT41" s="5883"/>
      <c r="PU41" s="5883"/>
      <c r="PV41" s="2892">
        <f t="shared" si="13"/>
        <v>0</v>
      </c>
      <c r="PW41" s="5883"/>
      <c r="PX41" s="5881"/>
      <c r="PY41" s="1839"/>
      <c r="PZ41" s="1839"/>
      <c r="QA41" s="1839"/>
      <c r="QB41" s="693"/>
      <c r="QC41" s="2035"/>
      <c r="QD41" s="1914"/>
      <c r="QE41" s="1914"/>
      <c r="QF41" s="1914"/>
      <c r="QG41" s="5882"/>
      <c r="QH41" s="1910"/>
      <c r="QI41" s="1839"/>
      <c r="QJ41" s="1839"/>
      <c r="QK41" s="1839"/>
      <c r="QL41" s="1839"/>
      <c r="QM41" s="5880"/>
      <c r="QR41" s="5883"/>
      <c r="QS41" s="5883"/>
      <c r="QT41" s="5883"/>
      <c r="QU41" s="5883"/>
      <c r="QV41" s="1677"/>
      <c r="QW41" s="5883"/>
      <c r="QX41" s="2425"/>
      <c r="QY41" s="2425"/>
      <c r="QZ41" s="5883"/>
      <c r="RA41" s="5883"/>
      <c r="RB41" s="1839"/>
      <c r="RC41" s="1839"/>
      <c r="RD41" s="715"/>
      <c r="RE41" s="1839"/>
      <c r="RF41" s="1660"/>
      <c r="RG41" s="2037"/>
      <c r="RH41" s="1914"/>
      <c r="RI41" s="1914"/>
      <c r="RJ41" s="5882"/>
      <c r="RK41" s="1660"/>
      <c r="RL41" s="5883"/>
      <c r="RM41" s="1873">
        <f t="shared" si="77"/>
        <v>0</v>
      </c>
      <c r="RN41" s="1873">
        <f t="shared" si="77"/>
        <v>0</v>
      </c>
      <c r="RO41" s="1873">
        <f t="shared" si="77"/>
        <v>0</v>
      </c>
      <c r="RP41" s="5883"/>
      <c r="RQ41" s="1659"/>
      <c r="RR41" s="1839"/>
      <c r="RS41" s="1839"/>
      <c r="RT41" s="1839"/>
      <c r="RU41" s="693"/>
      <c r="RV41" s="1659"/>
      <c r="RW41" s="715"/>
      <c r="RX41" s="715"/>
      <c r="RY41" s="715"/>
      <c r="RZ41" s="705"/>
      <c r="SA41" s="1659"/>
      <c r="SB41" s="1839"/>
      <c r="SC41" s="1839"/>
      <c r="SD41" s="1839"/>
      <c r="SE41" s="705"/>
      <c r="SF41" s="1659"/>
      <c r="SG41" s="1839"/>
      <c r="SH41" s="1839"/>
      <c r="SI41" s="1839"/>
      <c r="SJ41" s="1660"/>
      <c r="SL41" s="3645"/>
      <c r="SM41" s="2897"/>
      <c r="SN41" s="2897"/>
      <c r="SO41" s="6029">
        <f t="shared" si="139"/>
        <v>0</v>
      </c>
      <c r="SP41" s="6034"/>
      <c r="SQ41" s="5883"/>
      <c r="SR41" s="5883"/>
      <c r="SS41" s="5883"/>
      <c r="ST41" s="5883"/>
      <c r="SU41" s="5883"/>
      <c r="SV41" s="5880"/>
      <c r="SW41" s="4965"/>
      <c r="SX41" s="4965"/>
      <c r="SY41" s="1839"/>
      <c r="SZ41" s="207" t="e">
        <f t="shared" ref="SZ41:SZ56" si="172">SY41/SX41</f>
        <v>#DIV/0!</v>
      </c>
      <c r="TA41" s="5881"/>
      <c r="TD41" s="372">
        <f t="shared" si="14"/>
        <v>0</v>
      </c>
      <c r="TF41" s="5881"/>
      <c r="TG41" s="1839"/>
      <c r="TH41" s="1839"/>
      <c r="TI41" s="1839"/>
      <c r="TJ41" s="693"/>
      <c r="TK41" s="2035"/>
      <c r="TL41" s="1914"/>
      <c r="TM41" s="1914"/>
      <c r="TN41" s="1914"/>
      <c r="TO41" s="5882"/>
      <c r="TP41" s="2407"/>
      <c r="TQ41" s="1839"/>
      <c r="TR41" s="1839"/>
      <c r="TS41" s="1839"/>
      <c r="TT41" s="1839"/>
      <c r="TU41" s="5889"/>
      <c r="TV41" s="5883"/>
      <c r="TW41" s="5883"/>
      <c r="TX41" s="5883"/>
      <c r="TY41" s="5883"/>
      <c r="TZ41" s="5883"/>
      <c r="UA41" s="5883"/>
      <c r="UB41" s="5883"/>
      <c r="UC41" s="5883"/>
      <c r="UD41" s="1677"/>
      <c r="UE41" s="5883"/>
      <c r="UF41" s="2425"/>
      <c r="UG41" s="2425"/>
      <c r="UH41" s="5883"/>
      <c r="UI41" s="5883"/>
      <c r="UJ41" s="1839"/>
      <c r="UK41" s="1839"/>
      <c r="UL41" s="715"/>
      <c r="UM41" s="1839"/>
      <c r="UN41" s="1660"/>
      <c r="UO41" s="2037"/>
      <c r="UP41" s="1914"/>
      <c r="UQ41" s="1914"/>
      <c r="UR41" s="5882"/>
      <c r="US41" s="1660"/>
      <c r="UU41" s="622">
        <f t="shared" si="78"/>
        <v>0</v>
      </c>
      <c r="UV41" s="622">
        <f t="shared" si="78"/>
        <v>0</v>
      </c>
      <c r="UW41" s="622">
        <f t="shared" si="78"/>
        <v>0</v>
      </c>
      <c r="UY41" s="1659"/>
      <c r="UZ41" s="1839"/>
      <c r="VA41" s="1839"/>
      <c r="VB41" s="1839"/>
      <c r="VC41" s="693"/>
      <c r="VD41" s="1659"/>
      <c r="VE41" s="715"/>
      <c r="VF41" s="715"/>
      <c r="VG41" s="715"/>
      <c r="VH41" s="705"/>
      <c r="VI41" s="1659"/>
      <c r="VJ41" s="1839"/>
      <c r="VK41" s="1839"/>
      <c r="VL41" s="1839"/>
      <c r="VM41" s="705"/>
      <c r="VN41" s="1659"/>
      <c r="VO41" s="1839"/>
      <c r="VP41" s="1839"/>
      <c r="VQ41" s="1839"/>
      <c r="VR41" s="1660"/>
    </row>
    <row r="42" spans="1:590" s="122" customFormat="1" ht="13.45" hidden="1" x14ac:dyDescent="0.3">
      <c r="A42" s="2906"/>
      <c r="B42" s="6016" t="s">
        <v>53</v>
      </c>
      <c r="C42" s="6031" t="s">
        <v>795</v>
      </c>
      <c r="D42" s="5989" t="s">
        <v>796</v>
      </c>
      <c r="E42" s="6054">
        <v>44049</v>
      </c>
      <c r="F42" s="6054">
        <v>44104</v>
      </c>
      <c r="G42" s="6055">
        <v>163636</v>
      </c>
      <c r="H42" s="1775"/>
      <c r="I42" s="1776"/>
      <c r="J42" s="1776"/>
      <c r="K42" s="1776">
        <f>J42-I42</f>
        <v>0</v>
      </c>
      <c r="L42" s="1777" t="s">
        <v>732</v>
      </c>
      <c r="M42" s="1778"/>
      <c r="N42" s="1779"/>
      <c r="O42" s="1779"/>
      <c r="P42" s="1779">
        <f>O42-N42</f>
        <v>0</v>
      </c>
      <c r="Q42" s="1780" t="s">
        <v>732</v>
      </c>
      <c r="R42" s="1780"/>
      <c r="S42" s="1776"/>
      <c r="T42" s="1776"/>
      <c r="U42" s="1776">
        <f>T42-S42</f>
        <v>0</v>
      </c>
      <c r="V42" s="1777"/>
      <c r="W42" s="1776"/>
      <c r="X42" s="1776"/>
      <c r="Y42" s="1781"/>
      <c r="Z42" s="1776">
        <f>Y42-X42</f>
        <v>0</v>
      </c>
      <c r="AA42" s="1782">
        <v>0</v>
      </c>
      <c r="AB42" s="1781"/>
      <c r="AC42" s="1783">
        <f>28345-10751</f>
        <v>17594</v>
      </c>
      <c r="AD42" s="1784">
        <v>56736</v>
      </c>
      <c r="AE42" s="1776">
        <f>AD42-AC42</f>
        <v>39142</v>
      </c>
      <c r="AF42" s="1777">
        <f>AE42/AD42</f>
        <v>0.68989706711787935</v>
      </c>
      <c r="AG42" s="1785">
        <v>2</v>
      </c>
      <c r="AH42" s="1776">
        <v>50199</v>
      </c>
      <c r="AI42" s="1776">
        <v>111580.8</v>
      </c>
      <c r="AJ42" s="1786">
        <f>AI42-AH42</f>
        <v>61381.8</v>
      </c>
      <c r="AK42" s="1777">
        <f>AJ42/AI42</f>
        <v>0.55011077174567669</v>
      </c>
      <c r="AL42" s="1785">
        <v>3</v>
      </c>
      <c r="AM42" s="1776">
        <v>93390</v>
      </c>
      <c r="AN42" s="1776">
        <v>164394</v>
      </c>
      <c r="AO42" s="1781">
        <f>AN42-AM42</f>
        <v>71004</v>
      </c>
      <c r="AP42" s="1777">
        <f>AO42/AN42</f>
        <v>0.43191357348808351</v>
      </c>
      <c r="AQ42" s="1787">
        <v>3</v>
      </c>
      <c r="AR42" s="1788">
        <v>110000</v>
      </c>
      <c r="AS42" s="1788">
        <v>187375</v>
      </c>
      <c r="AT42" s="1789">
        <f>AS42-AR42</f>
        <v>77375</v>
      </c>
      <c r="AU42" s="1777">
        <f>AT42/AS42</f>
        <v>0.41294196130753835</v>
      </c>
      <c r="AV42" s="1790">
        <v>3</v>
      </c>
      <c r="AW42" s="1788">
        <v>110002</v>
      </c>
      <c r="AX42" s="1788">
        <v>187375.8</v>
      </c>
      <c r="AY42" s="1781">
        <f>AX42-AW42</f>
        <v>77373.799999999988</v>
      </c>
      <c r="AZ42" s="1777">
        <f>AY42/AX42</f>
        <v>0.41293379401182007</v>
      </c>
      <c r="BA42" s="1791">
        <v>3</v>
      </c>
      <c r="BB42" s="1781">
        <v>110000</v>
      </c>
      <c r="BC42" s="1781">
        <v>187375</v>
      </c>
      <c r="BD42" s="1781">
        <f>BC42-BB42</f>
        <v>77375</v>
      </c>
      <c r="BE42" s="1780">
        <f>BD42/BC42</f>
        <v>0.41294196130753835</v>
      </c>
      <c r="BF42" s="1790">
        <v>3</v>
      </c>
      <c r="BG42" s="1781">
        <v>110000</v>
      </c>
      <c r="BH42" s="1776">
        <v>187375.8</v>
      </c>
      <c r="BI42" s="1781">
        <f>BH42-BG42</f>
        <v>77375.799999999988</v>
      </c>
      <c r="BJ42" s="1780">
        <f>BI42/BH42</f>
        <v>0.41294446774877008</v>
      </c>
      <c r="BK42" s="1790">
        <v>3</v>
      </c>
      <c r="BL42" s="1781">
        <v>110000</v>
      </c>
      <c r="BM42" s="1776">
        <v>187376</v>
      </c>
      <c r="BN42" s="1781">
        <f>BM42-BL42</f>
        <v>77376</v>
      </c>
      <c r="BO42" s="5978">
        <f>BN42/BM42</f>
        <v>0.4129450943557339</v>
      </c>
      <c r="BP42" s="1937">
        <f>(AV42+AQ42+AL42+AG42+AB42+W42+R42+M42+H42+BA42+BF42+BK42)/12</f>
        <v>1.6666666666666667</v>
      </c>
      <c r="BQ42" s="1796">
        <f t="shared" ref="BQ42:BR46" si="173">AW42+AR42+AM42+AH42+AC42+X42+S42+N42+I42+BB42+BG42+BL42</f>
        <v>711185</v>
      </c>
      <c r="BR42" s="1786">
        <f t="shared" si="173"/>
        <v>1269588.4000000001</v>
      </c>
      <c r="BS42" s="1797">
        <f>BR42-BQ42</f>
        <v>558403.40000000014</v>
      </c>
      <c r="BT42" s="1798">
        <f>H42+M42+R42</f>
        <v>0</v>
      </c>
      <c r="BU42" s="1786">
        <f t="shared" ref="BU42:BV46" si="174">J42+O42+T42</f>
        <v>0</v>
      </c>
      <c r="BV42" s="1786">
        <f t="shared" si="174"/>
        <v>0</v>
      </c>
      <c r="BW42" s="1799"/>
      <c r="BX42" s="1800">
        <f>W42+AB42+AG42</f>
        <v>2</v>
      </c>
      <c r="BY42" s="1786">
        <f t="shared" ref="BY42:BZ46" si="175">Y42+AD42+AI42</f>
        <v>168316.79999999999</v>
      </c>
      <c r="BZ42" s="1786">
        <f t="shared" si="175"/>
        <v>100523.8</v>
      </c>
      <c r="CA42" s="1801"/>
      <c r="CB42" s="1802">
        <f>AL42+AQ42+AV42</f>
        <v>9</v>
      </c>
      <c r="CC42" s="1786">
        <f t="shared" ref="CC42:CD46" si="176">AN42+AS42+AX42</f>
        <v>539144.80000000005</v>
      </c>
      <c r="CD42" s="1786">
        <f t="shared" si="176"/>
        <v>225752.8</v>
      </c>
      <c r="CE42" s="1803"/>
      <c r="CF42" s="1800">
        <f>BA42+BF42+BK42</f>
        <v>9</v>
      </c>
      <c r="CG42" s="1776">
        <f t="shared" ref="CG42:CH46" si="177">BC42+BH42+BM42</f>
        <v>562126.80000000005</v>
      </c>
      <c r="CH42" s="1776">
        <f t="shared" si="177"/>
        <v>232126.8</v>
      </c>
      <c r="CI42" s="1801"/>
      <c r="CJ42" s="1804">
        <v>3</v>
      </c>
      <c r="CK42" s="1776">
        <v>104957</v>
      </c>
      <c r="CL42" s="1776">
        <v>181013</v>
      </c>
      <c r="CM42" s="1776">
        <f>CL42-CK42</f>
        <v>76056</v>
      </c>
      <c r="CN42" s="1799">
        <f>CM42/CL42</f>
        <v>0.42016871716396059</v>
      </c>
      <c r="CO42" s="1804">
        <v>3</v>
      </c>
      <c r="CP42" s="1776">
        <v>106732</v>
      </c>
      <c r="CQ42" s="1776">
        <v>183739.8</v>
      </c>
      <c r="CR42" s="1776">
        <f>CQ42-CP42</f>
        <v>77007.799999999988</v>
      </c>
      <c r="CS42" s="1799">
        <f>CR42/CQ42</f>
        <v>0.41911333309386423</v>
      </c>
      <c r="CT42" s="1804">
        <v>3</v>
      </c>
      <c r="CU42" s="1776">
        <v>80808</v>
      </c>
      <c r="CV42" s="1776">
        <v>170830</v>
      </c>
      <c r="CW42" s="1776">
        <f t="shared" ref="CW42:CW48" si="178">CV42-CU42</f>
        <v>90022</v>
      </c>
      <c r="CX42" s="1799">
        <f>CW42/CV42</f>
        <v>0.52696833108938712</v>
      </c>
      <c r="CY42" s="1804">
        <v>2</v>
      </c>
      <c r="CZ42" s="1783">
        <v>90622</v>
      </c>
      <c r="DA42" s="1783">
        <v>149076</v>
      </c>
      <c r="DB42" s="1776">
        <f t="shared" ref="DB42:DB48" si="179">DA42-CZ42</f>
        <v>58454</v>
      </c>
      <c r="DC42" s="1799">
        <f>DB42/DA42</f>
        <v>0.39210872306742872</v>
      </c>
      <c r="DD42" s="1808">
        <v>2</v>
      </c>
      <c r="DE42" s="1783">
        <v>109977</v>
      </c>
      <c r="DF42" s="1783">
        <v>171801</v>
      </c>
      <c r="DG42" s="1783">
        <f t="shared" ref="DG42:DG48" si="180">DF42-DE42</f>
        <v>61824</v>
      </c>
      <c r="DH42" s="1807">
        <f>DG42/DF42</f>
        <v>0.35985820804302654</v>
      </c>
      <c r="DI42" s="1808">
        <v>2</v>
      </c>
      <c r="DJ42" s="2577">
        <v>109977</v>
      </c>
      <c r="DK42" s="2577">
        <v>171801</v>
      </c>
      <c r="DL42" s="1776">
        <f t="shared" ref="DL42:DL48" si="181">DK42-DJ42</f>
        <v>61824</v>
      </c>
      <c r="DM42" s="1807">
        <f>DL42/DK42</f>
        <v>0.35985820804302654</v>
      </c>
      <c r="DN42" s="1804">
        <v>2</v>
      </c>
      <c r="DO42" s="1776">
        <v>109977</v>
      </c>
      <c r="DP42" s="1776">
        <v>165438</v>
      </c>
      <c r="DQ42" s="1776">
        <f t="shared" ref="DQ42:DQ48" si="182">DP42-DO42</f>
        <v>55461</v>
      </c>
      <c r="DR42" s="1807">
        <f t="shared" ref="DR42:DR48" si="183">DQ42/DP42</f>
        <v>0.33523736989083525</v>
      </c>
      <c r="DS42" s="1804">
        <v>2</v>
      </c>
      <c r="DT42" s="2577">
        <v>109977</v>
      </c>
      <c r="DU42" s="1783">
        <v>164529</v>
      </c>
      <c r="DV42" s="1776">
        <f t="shared" ref="DV42:DV48" si="184">DU42-DT42</f>
        <v>54552</v>
      </c>
      <c r="DW42" s="1799">
        <f t="shared" ref="DW42:DW48" si="185">DV42/DU42</f>
        <v>0.33156464817752496</v>
      </c>
      <c r="DX42" s="1804">
        <v>2</v>
      </c>
      <c r="DY42" s="1776">
        <v>106879</v>
      </c>
      <c r="DZ42" s="1776">
        <v>158166</v>
      </c>
      <c r="EA42" s="1776">
        <f t="shared" ref="EA42:EA48" si="186">DZ42-DY42</f>
        <v>51287</v>
      </c>
      <c r="EB42" s="1807">
        <f t="shared" ref="EB42:EB48" si="187">EA42/DZ42</f>
        <v>0.32426058697823806</v>
      </c>
      <c r="EC42" s="1804">
        <v>3</v>
      </c>
      <c r="ED42" s="1776">
        <v>139623</v>
      </c>
      <c r="EE42" s="1776">
        <v>212706</v>
      </c>
      <c r="EF42" s="1786">
        <f t="shared" ref="EF42:EF48" si="188">EE42-ED42</f>
        <v>73083</v>
      </c>
      <c r="EG42" s="1807">
        <f t="shared" ref="EG42:EG48" si="189">EF42/EE42</f>
        <v>0.3435869227948436</v>
      </c>
      <c r="EH42" s="1804">
        <v>4</v>
      </c>
      <c r="EI42" s="1776">
        <v>253368</v>
      </c>
      <c r="EJ42" s="1776">
        <v>387234</v>
      </c>
      <c r="EK42" s="1776">
        <f t="shared" ref="EK42:EK48" si="190">EJ42-EI42</f>
        <v>133866</v>
      </c>
      <c r="EL42" s="1807">
        <f t="shared" ref="EL42:EL48" si="191">EK42/EJ42</f>
        <v>0.34569795007669779</v>
      </c>
      <c r="EM42" s="1804">
        <v>4</v>
      </c>
      <c r="EN42" s="1776">
        <v>228193</v>
      </c>
      <c r="EO42" s="1776">
        <v>358146</v>
      </c>
      <c r="EP42" s="1776">
        <f t="shared" ref="EP42:EP48" si="192">EO42-EN42</f>
        <v>129953</v>
      </c>
      <c r="EQ42" s="1807">
        <f t="shared" ref="EQ42:EQ48" si="193">EP42/EO42</f>
        <v>0.36284922908534506</v>
      </c>
      <c r="ER42" s="2402">
        <f t="shared" si="38"/>
        <v>2.6666666666666665</v>
      </c>
      <c r="ES42" s="2403">
        <f t="shared" si="146"/>
        <v>1551090</v>
      </c>
      <c r="ET42" s="2403">
        <f t="shared" si="146"/>
        <v>2474479.7999999998</v>
      </c>
      <c r="EU42" s="2403">
        <f t="shared" si="146"/>
        <v>923389.8</v>
      </c>
      <c r="EV42" s="2404">
        <f t="shared" si="40"/>
        <v>0.37316522042329869</v>
      </c>
      <c r="EW42" s="1814">
        <f t="shared" ref="EW42:EW48" si="194">(CJ42+CO42+CT42)/3</f>
        <v>3</v>
      </c>
      <c r="EX42" s="1776">
        <f t="shared" ref="EX42:EY48" si="195">CL42+CQ42+CV42</f>
        <v>535582.80000000005</v>
      </c>
      <c r="EY42" s="1776">
        <f t="shared" si="195"/>
        <v>243085.8</v>
      </c>
      <c r="EZ42" s="1815">
        <f>EY42/EX42</f>
        <v>0.45387155823525321</v>
      </c>
      <c r="FA42" s="1939">
        <f t="shared" ref="FA42:FA48" si="196">(CY42+DD42+DI42)/3</f>
        <v>2</v>
      </c>
      <c r="FB42" s="1786">
        <f t="shared" ref="FB42:FC48" si="197">DK42+DF42+DA42</f>
        <v>492678</v>
      </c>
      <c r="FC42" s="1786">
        <f t="shared" si="197"/>
        <v>182102</v>
      </c>
      <c r="FD42" s="1799">
        <f>FC42/FB42</f>
        <v>0.36961666646369434</v>
      </c>
      <c r="FE42" s="1814">
        <f t="shared" ref="FE42:FE48" si="198">(DN42+DS42+DX42)/3</f>
        <v>2</v>
      </c>
      <c r="FF42" s="1786">
        <f t="shared" ref="FF42:FG48" si="199">DP42+DU42+DZ42</f>
        <v>488133</v>
      </c>
      <c r="FG42" s="1786">
        <f t="shared" si="199"/>
        <v>161300</v>
      </c>
      <c r="FH42" s="1815">
        <f t="shared" ref="FH42:FH48" si="200">FG42/FF42</f>
        <v>0.33044272769921312</v>
      </c>
      <c r="FI42" s="1816">
        <f t="shared" ref="FI42:FI48" si="201">(EC42+EH42+EM42)/3</f>
        <v>3.6666666666666665</v>
      </c>
      <c r="FJ42" s="1814"/>
      <c r="FK42" s="1786">
        <f t="shared" ref="FK42:FL48" si="202">EE42+EJ42+EO42</f>
        <v>958086</v>
      </c>
      <c r="FL42" s="1786">
        <f t="shared" si="202"/>
        <v>336902</v>
      </c>
      <c r="FM42" s="1799">
        <f t="shared" ref="FM42:FM48" si="203">FL42/FK42</f>
        <v>0.35164066691299112</v>
      </c>
      <c r="FN42" s="1817">
        <v>2</v>
      </c>
      <c r="FO42" s="1818">
        <v>180810</v>
      </c>
      <c r="FP42" s="1818">
        <v>242703</v>
      </c>
      <c r="FQ42" s="1818">
        <f t="shared" ref="FQ42:FQ49" si="204">FP42-FO42</f>
        <v>61893</v>
      </c>
      <c r="FR42" s="1819">
        <f t="shared" ref="FR42:FR49" si="205">FQ42/FP42</f>
        <v>0.25501538917936739</v>
      </c>
      <c r="FS42" s="1820">
        <v>2</v>
      </c>
      <c r="FT42" s="1818">
        <v>91989.1</v>
      </c>
      <c r="FU42" s="1818">
        <v>121806</v>
      </c>
      <c r="FV42" s="1818">
        <f t="shared" ref="FV42:FV50" si="206">FU42-FT42</f>
        <v>29816.899999999994</v>
      </c>
      <c r="FW42" s="1821">
        <f t="shared" ref="FW42:FW50" si="207">FV42/FU42</f>
        <v>0.24479007602252759</v>
      </c>
      <c r="FX42" s="1820">
        <v>1</v>
      </c>
      <c r="FY42" s="1822">
        <v>60000</v>
      </c>
      <c r="FZ42" s="1822">
        <v>69993</v>
      </c>
      <c r="GA42" s="1818">
        <f t="shared" ref="GA42:GA50" si="208">FZ42-FY42</f>
        <v>9993</v>
      </c>
      <c r="GB42" s="1821">
        <f t="shared" ref="GB42:GB50" si="209">GA42/FZ42</f>
        <v>0.14277141999914278</v>
      </c>
      <c r="GC42" s="1823">
        <v>1</v>
      </c>
      <c r="GD42" s="1824">
        <v>60000</v>
      </c>
      <c r="GE42" s="1824">
        <v>69993</v>
      </c>
      <c r="GF42" s="1818">
        <f t="shared" ref="GF42:GF50" si="210">GE42-GD42</f>
        <v>9993</v>
      </c>
      <c r="GG42" s="1821">
        <f t="shared" ref="GG42:GG50" si="211">GF42/GE42</f>
        <v>0.14277141999914278</v>
      </c>
      <c r="GH42" s="1823">
        <v>1</v>
      </c>
      <c r="GI42" s="1824">
        <v>60000</v>
      </c>
      <c r="GJ42" s="1824">
        <v>79980.399999999994</v>
      </c>
      <c r="GK42" s="1818">
        <f>GJ42-GI42</f>
        <v>19980.399999999994</v>
      </c>
      <c r="GL42" s="1821">
        <f t="shared" ref="GL42:GL53" si="212">GK42/GJ42</f>
        <v>0.24981620497021764</v>
      </c>
      <c r="GM42" s="1823">
        <v>1</v>
      </c>
      <c r="GN42" s="1824">
        <v>65000</v>
      </c>
      <c r="GO42" s="1824">
        <v>80018</v>
      </c>
      <c r="GP42" s="1818">
        <f t="shared" ref="GP42:GP53" si="213">GO42-GN42</f>
        <v>15018</v>
      </c>
      <c r="GQ42" s="1821">
        <f t="shared" ref="GQ42:GQ53" si="214">GP42/GO42</f>
        <v>0.18768277137644029</v>
      </c>
      <c r="GR42" s="1823">
        <v>1</v>
      </c>
      <c r="GS42" s="1824">
        <v>65000</v>
      </c>
      <c r="GT42" s="1824">
        <v>79950</v>
      </c>
      <c r="GU42" s="1818">
        <f t="shared" ref="GU42:GU52" si="215">GT42-GS42</f>
        <v>14950</v>
      </c>
      <c r="GV42" s="1821">
        <f t="shared" ref="GV42:GV52" si="216">GU42/GT42</f>
        <v>0.18699186991869918</v>
      </c>
      <c r="GW42" s="1823">
        <v>1</v>
      </c>
      <c r="GX42" s="1824">
        <v>65000</v>
      </c>
      <c r="GY42" s="1824">
        <v>79950</v>
      </c>
      <c r="GZ42" s="1818">
        <f t="shared" ref="GZ42:GZ52" si="217">GY42-GX42</f>
        <v>14950</v>
      </c>
      <c r="HA42" s="1821">
        <f t="shared" ref="HA42:HA52" si="218">GZ42/GY42</f>
        <v>0.18699186991869918</v>
      </c>
      <c r="HB42" s="1823">
        <v>1</v>
      </c>
      <c r="HC42" s="1824">
        <v>65000</v>
      </c>
      <c r="HD42" s="1824">
        <v>79950</v>
      </c>
      <c r="HE42" s="1818">
        <f t="shared" si="147"/>
        <v>14950</v>
      </c>
      <c r="HF42" s="1821">
        <f t="shared" si="148"/>
        <v>0.18699186991869918</v>
      </c>
      <c r="HG42" s="1823">
        <v>1</v>
      </c>
      <c r="HH42" s="1824">
        <v>65000</v>
      </c>
      <c r="HI42" s="1824">
        <v>80000</v>
      </c>
      <c r="HJ42" s="1818">
        <f t="shared" si="149"/>
        <v>15000</v>
      </c>
      <c r="HK42" s="1821">
        <f t="shared" si="150"/>
        <v>0.1875</v>
      </c>
      <c r="HL42" s="1823">
        <v>1</v>
      </c>
      <c r="HM42" s="1824">
        <v>65000</v>
      </c>
      <c r="HN42" s="1824">
        <v>79950</v>
      </c>
      <c r="HO42" s="1818">
        <f t="shared" si="151"/>
        <v>14950</v>
      </c>
      <c r="HP42" s="1821">
        <f t="shared" si="152"/>
        <v>0.18699186991869918</v>
      </c>
      <c r="HQ42" s="654">
        <v>1</v>
      </c>
      <c r="HR42" s="1248">
        <v>65000</v>
      </c>
      <c r="HS42" s="1248">
        <v>79950</v>
      </c>
      <c r="HT42" s="1248">
        <f t="shared" si="153"/>
        <v>14950</v>
      </c>
      <c r="HU42" s="1826">
        <f t="shared" si="154"/>
        <v>0.18699186991869918</v>
      </c>
      <c r="HV42" s="5941">
        <f t="shared" si="155"/>
        <v>1.1666666666666667</v>
      </c>
      <c r="HW42" s="622">
        <f t="shared" si="156"/>
        <v>907799.1</v>
      </c>
      <c r="HX42" s="622">
        <f t="shared" si="156"/>
        <v>1144243.3999999999</v>
      </c>
      <c r="HY42" s="622">
        <f t="shared" si="156"/>
        <v>236444.3</v>
      </c>
      <c r="HZ42" s="1828"/>
      <c r="IA42" s="1829">
        <f t="shared" ref="IA42:IA53" si="219">(FN42+FS42+FX42)/3</f>
        <v>1.6666666666666667</v>
      </c>
      <c r="IB42" s="1830">
        <f t="shared" ref="IB42:IC53" si="220">FP42+FU42+FZ42</f>
        <v>434502</v>
      </c>
      <c r="IC42" s="1830">
        <f t="shared" si="220"/>
        <v>101702.9</v>
      </c>
      <c r="ID42" s="1831">
        <f t="shared" ref="ID42:ID50" si="221">IC42/IB42</f>
        <v>0.23406773731766481</v>
      </c>
      <c r="IE42" s="1832">
        <f t="shared" ref="IE42:IE53" si="222">(GC42+GH42+GM42)/3</f>
        <v>1</v>
      </c>
      <c r="IF42" s="1833">
        <f t="shared" ref="IF42:IG53" si="223">(GE42+GJ42+GO42)</f>
        <v>229991.4</v>
      </c>
      <c r="IG42" s="1834">
        <f t="shared" si="223"/>
        <v>44991.399999999994</v>
      </c>
      <c r="IH42" s="1831">
        <f t="shared" ref="IH42:IH53" si="224">IG42/IF42</f>
        <v>0.19562209717406823</v>
      </c>
      <c r="II42" s="1835">
        <f t="shared" si="157"/>
        <v>1</v>
      </c>
      <c r="IJ42" s="1836">
        <f t="shared" si="158"/>
        <v>239850</v>
      </c>
      <c r="IK42" s="1836">
        <f t="shared" si="158"/>
        <v>44850</v>
      </c>
      <c r="IL42" s="239">
        <f t="shared" si="159"/>
        <v>0.18699186991869918</v>
      </c>
      <c r="IM42" s="1837">
        <f t="shared" si="160"/>
        <v>1</v>
      </c>
      <c r="IN42" s="1836">
        <f t="shared" si="161"/>
        <v>239900</v>
      </c>
      <c r="IO42" s="1836">
        <f t="shared" si="161"/>
        <v>44900</v>
      </c>
      <c r="IP42" s="1838">
        <f t="shared" si="162"/>
        <v>0.18716131721550647</v>
      </c>
      <c r="IQ42" s="1839"/>
      <c r="IR42" s="1840"/>
      <c r="IS42" s="1818"/>
      <c r="IT42" s="1818"/>
      <c r="IU42" s="1818">
        <f t="shared" si="163"/>
        <v>0</v>
      </c>
      <c r="IV42" s="1819"/>
      <c r="IW42" s="1820"/>
      <c r="IX42" s="1818"/>
      <c r="IY42" s="1818"/>
      <c r="IZ42" s="1818">
        <f>IY42-IX42</f>
        <v>0</v>
      </c>
      <c r="JA42" s="1821"/>
      <c r="JB42" s="1984"/>
      <c r="JC42" s="1985"/>
      <c r="JD42" s="1986"/>
      <c r="JE42" s="1818">
        <f t="shared" si="164"/>
        <v>0</v>
      </c>
      <c r="JF42" s="1821" t="e">
        <f>JE42/JD42</f>
        <v>#DIV/0!</v>
      </c>
      <c r="JG42" s="1981"/>
      <c r="JH42" s="1824"/>
      <c r="JI42" s="1824"/>
      <c r="JJ42" s="1822">
        <f t="shared" si="67"/>
        <v>0</v>
      </c>
      <c r="JK42" s="1821" t="e">
        <f>JJ42/JI42</f>
        <v>#DIV/0!</v>
      </c>
      <c r="JL42" s="1823"/>
      <c r="JM42" s="1824"/>
      <c r="JN42" s="1824"/>
      <c r="JO42" s="1996">
        <f t="shared" si="165"/>
        <v>0</v>
      </c>
      <c r="JP42" s="1821" t="e">
        <f>JO42/JN42</f>
        <v>#DIV/0!</v>
      </c>
      <c r="JQ42" s="6013"/>
      <c r="JR42" s="1982"/>
      <c r="JS42" s="1248"/>
      <c r="JT42" s="1996">
        <f t="shared" si="129"/>
        <v>0</v>
      </c>
      <c r="JU42" s="1821" t="e">
        <f>JT42/JS42</f>
        <v>#DIV/0!</v>
      </c>
      <c r="JV42" s="1981"/>
      <c r="JW42" s="1824"/>
      <c r="JX42" s="1248"/>
      <c r="JY42" s="1996">
        <f t="shared" si="141"/>
        <v>0</v>
      </c>
      <c r="JZ42" s="1821" t="e">
        <f>JY42/JX42</f>
        <v>#DIV/0!</v>
      </c>
      <c r="KA42" s="1981"/>
      <c r="KB42" s="1248"/>
      <c r="KC42" s="1982"/>
      <c r="KD42" s="1983">
        <f t="shared" si="142"/>
        <v>0</v>
      </c>
      <c r="KE42" s="1952"/>
      <c r="KF42" s="1981"/>
      <c r="KG42" s="1248"/>
      <c r="KH42" s="1824"/>
      <c r="KI42" s="1818"/>
      <c r="KJ42" s="1821"/>
      <c r="KK42" s="1990"/>
      <c r="KL42" s="1904"/>
      <c r="KM42" s="1904"/>
      <c r="KN42" s="2023">
        <f t="shared" si="130"/>
        <v>0</v>
      </c>
      <c r="KO42" s="2024"/>
      <c r="KP42" s="1823"/>
      <c r="KQ42" s="1982"/>
      <c r="KR42" s="1248"/>
      <c r="KS42" s="1996">
        <f t="shared" si="166"/>
        <v>0</v>
      </c>
      <c r="KT42" s="1819"/>
      <c r="KU42" s="1905"/>
      <c r="KV42" s="1248"/>
      <c r="KW42" s="1248"/>
      <c r="KX42" s="1248">
        <f t="shared" si="145"/>
        <v>0</v>
      </c>
      <c r="KY42" s="77"/>
      <c r="KZ42" s="1832"/>
      <c r="LA42" s="622">
        <f t="shared" si="144"/>
        <v>0</v>
      </c>
      <c r="LB42" s="622">
        <f t="shared" si="144"/>
        <v>0</v>
      </c>
      <c r="LC42" s="622">
        <f t="shared" si="144"/>
        <v>0</v>
      </c>
      <c r="LD42" s="239"/>
      <c r="LE42" s="1834">
        <f t="shared" si="71"/>
        <v>0</v>
      </c>
      <c r="LF42" s="1830">
        <f t="shared" si="167"/>
        <v>0</v>
      </c>
      <c r="LG42" s="1830">
        <f t="shared" si="167"/>
        <v>0</v>
      </c>
      <c r="LH42" s="1831" t="e">
        <f t="shared" si="168"/>
        <v>#DIV/0!</v>
      </c>
      <c r="LI42" s="1832">
        <f t="shared" si="132"/>
        <v>0</v>
      </c>
      <c r="LJ42" s="1833">
        <f t="shared" si="133"/>
        <v>0</v>
      </c>
      <c r="LK42" s="1834">
        <f t="shared" si="133"/>
        <v>0</v>
      </c>
      <c r="LL42" s="1831" t="e">
        <f t="shared" si="169"/>
        <v>#DIV/0!</v>
      </c>
      <c r="LM42" s="1835">
        <f t="shared" si="135"/>
        <v>0</v>
      </c>
      <c r="LN42" s="1836">
        <f t="shared" si="136"/>
        <v>0</v>
      </c>
      <c r="LO42" s="1836">
        <f t="shared" si="136"/>
        <v>0</v>
      </c>
      <c r="LP42" s="239"/>
      <c r="LQ42" s="1837">
        <f t="shared" si="140"/>
        <v>0</v>
      </c>
      <c r="LR42" s="1836">
        <f t="shared" si="76"/>
        <v>0</v>
      </c>
      <c r="LS42" s="1836">
        <f t="shared" si="76"/>
        <v>0</v>
      </c>
      <c r="LT42" s="1838"/>
      <c r="LV42" s="3645"/>
      <c r="LW42" s="2897"/>
      <c r="LX42" s="2897"/>
      <c r="LY42" s="2589">
        <f t="shared" si="137"/>
        <v>0</v>
      </c>
      <c r="LZ42" s="77"/>
      <c r="MF42" s="5880"/>
      <c r="MG42" s="4965"/>
      <c r="MH42" s="4965"/>
      <c r="MI42" s="1839"/>
      <c r="MJ42" s="207" t="e">
        <f t="shared" si="170"/>
        <v>#DIV/0!</v>
      </c>
      <c r="MK42" s="5881"/>
      <c r="MN42" s="372">
        <f t="shared" si="12"/>
        <v>0</v>
      </c>
      <c r="MP42" s="5881"/>
      <c r="MQ42" s="1839"/>
      <c r="MR42" s="1839"/>
      <c r="MS42" s="1839"/>
      <c r="MT42" s="693"/>
      <c r="MU42" s="2035"/>
      <c r="MV42" s="1914"/>
      <c r="MW42" s="1914"/>
      <c r="MX42" s="1914"/>
      <c r="MY42" s="5882"/>
      <c r="MZ42" s="1659"/>
      <c r="NA42" s="1839"/>
      <c r="NB42" s="1839"/>
      <c r="NC42" s="1839"/>
      <c r="ND42" s="1839"/>
      <c r="NO42" s="5883"/>
      <c r="NP42" s="2425"/>
      <c r="NQ42" s="2425"/>
      <c r="NR42" s="5883"/>
      <c r="NT42" s="1839"/>
      <c r="NU42" s="1839"/>
      <c r="NV42" s="715"/>
      <c r="NW42" s="1839"/>
      <c r="NX42" s="1660"/>
      <c r="NY42" s="1659"/>
      <c r="NZ42" s="715"/>
      <c r="OA42" s="715"/>
      <c r="OB42" s="1839"/>
      <c r="OC42" s="1660"/>
      <c r="OE42" s="5885"/>
      <c r="OF42" s="5885"/>
      <c r="OG42" s="715"/>
      <c r="OH42" s="1660"/>
      <c r="OI42" s="1659"/>
      <c r="OJ42" s="1839"/>
      <c r="OK42" s="1839"/>
      <c r="OL42" s="1839"/>
      <c r="OM42" s="693"/>
      <c r="ON42" s="1659"/>
      <c r="OO42" s="715"/>
      <c r="OP42" s="715"/>
      <c r="OQ42" s="715"/>
      <c r="OR42" s="705"/>
      <c r="OS42" s="1659"/>
      <c r="OT42" s="1839"/>
      <c r="OU42" s="1839"/>
      <c r="OV42" s="1839"/>
      <c r="OW42" s="705"/>
      <c r="OX42" s="1659"/>
      <c r="OY42" s="1839"/>
      <c r="OZ42" s="1839"/>
      <c r="PA42" s="1839"/>
      <c r="PB42" s="1660"/>
      <c r="PD42" s="3645"/>
      <c r="PE42" s="2897"/>
      <c r="PF42" s="2897"/>
      <c r="PG42" s="2589">
        <f t="shared" si="138"/>
        <v>0</v>
      </c>
      <c r="PH42" s="77"/>
      <c r="PN42" s="5880"/>
      <c r="PO42" s="4965"/>
      <c r="PP42" s="4965"/>
      <c r="PQ42" s="1839"/>
      <c r="PR42" s="207" t="e">
        <f t="shared" si="171"/>
        <v>#DIV/0!</v>
      </c>
      <c r="PS42" s="5886"/>
      <c r="PT42" s="5883"/>
      <c r="PU42" s="5883"/>
      <c r="PV42" s="2892">
        <f t="shared" si="13"/>
        <v>0</v>
      </c>
      <c r="PW42" s="5883"/>
      <c r="PX42" s="5881"/>
      <c r="PY42" s="1839"/>
      <c r="PZ42" s="1839"/>
      <c r="QA42" s="1839"/>
      <c r="QB42" s="693"/>
      <c r="QC42" s="2035"/>
      <c r="QD42" s="1914"/>
      <c r="QE42" s="1914"/>
      <c r="QF42" s="1914"/>
      <c r="QG42" s="5882"/>
      <c r="QH42" s="1910"/>
      <c r="QI42" s="1839"/>
      <c r="QJ42" s="1839"/>
      <c r="QK42" s="1839"/>
      <c r="QL42" s="1839"/>
      <c r="QM42" s="5880"/>
      <c r="QR42" s="5883"/>
      <c r="QS42" s="5883"/>
      <c r="QT42" s="5883"/>
      <c r="QU42" s="5883"/>
      <c r="QV42" s="1677"/>
      <c r="QW42" s="5883"/>
      <c r="QX42" s="2425"/>
      <c r="QY42" s="2425"/>
      <c r="QZ42" s="5883"/>
      <c r="RA42" s="5883"/>
      <c r="RB42" s="1839"/>
      <c r="RC42" s="1839"/>
      <c r="RD42" s="715"/>
      <c r="RE42" s="1839"/>
      <c r="RF42" s="1660"/>
      <c r="RG42" s="2037"/>
      <c r="RH42" s="1914"/>
      <c r="RI42" s="1914"/>
      <c r="RJ42" s="5882"/>
      <c r="RK42" s="1660"/>
      <c r="RL42" s="5883"/>
      <c r="RM42" s="1873">
        <f t="shared" si="77"/>
        <v>0</v>
      </c>
      <c r="RN42" s="1873">
        <f t="shared" si="77"/>
        <v>0</v>
      </c>
      <c r="RO42" s="1873">
        <f t="shared" si="77"/>
        <v>0</v>
      </c>
      <c r="RP42" s="5883"/>
      <c r="RQ42" s="1659"/>
      <c r="RR42" s="1839"/>
      <c r="RS42" s="1839"/>
      <c r="RT42" s="1839"/>
      <c r="RU42" s="693"/>
      <c r="RV42" s="1659"/>
      <c r="RW42" s="715"/>
      <c r="RX42" s="715"/>
      <c r="RY42" s="715"/>
      <c r="RZ42" s="705"/>
      <c r="SA42" s="1659"/>
      <c r="SB42" s="1839"/>
      <c r="SC42" s="1839"/>
      <c r="SD42" s="1839"/>
      <c r="SE42" s="705"/>
      <c r="SF42" s="1659"/>
      <c r="SG42" s="1839"/>
      <c r="SH42" s="1839"/>
      <c r="SI42" s="1839"/>
      <c r="SJ42" s="1660"/>
      <c r="SL42" s="3645"/>
      <c r="SM42" s="2897"/>
      <c r="SN42" s="2897"/>
      <c r="SO42" s="6029">
        <f t="shared" si="139"/>
        <v>0</v>
      </c>
      <c r="SP42" s="6056"/>
      <c r="SQ42" s="5883"/>
      <c r="SR42" s="5883"/>
      <c r="SS42" s="5883"/>
      <c r="ST42" s="5883"/>
      <c r="SU42" s="5883"/>
      <c r="SV42" s="5880"/>
      <c r="SW42" s="4965"/>
      <c r="SX42" s="4965"/>
      <c r="SY42" s="1839"/>
      <c r="SZ42" s="207" t="e">
        <f t="shared" si="172"/>
        <v>#DIV/0!</v>
      </c>
      <c r="TA42" s="5881"/>
      <c r="TD42" s="372">
        <f t="shared" si="14"/>
        <v>0</v>
      </c>
      <c r="TF42" s="5881"/>
      <c r="TG42" s="1839"/>
      <c r="TH42" s="1839"/>
      <c r="TI42" s="1839"/>
      <c r="TJ42" s="693"/>
      <c r="TK42" s="2035"/>
      <c r="TL42" s="1914"/>
      <c r="TM42" s="1914"/>
      <c r="TN42" s="1914"/>
      <c r="TO42" s="5882"/>
      <c r="TP42" s="2407"/>
      <c r="TQ42" s="1839"/>
      <c r="TR42" s="1839"/>
      <c r="TS42" s="1839"/>
      <c r="TT42" s="1839"/>
      <c r="TU42" s="5889"/>
      <c r="TV42" s="5883"/>
      <c r="TW42" s="5883"/>
      <c r="TX42" s="5883"/>
      <c r="TY42" s="5883"/>
      <c r="TZ42" s="5883"/>
      <c r="UA42" s="5883"/>
      <c r="UB42" s="5883"/>
      <c r="UC42" s="5883"/>
      <c r="UD42" s="1677"/>
      <c r="UE42" s="5883"/>
      <c r="UF42" s="2425"/>
      <c r="UG42" s="2425"/>
      <c r="UH42" s="5883"/>
      <c r="UI42" s="5883"/>
      <c r="UJ42" s="1839"/>
      <c r="UK42" s="1839"/>
      <c r="UL42" s="715"/>
      <c r="UM42" s="1839"/>
      <c r="UN42" s="1660"/>
      <c r="UO42" s="2037"/>
      <c r="UP42" s="1914"/>
      <c r="UQ42" s="1914"/>
      <c r="UR42" s="5882"/>
      <c r="US42" s="1660"/>
      <c r="UU42" s="622">
        <f t="shared" si="78"/>
        <v>0</v>
      </c>
      <c r="UV42" s="622">
        <f t="shared" si="78"/>
        <v>0</v>
      </c>
      <c r="UW42" s="622">
        <f t="shared" si="78"/>
        <v>0</v>
      </c>
      <c r="UY42" s="1659"/>
      <c r="UZ42" s="1839"/>
      <c r="VA42" s="1839"/>
      <c r="VB42" s="1839"/>
      <c r="VC42" s="693"/>
      <c r="VD42" s="1659"/>
      <c r="VE42" s="715"/>
      <c r="VF42" s="715"/>
      <c r="VG42" s="715"/>
      <c r="VH42" s="705"/>
      <c r="VI42" s="1659"/>
      <c r="VJ42" s="1839"/>
      <c r="VK42" s="1839"/>
      <c r="VL42" s="1839"/>
      <c r="VM42" s="705"/>
      <c r="VN42" s="1659"/>
      <c r="VO42" s="1839"/>
      <c r="VP42" s="1839"/>
      <c r="VQ42" s="1839"/>
      <c r="VR42" s="1660"/>
    </row>
    <row r="43" spans="1:590" s="122" customFormat="1" ht="13.45" hidden="1" x14ac:dyDescent="0.3">
      <c r="A43" s="2906"/>
      <c r="B43" s="6016" t="s">
        <v>53</v>
      </c>
      <c r="C43" s="6031" t="s">
        <v>797</v>
      </c>
      <c r="D43" s="6057" t="s">
        <v>798</v>
      </c>
      <c r="E43" s="5964">
        <v>43891</v>
      </c>
      <c r="F43" s="5964">
        <v>44286</v>
      </c>
      <c r="G43" s="5965">
        <v>247658</v>
      </c>
      <c r="H43" s="1775"/>
      <c r="I43" s="1776"/>
      <c r="J43" s="1776"/>
      <c r="K43" s="1776">
        <f>J43-I43</f>
        <v>0</v>
      </c>
      <c r="L43" s="1777"/>
      <c r="M43" s="1778"/>
      <c r="N43" s="1779"/>
      <c r="O43" s="1779"/>
      <c r="P43" s="1779">
        <f>O43-N43</f>
        <v>0</v>
      </c>
      <c r="Q43" s="1780"/>
      <c r="R43" s="1780"/>
      <c r="S43" s="1776"/>
      <c r="T43" s="1776"/>
      <c r="U43" s="1776">
        <f>T43-S43</f>
        <v>0</v>
      </c>
      <c r="V43" s="1777"/>
      <c r="W43" s="1776"/>
      <c r="X43" s="1776"/>
      <c r="Y43" s="1781"/>
      <c r="Z43" s="1776">
        <f>Y43-X43</f>
        <v>0</v>
      </c>
      <c r="AA43" s="1782"/>
      <c r="AB43" s="1781"/>
      <c r="AC43" s="1783"/>
      <c r="AD43" s="1784"/>
      <c r="AE43" s="1776"/>
      <c r="AF43" s="1777"/>
      <c r="AG43" s="1785"/>
      <c r="AH43" s="1776"/>
      <c r="AI43" s="1776"/>
      <c r="AJ43" s="1786"/>
      <c r="AK43" s="1777"/>
      <c r="AL43" s="1785"/>
      <c r="AM43" s="1776"/>
      <c r="AN43" s="1776"/>
      <c r="AO43" s="1781"/>
      <c r="AP43" s="1777"/>
      <c r="AQ43" s="1787"/>
      <c r="AR43" s="1788"/>
      <c r="AS43" s="1788"/>
      <c r="AT43" s="1789"/>
      <c r="AU43" s="1777"/>
      <c r="AV43" s="1790"/>
      <c r="AW43" s="1781"/>
      <c r="AX43" s="1781"/>
      <c r="AY43" s="1781"/>
      <c r="AZ43" s="1777"/>
      <c r="BA43" s="1791">
        <v>2</v>
      </c>
      <c r="BB43" s="1792">
        <v>37647</v>
      </c>
      <c r="BC43" s="1783">
        <v>69653</v>
      </c>
      <c r="BD43" s="1781">
        <f>BC43-BB43</f>
        <v>32006</v>
      </c>
      <c r="BE43" s="1780">
        <f>BD43/BC43</f>
        <v>0.45950641034844159</v>
      </c>
      <c r="BF43" s="1790">
        <v>4</v>
      </c>
      <c r="BG43" s="1781">
        <v>86063</v>
      </c>
      <c r="BH43" s="1776">
        <v>123866</v>
      </c>
      <c r="BI43" s="1781">
        <f>BH43-BG43</f>
        <v>37803</v>
      </c>
      <c r="BJ43" s="1780">
        <f>BI43/BH43</f>
        <v>0.30519270824923705</v>
      </c>
      <c r="BK43" s="1790">
        <v>4</v>
      </c>
      <c r="BL43" s="1783">
        <v>88397</v>
      </c>
      <c r="BM43" s="1783">
        <v>125000</v>
      </c>
      <c r="BN43" s="1781">
        <f>BM43-BL43</f>
        <v>36603</v>
      </c>
      <c r="BO43" s="5978">
        <f>BN43/BM43</f>
        <v>0.29282399999999997</v>
      </c>
      <c r="BP43" s="1937">
        <f>(AV43+AQ43+AL43+AG43+AB43+W43+R43+M43+H43+BA43+BF43+BK43)/12</f>
        <v>0.83333333333333337</v>
      </c>
      <c r="BQ43" s="1796">
        <f t="shared" si="173"/>
        <v>212107</v>
      </c>
      <c r="BR43" s="1786">
        <f t="shared" si="173"/>
        <v>318519</v>
      </c>
      <c r="BS43" s="1797">
        <f>BR43-BQ43</f>
        <v>106412</v>
      </c>
      <c r="BT43" s="1798">
        <f>H43+M43+R43</f>
        <v>0</v>
      </c>
      <c r="BU43" s="1786">
        <f t="shared" si="174"/>
        <v>0</v>
      </c>
      <c r="BV43" s="1786">
        <f t="shared" si="174"/>
        <v>0</v>
      </c>
      <c r="BW43" s="1799"/>
      <c r="BX43" s="1800">
        <f>W43+AB43+AG43</f>
        <v>0</v>
      </c>
      <c r="BY43" s="1786">
        <f t="shared" si="175"/>
        <v>0</v>
      </c>
      <c r="BZ43" s="1786">
        <f t="shared" si="175"/>
        <v>0</v>
      </c>
      <c r="CA43" s="1801"/>
      <c r="CB43" s="1802">
        <f>AL43+AQ43+AV43</f>
        <v>0</v>
      </c>
      <c r="CC43" s="1786">
        <f t="shared" si="176"/>
        <v>0</v>
      </c>
      <c r="CD43" s="1786">
        <f t="shared" si="176"/>
        <v>0</v>
      </c>
      <c r="CE43" s="1803"/>
      <c r="CF43" s="1800">
        <f>BA43+BF43+BK43</f>
        <v>10</v>
      </c>
      <c r="CG43" s="1776">
        <f t="shared" si="177"/>
        <v>318519</v>
      </c>
      <c r="CH43" s="1776">
        <f t="shared" si="177"/>
        <v>106412</v>
      </c>
      <c r="CI43" s="1801"/>
      <c r="CJ43" s="1804">
        <v>4</v>
      </c>
      <c r="CK43" s="1783">
        <v>88063</v>
      </c>
      <c r="CL43" s="1783">
        <v>125000</v>
      </c>
      <c r="CM43" s="1776">
        <f>CL43-CK43</f>
        <v>36937</v>
      </c>
      <c r="CN43" s="1799">
        <f>CM43/CL43</f>
        <v>0.29549599999999998</v>
      </c>
      <c r="CO43" s="1804">
        <v>8</v>
      </c>
      <c r="CP43" s="1776">
        <v>227944</v>
      </c>
      <c r="CQ43" s="1776">
        <v>291363</v>
      </c>
      <c r="CR43" s="1776">
        <f>CQ43-CP43</f>
        <v>63419</v>
      </c>
      <c r="CS43" s="1799">
        <f>CR43/CQ43</f>
        <v>0.21766318990400291</v>
      </c>
      <c r="CT43" s="1804">
        <v>6</v>
      </c>
      <c r="CU43" s="1776">
        <v>159017</v>
      </c>
      <c r="CV43" s="1776">
        <v>238626</v>
      </c>
      <c r="CW43" s="1776">
        <f t="shared" si="178"/>
        <v>79609</v>
      </c>
      <c r="CX43" s="1799">
        <f>CW43/CV43</f>
        <v>0.33361410743171321</v>
      </c>
      <c r="CY43" s="1804"/>
      <c r="CZ43" s="1776"/>
      <c r="DA43" s="1776"/>
      <c r="DB43" s="1776">
        <f t="shared" si="179"/>
        <v>0</v>
      </c>
      <c r="DC43" s="1799" t="s">
        <v>732</v>
      </c>
      <c r="DD43" s="1805"/>
      <c r="DE43" s="1806"/>
      <c r="DF43" s="1806"/>
      <c r="DG43" s="1783">
        <f t="shared" si="180"/>
        <v>0</v>
      </c>
      <c r="DH43" s="1807" t="s">
        <v>732</v>
      </c>
      <c r="DI43" s="1808">
        <v>4</v>
      </c>
      <c r="DJ43" s="2577">
        <v>120090</v>
      </c>
      <c r="DK43" s="1806">
        <v>139562</v>
      </c>
      <c r="DL43" s="1776">
        <f t="shared" si="181"/>
        <v>19472</v>
      </c>
      <c r="DM43" s="1807">
        <f>DL43/DK43</f>
        <v>0.13952221951534086</v>
      </c>
      <c r="DN43" s="1804">
        <v>4</v>
      </c>
      <c r="DO43" s="1776">
        <v>141000</v>
      </c>
      <c r="DP43" s="1776">
        <v>165785.54999999999</v>
      </c>
      <c r="DQ43" s="1776">
        <f t="shared" si="182"/>
        <v>24785.549999999988</v>
      </c>
      <c r="DR43" s="1807">
        <f t="shared" si="183"/>
        <v>0.1495036811109291</v>
      </c>
      <c r="DS43" s="1808">
        <v>4</v>
      </c>
      <c r="DT43" s="2577">
        <v>181308</v>
      </c>
      <c r="DU43" s="1783">
        <v>215899.98</v>
      </c>
      <c r="DV43" s="1776">
        <f t="shared" si="184"/>
        <v>34591.98000000001</v>
      </c>
      <c r="DW43" s="1799">
        <f t="shared" si="185"/>
        <v>0.16022224735731799</v>
      </c>
      <c r="DX43" s="1804">
        <v>7</v>
      </c>
      <c r="DY43" s="1776">
        <v>192107</v>
      </c>
      <c r="DZ43" s="1776">
        <v>227554.5</v>
      </c>
      <c r="EA43" s="1776">
        <f t="shared" si="186"/>
        <v>35447.5</v>
      </c>
      <c r="EB43" s="1807">
        <f t="shared" si="187"/>
        <v>0.1557758690775177</v>
      </c>
      <c r="EC43" s="1804">
        <v>6</v>
      </c>
      <c r="ED43" s="1776">
        <v>203499</v>
      </c>
      <c r="EE43" s="1776">
        <v>227554.5</v>
      </c>
      <c r="EF43" s="1786">
        <f t="shared" si="188"/>
        <v>24055.5</v>
      </c>
      <c r="EG43" s="1807">
        <f t="shared" si="189"/>
        <v>0.10571313685292974</v>
      </c>
      <c r="EH43" s="1804">
        <v>5</v>
      </c>
      <c r="EI43" s="1776">
        <v>174332</v>
      </c>
      <c r="EJ43" s="1776">
        <v>216774.07199999999</v>
      </c>
      <c r="EK43" s="1776">
        <f t="shared" si="190"/>
        <v>42442.071999999986</v>
      </c>
      <c r="EL43" s="1807">
        <f t="shared" si="191"/>
        <v>0.19578943002002558</v>
      </c>
      <c r="EM43" s="1804">
        <v>4</v>
      </c>
      <c r="EN43" s="1776">
        <v>140999</v>
      </c>
      <c r="EO43" s="1776">
        <v>176827.81</v>
      </c>
      <c r="EP43" s="1776">
        <f t="shared" si="192"/>
        <v>35828.81</v>
      </c>
      <c r="EQ43" s="1807">
        <f t="shared" si="193"/>
        <v>0.20261976891530806</v>
      </c>
      <c r="ER43" s="2402">
        <f t="shared" si="38"/>
        <v>4.333333333333333</v>
      </c>
      <c r="ES43" s="2403">
        <f t="shared" si="146"/>
        <v>1628359</v>
      </c>
      <c r="ET43" s="2403">
        <f t="shared" si="146"/>
        <v>2024947.412</v>
      </c>
      <c r="EU43" s="2403">
        <f t="shared" si="146"/>
        <v>396588.41200000001</v>
      </c>
      <c r="EV43" s="2404">
        <f t="shared" si="40"/>
        <v>0.19585121551788723</v>
      </c>
      <c r="EW43" s="1814">
        <f t="shared" si="194"/>
        <v>6</v>
      </c>
      <c r="EX43" s="1776">
        <f t="shared" si="195"/>
        <v>654989</v>
      </c>
      <c r="EY43" s="1776">
        <f t="shared" si="195"/>
        <v>179965</v>
      </c>
      <c r="EZ43" s="1815">
        <f>EY43/EX43</f>
        <v>0.27476033948661732</v>
      </c>
      <c r="FA43" s="1939">
        <f t="shared" si="196"/>
        <v>1.3333333333333333</v>
      </c>
      <c r="FB43" s="1786">
        <f t="shared" si="197"/>
        <v>139562</v>
      </c>
      <c r="FC43" s="1786">
        <f t="shared" si="197"/>
        <v>19472</v>
      </c>
      <c r="FD43" s="1799">
        <f>FC43/FB43</f>
        <v>0.13952221951534086</v>
      </c>
      <c r="FE43" s="1814">
        <f t="shared" si="198"/>
        <v>5</v>
      </c>
      <c r="FF43" s="1786">
        <f t="shared" si="199"/>
        <v>609240.03</v>
      </c>
      <c r="FG43" s="1786">
        <f t="shared" si="199"/>
        <v>94825.03</v>
      </c>
      <c r="FH43" s="1815">
        <f t="shared" si="200"/>
        <v>0.15564477928346238</v>
      </c>
      <c r="FI43" s="1816">
        <f t="shared" si="201"/>
        <v>5</v>
      </c>
      <c r="FJ43" s="1814"/>
      <c r="FK43" s="1786">
        <f t="shared" si="202"/>
        <v>621156.38199999998</v>
      </c>
      <c r="FL43" s="1786">
        <f t="shared" si="202"/>
        <v>102326.38199999998</v>
      </c>
      <c r="FM43" s="1799">
        <f t="shared" si="203"/>
        <v>0.16473529849364082</v>
      </c>
      <c r="FN43" s="1817">
        <v>4</v>
      </c>
      <c r="FO43" s="1818">
        <v>140999</v>
      </c>
      <c r="FP43" s="1818">
        <v>176827.81</v>
      </c>
      <c r="FQ43" s="1818">
        <f t="shared" si="204"/>
        <v>35828.81</v>
      </c>
      <c r="FR43" s="1819">
        <f t="shared" si="205"/>
        <v>0.20261976891530806</v>
      </c>
      <c r="FS43" s="1820">
        <v>4</v>
      </c>
      <c r="FT43" s="1818">
        <v>158022</v>
      </c>
      <c r="FU43" s="1818">
        <v>211747.59</v>
      </c>
      <c r="FV43" s="1818">
        <f t="shared" si="206"/>
        <v>53725.59</v>
      </c>
      <c r="FW43" s="1821">
        <f t="shared" si="207"/>
        <v>0.25372468229744666</v>
      </c>
      <c r="FX43" s="1820">
        <v>5</v>
      </c>
      <c r="FY43" s="1822">
        <v>124547</v>
      </c>
      <c r="FZ43" s="1822">
        <v>211747.59</v>
      </c>
      <c r="GA43" s="1818">
        <f t="shared" si="208"/>
        <v>87200.59</v>
      </c>
      <c r="GB43" s="1821">
        <f t="shared" si="209"/>
        <v>0.41181384874321353</v>
      </c>
      <c r="GC43" s="1823">
        <v>7</v>
      </c>
      <c r="GD43" s="1824">
        <v>150495.1</v>
      </c>
      <c r="GE43" s="1824">
        <v>247568</v>
      </c>
      <c r="GF43" s="1818">
        <f t="shared" si="210"/>
        <v>97072.9</v>
      </c>
      <c r="GG43" s="1821">
        <f t="shared" si="211"/>
        <v>0.39210600723841527</v>
      </c>
      <c r="GH43" s="1823">
        <v>6</v>
      </c>
      <c r="GI43" s="1824">
        <v>163023</v>
      </c>
      <c r="GJ43" s="1824">
        <v>247658</v>
      </c>
      <c r="GK43" s="1818">
        <v>84635</v>
      </c>
      <c r="GL43" s="1821">
        <f t="shared" si="212"/>
        <v>0.34174143375138294</v>
      </c>
      <c r="GM43" s="1823">
        <v>3</v>
      </c>
      <c r="GN43" s="1824">
        <v>95834</v>
      </c>
      <c r="GO43" s="1824">
        <v>247658</v>
      </c>
      <c r="GP43" s="1818">
        <f t="shared" si="213"/>
        <v>151824</v>
      </c>
      <c r="GQ43" s="1821">
        <f t="shared" si="214"/>
        <v>0.61303894887304267</v>
      </c>
      <c r="GR43" s="1823">
        <v>3</v>
      </c>
      <c r="GS43" s="1824">
        <v>115085</v>
      </c>
      <c r="GT43" s="1824">
        <v>247658</v>
      </c>
      <c r="GU43" s="1818">
        <f t="shared" si="215"/>
        <v>132573</v>
      </c>
      <c r="GV43" s="1821">
        <f t="shared" si="216"/>
        <v>0.53530675366836522</v>
      </c>
      <c r="GW43" s="1823">
        <v>6</v>
      </c>
      <c r="GX43" s="1824">
        <v>160249</v>
      </c>
      <c r="GY43" s="1824">
        <v>247658</v>
      </c>
      <c r="GZ43" s="1818">
        <f t="shared" si="217"/>
        <v>87409</v>
      </c>
      <c r="HA43" s="1821">
        <f t="shared" si="218"/>
        <v>0.3529423640665757</v>
      </c>
      <c r="HB43" s="1823">
        <v>6</v>
      </c>
      <c r="HC43" s="1824">
        <v>115332</v>
      </c>
      <c r="HD43" s="1824">
        <v>247658</v>
      </c>
      <c r="HE43" s="1818">
        <f t="shared" si="147"/>
        <v>132326</v>
      </c>
      <c r="HF43" s="1821">
        <f t="shared" si="148"/>
        <v>0.53430941055810832</v>
      </c>
      <c r="HG43" s="1823">
        <v>4</v>
      </c>
      <c r="HH43" s="1824">
        <v>115097</v>
      </c>
      <c r="HI43" s="1824">
        <v>247658</v>
      </c>
      <c r="HJ43" s="1818">
        <f t="shared" si="149"/>
        <v>132561</v>
      </c>
      <c r="HK43" s="1821">
        <f t="shared" si="150"/>
        <v>0.5352582997520775</v>
      </c>
      <c r="HL43" s="1823">
        <v>4</v>
      </c>
      <c r="HM43" s="1824">
        <v>115332</v>
      </c>
      <c r="HN43" s="1824">
        <v>173360.59999999998</v>
      </c>
      <c r="HO43" s="1818">
        <f t="shared" si="151"/>
        <v>58028.599999999977</v>
      </c>
      <c r="HP43" s="1821">
        <f t="shared" si="152"/>
        <v>0.33472772936872613</v>
      </c>
      <c r="HQ43" s="654">
        <v>4</v>
      </c>
      <c r="HR43" s="1248">
        <v>115097</v>
      </c>
      <c r="HS43" s="1248">
        <v>179353.66799999998</v>
      </c>
      <c r="HT43" s="1248">
        <f t="shared" si="153"/>
        <v>64256.667999999976</v>
      </c>
      <c r="HU43" s="1826">
        <f t="shared" si="154"/>
        <v>0.3582679334999716</v>
      </c>
      <c r="HV43" s="5941">
        <f t="shared" si="155"/>
        <v>4.666666666666667</v>
      </c>
      <c r="HW43" s="622">
        <f t="shared" si="156"/>
        <v>1569112.1</v>
      </c>
      <c r="HX43" s="622">
        <f t="shared" si="156"/>
        <v>2686553.2580000004</v>
      </c>
      <c r="HY43" s="622">
        <f t="shared" si="156"/>
        <v>1117441.1580000001</v>
      </c>
      <c r="HZ43" s="1828"/>
      <c r="IA43" s="1829">
        <f t="shared" si="219"/>
        <v>4.333333333333333</v>
      </c>
      <c r="IB43" s="1830">
        <f t="shared" si="220"/>
        <v>600322.99</v>
      </c>
      <c r="IC43" s="1830">
        <f t="shared" si="220"/>
        <v>176754.99</v>
      </c>
      <c r="ID43" s="1831">
        <f t="shared" si="221"/>
        <v>0.29443315172720602</v>
      </c>
      <c r="IE43" s="1832">
        <f t="shared" si="222"/>
        <v>5.333333333333333</v>
      </c>
      <c r="IF43" s="1833">
        <f t="shared" si="223"/>
        <v>742884</v>
      </c>
      <c r="IG43" s="1834">
        <f t="shared" si="223"/>
        <v>333531.90000000002</v>
      </c>
      <c r="IH43" s="1831">
        <f t="shared" si="224"/>
        <v>0.44896901804319383</v>
      </c>
      <c r="II43" s="1835">
        <f t="shared" si="157"/>
        <v>5</v>
      </c>
      <c r="IJ43" s="1836">
        <f t="shared" si="158"/>
        <v>742974</v>
      </c>
      <c r="IK43" s="1836">
        <f t="shared" si="158"/>
        <v>352308</v>
      </c>
      <c r="IL43" s="239">
        <f t="shared" si="159"/>
        <v>0.4741861760976831</v>
      </c>
      <c r="IM43" s="1837">
        <f t="shared" si="160"/>
        <v>4.666666666666667</v>
      </c>
      <c r="IN43" s="1836">
        <f t="shared" si="161"/>
        <v>600372.26799999992</v>
      </c>
      <c r="IO43" s="1836">
        <f t="shared" si="161"/>
        <v>254846.26799999995</v>
      </c>
      <c r="IP43" s="1838">
        <f t="shared" si="162"/>
        <v>0.42448041254297242</v>
      </c>
      <c r="IQ43" s="1839"/>
      <c r="IR43" s="1840">
        <v>4</v>
      </c>
      <c r="IS43" s="1818">
        <v>114248</v>
      </c>
      <c r="IT43" s="1818">
        <v>210930.02</v>
      </c>
      <c r="IU43" s="1818">
        <f t="shared" si="163"/>
        <v>96682.01999999999</v>
      </c>
      <c r="IV43" s="1819">
        <f t="shared" ref="IV43:IV49" si="225">IU43/IT43</f>
        <v>0.45836064491910633</v>
      </c>
      <c r="IW43" s="1820">
        <v>4</v>
      </c>
      <c r="IX43" s="1818">
        <v>113898</v>
      </c>
      <c r="IY43" s="1818">
        <v>210930.02</v>
      </c>
      <c r="IZ43" s="1818">
        <f>IY43-IX43</f>
        <v>97032.01999999999</v>
      </c>
      <c r="JA43" s="1821">
        <f t="shared" ref="JA43:JA48" si="226">IZ43/IY43</f>
        <v>0.46001996301901454</v>
      </c>
      <c r="JB43" s="1984">
        <v>4</v>
      </c>
      <c r="JC43" s="1985">
        <v>115097</v>
      </c>
      <c r="JD43" s="1986">
        <v>210930.02</v>
      </c>
      <c r="JE43" s="1818">
        <f t="shared" si="164"/>
        <v>95833.01999999999</v>
      </c>
      <c r="JF43" s="1821">
        <f>JE43/JD43</f>
        <v>0.45433561329961469</v>
      </c>
      <c r="JG43" s="1981">
        <v>4</v>
      </c>
      <c r="JH43" s="1824">
        <f>78079+23000</f>
        <v>101079</v>
      </c>
      <c r="JI43" s="1824">
        <v>210930</v>
      </c>
      <c r="JJ43" s="1822">
        <f t="shared" si="67"/>
        <v>109851</v>
      </c>
      <c r="JK43" s="1821">
        <f>JJ43/JI43</f>
        <v>0.52079362821789221</v>
      </c>
      <c r="JL43" s="1823">
        <v>2</v>
      </c>
      <c r="JM43" s="1824">
        <v>78097</v>
      </c>
      <c r="JN43" s="1824">
        <v>210930.02</v>
      </c>
      <c r="JO43" s="1996">
        <f t="shared" si="165"/>
        <v>132833.01999999999</v>
      </c>
      <c r="JP43" s="1821">
        <f>JO43/JN43</f>
        <v>0.62974924100419649</v>
      </c>
      <c r="JQ43" s="6013"/>
      <c r="JR43" s="1982"/>
      <c r="JS43" s="1248"/>
      <c r="JT43" s="1996"/>
      <c r="JU43" s="1821"/>
      <c r="JV43" s="1981"/>
      <c r="JW43" s="1824"/>
      <c r="JX43" s="1248">
        <v>0</v>
      </c>
      <c r="JY43" s="1996">
        <f t="shared" si="141"/>
        <v>0</v>
      </c>
      <c r="JZ43" s="1821"/>
      <c r="KA43" s="1981"/>
      <c r="KB43" s="1248">
        <v>0</v>
      </c>
      <c r="KC43" s="1982">
        <v>0</v>
      </c>
      <c r="KD43" s="1983">
        <f t="shared" si="142"/>
        <v>0</v>
      </c>
      <c r="KE43" s="1952"/>
      <c r="KF43" s="1981"/>
      <c r="KG43" s="1248">
        <v>0</v>
      </c>
      <c r="KH43" s="1824">
        <v>0</v>
      </c>
      <c r="KI43" s="1818">
        <f t="shared" ref="KI43:KI61" si="227">KH43-KG43</f>
        <v>0</v>
      </c>
      <c r="KJ43" s="1821"/>
      <c r="KK43" s="1990"/>
      <c r="KL43" s="1904"/>
      <c r="KM43" s="1904"/>
      <c r="KN43" s="2023">
        <f t="shared" si="130"/>
        <v>0</v>
      </c>
      <c r="KO43" s="2024"/>
      <c r="KP43" s="1823"/>
      <c r="KQ43" s="1982"/>
      <c r="KR43" s="1248"/>
      <c r="KS43" s="1996">
        <f t="shared" si="166"/>
        <v>0</v>
      </c>
      <c r="KT43" s="1819"/>
      <c r="KU43" s="1905"/>
      <c r="KV43" s="1248"/>
      <c r="KW43" s="1248"/>
      <c r="KX43" s="1248">
        <f t="shared" si="145"/>
        <v>0</v>
      </c>
      <c r="KY43" s="77"/>
      <c r="KZ43" s="1832"/>
      <c r="LA43" s="622">
        <f t="shared" si="144"/>
        <v>522419</v>
      </c>
      <c r="LB43" s="622">
        <f t="shared" si="144"/>
        <v>1054650.0799999998</v>
      </c>
      <c r="LC43" s="622">
        <f t="shared" si="144"/>
        <v>532231.07999999996</v>
      </c>
      <c r="LD43" s="239">
        <f t="shared" ref="LD43:LD49" si="228">LC43/LB43</f>
        <v>0.50465181778585755</v>
      </c>
      <c r="LE43" s="1834">
        <f t="shared" si="71"/>
        <v>4</v>
      </c>
      <c r="LF43" s="1830">
        <f t="shared" si="167"/>
        <v>632790.05999999994</v>
      </c>
      <c r="LG43" s="1830">
        <f t="shared" si="167"/>
        <v>289547.05999999994</v>
      </c>
      <c r="LH43" s="1831">
        <f t="shared" si="168"/>
        <v>0.4575720737459118</v>
      </c>
      <c r="LI43" s="1832">
        <f t="shared" si="132"/>
        <v>2</v>
      </c>
      <c r="LJ43" s="1833">
        <f t="shared" si="133"/>
        <v>421860.02</v>
      </c>
      <c r="LK43" s="1834">
        <f t="shared" si="133"/>
        <v>242684.02</v>
      </c>
      <c r="LL43" s="1831">
        <f t="shared" si="169"/>
        <v>0.57527143719378759</v>
      </c>
      <c r="LM43" s="1835">
        <f t="shared" si="135"/>
        <v>0</v>
      </c>
      <c r="LN43" s="1836">
        <f t="shared" si="136"/>
        <v>0</v>
      </c>
      <c r="LO43" s="1836">
        <f t="shared" si="136"/>
        <v>0</v>
      </c>
      <c r="LP43" s="239"/>
      <c r="LQ43" s="1837">
        <f t="shared" si="140"/>
        <v>0</v>
      </c>
      <c r="LR43" s="1836">
        <f t="shared" ref="LR43:LS61" si="229">(KM43+KR43+KW43)</f>
        <v>0</v>
      </c>
      <c r="LS43" s="1836">
        <f t="shared" si="229"/>
        <v>0</v>
      </c>
      <c r="LT43" s="1838"/>
      <c r="LV43" s="3645"/>
      <c r="LW43" s="2897"/>
      <c r="LX43" s="2897"/>
      <c r="LY43" s="2589">
        <f t="shared" si="137"/>
        <v>0</v>
      </c>
      <c r="LZ43" s="77"/>
      <c r="MF43" s="5880"/>
      <c r="MG43" s="4965"/>
      <c r="MH43" s="4965"/>
      <c r="MI43" s="1839"/>
      <c r="MJ43" s="207" t="e">
        <f t="shared" si="170"/>
        <v>#DIV/0!</v>
      </c>
      <c r="MK43" s="5881"/>
      <c r="MN43" s="372">
        <f t="shared" si="12"/>
        <v>0</v>
      </c>
      <c r="MP43" s="5881"/>
      <c r="MQ43" s="1839"/>
      <c r="MR43" s="1839"/>
      <c r="MS43" s="1839"/>
      <c r="MT43" s="693"/>
      <c r="MU43" s="2035"/>
      <c r="MV43" s="1914"/>
      <c r="MW43" s="1914"/>
      <c r="MX43" s="1914"/>
      <c r="MY43" s="5882"/>
      <c r="MZ43" s="1659"/>
      <c r="NA43" s="1839"/>
      <c r="NB43" s="1839"/>
      <c r="NC43" s="1839"/>
      <c r="ND43" s="1839"/>
      <c r="NO43" s="5883"/>
      <c r="NP43" s="2425"/>
      <c r="NQ43" s="2425"/>
      <c r="NR43" s="5883"/>
      <c r="NT43" s="1839"/>
      <c r="NU43" s="1839"/>
      <c r="NV43" s="715"/>
      <c r="NW43" s="1839"/>
      <c r="NX43" s="1660"/>
      <c r="NY43" s="1659"/>
      <c r="NZ43" s="715"/>
      <c r="OA43" s="715"/>
      <c r="OB43" s="1839"/>
      <c r="OC43" s="1660"/>
      <c r="OE43" s="5885"/>
      <c r="OF43" s="5885"/>
      <c r="OG43" s="715"/>
      <c r="OH43" s="1660"/>
      <c r="OI43" s="1659"/>
      <c r="OJ43" s="1839"/>
      <c r="OK43" s="1839"/>
      <c r="OL43" s="1839"/>
      <c r="OM43" s="693"/>
      <c r="ON43" s="1659"/>
      <c r="OO43" s="715"/>
      <c r="OP43" s="715"/>
      <c r="OQ43" s="715"/>
      <c r="OR43" s="705"/>
      <c r="OS43" s="1659"/>
      <c r="OT43" s="1839"/>
      <c r="OU43" s="1839"/>
      <c r="OV43" s="1839"/>
      <c r="OW43" s="705"/>
      <c r="OX43" s="1659"/>
      <c r="OY43" s="1839"/>
      <c r="OZ43" s="1839"/>
      <c r="PA43" s="1839"/>
      <c r="PB43" s="1660"/>
      <c r="PD43" s="3645"/>
      <c r="PE43" s="2897"/>
      <c r="PF43" s="2897"/>
      <c r="PG43" s="2589">
        <f t="shared" si="138"/>
        <v>0</v>
      </c>
      <c r="PH43" s="77"/>
      <c r="PN43" s="5880"/>
      <c r="PO43" s="4965"/>
      <c r="PP43" s="4965"/>
      <c r="PQ43" s="1839"/>
      <c r="PR43" s="207" t="e">
        <f t="shared" si="171"/>
        <v>#DIV/0!</v>
      </c>
      <c r="PS43" s="5886"/>
      <c r="PT43" s="5883"/>
      <c r="PU43" s="5883"/>
      <c r="PV43" s="2892">
        <f t="shared" si="13"/>
        <v>0</v>
      </c>
      <c r="PW43" s="5883"/>
      <c r="PX43" s="5881"/>
      <c r="PY43" s="1839"/>
      <c r="PZ43" s="1839"/>
      <c r="QA43" s="1839"/>
      <c r="QB43" s="693"/>
      <c r="QC43" s="2035"/>
      <c r="QD43" s="1914"/>
      <c r="QE43" s="1914"/>
      <c r="QF43" s="1914"/>
      <c r="QG43" s="5882"/>
      <c r="QH43" s="1910"/>
      <c r="QI43" s="1839"/>
      <c r="QJ43" s="1839"/>
      <c r="QK43" s="1839"/>
      <c r="QL43" s="1839"/>
      <c r="QM43" s="5880"/>
      <c r="QR43" s="5883"/>
      <c r="QS43" s="5883"/>
      <c r="QT43" s="5883"/>
      <c r="QU43" s="5883"/>
      <c r="QV43" s="1677"/>
      <c r="QW43" s="5883"/>
      <c r="QX43" s="2425"/>
      <c r="QY43" s="2425"/>
      <c r="QZ43" s="5883"/>
      <c r="RA43" s="5883"/>
      <c r="RB43" s="1839"/>
      <c r="RC43" s="1839"/>
      <c r="RD43" s="715"/>
      <c r="RE43" s="1839"/>
      <c r="RF43" s="1660"/>
      <c r="RG43" s="2037"/>
      <c r="RH43" s="1914"/>
      <c r="RI43" s="1914"/>
      <c r="RJ43" s="5882"/>
      <c r="RK43" s="1660"/>
      <c r="RL43" s="5883"/>
      <c r="RM43" s="1873">
        <f t="shared" si="77"/>
        <v>0</v>
      </c>
      <c r="RN43" s="1873">
        <f t="shared" si="77"/>
        <v>0</v>
      </c>
      <c r="RO43" s="1873">
        <f t="shared" si="77"/>
        <v>0</v>
      </c>
      <c r="RP43" s="5883"/>
      <c r="RQ43" s="1659"/>
      <c r="RR43" s="1839"/>
      <c r="RS43" s="1839"/>
      <c r="RT43" s="1839"/>
      <c r="RU43" s="693"/>
      <c r="RV43" s="1659"/>
      <c r="RW43" s="715"/>
      <c r="RX43" s="715"/>
      <c r="RY43" s="715"/>
      <c r="RZ43" s="705"/>
      <c r="SA43" s="1659"/>
      <c r="SB43" s="1839"/>
      <c r="SC43" s="1839"/>
      <c r="SD43" s="1839"/>
      <c r="SE43" s="705"/>
      <c r="SF43" s="1659"/>
      <c r="SG43" s="1839"/>
      <c r="SH43" s="1839"/>
      <c r="SI43" s="1839"/>
      <c r="SJ43" s="1660"/>
      <c r="SL43" s="3645"/>
      <c r="SM43" s="2897"/>
      <c r="SN43" s="2897"/>
      <c r="SO43" s="6029">
        <f t="shared" si="139"/>
        <v>0</v>
      </c>
      <c r="SP43" s="6056"/>
      <c r="SQ43" s="5883"/>
      <c r="SR43" s="5883"/>
      <c r="SS43" s="5883"/>
      <c r="ST43" s="5883"/>
      <c r="SU43" s="5883"/>
      <c r="SV43" s="5880"/>
      <c r="SW43" s="4965"/>
      <c r="SX43" s="4965"/>
      <c r="SY43" s="1839"/>
      <c r="SZ43" s="207" t="e">
        <f t="shared" si="172"/>
        <v>#DIV/0!</v>
      </c>
      <c r="TA43" s="5881"/>
      <c r="TD43" s="372">
        <f t="shared" si="14"/>
        <v>0</v>
      </c>
      <c r="TF43" s="5881"/>
      <c r="TG43" s="1839"/>
      <c r="TH43" s="1839"/>
      <c r="TI43" s="1839"/>
      <c r="TJ43" s="693"/>
      <c r="TK43" s="2035"/>
      <c r="TL43" s="1914"/>
      <c r="TM43" s="1914"/>
      <c r="TN43" s="1914"/>
      <c r="TO43" s="5882"/>
      <c r="TP43" s="2407"/>
      <c r="TQ43" s="1839"/>
      <c r="TR43" s="1839"/>
      <c r="TS43" s="1839"/>
      <c r="TT43" s="1839"/>
      <c r="TU43" s="5889"/>
      <c r="TV43" s="5883"/>
      <c r="TW43" s="5883"/>
      <c r="TX43" s="5883"/>
      <c r="TY43" s="5883"/>
      <c r="TZ43" s="5883"/>
      <c r="UA43" s="5883"/>
      <c r="UB43" s="5883"/>
      <c r="UC43" s="5883"/>
      <c r="UD43" s="1677"/>
      <c r="UE43" s="5883"/>
      <c r="UF43" s="2425"/>
      <c r="UG43" s="2425"/>
      <c r="UH43" s="5883"/>
      <c r="UI43" s="5883"/>
      <c r="UJ43" s="1839"/>
      <c r="UK43" s="1839"/>
      <c r="UL43" s="715"/>
      <c r="UM43" s="1839"/>
      <c r="UN43" s="1660"/>
      <c r="UO43" s="2037"/>
      <c r="UP43" s="1914"/>
      <c r="UQ43" s="1914"/>
      <c r="UR43" s="5882"/>
      <c r="US43" s="1660"/>
      <c r="UU43" s="622">
        <f t="shared" si="78"/>
        <v>0</v>
      </c>
      <c r="UV43" s="622">
        <f t="shared" si="78"/>
        <v>0</v>
      </c>
      <c r="UW43" s="622">
        <f t="shared" si="78"/>
        <v>0</v>
      </c>
      <c r="UY43" s="1659"/>
      <c r="UZ43" s="1839"/>
      <c r="VA43" s="1839"/>
      <c r="VB43" s="1839"/>
      <c r="VC43" s="693"/>
      <c r="VD43" s="1659"/>
      <c r="VE43" s="715"/>
      <c r="VF43" s="715"/>
      <c r="VG43" s="715"/>
      <c r="VH43" s="705"/>
      <c r="VI43" s="1659"/>
      <c r="VJ43" s="1839"/>
      <c r="VK43" s="1839"/>
      <c r="VL43" s="1839"/>
      <c r="VM43" s="705"/>
      <c r="VN43" s="1659"/>
      <c r="VO43" s="1839"/>
      <c r="VP43" s="1839"/>
      <c r="VQ43" s="1839"/>
      <c r="VR43" s="1660"/>
    </row>
    <row r="44" spans="1:590" s="122" customFormat="1" ht="13.45" hidden="1" x14ac:dyDescent="0.3">
      <c r="A44" s="2906"/>
      <c r="B44" s="6016" t="s">
        <v>53</v>
      </c>
      <c r="C44" s="6031" t="s">
        <v>799</v>
      </c>
      <c r="D44" s="5989" t="s">
        <v>800</v>
      </c>
      <c r="E44" s="6032">
        <v>44197</v>
      </c>
      <c r="F44" s="6032">
        <v>44561</v>
      </c>
      <c r="G44" s="5965">
        <v>40000</v>
      </c>
      <c r="H44" s="1775"/>
      <c r="I44" s="1776"/>
      <c r="J44" s="1776"/>
      <c r="K44" s="1776">
        <f>J44-I44</f>
        <v>0</v>
      </c>
      <c r="L44" s="1777"/>
      <c r="M44" s="1778"/>
      <c r="N44" s="1779"/>
      <c r="O44" s="1779"/>
      <c r="P44" s="1779">
        <f>O44-N44</f>
        <v>0</v>
      </c>
      <c r="Q44" s="1780"/>
      <c r="R44" s="1780"/>
      <c r="S44" s="1776"/>
      <c r="T44" s="1776"/>
      <c r="U44" s="1776">
        <f>T44-S44</f>
        <v>0</v>
      </c>
      <c r="V44" s="1777"/>
      <c r="W44" s="1776"/>
      <c r="X44" s="1776"/>
      <c r="Y44" s="1781"/>
      <c r="Z44" s="1776">
        <f>Y44-X44</f>
        <v>0</v>
      </c>
      <c r="AA44" s="1782"/>
      <c r="AB44" s="1781"/>
      <c r="AC44" s="1783"/>
      <c r="AD44" s="1784"/>
      <c r="AE44" s="1776"/>
      <c r="AF44" s="1777"/>
      <c r="AG44" s="1785"/>
      <c r="AH44" s="1776"/>
      <c r="AI44" s="1776"/>
      <c r="AJ44" s="1786"/>
      <c r="AK44" s="1777"/>
      <c r="AL44" s="1785"/>
      <c r="AM44" s="1776"/>
      <c r="AN44" s="1776"/>
      <c r="AO44" s="1781"/>
      <c r="AP44" s="1777"/>
      <c r="AQ44" s="1787"/>
      <c r="AR44" s="1788"/>
      <c r="AS44" s="1788"/>
      <c r="AT44" s="1789"/>
      <c r="AU44" s="1777"/>
      <c r="AV44" s="1790"/>
      <c r="AW44" s="1781"/>
      <c r="AX44" s="1781"/>
      <c r="AY44" s="1781"/>
      <c r="AZ44" s="1777"/>
      <c r="BA44" s="1791"/>
      <c r="BB44" s="1792"/>
      <c r="BC44" s="1783"/>
      <c r="BD44" s="1781"/>
      <c r="BE44" s="1780"/>
      <c r="BF44" s="1790"/>
      <c r="BG44" s="1781"/>
      <c r="BH44" s="1776"/>
      <c r="BI44" s="1781">
        <f>BH44-BG44</f>
        <v>0</v>
      </c>
      <c r="BJ44" s="1793">
        <v>0</v>
      </c>
      <c r="BK44" s="1790"/>
      <c r="BL44" s="1781"/>
      <c r="BM44" s="1776"/>
      <c r="BN44" s="1781">
        <f>BM44-BL44</f>
        <v>0</v>
      </c>
      <c r="BO44" s="1794">
        <v>0</v>
      </c>
      <c r="BP44" s="1937">
        <f>(AV44+AQ44+AL44+AG44+AB44+W44+R44+M44+H44+BA44+BF44+BK44)/12</f>
        <v>0</v>
      </c>
      <c r="BQ44" s="1796">
        <f t="shared" si="173"/>
        <v>0</v>
      </c>
      <c r="BR44" s="1786">
        <f t="shared" si="173"/>
        <v>0</v>
      </c>
      <c r="BS44" s="1797">
        <f>BR44-BQ44</f>
        <v>0</v>
      </c>
      <c r="BT44" s="1798">
        <f>H44+M44+R44</f>
        <v>0</v>
      </c>
      <c r="BU44" s="1786">
        <f t="shared" si="174"/>
        <v>0</v>
      </c>
      <c r="BV44" s="1786">
        <f t="shared" si="174"/>
        <v>0</v>
      </c>
      <c r="BW44" s="1799"/>
      <c r="BX44" s="1800">
        <f>W44+AB44+AG44</f>
        <v>0</v>
      </c>
      <c r="BY44" s="1786">
        <f t="shared" si="175"/>
        <v>0</v>
      </c>
      <c r="BZ44" s="1786">
        <f t="shared" si="175"/>
        <v>0</v>
      </c>
      <c r="CA44" s="1801"/>
      <c r="CB44" s="1802">
        <f>AL44+AQ44+AV44</f>
        <v>0</v>
      </c>
      <c r="CC44" s="1786">
        <f t="shared" si="176"/>
        <v>0</v>
      </c>
      <c r="CD44" s="1786">
        <f t="shared" si="176"/>
        <v>0</v>
      </c>
      <c r="CE44" s="1803"/>
      <c r="CF44" s="1800">
        <f>BA44+BF44+BK44</f>
        <v>0</v>
      </c>
      <c r="CG44" s="1776">
        <f t="shared" si="177"/>
        <v>0</v>
      </c>
      <c r="CH44" s="1776">
        <f t="shared" si="177"/>
        <v>0</v>
      </c>
      <c r="CI44" s="1801"/>
      <c r="CJ44" s="1804"/>
      <c r="CK44" s="1776"/>
      <c r="CL44" s="1776"/>
      <c r="CM44" s="1776">
        <f>CL44-CK44</f>
        <v>0</v>
      </c>
      <c r="CN44" s="1799">
        <v>0</v>
      </c>
      <c r="CO44" s="1804">
        <v>1</v>
      </c>
      <c r="CP44" s="1776">
        <v>13321</v>
      </c>
      <c r="CQ44" s="1776">
        <v>30800</v>
      </c>
      <c r="CR44" s="1776">
        <f>CQ44-CP44</f>
        <v>17479</v>
      </c>
      <c r="CS44" s="1799">
        <f>CR44/CQ44</f>
        <v>0.5675</v>
      </c>
      <c r="CT44" s="1804">
        <v>1</v>
      </c>
      <c r="CU44" s="1776">
        <v>17206</v>
      </c>
      <c r="CV44" s="1776">
        <v>38800</v>
      </c>
      <c r="CW44" s="1776">
        <f t="shared" si="178"/>
        <v>21594</v>
      </c>
      <c r="CX44" s="1799">
        <f>CW44/CV44</f>
        <v>0.55654639175257736</v>
      </c>
      <c r="CY44" s="1808">
        <v>1</v>
      </c>
      <c r="CZ44" s="1783">
        <v>16492</v>
      </c>
      <c r="DA44" s="1783">
        <v>38800</v>
      </c>
      <c r="DB44" s="1776">
        <f t="shared" si="179"/>
        <v>22308</v>
      </c>
      <c r="DC44" s="1799">
        <f>DB44/DA44</f>
        <v>0.57494845360824742</v>
      </c>
      <c r="DD44" s="1808">
        <v>1</v>
      </c>
      <c r="DE44" s="1783">
        <v>16960</v>
      </c>
      <c r="DF44" s="1783">
        <v>38800</v>
      </c>
      <c r="DG44" s="1783">
        <f t="shared" si="180"/>
        <v>21840</v>
      </c>
      <c r="DH44" s="1807">
        <f>DG44/DF44</f>
        <v>0.56288659793814433</v>
      </c>
      <c r="DI44" s="1808">
        <v>1</v>
      </c>
      <c r="DJ44" s="2577">
        <v>15829</v>
      </c>
      <c r="DK44" s="2577">
        <v>37320</v>
      </c>
      <c r="DL44" s="1776">
        <f t="shared" si="181"/>
        <v>21491</v>
      </c>
      <c r="DM44" s="1807">
        <f>DL44/DK44</f>
        <v>0.5758574490889603</v>
      </c>
      <c r="DN44" s="1808">
        <v>1</v>
      </c>
      <c r="DO44" s="2577">
        <v>15865</v>
      </c>
      <c r="DP44" s="1783">
        <v>37600</v>
      </c>
      <c r="DQ44" s="1776">
        <f t="shared" si="182"/>
        <v>21735</v>
      </c>
      <c r="DR44" s="1807">
        <f t="shared" si="183"/>
        <v>0.57805851063829783</v>
      </c>
      <c r="DS44" s="1808">
        <v>1</v>
      </c>
      <c r="DT44" s="2577">
        <v>16960</v>
      </c>
      <c r="DU44" s="1783">
        <v>40000</v>
      </c>
      <c r="DV44" s="1776">
        <f t="shared" si="184"/>
        <v>23040</v>
      </c>
      <c r="DW44" s="1799">
        <f t="shared" si="185"/>
        <v>0.57599999999999996</v>
      </c>
      <c r="DX44" s="1804">
        <v>1</v>
      </c>
      <c r="DY44" s="1776">
        <v>15865</v>
      </c>
      <c r="DZ44" s="1776">
        <v>37600</v>
      </c>
      <c r="EA44" s="1776">
        <f t="shared" si="186"/>
        <v>21735</v>
      </c>
      <c r="EB44" s="1807">
        <f t="shared" si="187"/>
        <v>0.57805851063829783</v>
      </c>
      <c r="EC44" s="1804">
        <v>1</v>
      </c>
      <c r="ED44" s="1776">
        <v>16413</v>
      </c>
      <c r="EE44" s="1776">
        <v>38800</v>
      </c>
      <c r="EF44" s="1786">
        <f t="shared" si="188"/>
        <v>22387</v>
      </c>
      <c r="EG44" s="1807">
        <f t="shared" si="189"/>
        <v>0.57698453608247424</v>
      </c>
      <c r="EH44" s="1804">
        <v>1</v>
      </c>
      <c r="EI44" s="1776">
        <v>16960</v>
      </c>
      <c r="EJ44" s="1776">
        <v>40000</v>
      </c>
      <c r="EK44" s="1776">
        <f t="shared" si="190"/>
        <v>23040</v>
      </c>
      <c r="EL44" s="1807">
        <f t="shared" si="191"/>
        <v>0.57599999999999996</v>
      </c>
      <c r="EM44" s="1804">
        <v>1</v>
      </c>
      <c r="EN44" s="1776">
        <v>16960</v>
      </c>
      <c r="EO44" s="1776">
        <v>40000</v>
      </c>
      <c r="EP44" s="1776">
        <f t="shared" si="192"/>
        <v>23040</v>
      </c>
      <c r="EQ44" s="1807">
        <f t="shared" si="193"/>
        <v>0.57599999999999996</v>
      </c>
      <c r="ER44" s="2402">
        <f t="shared" si="38"/>
        <v>0.91666666666666663</v>
      </c>
      <c r="ES44" s="2403">
        <f t="shared" si="146"/>
        <v>178831</v>
      </c>
      <c r="ET44" s="2403">
        <f t="shared" si="146"/>
        <v>418520</v>
      </c>
      <c r="EU44" s="2403">
        <f t="shared" si="146"/>
        <v>239689</v>
      </c>
      <c r="EV44" s="2404">
        <f t="shared" si="40"/>
        <v>0.57270620280990159</v>
      </c>
      <c r="EW44" s="1814">
        <f t="shared" si="194"/>
        <v>0.66666666666666663</v>
      </c>
      <c r="EX44" s="1776">
        <f t="shared" si="195"/>
        <v>69600</v>
      </c>
      <c r="EY44" s="1776">
        <f t="shared" si="195"/>
        <v>39073</v>
      </c>
      <c r="EZ44" s="1815">
        <f>EY44/EX44</f>
        <v>0.56139367816091956</v>
      </c>
      <c r="FA44" s="1939">
        <f t="shared" si="196"/>
        <v>1</v>
      </c>
      <c r="FB44" s="1786">
        <f t="shared" si="197"/>
        <v>114920</v>
      </c>
      <c r="FC44" s="1786">
        <f t="shared" si="197"/>
        <v>65639</v>
      </c>
      <c r="FD44" s="1799">
        <f>FC44/FB44</f>
        <v>0.57117124956491472</v>
      </c>
      <c r="FE44" s="1814">
        <f t="shared" si="198"/>
        <v>1</v>
      </c>
      <c r="FF44" s="1786">
        <f t="shared" si="199"/>
        <v>115200</v>
      </c>
      <c r="FG44" s="1786">
        <f t="shared" si="199"/>
        <v>66510</v>
      </c>
      <c r="FH44" s="1815">
        <f t="shared" si="200"/>
        <v>0.57734375000000004</v>
      </c>
      <c r="FI44" s="1816">
        <f t="shared" si="201"/>
        <v>1</v>
      </c>
      <c r="FJ44" s="1814"/>
      <c r="FK44" s="1786">
        <f t="shared" si="202"/>
        <v>118800</v>
      </c>
      <c r="FL44" s="1786">
        <f t="shared" si="202"/>
        <v>68467</v>
      </c>
      <c r="FM44" s="1799">
        <f t="shared" si="203"/>
        <v>0.57632154882154885</v>
      </c>
      <c r="FN44" s="1817">
        <v>1</v>
      </c>
      <c r="FO44" s="1818">
        <v>16960</v>
      </c>
      <c r="FP44" s="1818">
        <v>40000</v>
      </c>
      <c r="FQ44" s="1818">
        <f t="shared" si="204"/>
        <v>23040</v>
      </c>
      <c r="FR44" s="1819">
        <f t="shared" si="205"/>
        <v>0.57599999999999996</v>
      </c>
      <c r="FS44" s="1820">
        <v>1</v>
      </c>
      <c r="FT44" s="1818">
        <v>33613</v>
      </c>
      <c r="FU44" s="1818">
        <v>40000</v>
      </c>
      <c r="FV44" s="1818">
        <f t="shared" si="206"/>
        <v>6387</v>
      </c>
      <c r="FW44" s="1821">
        <f t="shared" si="207"/>
        <v>0.15967500000000001</v>
      </c>
      <c r="FX44" s="1820">
        <v>1</v>
      </c>
      <c r="FY44" s="1822">
        <v>32000</v>
      </c>
      <c r="FZ44" s="1822">
        <v>40000</v>
      </c>
      <c r="GA44" s="1818">
        <f t="shared" si="208"/>
        <v>8000</v>
      </c>
      <c r="GB44" s="1821">
        <f t="shared" si="209"/>
        <v>0.2</v>
      </c>
      <c r="GC44" s="1823">
        <v>1</v>
      </c>
      <c r="GD44" s="1824">
        <v>32000</v>
      </c>
      <c r="GE44" s="1824">
        <v>40000</v>
      </c>
      <c r="GF44" s="1818">
        <f t="shared" si="210"/>
        <v>8000</v>
      </c>
      <c r="GG44" s="1821">
        <f t="shared" si="211"/>
        <v>0.2</v>
      </c>
      <c r="GH44" s="1823">
        <v>1</v>
      </c>
      <c r="GI44" s="1824">
        <v>32000</v>
      </c>
      <c r="GJ44" s="1824">
        <v>40000</v>
      </c>
      <c r="GK44" s="1818">
        <f t="shared" ref="GK44:GK53" si="230">GJ44-GI44</f>
        <v>8000</v>
      </c>
      <c r="GL44" s="1821">
        <f t="shared" si="212"/>
        <v>0.2</v>
      </c>
      <c r="GM44" s="1823">
        <v>1</v>
      </c>
      <c r="GN44" s="1824">
        <v>32000</v>
      </c>
      <c r="GO44" s="1824">
        <v>40000</v>
      </c>
      <c r="GP44" s="1818">
        <f t="shared" si="213"/>
        <v>8000</v>
      </c>
      <c r="GQ44" s="1821">
        <f t="shared" si="214"/>
        <v>0.2</v>
      </c>
      <c r="GR44" s="1823">
        <v>1</v>
      </c>
      <c r="GS44" s="1824">
        <v>32000</v>
      </c>
      <c r="GT44" s="1824">
        <v>40000</v>
      </c>
      <c r="GU44" s="1818">
        <f t="shared" si="215"/>
        <v>8000</v>
      </c>
      <c r="GV44" s="1821">
        <f t="shared" si="216"/>
        <v>0.2</v>
      </c>
      <c r="GW44" s="1823">
        <v>1</v>
      </c>
      <c r="GX44" s="1824">
        <v>32000</v>
      </c>
      <c r="GY44" s="1824">
        <v>40000</v>
      </c>
      <c r="GZ44" s="1818">
        <f t="shared" si="217"/>
        <v>8000</v>
      </c>
      <c r="HA44" s="1821">
        <f t="shared" si="218"/>
        <v>0.2</v>
      </c>
      <c r="HB44" s="1823">
        <v>1</v>
      </c>
      <c r="HC44" s="1824">
        <v>32000</v>
      </c>
      <c r="HD44" s="1824">
        <v>40000</v>
      </c>
      <c r="HE44" s="1818">
        <f t="shared" si="147"/>
        <v>8000</v>
      </c>
      <c r="HF44" s="1821">
        <f t="shared" si="148"/>
        <v>0.2</v>
      </c>
      <c r="HG44" s="1823">
        <v>1</v>
      </c>
      <c r="HH44" s="1824">
        <v>32000</v>
      </c>
      <c r="HI44" s="1824">
        <v>40000</v>
      </c>
      <c r="HJ44" s="1818">
        <f t="shared" si="149"/>
        <v>8000</v>
      </c>
      <c r="HK44" s="1821">
        <f t="shared" si="150"/>
        <v>0.2</v>
      </c>
      <c r="HL44" s="1823">
        <v>1</v>
      </c>
      <c r="HM44" s="1824">
        <v>32000</v>
      </c>
      <c r="HN44" s="1824">
        <v>40000</v>
      </c>
      <c r="HO44" s="1818">
        <f t="shared" si="151"/>
        <v>8000</v>
      </c>
      <c r="HP44" s="1821">
        <f t="shared" si="152"/>
        <v>0.2</v>
      </c>
      <c r="HQ44" s="654">
        <v>1</v>
      </c>
      <c r="HR44" s="1248">
        <v>32000</v>
      </c>
      <c r="HS44" s="1248">
        <v>40000</v>
      </c>
      <c r="HT44" s="1248">
        <f t="shared" si="153"/>
        <v>8000</v>
      </c>
      <c r="HU44" s="1826">
        <f t="shared" si="154"/>
        <v>0.2</v>
      </c>
      <c r="HV44" s="5941">
        <f t="shared" si="155"/>
        <v>1</v>
      </c>
      <c r="HW44" s="622">
        <f t="shared" si="156"/>
        <v>370573</v>
      </c>
      <c r="HX44" s="622">
        <f t="shared" si="156"/>
        <v>480000</v>
      </c>
      <c r="HY44" s="622">
        <f t="shared" si="156"/>
        <v>109427</v>
      </c>
      <c r="HZ44" s="1828"/>
      <c r="IA44" s="1829">
        <f t="shared" si="219"/>
        <v>1</v>
      </c>
      <c r="IB44" s="1830">
        <f t="shared" si="220"/>
        <v>120000</v>
      </c>
      <c r="IC44" s="1830">
        <f t="shared" si="220"/>
        <v>37427</v>
      </c>
      <c r="ID44" s="1831">
        <f t="shared" si="221"/>
        <v>0.31189166666666668</v>
      </c>
      <c r="IE44" s="1832">
        <f t="shared" si="222"/>
        <v>1</v>
      </c>
      <c r="IF44" s="1833">
        <f t="shared" si="223"/>
        <v>120000</v>
      </c>
      <c r="IG44" s="1834">
        <f t="shared" si="223"/>
        <v>24000</v>
      </c>
      <c r="IH44" s="1831">
        <f t="shared" si="224"/>
        <v>0.2</v>
      </c>
      <c r="II44" s="1835">
        <f t="shared" si="157"/>
        <v>1</v>
      </c>
      <c r="IJ44" s="1836">
        <f t="shared" si="158"/>
        <v>120000</v>
      </c>
      <c r="IK44" s="1836">
        <f t="shared" si="158"/>
        <v>24000</v>
      </c>
      <c r="IL44" s="239">
        <f t="shared" si="159"/>
        <v>0.2</v>
      </c>
      <c r="IM44" s="1837">
        <f t="shared" si="160"/>
        <v>1</v>
      </c>
      <c r="IN44" s="1836">
        <f t="shared" si="161"/>
        <v>120000</v>
      </c>
      <c r="IO44" s="1836">
        <f t="shared" si="161"/>
        <v>24000</v>
      </c>
      <c r="IP44" s="1838">
        <f t="shared" si="162"/>
        <v>0.2</v>
      </c>
      <c r="IQ44" s="1839"/>
      <c r="IR44" s="1840">
        <v>1</v>
      </c>
      <c r="IS44" s="1818">
        <v>32000</v>
      </c>
      <c r="IT44" s="1818">
        <v>40000</v>
      </c>
      <c r="IU44" s="1818">
        <f t="shared" si="163"/>
        <v>8000</v>
      </c>
      <c r="IV44" s="1819">
        <f t="shared" si="225"/>
        <v>0.2</v>
      </c>
      <c r="IW44" s="1820">
        <v>1</v>
      </c>
      <c r="IX44" s="1818">
        <v>32000</v>
      </c>
      <c r="IY44" s="1818">
        <v>40000</v>
      </c>
      <c r="IZ44" s="1818">
        <v>8000</v>
      </c>
      <c r="JA44" s="1821">
        <f t="shared" si="226"/>
        <v>0.2</v>
      </c>
      <c r="JB44" s="1984"/>
      <c r="JC44" s="1985">
        <v>0</v>
      </c>
      <c r="JD44" s="1986">
        <v>0</v>
      </c>
      <c r="JE44" s="1818">
        <f t="shared" si="164"/>
        <v>0</v>
      </c>
      <c r="JF44" s="1821"/>
      <c r="JG44" s="1981"/>
      <c r="JH44" s="1824"/>
      <c r="JI44" s="1824"/>
      <c r="JJ44" s="1822">
        <f t="shared" si="67"/>
        <v>0</v>
      </c>
      <c r="JK44" s="1821"/>
      <c r="JL44" s="1823"/>
      <c r="JM44" s="1824"/>
      <c r="JN44" s="1824"/>
      <c r="JO44" s="1996">
        <f t="shared" si="165"/>
        <v>0</v>
      </c>
      <c r="JP44" s="1821"/>
      <c r="JQ44" s="6013"/>
      <c r="JR44" s="1982"/>
      <c r="JS44" s="1248"/>
      <c r="JT44" s="1996"/>
      <c r="JU44" s="1821"/>
      <c r="JV44" s="1981"/>
      <c r="JW44" s="1824"/>
      <c r="JX44" s="1248">
        <v>0</v>
      </c>
      <c r="JY44" s="1996">
        <f t="shared" si="141"/>
        <v>0</v>
      </c>
      <c r="JZ44" s="1821"/>
      <c r="KA44" s="1981"/>
      <c r="KB44" s="1248">
        <v>0</v>
      </c>
      <c r="KC44" s="1982">
        <v>0</v>
      </c>
      <c r="KD44" s="1983"/>
      <c r="KE44" s="1952"/>
      <c r="KF44" s="1981"/>
      <c r="KG44" s="1248">
        <v>0</v>
      </c>
      <c r="KH44" s="1824">
        <v>0</v>
      </c>
      <c r="KI44" s="1818">
        <f t="shared" si="227"/>
        <v>0</v>
      </c>
      <c r="KJ44" s="1821"/>
      <c r="KK44" s="1990"/>
      <c r="KL44" s="1904"/>
      <c r="KM44" s="1904"/>
      <c r="KN44" s="2023">
        <f t="shared" si="130"/>
        <v>0</v>
      </c>
      <c r="KO44" s="2024"/>
      <c r="KP44" s="1823"/>
      <c r="KQ44" s="1982"/>
      <c r="KR44" s="1248"/>
      <c r="KS44" s="1996">
        <f t="shared" si="166"/>
        <v>0</v>
      </c>
      <c r="KT44" s="1819"/>
      <c r="KU44" s="1905"/>
      <c r="KV44" s="1248"/>
      <c r="KW44" s="1248"/>
      <c r="KX44" s="1248">
        <f t="shared" si="145"/>
        <v>0</v>
      </c>
      <c r="KY44" s="77"/>
      <c r="KZ44" s="1832"/>
      <c r="LA44" s="622">
        <f t="shared" si="144"/>
        <v>64000</v>
      </c>
      <c r="LB44" s="622">
        <f t="shared" si="144"/>
        <v>80000</v>
      </c>
      <c r="LC44" s="622">
        <f t="shared" si="144"/>
        <v>16000</v>
      </c>
      <c r="LD44" s="239">
        <f t="shared" si="228"/>
        <v>0.2</v>
      </c>
      <c r="LE44" s="1834">
        <f t="shared" si="71"/>
        <v>0.66666666666666663</v>
      </c>
      <c r="LF44" s="1830">
        <f t="shared" si="167"/>
        <v>80000</v>
      </c>
      <c r="LG44" s="1830">
        <f t="shared" si="167"/>
        <v>16000</v>
      </c>
      <c r="LH44" s="1831">
        <f t="shared" si="168"/>
        <v>0.2</v>
      </c>
      <c r="LI44" s="1832">
        <f t="shared" si="132"/>
        <v>0</v>
      </c>
      <c r="LJ44" s="1833">
        <f t="shared" si="133"/>
        <v>0</v>
      </c>
      <c r="LK44" s="1834">
        <f t="shared" si="133"/>
        <v>0</v>
      </c>
      <c r="LL44" s="1831" t="e">
        <f t="shared" si="169"/>
        <v>#DIV/0!</v>
      </c>
      <c r="LM44" s="1835">
        <f t="shared" si="135"/>
        <v>0</v>
      </c>
      <c r="LN44" s="1836">
        <f t="shared" si="136"/>
        <v>0</v>
      </c>
      <c r="LO44" s="1836">
        <f t="shared" si="136"/>
        <v>0</v>
      </c>
      <c r="LP44" s="239"/>
      <c r="LQ44" s="1837">
        <f t="shared" si="140"/>
        <v>0</v>
      </c>
      <c r="LR44" s="1836">
        <f t="shared" si="229"/>
        <v>0</v>
      </c>
      <c r="LS44" s="1836">
        <f t="shared" si="229"/>
        <v>0</v>
      </c>
      <c r="LT44" s="1838"/>
      <c r="LV44" s="3645"/>
      <c r="LW44" s="2897"/>
      <c r="LX44" s="2897"/>
      <c r="LY44" s="2589">
        <f t="shared" si="137"/>
        <v>0</v>
      </c>
      <c r="LZ44" s="77"/>
      <c r="MF44" s="5880"/>
      <c r="MG44" s="4965"/>
      <c r="MH44" s="4965"/>
      <c r="MI44" s="1839"/>
      <c r="MJ44" s="207" t="e">
        <f t="shared" si="170"/>
        <v>#DIV/0!</v>
      </c>
      <c r="MK44" s="5881"/>
      <c r="MN44" s="372">
        <f t="shared" si="12"/>
        <v>0</v>
      </c>
      <c r="MP44" s="5881"/>
      <c r="MQ44" s="1839"/>
      <c r="MR44" s="1839"/>
      <c r="MS44" s="1839"/>
      <c r="MT44" s="693"/>
      <c r="MU44" s="2035"/>
      <c r="MV44" s="1914"/>
      <c r="MW44" s="1914"/>
      <c r="MX44" s="1914"/>
      <c r="MY44" s="5882"/>
      <c r="MZ44" s="1659"/>
      <c r="NA44" s="1839"/>
      <c r="NB44" s="1839"/>
      <c r="NC44" s="1839"/>
      <c r="ND44" s="1839"/>
      <c r="NO44" s="5883"/>
      <c r="NP44" s="2425"/>
      <c r="NQ44" s="2425"/>
      <c r="NR44" s="5883"/>
      <c r="NT44" s="1839"/>
      <c r="NU44" s="1839"/>
      <c r="NV44" s="715"/>
      <c r="NW44" s="1839"/>
      <c r="NX44" s="1660"/>
      <c r="NY44" s="1659"/>
      <c r="NZ44" s="715"/>
      <c r="OA44" s="715"/>
      <c r="OB44" s="1839"/>
      <c r="OC44" s="1660"/>
      <c r="OE44" s="5885"/>
      <c r="OF44" s="5885"/>
      <c r="OG44" s="715"/>
      <c r="OH44" s="1660"/>
      <c r="OI44" s="1659"/>
      <c r="OJ44" s="1839"/>
      <c r="OK44" s="1839"/>
      <c r="OL44" s="1839"/>
      <c r="OM44" s="693"/>
      <c r="ON44" s="1659"/>
      <c r="OO44" s="715"/>
      <c r="OP44" s="715"/>
      <c r="OQ44" s="715"/>
      <c r="OR44" s="705"/>
      <c r="OS44" s="1659"/>
      <c r="OT44" s="1839"/>
      <c r="OU44" s="1839"/>
      <c r="OV44" s="1839"/>
      <c r="OW44" s="705"/>
      <c r="OX44" s="1659"/>
      <c r="OY44" s="1839"/>
      <c r="OZ44" s="1839"/>
      <c r="PA44" s="1839"/>
      <c r="PB44" s="1660"/>
      <c r="PD44" s="3645"/>
      <c r="PE44" s="2897"/>
      <c r="PF44" s="2897"/>
      <c r="PG44" s="2589">
        <f t="shared" si="138"/>
        <v>0</v>
      </c>
      <c r="PH44" s="77"/>
      <c r="PN44" s="5880"/>
      <c r="PO44" s="4965"/>
      <c r="PP44" s="4965"/>
      <c r="PQ44" s="1839"/>
      <c r="PR44" s="207" t="e">
        <f t="shared" si="171"/>
        <v>#DIV/0!</v>
      </c>
      <c r="PS44" s="5886"/>
      <c r="PT44" s="5883"/>
      <c r="PU44" s="5883"/>
      <c r="PV44" s="2892">
        <f t="shared" si="13"/>
        <v>0</v>
      </c>
      <c r="PW44" s="5883"/>
      <c r="PX44" s="5881"/>
      <c r="PY44" s="1839"/>
      <c r="PZ44" s="1839"/>
      <c r="QA44" s="1839"/>
      <c r="QB44" s="693"/>
      <c r="QC44" s="2035"/>
      <c r="QD44" s="1914"/>
      <c r="QE44" s="1914"/>
      <c r="QF44" s="1914"/>
      <c r="QG44" s="5882"/>
      <c r="QH44" s="1910"/>
      <c r="QI44" s="1839"/>
      <c r="QJ44" s="1839"/>
      <c r="QK44" s="1839"/>
      <c r="QL44" s="1839"/>
      <c r="QM44" s="5880"/>
      <c r="QR44" s="5883"/>
      <c r="QS44" s="5883"/>
      <c r="QT44" s="5883"/>
      <c r="QU44" s="5883"/>
      <c r="QV44" s="1677"/>
      <c r="QW44" s="5883"/>
      <c r="QX44" s="2425"/>
      <c r="QY44" s="2425"/>
      <c r="QZ44" s="5883"/>
      <c r="RA44" s="5883"/>
      <c r="RB44" s="1839"/>
      <c r="RC44" s="1839"/>
      <c r="RD44" s="715"/>
      <c r="RE44" s="1839"/>
      <c r="RF44" s="1660"/>
      <c r="RG44" s="2037"/>
      <c r="RH44" s="1914"/>
      <c r="RI44" s="1914"/>
      <c r="RJ44" s="5882"/>
      <c r="RK44" s="1660"/>
      <c r="RL44" s="5883"/>
      <c r="RM44" s="1873">
        <f t="shared" si="77"/>
        <v>0</v>
      </c>
      <c r="RN44" s="1873">
        <f t="shared" si="77"/>
        <v>0</v>
      </c>
      <c r="RO44" s="1873">
        <f t="shared" si="77"/>
        <v>0</v>
      </c>
      <c r="RP44" s="5883"/>
      <c r="RQ44" s="1659"/>
      <c r="RR44" s="1839"/>
      <c r="RS44" s="1839"/>
      <c r="RT44" s="1839"/>
      <c r="RU44" s="693"/>
      <c r="RV44" s="1659"/>
      <c r="RW44" s="715"/>
      <c r="RX44" s="715"/>
      <c r="RY44" s="715"/>
      <c r="RZ44" s="705"/>
      <c r="SA44" s="1659"/>
      <c r="SB44" s="1839"/>
      <c r="SC44" s="1839"/>
      <c r="SD44" s="1839"/>
      <c r="SE44" s="705"/>
      <c r="SF44" s="1659"/>
      <c r="SG44" s="1839"/>
      <c r="SH44" s="1839"/>
      <c r="SI44" s="1839"/>
      <c r="SJ44" s="1660"/>
      <c r="SL44" s="3645"/>
      <c r="SM44" s="2897"/>
      <c r="SN44" s="2897"/>
      <c r="SO44" s="6029">
        <f t="shared" si="139"/>
        <v>0</v>
      </c>
      <c r="SP44" s="6056"/>
      <c r="SQ44" s="5883"/>
      <c r="SR44" s="5883"/>
      <c r="SS44" s="5883"/>
      <c r="ST44" s="5883"/>
      <c r="SU44" s="5883"/>
      <c r="SV44" s="5880"/>
      <c r="SW44" s="4965"/>
      <c r="SX44" s="4965"/>
      <c r="SY44" s="1839"/>
      <c r="SZ44" s="207" t="e">
        <f t="shared" si="172"/>
        <v>#DIV/0!</v>
      </c>
      <c r="TA44" s="5881"/>
      <c r="TD44" s="372">
        <f t="shared" si="14"/>
        <v>0</v>
      </c>
      <c r="TF44" s="5881"/>
      <c r="TG44" s="1839"/>
      <c r="TH44" s="1839"/>
      <c r="TI44" s="1839"/>
      <c r="TJ44" s="693"/>
      <c r="TK44" s="2035"/>
      <c r="TL44" s="1914"/>
      <c r="TM44" s="1914"/>
      <c r="TN44" s="1914"/>
      <c r="TO44" s="5882"/>
      <c r="TP44" s="2407"/>
      <c r="TQ44" s="1839"/>
      <c r="TR44" s="1839"/>
      <c r="TS44" s="1839"/>
      <c r="TT44" s="1839"/>
      <c r="TU44" s="5889"/>
      <c r="TV44" s="5883"/>
      <c r="TW44" s="5883"/>
      <c r="TX44" s="5883"/>
      <c r="TY44" s="5883"/>
      <c r="TZ44" s="5883"/>
      <c r="UA44" s="5883"/>
      <c r="UB44" s="5883"/>
      <c r="UC44" s="5883"/>
      <c r="UD44" s="1677"/>
      <c r="UE44" s="5883"/>
      <c r="UF44" s="2425"/>
      <c r="UG44" s="2425"/>
      <c r="UH44" s="5883"/>
      <c r="UI44" s="5883"/>
      <c r="UJ44" s="1839"/>
      <c r="UK44" s="1839"/>
      <c r="UL44" s="715"/>
      <c r="UM44" s="1839"/>
      <c r="UN44" s="1660"/>
      <c r="UO44" s="2037"/>
      <c r="UP44" s="1914"/>
      <c r="UQ44" s="1914"/>
      <c r="UR44" s="5882"/>
      <c r="US44" s="1660"/>
      <c r="UU44" s="622">
        <f t="shared" si="78"/>
        <v>0</v>
      </c>
      <c r="UV44" s="622">
        <f t="shared" si="78"/>
        <v>0</v>
      </c>
      <c r="UW44" s="622">
        <f t="shared" si="78"/>
        <v>0</v>
      </c>
      <c r="UY44" s="1659"/>
      <c r="UZ44" s="1839"/>
      <c r="VA44" s="1839"/>
      <c r="VB44" s="1839"/>
      <c r="VC44" s="693"/>
      <c r="VD44" s="1659"/>
      <c r="VE44" s="715"/>
      <c r="VF44" s="715"/>
      <c r="VG44" s="715"/>
      <c r="VH44" s="705"/>
      <c r="VI44" s="1659"/>
      <c r="VJ44" s="1839"/>
      <c r="VK44" s="1839"/>
      <c r="VL44" s="1839"/>
      <c r="VM44" s="705"/>
      <c r="VN44" s="1659"/>
      <c r="VO44" s="1839"/>
      <c r="VP44" s="1839"/>
      <c r="VQ44" s="1839"/>
      <c r="VR44" s="1660"/>
    </row>
    <row r="45" spans="1:590" s="122" customFormat="1" ht="13.45" hidden="1" x14ac:dyDescent="0.3">
      <c r="A45" s="2906"/>
      <c r="B45" s="6016" t="s">
        <v>53</v>
      </c>
      <c r="C45" s="6031" t="s">
        <v>801</v>
      </c>
      <c r="D45" s="5989" t="s">
        <v>802</v>
      </c>
      <c r="E45" s="6032">
        <v>43989</v>
      </c>
      <c r="F45" s="6032">
        <v>44353</v>
      </c>
      <c r="G45" s="5965">
        <v>740833</v>
      </c>
      <c r="H45" s="1775"/>
      <c r="I45" s="1776"/>
      <c r="J45" s="1776"/>
      <c r="K45" s="1776">
        <f>J45-I45</f>
        <v>0</v>
      </c>
      <c r="L45" s="1777"/>
      <c r="M45" s="1778"/>
      <c r="N45" s="1779"/>
      <c r="O45" s="1779"/>
      <c r="P45" s="1779">
        <f>O45-N45</f>
        <v>0</v>
      </c>
      <c r="Q45" s="1780"/>
      <c r="R45" s="1780"/>
      <c r="S45" s="1776"/>
      <c r="T45" s="1776"/>
      <c r="U45" s="1776">
        <f>T45-S45</f>
        <v>0</v>
      </c>
      <c r="V45" s="1777"/>
      <c r="W45" s="1776"/>
      <c r="X45" s="1776"/>
      <c r="Y45" s="1781"/>
      <c r="Z45" s="1776">
        <f>Y45-X45</f>
        <v>0</v>
      </c>
      <c r="AA45" s="1782"/>
      <c r="AB45" s="1781"/>
      <c r="AC45" s="1783"/>
      <c r="AD45" s="1784"/>
      <c r="AE45" s="1776"/>
      <c r="AF45" s="1777"/>
      <c r="AG45" s="1785"/>
      <c r="AH45" s="1776"/>
      <c r="AI45" s="1776"/>
      <c r="AJ45" s="1786"/>
      <c r="AK45" s="1777"/>
      <c r="AL45" s="1785"/>
      <c r="AM45" s="1776"/>
      <c r="AN45" s="1776"/>
      <c r="AO45" s="1781"/>
      <c r="AP45" s="1777"/>
      <c r="AQ45" s="1787"/>
      <c r="AR45" s="1788"/>
      <c r="AS45" s="1788"/>
      <c r="AT45" s="1789"/>
      <c r="AU45" s="1777"/>
      <c r="AV45" s="1790"/>
      <c r="AW45" s="1781"/>
      <c r="AX45" s="1781"/>
      <c r="AY45" s="1781"/>
      <c r="AZ45" s="1777"/>
      <c r="BA45" s="1791"/>
      <c r="BB45" s="1792"/>
      <c r="BC45" s="1783"/>
      <c r="BD45" s="1781"/>
      <c r="BE45" s="1780"/>
      <c r="BF45" s="1790"/>
      <c r="BG45" s="1781"/>
      <c r="BH45" s="1776"/>
      <c r="BI45" s="1781">
        <f>BH45-BG45</f>
        <v>0</v>
      </c>
      <c r="BJ45" s="1793">
        <v>0</v>
      </c>
      <c r="BK45" s="1790"/>
      <c r="BL45" s="1781"/>
      <c r="BM45" s="1776"/>
      <c r="BN45" s="1781">
        <f>BM45-BL45</f>
        <v>0</v>
      </c>
      <c r="BO45" s="1794">
        <v>0</v>
      </c>
      <c r="BP45" s="1937">
        <f>(AV45+AQ45+AL45+AG45+AB45+W45+R45+M45+H45+BA45+BF45+BK45)/12</f>
        <v>0</v>
      </c>
      <c r="BQ45" s="1796">
        <f t="shared" si="173"/>
        <v>0</v>
      </c>
      <c r="BR45" s="1786">
        <f t="shared" si="173"/>
        <v>0</v>
      </c>
      <c r="BS45" s="1797">
        <f>BR45-BQ45</f>
        <v>0</v>
      </c>
      <c r="BT45" s="1798">
        <f>H45+M45+R45</f>
        <v>0</v>
      </c>
      <c r="BU45" s="1786">
        <f t="shared" si="174"/>
        <v>0</v>
      </c>
      <c r="BV45" s="1786">
        <f t="shared" si="174"/>
        <v>0</v>
      </c>
      <c r="BW45" s="1799"/>
      <c r="BX45" s="1800">
        <f>W45+AB45+AG45</f>
        <v>0</v>
      </c>
      <c r="BY45" s="1786">
        <f t="shared" si="175"/>
        <v>0</v>
      </c>
      <c r="BZ45" s="1786">
        <f t="shared" si="175"/>
        <v>0</v>
      </c>
      <c r="CA45" s="1801"/>
      <c r="CB45" s="1802">
        <f>AL45+AQ45+AV45</f>
        <v>0</v>
      </c>
      <c r="CC45" s="1786">
        <f t="shared" si="176"/>
        <v>0</v>
      </c>
      <c r="CD45" s="1786">
        <f t="shared" si="176"/>
        <v>0</v>
      </c>
      <c r="CE45" s="1803"/>
      <c r="CF45" s="1800">
        <f>BA45+BF45+BK45</f>
        <v>0</v>
      </c>
      <c r="CG45" s="1776">
        <f t="shared" si="177"/>
        <v>0</v>
      </c>
      <c r="CH45" s="1776">
        <f t="shared" si="177"/>
        <v>0</v>
      </c>
      <c r="CI45" s="1801"/>
      <c r="CJ45" s="1804"/>
      <c r="CK45" s="1776"/>
      <c r="CL45" s="1776"/>
      <c r="CM45" s="1776">
        <f>CL45-CK45</f>
        <v>0</v>
      </c>
      <c r="CN45" s="1799">
        <v>0</v>
      </c>
      <c r="CO45" s="1804"/>
      <c r="CP45" s="1776">
        <v>0</v>
      </c>
      <c r="CQ45" s="1776">
        <v>0</v>
      </c>
      <c r="CR45" s="1776">
        <f>CQ45-CP45</f>
        <v>0</v>
      </c>
      <c r="CS45" s="1799">
        <v>0</v>
      </c>
      <c r="CT45" s="1804">
        <v>23</v>
      </c>
      <c r="CU45" s="1783">
        <f>424527+3750</f>
        <v>428277</v>
      </c>
      <c r="CV45" s="1783">
        <v>446120</v>
      </c>
      <c r="CW45" s="1776">
        <f t="shared" si="178"/>
        <v>17843</v>
      </c>
      <c r="CX45" s="1799">
        <f>CW45/CV45</f>
        <v>3.999596521115395E-2</v>
      </c>
      <c r="CY45" s="1808">
        <v>21</v>
      </c>
      <c r="CZ45" s="1783">
        <f>493928+20013</f>
        <v>513941</v>
      </c>
      <c r="DA45" s="1783">
        <v>652080</v>
      </c>
      <c r="DB45" s="1776">
        <f t="shared" si="179"/>
        <v>138139</v>
      </c>
      <c r="DC45" s="1799">
        <f>DB45/DA45</f>
        <v>0.21184363881732302</v>
      </c>
      <c r="DD45" s="1808">
        <v>25</v>
      </c>
      <c r="DE45" s="1783">
        <v>610244</v>
      </c>
      <c r="DF45" s="1783">
        <v>737960</v>
      </c>
      <c r="DG45" s="1783">
        <f t="shared" si="180"/>
        <v>127716</v>
      </c>
      <c r="DH45" s="1807">
        <f>DG45/DF45</f>
        <v>0.17306629085587294</v>
      </c>
      <c r="DI45" s="1808">
        <v>25</v>
      </c>
      <c r="DJ45" s="2577">
        <v>625579</v>
      </c>
      <c r="DK45" s="2577">
        <v>760000</v>
      </c>
      <c r="DL45" s="1776">
        <f t="shared" si="181"/>
        <v>134421</v>
      </c>
      <c r="DM45" s="1807">
        <f>DL45/DK45</f>
        <v>0.17686973684210527</v>
      </c>
      <c r="DN45" s="1808">
        <v>24</v>
      </c>
      <c r="DO45" s="2577">
        <v>599708</v>
      </c>
      <c r="DP45" s="1783">
        <v>734160</v>
      </c>
      <c r="DQ45" s="1776">
        <f t="shared" si="182"/>
        <v>134452</v>
      </c>
      <c r="DR45" s="1807">
        <f t="shared" si="183"/>
        <v>0.18313719080309471</v>
      </c>
      <c r="DS45" s="1808">
        <v>25</v>
      </c>
      <c r="DT45" s="2577">
        <v>617231</v>
      </c>
      <c r="DU45" s="1783">
        <v>752400</v>
      </c>
      <c r="DV45" s="1776">
        <f t="shared" si="184"/>
        <v>135169</v>
      </c>
      <c r="DW45" s="1799">
        <f t="shared" si="185"/>
        <v>0.179650451887294</v>
      </c>
      <c r="DX45" s="1804">
        <v>25</v>
      </c>
      <c r="DY45" s="1776">
        <v>617545</v>
      </c>
      <c r="DZ45" s="1776">
        <v>746320</v>
      </c>
      <c r="EA45" s="1776">
        <f t="shared" si="186"/>
        <v>128775</v>
      </c>
      <c r="EB45" s="1807">
        <f t="shared" si="187"/>
        <v>0.17254662879193911</v>
      </c>
      <c r="EC45" s="1804">
        <v>25</v>
      </c>
      <c r="ED45" s="1776">
        <v>593750</v>
      </c>
      <c r="EE45" s="1776">
        <v>702240</v>
      </c>
      <c r="EF45" s="1786">
        <f t="shared" si="188"/>
        <v>108490</v>
      </c>
      <c r="EG45" s="1807">
        <f t="shared" si="189"/>
        <v>0.15449134199134198</v>
      </c>
      <c r="EH45" s="1804">
        <v>24</v>
      </c>
      <c r="EI45" s="1776">
        <f>601574</f>
        <v>601574</v>
      </c>
      <c r="EJ45" s="1776">
        <v>711360</v>
      </c>
      <c r="EK45" s="1776">
        <f t="shared" si="190"/>
        <v>109786</v>
      </c>
      <c r="EL45" s="1807">
        <f t="shared" si="191"/>
        <v>0.15433254610886191</v>
      </c>
      <c r="EM45" s="1804">
        <v>26</v>
      </c>
      <c r="EN45" s="1776">
        <v>661312</v>
      </c>
      <c r="EO45" s="1776">
        <v>760000</v>
      </c>
      <c r="EP45" s="1776">
        <f t="shared" si="192"/>
        <v>98688</v>
      </c>
      <c r="EQ45" s="1807">
        <f t="shared" si="193"/>
        <v>0.12985263157894736</v>
      </c>
      <c r="ER45" s="2402">
        <f t="shared" si="38"/>
        <v>20.25</v>
      </c>
      <c r="ES45" s="2403">
        <f t="shared" si="146"/>
        <v>5869161</v>
      </c>
      <c r="ET45" s="2403">
        <f t="shared" si="146"/>
        <v>7002640</v>
      </c>
      <c r="EU45" s="2403">
        <f t="shared" si="146"/>
        <v>1133479</v>
      </c>
      <c r="EV45" s="2404">
        <f t="shared" si="40"/>
        <v>0.16186452537899992</v>
      </c>
      <c r="EW45" s="1814">
        <f t="shared" si="194"/>
        <v>7.666666666666667</v>
      </c>
      <c r="EX45" s="1776">
        <f t="shared" si="195"/>
        <v>446120</v>
      </c>
      <c r="EY45" s="1776">
        <f t="shared" si="195"/>
        <v>17843</v>
      </c>
      <c r="EZ45" s="1815">
        <f>EY45/EX45</f>
        <v>3.999596521115395E-2</v>
      </c>
      <c r="FA45" s="1939">
        <f t="shared" si="196"/>
        <v>23.666666666666668</v>
      </c>
      <c r="FB45" s="1786">
        <f t="shared" si="197"/>
        <v>2150040</v>
      </c>
      <c r="FC45" s="1786">
        <f t="shared" si="197"/>
        <v>400276</v>
      </c>
      <c r="FD45" s="1799">
        <f>FC45/FB45</f>
        <v>0.18617142006660342</v>
      </c>
      <c r="FE45" s="1814">
        <f t="shared" si="198"/>
        <v>24.666666666666668</v>
      </c>
      <c r="FF45" s="1786">
        <f t="shared" si="199"/>
        <v>2232880</v>
      </c>
      <c r="FG45" s="1786">
        <f t="shared" si="199"/>
        <v>398396</v>
      </c>
      <c r="FH45" s="1815">
        <f t="shared" si="200"/>
        <v>0.17842248575830319</v>
      </c>
      <c r="FI45" s="1816">
        <f t="shared" si="201"/>
        <v>25</v>
      </c>
      <c r="FJ45" s="1814"/>
      <c r="FK45" s="1786">
        <f t="shared" si="202"/>
        <v>2173600</v>
      </c>
      <c r="FL45" s="1786">
        <f t="shared" si="202"/>
        <v>316964</v>
      </c>
      <c r="FM45" s="1799">
        <f t="shared" si="203"/>
        <v>0.14582443871917555</v>
      </c>
      <c r="FN45" s="1817">
        <v>23</v>
      </c>
      <c r="FO45" s="1818">
        <v>626430.76</v>
      </c>
      <c r="FP45" s="1818">
        <v>760000</v>
      </c>
      <c r="FQ45" s="1818">
        <f t="shared" si="204"/>
        <v>133569.24</v>
      </c>
      <c r="FR45" s="1819">
        <f t="shared" si="205"/>
        <v>0.17574899999999999</v>
      </c>
      <c r="FS45" s="1820">
        <v>25</v>
      </c>
      <c r="FT45" s="1818">
        <v>595750.61</v>
      </c>
      <c r="FU45" s="1818">
        <v>760000</v>
      </c>
      <c r="FV45" s="1818">
        <f t="shared" si="206"/>
        <v>164249.39000000001</v>
      </c>
      <c r="FW45" s="1821">
        <f t="shared" si="207"/>
        <v>0.21611761842105265</v>
      </c>
      <c r="FX45" s="1820">
        <v>22</v>
      </c>
      <c r="FY45" s="1822">
        <v>549223</v>
      </c>
      <c r="FZ45" s="1822">
        <v>744666.4</v>
      </c>
      <c r="GA45" s="1818">
        <f t="shared" si="208"/>
        <v>195443.40000000002</v>
      </c>
      <c r="GB45" s="1821">
        <f t="shared" si="209"/>
        <v>0.26245765889262629</v>
      </c>
      <c r="GC45" s="1823">
        <v>24</v>
      </c>
      <c r="GD45" s="1824">
        <v>541296</v>
      </c>
      <c r="GE45" s="1824">
        <v>740833</v>
      </c>
      <c r="GF45" s="1818">
        <f t="shared" si="210"/>
        <v>199537</v>
      </c>
      <c r="GG45" s="1821">
        <f t="shared" si="211"/>
        <v>0.26934140352819058</v>
      </c>
      <c r="GH45" s="1823">
        <v>24</v>
      </c>
      <c r="GI45" s="1824">
        <v>590697</v>
      </c>
      <c r="GJ45" s="1824">
        <v>740833</v>
      </c>
      <c r="GK45" s="1818">
        <f t="shared" si="230"/>
        <v>150136</v>
      </c>
      <c r="GL45" s="1821">
        <f t="shared" si="212"/>
        <v>0.20265835890139883</v>
      </c>
      <c r="GM45" s="1823">
        <v>24</v>
      </c>
      <c r="GN45" s="1824">
        <v>590697</v>
      </c>
      <c r="GO45" s="1824">
        <v>740833</v>
      </c>
      <c r="GP45" s="1818">
        <f t="shared" si="213"/>
        <v>150136</v>
      </c>
      <c r="GQ45" s="1821">
        <f t="shared" si="214"/>
        <v>0.20265835890139883</v>
      </c>
      <c r="GR45" s="1823">
        <v>25</v>
      </c>
      <c r="GS45" s="1824">
        <v>616503</v>
      </c>
      <c r="GT45" s="1824">
        <v>740833</v>
      </c>
      <c r="GU45" s="1818">
        <f t="shared" si="215"/>
        <v>124330</v>
      </c>
      <c r="GV45" s="1821">
        <f t="shared" si="216"/>
        <v>0.16782459744638806</v>
      </c>
      <c r="GW45" s="1823">
        <v>24</v>
      </c>
      <c r="GX45" s="1824">
        <v>599649</v>
      </c>
      <c r="GY45" s="1824">
        <v>740833</v>
      </c>
      <c r="GZ45" s="1818">
        <f t="shared" si="217"/>
        <v>141184</v>
      </c>
      <c r="HA45" s="1821">
        <f t="shared" si="218"/>
        <v>0.19057466392560807</v>
      </c>
      <c r="HB45" s="1823">
        <v>24</v>
      </c>
      <c r="HC45" s="1824">
        <v>625337</v>
      </c>
      <c r="HD45" s="1824">
        <v>740833</v>
      </c>
      <c r="HE45" s="1818">
        <f t="shared" si="147"/>
        <v>115496</v>
      </c>
      <c r="HF45" s="1821">
        <f t="shared" si="148"/>
        <v>0.15590018263225316</v>
      </c>
      <c r="HG45" s="1823">
        <v>25</v>
      </c>
      <c r="HH45" s="1824">
        <v>617922</v>
      </c>
      <c r="HI45" s="1824">
        <v>740833</v>
      </c>
      <c r="HJ45" s="1818">
        <f t="shared" si="149"/>
        <v>122911</v>
      </c>
      <c r="HK45" s="1821">
        <f t="shared" si="150"/>
        <v>0.16590918601088234</v>
      </c>
      <c r="HL45" s="1823">
        <v>26</v>
      </c>
      <c r="HM45" s="1824">
        <v>667734</v>
      </c>
      <c r="HN45" s="1824">
        <v>518583.1</v>
      </c>
      <c r="HO45" s="6058">
        <f t="shared" si="151"/>
        <v>-149150.90000000002</v>
      </c>
      <c r="HP45" s="1821">
        <f t="shared" si="152"/>
        <v>-0.28761234216849724</v>
      </c>
      <c r="HQ45" s="654">
        <v>26</v>
      </c>
      <c r="HR45" s="1248">
        <v>574628.40999999992</v>
      </c>
      <c r="HS45" s="1248">
        <v>518583.1</v>
      </c>
      <c r="HT45" s="6059">
        <f t="shared" si="153"/>
        <v>-56045.309999999939</v>
      </c>
      <c r="HU45" s="1826">
        <f t="shared" si="154"/>
        <v>-0.10807392296432325</v>
      </c>
      <c r="HV45" s="5941">
        <f t="shared" si="155"/>
        <v>24.333333333333332</v>
      </c>
      <c r="HW45" s="622">
        <f t="shared" si="156"/>
        <v>7195867.7800000003</v>
      </c>
      <c r="HX45" s="622">
        <f t="shared" si="156"/>
        <v>8487663.5999999996</v>
      </c>
      <c r="HY45" s="622">
        <f t="shared" si="156"/>
        <v>1291795.8199999998</v>
      </c>
      <c r="HZ45" s="1828"/>
      <c r="IA45" s="1829">
        <f t="shared" si="219"/>
        <v>23.333333333333332</v>
      </c>
      <c r="IB45" s="1830">
        <f t="shared" si="220"/>
        <v>2264666.4</v>
      </c>
      <c r="IC45" s="1830">
        <f t="shared" si="220"/>
        <v>493262.03</v>
      </c>
      <c r="ID45" s="1831">
        <f t="shared" si="221"/>
        <v>0.21780781045720465</v>
      </c>
      <c r="IE45" s="1832">
        <f t="shared" si="222"/>
        <v>24</v>
      </c>
      <c r="IF45" s="1833">
        <f t="shared" si="223"/>
        <v>2222499</v>
      </c>
      <c r="IG45" s="1834">
        <f t="shared" si="223"/>
        <v>499809</v>
      </c>
      <c r="IH45" s="1831">
        <f t="shared" si="224"/>
        <v>0.22488604044366275</v>
      </c>
      <c r="II45" s="1835">
        <f t="shared" si="157"/>
        <v>24.333333333333332</v>
      </c>
      <c r="IJ45" s="1836">
        <f t="shared" si="158"/>
        <v>2222499</v>
      </c>
      <c r="IK45" s="1836">
        <f t="shared" si="158"/>
        <v>381010</v>
      </c>
      <c r="IL45" s="239">
        <f t="shared" si="159"/>
        <v>0.17143314800141643</v>
      </c>
      <c r="IM45" s="1837">
        <f t="shared" si="160"/>
        <v>25</v>
      </c>
      <c r="IN45" s="1836">
        <f t="shared" si="161"/>
        <v>1777999.2000000002</v>
      </c>
      <c r="IO45" s="1836">
        <f t="shared" si="161"/>
        <v>-82285.209999999963</v>
      </c>
      <c r="IP45" s="1838">
        <f t="shared" si="162"/>
        <v>-4.6279666492538327E-2</v>
      </c>
      <c r="IQ45" s="1839"/>
      <c r="IR45" s="1840">
        <v>26</v>
      </c>
      <c r="IS45" s="1818">
        <v>407037</v>
      </c>
      <c r="IT45" s="1818">
        <v>740833</v>
      </c>
      <c r="IU45" s="1818">
        <f t="shared" si="163"/>
        <v>333796</v>
      </c>
      <c r="IV45" s="1819">
        <f t="shared" si="225"/>
        <v>0.45056848169560482</v>
      </c>
      <c r="IW45" s="1820">
        <v>26</v>
      </c>
      <c r="IX45" s="1818">
        <v>426324</v>
      </c>
      <c r="IY45" s="1818">
        <v>740833</v>
      </c>
      <c r="IZ45" s="1818">
        <f>IY45-IX45</f>
        <v>314509</v>
      </c>
      <c r="JA45" s="1821">
        <f t="shared" si="226"/>
        <v>0.42453427425614138</v>
      </c>
      <c r="JB45" s="1984">
        <v>19</v>
      </c>
      <c r="JC45" s="1985">
        <v>172049</v>
      </c>
      <c r="JD45" s="1986">
        <v>197555.46666666667</v>
      </c>
      <c r="JE45" s="1818">
        <f t="shared" si="164"/>
        <v>25506.466666666674</v>
      </c>
      <c r="JF45" s="1821">
        <f>JE45/JD45</f>
        <v>0.12911040679883323</v>
      </c>
      <c r="JG45" s="1981"/>
      <c r="JH45" s="1824">
        <v>0</v>
      </c>
      <c r="JI45" s="1824">
        <v>0</v>
      </c>
      <c r="JJ45" s="1822">
        <f t="shared" si="67"/>
        <v>0</v>
      </c>
      <c r="JK45" s="1821"/>
      <c r="JL45" s="1823"/>
      <c r="JM45" s="1824"/>
      <c r="JN45" s="1824"/>
      <c r="JO45" s="1996">
        <f t="shared" si="165"/>
        <v>0</v>
      </c>
      <c r="JP45" s="1821"/>
      <c r="JQ45" s="6013"/>
      <c r="JR45" s="1982"/>
      <c r="JS45" s="1248"/>
      <c r="JT45" s="1996"/>
      <c r="JU45" s="1821"/>
      <c r="JV45" s="1981"/>
      <c r="JW45" s="1824">
        <v>0</v>
      </c>
      <c r="JX45" s="1248">
        <v>0</v>
      </c>
      <c r="JY45" s="1996">
        <f t="shared" si="141"/>
        <v>0</v>
      </c>
      <c r="JZ45" s="1821"/>
      <c r="KA45" s="1981"/>
      <c r="KB45" s="1248">
        <v>0</v>
      </c>
      <c r="KC45" s="1982">
        <v>0</v>
      </c>
      <c r="KD45" s="1983">
        <f t="shared" ref="KD45:KD56" si="231">KC45-KB45</f>
        <v>0</v>
      </c>
      <c r="KE45" s="1952"/>
      <c r="KF45" s="1981"/>
      <c r="KG45" s="1248">
        <v>0</v>
      </c>
      <c r="KH45" s="1824">
        <v>0</v>
      </c>
      <c r="KI45" s="1818">
        <f t="shared" si="227"/>
        <v>0</v>
      </c>
      <c r="KJ45" s="1821"/>
      <c r="KK45" s="1990"/>
      <c r="KL45" s="1904"/>
      <c r="KM45" s="1904"/>
      <c r="KN45" s="2023">
        <f t="shared" si="130"/>
        <v>0</v>
      </c>
      <c r="KO45" s="2024"/>
      <c r="KP45" s="1823"/>
      <c r="KQ45" s="1982"/>
      <c r="KR45" s="1248"/>
      <c r="KS45" s="6060">
        <f t="shared" si="166"/>
        <v>0</v>
      </c>
      <c r="KT45" s="1819"/>
      <c r="KU45" s="1905"/>
      <c r="KV45" s="1248"/>
      <c r="KW45" s="1248"/>
      <c r="KX45" s="1248">
        <f t="shared" si="145"/>
        <v>0</v>
      </c>
      <c r="KY45" s="77"/>
      <c r="KZ45" s="1832"/>
      <c r="LA45" s="622">
        <f t="shared" si="144"/>
        <v>1005410</v>
      </c>
      <c r="LB45" s="622">
        <f t="shared" si="144"/>
        <v>1679221.4666666668</v>
      </c>
      <c r="LC45" s="622">
        <f t="shared" si="144"/>
        <v>673811.46666666667</v>
      </c>
      <c r="LD45" s="239">
        <f t="shared" si="228"/>
        <v>0.40126420489622133</v>
      </c>
      <c r="LE45" s="1834">
        <f t="shared" si="71"/>
        <v>23.666666666666668</v>
      </c>
      <c r="LF45" s="1830">
        <f t="shared" si="167"/>
        <v>1679221.4666666668</v>
      </c>
      <c r="LG45" s="1830">
        <f t="shared" si="167"/>
        <v>673811.46666666667</v>
      </c>
      <c r="LH45" s="1831">
        <f t="shared" si="168"/>
        <v>0.40126420489622133</v>
      </c>
      <c r="LI45" s="1832">
        <f t="shared" si="132"/>
        <v>0</v>
      </c>
      <c r="LJ45" s="1833">
        <f t="shared" si="133"/>
        <v>0</v>
      </c>
      <c r="LK45" s="1834">
        <f t="shared" si="133"/>
        <v>0</v>
      </c>
      <c r="LL45" s="1831" t="e">
        <f t="shared" si="169"/>
        <v>#DIV/0!</v>
      </c>
      <c r="LM45" s="1835">
        <f t="shared" si="135"/>
        <v>0</v>
      </c>
      <c r="LN45" s="1836">
        <f t="shared" si="136"/>
        <v>0</v>
      </c>
      <c r="LO45" s="1836">
        <f t="shared" si="136"/>
        <v>0</v>
      </c>
      <c r="LP45" s="239"/>
      <c r="LQ45" s="1837">
        <f t="shared" si="140"/>
        <v>0</v>
      </c>
      <c r="LR45" s="1836">
        <f t="shared" si="229"/>
        <v>0</v>
      </c>
      <c r="LS45" s="1836">
        <f t="shared" si="229"/>
        <v>0</v>
      </c>
      <c r="LT45" s="1838"/>
      <c r="LV45" s="3645"/>
      <c r="LW45" s="2897"/>
      <c r="LX45" s="2897"/>
      <c r="LY45" s="2589">
        <f t="shared" si="137"/>
        <v>0</v>
      </c>
      <c r="LZ45" s="77"/>
      <c r="MF45" s="5880"/>
      <c r="MG45" s="4965"/>
      <c r="MH45" s="4965"/>
      <c r="MI45" s="1839"/>
      <c r="MJ45" s="207" t="e">
        <f t="shared" si="170"/>
        <v>#DIV/0!</v>
      </c>
      <c r="MK45" s="5881"/>
      <c r="MN45" s="372">
        <f t="shared" si="12"/>
        <v>0</v>
      </c>
      <c r="MP45" s="5881"/>
      <c r="MQ45" s="1839"/>
      <c r="MR45" s="1839"/>
      <c r="MS45" s="1839"/>
      <c r="MT45" s="693"/>
      <c r="MU45" s="2035"/>
      <c r="MV45" s="1914"/>
      <c r="MW45" s="1914"/>
      <c r="MX45" s="1914"/>
      <c r="MY45" s="5882"/>
      <c r="MZ45" s="1659"/>
      <c r="NA45" s="1839"/>
      <c r="NB45" s="1839"/>
      <c r="NC45" s="1839"/>
      <c r="ND45" s="1839"/>
      <c r="NO45" s="5883"/>
      <c r="NP45" s="2425"/>
      <c r="NQ45" s="2425"/>
      <c r="NR45" s="5883"/>
      <c r="NT45" s="1839"/>
      <c r="NU45" s="1839"/>
      <c r="NV45" s="715"/>
      <c r="NW45" s="1839"/>
      <c r="NX45" s="1660"/>
      <c r="NY45" s="1659"/>
      <c r="NZ45" s="715"/>
      <c r="OA45" s="715"/>
      <c r="OB45" s="1839"/>
      <c r="OC45" s="1660"/>
      <c r="OE45" s="5885"/>
      <c r="OF45" s="5885"/>
      <c r="OG45" s="715"/>
      <c r="OH45" s="1660"/>
      <c r="OI45" s="1659"/>
      <c r="OJ45" s="1839"/>
      <c r="OK45" s="1839"/>
      <c r="OL45" s="1839"/>
      <c r="OM45" s="693"/>
      <c r="ON45" s="1659"/>
      <c r="OO45" s="715"/>
      <c r="OP45" s="715"/>
      <c r="OQ45" s="715"/>
      <c r="OR45" s="705"/>
      <c r="OS45" s="1659"/>
      <c r="OT45" s="1839"/>
      <c r="OU45" s="1839"/>
      <c r="OV45" s="1839"/>
      <c r="OW45" s="705"/>
      <c r="OX45" s="1659"/>
      <c r="OY45" s="1839"/>
      <c r="OZ45" s="1839"/>
      <c r="PA45" s="1839"/>
      <c r="PB45" s="1660"/>
      <c r="PD45" s="3645"/>
      <c r="PE45" s="2897"/>
      <c r="PF45" s="2897"/>
      <c r="PG45" s="2589">
        <f t="shared" si="138"/>
        <v>0</v>
      </c>
      <c r="PH45" s="77"/>
      <c r="PN45" s="5880"/>
      <c r="PO45" s="4965"/>
      <c r="PP45" s="4965"/>
      <c r="PQ45" s="1839"/>
      <c r="PR45" s="207" t="e">
        <f t="shared" si="171"/>
        <v>#DIV/0!</v>
      </c>
      <c r="PS45" s="5886"/>
      <c r="PT45" s="5883"/>
      <c r="PU45" s="5883"/>
      <c r="PV45" s="2892">
        <f t="shared" si="13"/>
        <v>0</v>
      </c>
      <c r="PW45" s="5883"/>
      <c r="PX45" s="5881"/>
      <c r="PY45" s="1839"/>
      <c r="PZ45" s="1839"/>
      <c r="QA45" s="1839"/>
      <c r="QB45" s="693"/>
      <c r="QC45" s="2035"/>
      <c r="QD45" s="1914"/>
      <c r="QE45" s="1914"/>
      <c r="QF45" s="1914"/>
      <c r="QG45" s="5882"/>
      <c r="QH45" s="1910"/>
      <c r="QI45" s="1839"/>
      <c r="QJ45" s="1839"/>
      <c r="QK45" s="1839"/>
      <c r="QL45" s="1839"/>
      <c r="QM45" s="5880"/>
      <c r="QR45" s="5883"/>
      <c r="QS45" s="5883"/>
      <c r="QT45" s="5883"/>
      <c r="QU45" s="5883"/>
      <c r="QV45" s="1677"/>
      <c r="QW45" s="5883"/>
      <c r="QX45" s="2425"/>
      <c r="QY45" s="2425"/>
      <c r="QZ45" s="5883"/>
      <c r="RA45" s="5883"/>
      <c r="RB45" s="1839"/>
      <c r="RC45" s="1839"/>
      <c r="RD45" s="715"/>
      <c r="RE45" s="1839"/>
      <c r="RF45" s="1660"/>
      <c r="RG45" s="2037"/>
      <c r="RH45" s="1914"/>
      <c r="RI45" s="1914"/>
      <c r="RJ45" s="5882"/>
      <c r="RK45" s="1660"/>
      <c r="RL45" s="5883"/>
      <c r="RM45" s="1873">
        <f t="shared" si="77"/>
        <v>0</v>
      </c>
      <c r="RN45" s="1873">
        <f t="shared" si="77"/>
        <v>0</v>
      </c>
      <c r="RO45" s="1873">
        <f t="shared" si="77"/>
        <v>0</v>
      </c>
      <c r="RP45" s="5883"/>
      <c r="RQ45" s="1659"/>
      <c r="RR45" s="1839"/>
      <c r="RS45" s="1839"/>
      <c r="RT45" s="1839"/>
      <c r="RU45" s="693"/>
      <c r="RV45" s="1659"/>
      <c r="RW45" s="715"/>
      <c r="RX45" s="715"/>
      <c r="RY45" s="715"/>
      <c r="RZ45" s="705"/>
      <c r="SA45" s="1659"/>
      <c r="SB45" s="1839"/>
      <c r="SC45" s="1839"/>
      <c r="SD45" s="1839"/>
      <c r="SE45" s="705"/>
      <c r="SF45" s="1659"/>
      <c r="SG45" s="1839"/>
      <c r="SH45" s="1839"/>
      <c r="SI45" s="1839"/>
      <c r="SJ45" s="1660"/>
      <c r="SL45" s="3645"/>
      <c r="SM45" s="2897"/>
      <c r="SN45" s="2897"/>
      <c r="SO45" s="6029">
        <f t="shared" si="139"/>
        <v>0</v>
      </c>
      <c r="SP45" s="6056"/>
      <c r="SQ45" s="5883"/>
      <c r="SR45" s="5883"/>
      <c r="SS45" s="5883"/>
      <c r="ST45" s="5883"/>
      <c r="SU45" s="5883"/>
      <c r="SV45" s="5880"/>
      <c r="SW45" s="4965"/>
      <c r="SX45" s="4965"/>
      <c r="SY45" s="1839"/>
      <c r="SZ45" s="207" t="e">
        <f t="shared" si="172"/>
        <v>#DIV/0!</v>
      </c>
      <c r="TA45" s="5881"/>
      <c r="TD45" s="372">
        <f t="shared" si="14"/>
        <v>0</v>
      </c>
      <c r="TF45" s="5881"/>
      <c r="TG45" s="1839"/>
      <c r="TH45" s="1839"/>
      <c r="TI45" s="1839"/>
      <c r="TJ45" s="693"/>
      <c r="TK45" s="2035"/>
      <c r="TL45" s="1914"/>
      <c r="TM45" s="1914"/>
      <c r="TN45" s="1914"/>
      <c r="TO45" s="5882"/>
      <c r="TP45" s="2407"/>
      <c r="TQ45" s="1839"/>
      <c r="TR45" s="1839"/>
      <c r="TS45" s="1839"/>
      <c r="TT45" s="1839"/>
      <c r="TU45" s="5889"/>
      <c r="TV45" s="5883"/>
      <c r="TW45" s="5883"/>
      <c r="TX45" s="5883"/>
      <c r="TY45" s="5883"/>
      <c r="TZ45" s="5883"/>
      <c r="UA45" s="5883"/>
      <c r="UB45" s="5883"/>
      <c r="UC45" s="5883"/>
      <c r="UD45" s="1677"/>
      <c r="UE45" s="5883"/>
      <c r="UF45" s="2425"/>
      <c r="UG45" s="2425"/>
      <c r="UH45" s="5883"/>
      <c r="UI45" s="5883"/>
      <c r="UJ45" s="1839"/>
      <c r="UK45" s="1839"/>
      <c r="UL45" s="715"/>
      <c r="UM45" s="1839"/>
      <c r="UN45" s="1660"/>
      <c r="UO45" s="2037"/>
      <c r="UP45" s="1914"/>
      <c r="UQ45" s="1914"/>
      <c r="UR45" s="5882"/>
      <c r="US45" s="1660"/>
      <c r="UU45" s="622">
        <f t="shared" si="78"/>
        <v>0</v>
      </c>
      <c r="UV45" s="622">
        <f t="shared" si="78"/>
        <v>0</v>
      </c>
      <c r="UW45" s="622">
        <f t="shared" si="78"/>
        <v>0</v>
      </c>
      <c r="UY45" s="1659"/>
      <c r="UZ45" s="1839"/>
      <c r="VA45" s="1839"/>
      <c r="VB45" s="1839"/>
      <c r="VC45" s="693"/>
      <c r="VD45" s="1659"/>
      <c r="VE45" s="715"/>
      <c r="VF45" s="715"/>
      <c r="VG45" s="715"/>
      <c r="VH45" s="705"/>
      <c r="VI45" s="1659"/>
      <c r="VJ45" s="1839"/>
      <c r="VK45" s="1839"/>
      <c r="VL45" s="1839"/>
      <c r="VM45" s="705"/>
      <c r="VN45" s="1659"/>
      <c r="VO45" s="1839"/>
      <c r="VP45" s="1839"/>
      <c r="VQ45" s="1839"/>
      <c r="VR45" s="1660"/>
    </row>
    <row r="46" spans="1:590" s="122" customFormat="1" ht="13.45" hidden="1" x14ac:dyDescent="0.3">
      <c r="A46" s="2906"/>
      <c r="B46" s="6016" t="s">
        <v>53</v>
      </c>
      <c r="C46" s="6031" t="s">
        <v>803</v>
      </c>
      <c r="D46" s="5989" t="s">
        <v>804</v>
      </c>
      <c r="E46" s="6032">
        <v>43971</v>
      </c>
      <c r="F46" s="6032">
        <v>44335</v>
      </c>
      <c r="G46" s="5965">
        <v>298200</v>
      </c>
      <c r="H46" s="1775"/>
      <c r="I46" s="1776"/>
      <c r="J46" s="1776"/>
      <c r="K46" s="1776">
        <f>J46-I46</f>
        <v>0</v>
      </c>
      <c r="L46" s="1777"/>
      <c r="M46" s="1778"/>
      <c r="N46" s="1779"/>
      <c r="O46" s="1779"/>
      <c r="P46" s="1779">
        <f>O46-N46</f>
        <v>0</v>
      </c>
      <c r="Q46" s="1780"/>
      <c r="R46" s="1780"/>
      <c r="S46" s="1776"/>
      <c r="T46" s="1776"/>
      <c r="U46" s="1776">
        <f>T46-S46</f>
        <v>0</v>
      </c>
      <c r="V46" s="1777"/>
      <c r="W46" s="1776"/>
      <c r="X46" s="1776"/>
      <c r="Y46" s="1781"/>
      <c r="Z46" s="1776">
        <f>Y46-X46</f>
        <v>0</v>
      </c>
      <c r="AA46" s="1782"/>
      <c r="AB46" s="1781"/>
      <c r="AC46" s="1783"/>
      <c r="AD46" s="1784"/>
      <c r="AE46" s="1776"/>
      <c r="AF46" s="1777"/>
      <c r="AG46" s="1785"/>
      <c r="AH46" s="1776"/>
      <c r="AI46" s="1776"/>
      <c r="AJ46" s="1786"/>
      <c r="AK46" s="1777"/>
      <c r="AL46" s="1785"/>
      <c r="AM46" s="1776"/>
      <c r="AN46" s="1776"/>
      <c r="AO46" s="1781"/>
      <c r="AP46" s="1777"/>
      <c r="AQ46" s="1787"/>
      <c r="AR46" s="1788"/>
      <c r="AS46" s="1788"/>
      <c r="AT46" s="1789"/>
      <c r="AU46" s="1777"/>
      <c r="AV46" s="1790"/>
      <c r="AW46" s="1781"/>
      <c r="AX46" s="1781"/>
      <c r="AY46" s="1781"/>
      <c r="AZ46" s="1777"/>
      <c r="BA46" s="1791"/>
      <c r="BB46" s="1792"/>
      <c r="BC46" s="1783"/>
      <c r="BD46" s="1781"/>
      <c r="BE46" s="1780"/>
      <c r="BF46" s="1790"/>
      <c r="BG46" s="1781"/>
      <c r="BH46" s="1776"/>
      <c r="BI46" s="1781">
        <f>BH46-BG46</f>
        <v>0</v>
      </c>
      <c r="BJ46" s="1793">
        <v>0</v>
      </c>
      <c r="BK46" s="1790"/>
      <c r="BL46" s="1781"/>
      <c r="BM46" s="1776"/>
      <c r="BN46" s="1781">
        <f>BM46-BL46</f>
        <v>0</v>
      </c>
      <c r="BO46" s="1794">
        <v>0</v>
      </c>
      <c r="BP46" s="1937">
        <f>(AV46+AQ46+AL46+AG46+AB46+W46+R46+M46+H46+BA46+BF46+BK46)/12</f>
        <v>0</v>
      </c>
      <c r="BQ46" s="1796">
        <f t="shared" si="173"/>
        <v>0</v>
      </c>
      <c r="BR46" s="1786">
        <f t="shared" si="173"/>
        <v>0</v>
      </c>
      <c r="BS46" s="1797">
        <f>BR46-BQ46</f>
        <v>0</v>
      </c>
      <c r="BT46" s="1798">
        <f>H46+M46+R46</f>
        <v>0</v>
      </c>
      <c r="BU46" s="1786">
        <f t="shared" si="174"/>
        <v>0</v>
      </c>
      <c r="BV46" s="1786">
        <f t="shared" si="174"/>
        <v>0</v>
      </c>
      <c r="BW46" s="1799"/>
      <c r="BX46" s="1800">
        <f>W46+AB46+AG46</f>
        <v>0</v>
      </c>
      <c r="BY46" s="1786">
        <f t="shared" si="175"/>
        <v>0</v>
      </c>
      <c r="BZ46" s="1786">
        <f t="shared" si="175"/>
        <v>0</v>
      </c>
      <c r="CA46" s="1801"/>
      <c r="CB46" s="1802">
        <f>AL46+AQ46+AV46</f>
        <v>0</v>
      </c>
      <c r="CC46" s="1786">
        <f t="shared" si="176"/>
        <v>0</v>
      </c>
      <c r="CD46" s="1786">
        <f t="shared" si="176"/>
        <v>0</v>
      </c>
      <c r="CE46" s="1803"/>
      <c r="CF46" s="1800">
        <f>BA46+BF46+BK46</f>
        <v>0</v>
      </c>
      <c r="CG46" s="1776">
        <f t="shared" si="177"/>
        <v>0</v>
      </c>
      <c r="CH46" s="1776">
        <f t="shared" si="177"/>
        <v>0</v>
      </c>
      <c r="CI46" s="1801"/>
      <c r="CJ46" s="1804"/>
      <c r="CK46" s="1776"/>
      <c r="CL46" s="1776"/>
      <c r="CM46" s="1776">
        <f>CL46-CK46</f>
        <v>0</v>
      </c>
      <c r="CN46" s="1799">
        <v>0</v>
      </c>
      <c r="CO46" s="1804">
        <v>3</v>
      </c>
      <c r="CP46" s="1776">
        <v>19100</v>
      </c>
      <c r="CQ46" s="1776">
        <v>36976</v>
      </c>
      <c r="CR46" s="1776">
        <f>CQ46-CP46</f>
        <v>17876</v>
      </c>
      <c r="CS46" s="1799">
        <f>CR46/CQ46</f>
        <v>0.48344872349632195</v>
      </c>
      <c r="CT46" s="1804">
        <v>6</v>
      </c>
      <c r="CU46" s="1776">
        <v>112505</v>
      </c>
      <c r="CV46" s="1776">
        <v>221264</v>
      </c>
      <c r="CW46" s="1776">
        <f t="shared" si="178"/>
        <v>108759</v>
      </c>
      <c r="CX46" s="1799">
        <f>CW46/CV46</f>
        <v>0.49153499891532287</v>
      </c>
      <c r="CY46" s="1808">
        <v>6</v>
      </c>
      <c r="CZ46" s="1783">
        <v>179997</v>
      </c>
      <c r="DA46" s="1783">
        <v>286868.40000000002</v>
      </c>
      <c r="DB46" s="1776">
        <f t="shared" si="179"/>
        <v>106871.40000000002</v>
      </c>
      <c r="DC46" s="1799">
        <f>DB46/DA46</f>
        <v>0.3725450415591261</v>
      </c>
      <c r="DD46" s="6061">
        <v>6</v>
      </c>
      <c r="DE46" s="1783">
        <v>205605</v>
      </c>
      <c r="DF46" s="1783">
        <v>296709</v>
      </c>
      <c r="DG46" s="1783">
        <f t="shared" si="180"/>
        <v>91104</v>
      </c>
      <c r="DH46" s="1807">
        <f>DG46/DF46</f>
        <v>0.30704832007118088</v>
      </c>
      <c r="DI46" s="1808">
        <v>5</v>
      </c>
      <c r="DJ46" s="2577">
        <v>176648</v>
      </c>
      <c r="DK46" s="2577">
        <v>298200</v>
      </c>
      <c r="DL46" s="1776">
        <f t="shared" si="181"/>
        <v>121552</v>
      </c>
      <c r="DM46" s="1807">
        <f>DL46/DK46</f>
        <v>0.4076190476190476</v>
      </c>
      <c r="DN46" s="1808">
        <v>6</v>
      </c>
      <c r="DO46" s="2577">
        <v>192409</v>
      </c>
      <c r="DP46" s="1783">
        <v>298200</v>
      </c>
      <c r="DQ46" s="1776">
        <f t="shared" si="182"/>
        <v>105791</v>
      </c>
      <c r="DR46" s="1807">
        <f t="shared" si="183"/>
        <v>0.35476525821596244</v>
      </c>
      <c r="DS46" s="1804">
        <v>6</v>
      </c>
      <c r="DT46" s="2577">
        <v>191426</v>
      </c>
      <c r="DU46" s="1783">
        <v>280009.8</v>
      </c>
      <c r="DV46" s="1776">
        <f t="shared" si="184"/>
        <v>88583.799999999988</v>
      </c>
      <c r="DW46" s="1799">
        <f t="shared" si="185"/>
        <v>0.31635964169825481</v>
      </c>
      <c r="DX46" s="1804">
        <v>6</v>
      </c>
      <c r="DY46" s="1776">
        <v>194713</v>
      </c>
      <c r="DZ46" s="1776">
        <v>280009.8</v>
      </c>
      <c r="EA46" s="1776">
        <f t="shared" si="186"/>
        <v>85296.799999999988</v>
      </c>
      <c r="EB46" s="1807">
        <f t="shared" si="187"/>
        <v>0.304620766844589</v>
      </c>
      <c r="EC46" s="1804">
        <v>6</v>
      </c>
      <c r="ED46" s="1776">
        <v>195173</v>
      </c>
      <c r="EE46" s="1776">
        <v>298200</v>
      </c>
      <c r="EF46" s="1786">
        <f t="shared" si="188"/>
        <v>103027</v>
      </c>
      <c r="EG46" s="1807">
        <f t="shared" si="189"/>
        <v>0.34549631120053653</v>
      </c>
      <c r="EH46" s="1804">
        <v>6</v>
      </c>
      <c r="EI46" s="1776">
        <v>198220</v>
      </c>
      <c r="EJ46" s="1776">
        <v>298200</v>
      </c>
      <c r="EK46" s="1776">
        <f t="shared" si="190"/>
        <v>99980</v>
      </c>
      <c r="EL46" s="1807">
        <f t="shared" si="191"/>
        <v>0.33527833668678741</v>
      </c>
      <c r="EM46" s="1804">
        <v>6</v>
      </c>
      <c r="EN46" s="1776">
        <v>199981</v>
      </c>
      <c r="EO46" s="1776">
        <v>298200</v>
      </c>
      <c r="EP46" s="1776">
        <f t="shared" si="192"/>
        <v>98219</v>
      </c>
      <c r="EQ46" s="1807">
        <f t="shared" si="193"/>
        <v>0.32937290409121395</v>
      </c>
      <c r="ER46" s="2402">
        <f t="shared" si="38"/>
        <v>5.166666666666667</v>
      </c>
      <c r="ES46" s="2403">
        <f t="shared" si="146"/>
        <v>1865777</v>
      </c>
      <c r="ET46" s="2403">
        <f t="shared" si="146"/>
        <v>2892837</v>
      </c>
      <c r="EU46" s="2403">
        <f t="shared" si="146"/>
        <v>1027060</v>
      </c>
      <c r="EV46" s="2404">
        <f t="shared" si="40"/>
        <v>0.3550355585191976</v>
      </c>
      <c r="EW46" s="1814">
        <f t="shared" si="194"/>
        <v>3</v>
      </c>
      <c r="EX46" s="1776">
        <f t="shared" si="195"/>
        <v>258240</v>
      </c>
      <c r="EY46" s="1776">
        <f t="shared" si="195"/>
        <v>126635</v>
      </c>
      <c r="EZ46" s="1815">
        <f>EY46/EX46</f>
        <v>0.49037716852540275</v>
      </c>
      <c r="FA46" s="1939">
        <f t="shared" si="196"/>
        <v>5.666666666666667</v>
      </c>
      <c r="FB46" s="1786">
        <f t="shared" si="197"/>
        <v>881777.4</v>
      </c>
      <c r="FC46" s="1786">
        <f t="shared" si="197"/>
        <v>319527.40000000002</v>
      </c>
      <c r="FD46" s="1799">
        <f>FC46/FB46</f>
        <v>0.36236741835297664</v>
      </c>
      <c r="FE46" s="1814">
        <f t="shared" si="198"/>
        <v>6</v>
      </c>
      <c r="FF46" s="1786">
        <f t="shared" si="199"/>
        <v>858219.60000000009</v>
      </c>
      <c r="FG46" s="1786">
        <f t="shared" si="199"/>
        <v>279671.59999999998</v>
      </c>
      <c r="FH46" s="1815">
        <f t="shared" si="200"/>
        <v>0.32587417020072712</v>
      </c>
      <c r="FI46" s="1816">
        <f t="shared" si="201"/>
        <v>6</v>
      </c>
      <c r="FJ46" s="1814"/>
      <c r="FK46" s="1786">
        <f t="shared" si="202"/>
        <v>894600</v>
      </c>
      <c r="FL46" s="1786">
        <f t="shared" si="202"/>
        <v>301226</v>
      </c>
      <c r="FM46" s="1799">
        <f t="shared" si="203"/>
        <v>0.33671585065951265</v>
      </c>
      <c r="FN46" s="1817">
        <v>6</v>
      </c>
      <c r="FO46" s="1818">
        <v>199981</v>
      </c>
      <c r="FP46" s="1818">
        <v>298200</v>
      </c>
      <c r="FQ46" s="1818">
        <f t="shared" si="204"/>
        <v>98219</v>
      </c>
      <c r="FR46" s="1819">
        <f t="shared" si="205"/>
        <v>0.32937290409121395</v>
      </c>
      <c r="FS46" s="1820">
        <v>7</v>
      </c>
      <c r="FT46" s="1818">
        <v>257458</v>
      </c>
      <c r="FU46" s="1818">
        <v>285458.81</v>
      </c>
      <c r="FV46" s="1818">
        <f t="shared" si="206"/>
        <v>28000.809999999998</v>
      </c>
      <c r="FW46" s="1821">
        <f t="shared" si="207"/>
        <v>9.8090544131393245E-2</v>
      </c>
      <c r="FX46" s="1820">
        <v>7</v>
      </c>
      <c r="FY46" s="1822">
        <v>257458</v>
      </c>
      <c r="FZ46" s="1822">
        <v>265276.5</v>
      </c>
      <c r="GA46" s="1818">
        <f t="shared" si="208"/>
        <v>7818.5</v>
      </c>
      <c r="GB46" s="1821">
        <f t="shared" si="209"/>
        <v>2.9473021545444095E-2</v>
      </c>
      <c r="GC46" s="1823">
        <v>6</v>
      </c>
      <c r="GD46" s="1824">
        <v>221625</v>
      </c>
      <c r="GE46" s="1824">
        <v>265276.5</v>
      </c>
      <c r="GF46" s="1818">
        <f t="shared" si="210"/>
        <v>43651.5</v>
      </c>
      <c r="GG46" s="1821">
        <f t="shared" si="211"/>
        <v>0.16455094966949579</v>
      </c>
      <c r="GH46" s="1823">
        <v>6</v>
      </c>
      <c r="GI46" s="1824">
        <v>226648</v>
      </c>
      <c r="GJ46" s="1824">
        <v>265276.5</v>
      </c>
      <c r="GK46" s="1818">
        <f t="shared" si="230"/>
        <v>38628.5</v>
      </c>
      <c r="GL46" s="1821">
        <f t="shared" si="212"/>
        <v>0.14561598935450371</v>
      </c>
      <c r="GM46" s="1823">
        <v>6</v>
      </c>
      <c r="GN46" s="1824">
        <v>226648</v>
      </c>
      <c r="GO46" s="1824">
        <v>265276.5</v>
      </c>
      <c r="GP46" s="1818">
        <f t="shared" si="213"/>
        <v>38628.5</v>
      </c>
      <c r="GQ46" s="1821">
        <f t="shared" si="214"/>
        <v>0.14561598935450371</v>
      </c>
      <c r="GR46" s="1823">
        <v>6</v>
      </c>
      <c r="GS46" s="1824">
        <v>199981</v>
      </c>
      <c r="GT46" s="1824">
        <v>265276.5</v>
      </c>
      <c r="GU46" s="1818">
        <f t="shared" si="215"/>
        <v>65295.5</v>
      </c>
      <c r="GV46" s="1821">
        <f t="shared" si="216"/>
        <v>0.24614129031406853</v>
      </c>
      <c r="GW46" s="1823">
        <v>6</v>
      </c>
      <c r="GX46" s="1824">
        <v>222759</v>
      </c>
      <c r="GY46" s="1824">
        <v>265276.5</v>
      </c>
      <c r="GZ46" s="1818">
        <f t="shared" si="217"/>
        <v>42517.5</v>
      </c>
      <c r="HA46" s="1821">
        <f t="shared" si="218"/>
        <v>0.16027616468100264</v>
      </c>
      <c r="HB46" s="1823">
        <v>5</v>
      </c>
      <c r="HC46" s="1824">
        <v>203315</v>
      </c>
      <c r="HD46" s="1824">
        <v>265276.5</v>
      </c>
      <c r="HE46" s="1818">
        <f t="shared" si="147"/>
        <v>61961.5</v>
      </c>
      <c r="HF46" s="1821">
        <f t="shared" si="148"/>
        <v>0.23357327166183209</v>
      </c>
      <c r="HG46" s="1823">
        <v>5</v>
      </c>
      <c r="HH46" s="1824">
        <v>203315</v>
      </c>
      <c r="HI46" s="1824">
        <v>265276.5</v>
      </c>
      <c r="HJ46" s="1818">
        <f t="shared" si="149"/>
        <v>61961.5</v>
      </c>
      <c r="HK46" s="1821">
        <f t="shared" si="150"/>
        <v>0.23357327166183209</v>
      </c>
      <c r="HL46" s="1823">
        <v>5</v>
      </c>
      <c r="HM46" s="1824">
        <v>184852.71428571429</v>
      </c>
      <c r="HN46" s="1824">
        <v>185693.55</v>
      </c>
      <c r="HO46" s="1818">
        <f t="shared" si="151"/>
        <v>840.83571428569849</v>
      </c>
      <c r="HP46" s="1821">
        <f t="shared" si="152"/>
        <v>4.5280825009037665E-3</v>
      </c>
      <c r="HQ46" s="654">
        <v>4</v>
      </c>
      <c r="HR46" s="1248">
        <v>136742.13</v>
      </c>
      <c r="HS46" s="1248">
        <v>185693.55</v>
      </c>
      <c r="HT46" s="1248">
        <v>48951.419999999984</v>
      </c>
      <c r="HU46" s="1826">
        <f t="shared" si="154"/>
        <v>0.263614002748076</v>
      </c>
      <c r="HV46" s="5941">
        <f t="shared" si="155"/>
        <v>5.75</v>
      </c>
      <c r="HW46" s="622">
        <f t="shared" si="156"/>
        <v>2540782.844285714</v>
      </c>
      <c r="HX46" s="622">
        <f t="shared" si="156"/>
        <v>3077257.9099999997</v>
      </c>
      <c r="HY46" s="622">
        <f t="shared" si="156"/>
        <v>536475.06571428571</v>
      </c>
      <c r="HZ46" s="1828"/>
      <c r="IA46" s="1829">
        <f t="shared" si="219"/>
        <v>6.666666666666667</v>
      </c>
      <c r="IB46" s="1830">
        <f t="shared" si="220"/>
        <v>848935.31</v>
      </c>
      <c r="IC46" s="1830">
        <f t="shared" si="220"/>
        <v>134038.31</v>
      </c>
      <c r="ID46" s="1831">
        <f t="shared" si="221"/>
        <v>0.15788989858367417</v>
      </c>
      <c r="IE46" s="1832">
        <f t="shared" si="222"/>
        <v>6</v>
      </c>
      <c r="IF46" s="1833">
        <f t="shared" si="223"/>
        <v>795829.5</v>
      </c>
      <c r="IG46" s="1834">
        <f t="shared" si="223"/>
        <v>120908.5</v>
      </c>
      <c r="IH46" s="1831">
        <f t="shared" si="224"/>
        <v>0.15192764279283438</v>
      </c>
      <c r="II46" s="1835">
        <f t="shared" si="157"/>
        <v>5.666666666666667</v>
      </c>
      <c r="IJ46" s="1836">
        <f t="shared" si="158"/>
        <v>795829.5</v>
      </c>
      <c r="IK46" s="1836">
        <f t="shared" si="158"/>
        <v>169774.5</v>
      </c>
      <c r="IL46" s="239">
        <f t="shared" si="159"/>
        <v>0.21333024221896776</v>
      </c>
      <c r="IM46" s="1837">
        <f t="shared" si="160"/>
        <v>5</v>
      </c>
      <c r="IN46" s="1836">
        <f t="shared" si="161"/>
        <v>636663.6</v>
      </c>
      <c r="IO46" s="1836">
        <f t="shared" si="161"/>
        <v>111753.75571428568</v>
      </c>
      <c r="IP46" s="1838">
        <f t="shared" si="162"/>
        <v>0.17553030472338246</v>
      </c>
      <c r="IQ46" s="1839"/>
      <c r="IR46" s="1840">
        <v>4</v>
      </c>
      <c r="IS46" s="1818">
        <v>131666</v>
      </c>
      <c r="IT46" s="1818">
        <v>265276.5</v>
      </c>
      <c r="IU46" s="1818">
        <f t="shared" si="163"/>
        <v>133610.5</v>
      </c>
      <c r="IV46" s="1819">
        <f t="shared" si="225"/>
        <v>0.50366504383162469</v>
      </c>
      <c r="IW46" s="1820">
        <v>3</v>
      </c>
      <c r="IX46" s="1818">
        <v>131666</v>
      </c>
      <c r="IY46" s="1818">
        <v>162614.49</v>
      </c>
      <c r="IZ46" s="1818">
        <v>30948.489999999991</v>
      </c>
      <c r="JA46" s="1821">
        <f t="shared" si="226"/>
        <v>0.19031815676450475</v>
      </c>
      <c r="JB46" s="1984"/>
      <c r="JC46" s="1985">
        <v>0</v>
      </c>
      <c r="JD46" s="1986">
        <v>0</v>
      </c>
      <c r="JE46" s="1818">
        <f t="shared" si="164"/>
        <v>0</v>
      </c>
      <c r="JF46" s="1821"/>
      <c r="JG46" s="1981"/>
      <c r="JH46" s="1824">
        <v>0</v>
      </c>
      <c r="JI46" s="1824">
        <v>0</v>
      </c>
      <c r="JJ46" s="1822">
        <v>0</v>
      </c>
      <c r="JK46" s="1821"/>
      <c r="JL46" s="1823"/>
      <c r="JM46" s="1824"/>
      <c r="JN46" s="1824"/>
      <c r="JO46" s="1996">
        <f t="shared" si="165"/>
        <v>0</v>
      </c>
      <c r="JP46" s="1821"/>
      <c r="JQ46" s="6013"/>
      <c r="JR46" s="1982"/>
      <c r="JS46" s="1248"/>
      <c r="JT46" s="1996"/>
      <c r="JU46" s="1821"/>
      <c r="JV46" s="1981"/>
      <c r="JW46" s="1824">
        <v>0</v>
      </c>
      <c r="JX46" s="1248">
        <v>0</v>
      </c>
      <c r="JY46" s="1996">
        <f t="shared" si="141"/>
        <v>0</v>
      </c>
      <c r="JZ46" s="1821"/>
      <c r="KA46" s="1981"/>
      <c r="KB46" s="1248">
        <v>0</v>
      </c>
      <c r="KC46" s="1982">
        <v>0</v>
      </c>
      <c r="KD46" s="1983">
        <f t="shared" si="231"/>
        <v>0</v>
      </c>
      <c r="KE46" s="1952"/>
      <c r="KF46" s="1981"/>
      <c r="KG46" s="1248">
        <v>0</v>
      </c>
      <c r="KH46" s="1824">
        <v>0</v>
      </c>
      <c r="KI46" s="1818">
        <f t="shared" si="227"/>
        <v>0</v>
      </c>
      <c r="KJ46" s="1821"/>
      <c r="KK46" s="1990"/>
      <c r="KL46" s="1904"/>
      <c r="KM46" s="1904"/>
      <c r="KN46" s="2023">
        <f t="shared" si="130"/>
        <v>0</v>
      </c>
      <c r="KO46" s="2024"/>
      <c r="KP46" s="1823"/>
      <c r="KQ46" s="1982"/>
      <c r="KR46" s="1248"/>
      <c r="KS46" s="1996">
        <f t="shared" si="166"/>
        <v>0</v>
      </c>
      <c r="KT46" s="1819"/>
      <c r="KU46" s="1905"/>
      <c r="KV46" s="1248"/>
      <c r="KW46" s="1248"/>
      <c r="KX46" s="1248">
        <f t="shared" si="145"/>
        <v>0</v>
      </c>
      <c r="KY46" s="77"/>
      <c r="KZ46" s="1832"/>
      <c r="LA46" s="622">
        <f t="shared" si="144"/>
        <v>263332</v>
      </c>
      <c r="LB46" s="622">
        <f t="shared" si="144"/>
        <v>427890.99</v>
      </c>
      <c r="LC46" s="622">
        <f t="shared" si="144"/>
        <v>164558.99</v>
      </c>
      <c r="LD46" s="239">
        <f t="shared" si="228"/>
        <v>0.38458157298427809</v>
      </c>
      <c r="LE46" s="1834">
        <f t="shared" si="71"/>
        <v>2.3333333333333335</v>
      </c>
      <c r="LF46" s="1830">
        <f t="shared" si="167"/>
        <v>427890.99</v>
      </c>
      <c r="LG46" s="1830">
        <f t="shared" si="167"/>
        <v>164558.99</v>
      </c>
      <c r="LH46" s="1831">
        <f t="shared" si="168"/>
        <v>0.38458157298427809</v>
      </c>
      <c r="LI46" s="1832">
        <f t="shared" si="132"/>
        <v>0</v>
      </c>
      <c r="LJ46" s="1833">
        <f t="shared" si="133"/>
        <v>0</v>
      </c>
      <c r="LK46" s="1834">
        <f t="shared" si="133"/>
        <v>0</v>
      </c>
      <c r="LL46" s="1831" t="e">
        <f t="shared" si="169"/>
        <v>#DIV/0!</v>
      </c>
      <c r="LM46" s="1835">
        <f t="shared" si="135"/>
        <v>0</v>
      </c>
      <c r="LN46" s="1836">
        <f t="shared" si="136"/>
        <v>0</v>
      </c>
      <c r="LO46" s="1836">
        <f t="shared" si="136"/>
        <v>0</v>
      </c>
      <c r="LP46" s="239"/>
      <c r="LQ46" s="1837">
        <f t="shared" si="140"/>
        <v>0</v>
      </c>
      <c r="LR46" s="1836">
        <f t="shared" si="229"/>
        <v>0</v>
      </c>
      <c r="LS46" s="1836">
        <f t="shared" si="229"/>
        <v>0</v>
      </c>
      <c r="LT46" s="1838"/>
      <c r="LV46" s="3645"/>
      <c r="LW46" s="2897"/>
      <c r="LX46" s="2897"/>
      <c r="LY46" s="2589">
        <f t="shared" si="137"/>
        <v>0</v>
      </c>
      <c r="LZ46" s="77"/>
      <c r="MF46" s="5880"/>
      <c r="MG46" s="4965"/>
      <c r="MH46" s="4965"/>
      <c r="MI46" s="1839"/>
      <c r="MJ46" s="207" t="e">
        <f t="shared" si="170"/>
        <v>#DIV/0!</v>
      </c>
      <c r="MK46" s="5881"/>
      <c r="MN46" s="372">
        <f t="shared" si="12"/>
        <v>0</v>
      </c>
      <c r="MP46" s="5881"/>
      <c r="MQ46" s="1839"/>
      <c r="MR46" s="1839"/>
      <c r="MS46" s="1839"/>
      <c r="MT46" s="693"/>
      <c r="MU46" s="2035"/>
      <c r="MV46" s="1914"/>
      <c r="MW46" s="1914"/>
      <c r="MX46" s="1914"/>
      <c r="MY46" s="5882"/>
      <c r="MZ46" s="1659"/>
      <c r="NA46" s="1839"/>
      <c r="NB46" s="1839"/>
      <c r="NC46" s="1839"/>
      <c r="ND46" s="1839"/>
      <c r="NO46" s="5883"/>
      <c r="NP46" s="2425"/>
      <c r="NQ46" s="2425"/>
      <c r="NR46" s="5883"/>
      <c r="NT46" s="1839"/>
      <c r="NU46" s="1839"/>
      <c r="NV46" s="715"/>
      <c r="NW46" s="1839"/>
      <c r="NX46" s="1660"/>
      <c r="NY46" s="1659"/>
      <c r="NZ46" s="715"/>
      <c r="OA46" s="715"/>
      <c r="OB46" s="1839"/>
      <c r="OC46" s="1660"/>
      <c r="OE46" s="5885"/>
      <c r="OF46" s="5885"/>
      <c r="OG46" s="715"/>
      <c r="OH46" s="1660"/>
      <c r="OI46" s="1659"/>
      <c r="OJ46" s="1839"/>
      <c r="OK46" s="1839"/>
      <c r="OL46" s="1839"/>
      <c r="OM46" s="693"/>
      <c r="ON46" s="1659"/>
      <c r="OO46" s="715"/>
      <c r="OP46" s="715"/>
      <c r="OQ46" s="715"/>
      <c r="OR46" s="705"/>
      <c r="OS46" s="1659"/>
      <c r="OT46" s="1839"/>
      <c r="OU46" s="1839"/>
      <c r="OV46" s="1839"/>
      <c r="OW46" s="705"/>
      <c r="OX46" s="1659"/>
      <c r="OY46" s="1839"/>
      <c r="OZ46" s="1839"/>
      <c r="PA46" s="1839"/>
      <c r="PB46" s="1660"/>
      <c r="PD46" s="3645"/>
      <c r="PE46" s="2897"/>
      <c r="PF46" s="2897"/>
      <c r="PG46" s="2589">
        <f t="shared" si="138"/>
        <v>0</v>
      </c>
      <c r="PH46" s="77"/>
      <c r="PN46" s="5880"/>
      <c r="PO46" s="4965"/>
      <c r="PP46" s="4965"/>
      <c r="PQ46" s="1839"/>
      <c r="PR46" s="207" t="e">
        <f t="shared" si="171"/>
        <v>#DIV/0!</v>
      </c>
      <c r="PS46" s="5886"/>
      <c r="PT46" s="5883"/>
      <c r="PU46" s="5883"/>
      <c r="PV46" s="2892">
        <f t="shared" si="13"/>
        <v>0</v>
      </c>
      <c r="PW46" s="5883"/>
      <c r="PX46" s="5881"/>
      <c r="PY46" s="1839"/>
      <c r="PZ46" s="1839"/>
      <c r="QA46" s="1839"/>
      <c r="QB46" s="693"/>
      <c r="QC46" s="2035"/>
      <c r="QD46" s="1914"/>
      <c r="QE46" s="1914"/>
      <c r="QF46" s="1914"/>
      <c r="QG46" s="5882"/>
      <c r="QH46" s="1910"/>
      <c r="QI46" s="1839"/>
      <c r="QJ46" s="1839"/>
      <c r="QK46" s="1839"/>
      <c r="QL46" s="1839"/>
      <c r="QM46" s="5880"/>
      <c r="QR46" s="5883"/>
      <c r="QS46" s="5883"/>
      <c r="QT46" s="5883"/>
      <c r="QU46" s="5883"/>
      <c r="QV46" s="1677"/>
      <c r="QW46" s="5883"/>
      <c r="QX46" s="2425"/>
      <c r="QY46" s="2425"/>
      <c r="QZ46" s="5883"/>
      <c r="RA46" s="5883"/>
      <c r="RB46" s="1839"/>
      <c r="RC46" s="1839"/>
      <c r="RD46" s="715"/>
      <c r="RE46" s="1839"/>
      <c r="RF46" s="1660"/>
      <c r="RG46" s="2037"/>
      <c r="RH46" s="1914"/>
      <c r="RI46" s="1914"/>
      <c r="RJ46" s="5882"/>
      <c r="RK46" s="1660"/>
      <c r="RL46" s="5883"/>
      <c r="RM46" s="1873">
        <f t="shared" si="77"/>
        <v>0</v>
      </c>
      <c r="RN46" s="1873">
        <f t="shared" si="77"/>
        <v>0</v>
      </c>
      <c r="RO46" s="1873">
        <f t="shared" si="77"/>
        <v>0</v>
      </c>
      <c r="RP46" s="5883"/>
      <c r="RQ46" s="1659"/>
      <c r="RR46" s="1839"/>
      <c r="RS46" s="1839"/>
      <c r="RT46" s="1839"/>
      <c r="RU46" s="693"/>
      <c r="RV46" s="1659"/>
      <c r="RW46" s="715"/>
      <c r="RX46" s="715"/>
      <c r="RY46" s="715"/>
      <c r="RZ46" s="705"/>
      <c r="SA46" s="1659"/>
      <c r="SB46" s="1839"/>
      <c r="SC46" s="1839"/>
      <c r="SD46" s="1839"/>
      <c r="SE46" s="705"/>
      <c r="SF46" s="1659"/>
      <c r="SG46" s="1839"/>
      <c r="SH46" s="1839"/>
      <c r="SI46" s="1839"/>
      <c r="SJ46" s="1660"/>
      <c r="SL46" s="3645"/>
      <c r="SM46" s="2897"/>
      <c r="SN46" s="2897"/>
      <c r="SO46" s="6029">
        <f t="shared" si="139"/>
        <v>0</v>
      </c>
      <c r="SP46" s="6056"/>
      <c r="SQ46" s="5883"/>
      <c r="SR46" s="5883"/>
      <c r="SS46" s="5883"/>
      <c r="ST46" s="5883"/>
      <c r="SU46" s="5883"/>
      <c r="SV46" s="5880"/>
      <c r="SW46" s="4965"/>
      <c r="SX46" s="4965"/>
      <c r="SY46" s="1839"/>
      <c r="SZ46" s="207" t="e">
        <f t="shared" si="172"/>
        <v>#DIV/0!</v>
      </c>
      <c r="TA46" s="5881"/>
      <c r="TD46" s="372">
        <f t="shared" si="14"/>
        <v>0</v>
      </c>
      <c r="TF46" s="5881"/>
      <c r="TG46" s="1839"/>
      <c r="TH46" s="1839"/>
      <c r="TI46" s="1839"/>
      <c r="TJ46" s="693"/>
      <c r="TK46" s="2035"/>
      <c r="TL46" s="1914"/>
      <c r="TM46" s="1914"/>
      <c r="TN46" s="1914"/>
      <c r="TO46" s="5882"/>
      <c r="TP46" s="2407"/>
      <c r="TQ46" s="1839"/>
      <c r="TR46" s="1839"/>
      <c r="TS46" s="1839"/>
      <c r="TT46" s="1839"/>
      <c r="TU46" s="5889"/>
      <c r="TV46" s="5883"/>
      <c r="TW46" s="5883"/>
      <c r="TX46" s="5883"/>
      <c r="TY46" s="5883"/>
      <c r="TZ46" s="5883"/>
      <c r="UA46" s="5883"/>
      <c r="UB46" s="5883"/>
      <c r="UC46" s="5883"/>
      <c r="UD46" s="1677"/>
      <c r="UE46" s="5883"/>
      <c r="UF46" s="2425"/>
      <c r="UG46" s="2425"/>
      <c r="UH46" s="5883"/>
      <c r="UI46" s="5883"/>
      <c r="UJ46" s="1839"/>
      <c r="UK46" s="1839"/>
      <c r="UL46" s="715"/>
      <c r="UM46" s="1839"/>
      <c r="UN46" s="1660"/>
      <c r="UO46" s="2037"/>
      <c r="UP46" s="1914"/>
      <c r="UQ46" s="1914"/>
      <c r="UR46" s="5882"/>
      <c r="US46" s="1660"/>
      <c r="UU46" s="622">
        <f t="shared" si="78"/>
        <v>0</v>
      </c>
      <c r="UV46" s="622">
        <f t="shared" si="78"/>
        <v>0</v>
      </c>
      <c r="UW46" s="622">
        <f t="shared" si="78"/>
        <v>0</v>
      </c>
      <c r="UY46" s="1659"/>
      <c r="UZ46" s="1839"/>
      <c r="VA46" s="1839"/>
      <c r="VB46" s="1839"/>
      <c r="VC46" s="693"/>
      <c r="VD46" s="1659"/>
      <c r="VE46" s="715"/>
      <c r="VF46" s="715"/>
      <c r="VG46" s="715"/>
      <c r="VH46" s="705"/>
      <c r="VI46" s="1659"/>
      <c r="VJ46" s="1839"/>
      <c r="VK46" s="1839"/>
      <c r="VL46" s="1839"/>
      <c r="VM46" s="705"/>
      <c r="VN46" s="1659"/>
      <c r="VO46" s="1839"/>
      <c r="VP46" s="1839"/>
      <c r="VQ46" s="1839"/>
      <c r="VR46" s="1660"/>
    </row>
    <row r="47" spans="1:590" s="122" customFormat="1" ht="13.45" hidden="1" x14ac:dyDescent="0.3">
      <c r="A47" s="2906"/>
      <c r="B47" s="6016" t="s">
        <v>53</v>
      </c>
      <c r="C47" s="6031" t="s">
        <v>54</v>
      </c>
      <c r="D47" s="5989" t="s">
        <v>805</v>
      </c>
      <c r="E47" s="6032">
        <v>44403</v>
      </c>
      <c r="F47" s="6032">
        <v>44423</v>
      </c>
      <c r="G47" s="5965">
        <v>575984</v>
      </c>
      <c r="H47" s="1775"/>
      <c r="I47" s="1776"/>
      <c r="J47" s="1776"/>
      <c r="K47" s="1776"/>
      <c r="L47" s="1777"/>
      <c r="M47" s="1778"/>
      <c r="N47" s="1779"/>
      <c r="O47" s="1779"/>
      <c r="P47" s="1779"/>
      <c r="Q47" s="1780"/>
      <c r="R47" s="1780"/>
      <c r="S47" s="1776"/>
      <c r="T47" s="1776"/>
      <c r="U47" s="1776"/>
      <c r="V47" s="1777"/>
      <c r="W47" s="1776"/>
      <c r="X47" s="1776"/>
      <c r="Y47" s="1781"/>
      <c r="Z47" s="1776"/>
      <c r="AA47" s="1782"/>
      <c r="AB47" s="1781"/>
      <c r="AC47" s="1783"/>
      <c r="AD47" s="1784"/>
      <c r="AE47" s="1776"/>
      <c r="AF47" s="1777"/>
      <c r="AG47" s="1785"/>
      <c r="AH47" s="1776"/>
      <c r="AI47" s="1776"/>
      <c r="AJ47" s="1786"/>
      <c r="AK47" s="1777"/>
      <c r="AL47" s="1785"/>
      <c r="AM47" s="1776"/>
      <c r="AN47" s="1776"/>
      <c r="AO47" s="1781"/>
      <c r="AP47" s="1777"/>
      <c r="AQ47" s="1787"/>
      <c r="AR47" s="1788"/>
      <c r="AS47" s="1788"/>
      <c r="AT47" s="1789"/>
      <c r="AU47" s="1777"/>
      <c r="AV47" s="1790"/>
      <c r="AW47" s="1781"/>
      <c r="AX47" s="1781"/>
      <c r="AY47" s="1781"/>
      <c r="AZ47" s="1777"/>
      <c r="BA47" s="1791"/>
      <c r="BB47" s="1792"/>
      <c r="BC47" s="1783"/>
      <c r="BD47" s="1781"/>
      <c r="BE47" s="1780"/>
      <c r="BF47" s="1790"/>
      <c r="BG47" s="1781"/>
      <c r="BH47" s="1776"/>
      <c r="BI47" s="1781"/>
      <c r="BJ47" s="1793"/>
      <c r="BK47" s="1790"/>
      <c r="BL47" s="1781"/>
      <c r="BM47" s="1776"/>
      <c r="BN47" s="1781"/>
      <c r="BO47" s="1794"/>
      <c r="BP47" s="1795"/>
      <c r="BQ47" s="1796"/>
      <c r="BR47" s="1786"/>
      <c r="BS47" s="1797"/>
      <c r="BT47" s="1798"/>
      <c r="BU47" s="1786"/>
      <c r="BV47" s="1786"/>
      <c r="BW47" s="1799"/>
      <c r="BX47" s="1800"/>
      <c r="BY47" s="1786"/>
      <c r="BZ47" s="1786"/>
      <c r="CA47" s="1801"/>
      <c r="CB47" s="1802"/>
      <c r="CC47" s="1786"/>
      <c r="CD47" s="1786"/>
      <c r="CE47" s="1803"/>
      <c r="CF47" s="1800"/>
      <c r="CG47" s="1776"/>
      <c r="CH47" s="1776"/>
      <c r="CI47" s="1801"/>
      <c r="CJ47" s="1804"/>
      <c r="CK47" s="1776"/>
      <c r="CL47" s="1776"/>
      <c r="CM47" s="1776"/>
      <c r="CN47" s="1799"/>
      <c r="CO47" s="1804"/>
      <c r="CP47" s="1776"/>
      <c r="CQ47" s="1776"/>
      <c r="CR47" s="1776"/>
      <c r="CS47" s="1799"/>
      <c r="CT47" s="1804"/>
      <c r="CU47" s="1776"/>
      <c r="CV47" s="1776"/>
      <c r="CW47" s="1776">
        <f t="shared" si="178"/>
        <v>0</v>
      </c>
      <c r="CX47" s="1799"/>
      <c r="CY47" s="1804"/>
      <c r="CZ47" s="1776"/>
      <c r="DA47" s="1776"/>
      <c r="DB47" s="1776">
        <f t="shared" si="179"/>
        <v>0</v>
      </c>
      <c r="DC47" s="1799">
        <v>0</v>
      </c>
      <c r="DD47" s="1805"/>
      <c r="DE47" s="1806"/>
      <c r="DF47" s="1806"/>
      <c r="DG47" s="1783">
        <f t="shared" si="180"/>
        <v>0</v>
      </c>
      <c r="DH47" s="1807">
        <v>0</v>
      </c>
      <c r="DI47" s="1804"/>
      <c r="DJ47" s="1806"/>
      <c r="DK47" s="1806"/>
      <c r="DL47" s="1776">
        <f t="shared" si="181"/>
        <v>0</v>
      </c>
      <c r="DM47" s="1807">
        <v>0</v>
      </c>
      <c r="DN47" s="1804">
        <v>6</v>
      </c>
      <c r="DO47" s="1776">
        <v>472036</v>
      </c>
      <c r="DP47" s="1776">
        <v>626070</v>
      </c>
      <c r="DQ47" s="1776">
        <f t="shared" si="182"/>
        <v>154034</v>
      </c>
      <c r="DR47" s="1807">
        <f t="shared" si="183"/>
        <v>0.24603319117670547</v>
      </c>
      <c r="DS47" s="1808">
        <v>6</v>
      </c>
      <c r="DT47" s="1783">
        <f>351704+64633+14650</f>
        <v>430987</v>
      </c>
      <c r="DU47" s="1783">
        <v>626070</v>
      </c>
      <c r="DV47" s="1776">
        <f t="shared" si="184"/>
        <v>195083</v>
      </c>
      <c r="DW47" s="1799">
        <f t="shared" si="185"/>
        <v>0.31159934192662164</v>
      </c>
      <c r="DX47" s="1804">
        <v>5</v>
      </c>
      <c r="DY47" s="1776">
        <v>369292</v>
      </c>
      <c r="DZ47" s="1776">
        <v>626070</v>
      </c>
      <c r="EA47" s="1776">
        <f t="shared" si="186"/>
        <v>256778</v>
      </c>
      <c r="EB47" s="1807">
        <f t="shared" si="187"/>
        <v>0.41014263580749755</v>
      </c>
      <c r="EC47" s="1804">
        <v>5</v>
      </c>
      <c r="ED47" s="1776">
        <v>353714</v>
      </c>
      <c r="EE47" s="1776">
        <v>626070</v>
      </c>
      <c r="EF47" s="1786">
        <f t="shared" si="188"/>
        <v>272356</v>
      </c>
      <c r="EG47" s="1807">
        <f t="shared" si="189"/>
        <v>0.43502483747823728</v>
      </c>
      <c r="EH47" s="1804">
        <v>5</v>
      </c>
      <c r="EI47" s="1776">
        <v>383740</v>
      </c>
      <c r="EJ47" s="1776">
        <v>626070</v>
      </c>
      <c r="EK47" s="1776">
        <f t="shared" si="190"/>
        <v>242330</v>
      </c>
      <c r="EL47" s="1807">
        <f t="shared" si="191"/>
        <v>0.38706534413084798</v>
      </c>
      <c r="EM47" s="1804">
        <v>5</v>
      </c>
      <c r="EN47" s="1776">
        <v>381140</v>
      </c>
      <c r="EO47" s="1776">
        <v>626070</v>
      </c>
      <c r="EP47" s="1776">
        <f t="shared" si="192"/>
        <v>244930</v>
      </c>
      <c r="EQ47" s="1807">
        <f t="shared" si="193"/>
        <v>0.39121823438273673</v>
      </c>
      <c r="ER47" s="2402">
        <f t="shared" si="38"/>
        <v>2.6666666666666665</v>
      </c>
      <c r="ES47" s="2403">
        <f t="shared" si="146"/>
        <v>2390909</v>
      </c>
      <c r="ET47" s="2403">
        <f t="shared" si="146"/>
        <v>3756420</v>
      </c>
      <c r="EU47" s="2403">
        <f t="shared" si="146"/>
        <v>1365511</v>
      </c>
      <c r="EV47" s="2404">
        <f t="shared" si="40"/>
        <v>0.36351393081710776</v>
      </c>
      <c r="EW47" s="1814">
        <f t="shared" si="194"/>
        <v>0</v>
      </c>
      <c r="EX47" s="1776">
        <f t="shared" si="195"/>
        <v>0</v>
      </c>
      <c r="EY47" s="1776">
        <f t="shared" si="195"/>
        <v>0</v>
      </c>
      <c r="EZ47" s="1811"/>
      <c r="FA47" s="1812">
        <f t="shared" si="196"/>
        <v>0</v>
      </c>
      <c r="FB47" s="1810">
        <f t="shared" si="197"/>
        <v>0</v>
      </c>
      <c r="FC47" s="1810">
        <f t="shared" si="197"/>
        <v>0</v>
      </c>
      <c r="FD47" s="1813">
        <v>0</v>
      </c>
      <c r="FE47" s="1814">
        <f t="shared" si="198"/>
        <v>5.666666666666667</v>
      </c>
      <c r="FF47" s="1786">
        <f t="shared" si="199"/>
        <v>1878210</v>
      </c>
      <c r="FG47" s="1786">
        <f t="shared" si="199"/>
        <v>605895</v>
      </c>
      <c r="FH47" s="1815">
        <f t="shared" si="200"/>
        <v>0.32259172297027489</v>
      </c>
      <c r="FI47" s="1816">
        <f t="shared" si="201"/>
        <v>5</v>
      </c>
      <c r="FJ47" s="1814"/>
      <c r="FK47" s="1786">
        <f t="shared" si="202"/>
        <v>1878210</v>
      </c>
      <c r="FL47" s="1786">
        <f t="shared" si="202"/>
        <v>759616</v>
      </c>
      <c r="FM47" s="1799">
        <f t="shared" si="203"/>
        <v>0.40443613866394068</v>
      </c>
      <c r="FN47" s="1817">
        <v>5</v>
      </c>
      <c r="FO47" s="1818">
        <v>367871</v>
      </c>
      <c r="FP47" s="1818">
        <v>626070</v>
      </c>
      <c r="FQ47" s="1818">
        <f t="shared" si="204"/>
        <v>258199</v>
      </c>
      <c r="FR47" s="1819">
        <f t="shared" si="205"/>
        <v>0.4124123500567029</v>
      </c>
      <c r="FS47" s="1820">
        <v>5</v>
      </c>
      <c r="FT47" s="1818">
        <v>392510</v>
      </c>
      <c r="FU47" s="1818">
        <v>626070</v>
      </c>
      <c r="FV47" s="1818">
        <f t="shared" si="206"/>
        <v>233560</v>
      </c>
      <c r="FW47" s="1821">
        <f t="shared" si="207"/>
        <v>0.37305732585813089</v>
      </c>
      <c r="FX47" s="1820">
        <v>7</v>
      </c>
      <c r="FY47" s="1822">
        <v>506193</v>
      </c>
      <c r="FZ47" s="1822">
        <v>626070</v>
      </c>
      <c r="GA47" s="1818">
        <f t="shared" si="208"/>
        <v>119877</v>
      </c>
      <c r="GB47" s="1821">
        <f t="shared" si="209"/>
        <v>0.19147539412525755</v>
      </c>
      <c r="GC47" s="1823">
        <v>6</v>
      </c>
      <c r="GD47" s="1824">
        <f>385883+74204</f>
        <v>460087</v>
      </c>
      <c r="GE47" s="1824">
        <v>611395</v>
      </c>
      <c r="GF47" s="1818">
        <f t="shared" si="210"/>
        <v>151308</v>
      </c>
      <c r="GG47" s="1821">
        <f t="shared" si="211"/>
        <v>0.24747994340810769</v>
      </c>
      <c r="GH47" s="1823">
        <v>5</v>
      </c>
      <c r="GI47" s="1824">
        <v>417229</v>
      </c>
      <c r="GJ47" s="1824">
        <f>489586</f>
        <v>489586</v>
      </c>
      <c r="GK47" s="1818">
        <f t="shared" si="230"/>
        <v>72357</v>
      </c>
      <c r="GL47" s="1821">
        <f t="shared" si="212"/>
        <v>0.14779221628069431</v>
      </c>
      <c r="GM47" s="1823">
        <v>5</v>
      </c>
      <c r="GN47" s="1824">
        <v>402639</v>
      </c>
      <c r="GO47" s="1824">
        <v>529905.28</v>
      </c>
      <c r="GP47" s="1818">
        <f t="shared" si="213"/>
        <v>127266.28000000003</v>
      </c>
      <c r="GQ47" s="1821">
        <f t="shared" si="214"/>
        <v>0.24016797869989145</v>
      </c>
      <c r="GR47" s="1823">
        <v>5</v>
      </c>
      <c r="GS47" s="1824">
        <v>417310</v>
      </c>
      <c r="GT47" s="1824">
        <v>529905.28</v>
      </c>
      <c r="GU47" s="1818">
        <f t="shared" si="215"/>
        <v>112595.28000000003</v>
      </c>
      <c r="GV47" s="1821">
        <f t="shared" si="216"/>
        <v>0.21248189865177419</v>
      </c>
      <c r="GW47" s="1823">
        <v>5</v>
      </c>
      <c r="GX47" s="1824">
        <v>417829</v>
      </c>
      <c r="GY47" s="1824">
        <v>552368.65599999996</v>
      </c>
      <c r="GZ47" s="1818">
        <f t="shared" si="217"/>
        <v>134539.65599999996</v>
      </c>
      <c r="HA47" s="1821">
        <f t="shared" si="218"/>
        <v>0.24356859234967157</v>
      </c>
      <c r="HB47" s="1823">
        <v>5</v>
      </c>
      <c r="HC47" s="1824">
        <v>413129</v>
      </c>
      <c r="HD47" s="1824">
        <v>552368.66</v>
      </c>
      <c r="HE47" s="1818">
        <f t="shared" si="147"/>
        <v>139239.66000000003</v>
      </c>
      <c r="HF47" s="1821">
        <f t="shared" si="148"/>
        <v>0.25207740786741961</v>
      </c>
      <c r="HG47" s="1823">
        <v>5</v>
      </c>
      <c r="HH47" s="1824">
        <v>412043</v>
      </c>
      <c r="HI47" s="1824">
        <v>512049.78</v>
      </c>
      <c r="HJ47" s="1818">
        <f t="shared" si="149"/>
        <v>100006.78000000003</v>
      </c>
      <c r="HK47" s="1821">
        <f t="shared" si="150"/>
        <v>0.19530675318325499</v>
      </c>
      <c r="HL47" s="1823">
        <v>5</v>
      </c>
      <c r="HM47" s="1824">
        <v>441484</v>
      </c>
      <c r="HN47" s="1824">
        <v>548336.77</v>
      </c>
      <c r="HO47" s="1818">
        <f t="shared" si="151"/>
        <v>106852.77000000002</v>
      </c>
      <c r="HP47" s="1821">
        <f t="shared" si="152"/>
        <v>0.19486705223142342</v>
      </c>
      <c r="HQ47" s="654">
        <v>5</v>
      </c>
      <c r="HR47" s="1248">
        <v>441891</v>
      </c>
      <c r="HS47" s="1248">
        <v>560432.43200000003</v>
      </c>
      <c r="HT47" s="1248">
        <f t="shared" ref="HT47:HT56" si="232">HS47-HR47</f>
        <v>118541.43200000003</v>
      </c>
      <c r="HU47" s="1826">
        <f t="shared" si="154"/>
        <v>0.21151779453049216</v>
      </c>
      <c r="HV47" s="5941">
        <f t="shared" si="155"/>
        <v>5.25</v>
      </c>
      <c r="HW47" s="622">
        <f t="shared" si="156"/>
        <v>5090215</v>
      </c>
      <c r="HX47" s="622">
        <f t="shared" si="156"/>
        <v>6764557.8580000009</v>
      </c>
      <c r="HY47" s="622">
        <f t="shared" si="156"/>
        <v>1674342.8580000002</v>
      </c>
      <c r="HZ47" s="1828"/>
      <c r="IA47" s="1829">
        <f t="shared" si="219"/>
        <v>5.666666666666667</v>
      </c>
      <c r="IB47" s="1830">
        <f t="shared" si="220"/>
        <v>1878210</v>
      </c>
      <c r="IC47" s="1830">
        <f t="shared" si="220"/>
        <v>611636</v>
      </c>
      <c r="ID47" s="1831">
        <f t="shared" si="221"/>
        <v>0.32564835668003045</v>
      </c>
      <c r="IE47" s="1832">
        <f t="shared" si="222"/>
        <v>5.333333333333333</v>
      </c>
      <c r="IF47" s="1833">
        <f t="shared" si="223"/>
        <v>1630886.28</v>
      </c>
      <c r="IG47" s="1834">
        <f t="shared" si="223"/>
        <v>350931.28</v>
      </c>
      <c r="IH47" s="1831">
        <f t="shared" si="224"/>
        <v>0.215178264912499</v>
      </c>
      <c r="II47" s="1835">
        <f t="shared" si="157"/>
        <v>5</v>
      </c>
      <c r="IJ47" s="1836">
        <f t="shared" si="158"/>
        <v>1634642.5959999999</v>
      </c>
      <c r="IK47" s="1836">
        <f t="shared" si="158"/>
        <v>386374.59600000002</v>
      </c>
      <c r="IL47" s="239">
        <f t="shared" si="159"/>
        <v>0.23636640629912964</v>
      </c>
      <c r="IM47" s="1837">
        <f t="shared" si="160"/>
        <v>5</v>
      </c>
      <c r="IN47" s="1836">
        <f t="shared" si="161"/>
        <v>1620818.9820000001</v>
      </c>
      <c r="IO47" s="1836">
        <f t="shared" si="161"/>
        <v>325400.98200000008</v>
      </c>
      <c r="IP47" s="1838">
        <f t="shared" si="162"/>
        <v>0.2007633089282268</v>
      </c>
      <c r="IQ47" s="1839"/>
      <c r="IR47" s="1840">
        <v>5</v>
      </c>
      <c r="IS47" s="1818">
        <v>449267</v>
      </c>
      <c r="IT47" s="1818">
        <f>575984-34588</f>
        <v>541396</v>
      </c>
      <c r="IU47" s="1818">
        <f t="shared" si="163"/>
        <v>92129</v>
      </c>
      <c r="IV47" s="1819">
        <f t="shared" si="225"/>
        <v>0.17016934000251202</v>
      </c>
      <c r="IW47" s="1820">
        <v>5</v>
      </c>
      <c r="IX47" s="1818">
        <v>457457</v>
      </c>
      <c r="IY47" s="1818">
        <v>575984</v>
      </c>
      <c r="IZ47" s="1818">
        <f t="shared" ref="IZ47:IZ56" si="233">IY47-IX47</f>
        <v>118527</v>
      </c>
      <c r="JA47" s="1821">
        <f t="shared" si="226"/>
        <v>0.20578175782660629</v>
      </c>
      <c r="JB47" s="1984">
        <v>5</v>
      </c>
      <c r="JC47" s="1985">
        <v>455057</v>
      </c>
      <c r="JD47" s="1986">
        <v>575984</v>
      </c>
      <c r="JE47" s="1818">
        <f t="shared" si="164"/>
        <v>120927</v>
      </c>
      <c r="JF47" s="1821">
        <f>JE47/JD47</f>
        <v>0.20994854023722881</v>
      </c>
      <c r="JG47" s="1981">
        <v>5</v>
      </c>
      <c r="JH47" s="1824">
        <v>460657</v>
      </c>
      <c r="JI47" s="1824">
        <v>542635</v>
      </c>
      <c r="JJ47" s="1822">
        <f t="shared" ref="JJ47:JJ56" si="234">JI47-JH47</f>
        <v>81978</v>
      </c>
      <c r="JK47" s="1821">
        <f>JJ47/JI47</f>
        <v>0.15107392630405336</v>
      </c>
      <c r="JL47" s="1823">
        <v>5</v>
      </c>
      <c r="JM47" s="1824">
        <v>234116</v>
      </c>
      <c r="JN47" s="1824">
        <v>307230.01799999998</v>
      </c>
      <c r="JO47" s="1996">
        <f t="shared" si="165"/>
        <v>73114.017999999982</v>
      </c>
      <c r="JP47" s="1821">
        <f>JO47/JN47</f>
        <v>0.23797810668357278</v>
      </c>
      <c r="JQ47" s="6013"/>
      <c r="JR47" s="1982"/>
      <c r="JS47" s="1248"/>
      <c r="JT47" s="1996"/>
      <c r="JU47" s="1821"/>
      <c r="JV47" s="1981"/>
      <c r="JW47" s="1824">
        <v>0</v>
      </c>
      <c r="JX47" s="1248">
        <v>0</v>
      </c>
      <c r="JY47" s="1996">
        <f t="shared" si="141"/>
        <v>0</v>
      </c>
      <c r="JZ47" s="1821"/>
      <c r="KA47" s="1981"/>
      <c r="KB47" s="1248">
        <v>0</v>
      </c>
      <c r="KC47" s="1982">
        <v>0</v>
      </c>
      <c r="KD47" s="1983">
        <f t="shared" si="231"/>
        <v>0</v>
      </c>
      <c r="KE47" s="1952"/>
      <c r="KF47" s="1981"/>
      <c r="KG47" s="1248">
        <v>0</v>
      </c>
      <c r="KH47" s="1824">
        <v>0</v>
      </c>
      <c r="KI47" s="1818">
        <f t="shared" si="227"/>
        <v>0</v>
      </c>
      <c r="KJ47" s="1821"/>
      <c r="KK47" s="1990"/>
      <c r="KL47" s="1904"/>
      <c r="KM47" s="1904"/>
      <c r="KN47" s="2023">
        <f t="shared" si="130"/>
        <v>0</v>
      </c>
      <c r="KO47" s="2024"/>
      <c r="KP47" s="1823"/>
      <c r="KQ47" s="1982"/>
      <c r="KR47" s="1248"/>
      <c r="KS47" s="1996">
        <f t="shared" si="166"/>
        <v>0</v>
      </c>
      <c r="KT47" s="1819"/>
      <c r="KU47" s="1905"/>
      <c r="KV47" s="1248"/>
      <c r="KW47" s="1248"/>
      <c r="KX47" s="1248">
        <f t="shared" si="145"/>
        <v>0</v>
      </c>
      <c r="KY47" s="77"/>
      <c r="KZ47" s="1832"/>
      <c r="LA47" s="622">
        <f t="shared" si="144"/>
        <v>2056554</v>
      </c>
      <c r="LB47" s="622">
        <f t="shared" si="144"/>
        <v>2543229.0180000002</v>
      </c>
      <c r="LC47" s="622">
        <f t="shared" si="144"/>
        <v>486675.01799999998</v>
      </c>
      <c r="LD47" s="239">
        <f t="shared" si="228"/>
        <v>0.19136106679952955</v>
      </c>
      <c r="LE47" s="1834">
        <f t="shared" si="71"/>
        <v>5</v>
      </c>
      <c r="LF47" s="1830">
        <f t="shared" si="167"/>
        <v>1693364</v>
      </c>
      <c r="LG47" s="1830">
        <f t="shared" si="167"/>
        <v>331583</v>
      </c>
      <c r="LH47" s="1831">
        <f t="shared" si="168"/>
        <v>0.19581318606040993</v>
      </c>
      <c r="LI47" s="1832">
        <f t="shared" si="132"/>
        <v>3.3333333333333335</v>
      </c>
      <c r="LJ47" s="1833">
        <f t="shared" si="133"/>
        <v>849865.01799999992</v>
      </c>
      <c r="LK47" s="1834">
        <f t="shared" si="133"/>
        <v>155092.01799999998</v>
      </c>
      <c r="LL47" s="1831">
        <f t="shared" si="169"/>
        <v>0.18249017751663713</v>
      </c>
      <c r="LM47" s="1835">
        <f t="shared" si="135"/>
        <v>0</v>
      </c>
      <c r="LN47" s="1836">
        <f t="shared" si="136"/>
        <v>0</v>
      </c>
      <c r="LO47" s="1836">
        <f t="shared" si="136"/>
        <v>0</v>
      </c>
      <c r="LP47" s="239"/>
      <c r="LQ47" s="1837">
        <f t="shared" si="140"/>
        <v>0</v>
      </c>
      <c r="LR47" s="1836">
        <f t="shared" si="229"/>
        <v>0</v>
      </c>
      <c r="LS47" s="1836">
        <f t="shared" si="229"/>
        <v>0</v>
      </c>
      <c r="LT47" s="1838"/>
      <c r="LV47" s="3645"/>
      <c r="LW47" s="2897"/>
      <c r="LX47" s="2897"/>
      <c r="LY47" s="2589">
        <f t="shared" si="137"/>
        <v>0</v>
      </c>
      <c r="LZ47" s="77"/>
      <c r="MF47" s="5880"/>
      <c r="MG47" s="4965"/>
      <c r="MH47" s="4965"/>
      <c r="MI47" s="1839"/>
      <c r="MJ47" s="207" t="e">
        <f t="shared" si="170"/>
        <v>#DIV/0!</v>
      </c>
      <c r="MK47" s="5881"/>
      <c r="MN47" s="372">
        <f t="shared" si="12"/>
        <v>0</v>
      </c>
      <c r="MP47" s="5881"/>
      <c r="MQ47" s="1839"/>
      <c r="MR47" s="1839"/>
      <c r="MS47" s="1839"/>
      <c r="MT47" s="693"/>
      <c r="MU47" s="2035"/>
      <c r="MV47" s="1914"/>
      <c r="MW47" s="1914"/>
      <c r="MX47" s="1914"/>
      <c r="MY47" s="5882"/>
      <c r="MZ47" s="1659"/>
      <c r="NA47" s="1839"/>
      <c r="NB47" s="1839"/>
      <c r="NC47" s="1839"/>
      <c r="ND47" s="1839"/>
      <c r="NO47" s="5883"/>
      <c r="NP47" s="2425"/>
      <c r="NQ47" s="2425"/>
      <c r="NR47" s="5883"/>
      <c r="NT47" s="1839"/>
      <c r="NU47" s="1839"/>
      <c r="NV47" s="715"/>
      <c r="NW47" s="1839"/>
      <c r="NX47" s="1660"/>
      <c r="NY47" s="1659"/>
      <c r="NZ47" s="715"/>
      <c r="OA47" s="715"/>
      <c r="OB47" s="1839"/>
      <c r="OC47" s="1660"/>
      <c r="OE47" s="5885"/>
      <c r="OF47" s="5885"/>
      <c r="OG47" s="715"/>
      <c r="OH47" s="1660"/>
      <c r="OI47" s="1659"/>
      <c r="OJ47" s="1839"/>
      <c r="OK47" s="1839"/>
      <c r="OL47" s="1839"/>
      <c r="OM47" s="693"/>
      <c r="ON47" s="1659"/>
      <c r="OO47" s="715"/>
      <c r="OP47" s="715"/>
      <c r="OQ47" s="715"/>
      <c r="OR47" s="705"/>
      <c r="OS47" s="1659"/>
      <c r="OT47" s="1839"/>
      <c r="OU47" s="1839"/>
      <c r="OV47" s="1839"/>
      <c r="OW47" s="705"/>
      <c r="OX47" s="1659"/>
      <c r="OY47" s="1839"/>
      <c r="OZ47" s="1839"/>
      <c r="PA47" s="1839"/>
      <c r="PB47" s="1660"/>
      <c r="PD47" s="3645"/>
      <c r="PE47" s="2897"/>
      <c r="PF47" s="2897"/>
      <c r="PG47" s="2589">
        <f t="shared" si="138"/>
        <v>0</v>
      </c>
      <c r="PH47" s="77"/>
      <c r="PN47" s="5880"/>
      <c r="PO47" s="4965"/>
      <c r="PP47" s="4965"/>
      <c r="PQ47" s="1839"/>
      <c r="PR47" s="207" t="e">
        <f t="shared" si="171"/>
        <v>#DIV/0!</v>
      </c>
      <c r="PS47" s="5886"/>
      <c r="PT47" s="5883"/>
      <c r="PU47" s="5883"/>
      <c r="PV47" s="2892">
        <f t="shared" si="13"/>
        <v>0</v>
      </c>
      <c r="PW47" s="5883"/>
      <c r="PX47" s="5881"/>
      <c r="PY47" s="1839"/>
      <c r="PZ47" s="1839"/>
      <c r="QA47" s="1839"/>
      <c r="QB47" s="693"/>
      <c r="QC47" s="2035"/>
      <c r="QD47" s="1914"/>
      <c r="QE47" s="1914"/>
      <c r="QF47" s="1914"/>
      <c r="QG47" s="5882"/>
      <c r="QH47" s="1910"/>
      <c r="QI47" s="1839"/>
      <c r="QJ47" s="1839"/>
      <c r="QK47" s="1839"/>
      <c r="QL47" s="1839"/>
      <c r="QM47" s="5880"/>
      <c r="QR47" s="5883"/>
      <c r="QS47" s="5883"/>
      <c r="QT47" s="5883"/>
      <c r="QU47" s="5883"/>
      <c r="QV47" s="1677"/>
      <c r="QW47" s="5883"/>
      <c r="QX47" s="2425"/>
      <c r="QY47" s="2425"/>
      <c r="QZ47" s="5883"/>
      <c r="RA47" s="5883"/>
      <c r="RB47" s="1839"/>
      <c r="RC47" s="1839"/>
      <c r="RD47" s="715"/>
      <c r="RE47" s="1839"/>
      <c r="RF47" s="1660"/>
      <c r="RG47" s="2037"/>
      <c r="RH47" s="1914"/>
      <c r="RI47" s="1914"/>
      <c r="RJ47" s="5882"/>
      <c r="RK47" s="1660"/>
      <c r="RL47" s="5883"/>
      <c r="RM47" s="1873">
        <f t="shared" si="77"/>
        <v>0</v>
      </c>
      <c r="RN47" s="1873">
        <f t="shared" si="77"/>
        <v>0</v>
      </c>
      <c r="RO47" s="1873">
        <f t="shared" si="77"/>
        <v>0</v>
      </c>
      <c r="RP47" s="5883"/>
      <c r="RQ47" s="1659"/>
      <c r="RR47" s="1839"/>
      <c r="RS47" s="1839"/>
      <c r="RT47" s="1839"/>
      <c r="RU47" s="693"/>
      <c r="RV47" s="1659"/>
      <c r="RW47" s="715"/>
      <c r="RX47" s="715"/>
      <c r="RY47" s="715"/>
      <c r="RZ47" s="705"/>
      <c r="SA47" s="1659"/>
      <c r="SB47" s="1839"/>
      <c r="SC47" s="1839"/>
      <c r="SD47" s="1839"/>
      <c r="SE47" s="705"/>
      <c r="SF47" s="1659"/>
      <c r="SG47" s="1839"/>
      <c r="SH47" s="1839"/>
      <c r="SI47" s="1839"/>
      <c r="SJ47" s="1660"/>
      <c r="SL47" s="3645"/>
      <c r="SM47" s="2897"/>
      <c r="SN47" s="2897"/>
      <c r="SO47" s="6029">
        <f t="shared" si="139"/>
        <v>0</v>
      </c>
      <c r="SP47" s="6056"/>
      <c r="SQ47" s="5883"/>
      <c r="SR47" s="5883"/>
      <c r="SS47" s="5883"/>
      <c r="ST47" s="5883"/>
      <c r="SU47" s="5883"/>
      <c r="SV47" s="5880"/>
      <c r="SW47" s="4965"/>
      <c r="SX47" s="4965"/>
      <c r="SY47" s="1839"/>
      <c r="SZ47" s="207" t="e">
        <f t="shared" si="172"/>
        <v>#DIV/0!</v>
      </c>
      <c r="TA47" s="5881"/>
      <c r="TD47" s="372">
        <f t="shared" si="14"/>
        <v>0</v>
      </c>
      <c r="TF47" s="5881"/>
      <c r="TG47" s="1839"/>
      <c r="TH47" s="1839"/>
      <c r="TI47" s="1839"/>
      <c r="TJ47" s="693"/>
      <c r="TK47" s="2035"/>
      <c r="TL47" s="1914"/>
      <c r="TM47" s="1914"/>
      <c r="TN47" s="1914"/>
      <c r="TO47" s="5882"/>
      <c r="TP47" s="2407"/>
      <c r="TQ47" s="1839"/>
      <c r="TR47" s="1839"/>
      <c r="TS47" s="1839"/>
      <c r="TT47" s="1839"/>
      <c r="TU47" s="5889"/>
      <c r="TV47" s="5883"/>
      <c r="TW47" s="5883"/>
      <c r="TX47" s="5883"/>
      <c r="TY47" s="5883"/>
      <c r="TZ47" s="5883"/>
      <c r="UA47" s="5883"/>
      <c r="UB47" s="5883"/>
      <c r="UC47" s="5883"/>
      <c r="UD47" s="1677"/>
      <c r="UE47" s="5883"/>
      <c r="UF47" s="2425"/>
      <c r="UG47" s="2425"/>
      <c r="UH47" s="5883"/>
      <c r="UI47" s="5883"/>
      <c r="UJ47" s="1839"/>
      <c r="UK47" s="1839"/>
      <c r="UL47" s="715"/>
      <c r="UM47" s="1839"/>
      <c r="UN47" s="1660"/>
      <c r="UO47" s="2037"/>
      <c r="UP47" s="1914"/>
      <c r="UQ47" s="1914"/>
      <c r="UR47" s="5882"/>
      <c r="US47" s="1660"/>
      <c r="UU47" s="622">
        <f t="shared" si="78"/>
        <v>0</v>
      </c>
      <c r="UV47" s="622">
        <f t="shared" si="78"/>
        <v>0</v>
      </c>
      <c r="UW47" s="622">
        <f t="shared" si="78"/>
        <v>0</v>
      </c>
      <c r="UY47" s="1659"/>
      <c r="UZ47" s="1839"/>
      <c r="VA47" s="1839"/>
      <c r="VB47" s="1839"/>
      <c r="VC47" s="693"/>
      <c r="VD47" s="1659"/>
      <c r="VE47" s="715"/>
      <c r="VF47" s="715"/>
      <c r="VG47" s="715"/>
      <c r="VH47" s="705"/>
      <c r="VI47" s="1659"/>
      <c r="VJ47" s="1839"/>
      <c r="VK47" s="1839"/>
      <c r="VL47" s="1839"/>
      <c r="VM47" s="705"/>
      <c r="VN47" s="1659"/>
      <c r="VO47" s="1839"/>
      <c r="VP47" s="1839"/>
      <c r="VQ47" s="1839"/>
      <c r="VR47" s="1660"/>
    </row>
    <row r="48" spans="1:590" s="122" customFormat="1" ht="13.45" hidden="1" x14ac:dyDescent="0.3">
      <c r="A48" s="2906"/>
      <c r="B48" s="6016" t="s">
        <v>53</v>
      </c>
      <c r="C48" s="6031" t="s">
        <v>54</v>
      </c>
      <c r="D48" s="5989" t="s">
        <v>806</v>
      </c>
      <c r="E48" s="6032">
        <v>44059</v>
      </c>
      <c r="F48" s="6032">
        <v>44423</v>
      </c>
      <c r="G48" s="5965">
        <v>207000</v>
      </c>
      <c r="H48" s="1775"/>
      <c r="I48" s="1776"/>
      <c r="J48" s="1776"/>
      <c r="K48" s="1776"/>
      <c r="L48" s="1777"/>
      <c r="M48" s="1778"/>
      <c r="N48" s="1779"/>
      <c r="O48" s="1779"/>
      <c r="P48" s="1779"/>
      <c r="Q48" s="1780"/>
      <c r="R48" s="1780"/>
      <c r="S48" s="1776"/>
      <c r="T48" s="1776"/>
      <c r="U48" s="1776"/>
      <c r="V48" s="1777"/>
      <c r="W48" s="1776"/>
      <c r="X48" s="1776"/>
      <c r="Y48" s="1781"/>
      <c r="Z48" s="1776"/>
      <c r="AA48" s="1782"/>
      <c r="AB48" s="1781"/>
      <c r="AC48" s="1783"/>
      <c r="AD48" s="1784"/>
      <c r="AE48" s="1776"/>
      <c r="AF48" s="1777"/>
      <c r="AG48" s="1785"/>
      <c r="AH48" s="1776"/>
      <c r="AI48" s="1776"/>
      <c r="AJ48" s="1786"/>
      <c r="AK48" s="1777"/>
      <c r="AL48" s="1785"/>
      <c r="AM48" s="1776"/>
      <c r="AN48" s="1776"/>
      <c r="AO48" s="1781"/>
      <c r="AP48" s="1777"/>
      <c r="AQ48" s="1787"/>
      <c r="AR48" s="1788"/>
      <c r="AS48" s="1788"/>
      <c r="AT48" s="1789"/>
      <c r="AU48" s="1777"/>
      <c r="AV48" s="1790"/>
      <c r="AW48" s="1781"/>
      <c r="AX48" s="1781"/>
      <c r="AY48" s="1781"/>
      <c r="AZ48" s="1777"/>
      <c r="BA48" s="1791"/>
      <c r="BB48" s="1792"/>
      <c r="BC48" s="1783"/>
      <c r="BD48" s="1781"/>
      <c r="BE48" s="1780"/>
      <c r="BF48" s="1790"/>
      <c r="BG48" s="1781"/>
      <c r="BH48" s="1776"/>
      <c r="BI48" s="1781"/>
      <c r="BJ48" s="1793"/>
      <c r="BK48" s="1790"/>
      <c r="BL48" s="1781"/>
      <c r="BM48" s="1776"/>
      <c r="BN48" s="1781"/>
      <c r="BO48" s="1794"/>
      <c r="BP48" s="1795"/>
      <c r="BQ48" s="1796"/>
      <c r="BR48" s="1786"/>
      <c r="BS48" s="1797"/>
      <c r="BT48" s="1798"/>
      <c r="BU48" s="1786"/>
      <c r="BV48" s="1786"/>
      <c r="BW48" s="1799"/>
      <c r="BX48" s="1800"/>
      <c r="BY48" s="1786"/>
      <c r="BZ48" s="1786"/>
      <c r="CA48" s="1801"/>
      <c r="CB48" s="1802"/>
      <c r="CC48" s="1786"/>
      <c r="CD48" s="1786"/>
      <c r="CE48" s="1803"/>
      <c r="CF48" s="1800"/>
      <c r="CG48" s="1776"/>
      <c r="CH48" s="1776"/>
      <c r="CI48" s="1801"/>
      <c r="CJ48" s="1804"/>
      <c r="CK48" s="1776"/>
      <c r="CL48" s="1776"/>
      <c r="CM48" s="1776"/>
      <c r="CN48" s="1799"/>
      <c r="CO48" s="1804"/>
      <c r="CP48" s="1776"/>
      <c r="CQ48" s="1776"/>
      <c r="CR48" s="1776"/>
      <c r="CS48" s="1799"/>
      <c r="CT48" s="1804"/>
      <c r="CU48" s="1776"/>
      <c r="CV48" s="1776"/>
      <c r="CW48" s="1776">
        <f t="shared" si="178"/>
        <v>0</v>
      </c>
      <c r="CX48" s="1799"/>
      <c r="CY48" s="1804"/>
      <c r="CZ48" s="1776"/>
      <c r="DA48" s="1776"/>
      <c r="DB48" s="1776">
        <f t="shared" si="179"/>
        <v>0</v>
      </c>
      <c r="DC48" s="1799">
        <v>0</v>
      </c>
      <c r="DD48" s="1805"/>
      <c r="DE48" s="1806"/>
      <c r="DF48" s="1806"/>
      <c r="DG48" s="1783">
        <f t="shared" si="180"/>
        <v>0</v>
      </c>
      <c r="DH48" s="1807">
        <v>0</v>
      </c>
      <c r="DI48" s="1804"/>
      <c r="DJ48" s="1806"/>
      <c r="DK48" s="1806"/>
      <c r="DL48" s="1776">
        <f t="shared" si="181"/>
        <v>0</v>
      </c>
      <c r="DM48" s="1807">
        <v>0</v>
      </c>
      <c r="DN48" s="1804">
        <v>11</v>
      </c>
      <c r="DO48" s="1776">
        <v>107461</v>
      </c>
      <c r="DP48" s="1776">
        <v>118886</v>
      </c>
      <c r="DQ48" s="1776">
        <f t="shared" si="182"/>
        <v>11425</v>
      </c>
      <c r="DR48" s="1807">
        <f t="shared" si="183"/>
        <v>9.6100465992631598E-2</v>
      </c>
      <c r="DS48" s="1808">
        <v>11</v>
      </c>
      <c r="DT48" s="1783">
        <v>208809</v>
      </c>
      <c r="DU48" s="1783">
        <v>230400</v>
      </c>
      <c r="DV48" s="1776">
        <f t="shared" si="184"/>
        <v>21591</v>
      </c>
      <c r="DW48" s="1799">
        <f t="shared" si="185"/>
        <v>9.3710937499999994E-2</v>
      </c>
      <c r="DX48" s="1804">
        <v>11</v>
      </c>
      <c r="DY48" s="1776">
        <v>211459</v>
      </c>
      <c r="DZ48" s="1776">
        <v>230400</v>
      </c>
      <c r="EA48" s="1776">
        <f t="shared" si="186"/>
        <v>18941</v>
      </c>
      <c r="EB48" s="1807">
        <f t="shared" si="187"/>
        <v>8.2209201388888889E-2</v>
      </c>
      <c r="EC48" s="1804">
        <v>11</v>
      </c>
      <c r="ED48" s="1776">
        <v>208809</v>
      </c>
      <c r="EE48" s="1776">
        <v>230400</v>
      </c>
      <c r="EF48" s="1786">
        <f t="shared" si="188"/>
        <v>21591</v>
      </c>
      <c r="EG48" s="1807">
        <f t="shared" si="189"/>
        <v>9.3710937499999994E-2</v>
      </c>
      <c r="EH48" s="1804">
        <v>11</v>
      </c>
      <c r="EI48" s="1776">
        <v>208809</v>
      </c>
      <c r="EJ48" s="1776">
        <v>230400</v>
      </c>
      <c r="EK48" s="1776">
        <f t="shared" si="190"/>
        <v>21591</v>
      </c>
      <c r="EL48" s="1807">
        <f t="shared" si="191"/>
        <v>9.3710937499999994E-2</v>
      </c>
      <c r="EM48" s="1804">
        <v>11</v>
      </c>
      <c r="EN48" s="1776">
        <v>197798</v>
      </c>
      <c r="EO48" s="1776">
        <v>230400</v>
      </c>
      <c r="EP48" s="1776">
        <f t="shared" si="192"/>
        <v>32602</v>
      </c>
      <c r="EQ48" s="1807">
        <f t="shared" si="193"/>
        <v>0.14150173611111111</v>
      </c>
      <c r="ER48" s="2402">
        <f t="shared" si="38"/>
        <v>5.5</v>
      </c>
      <c r="ES48" s="2403">
        <f t="shared" si="146"/>
        <v>1143145</v>
      </c>
      <c r="ET48" s="2403">
        <f t="shared" si="146"/>
        <v>1270886</v>
      </c>
      <c r="EU48" s="2403">
        <f t="shared" si="146"/>
        <v>127741</v>
      </c>
      <c r="EV48" s="2404">
        <f t="shared" si="40"/>
        <v>0.10051334266015992</v>
      </c>
      <c r="EW48" s="1809">
        <f t="shared" si="194"/>
        <v>0</v>
      </c>
      <c r="EX48" s="1810">
        <f t="shared" si="195"/>
        <v>0</v>
      </c>
      <c r="EY48" s="1810">
        <f t="shared" si="195"/>
        <v>0</v>
      </c>
      <c r="EZ48" s="1811"/>
      <c r="FA48" s="1812">
        <f t="shared" si="196"/>
        <v>0</v>
      </c>
      <c r="FB48" s="1810">
        <f t="shared" si="197"/>
        <v>0</v>
      </c>
      <c r="FC48" s="1810">
        <f t="shared" si="197"/>
        <v>0</v>
      </c>
      <c r="FD48" s="1813">
        <v>0</v>
      </c>
      <c r="FE48" s="1814">
        <f t="shared" si="198"/>
        <v>11</v>
      </c>
      <c r="FF48" s="1786">
        <f t="shared" si="199"/>
        <v>579686</v>
      </c>
      <c r="FG48" s="1786">
        <f t="shared" si="199"/>
        <v>51957</v>
      </c>
      <c r="FH48" s="1815">
        <f t="shared" si="200"/>
        <v>8.9629558071093657E-2</v>
      </c>
      <c r="FI48" s="1816">
        <f t="shared" si="201"/>
        <v>11</v>
      </c>
      <c r="FJ48" s="1814"/>
      <c r="FK48" s="1786">
        <f t="shared" si="202"/>
        <v>691200</v>
      </c>
      <c r="FL48" s="1786">
        <f t="shared" si="202"/>
        <v>75784</v>
      </c>
      <c r="FM48" s="1799">
        <f t="shared" si="203"/>
        <v>0.1096412037037037</v>
      </c>
      <c r="FN48" s="1817">
        <v>10</v>
      </c>
      <c r="FO48" s="1818">
        <v>189846</v>
      </c>
      <c r="FP48" s="1818">
        <v>210355.20000000001</v>
      </c>
      <c r="FQ48" s="1818">
        <f t="shared" si="204"/>
        <v>20509.200000000012</v>
      </c>
      <c r="FR48" s="1819">
        <f t="shared" si="205"/>
        <v>9.7497946330777713E-2</v>
      </c>
      <c r="FS48" s="1820">
        <v>10</v>
      </c>
      <c r="FT48" s="1818">
        <v>189846</v>
      </c>
      <c r="FU48" s="1818">
        <v>210355.20000000001</v>
      </c>
      <c r="FV48" s="1818">
        <f t="shared" si="206"/>
        <v>20509.200000000012</v>
      </c>
      <c r="FW48" s="1821">
        <f t="shared" si="207"/>
        <v>9.7497946330777713E-2</v>
      </c>
      <c r="FX48" s="1820">
        <v>10</v>
      </c>
      <c r="FY48" s="1822">
        <v>189846</v>
      </c>
      <c r="FZ48" s="1822">
        <v>210355.20000000001</v>
      </c>
      <c r="GA48" s="1818">
        <f t="shared" si="208"/>
        <v>20509.200000000012</v>
      </c>
      <c r="GB48" s="1821">
        <f t="shared" si="209"/>
        <v>9.7497946330777713E-2</v>
      </c>
      <c r="GC48" s="1823">
        <v>10</v>
      </c>
      <c r="GD48" s="1824">
        <v>189846</v>
      </c>
      <c r="GE48" s="1824">
        <v>210355.20000000001</v>
      </c>
      <c r="GF48" s="1818">
        <f t="shared" si="210"/>
        <v>20509.200000000012</v>
      </c>
      <c r="GG48" s="1821">
        <f t="shared" si="211"/>
        <v>9.7497946330777713E-2</v>
      </c>
      <c r="GH48" s="1823">
        <v>10</v>
      </c>
      <c r="GI48" s="1824">
        <v>216994</v>
      </c>
      <c r="GJ48" s="1824">
        <v>237013</v>
      </c>
      <c r="GK48" s="1818">
        <f t="shared" si="230"/>
        <v>20019</v>
      </c>
      <c r="GL48" s="1821">
        <f t="shared" si="212"/>
        <v>8.446372139924814E-2</v>
      </c>
      <c r="GM48" s="1823">
        <v>10</v>
      </c>
      <c r="GN48" s="1824">
        <v>185931</v>
      </c>
      <c r="GO48" s="1824">
        <v>207000</v>
      </c>
      <c r="GP48" s="1818">
        <f t="shared" si="213"/>
        <v>21069</v>
      </c>
      <c r="GQ48" s="1821">
        <f t="shared" si="214"/>
        <v>0.10178260869565217</v>
      </c>
      <c r="GR48" s="1823">
        <v>10</v>
      </c>
      <c r="GS48" s="1824">
        <v>207695</v>
      </c>
      <c r="GT48" s="1824">
        <v>207000</v>
      </c>
      <c r="GU48" s="1818">
        <f t="shared" si="215"/>
        <v>-695</v>
      </c>
      <c r="GV48" s="1821">
        <f t="shared" si="216"/>
        <v>-3.3574879227053142E-3</v>
      </c>
      <c r="GW48" s="1823">
        <v>10</v>
      </c>
      <c r="GX48" s="1824">
        <v>227824</v>
      </c>
      <c r="GY48" s="1824">
        <v>207000</v>
      </c>
      <c r="GZ48" s="1818">
        <f t="shared" si="217"/>
        <v>-20824</v>
      </c>
      <c r="HA48" s="1821">
        <f t="shared" si="218"/>
        <v>-0.10059903381642513</v>
      </c>
      <c r="HB48" s="1823">
        <v>9</v>
      </c>
      <c r="HC48" s="1824">
        <f>236151+500</f>
        <v>236651</v>
      </c>
      <c r="HD48" s="1824">
        <v>207000</v>
      </c>
      <c r="HE48" s="1818">
        <f t="shared" si="147"/>
        <v>-29651</v>
      </c>
      <c r="HF48" s="1821">
        <f t="shared" si="148"/>
        <v>-0.14324154589371982</v>
      </c>
      <c r="HG48" s="1823">
        <v>9</v>
      </c>
      <c r="HH48" s="1824">
        <v>197151</v>
      </c>
      <c r="HI48" s="1824">
        <v>207000</v>
      </c>
      <c r="HJ48" s="1818">
        <f t="shared" si="149"/>
        <v>9849</v>
      </c>
      <c r="HK48" s="1821">
        <f t="shared" si="150"/>
        <v>4.7579710144927539E-2</v>
      </c>
      <c r="HL48" s="1823">
        <v>9</v>
      </c>
      <c r="HM48" s="1824">
        <v>197151</v>
      </c>
      <c r="HN48" s="1824">
        <v>207000</v>
      </c>
      <c r="HO48" s="1818">
        <f t="shared" si="151"/>
        <v>9849</v>
      </c>
      <c r="HP48" s="1821">
        <f t="shared" si="152"/>
        <v>4.7579710144927539E-2</v>
      </c>
      <c r="HQ48" s="654">
        <v>11</v>
      </c>
      <c r="HR48" s="1248">
        <v>207849.29032258067</v>
      </c>
      <c r="HS48" s="1248">
        <v>207000</v>
      </c>
      <c r="HT48" s="1248">
        <f t="shared" si="232"/>
        <v>-849.29032258066582</v>
      </c>
      <c r="HU48" s="1826">
        <f t="shared" si="154"/>
        <v>-4.1028517999065978E-3</v>
      </c>
      <c r="HV48" s="5941">
        <f t="shared" si="155"/>
        <v>9.8333333333333339</v>
      </c>
      <c r="HW48" s="622">
        <f t="shared" si="156"/>
        <v>2436630.2903225808</v>
      </c>
      <c r="HX48" s="622">
        <f t="shared" si="156"/>
        <v>2527433.7999999998</v>
      </c>
      <c r="HY48" s="622">
        <f t="shared" si="156"/>
        <v>90803.509677419381</v>
      </c>
      <c r="HZ48" s="1828"/>
      <c r="IA48" s="1829">
        <f t="shared" si="219"/>
        <v>10</v>
      </c>
      <c r="IB48" s="1830">
        <f t="shared" si="220"/>
        <v>631065.60000000009</v>
      </c>
      <c r="IC48" s="1830">
        <f t="shared" si="220"/>
        <v>61527.600000000035</v>
      </c>
      <c r="ID48" s="1831">
        <f t="shared" si="221"/>
        <v>9.7497946330777699E-2</v>
      </c>
      <c r="IE48" s="1832">
        <f t="shared" si="222"/>
        <v>10</v>
      </c>
      <c r="IF48" s="1833">
        <f t="shared" si="223"/>
        <v>654368.19999999995</v>
      </c>
      <c r="IG48" s="1834">
        <f t="shared" si="223"/>
        <v>61597.200000000012</v>
      </c>
      <c r="IH48" s="1831">
        <f t="shared" si="224"/>
        <v>9.4132324889870889E-2</v>
      </c>
      <c r="II48" s="1835">
        <f t="shared" si="157"/>
        <v>9.6666666666666661</v>
      </c>
      <c r="IJ48" s="1836">
        <f t="shared" si="158"/>
        <v>621000</v>
      </c>
      <c r="IK48" s="1836">
        <f t="shared" si="158"/>
        <v>-51170</v>
      </c>
      <c r="IL48" s="239">
        <f t="shared" si="159"/>
        <v>-8.2399355877616751E-2</v>
      </c>
      <c r="IM48" s="1837">
        <f t="shared" si="160"/>
        <v>9</v>
      </c>
      <c r="IN48" s="1836">
        <f t="shared" si="161"/>
        <v>621000</v>
      </c>
      <c r="IO48" s="1836">
        <f t="shared" si="161"/>
        <v>18848.709677419334</v>
      </c>
      <c r="IP48" s="1838">
        <f t="shared" si="162"/>
        <v>3.0352189496649491E-2</v>
      </c>
      <c r="IQ48" s="1839"/>
      <c r="IR48" s="1840">
        <v>11</v>
      </c>
      <c r="IS48" s="1818">
        <v>202782</v>
      </c>
      <c r="IT48" s="1818">
        <v>207000</v>
      </c>
      <c r="IU48" s="1818">
        <f t="shared" si="163"/>
        <v>4218</v>
      </c>
      <c r="IV48" s="1819">
        <f t="shared" si="225"/>
        <v>2.0376811594202897E-2</v>
      </c>
      <c r="IW48" s="1820">
        <v>11</v>
      </c>
      <c r="IX48" s="1818">
        <v>215158</v>
      </c>
      <c r="IY48" s="1818">
        <v>207000</v>
      </c>
      <c r="IZ48" s="1818">
        <f t="shared" si="233"/>
        <v>-8158</v>
      </c>
      <c r="JA48" s="1821">
        <f t="shared" si="226"/>
        <v>-3.9410628019323671E-2</v>
      </c>
      <c r="JB48" s="1984">
        <v>10</v>
      </c>
      <c r="JC48" s="1985">
        <v>210295</v>
      </c>
      <c r="JD48" s="1986">
        <v>207000</v>
      </c>
      <c r="JE48" s="1818">
        <f t="shared" si="164"/>
        <v>-3295</v>
      </c>
      <c r="JF48" s="1821">
        <f>JE48/JD48</f>
        <v>-1.5917874396135265E-2</v>
      </c>
      <c r="JG48" s="1981">
        <v>10</v>
      </c>
      <c r="JH48" s="1824">
        <v>206737</v>
      </c>
      <c r="JI48" s="1824">
        <v>207000</v>
      </c>
      <c r="JJ48" s="1822">
        <f t="shared" si="234"/>
        <v>263</v>
      </c>
      <c r="JK48" s="1821">
        <f>JJ48/JI48</f>
        <v>1.2705314009661835E-3</v>
      </c>
      <c r="JL48" s="1823">
        <v>10</v>
      </c>
      <c r="JM48" s="1824">
        <v>173906</v>
      </c>
      <c r="JN48" s="1824">
        <v>89631</v>
      </c>
      <c r="JO48" s="1996">
        <f t="shared" si="165"/>
        <v>-84275</v>
      </c>
      <c r="JP48" s="1821">
        <f>JO48/JN48</f>
        <v>-0.94024388883310461</v>
      </c>
      <c r="JQ48" s="6013"/>
      <c r="JR48" s="1982"/>
      <c r="JS48" s="1248"/>
      <c r="JT48" s="1996"/>
      <c r="JU48" s="1821"/>
      <c r="JV48" s="1981"/>
      <c r="JW48" s="1824">
        <v>0</v>
      </c>
      <c r="JX48" s="1248">
        <v>0</v>
      </c>
      <c r="JY48" s="1996">
        <f t="shared" si="141"/>
        <v>0</v>
      </c>
      <c r="JZ48" s="1821"/>
      <c r="KA48" s="1981"/>
      <c r="KB48" s="1248">
        <v>0</v>
      </c>
      <c r="KC48" s="1982">
        <v>0</v>
      </c>
      <c r="KD48" s="1983">
        <f t="shared" si="231"/>
        <v>0</v>
      </c>
      <c r="KE48" s="1952"/>
      <c r="KF48" s="1981"/>
      <c r="KG48" s="1248">
        <v>0</v>
      </c>
      <c r="KH48" s="1824">
        <v>0</v>
      </c>
      <c r="KI48" s="1818">
        <f t="shared" si="227"/>
        <v>0</v>
      </c>
      <c r="KJ48" s="1821"/>
      <c r="KK48" s="1990"/>
      <c r="KL48" s="1904"/>
      <c r="KM48" s="1904"/>
      <c r="KN48" s="2023">
        <f t="shared" si="130"/>
        <v>0</v>
      </c>
      <c r="KO48" s="2024"/>
      <c r="KP48" s="1823"/>
      <c r="KQ48" s="1982"/>
      <c r="KR48" s="1248"/>
      <c r="KS48" s="1996">
        <f t="shared" si="166"/>
        <v>0</v>
      </c>
      <c r="KT48" s="1819"/>
      <c r="KU48" s="1905"/>
      <c r="KV48" s="1248"/>
      <c r="KW48" s="1248"/>
      <c r="KX48" s="1248">
        <f t="shared" si="145"/>
        <v>0</v>
      </c>
      <c r="KY48" s="77"/>
      <c r="KZ48" s="1832"/>
      <c r="LA48" s="622">
        <f t="shared" si="144"/>
        <v>1008878</v>
      </c>
      <c r="LB48" s="622">
        <f t="shared" si="144"/>
        <v>917631</v>
      </c>
      <c r="LC48" s="622">
        <f t="shared" si="144"/>
        <v>-91247</v>
      </c>
      <c r="LD48" s="239">
        <f t="shared" si="228"/>
        <v>-9.943757349086943E-2</v>
      </c>
      <c r="LE48" s="1834">
        <f t="shared" si="71"/>
        <v>10.666666666666666</v>
      </c>
      <c r="LF48" s="1830">
        <f t="shared" si="167"/>
        <v>621000</v>
      </c>
      <c r="LG48" s="1830">
        <f t="shared" si="167"/>
        <v>-7235</v>
      </c>
      <c r="LH48" s="1831">
        <f t="shared" si="168"/>
        <v>-1.1650563607085346E-2</v>
      </c>
      <c r="LI48" s="1832">
        <f t="shared" si="132"/>
        <v>6.666666666666667</v>
      </c>
      <c r="LJ48" s="1833">
        <f t="shared" si="133"/>
        <v>296631</v>
      </c>
      <c r="LK48" s="1834">
        <f t="shared" si="133"/>
        <v>-84012</v>
      </c>
      <c r="LL48" s="1831">
        <f t="shared" si="169"/>
        <v>-0.28322056696703984</v>
      </c>
      <c r="LM48" s="1835">
        <f t="shared" si="135"/>
        <v>0</v>
      </c>
      <c r="LN48" s="1836">
        <f t="shared" si="136"/>
        <v>0</v>
      </c>
      <c r="LO48" s="1836">
        <f t="shared" si="136"/>
        <v>0</v>
      </c>
      <c r="LP48" s="239"/>
      <c r="LQ48" s="1837">
        <f t="shared" si="140"/>
        <v>0</v>
      </c>
      <c r="LR48" s="1836">
        <f t="shared" si="229"/>
        <v>0</v>
      </c>
      <c r="LS48" s="1836">
        <f t="shared" si="229"/>
        <v>0</v>
      </c>
      <c r="LT48" s="1838"/>
      <c r="LV48" s="3645"/>
      <c r="LW48" s="2897"/>
      <c r="LX48" s="2897"/>
      <c r="LY48" s="2589">
        <f t="shared" si="137"/>
        <v>0</v>
      </c>
      <c r="LZ48" s="77"/>
      <c r="MF48" s="5880"/>
      <c r="MG48" s="4965"/>
      <c r="MH48" s="4965"/>
      <c r="MI48" s="1839"/>
      <c r="MJ48" s="207" t="e">
        <f t="shared" si="170"/>
        <v>#DIV/0!</v>
      </c>
      <c r="MK48" s="5881"/>
      <c r="MN48" s="372">
        <f t="shared" si="12"/>
        <v>0</v>
      </c>
      <c r="MP48" s="5881"/>
      <c r="MQ48" s="1839"/>
      <c r="MR48" s="1839"/>
      <c r="MS48" s="1839"/>
      <c r="MT48" s="693"/>
      <c r="MU48" s="2035"/>
      <c r="MV48" s="1914"/>
      <c r="MW48" s="1914"/>
      <c r="MX48" s="1914"/>
      <c r="MY48" s="5882"/>
      <c r="MZ48" s="1659"/>
      <c r="NA48" s="1839"/>
      <c r="NB48" s="1839"/>
      <c r="NC48" s="1839"/>
      <c r="ND48" s="1839"/>
      <c r="NO48" s="5883"/>
      <c r="NP48" s="2425"/>
      <c r="NQ48" s="2425"/>
      <c r="NR48" s="5883"/>
      <c r="NT48" s="1839"/>
      <c r="NU48" s="1839"/>
      <c r="NV48" s="715"/>
      <c r="NW48" s="1839"/>
      <c r="NX48" s="1660"/>
      <c r="NY48" s="1659"/>
      <c r="NZ48" s="715"/>
      <c r="OA48" s="715"/>
      <c r="OB48" s="1839"/>
      <c r="OC48" s="1660"/>
      <c r="OE48" s="5885"/>
      <c r="OF48" s="5885"/>
      <c r="OG48" s="715"/>
      <c r="OH48" s="1660"/>
      <c r="OI48" s="1659"/>
      <c r="OJ48" s="1839"/>
      <c r="OK48" s="1839"/>
      <c r="OL48" s="1839"/>
      <c r="OM48" s="693"/>
      <c r="ON48" s="1659"/>
      <c r="OO48" s="715"/>
      <c r="OP48" s="715"/>
      <c r="OQ48" s="715"/>
      <c r="OR48" s="705"/>
      <c r="OS48" s="1659"/>
      <c r="OT48" s="1839"/>
      <c r="OU48" s="1839"/>
      <c r="OV48" s="1839"/>
      <c r="OW48" s="705"/>
      <c r="OX48" s="1659"/>
      <c r="OY48" s="1839"/>
      <c r="OZ48" s="1839"/>
      <c r="PA48" s="1839"/>
      <c r="PB48" s="1660"/>
      <c r="PD48" s="3645"/>
      <c r="PE48" s="2897"/>
      <c r="PF48" s="2897"/>
      <c r="PG48" s="2589">
        <f t="shared" si="138"/>
        <v>0</v>
      </c>
      <c r="PH48" s="77"/>
      <c r="PN48" s="5880"/>
      <c r="PO48" s="4965"/>
      <c r="PP48" s="4965"/>
      <c r="PQ48" s="1839"/>
      <c r="PR48" s="207" t="e">
        <f t="shared" si="171"/>
        <v>#DIV/0!</v>
      </c>
      <c r="PS48" s="5886"/>
      <c r="PT48" s="5883"/>
      <c r="PU48" s="5883"/>
      <c r="PV48" s="2892">
        <f t="shared" si="13"/>
        <v>0</v>
      </c>
      <c r="PW48" s="5883"/>
      <c r="PX48" s="5881"/>
      <c r="PY48" s="1839"/>
      <c r="PZ48" s="1839"/>
      <c r="QA48" s="1839"/>
      <c r="QB48" s="693"/>
      <c r="QC48" s="2035"/>
      <c r="QD48" s="1914"/>
      <c r="QE48" s="1914"/>
      <c r="QF48" s="1914"/>
      <c r="QG48" s="5882"/>
      <c r="QH48" s="1910"/>
      <c r="QI48" s="1839"/>
      <c r="QJ48" s="1839"/>
      <c r="QK48" s="1839"/>
      <c r="QL48" s="1839"/>
      <c r="QM48" s="5880"/>
      <c r="QR48" s="5883"/>
      <c r="QS48" s="5883"/>
      <c r="QT48" s="5883"/>
      <c r="QU48" s="5883"/>
      <c r="QV48" s="1677"/>
      <c r="QW48" s="5883"/>
      <c r="QX48" s="2425"/>
      <c r="QY48" s="2425"/>
      <c r="QZ48" s="5883"/>
      <c r="RA48" s="5883"/>
      <c r="RB48" s="1839"/>
      <c r="RC48" s="1839"/>
      <c r="RD48" s="715"/>
      <c r="RE48" s="1839"/>
      <c r="RF48" s="1660"/>
      <c r="RG48" s="2037"/>
      <c r="RH48" s="1914"/>
      <c r="RI48" s="1914"/>
      <c r="RJ48" s="5882"/>
      <c r="RK48" s="1660"/>
      <c r="RL48" s="5883"/>
      <c r="RM48" s="1873">
        <f t="shared" si="77"/>
        <v>0</v>
      </c>
      <c r="RN48" s="1873">
        <f t="shared" si="77"/>
        <v>0</v>
      </c>
      <c r="RO48" s="1873">
        <f t="shared" si="77"/>
        <v>0</v>
      </c>
      <c r="RP48" s="5883"/>
      <c r="RQ48" s="1659"/>
      <c r="RR48" s="1839"/>
      <c r="RS48" s="1839"/>
      <c r="RT48" s="1839"/>
      <c r="RU48" s="693"/>
      <c r="RV48" s="1659"/>
      <c r="RW48" s="715"/>
      <c r="RX48" s="715"/>
      <c r="RY48" s="715"/>
      <c r="RZ48" s="705"/>
      <c r="SA48" s="1659"/>
      <c r="SB48" s="1839"/>
      <c r="SC48" s="1839"/>
      <c r="SD48" s="1839"/>
      <c r="SE48" s="705"/>
      <c r="SF48" s="1659"/>
      <c r="SG48" s="1839"/>
      <c r="SH48" s="1839"/>
      <c r="SI48" s="1839"/>
      <c r="SJ48" s="1660"/>
      <c r="SL48" s="3645"/>
      <c r="SM48" s="2897"/>
      <c r="SN48" s="2897"/>
      <c r="SO48" s="6029">
        <f t="shared" si="139"/>
        <v>0</v>
      </c>
      <c r="SP48" s="6056"/>
      <c r="SQ48" s="5883"/>
      <c r="SR48" s="5883"/>
      <c r="SS48" s="5883"/>
      <c r="ST48" s="5883"/>
      <c r="SU48" s="5883"/>
      <c r="SV48" s="5880"/>
      <c r="SW48" s="4965"/>
      <c r="SX48" s="4965"/>
      <c r="SY48" s="1839"/>
      <c r="SZ48" s="207" t="e">
        <f t="shared" si="172"/>
        <v>#DIV/0!</v>
      </c>
      <c r="TA48" s="5881"/>
      <c r="TD48" s="372">
        <f t="shared" si="14"/>
        <v>0</v>
      </c>
      <c r="TF48" s="5881"/>
      <c r="TG48" s="1839"/>
      <c r="TH48" s="1839"/>
      <c r="TI48" s="1839"/>
      <c r="TJ48" s="693"/>
      <c r="TK48" s="2035"/>
      <c r="TL48" s="1914"/>
      <c r="TM48" s="1914"/>
      <c r="TN48" s="1914"/>
      <c r="TO48" s="5882"/>
      <c r="TP48" s="2407"/>
      <c r="TQ48" s="1839"/>
      <c r="TR48" s="1839"/>
      <c r="TS48" s="1839"/>
      <c r="TT48" s="1839"/>
      <c r="TU48" s="5889"/>
      <c r="TV48" s="5883"/>
      <c r="TW48" s="5883"/>
      <c r="TX48" s="5883"/>
      <c r="TY48" s="5883"/>
      <c r="TZ48" s="5883"/>
      <c r="UA48" s="5883"/>
      <c r="UB48" s="5883"/>
      <c r="UC48" s="5883"/>
      <c r="UD48" s="1677"/>
      <c r="UE48" s="5883"/>
      <c r="UF48" s="2425"/>
      <c r="UG48" s="2425"/>
      <c r="UH48" s="5883"/>
      <c r="UI48" s="5883"/>
      <c r="UJ48" s="1839"/>
      <c r="UK48" s="1839"/>
      <c r="UL48" s="715"/>
      <c r="UM48" s="1839"/>
      <c r="UN48" s="1660"/>
      <c r="UO48" s="2037"/>
      <c r="UP48" s="1914"/>
      <c r="UQ48" s="1914"/>
      <c r="UR48" s="5882"/>
      <c r="US48" s="1660"/>
      <c r="UU48" s="622">
        <f t="shared" si="78"/>
        <v>0</v>
      </c>
      <c r="UV48" s="622">
        <f t="shared" si="78"/>
        <v>0</v>
      </c>
      <c r="UW48" s="622">
        <f t="shared" si="78"/>
        <v>0</v>
      </c>
      <c r="UY48" s="1659"/>
      <c r="UZ48" s="1839"/>
      <c r="VA48" s="1839"/>
      <c r="VB48" s="1839"/>
      <c r="VC48" s="693"/>
      <c r="VD48" s="1659"/>
      <c r="VE48" s="715"/>
      <c r="VF48" s="715"/>
      <c r="VG48" s="715"/>
      <c r="VH48" s="705"/>
      <c r="VI48" s="1659"/>
      <c r="VJ48" s="1839"/>
      <c r="VK48" s="1839"/>
      <c r="VL48" s="1839"/>
      <c r="VM48" s="705"/>
      <c r="VN48" s="1659"/>
      <c r="VO48" s="1839"/>
      <c r="VP48" s="1839"/>
      <c r="VQ48" s="1839"/>
      <c r="VR48" s="1660"/>
    </row>
    <row r="49" spans="1:590" s="122" customFormat="1" ht="13.45" hidden="1" x14ac:dyDescent="0.3">
      <c r="B49" s="6016" t="s">
        <v>53</v>
      </c>
      <c r="C49" s="6031" t="s">
        <v>807</v>
      </c>
      <c r="D49" s="5989" t="s">
        <v>808</v>
      </c>
      <c r="E49" s="6032">
        <v>43931</v>
      </c>
      <c r="F49" s="6032">
        <v>44295</v>
      </c>
      <c r="G49" s="5965">
        <v>98000</v>
      </c>
      <c r="H49" s="1775"/>
      <c r="I49" s="1776"/>
      <c r="J49" s="1776"/>
      <c r="K49" s="1776"/>
      <c r="L49" s="1777"/>
      <c r="M49" s="1778"/>
      <c r="N49" s="1779"/>
      <c r="O49" s="1779"/>
      <c r="P49" s="1779"/>
      <c r="Q49" s="1780"/>
      <c r="R49" s="1780"/>
      <c r="S49" s="1776"/>
      <c r="T49" s="1776"/>
      <c r="U49" s="1776"/>
      <c r="V49" s="1777"/>
      <c r="W49" s="1776"/>
      <c r="X49" s="1776"/>
      <c r="Y49" s="1781"/>
      <c r="Z49" s="1776"/>
      <c r="AA49" s="1782"/>
      <c r="AB49" s="1781"/>
      <c r="AC49" s="1783"/>
      <c r="AD49" s="1784"/>
      <c r="AE49" s="1776"/>
      <c r="AF49" s="1777"/>
      <c r="AG49" s="1785"/>
      <c r="AH49" s="1776"/>
      <c r="AI49" s="1776"/>
      <c r="AJ49" s="1786"/>
      <c r="AK49" s="1777"/>
      <c r="AL49" s="1785"/>
      <c r="AM49" s="1776"/>
      <c r="AN49" s="1776"/>
      <c r="AO49" s="1781"/>
      <c r="AP49" s="1777"/>
      <c r="AQ49" s="1787"/>
      <c r="AR49" s="1788"/>
      <c r="AS49" s="1788"/>
      <c r="AT49" s="1789"/>
      <c r="AU49" s="1777"/>
      <c r="AV49" s="1790"/>
      <c r="AW49" s="1781"/>
      <c r="AX49" s="1781"/>
      <c r="AY49" s="1781"/>
      <c r="AZ49" s="1777"/>
      <c r="BA49" s="1791"/>
      <c r="BB49" s="1792"/>
      <c r="BC49" s="1783"/>
      <c r="BD49" s="1781"/>
      <c r="BE49" s="1780"/>
      <c r="BF49" s="1790"/>
      <c r="BG49" s="1781"/>
      <c r="BH49" s="1776"/>
      <c r="BI49" s="1781"/>
      <c r="BJ49" s="1793"/>
      <c r="BK49" s="1790"/>
      <c r="BL49" s="1781"/>
      <c r="BM49" s="1776"/>
      <c r="BN49" s="1781"/>
      <c r="BO49" s="1794"/>
      <c r="BP49" s="1795"/>
      <c r="BQ49" s="1796"/>
      <c r="BR49" s="1786"/>
      <c r="BS49" s="1797"/>
      <c r="BT49" s="1798"/>
      <c r="BU49" s="1786"/>
      <c r="BV49" s="1786"/>
      <c r="BW49" s="1799"/>
      <c r="BX49" s="1800"/>
      <c r="BY49" s="1786"/>
      <c r="BZ49" s="1786"/>
      <c r="CA49" s="1801"/>
      <c r="CB49" s="1802"/>
      <c r="CC49" s="1786"/>
      <c r="CD49" s="1786"/>
      <c r="CE49" s="1803"/>
      <c r="CF49" s="1800"/>
      <c r="CG49" s="1776"/>
      <c r="CH49" s="1776"/>
      <c r="CI49" s="1801"/>
      <c r="CJ49" s="1804"/>
      <c r="CK49" s="1776"/>
      <c r="CL49" s="1776"/>
      <c r="CM49" s="1776"/>
      <c r="CN49" s="1799"/>
      <c r="CO49" s="1804"/>
      <c r="CP49" s="1776"/>
      <c r="CQ49" s="1776"/>
      <c r="CR49" s="1776"/>
      <c r="CS49" s="1799"/>
      <c r="CT49" s="1804"/>
      <c r="CU49" s="1776"/>
      <c r="CV49" s="1776"/>
      <c r="CW49" s="1776"/>
      <c r="CX49" s="1799"/>
      <c r="CY49" s="1804"/>
      <c r="CZ49" s="1776"/>
      <c r="DA49" s="1776"/>
      <c r="DB49" s="1776"/>
      <c r="DC49" s="1799"/>
      <c r="DD49" s="1805"/>
      <c r="DE49" s="1806"/>
      <c r="DF49" s="1806"/>
      <c r="DG49" s="1783"/>
      <c r="DH49" s="1807"/>
      <c r="DI49" s="1804"/>
      <c r="DJ49" s="1806"/>
      <c r="DK49" s="1806"/>
      <c r="DL49" s="1776"/>
      <c r="DM49" s="1807"/>
      <c r="DN49" s="1804"/>
      <c r="DO49" s="1776"/>
      <c r="DP49" s="1776"/>
      <c r="DQ49" s="1776"/>
      <c r="DR49" s="1807"/>
      <c r="DS49" s="1808"/>
      <c r="DT49" s="1783"/>
      <c r="DU49" s="1783"/>
      <c r="DV49" s="1776"/>
      <c r="DW49" s="1799"/>
      <c r="DX49" s="1804"/>
      <c r="DY49" s="1776"/>
      <c r="DZ49" s="1776"/>
      <c r="EA49" s="1776"/>
      <c r="EB49" s="1807"/>
      <c r="EC49" s="1804"/>
      <c r="ED49" s="1776"/>
      <c r="EE49" s="1776"/>
      <c r="EF49" s="1786"/>
      <c r="EG49" s="1807"/>
      <c r="EH49" s="1804"/>
      <c r="EI49" s="1776"/>
      <c r="EJ49" s="1776"/>
      <c r="EK49" s="1776"/>
      <c r="EL49" s="1807"/>
      <c r="EM49" s="1804"/>
      <c r="EN49" s="1776"/>
      <c r="EO49" s="1776"/>
      <c r="EP49" s="1776"/>
      <c r="EQ49" s="1807"/>
      <c r="ER49" s="2402">
        <f t="shared" si="38"/>
        <v>0</v>
      </c>
      <c r="ES49" s="2403">
        <f t="shared" si="146"/>
        <v>0</v>
      </c>
      <c r="ET49" s="2403">
        <f t="shared" si="146"/>
        <v>0</v>
      </c>
      <c r="EU49" s="2403">
        <f t="shared" si="146"/>
        <v>0</v>
      </c>
      <c r="EV49" s="2404" t="e">
        <f t="shared" si="40"/>
        <v>#DIV/0!</v>
      </c>
      <c r="EW49" s="1809"/>
      <c r="EX49" s="1810"/>
      <c r="EY49" s="1810"/>
      <c r="EZ49" s="1811"/>
      <c r="FA49" s="1812"/>
      <c r="FB49" s="1810"/>
      <c r="FC49" s="1810"/>
      <c r="FD49" s="1813"/>
      <c r="FE49" s="1814"/>
      <c r="FF49" s="1786"/>
      <c r="FG49" s="1786"/>
      <c r="FH49" s="1815"/>
      <c r="FI49" s="1816"/>
      <c r="FJ49" s="1814"/>
      <c r="FK49" s="1786"/>
      <c r="FL49" s="1786"/>
      <c r="FM49" s="1799"/>
      <c r="FN49" s="1817">
        <v>1</v>
      </c>
      <c r="FO49" s="1818">
        <v>21666</v>
      </c>
      <c r="FP49" s="1818">
        <f>68400</f>
        <v>68400</v>
      </c>
      <c r="FQ49" s="1818">
        <f t="shared" si="204"/>
        <v>46734</v>
      </c>
      <c r="FR49" s="1819">
        <f t="shared" si="205"/>
        <v>0.68324561403508777</v>
      </c>
      <c r="FS49" s="1820">
        <v>1</v>
      </c>
      <c r="FT49" s="1818">
        <v>15000</v>
      </c>
      <c r="FU49" s="1818">
        <v>68400</v>
      </c>
      <c r="FV49" s="1818">
        <f t="shared" si="206"/>
        <v>53400</v>
      </c>
      <c r="FW49" s="1821">
        <f t="shared" si="207"/>
        <v>0.7807017543859649</v>
      </c>
      <c r="FX49" s="1820">
        <v>1</v>
      </c>
      <c r="FY49" s="1822">
        <v>15000</v>
      </c>
      <c r="FZ49" s="1822">
        <v>98000</v>
      </c>
      <c r="GA49" s="1818">
        <f t="shared" si="208"/>
        <v>83000</v>
      </c>
      <c r="GB49" s="1821">
        <f t="shared" si="209"/>
        <v>0.84693877551020413</v>
      </c>
      <c r="GC49" s="1823">
        <v>1</v>
      </c>
      <c r="GD49" s="1822">
        <v>21666</v>
      </c>
      <c r="GE49" s="1824">
        <v>98000</v>
      </c>
      <c r="GF49" s="1818">
        <f t="shared" si="210"/>
        <v>76334</v>
      </c>
      <c r="GG49" s="1821">
        <f t="shared" si="211"/>
        <v>0.77891836734693876</v>
      </c>
      <c r="GH49" s="1823">
        <v>1</v>
      </c>
      <c r="GI49" s="1822">
        <f>21666+40000</f>
        <v>61666</v>
      </c>
      <c r="GJ49" s="1824">
        <v>98000</v>
      </c>
      <c r="GK49" s="1818">
        <f t="shared" si="230"/>
        <v>36334</v>
      </c>
      <c r="GL49" s="1821">
        <f t="shared" si="212"/>
        <v>0.37075510204081635</v>
      </c>
      <c r="GM49" s="1823">
        <v>1</v>
      </c>
      <c r="GN49" s="1822">
        <f>21666+40000</f>
        <v>61666</v>
      </c>
      <c r="GO49" s="1824">
        <v>98000</v>
      </c>
      <c r="GP49" s="1818">
        <f t="shared" si="213"/>
        <v>36334</v>
      </c>
      <c r="GQ49" s="1821">
        <f t="shared" si="214"/>
        <v>0.37075510204081635</v>
      </c>
      <c r="GR49" s="1823">
        <v>1</v>
      </c>
      <c r="GS49" s="1822">
        <f>21666+40000</f>
        <v>61666</v>
      </c>
      <c r="GT49" s="1824">
        <v>98000</v>
      </c>
      <c r="GU49" s="1818">
        <f t="shared" si="215"/>
        <v>36334</v>
      </c>
      <c r="GV49" s="1821">
        <f t="shared" si="216"/>
        <v>0.37075510204081635</v>
      </c>
      <c r="GW49" s="1823">
        <v>1</v>
      </c>
      <c r="GX49" s="1822">
        <v>61666</v>
      </c>
      <c r="GY49" s="1824">
        <v>98000</v>
      </c>
      <c r="GZ49" s="1818">
        <f t="shared" si="217"/>
        <v>36334</v>
      </c>
      <c r="HA49" s="1821">
        <f t="shared" si="218"/>
        <v>0.37075510204081635</v>
      </c>
      <c r="HB49" s="1823">
        <v>1</v>
      </c>
      <c r="HC49" s="1822">
        <v>61666</v>
      </c>
      <c r="HD49" s="1824">
        <v>98000</v>
      </c>
      <c r="HE49" s="1818">
        <f t="shared" si="147"/>
        <v>36334</v>
      </c>
      <c r="HF49" s="1821">
        <f t="shared" si="148"/>
        <v>0.37075510204081635</v>
      </c>
      <c r="HG49" s="1823">
        <v>1</v>
      </c>
      <c r="HH49" s="1822">
        <v>61666</v>
      </c>
      <c r="HI49" s="1824">
        <v>98000</v>
      </c>
      <c r="HJ49" s="1818">
        <f t="shared" si="149"/>
        <v>36334</v>
      </c>
      <c r="HK49" s="1821">
        <f t="shared" si="150"/>
        <v>0.37075510204081635</v>
      </c>
      <c r="HL49" s="1823">
        <v>1</v>
      </c>
      <c r="HM49" s="1822">
        <v>61666</v>
      </c>
      <c r="HN49" s="1824">
        <v>98000</v>
      </c>
      <c r="HO49" s="1818">
        <f t="shared" si="151"/>
        <v>36334</v>
      </c>
      <c r="HP49" s="1821">
        <f t="shared" si="152"/>
        <v>0.37075510204081635</v>
      </c>
      <c r="HQ49" s="654">
        <v>1</v>
      </c>
      <c r="HR49" s="1248">
        <v>61666</v>
      </c>
      <c r="HS49" s="1248">
        <v>98000</v>
      </c>
      <c r="HT49" s="1248">
        <f t="shared" si="232"/>
        <v>36334</v>
      </c>
      <c r="HU49" s="1826">
        <f t="shared" si="154"/>
        <v>0.37075510204081635</v>
      </c>
      <c r="HV49" s="5941">
        <f t="shared" si="155"/>
        <v>1</v>
      </c>
      <c r="HW49" s="622">
        <f t="shared" si="156"/>
        <v>566660</v>
      </c>
      <c r="HX49" s="622">
        <f t="shared" si="156"/>
        <v>1116800</v>
      </c>
      <c r="HY49" s="622">
        <f t="shared" si="156"/>
        <v>550140</v>
      </c>
      <c r="HZ49" s="1828"/>
      <c r="IA49" s="1829">
        <f t="shared" si="219"/>
        <v>1</v>
      </c>
      <c r="IB49" s="1830">
        <f t="shared" si="220"/>
        <v>234800</v>
      </c>
      <c r="IC49" s="1830">
        <f t="shared" si="220"/>
        <v>183134</v>
      </c>
      <c r="ID49" s="1831">
        <f t="shared" si="221"/>
        <v>0.7799574105621806</v>
      </c>
      <c r="IE49" s="1832">
        <f t="shared" si="222"/>
        <v>1</v>
      </c>
      <c r="IF49" s="1833">
        <f t="shared" si="223"/>
        <v>294000</v>
      </c>
      <c r="IG49" s="1834">
        <f t="shared" si="223"/>
        <v>149002</v>
      </c>
      <c r="IH49" s="1831">
        <f t="shared" si="224"/>
        <v>0.50680952380952382</v>
      </c>
      <c r="II49" s="1835">
        <f t="shared" si="157"/>
        <v>1</v>
      </c>
      <c r="IJ49" s="1836">
        <f t="shared" si="158"/>
        <v>294000</v>
      </c>
      <c r="IK49" s="1836">
        <f t="shared" si="158"/>
        <v>109002</v>
      </c>
      <c r="IL49" s="239">
        <f t="shared" si="159"/>
        <v>0.37075510204081635</v>
      </c>
      <c r="IM49" s="1837">
        <f t="shared" si="160"/>
        <v>1</v>
      </c>
      <c r="IN49" s="1836">
        <f t="shared" si="161"/>
        <v>294000</v>
      </c>
      <c r="IO49" s="1836">
        <f t="shared" si="161"/>
        <v>109002</v>
      </c>
      <c r="IP49" s="1838">
        <f t="shared" si="162"/>
        <v>0.37075510204081635</v>
      </c>
      <c r="IQ49" s="1839"/>
      <c r="IR49" s="1840">
        <v>1</v>
      </c>
      <c r="IS49" s="1818">
        <v>21666</v>
      </c>
      <c r="IT49" s="1818">
        <v>25000</v>
      </c>
      <c r="IU49" s="1818">
        <f t="shared" si="163"/>
        <v>3334</v>
      </c>
      <c r="IV49" s="1819">
        <f t="shared" si="225"/>
        <v>0.13336000000000001</v>
      </c>
      <c r="IW49" s="1820"/>
      <c r="IX49" s="1818">
        <v>0</v>
      </c>
      <c r="IY49" s="1818">
        <v>0</v>
      </c>
      <c r="IZ49" s="1818">
        <f t="shared" si="233"/>
        <v>0</v>
      </c>
      <c r="JA49" s="1821"/>
      <c r="JB49" s="1984"/>
      <c r="JC49" s="1985">
        <v>0</v>
      </c>
      <c r="JD49" s="1986">
        <v>0</v>
      </c>
      <c r="JE49" s="1818">
        <f t="shared" si="164"/>
        <v>0</v>
      </c>
      <c r="JF49" s="1821"/>
      <c r="JG49" s="1981"/>
      <c r="JH49" s="1822"/>
      <c r="JI49" s="1824"/>
      <c r="JJ49" s="1822">
        <f t="shared" si="234"/>
        <v>0</v>
      </c>
      <c r="JK49" s="1821"/>
      <c r="JL49" s="1823"/>
      <c r="JM49" s="1822"/>
      <c r="JN49" s="1824"/>
      <c r="JO49" s="1996">
        <f t="shared" si="165"/>
        <v>0</v>
      </c>
      <c r="JP49" s="1821"/>
      <c r="JQ49" s="6013"/>
      <c r="JR49" s="6062"/>
      <c r="JS49" s="1248"/>
      <c r="JT49" s="1996">
        <f>JS49-JR49</f>
        <v>0</v>
      </c>
      <c r="JU49" s="1821"/>
      <c r="JV49" s="1981"/>
      <c r="JW49" s="1822"/>
      <c r="JX49" s="1248"/>
      <c r="JY49" s="1996">
        <f t="shared" si="141"/>
        <v>0</v>
      </c>
      <c r="JZ49" s="1821"/>
      <c r="KA49" s="1981"/>
      <c r="KB49" s="1248"/>
      <c r="KC49" s="1982"/>
      <c r="KD49" s="1983">
        <f t="shared" si="231"/>
        <v>0</v>
      </c>
      <c r="KE49" s="1952"/>
      <c r="KF49" s="2410"/>
      <c r="KG49" s="1904">
        <v>0</v>
      </c>
      <c r="KH49" s="6063">
        <v>0</v>
      </c>
      <c r="KI49" s="1818">
        <f t="shared" si="227"/>
        <v>0</v>
      </c>
      <c r="KJ49" s="1821"/>
      <c r="KK49" s="1990"/>
      <c r="KL49" s="1904"/>
      <c r="KM49" s="1904"/>
      <c r="KN49" s="2023">
        <f t="shared" si="130"/>
        <v>0</v>
      </c>
      <c r="KO49" s="2024"/>
      <c r="KP49" s="1823"/>
      <c r="KQ49" s="1982"/>
      <c r="KR49" s="1248"/>
      <c r="KS49" s="1996">
        <f t="shared" si="166"/>
        <v>0</v>
      </c>
      <c r="KT49" s="1819"/>
      <c r="KU49" s="1905"/>
      <c r="KV49" s="1248"/>
      <c r="KW49" s="1248"/>
      <c r="KX49" s="1248">
        <f t="shared" si="145"/>
        <v>0</v>
      </c>
      <c r="KY49" s="77"/>
      <c r="KZ49" s="1832"/>
      <c r="LA49" s="622">
        <f t="shared" si="144"/>
        <v>21666</v>
      </c>
      <c r="LB49" s="622">
        <f t="shared" si="144"/>
        <v>25000</v>
      </c>
      <c r="LC49" s="622">
        <f t="shared" si="144"/>
        <v>3334</v>
      </c>
      <c r="LD49" s="239">
        <f t="shared" si="228"/>
        <v>0.13336000000000001</v>
      </c>
      <c r="LE49" s="1834">
        <f t="shared" si="71"/>
        <v>0.33333333333333331</v>
      </c>
      <c r="LF49" s="1830">
        <f t="shared" si="167"/>
        <v>25000</v>
      </c>
      <c r="LG49" s="1830">
        <f t="shared" si="167"/>
        <v>3334</v>
      </c>
      <c r="LH49" s="1831">
        <f t="shared" si="168"/>
        <v>0.13336000000000001</v>
      </c>
      <c r="LI49" s="1832">
        <f t="shared" si="132"/>
        <v>0</v>
      </c>
      <c r="LJ49" s="1833">
        <f t="shared" si="133"/>
        <v>0</v>
      </c>
      <c r="LK49" s="1834">
        <f t="shared" si="133"/>
        <v>0</v>
      </c>
      <c r="LL49" s="1831" t="e">
        <f t="shared" si="169"/>
        <v>#DIV/0!</v>
      </c>
      <c r="LM49" s="1835">
        <f t="shared" si="135"/>
        <v>0</v>
      </c>
      <c r="LN49" s="1836">
        <f t="shared" si="136"/>
        <v>0</v>
      </c>
      <c r="LO49" s="1836">
        <f t="shared" si="136"/>
        <v>0</v>
      </c>
      <c r="LP49" s="239"/>
      <c r="LQ49" s="1837">
        <f t="shared" si="140"/>
        <v>0</v>
      </c>
      <c r="LR49" s="1836">
        <f t="shared" si="229"/>
        <v>0</v>
      </c>
      <c r="LS49" s="1836">
        <f t="shared" si="229"/>
        <v>0</v>
      </c>
      <c r="LT49" s="1838"/>
      <c r="LV49" s="3645"/>
      <c r="LW49" s="2897"/>
      <c r="LX49" s="2897"/>
      <c r="LY49" s="2589">
        <f t="shared" si="137"/>
        <v>0</v>
      </c>
      <c r="LZ49" s="77"/>
      <c r="MF49" s="5880"/>
      <c r="MG49" s="4965"/>
      <c r="MH49" s="4965"/>
      <c r="MI49" s="1839"/>
      <c r="MJ49" s="207" t="e">
        <f t="shared" si="170"/>
        <v>#DIV/0!</v>
      </c>
      <c r="MK49" s="5881"/>
      <c r="MN49" s="372">
        <f t="shared" si="12"/>
        <v>0</v>
      </c>
      <c r="MP49" s="5881"/>
      <c r="MQ49" s="1839"/>
      <c r="MR49" s="1839"/>
      <c r="MS49" s="1839"/>
      <c r="MT49" s="693"/>
      <c r="MU49" s="2035"/>
      <c r="MV49" s="1914"/>
      <c r="MW49" s="1914"/>
      <c r="MX49" s="1914"/>
      <c r="MY49" s="5882"/>
      <c r="MZ49" s="1659"/>
      <c r="NA49" s="1839"/>
      <c r="NB49" s="1839"/>
      <c r="NC49" s="1839"/>
      <c r="ND49" s="1839"/>
      <c r="NO49" s="5883"/>
      <c r="NP49" s="2425"/>
      <c r="NQ49" s="2425"/>
      <c r="NR49" s="5883"/>
      <c r="NT49" s="1839"/>
      <c r="NU49" s="1839"/>
      <c r="NV49" s="715"/>
      <c r="NW49" s="1839"/>
      <c r="NX49" s="1660"/>
      <c r="NY49" s="1659"/>
      <c r="NZ49" s="715"/>
      <c r="OA49" s="715"/>
      <c r="OB49" s="1839"/>
      <c r="OC49" s="1660"/>
      <c r="OE49" s="5885"/>
      <c r="OF49" s="5885"/>
      <c r="OG49" s="715"/>
      <c r="OH49" s="1660"/>
      <c r="OI49" s="1659"/>
      <c r="OJ49" s="1839"/>
      <c r="OK49" s="1839"/>
      <c r="OL49" s="1839"/>
      <c r="OM49" s="693"/>
      <c r="ON49" s="1659"/>
      <c r="OO49" s="715"/>
      <c r="OP49" s="715"/>
      <c r="OQ49" s="715"/>
      <c r="OR49" s="705"/>
      <c r="OS49" s="1659"/>
      <c r="OT49" s="1839"/>
      <c r="OU49" s="1839"/>
      <c r="OV49" s="1839"/>
      <c r="OW49" s="705"/>
      <c r="OX49" s="1659"/>
      <c r="OY49" s="1839"/>
      <c r="OZ49" s="1839"/>
      <c r="PA49" s="1839"/>
      <c r="PB49" s="1660"/>
      <c r="PD49" s="3645"/>
      <c r="PE49" s="2897"/>
      <c r="PF49" s="2897"/>
      <c r="PG49" s="2589">
        <f t="shared" si="138"/>
        <v>0</v>
      </c>
      <c r="PH49" s="77"/>
      <c r="PN49" s="5880"/>
      <c r="PO49" s="4965"/>
      <c r="PP49" s="4965"/>
      <c r="PQ49" s="1839"/>
      <c r="PR49" s="207" t="e">
        <f t="shared" si="171"/>
        <v>#DIV/0!</v>
      </c>
      <c r="PS49" s="5886"/>
      <c r="PT49" s="5883"/>
      <c r="PU49" s="5883"/>
      <c r="PV49" s="2892">
        <f t="shared" si="13"/>
        <v>0</v>
      </c>
      <c r="PW49" s="5883"/>
      <c r="PX49" s="5881"/>
      <c r="PY49" s="1839"/>
      <c r="PZ49" s="1839"/>
      <c r="QA49" s="1839"/>
      <c r="QB49" s="693"/>
      <c r="QC49" s="2035"/>
      <c r="QD49" s="1914"/>
      <c r="QE49" s="1914"/>
      <c r="QF49" s="1914"/>
      <c r="QG49" s="5882"/>
      <c r="QH49" s="1910"/>
      <c r="QI49" s="1839"/>
      <c r="QJ49" s="1839"/>
      <c r="QK49" s="1839"/>
      <c r="QL49" s="1839"/>
      <c r="QM49" s="5880"/>
      <c r="QR49" s="5883"/>
      <c r="QS49" s="5883"/>
      <c r="QT49" s="5883"/>
      <c r="QU49" s="5883"/>
      <c r="QV49" s="1677"/>
      <c r="QW49" s="5883"/>
      <c r="QX49" s="2425"/>
      <c r="QY49" s="2425"/>
      <c r="QZ49" s="5883"/>
      <c r="RA49" s="5883"/>
      <c r="RB49" s="1839"/>
      <c r="RC49" s="1839"/>
      <c r="RD49" s="715"/>
      <c r="RE49" s="1839"/>
      <c r="RF49" s="1660"/>
      <c r="RG49" s="2037"/>
      <c r="RH49" s="1914"/>
      <c r="RI49" s="1914"/>
      <c r="RJ49" s="5882"/>
      <c r="RK49" s="1660"/>
      <c r="RL49" s="5883"/>
      <c r="RM49" s="1873">
        <f t="shared" si="77"/>
        <v>0</v>
      </c>
      <c r="RN49" s="1873">
        <f t="shared" si="77"/>
        <v>0</v>
      </c>
      <c r="RO49" s="1873">
        <f t="shared" si="77"/>
        <v>0</v>
      </c>
      <c r="RP49" s="5883"/>
      <c r="RQ49" s="1659"/>
      <c r="RR49" s="1839"/>
      <c r="RS49" s="1839"/>
      <c r="RT49" s="1839"/>
      <c r="RU49" s="693"/>
      <c r="RV49" s="1659"/>
      <c r="RW49" s="715"/>
      <c r="RX49" s="715"/>
      <c r="RY49" s="715"/>
      <c r="RZ49" s="705"/>
      <c r="SA49" s="1659"/>
      <c r="SB49" s="1839"/>
      <c r="SC49" s="1839"/>
      <c r="SD49" s="1839"/>
      <c r="SE49" s="705"/>
      <c r="SF49" s="1659"/>
      <c r="SG49" s="1839"/>
      <c r="SH49" s="1839"/>
      <c r="SI49" s="1839"/>
      <c r="SJ49" s="1660"/>
      <c r="SL49" s="3645"/>
      <c r="SM49" s="2897"/>
      <c r="SN49" s="2897"/>
      <c r="SO49" s="6029">
        <f t="shared" si="139"/>
        <v>0</v>
      </c>
      <c r="SP49" s="6056"/>
      <c r="SQ49" s="5883"/>
      <c r="SR49" s="5883"/>
      <c r="SS49" s="5883"/>
      <c r="ST49" s="5883"/>
      <c r="SU49" s="5883"/>
      <c r="SV49" s="5880"/>
      <c r="SW49" s="4965"/>
      <c r="SX49" s="4965"/>
      <c r="SY49" s="1839"/>
      <c r="SZ49" s="207" t="e">
        <f t="shared" si="172"/>
        <v>#DIV/0!</v>
      </c>
      <c r="TA49" s="5881"/>
      <c r="TD49" s="372">
        <f t="shared" si="14"/>
        <v>0</v>
      </c>
      <c r="TF49" s="5881"/>
      <c r="TG49" s="1839"/>
      <c r="TH49" s="1839"/>
      <c r="TI49" s="1839"/>
      <c r="TJ49" s="693"/>
      <c r="TK49" s="2035"/>
      <c r="TL49" s="1914"/>
      <c r="TM49" s="1914"/>
      <c r="TN49" s="1914"/>
      <c r="TO49" s="5882"/>
      <c r="TP49" s="2407"/>
      <c r="TQ49" s="1839"/>
      <c r="TR49" s="1839"/>
      <c r="TS49" s="1839"/>
      <c r="TT49" s="1839"/>
      <c r="TU49" s="5889"/>
      <c r="TV49" s="5883"/>
      <c r="TW49" s="5883"/>
      <c r="TX49" s="5883"/>
      <c r="TY49" s="5883"/>
      <c r="TZ49" s="5883"/>
      <c r="UA49" s="5883"/>
      <c r="UB49" s="5883"/>
      <c r="UC49" s="5883"/>
      <c r="UD49" s="1677"/>
      <c r="UE49" s="5883"/>
      <c r="UF49" s="2425"/>
      <c r="UG49" s="2425"/>
      <c r="UH49" s="5883"/>
      <c r="UI49" s="5883"/>
      <c r="UJ49" s="1839"/>
      <c r="UK49" s="1839"/>
      <c r="UL49" s="715"/>
      <c r="UM49" s="1839"/>
      <c r="UN49" s="1660"/>
      <c r="UO49" s="2037"/>
      <c r="UP49" s="1914"/>
      <c r="UQ49" s="1914"/>
      <c r="UR49" s="5882"/>
      <c r="US49" s="1660"/>
      <c r="UU49" s="622">
        <f t="shared" si="78"/>
        <v>0</v>
      </c>
      <c r="UV49" s="622">
        <f t="shared" si="78"/>
        <v>0</v>
      </c>
      <c r="UW49" s="622">
        <f t="shared" si="78"/>
        <v>0</v>
      </c>
      <c r="UY49" s="1659"/>
      <c r="UZ49" s="1839"/>
      <c r="VA49" s="1839"/>
      <c r="VB49" s="1839"/>
      <c r="VC49" s="693"/>
      <c r="VD49" s="1659"/>
      <c r="VE49" s="715"/>
      <c r="VF49" s="715"/>
      <c r="VG49" s="715"/>
      <c r="VH49" s="705"/>
      <c r="VI49" s="1659"/>
      <c r="VJ49" s="1839"/>
      <c r="VK49" s="1839"/>
      <c r="VL49" s="1839"/>
      <c r="VM49" s="705"/>
      <c r="VN49" s="1659"/>
      <c r="VO49" s="1839"/>
      <c r="VP49" s="1839"/>
      <c r="VQ49" s="1839"/>
      <c r="VR49" s="1660"/>
    </row>
    <row r="50" spans="1:590" s="122" customFormat="1" ht="13.45" hidden="1" x14ac:dyDescent="0.3">
      <c r="B50" s="6016" t="s">
        <v>53</v>
      </c>
      <c r="C50" s="6031" t="s">
        <v>56</v>
      </c>
      <c r="D50" s="5989" t="s">
        <v>809</v>
      </c>
      <c r="E50" s="6032">
        <v>43971</v>
      </c>
      <c r="F50" s="6032">
        <v>44335</v>
      </c>
      <c r="G50" s="5965">
        <v>30000</v>
      </c>
      <c r="H50" s="1775"/>
      <c r="I50" s="1776"/>
      <c r="J50" s="1776"/>
      <c r="K50" s="1776"/>
      <c r="L50" s="1777"/>
      <c r="M50" s="1778"/>
      <c r="N50" s="1779"/>
      <c r="O50" s="1779"/>
      <c r="P50" s="1779"/>
      <c r="Q50" s="1780"/>
      <c r="R50" s="1780"/>
      <c r="S50" s="1776"/>
      <c r="T50" s="1776"/>
      <c r="U50" s="1776"/>
      <c r="V50" s="1777"/>
      <c r="W50" s="1776"/>
      <c r="X50" s="1776"/>
      <c r="Y50" s="1781"/>
      <c r="Z50" s="1776"/>
      <c r="AA50" s="1782"/>
      <c r="AB50" s="1781"/>
      <c r="AC50" s="1783"/>
      <c r="AD50" s="1784"/>
      <c r="AE50" s="1776"/>
      <c r="AF50" s="1777"/>
      <c r="AG50" s="1785"/>
      <c r="AH50" s="1776"/>
      <c r="AI50" s="1776"/>
      <c r="AJ50" s="1786"/>
      <c r="AK50" s="1777"/>
      <c r="AL50" s="1785"/>
      <c r="AM50" s="1776"/>
      <c r="AN50" s="1776"/>
      <c r="AO50" s="1781"/>
      <c r="AP50" s="1777"/>
      <c r="AQ50" s="1787"/>
      <c r="AR50" s="1788"/>
      <c r="AS50" s="1788"/>
      <c r="AT50" s="1789"/>
      <c r="AU50" s="1777"/>
      <c r="AV50" s="1790"/>
      <c r="AW50" s="1781"/>
      <c r="AX50" s="1781"/>
      <c r="AY50" s="1781"/>
      <c r="AZ50" s="1777"/>
      <c r="BA50" s="1791"/>
      <c r="BB50" s="1792"/>
      <c r="BC50" s="1783"/>
      <c r="BD50" s="1781"/>
      <c r="BE50" s="1780"/>
      <c r="BF50" s="1790"/>
      <c r="BG50" s="1781"/>
      <c r="BH50" s="1776"/>
      <c r="BI50" s="1781"/>
      <c r="BJ50" s="1793"/>
      <c r="BK50" s="1790"/>
      <c r="BL50" s="1781"/>
      <c r="BM50" s="1776"/>
      <c r="BN50" s="1781"/>
      <c r="BO50" s="1794"/>
      <c r="BP50" s="1795"/>
      <c r="BQ50" s="1796"/>
      <c r="BR50" s="1786"/>
      <c r="BS50" s="1797"/>
      <c r="BT50" s="1798"/>
      <c r="BU50" s="1786"/>
      <c r="BV50" s="1786"/>
      <c r="BW50" s="1799"/>
      <c r="BX50" s="1800"/>
      <c r="BY50" s="1786"/>
      <c r="BZ50" s="1786"/>
      <c r="CA50" s="1801"/>
      <c r="CB50" s="1802"/>
      <c r="CC50" s="1786"/>
      <c r="CD50" s="1786"/>
      <c r="CE50" s="1803"/>
      <c r="CF50" s="1800"/>
      <c r="CG50" s="1776"/>
      <c r="CH50" s="1776"/>
      <c r="CI50" s="1801"/>
      <c r="CJ50" s="1804"/>
      <c r="CK50" s="1776"/>
      <c r="CL50" s="1776"/>
      <c r="CM50" s="1776"/>
      <c r="CN50" s="1799"/>
      <c r="CO50" s="1804"/>
      <c r="CP50" s="1776"/>
      <c r="CQ50" s="1776"/>
      <c r="CR50" s="1776"/>
      <c r="CS50" s="1799"/>
      <c r="CT50" s="1804"/>
      <c r="CU50" s="1776"/>
      <c r="CV50" s="1776"/>
      <c r="CW50" s="1776"/>
      <c r="CX50" s="1799"/>
      <c r="CY50" s="1804"/>
      <c r="CZ50" s="1776"/>
      <c r="DA50" s="1776"/>
      <c r="DB50" s="1776"/>
      <c r="DC50" s="1799"/>
      <c r="DD50" s="1805"/>
      <c r="DE50" s="1806"/>
      <c r="DF50" s="1806"/>
      <c r="DG50" s="1783"/>
      <c r="DH50" s="1807"/>
      <c r="DI50" s="1804"/>
      <c r="DJ50" s="1806"/>
      <c r="DK50" s="1806"/>
      <c r="DL50" s="1776"/>
      <c r="DM50" s="1807"/>
      <c r="DN50" s="1804"/>
      <c r="DO50" s="1776"/>
      <c r="DP50" s="1776"/>
      <c r="DQ50" s="1776"/>
      <c r="DR50" s="1807"/>
      <c r="DS50" s="1808"/>
      <c r="DT50" s="1783"/>
      <c r="DU50" s="1783"/>
      <c r="DV50" s="1776"/>
      <c r="DW50" s="1799"/>
      <c r="DX50" s="1804"/>
      <c r="DY50" s="1776"/>
      <c r="DZ50" s="1776"/>
      <c r="EA50" s="1776"/>
      <c r="EB50" s="1807"/>
      <c r="EC50" s="1804"/>
      <c r="ED50" s="1776"/>
      <c r="EE50" s="1776"/>
      <c r="EF50" s="1786"/>
      <c r="EG50" s="1807"/>
      <c r="EH50" s="1804"/>
      <c r="EI50" s="1776"/>
      <c r="EJ50" s="1776"/>
      <c r="EK50" s="1776"/>
      <c r="EL50" s="1807"/>
      <c r="EM50" s="1804"/>
      <c r="EN50" s="1776"/>
      <c r="EO50" s="1776"/>
      <c r="EP50" s="1776"/>
      <c r="EQ50" s="1807"/>
      <c r="ER50" s="2402">
        <f t="shared" si="38"/>
        <v>0</v>
      </c>
      <c r="ES50" s="2403">
        <f t="shared" si="146"/>
        <v>0</v>
      </c>
      <c r="ET50" s="2403">
        <f t="shared" si="146"/>
        <v>0</v>
      </c>
      <c r="EU50" s="2403">
        <f t="shared" si="146"/>
        <v>0</v>
      </c>
      <c r="EV50" s="2404" t="e">
        <f t="shared" si="40"/>
        <v>#DIV/0!</v>
      </c>
      <c r="EW50" s="1809"/>
      <c r="EX50" s="1810"/>
      <c r="EY50" s="1810"/>
      <c r="EZ50" s="1811"/>
      <c r="FA50" s="1812"/>
      <c r="FB50" s="1810"/>
      <c r="FC50" s="1810"/>
      <c r="FD50" s="1813"/>
      <c r="FE50" s="1814"/>
      <c r="FF50" s="1786"/>
      <c r="FG50" s="1786"/>
      <c r="FH50" s="1815"/>
      <c r="FI50" s="1816"/>
      <c r="FJ50" s="1814"/>
      <c r="FK50" s="1786"/>
      <c r="FL50" s="1786"/>
      <c r="FM50" s="1799"/>
      <c r="FN50" s="1817"/>
      <c r="FO50" s="1818">
        <v>0</v>
      </c>
      <c r="FP50" s="1818">
        <v>0</v>
      </c>
      <c r="FQ50" s="1818">
        <v>0</v>
      </c>
      <c r="FR50" s="1819"/>
      <c r="FS50" s="1820">
        <v>1</v>
      </c>
      <c r="FT50" s="1818">
        <v>9678</v>
      </c>
      <c r="FU50" s="1818">
        <v>11610</v>
      </c>
      <c r="FV50" s="1818">
        <f t="shared" si="206"/>
        <v>1932</v>
      </c>
      <c r="FW50" s="1821">
        <f t="shared" si="207"/>
        <v>0.16640826873385012</v>
      </c>
      <c r="FX50" s="1820">
        <v>1</v>
      </c>
      <c r="FY50" s="1822">
        <f>25000</f>
        <v>25000</v>
      </c>
      <c r="FZ50" s="1822">
        <f>30000</f>
        <v>30000</v>
      </c>
      <c r="GA50" s="1818">
        <f t="shared" si="208"/>
        <v>5000</v>
      </c>
      <c r="GB50" s="1821">
        <f t="shared" si="209"/>
        <v>0.16666666666666666</v>
      </c>
      <c r="GC50" s="1823">
        <v>1</v>
      </c>
      <c r="GD50" s="1824">
        <v>25000</v>
      </c>
      <c r="GE50" s="1824">
        <v>30000</v>
      </c>
      <c r="GF50" s="1818">
        <f t="shared" si="210"/>
        <v>5000</v>
      </c>
      <c r="GG50" s="1821">
        <f t="shared" si="211"/>
        <v>0.16666666666666666</v>
      </c>
      <c r="GH50" s="1823">
        <v>1</v>
      </c>
      <c r="GI50" s="1824">
        <v>25000</v>
      </c>
      <c r="GJ50" s="1824">
        <v>30000</v>
      </c>
      <c r="GK50" s="1818">
        <f t="shared" si="230"/>
        <v>5000</v>
      </c>
      <c r="GL50" s="1821">
        <f t="shared" si="212"/>
        <v>0.16666666666666666</v>
      </c>
      <c r="GM50" s="1823">
        <v>1</v>
      </c>
      <c r="GN50" s="1824">
        <v>25000</v>
      </c>
      <c r="GO50" s="1824">
        <v>30000</v>
      </c>
      <c r="GP50" s="1818">
        <f t="shared" si="213"/>
        <v>5000</v>
      </c>
      <c r="GQ50" s="1821">
        <f t="shared" si="214"/>
        <v>0.16666666666666666</v>
      </c>
      <c r="GR50" s="1823">
        <v>1</v>
      </c>
      <c r="GS50" s="1824">
        <v>25000</v>
      </c>
      <c r="GT50" s="1824">
        <v>30000</v>
      </c>
      <c r="GU50" s="1818">
        <f t="shared" si="215"/>
        <v>5000</v>
      </c>
      <c r="GV50" s="1821">
        <f t="shared" si="216"/>
        <v>0.16666666666666666</v>
      </c>
      <c r="GW50" s="1823">
        <v>1</v>
      </c>
      <c r="GX50" s="1824">
        <v>22500</v>
      </c>
      <c r="GY50" s="1824">
        <v>30000</v>
      </c>
      <c r="GZ50" s="1818">
        <f t="shared" si="217"/>
        <v>7500</v>
      </c>
      <c r="HA50" s="1821">
        <f t="shared" si="218"/>
        <v>0.25</v>
      </c>
      <c r="HB50" s="1823">
        <v>1</v>
      </c>
      <c r="HC50" s="1824">
        <v>25000</v>
      </c>
      <c r="HD50" s="1824">
        <v>30000</v>
      </c>
      <c r="HE50" s="1818">
        <f t="shared" si="147"/>
        <v>5000</v>
      </c>
      <c r="HF50" s="1821">
        <f t="shared" si="148"/>
        <v>0.16666666666666666</v>
      </c>
      <c r="HG50" s="1823">
        <v>1</v>
      </c>
      <c r="HH50" s="1824">
        <v>25000</v>
      </c>
      <c r="HI50" s="1824">
        <v>30000</v>
      </c>
      <c r="HJ50" s="1818">
        <f t="shared" si="149"/>
        <v>5000</v>
      </c>
      <c r="HK50" s="1821">
        <f t="shared" si="150"/>
        <v>0.16666666666666666</v>
      </c>
      <c r="HL50" s="1823">
        <v>1</v>
      </c>
      <c r="HM50" s="1824">
        <v>25000</v>
      </c>
      <c r="HN50" s="1824">
        <v>30000</v>
      </c>
      <c r="HO50" s="1818">
        <f t="shared" si="151"/>
        <v>5000</v>
      </c>
      <c r="HP50" s="1821">
        <f t="shared" si="152"/>
        <v>0.16666666666666666</v>
      </c>
      <c r="HQ50" s="654">
        <v>1</v>
      </c>
      <c r="HR50" s="1248">
        <v>25000</v>
      </c>
      <c r="HS50" s="1248">
        <v>30000</v>
      </c>
      <c r="HT50" s="1248">
        <f t="shared" si="232"/>
        <v>5000</v>
      </c>
      <c r="HU50" s="1826">
        <f t="shared" si="154"/>
        <v>0.16666666666666666</v>
      </c>
      <c r="HV50" s="5941">
        <f t="shared" si="155"/>
        <v>0.91666666666666663</v>
      </c>
      <c r="HW50" s="622">
        <f t="shared" si="156"/>
        <v>257178</v>
      </c>
      <c r="HX50" s="622">
        <f t="shared" si="156"/>
        <v>311610</v>
      </c>
      <c r="HY50" s="622">
        <f t="shared" si="156"/>
        <v>54432</v>
      </c>
      <c r="HZ50" s="1828"/>
      <c r="IA50" s="1829">
        <f t="shared" si="219"/>
        <v>0.66666666666666663</v>
      </c>
      <c r="IB50" s="1830">
        <f t="shared" si="220"/>
        <v>41610</v>
      </c>
      <c r="IC50" s="1830">
        <f t="shared" si="220"/>
        <v>6932</v>
      </c>
      <c r="ID50" s="1831">
        <f t="shared" si="221"/>
        <v>0.16659456861331412</v>
      </c>
      <c r="IE50" s="1832">
        <f t="shared" si="222"/>
        <v>1</v>
      </c>
      <c r="IF50" s="1833">
        <f t="shared" si="223"/>
        <v>90000</v>
      </c>
      <c r="IG50" s="1834">
        <f t="shared" si="223"/>
        <v>15000</v>
      </c>
      <c r="IH50" s="1831">
        <f t="shared" si="224"/>
        <v>0.16666666666666666</v>
      </c>
      <c r="II50" s="1835">
        <f t="shared" si="157"/>
        <v>1</v>
      </c>
      <c r="IJ50" s="1836">
        <f t="shared" si="158"/>
        <v>90000</v>
      </c>
      <c r="IK50" s="1836">
        <f t="shared" si="158"/>
        <v>17500</v>
      </c>
      <c r="IL50" s="239">
        <f t="shared" si="159"/>
        <v>0.19444444444444445</v>
      </c>
      <c r="IM50" s="1837">
        <f t="shared" si="160"/>
        <v>1</v>
      </c>
      <c r="IN50" s="1836">
        <f t="shared" si="161"/>
        <v>90000</v>
      </c>
      <c r="IO50" s="1836">
        <f t="shared" si="161"/>
        <v>15000</v>
      </c>
      <c r="IP50" s="1838">
        <f t="shared" si="162"/>
        <v>0.16666666666666666</v>
      </c>
      <c r="IQ50" s="1839"/>
      <c r="IR50" s="1840"/>
      <c r="IS50" s="1818"/>
      <c r="IT50" s="1818"/>
      <c r="IU50" s="1818">
        <f t="shared" si="163"/>
        <v>0</v>
      </c>
      <c r="IV50" s="1980">
        <v>0</v>
      </c>
      <c r="IW50" s="1820"/>
      <c r="IX50" s="1818"/>
      <c r="IY50" s="1818"/>
      <c r="IZ50" s="1818">
        <f t="shared" si="233"/>
        <v>0</v>
      </c>
      <c r="JA50" s="1821"/>
      <c r="JB50" s="1984"/>
      <c r="JC50" s="1985"/>
      <c r="JD50" s="1986"/>
      <c r="JE50" s="1818">
        <f t="shared" si="164"/>
        <v>0</v>
      </c>
      <c r="JF50" s="1821" t="e">
        <f t="shared" ref="JF50:JF56" si="235">JE50/JD50</f>
        <v>#DIV/0!</v>
      </c>
      <c r="JG50" s="1981"/>
      <c r="JH50" s="1824"/>
      <c r="JI50" s="1824"/>
      <c r="JJ50" s="1822">
        <f t="shared" si="234"/>
        <v>0</v>
      </c>
      <c r="JK50" s="1821" t="e">
        <f>JJ50/JI50</f>
        <v>#DIV/0!</v>
      </c>
      <c r="JL50" s="1823"/>
      <c r="JM50" s="1824"/>
      <c r="JN50" s="1824"/>
      <c r="JO50" s="1996">
        <f t="shared" si="165"/>
        <v>0</v>
      </c>
      <c r="JP50" s="1821" t="e">
        <f>JO50/JN50</f>
        <v>#DIV/0!</v>
      </c>
      <c r="JQ50" s="6013"/>
      <c r="JR50" s="1982"/>
      <c r="JS50" s="1248"/>
      <c r="JT50" s="1996">
        <f>JS50-JR50</f>
        <v>0</v>
      </c>
      <c r="JU50" s="1821" t="e">
        <f>JT50/JS50</f>
        <v>#DIV/0!</v>
      </c>
      <c r="JV50" s="1981"/>
      <c r="JW50" s="1824"/>
      <c r="JX50" s="1248"/>
      <c r="JY50" s="1996">
        <f t="shared" si="141"/>
        <v>0</v>
      </c>
      <c r="JZ50" s="1821" t="e">
        <f>JY50/JX50</f>
        <v>#DIV/0!</v>
      </c>
      <c r="KA50" s="1981"/>
      <c r="KB50" s="1248"/>
      <c r="KC50" s="1982"/>
      <c r="KD50" s="1983">
        <f t="shared" si="231"/>
        <v>0</v>
      </c>
      <c r="KE50" s="1952"/>
      <c r="KF50" s="2410"/>
      <c r="KG50" s="1904"/>
      <c r="KH50" s="6063"/>
      <c r="KI50" s="1818">
        <f t="shared" si="227"/>
        <v>0</v>
      </c>
      <c r="KJ50" s="1821"/>
      <c r="KK50" s="1990"/>
      <c r="KL50" s="1904"/>
      <c r="KM50" s="1904"/>
      <c r="KN50" s="2023">
        <f t="shared" si="130"/>
        <v>0</v>
      </c>
      <c r="KO50" s="2024"/>
      <c r="KP50" s="1823"/>
      <c r="KQ50" s="1982"/>
      <c r="KR50" s="1248"/>
      <c r="KS50" s="1996"/>
      <c r="KT50" s="1819"/>
      <c r="KU50" s="1905"/>
      <c r="KV50" s="1248"/>
      <c r="KW50" s="1248"/>
      <c r="KX50" s="1248">
        <f t="shared" si="145"/>
        <v>0</v>
      </c>
      <c r="KY50" s="77"/>
      <c r="KZ50" s="1832"/>
      <c r="LA50" s="622">
        <f t="shared" si="144"/>
        <v>0</v>
      </c>
      <c r="LB50" s="622">
        <f t="shared" si="144"/>
        <v>0</v>
      </c>
      <c r="LC50" s="622">
        <f t="shared" si="144"/>
        <v>0</v>
      </c>
      <c r="LD50" s="239"/>
      <c r="LE50" s="1834">
        <f t="shared" si="71"/>
        <v>0</v>
      </c>
      <c r="LF50" s="1830">
        <f t="shared" si="167"/>
        <v>0</v>
      </c>
      <c r="LG50" s="1830">
        <f t="shared" si="167"/>
        <v>0</v>
      </c>
      <c r="LH50" s="1831" t="e">
        <f t="shared" si="168"/>
        <v>#DIV/0!</v>
      </c>
      <c r="LI50" s="1832">
        <f t="shared" si="132"/>
        <v>0</v>
      </c>
      <c r="LJ50" s="1833">
        <f t="shared" si="133"/>
        <v>0</v>
      </c>
      <c r="LK50" s="1834">
        <f t="shared" si="133"/>
        <v>0</v>
      </c>
      <c r="LL50" s="1831" t="e">
        <f t="shared" si="169"/>
        <v>#DIV/0!</v>
      </c>
      <c r="LM50" s="1835">
        <f t="shared" si="135"/>
        <v>0</v>
      </c>
      <c r="LN50" s="1836">
        <f t="shared" si="136"/>
        <v>0</v>
      </c>
      <c r="LO50" s="1836">
        <f t="shared" si="136"/>
        <v>0</v>
      </c>
      <c r="LP50" s="239"/>
      <c r="LQ50" s="1837">
        <f t="shared" si="140"/>
        <v>0</v>
      </c>
      <c r="LR50" s="1836">
        <f t="shared" si="229"/>
        <v>0</v>
      </c>
      <c r="LS50" s="1836">
        <f t="shared" si="229"/>
        <v>0</v>
      </c>
      <c r="LT50" s="1838"/>
      <c r="LV50" s="3645"/>
      <c r="LW50" s="2897"/>
      <c r="LX50" s="2897"/>
      <c r="LY50" s="2589">
        <f t="shared" si="137"/>
        <v>0</v>
      </c>
      <c r="LZ50" s="77"/>
      <c r="MF50" s="5880"/>
      <c r="MG50" s="4965"/>
      <c r="MH50" s="4965"/>
      <c r="MI50" s="1839"/>
      <c r="MJ50" s="207" t="e">
        <f t="shared" si="170"/>
        <v>#DIV/0!</v>
      </c>
      <c r="MK50" s="5881"/>
      <c r="MN50" s="372">
        <f t="shared" si="12"/>
        <v>0</v>
      </c>
      <c r="MP50" s="5881"/>
      <c r="MQ50" s="1839"/>
      <c r="MR50" s="1839"/>
      <c r="MS50" s="1839"/>
      <c r="MT50" s="693"/>
      <c r="MU50" s="2035"/>
      <c r="MV50" s="1914"/>
      <c r="MW50" s="1914"/>
      <c r="MX50" s="1914"/>
      <c r="MY50" s="5882"/>
      <c r="MZ50" s="1659"/>
      <c r="NA50" s="1839"/>
      <c r="NB50" s="1839"/>
      <c r="NC50" s="1839"/>
      <c r="ND50" s="1839"/>
      <c r="NO50" s="5883"/>
      <c r="NP50" s="2425"/>
      <c r="NQ50" s="2425"/>
      <c r="NR50" s="5883"/>
      <c r="NT50" s="1839"/>
      <c r="NU50" s="1839"/>
      <c r="NV50" s="715"/>
      <c r="NW50" s="1839"/>
      <c r="NX50" s="1660"/>
      <c r="NY50" s="1659"/>
      <c r="NZ50" s="715"/>
      <c r="OA50" s="715"/>
      <c r="OB50" s="1839"/>
      <c r="OC50" s="1660"/>
      <c r="OE50" s="5885"/>
      <c r="OF50" s="5885"/>
      <c r="OG50" s="715"/>
      <c r="OH50" s="1660"/>
      <c r="OI50" s="1659"/>
      <c r="OJ50" s="1839"/>
      <c r="OK50" s="1839"/>
      <c r="OL50" s="1839"/>
      <c r="OM50" s="693"/>
      <c r="ON50" s="1659"/>
      <c r="OO50" s="715"/>
      <c r="OP50" s="715"/>
      <c r="OQ50" s="715"/>
      <c r="OR50" s="705"/>
      <c r="OS50" s="1659"/>
      <c r="OT50" s="1839"/>
      <c r="OU50" s="1839"/>
      <c r="OV50" s="1839"/>
      <c r="OW50" s="705"/>
      <c r="OX50" s="1659"/>
      <c r="OY50" s="1839"/>
      <c r="OZ50" s="1839"/>
      <c r="PA50" s="1839"/>
      <c r="PB50" s="1660"/>
      <c r="PD50" s="3645"/>
      <c r="PE50" s="2897"/>
      <c r="PF50" s="2897"/>
      <c r="PG50" s="2589">
        <f t="shared" si="138"/>
        <v>0</v>
      </c>
      <c r="PH50" s="77"/>
      <c r="PN50" s="5880"/>
      <c r="PO50" s="4965"/>
      <c r="PP50" s="4965"/>
      <c r="PQ50" s="1839"/>
      <c r="PR50" s="207" t="e">
        <f t="shared" si="171"/>
        <v>#DIV/0!</v>
      </c>
      <c r="PS50" s="5886"/>
      <c r="PT50" s="5883"/>
      <c r="PU50" s="5883"/>
      <c r="PV50" s="2892">
        <f t="shared" si="13"/>
        <v>0</v>
      </c>
      <c r="PW50" s="5883"/>
      <c r="PX50" s="5881"/>
      <c r="PY50" s="1839"/>
      <c r="PZ50" s="1839"/>
      <c r="QA50" s="1839"/>
      <c r="QB50" s="693"/>
      <c r="QC50" s="2035"/>
      <c r="QD50" s="1914"/>
      <c r="QE50" s="1914"/>
      <c r="QF50" s="1914"/>
      <c r="QG50" s="5882"/>
      <c r="QH50" s="1910"/>
      <c r="QI50" s="1839"/>
      <c r="QJ50" s="1839"/>
      <c r="QK50" s="1839"/>
      <c r="QL50" s="1839"/>
      <c r="QM50" s="5880"/>
      <c r="QR50" s="5883"/>
      <c r="QS50" s="5883"/>
      <c r="QT50" s="5883"/>
      <c r="QU50" s="5883"/>
      <c r="QV50" s="1677"/>
      <c r="QW50" s="5883"/>
      <c r="QX50" s="2425"/>
      <c r="QY50" s="2425"/>
      <c r="QZ50" s="5883"/>
      <c r="RA50" s="5883"/>
      <c r="RB50" s="1839"/>
      <c r="RC50" s="1839"/>
      <c r="RD50" s="715"/>
      <c r="RE50" s="1839"/>
      <c r="RF50" s="1660"/>
      <c r="RG50" s="2037"/>
      <c r="RH50" s="1914"/>
      <c r="RI50" s="1914"/>
      <c r="RJ50" s="5882"/>
      <c r="RK50" s="1660"/>
      <c r="RL50" s="5883"/>
      <c r="RM50" s="1873">
        <f t="shared" si="77"/>
        <v>0</v>
      </c>
      <c r="RN50" s="1873">
        <f t="shared" si="77"/>
        <v>0</v>
      </c>
      <c r="RO50" s="1873">
        <f t="shared" si="77"/>
        <v>0</v>
      </c>
      <c r="RP50" s="5883"/>
      <c r="RQ50" s="1659"/>
      <c r="RR50" s="1839"/>
      <c r="RS50" s="1839"/>
      <c r="RT50" s="1839"/>
      <c r="RU50" s="693"/>
      <c r="RV50" s="1659"/>
      <c r="RW50" s="715"/>
      <c r="RX50" s="715"/>
      <c r="RY50" s="715"/>
      <c r="RZ50" s="705"/>
      <c r="SA50" s="1659"/>
      <c r="SB50" s="1839"/>
      <c r="SC50" s="1839"/>
      <c r="SD50" s="1839"/>
      <c r="SE50" s="705"/>
      <c r="SF50" s="1659"/>
      <c r="SG50" s="1839"/>
      <c r="SH50" s="1839"/>
      <c r="SI50" s="1839"/>
      <c r="SJ50" s="1660"/>
      <c r="SL50" s="3645"/>
      <c r="SM50" s="2897"/>
      <c r="SN50" s="2897"/>
      <c r="SO50" s="6029">
        <f t="shared" si="139"/>
        <v>0</v>
      </c>
      <c r="SP50" s="6056"/>
      <c r="SQ50" s="5883"/>
      <c r="SR50" s="5883"/>
      <c r="SS50" s="5883"/>
      <c r="ST50" s="5883"/>
      <c r="SU50" s="5883"/>
      <c r="SV50" s="5880"/>
      <c r="SW50" s="4965"/>
      <c r="SX50" s="4965"/>
      <c r="SY50" s="1839"/>
      <c r="SZ50" s="207" t="e">
        <f t="shared" si="172"/>
        <v>#DIV/0!</v>
      </c>
      <c r="TA50" s="5881"/>
      <c r="TD50" s="372">
        <f t="shared" si="14"/>
        <v>0</v>
      </c>
      <c r="TF50" s="5881"/>
      <c r="TG50" s="1839"/>
      <c r="TH50" s="1839"/>
      <c r="TI50" s="1839"/>
      <c r="TJ50" s="693"/>
      <c r="TK50" s="2035"/>
      <c r="TL50" s="1914"/>
      <c r="TM50" s="1914"/>
      <c r="TN50" s="1914"/>
      <c r="TO50" s="5882"/>
      <c r="TP50" s="2407"/>
      <c r="TQ50" s="1839"/>
      <c r="TR50" s="1839"/>
      <c r="TS50" s="1839"/>
      <c r="TT50" s="1839"/>
      <c r="TU50" s="5889"/>
      <c r="TV50" s="5883"/>
      <c r="TW50" s="5883"/>
      <c r="TX50" s="5883"/>
      <c r="TY50" s="5883"/>
      <c r="TZ50" s="5883"/>
      <c r="UA50" s="5883"/>
      <c r="UB50" s="5883"/>
      <c r="UC50" s="5883"/>
      <c r="UD50" s="1677"/>
      <c r="UE50" s="5883"/>
      <c r="UF50" s="2425"/>
      <c r="UG50" s="2425"/>
      <c r="UH50" s="5883"/>
      <c r="UI50" s="5883"/>
      <c r="UJ50" s="1839"/>
      <c r="UK50" s="1839"/>
      <c r="UL50" s="715"/>
      <c r="UM50" s="1839"/>
      <c r="UN50" s="1660"/>
      <c r="UO50" s="2037"/>
      <c r="UP50" s="1914"/>
      <c r="UQ50" s="1914"/>
      <c r="UR50" s="5882"/>
      <c r="US50" s="1660"/>
      <c r="UU50" s="622">
        <f t="shared" si="78"/>
        <v>0</v>
      </c>
      <c r="UV50" s="622">
        <f t="shared" si="78"/>
        <v>0</v>
      </c>
      <c r="UW50" s="622">
        <f t="shared" si="78"/>
        <v>0</v>
      </c>
      <c r="UY50" s="1659"/>
      <c r="UZ50" s="1839"/>
      <c r="VA50" s="1839"/>
      <c r="VB50" s="1839"/>
      <c r="VC50" s="693"/>
      <c r="VD50" s="1659"/>
      <c r="VE50" s="715"/>
      <c r="VF50" s="715"/>
      <c r="VG50" s="715"/>
      <c r="VH50" s="705"/>
      <c r="VI50" s="1659"/>
      <c r="VJ50" s="1839"/>
      <c r="VK50" s="1839"/>
      <c r="VL50" s="1839"/>
      <c r="VM50" s="705"/>
      <c r="VN50" s="1659"/>
      <c r="VO50" s="1839"/>
      <c r="VP50" s="1839"/>
      <c r="VQ50" s="1839"/>
      <c r="VR50" s="1660"/>
    </row>
    <row r="51" spans="1:590" s="122" customFormat="1" ht="13.45" hidden="1" x14ac:dyDescent="0.3">
      <c r="B51" s="6016" t="s">
        <v>53</v>
      </c>
      <c r="C51" s="6031" t="s">
        <v>56</v>
      </c>
      <c r="D51" s="5989" t="s">
        <v>810</v>
      </c>
      <c r="E51" s="6032">
        <v>44256</v>
      </c>
      <c r="F51" s="6032">
        <v>44620</v>
      </c>
      <c r="G51" s="5965">
        <v>30000</v>
      </c>
      <c r="H51" s="1775"/>
      <c r="I51" s="1776"/>
      <c r="J51" s="1776"/>
      <c r="K51" s="1776"/>
      <c r="L51" s="1777"/>
      <c r="M51" s="1778"/>
      <c r="N51" s="1779"/>
      <c r="O51" s="1779"/>
      <c r="P51" s="1779"/>
      <c r="Q51" s="1780"/>
      <c r="R51" s="1780"/>
      <c r="S51" s="1776"/>
      <c r="T51" s="1776"/>
      <c r="U51" s="1776"/>
      <c r="V51" s="1777"/>
      <c r="W51" s="1776"/>
      <c r="X51" s="1776"/>
      <c r="Y51" s="1781"/>
      <c r="Z51" s="1776"/>
      <c r="AA51" s="1782"/>
      <c r="AB51" s="1781"/>
      <c r="AC51" s="1783"/>
      <c r="AD51" s="1784"/>
      <c r="AE51" s="1776"/>
      <c r="AF51" s="1777"/>
      <c r="AG51" s="1785"/>
      <c r="AH51" s="1776"/>
      <c r="AI51" s="1776"/>
      <c r="AJ51" s="1786"/>
      <c r="AK51" s="1777"/>
      <c r="AL51" s="1785"/>
      <c r="AM51" s="1776"/>
      <c r="AN51" s="1776"/>
      <c r="AO51" s="1781"/>
      <c r="AP51" s="1777"/>
      <c r="AQ51" s="1787"/>
      <c r="AR51" s="1788"/>
      <c r="AS51" s="1788"/>
      <c r="AT51" s="1789"/>
      <c r="AU51" s="1777"/>
      <c r="AV51" s="1790"/>
      <c r="AW51" s="1781"/>
      <c r="AX51" s="1781"/>
      <c r="AY51" s="1781"/>
      <c r="AZ51" s="1777"/>
      <c r="BA51" s="1791"/>
      <c r="BB51" s="1792"/>
      <c r="BC51" s="1783"/>
      <c r="BD51" s="1781"/>
      <c r="BE51" s="1780"/>
      <c r="BF51" s="1790"/>
      <c r="BG51" s="1781"/>
      <c r="BH51" s="1776"/>
      <c r="BI51" s="1781"/>
      <c r="BJ51" s="1793"/>
      <c r="BK51" s="1790"/>
      <c r="BL51" s="1781"/>
      <c r="BM51" s="1776"/>
      <c r="BN51" s="1781"/>
      <c r="BO51" s="1794"/>
      <c r="BP51" s="1795"/>
      <c r="BQ51" s="1796"/>
      <c r="BR51" s="1786"/>
      <c r="BS51" s="1797"/>
      <c r="BT51" s="1798"/>
      <c r="BU51" s="1786"/>
      <c r="BV51" s="1786"/>
      <c r="BW51" s="1799"/>
      <c r="BX51" s="1800"/>
      <c r="BY51" s="1786"/>
      <c r="BZ51" s="1786"/>
      <c r="CA51" s="1801"/>
      <c r="CB51" s="1802"/>
      <c r="CC51" s="1786"/>
      <c r="CD51" s="1786"/>
      <c r="CE51" s="1803"/>
      <c r="CF51" s="1800"/>
      <c r="CG51" s="1776"/>
      <c r="CH51" s="1776"/>
      <c r="CI51" s="1801"/>
      <c r="CJ51" s="1804"/>
      <c r="CK51" s="1776"/>
      <c r="CL51" s="1776"/>
      <c r="CM51" s="1776"/>
      <c r="CN51" s="1799"/>
      <c r="CO51" s="1804"/>
      <c r="CP51" s="1776"/>
      <c r="CQ51" s="1776"/>
      <c r="CR51" s="1776"/>
      <c r="CS51" s="1799"/>
      <c r="CT51" s="1804"/>
      <c r="CU51" s="1776"/>
      <c r="CV51" s="1776"/>
      <c r="CW51" s="1776"/>
      <c r="CX51" s="1799"/>
      <c r="CY51" s="1804"/>
      <c r="CZ51" s="1776"/>
      <c r="DA51" s="1776"/>
      <c r="DB51" s="1776"/>
      <c r="DC51" s="1799"/>
      <c r="DD51" s="1805"/>
      <c r="DE51" s="1806"/>
      <c r="DF51" s="1806"/>
      <c r="DG51" s="1783"/>
      <c r="DH51" s="1807"/>
      <c r="DI51" s="1804"/>
      <c r="DJ51" s="1806"/>
      <c r="DK51" s="1806"/>
      <c r="DL51" s="1776"/>
      <c r="DM51" s="1807"/>
      <c r="DN51" s="1804"/>
      <c r="DO51" s="1776"/>
      <c r="DP51" s="1776"/>
      <c r="DQ51" s="1776"/>
      <c r="DR51" s="1807"/>
      <c r="DS51" s="1808"/>
      <c r="DT51" s="1783"/>
      <c r="DU51" s="1783"/>
      <c r="DV51" s="1776"/>
      <c r="DW51" s="1799"/>
      <c r="DX51" s="1804"/>
      <c r="DY51" s="1776"/>
      <c r="DZ51" s="1776"/>
      <c r="EA51" s="1776"/>
      <c r="EB51" s="1807"/>
      <c r="EC51" s="1804"/>
      <c r="ED51" s="1776"/>
      <c r="EE51" s="1776"/>
      <c r="EF51" s="1786"/>
      <c r="EG51" s="1807"/>
      <c r="EH51" s="1804"/>
      <c r="EI51" s="1776"/>
      <c r="EJ51" s="1776"/>
      <c r="EK51" s="1776"/>
      <c r="EL51" s="1807"/>
      <c r="EM51" s="1804"/>
      <c r="EN51" s="1776"/>
      <c r="EO51" s="1776"/>
      <c r="EP51" s="1776"/>
      <c r="EQ51" s="1807"/>
      <c r="ER51" s="2402">
        <f t="shared" si="38"/>
        <v>0</v>
      </c>
      <c r="ES51" s="2403">
        <f t="shared" si="146"/>
        <v>0</v>
      </c>
      <c r="ET51" s="2403">
        <f t="shared" si="146"/>
        <v>0</v>
      </c>
      <c r="EU51" s="2403">
        <f t="shared" si="146"/>
        <v>0</v>
      </c>
      <c r="EV51" s="2404" t="e">
        <f t="shared" si="40"/>
        <v>#DIV/0!</v>
      </c>
      <c r="EW51" s="1809"/>
      <c r="EX51" s="1810"/>
      <c r="EY51" s="1810"/>
      <c r="EZ51" s="1811"/>
      <c r="FA51" s="1812"/>
      <c r="FB51" s="1810"/>
      <c r="FC51" s="1810"/>
      <c r="FD51" s="1813"/>
      <c r="FE51" s="1814"/>
      <c r="FF51" s="1786"/>
      <c r="FG51" s="1786"/>
      <c r="FH51" s="1815"/>
      <c r="FI51" s="1816"/>
      <c r="FJ51" s="1814"/>
      <c r="FK51" s="1786"/>
      <c r="FL51" s="1786"/>
      <c r="FM51" s="1799"/>
      <c r="FN51" s="1817"/>
      <c r="FO51" s="1818"/>
      <c r="FP51" s="1818"/>
      <c r="FQ51" s="1818"/>
      <c r="FR51" s="1819"/>
      <c r="FS51" s="1820"/>
      <c r="FT51" s="1818"/>
      <c r="FU51" s="1818"/>
      <c r="FV51" s="1818"/>
      <c r="FW51" s="1821"/>
      <c r="FX51" s="1820"/>
      <c r="FY51" s="1822"/>
      <c r="FZ51" s="1822"/>
      <c r="GA51" s="1818"/>
      <c r="GB51" s="1821"/>
      <c r="GC51" s="1823"/>
      <c r="GD51" s="1824"/>
      <c r="GE51" s="1824">
        <v>0</v>
      </c>
      <c r="GF51" s="1818">
        <v>0</v>
      </c>
      <c r="GG51" s="1821"/>
      <c r="GH51" s="1823">
        <v>1</v>
      </c>
      <c r="GI51" s="1824">
        <v>26000</v>
      </c>
      <c r="GJ51" s="1824">
        <v>30000</v>
      </c>
      <c r="GK51" s="1818">
        <f t="shared" si="230"/>
        <v>4000</v>
      </c>
      <c r="GL51" s="1821">
        <f t="shared" si="212"/>
        <v>0.13333333333333333</v>
      </c>
      <c r="GM51" s="1823">
        <v>1</v>
      </c>
      <c r="GN51" s="1824">
        <v>26000</v>
      </c>
      <c r="GO51" s="1824">
        <v>30000</v>
      </c>
      <c r="GP51" s="1818">
        <f t="shared" si="213"/>
        <v>4000</v>
      </c>
      <c r="GQ51" s="1821">
        <f t="shared" si="214"/>
        <v>0.13333333333333333</v>
      </c>
      <c r="GR51" s="1823">
        <v>1</v>
      </c>
      <c r="GS51" s="1824">
        <v>26000</v>
      </c>
      <c r="GT51" s="1824">
        <v>30000</v>
      </c>
      <c r="GU51" s="1818">
        <f t="shared" si="215"/>
        <v>4000</v>
      </c>
      <c r="GV51" s="1821">
        <f t="shared" si="216"/>
        <v>0.13333333333333333</v>
      </c>
      <c r="GW51" s="1823">
        <v>1</v>
      </c>
      <c r="GX51" s="1824">
        <v>26000</v>
      </c>
      <c r="GY51" s="1824">
        <v>30000</v>
      </c>
      <c r="GZ51" s="1818">
        <f t="shared" si="217"/>
        <v>4000</v>
      </c>
      <c r="HA51" s="1821">
        <f t="shared" si="218"/>
        <v>0.13333333333333333</v>
      </c>
      <c r="HB51" s="1823">
        <v>1</v>
      </c>
      <c r="HC51" s="1824">
        <v>26000</v>
      </c>
      <c r="HD51" s="1824">
        <v>30000</v>
      </c>
      <c r="HE51" s="1818">
        <f t="shared" si="147"/>
        <v>4000</v>
      </c>
      <c r="HF51" s="1821">
        <f t="shared" si="148"/>
        <v>0.13333333333333333</v>
      </c>
      <c r="HG51" s="1823">
        <v>1</v>
      </c>
      <c r="HH51" s="1824">
        <v>26000</v>
      </c>
      <c r="HI51" s="1824">
        <v>30000</v>
      </c>
      <c r="HJ51" s="1818">
        <f t="shared" si="149"/>
        <v>4000</v>
      </c>
      <c r="HK51" s="1821">
        <f t="shared" si="150"/>
        <v>0.13333333333333333</v>
      </c>
      <c r="HL51" s="1823">
        <v>1</v>
      </c>
      <c r="HM51" s="1824">
        <v>26000</v>
      </c>
      <c r="HN51" s="1824">
        <v>30000</v>
      </c>
      <c r="HO51" s="1818">
        <f t="shared" si="151"/>
        <v>4000</v>
      </c>
      <c r="HP51" s="1821">
        <f t="shared" si="152"/>
        <v>0.13333333333333333</v>
      </c>
      <c r="HQ51" s="654">
        <v>1</v>
      </c>
      <c r="HR51" s="1248">
        <v>26000</v>
      </c>
      <c r="HS51" s="1248">
        <v>30000</v>
      </c>
      <c r="HT51" s="1248">
        <f t="shared" si="232"/>
        <v>4000</v>
      </c>
      <c r="HU51" s="1826">
        <f t="shared" si="154"/>
        <v>0.13333333333333333</v>
      </c>
      <c r="HV51" s="5941">
        <f t="shared" si="155"/>
        <v>0.66666666666666663</v>
      </c>
      <c r="HW51" s="622">
        <f t="shared" si="156"/>
        <v>208000</v>
      </c>
      <c r="HX51" s="622">
        <f t="shared" si="156"/>
        <v>240000</v>
      </c>
      <c r="HY51" s="622">
        <f t="shared" si="156"/>
        <v>32000</v>
      </c>
      <c r="HZ51" s="1828"/>
      <c r="IA51" s="1829">
        <f t="shared" si="219"/>
        <v>0</v>
      </c>
      <c r="IB51" s="1830">
        <f t="shared" si="220"/>
        <v>0</v>
      </c>
      <c r="IC51" s="1830">
        <f t="shared" si="220"/>
        <v>0</v>
      </c>
      <c r="ID51" s="1831"/>
      <c r="IE51" s="1832">
        <f t="shared" si="222"/>
        <v>0.66666666666666663</v>
      </c>
      <c r="IF51" s="1833">
        <f t="shared" si="223"/>
        <v>60000</v>
      </c>
      <c r="IG51" s="1834">
        <f t="shared" si="223"/>
        <v>8000</v>
      </c>
      <c r="IH51" s="1831">
        <f t="shared" si="224"/>
        <v>0.13333333333333333</v>
      </c>
      <c r="II51" s="1835">
        <f t="shared" si="157"/>
        <v>1</v>
      </c>
      <c r="IJ51" s="1836">
        <f t="shared" si="158"/>
        <v>90000</v>
      </c>
      <c r="IK51" s="1836">
        <f t="shared" si="158"/>
        <v>12000</v>
      </c>
      <c r="IL51" s="239">
        <f t="shared" si="159"/>
        <v>0.13333333333333333</v>
      </c>
      <c r="IM51" s="1837">
        <f t="shared" si="160"/>
        <v>1</v>
      </c>
      <c r="IN51" s="1836">
        <f t="shared" si="161"/>
        <v>90000</v>
      </c>
      <c r="IO51" s="1836">
        <f t="shared" si="161"/>
        <v>12000</v>
      </c>
      <c r="IP51" s="1838">
        <f t="shared" si="162"/>
        <v>0.13333333333333333</v>
      </c>
      <c r="IQ51" s="1839"/>
      <c r="IR51" s="1840">
        <v>1</v>
      </c>
      <c r="IS51" s="1818">
        <v>26000</v>
      </c>
      <c r="IT51" s="1818">
        <v>30000</v>
      </c>
      <c r="IU51" s="1818">
        <f t="shared" si="163"/>
        <v>4000</v>
      </c>
      <c r="IV51" s="1819">
        <f>IU51/IT51</f>
        <v>0.13333333333333333</v>
      </c>
      <c r="IW51" s="1820">
        <v>1</v>
      </c>
      <c r="IX51" s="1818">
        <v>26000</v>
      </c>
      <c r="IY51" s="1818">
        <v>30000</v>
      </c>
      <c r="IZ51" s="1818">
        <f t="shared" si="233"/>
        <v>4000</v>
      </c>
      <c r="JA51" s="1821">
        <f>IZ51/IY51</f>
        <v>0.13333333333333333</v>
      </c>
      <c r="JB51" s="1984">
        <v>1</v>
      </c>
      <c r="JC51" s="1985">
        <v>26000</v>
      </c>
      <c r="JD51" s="1986">
        <v>30000</v>
      </c>
      <c r="JE51" s="1818">
        <f t="shared" si="164"/>
        <v>4000</v>
      </c>
      <c r="JF51" s="1821">
        <f t="shared" si="235"/>
        <v>0.13333333333333333</v>
      </c>
      <c r="JG51" s="1981">
        <v>1</v>
      </c>
      <c r="JH51" s="1824">
        <v>20967.741935483871</v>
      </c>
      <c r="JI51" s="1824">
        <v>30000</v>
      </c>
      <c r="JJ51" s="1822">
        <f t="shared" si="234"/>
        <v>9032.2580645161288</v>
      </c>
      <c r="JK51" s="1821">
        <f>JJ51/JI51</f>
        <v>0.30107526881720431</v>
      </c>
      <c r="JL51" s="1823"/>
      <c r="JM51" s="1824"/>
      <c r="JN51" s="1824"/>
      <c r="JO51" s="1996">
        <f t="shared" si="165"/>
        <v>0</v>
      </c>
      <c r="JP51" s="1821"/>
      <c r="JQ51" s="6013"/>
      <c r="JR51" s="1982"/>
      <c r="JS51" s="1248"/>
      <c r="JT51" s="1996"/>
      <c r="JU51" s="1821"/>
      <c r="JV51" s="1981"/>
      <c r="JW51" s="1824"/>
      <c r="JX51" s="1248"/>
      <c r="JY51" s="1996"/>
      <c r="JZ51" s="1821"/>
      <c r="KA51" s="1981"/>
      <c r="KB51" s="1248">
        <v>0</v>
      </c>
      <c r="KC51" s="1982"/>
      <c r="KD51" s="1983">
        <f t="shared" si="231"/>
        <v>0</v>
      </c>
      <c r="KE51" s="1952"/>
      <c r="KF51" s="2410"/>
      <c r="KG51" s="1904">
        <v>0</v>
      </c>
      <c r="KH51" s="6063">
        <v>0</v>
      </c>
      <c r="KI51" s="1818">
        <f t="shared" si="227"/>
        <v>0</v>
      </c>
      <c r="KJ51" s="1821"/>
      <c r="KK51" s="1990"/>
      <c r="KL51" s="1904"/>
      <c r="KM51" s="1904"/>
      <c r="KN51" s="2023">
        <f t="shared" si="130"/>
        <v>0</v>
      </c>
      <c r="KO51" s="2024"/>
      <c r="KP51" s="1823"/>
      <c r="KQ51" s="1982"/>
      <c r="KR51" s="1248"/>
      <c r="KS51" s="1996">
        <f t="shared" ref="KS51:KS61" si="236">KR51-KQ51</f>
        <v>0</v>
      </c>
      <c r="KT51" s="1819"/>
      <c r="KU51" s="1905"/>
      <c r="KV51" s="1248"/>
      <c r="KW51" s="1248"/>
      <c r="KX51" s="1248">
        <f t="shared" si="145"/>
        <v>0</v>
      </c>
      <c r="KY51" s="77"/>
      <c r="KZ51" s="1832"/>
      <c r="LA51" s="622">
        <f t="shared" si="144"/>
        <v>98967.741935483878</v>
      </c>
      <c r="LB51" s="622">
        <f t="shared" si="144"/>
        <v>120000</v>
      </c>
      <c r="LC51" s="622">
        <f t="shared" si="144"/>
        <v>21032.258064516129</v>
      </c>
      <c r="LD51" s="239">
        <f>LC51/LB51</f>
        <v>0.17526881720430107</v>
      </c>
      <c r="LE51" s="1834">
        <f t="shared" si="71"/>
        <v>1</v>
      </c>
      <c r="LF51" s="1830">
        <f t="shared" si="167"/>
        <v>90000</v>
      </c>
      <c r="LG51" s="1830">
        <f t="shared" si="167"/>
        <v>12000</v>
      </c>
      <c r="LH51" s="1831">
        <f t="shared" si="168"/>
        <v>0.13333333333333333</v>
      </c>
      <c r="LI51" s="1832">
        <f t="shared" si="132"/>
        <v>0.33333333333333331</v>
      </c>
      <c r="LJ51" s="1833">
        <f t="shared" si="133"/>
        <v>30000</v>
      </c>
      <c r="LK51" s="1834">
        <f t="shared" si="133"/>
        <v>9032.2580645161288</v>
      </c>
      <c r="LL51" s="1831">
        <f t="shared" si="169"/>
        <v>0.30107526881720431</v>
      </c>
      <c r="LM51" s="1835">
        <f t="shared" si="135"/>
        <v>0</v>
      </c>
      <c r="LN51" s="1836">
        <f t="shared" si="136"/>
        <v>0</v>
      </c>
      <c r="LO51" s="1836">
        <f t="shared" si="136"/>
        <v>0</v>
      </c>
      <c r="LP51" s="239"/>
      <c r="LQ51" s="1837">
        <f t="shared" si="140"/>
        <v>0</v>
      </c>
      <c r="LR51" s="1836">
        <f t="shared" si="229"/>
        <v>0</v>
      </c>
      <c r="LS51" s="1836">
        <f t="shared" si="229"/>
        <v>0</v>
      </c>
      <c r="LT51" s="1838"/>
      <c r="LV51" s="3645"/>
      <c r="LW51" s="2897"/>
      <c r="LX51" s="2897"/>
      <c r="LY51" s="2589">
        <f t="shared" si="137"/>
        <v>0</v>
      </c>
      <c r="LZ51" s="77"/>
      <c r="MF51" s="5880"/>
      <c r="MG51" s="4965"/>
      <c r="MH51" s="4965"/>
      <c r="MI51" s="1839"/>
      <c r="MJ51" s="207" t="e">
        <f t="shared" si="170"/>
        <v>#DIV/0!</v>
      </c>
      <c r="MK51" s="5881"/>
      <c r="MN51" s="372">
        <f t="shared" si="12"/>
        <v>0</v>
      </c>
      <c r="MP51" s="5881"/>
      <c r="MQ51" s="1839"/>
      <c r="MR51" s="1839"/>
      <c r="MS51" s="1839"/>
      <c r="MT51" s="693"/>
      <c r="MU51" s="2035"/>
      <c r="MV51" s="1914"/>
      <c r="MW51" s="1914"/>
      <c r="MX51" s="1914"/>
      <c r="MY51" s="5882"/>
      <c r="MZ51" s="1659"/>
      <c r="NA51" s="1839"/>
      <c r="NB51" s="1839"/>
      <c r="NC51" s="1839"/>
      <c r="ND51" s="1839"/>
      <c r="NO51" s="5883"/>
      <c r="NP51" s="2425"/>
      <c r="NQ51" s="2425"/>
      <c r="NR51" s="5883"/>
      <c r="NT51" s="1839"/>
      <c r="NU51" s="1839"/>
      <c r="NV51" s="715"/>
      <c r="NW51" s="1839"/>
      <c r="NX51" s="1660"/>
      <c r="NY51" s="1659"/>
      <c r="NZ51" s="715"/>
      <c r="OA51" s="715"/>
      <c r="OB51" s="1839"/>
      <c r="OC51" s="1660"/>
      <c r="OE51" s="5885"/>
      <c r="OF51" s="5885"/>
      <c r="OG51" s="715"/>
      <c r="OH51" s="1660"/>
      <c r="OI51" s="1659"/>
      <c r="OJ51" s="1839"/>
      <c r="OK51" s="1839"/>
      <c r="OL51" s="1839"/>
      <c r="OM51" s="693"/>
      <c r="ON51" s="1659"/>
      <c r="OO51" s="715"/>
      <c r="OP51" s="715"/>
      <c r="OQ51" s="715"/>
      <c r="OR51" s="705"/>
      <c r="OS51" s="1659"/>
      <c r="OT51" s="1839"/>
      <c r="OU51" s="1839"/>
      <c r="OV51" s="1839"/>
      <c r="OW51" s="705"/>
      <c r="OX51" s="1659"/>
      <c r="OY51" s="1839"/>
      <c r="OZ51" s="1839"/>
      <c r="PA51" s="1839"/>
      <c r="PB51" s="1660"/>
      <c r="PD51" s="3645"/>
      <c r="PE51" s="2897"/>
      <c r="PF51" s="2897"/>
      <c r="PG51" s="2589">
        <f t="shared" si="138"/>
        <v>0</v>
      </c>
      <c r="PH51" s="77"/>
      <c r="PN51" s="5880"/>
      <c r="PO51" s="4965"/>
      <c r="PP51" s="4965"/>
      <c r="PQ51" s="1839"/>
      <c r="PR51" s="207" t="e">
        <f t="shared" si="171"/>
        <v>#DIV/0!</v>
      </c>
      <c r="PS51" s="5886"/>
      <c r="PT51" s="5883"/>
      <c r="PU51" s="5883"/>
      <c r="PV51" s="2892">
        <f t="shared" si="13"/>
        <v>0</v>
      </c>
      <c r="PW51" s="5883"/>
      <c r="PX51" s="5881"/>
      <c r="PY51" s="1839"/>
      <c r="PZ51" s="1839"/>
      <c r="QA51" s="1839"/>
      <c r="QB51" s="693"/>
      <c r="QC51" s="2035"/>
      <c r="QD51" s="1914"/>
      <c r="QE51" s="1914"/>
      <c r="QF51" s="1914"/>
      <c r="QG51" s="5882"/>
      <c r="QH51" s="1910"/>
      <c r="QI51" s="1839"/>
      <c r="QJ51" s="1839"/>
      <c r="QK51" s="1839"/>
      <c r="QL51" s="1839"/>
      <c r="QM51" s="5880"/>
      <c r="QR51" s="5883"/>
      <c r="QS51" s="5883"/>
      <c r="QT51" s="5883"/>
      <c r="QU51" s="5883"/>
      <c r="QV51" s="1677"/>
      <c r="QW51" s="5883"/>
      <c r="QX51" s="2425"/>
      <c r="QY51" s="2425"/>
      <c r="QZ51" s="5883"/>
      <c r="RA51" s="5883"/>
      <c r="RB51" s="1839"/>
      <c r="RC51" s="1839"/>
      <c r="RD51" s="715"/>
      <c r="RE51" s="1839"/>
      <c r="RF51" s="1660"/>
      <c r="RG51" s="2037"/>
      <c r="RH51" s="1914"/>
      <c r="RI51" s="1914"/>
      <c r="RJ51" s="5882"/>
      <c r="RK51" s="1660"/>
      <c r="RL51" s="5883"/>
      <c r="RM51" s="1873">
        <f t="shared" si="77"/>
        <v>0</v>
      </c>
      <c r="RN51" s="1873">
        <f t="shared" si="77"/>
        <v>0</v>
      </c>
      <c r="RO51" s="1873">
        <f t="shared" si="77"/>
        <v>0</v>
      </c>
      <c r="RP51" s="5883"/>
      <c r="RQ51" s="1659"/>
      <c r="RR51" s="1839"/>
      <c r="RS51" s="1839"/>
      <c r="RT51" s="1839"/>
      <c r="RU51" s="693"/>
      <c r="RV51" s="1659"/>
      <c r="RW51" s="715"/>
      <c r="RX51" s="715"/>
      <c r="RY51" s="715"/>
      <c r="RZ51" s="705"/>
      <c r="SA51" s="1659"/>
      <c r="SB51" s="1839"/>
      <c r="SC51" s="1839"/>
      <c r="SD51" s="1839"/>
      <c r="SE51" s="705"/>
      <c r="SF51" s="1659"/>
      <c r="SG51" s="1839"/>
      <c r="SH51" s="1839"/>
      <c r="SI51" s="1839"/>
      <c r="SJ51" s="1660"/>
      <c r="SL51" s="3645"/>
      <c r="SM51" s="2897"/>
      <c r="SN51" s="2897"/>
      <c r="SO51" s="6029">
        <f t="shared" si="139"/>
        <v>0</v>
      </c>
      <c r="SP51" s="6056"/>
      <c r="SQ51" s="5883"/>
      <c r="SR51" s="5883"/>
      <c r="SS51" s="5883"/>
      <c r="ST51" s="5883"/>
      <c r="SU51" s="5883"/>
      <c r="SV51" s="5880"/>
      <c r="SW51" s="4965"/>
      <c r="SX51" s="4965"/>
      <c r="SY51" s="1839"/>
      <c r="SZ51" s="207" t="e">
        <f t="shared" si="172"/>
        <v>#DIV/0!</v>
      </c>
      <c r="TA51" s="5881"/>
      <c r="TD51" s="372">
        <f t="shared" si="14"/>
        <v>0</v>
      </c>
      <c r="TF51" s="5881"/>
      <c r="TG51" s="1839"/>
      <c r="TH51" s="1839"/>
      <c r="TI51" s="1839"/>
      <c r="TJ51" s="693"/>
      <c r="TK51" s="2035"/>
      <c r="TL51" s="1914"/>
      <c r="TM51" s="1914"/>
      <c r="TN51" s="1914"/>
      <c r="TO51" s="5882"/>
      <c r="TP51" s="2407"/>
      <c r="TQ51" s="1839"/>
      <c r="TR51" s="1839"/>
      <c r="TS51" s="1839"/>
      <c r="TT51" s="1839"/>
      <c r="TU51" s="5889"/>
      <c r="TV51" s="5883"/>
      <c r="TW51" s="5883"/>
      <c r="TX51" s="5883"/>
      <c r="TY51" s="5883"/>
      <c r="TZ51" s="5883"/>
      <c r="UA51" s="5883"/>
      <c r="UB51" s="5883"/>
      <c r="UC51" s="5883"/>
      <c r="UD51" s="1677"/>
      <c r="UE51" s="5883"/>
      <c r="UF51" s="2425"/>
      <c r="UG51" s="2425"/>
      <c r="UH51" s="5883"/>
      <c r="UI51" s="5883"/>
      <c r="UJ51" s="1839"/>
      <c r="UK51" s="1839"/>
      <c r="UL51" s="715"/>
      <c r="UM51" s="1839"/>
      <c r="UN51" s="1660"/>
      <c r="UO51" s="2037"/>
      <c r="UP51" s="1914"/>
      <c r="UQ51" s="1914"/>
      <c r="UR51" s="5882"/>
      <c r="US51" s="1660"/>
      <c r="UU51" s="622">
        <f t="shared" si="78"/>
        <v>0</v>
      </c>
      <c r="UV51" s="622">
        <f t="shared" si="78"/>
        <v>0</v>
      </c>
      <c r="UW51" s="622">
        <f t="shared" si="78"/>
        <v>0</v>
      </c>
      <c r="UY51" s="1659"/>
      <c r="UZ51" s="1839"/>
      <c r="VA51" s="1839"/>
      <c r="VB51" s="1839"/>
      <c r="VC51" s="693"/>
      <c r="VD51" s="1659"/>
      <c r="VE51" s="715"/>
      <c r="VF51" s="715"/>
      <c r="VG51" s="715"/>
      <c r="VH51" s="705"/>
      <c r="VI51" s="1659"/>
      <c r="VJ51" s="1839"/>
      <c r="VK51" s="1839"/>
      <c r="VL51" s="1839"/>
      <c r="VM51" s="705"/>
      <c r="VN51" s="1659"/>
      <c r="VO51" s="1839"/>
      <c r="VP51" s="1839"/>
      <c r="VQ51" s="1839"/>
      <c r="VR51" s="1660"/>
    </row>
    <row r="52" spans="1:590" s="122" customFormat="1" ht="13.45" hidden="1" x14ac:dyDescent="0.3">
      <c r="B52" s="6016" t="s">
        <v>53</v>
      </c>
      <c r="C52" s="6031" t="s">
        <v>811</v>
      </c>
      <c r="D52" s="5989" t="s">
        <v>812</v>
      </c>
      <c r="E52" s="6032">
        <v>43971</v>
      </c>
      <c r="F52" s="6032">
        <v>44335</v>
      </c>
      <c r="G52" s="5965">
        <v>315000</v>
      </c>
      <c r="H52" s="1775"/>
      <c r="I52" s="1776"/>
      <c r="J52" s="1776"/>
      <c r="K52" s="1776"/>
      <c r="L52" s="1777"/>
      <c r="M52" s="1778"/>
      <c r="N52" s="1779"/>
      <c r="O52" s="1779"/>
      <c r="P52" s="1779"/>
      <c r="Q52" s="1780"/>
      <c r="R52" s="1780"/>
      <c r="S52" s="1776"/>
      <c r="T52" s="1776"/>
      <c r="U52" s="1776"/>
      <c r="V52" s="1777"/>
      <c r="W52" s="1776"/>
      <c r="X52" s="1776"/>
      <c r="Y52" s="1781"/>
      <c r="Z52" s="1776"/>
      <c r="AA52" s="1782"/>
      <c r="AB52" s="1781"/>
      <c r="AC52" s="1783"/>
      <c r="AD52" s="1784"/>
      <c r="AE52" s="1776"/>
      <c r="AF52" s="1777"/>
      <c r="AG52" s="1785"/>
      <c r="AH52" s="1776"/>
      <c r="AI52" s="1776"/>
      <c r="AJ52" s="1786"/>
      <c r="AK52" s="1777"/>
      <c r="AL52" s="1785"/>
      <c r="AM52" s="1776"/>
      <c r="AN52" s="1776"/>
      <c r="AO52" s="1781"/>
      <c r="AP52" s="1777"/>
      <c r="AQ52" s="1787"/>
      <c r="AR52" s="1788"/>
      <c r="AS52" s="1788"/>
      <c r="AT52" s="1789"/>
      <c r="AU52" s="1777"/>
      <c r="AV52" s="1790"/>
      <c r="AW52" s="1781"/>
      <c r="AX52" s="1781"/>
      <c r="AY52" s="1781"/>
      <c r="AZ52" s="1777"/>
      <c r="BA52" s="1791"/>
      <c r="BB52" s="1792"/>
      <c r="BC52" s="1783"/>
      <c r="BD52" s="1781"/>
      <c r="BE52" s="1780"/>
      <c r="BF52" s="1790"/>
      <c r="BG52" s="1781"/>
      <c r="BH52" s="1776"/>
      <c r="BI52" s="1781"/>
      <c r="BJ52" s="1793"/>
      <c r="BK52" s="1790"/>
      <c r="BL52" s="1781"/>
      <c r="BM52" s="1776"/>
      <c r="BN52" s="1781"/>
      <c r="BO52" s="1794"/>
      <c r="BP52" s="1795"/>
      <c r="BQ52" s="1796"/>
      <c r="BR52" s="1786"/>
      <c r="BS52" s="1797"/>
      <c r="BT52" s="1798"/>
      <c r="BU52" s="1786"/>
      <c r="BV52" s="1786"/>
      <c r="BW52" s="1799"/>
      <c r="BX52" s="1800"/>
      <c r="BY52" s="1786"/>
      <c r="BZ52" s="1786"/>
      <c r="CA52" s="1801"/>
      <c r="CB52" s="1802"/>
      <c r="CC52" s="1786"/>
      <c r="CD52" s="1786"/>
      <c r="CE52" s="1803"/>
      <c r="CF52" s="1800"/>
      <c r="CG52" s="1776"/>
      <c r="CH52" s="1776"/>
      <c r="CI52" s="1801"/>
      <c r="CJ52" s="1804"/>
      <c r="CK52" s="1776"/>
      <c r="CL52" s="1776"/>
      <c r="CM52" s="1776"/>
      <c r="CN52" s="1799"/>
      <c r="CO52" s="1804"/>
      <c r="CP52" s="1776"/>
      <c r="CQ52" s="1776"/>
      <c r="CR52" s="1776"/>
      <c r="CS52" s="1799"/>
      <c r="CT52" s="1804"/>
      <c r="CU52" s="1776"/>
      <c r="CV52" s="1776"/>
      <c r="CW52" s="1776"/>
      <c r="CX52" s="1799"/>
      <c r="CY52" s="1804"/>
      <c r="CZ52" s="1776"/>
      <c r="DA52" s="1776"/>
      <c r="DB52" s="1776"/>
      <c r="DC52" s="1799"/>
      <c r="DD52" s="1805"/>
      <c r="DE52" s="1806"/>
      <c r="DF52" s="1806"/>
      <c r="DG52" s="1783"/>
      <c r="DH52" s="1807"/>
      <c r="DI52" s="1804"/>
      <c r="DJ52" s="1806"/>
      <c r="DK52" s="1806"/>
      <c r="DL52" s="1776"/>
      <c r="DM52" s="1807"/>
      <c r="DN52" s="1804"/>
      <c r="DO52" s="1776"/>
      <c r="DP52" s="1776"/>
      <c r="DQ52" s="1776"/>
      <c r="DR52" s="1807"/>
      <c r="DS52" s="1808"/>
      <c r="DT52" s="1783"/>
      <c r="DU52" s="1783"/>
      <c r="DV52" s="1776"/>
      <c r="DW52" s="1799"/>
      <c r="DX52" s="1804"/>
      <c r="DY52" s="1776"/>
      <c r="DZ52" s="1776"/>
      <c r="EA52" s="1776"/>
      <c r="EB52" s="1807"/>
      <c r="EC52" s="1804"/>
      <c r="ED52" s="1776"/>
      <c r="EE52" s="1776"/>
      <c r="EF52" s="1786"/>
      <c r="EG52" s="1807"/>
      <c r="EH52" s="1804"/>
      <c r="EI52" s="1776"/>
      <c r="EJ52" s="1776"/>
      <c r="EK52" s="1776"/>
      <c r="EL52" s="1807"/>
      <c r="EM52" s="1804"/>
      <c r="EN52" s="1776"/>
      <c r="EO52" s="1776"/>
      <c r="EP52" s="1776"/>
      <c r="EQ52" s="1807"/>
      <c r="ER52" s="2402">
        <f t="shared" si="38"/>
        <v>0</v>
      </c>
      <c r="ES52" s="2403">
        <f t="shared" si="146"/>
        <v>0</v>
      </c>
      <c r="ET52" s="2403">
        <f t="shared" si="146"/>
        <v>0</v>
      </c>
      <c r="EU52" s="2403">
        <f t="shared" si="146"/>
        <v>0</v>
      </c>
      <c r="EV52" s="2404" t="e">
        <f t="shared" si="40"/>
        <v>#DIV/0!</v>
      </c>
      <c r="EW52" s="1809"/>
      <c r="EX52" s="1810"/>
      <c r="EY52" s="1810"/>
      <c r="EZ52" s="1811"/>
      <c r="FA52" s="1812"/>
      <c r="FB52" s="1810"/>
      <c r="FC52" s="1810"/>
      <c r="FD52" s="1813"/>
      <c r="FE52" s="1814"/>
      <c r="FF52" s="1786"/>
      <c r="FG52" s="1786"/>
      <c r="FH52" s="1815"/>
      <c r="FI52" s="1816"/>
      <c r="FJ52" s="1814"/>
      <c r="FK52" s="1786"/>
      <c r="FL52" s="1786"/>
      <c r="FM52" s="1799"/>
      <c r="FN52" s="1817"/>
      <c r="FO52" s="1818"/>
      <c r="FP52" s="1818"/>
      <c r="FQ52" s="1818"/>
      <c r="FR52" s="1819"/>
      <c r="FS52" s="1820"/>
      <c r="FT52" s="1818"/>
      <c r="FU52" s="1818"/>
      <c r="FV52" s="1818"/>
      <c r="FW52" s="1821"/>
      <c r="FX52" s="1820"/>
      <c r="FY52" s="1822">
        <v>0</v>
      </c>
      <c r="FZ52" s="1822">
        <v>0</v>
      </c>
      <c r="GA52" s="1818">
        <v>0</v>
      </c>
      <c r="GB52" s="1821"/>
      <c r="GC52" s="1823">
        <v>4</v>
      </c>
      <c r="GD52" s="1824">
        <v>169481</v>
      </c>
      <c r="GE52" s="1824">
        <v>315000</v>
      </c>
      <c r="GF52" s="1818">
        <f>GE52-GD52</f>
        <v>145519</v>
      </c>
      <c r="GG52" s="1821">
        <f>GF52/GE52</f>
        <v>0.46196507936507936</v>
      </c>
      <c r="GH52" s="1823">
        <v>5</v>
      </c>
      <c r="GI52" s="1824">
        <v>239999</v>
      </c>
      <c r="GJ52" s="1824">
        <v>315000</v>
      </c>
      <c r="GK52" s="1818">
        <f t="shared" si="230"/>
        <v>75001</v>
      </c>
      <c r="GL52" s="1821">
        <f t="shared" si="212"/>
        <v>0.2380984126984127</v>
      </c>
      <c r="GM52" s="1823">
        <v>5</v>
      </c>
      <c r="GN52" s="1824">
        <v>238398</v>
      </c>
      <c r="GO52" s="1824">
        <v>315000</v>
      </c>
      <c r="GP52" s="1818">
        <f t="shared" si="213"/>
        <v>76602</v>
      </c>
      <c r="GQ52" s="1821">
        <f t="shared" si="214"/>
        <v>0.24318095238095239</v>
      </c>
      <c r="GR52" s="1823">
        <v>6</v>
      </c>
      <c r="GS52" s="1824">
        <v>268637</v>
      </c>
      <c r="GT52" s="1824">
        <v>315000</v>
      </c>
      <c r="GU52" s="1818">
        <f t="shared" si="215"/>
        <v>46363</v>
      </c>
      <c r="GV52" s="1821">
        <f t="shared" si="216"/>
        <v>0.14718412698412697</v>
      </c>
      <c r="GW52" s="1823">
        <v>6</v>
      </c>
      <c r="GX52" s="1824">
        <v>270214</v>
      </c>
      <c r="GY52" s="1824">
        <v>315000</v>
      </c>
      <c r="GZ52" s="1818">
        <f t="shared" si="217"/>
        <v>44786</v>
      </c>
      <c r="HA52" s="1821">
        <f t="shared" si="218"/>
        <v>0.14217777777777776</v>
      </c>
      <c r="HB52" s="1823">
        <v>6</v>
      </c>
      <c r="HC52" s="1824">
        <v>274999</v>
      </c>
      <c r="HD52" s="1824">
        <v>315000</v>
      </c>
      <c r="HE52" s="1818">
        <f t="shared" si="147"/>
        <v>40001</v>
      </c>
      <c r="HF52" s="1821">
        <f t="shared" si="148"/>
        <v>0.12698730158730159</v>
      </c>
      <c r="HG52" s="1823">
        <v>6</v>
      </c>
      <c r="HH52" s="1824">
        <v>256382</v>
      </c>
      <c r="HI52" s="1824">
        <v>315000</v>
      </c>
      <c r="HJ52" s="1818">
        <f t="shared" si="149"/>
        <v>58618</v>
      </c>
      <c r="HK52" s="1821">
        <f t="shared" si="150"/>
        <v>0.18608888888888889</v>
      </c>
      <c r="HL52" s="1823">
        <v>5</v>
      </c>
      <c r="HM52" s="1824">
        <v>223511</v>
      </c>
      <c r="HN52" s="1824">
        <v>315000</v>
      </c>
      <c r="HO52" s="1818">
        <f t="shared" si="151"/>
        <v>91489</v>
      </c>
      <c r="HP52" s="1821">
        <f t="shared" si="152"/>
        <v>0.29044126984126983</v>
      </c>
      <c r="HQ52" s="654">
        <v>5</v>
      </c>
      <c r="HR52" s="1248">
        <v>224999</v>
      </c>
      <c r="HS52" s="1248">
        <v>315000</v>
      </c>
      <c r="HT52" s="1248">
        <f t="shared" si="232"/>
        <v>90001</v>
      </c>
      <c r="HU52" s="1826">
        <f t="shared" si="154"/>
        <v>0.28571746031746031</v>
      </c>
      <c r="HV52" s="5941">
        <f t="shared" si="155"/>
        <v>4</v>
      </c>
      <c r="HW52" s="622">
        <f t="shared" si="156"/>
        <v>2166620</v>
      </c>
      <c r="HX52" s="622">
        <f t="shared" si="156"/>
        <v>2835000</v>
      </c>
      <c r="HY52" s="622">
        <f t="shared" si="156"/>
        <v>668380</v>
      </c>
      <c r="HZ52" s="1828"/>
      <c r="IA52" s="1829">
        <f t="shared" si="219"/>
        <v>0</v>
      </c>
      <c r="IB52" s="1830">
        <f t="shared" si="220"/>
        <v>0</v>
      </c>
      <c r="IC52" s="1830">
        <f t="shared" si="220"/>
        <v>0</v>
      </c>
      <c r="ID52" s="1831"/>
      <c r="IE52" s="1832">
        <f t="shared" si="222"/>
        <v>4.666666666666667</v>
      </c>
      <c r="IF52" s="1833">
        <f t="shared" si="223"/>
        <v>945000</v>
      </c>
      <c r="IG52" s="1834">
        <f t="shared" si="223"/>
        <v>297122</v>
      </c>
      <c r="IH52" s="1831">
        <f t="shared" si="224"/>
        <v>0.31441481481481481</v>
      </c>
      <c r="II52" s="1835">
        <f t="shared" si="157"/>
        <v>6</v>
      </c>
      <c r="IJ52" s="1836">
        <f t="shared" si="158"/>
        <v>945000</v>
      </c>
      <c r="IK52" s="1836">
        <f t="shared" si="158"/>
        <v>131150</v>
      </c>
      <c r="IL52" s="239">
        <f t="shared" si="159"/>
        <v>0.13878306878306879</v>
      </c>
      <c r="IM52" s="1837">
        <f t="shared" si="160"/>
        <v>5.666666666666667</v>
      </c>
      <c r="IN52" s="1836">
        <f t="shared" si="161"/>
        <v>945000</v>
      </c>
      <c r="IO52" s="1836">
        <f t="shared" si="161"/>
        <v>240108</v>
      </c>
      <c r="IP52" s="1838">
        <f t="shared" si="162"/>
        <v>0.25408253968253969</v>
      </c>
      <c r="IQ52" s="1839"/>
      <c r="IR52" s="1840">
        <v>5</v>
      </c>
      <c r="IS52" s="1818">
        <v>224999</v>
      </c>
      <c r="IT52" s="1818">
        <v>315000</v>
      </c>
      <c r="IU52" s="1818">
        <f t="shared" si="163"/>
        <v>90001</v>
      </c>
      <c r="IV52" s="1819">
        <f>IU52/IT52</f>
        <v>0.28571746031746031</v>
      </c>
      <c r="IW52" s="1820">
        <v>5</v>
      </c>
      <c r="IX52" s="1818">
        <v>210322</v>
      </c>
      <c r="IY52" s="1818">
        <v>302809.5</v>
      </c>
      <c r="IZ52" s="1818">
        <f t="shared" si="233"/>
        <v>92487.5</v>
      </c>
      <c r="JA52" s="1821">
        <f>IZ52/IY52</f>
        <v>0.30543130251858014</v>
      </c>
      <c r="JB52" s="1984">
        <v>3</v>
      </c>
      <c r="JC52" s="1985">
        <v>144166</v>
      </c>
      <c r="JD52" s="1986">
        <v>283500</v>
      </c>
      <c r="JE52" s="1818">
        <f t="shared" si="164"/>
        <v>139334</v>
      </c>
      <c r="JF52" s="1821">
        <f t="shared" si="235"/>
        <v>0.49147795414462081</v>
      </c>
      <c r="JG52" s="1981"/>
      <c r="JH52" s="1824"/>
      <c r="JI52" s="1824"/>
      <c r="JJ52" s="1822">
        <f t="shared" si="234"/>
        <v>0</v>
      </c>
      <c r="JK52" s="1821"/>
      <c r="JL52" s="1823"/>
      <c r="JM52" s="1824"/>
      <c r="JN52" s="1824"/>
      <c r="JO52" s="1996">
        <f t="shared" si="165"/>
        <v>0</v>
      </c>
      <c r="JP52" s="1821"/>
      <c r="JQ52" s="6013"/>
      <c r="JR52" s="1982"/>
      <c r="JS52" s="1248"/>
      <c r="JT52" s="1996"/>
      <c r="JU52" s="1821"/>
      <c r="JV52" s="1981"/>
      <c r="JW52" s="1824"/>
      <c r="JX52" s="1248"/>
      <c r="JY52" s="1996"/>
      <c r="JZ52" s="1821"/>
      <c r="KA52" s="1981"/>
      <c r="KB52" s="1248">
        <v>0</v>
      </c>
      <c r="KC52" s="1982">
        <v>0</v>
      </c>
      <c r="KD52" s="1983">
        <f t="shared" si="231"/>
        <v>0</v>
      </c>
      <c r="KE52" s="1952"/>
      <c r="KF52" s="2410"/>
      <c r="KG52" s="1248">
        <v>0</v>
      </c>
      <c r="KH52" s="6063">
        <v>0</v>
      </c>
      <c r="KI52" s="1818">
        <f t="shared" si="227"/>
        <v>0</v>
      </c>
      <c r="KJ52" s="1821"/>
      <c r="KK52" s="1990"/>
      <c r="KL52" s="1904"/>
      <c r="KM52" s="1904"/>
      <c r="KN52" s="2023">
        <f t="shared" si="130"/>
        <v>0</v>
      </c>
      <c r="KO52" s="2024"/>
      <c r="KP52" s="1823"/>
      <c r="KQ52" s="1982"/>
      <c r="KR52" s="1248"/>
      <c r="KS52" s="1996">
        <f t="shared" si="236"/>
        <v>0</v>
      </c>
      <c r="KT52" s="1819"/>
      <c r="KU52" s="1905"/>
      <c r="KV52" s="1248"/>
      <c r="KW52" s="1248"/>
      <c r="KX52" s="1248">
        <f t="shared" si="145"/>
        <v>0</v>
      </c>
      <c r="KY52" s="77"/>
      <c r="KZ52" s="1832"/>
      <c r="LA52" s="622">
        <f t="shared" si="144"/>
        <v>579487</v>
      </c>
      <c r="LB52" s="622">
        <f t="shared" si="144"/>
        <v>901309.5</v>
      </c>
      <c r="LC52" s="622">
        <f t="shared" si="144"/>
        <v>321822.5</v>
      </c>
      <c r="LD52" s="239">
        <f>LC52/LB52</f>
        <v>0.357061031754353</v>
      </c>
      <c r="LE52" s="1834">
        <f t="shared" si="71"/>
        <v>4.333333333333333</v>
      </c>
      <c r="LF52" s="1830">
        <f t="shared" si="167"/>
        <v>901309.5</v>
      </c>
      <c r="LG52" s="1830">
        <f t="shared" si="167"/>
        <v>321822.5</v>
      </c>
      <c r="LH52" s="1831">
        <f t="shared" si="168"/>
        <v>0.357061031754353</v>
      </c>
      <c r="LI52" s="1832">
        <f t="shared" si="132"/>
        <v>0</v>
      </c>
      <c r="LJ52" s="1833">
        <f t="shared" si="133"/>
        <v>0</v>
      </c>
      <c r="LK52" s="1834">
        <f t="shared" si="133"/>
        <v>0</v>
      </c>
      <c r="LL52" s="1831" t="e">
        <f t="shared" si="169"/>
        <v>#DIV/0!</v>
      </c>
      <c r="LM52" s="1835">
        <f t="shared" si="135"/>
        <v>0</v>
      </c>
      <c r="LN52" s="1836">
        <f t="shared" si="136"/>
        <v>0</v>
      </c>
      <c r="LO52" s="1836">
        <f t="shared" si="136"/>
        <v>0</v>
      </c>
      <c r="LP52" s="239"/>
      <c r="LQ52" s="1837">
        <f t="shared" si="140"/>
        <v>0</v>
      </c>
      <c r="LR52" s="1836">
        <f t="shared" si="229"/>
        <v>0</v>
      </c>
      <c r="LS52" s="1836">
        <f t="shared" si="229"/>
        <v>0</v>
      </c>
      <c r="LT52" s="1838"/>
      <c r="LV52" s="3645"/>
      <c r="LW52" s="2897"/>
      <c r="LX52" s="2897"/>
      <c r="LY52" s="2589">
        <f t="shared" si="137"/>
        <v>0</v>
      </c>
      <c r="LZ52" s="77"/>
      <c r="MF52" s="5880"/>
      <c r="MG52" s="4965"/>
      <c r="MH52" s="4965"/>
      <c r="MI52" s="1839"/>
      <c r="MJ52" s="207" t="e">
        <f t="shared" si="170"/>
        <v>#DIV/0!</v>
      </c>
      <c r="MK52" s="5881"/>
      <c r="MN52" s="372">
        <f t="shared" si="12"/>
        <v>0</v>
      </c>
      <c r="MP52" s="5881"/>
      <c r="MQ52" s="1839"/>
      <c r="MR52" s="1839"/>
      <c r="MS52" s="1839"/>
      <c r="MT52" s="693"/>
      <c r="MU52" s="2035"/>
      <c r="MV52" s="1914"/>
      <c r="MW52" s="1914"/>
      <c r="MX52" s="1914"/>
      <c r="MY52" s="5882"/>
      <c r="MZ52" s="1659"/>
      <c r="NA52" s="1839"/>
      <c r="NB52" s="1839"/>
      <c r="NC52" s="1839"/>
      <c r="ND52" s="1839"/>
      <c r="NO52" s="5883"/>
      <c r="NP52" s="2425"/>
      <c r="NQ52" s="2425"/>
      <c r="NR52" s="5883"/>
      <c r="NT52" s="1839"/>
      <c r="NU52" s="1839"/>
      <c r="NV52" s="715"/>
      <c r="NW52" s="1839"/>
      <c r="NX52" s="1660"/>
      <c r="NY52" s="1659"/>
      <c r="NZ52" s="715"/>
      <c r="OA52" s="715"/>
      <c r="OB52" s="1839"/>
      <c r="OC52" s="1660"/>
      <c r="OE52" s="5885"/>
      <c r="OF52" s="5885"/>
      <c r="OG52" s="715"/>
      <c r="OH52" s="1660"/>
      <c r="OI52" s="1659"/>
      <c r="OJ52" s="1839"/>
      <c r="OK52" s="1839"/>
      <c r="OL52" s="1839"/>
      <c r="OM52" s="693"/>
      <c r="ON52" s="1659"/>
      <c r="OO52" s="715"/>
      <c r="OP52" s="715"/>
      <c r="OQ52" s="715"/>
      <c r="OR52" s="705"/>
      <c r="OS52" s="1659"/>
      <c r="OT52" s="1839"/>
      <c r="OU52" s="1839"/>
      <c r="OV52" s="1839"/>
      <c r="OW52" s="705"/>
      <c r="OX52" s="1659"/>
      <c r="OY52" s="1839"/>
      <c r="OZ52" s="1839"/>
      <c r="PA52" s="1839"/>
      <c r="PB52" s="1660"/>
      <c r="PD52" s="3645"/>
      <c r="PE52" s="2897"/>
      <c r="PF52" s="2897"/>
      <c r="PG52" s="2589">
        <f t="shared" si="138"/>
        <v>0</v>
      </c>
      <c r="PH52" s="77"/>
      <c r="PN52" s="5880"/>
      <c r="PO52" s="4965"/>
      <c r="PP52" s="4965"/>
      <c r="PQ52" s="1839"/>
      <c r="PR52" s="207" t="e">
        <f t="shared" si="171"/>
        <v>#DIV/0!</v>
      </c>
      <c r="PS52" s="5886"/>
      <c r="PT52" s="5883"/>
      <c r="PU52" s="5883"/>
      <c r="PV52" s="2892">
        <f t="shared" si="13"/>
        <v>0</v>
      </c>
      <c r="PW52" s="5883"/>
      <c r="PX52" s="5881"/>
      <c r="PY52" s="1839"/>
      <c r="PZ52" s="1839"/>
      <c r="QA52" s="1839"/>
      <c r="QB52" s="693"/>
      <c r="QC52" s="2035"/>
      <c r="QD52" s="1914"/>
      <c r="QE52" s="1914"/>
      <c r="QF52" s="1914"/>
      <c r="QG52" s="5882"/>
      <c r="QH52" s="1910"/>
      <c r="QI52" s="1839"/>
      <c r="QJ52" s="1839"/>
      <c r="QK52" s="1839"/>
      <c r="QL52" s="1839"/>
      <c r="QM52" s="5880"/>
      <c r="QR52" s="5883"/>
      <c r="QS52" s="5883"/>
      <c r="QT52" s="5883"/>
      <c r="QU52" s="5883"/>
      <c r="QV52" s="1677"/>
      <c r="QW52" s="5883"/>
      <c r="QX52" s="2425"/>
      <c r="QY52" s="2425"/>
      <c r="QZ52" s="5883"/>
      <c r="RA52" s="5883"/>
      <c r="RB52" s="1839"/>
      <c r="RC52" s="1839"/>
      <c r="RD52" s="715"/>
      <c r="RE52" s="1839"/>
      <c r="RF52" s="1660"/>
      <c r="RG52" s="2037"/>
      <c r="RH52" s="1914"/>
      <c r="RI52" s="1914"/>
      <c r="RJ52" s="5882"/>
      <c r="RK52" s="1660"/>
      <c r="RL52" s="5883"/>
      <c r="RM52" s="1873">
        <f t="shared" si="77"/>
        <v>0</v>
      </c>
      <c r="RN52" s="1873">
        <f t="shared" si="77"/>
        <v>0</v>
      </c>
      <c r="RO52" s="1873">
        <f t="shared" si="77"/>
        <v>0</v>
      </c>
      <c r="RP52" s="5883"/>
      <c r="RQ52" s="1659"/>
      <c r="RR52" s="1839"/>
      <c r="RS52" s="1839"/>
      <c r="RT52" s="1839"/>
      <c r="RU52" s="693"/>
      <c r="RV52" s="1659"/>
      <c r="RW52" s="715"/>
      <c r="RX52" s="715"/>
      <c r="RY52" s="715"/>
      <c r="RZ52" s="705"/>
      <c r="SA52" s="1659"/>
      <c r="SB52" s="1839"/>
      <c r="SC52" s="1839"/>
      <c r="SD52" s="1839"/>
      <c r="SE52" s="705"/>
      <c r="SF52" s="1659"/>
      <c r="SG52" s="1839"/>
      <c r="SH52" s="1839"/>
      <c r="SI52" s="1839"/>
      <c r="SJ52" s="1660"/>
      <c r="SL52" s="3645"/>
      <c r="SM52" s="2897"/>
      <c r="SN52" s="2897"/>
      <c r="SO52" s="6029">
        <f t="shared" si="139"/>
        <v>0</v>
      </c>
      <c r="SP52" s="6056"/>
      <c r="SQ52" s="5883"/>
      <c r="SR52" s="5883"/>
      <c r="SS52" s="5883"/>
      <c r="ST52" s="5883"/>
      <c r="SU52" s="5883"/>
      <c r="SV52" s="5880"/>
      <c r="SW52" s="4965"/>
      <c r="SX52" s="4965"/>
      <c r="SY52" s="1839"/>
      <c r="SZ52" s="207" t="e">
        <f t="shared" si="172"/>
        <v>#DIV/0!</v>
      </c>
      <c r="TA52" s="5881"/>
      <c r="TD52" s="372">
        <f t="shared" si="14"/>
        <v>0</v>
      </c>
      <c r="TF52" s="5881"/>
      <c r="TG52" s="1839"/>
      <c r="TH52" s="1839"/>
      <c r="TI52" s="1839"/>
      <c r="TJ52" s="693"/>
      <c r="TK52" s="2035"/>
      <c r="TL52" s="1914"/>
      <c r="TM52" s="1914"/>
      <c r="TN52" s="1914"/>
      <c r="TO52" s="5882"/>
      <c r="TP52" s="2407"/>
      <c r="TQ52" s="1839"/>
      <c r="TR52" s="1839"/>
      <c r="TS52" s="1839"/>
      <c r="TT52" s="1839"/>
      <c r="TU52" s="5889"/>
      <c r="TV52" s="5883"/>
      <c r="TW52" s="5883"/>
      <c r="TX52" s="5883"/>
      <c r="TY52" s="5883"/>
      <c r="TZ52" s="5883"/>
      <c r="UA52" s="5883"/>
      <c r="UB52" s="5883"/>
      <c r="UC52" s="5883"/>
      <c r="UD52" s="1677"/>
      <c r="UE52" s="5883"/>
      <c r="UF52" s="2425"/>
      <c r="UG52" s="2425"/>
      <c r="UH52" s="5883"/>
      <c r="UI52" s="5883"/>
      <c r="UJ52" s="1839"/>
      <c r="UK52" s="1839"/>
      <c r="UL52" s="715"/>
      <c r="UM52" s="1839"/>
      <c r="UN52" s="1660"/>
      <c r="UO52" s="2037"/>
      <c r="UP52" s="1914"/>
      <c r="UQ52" s="1914"/>
      <c r="UR52" s="5882"/>
      <c r="US52" s="1660"/>
      <c r="UU52" s="622">
        <f t="shared" si="78"/>
        <v>0</v>
      </c>
      <c r="UV52" s="622">
        <f t="shared" si="78"/>
        <v>0</v>
      </c>
      <c r="UW52" s="622">
        <f t="shared" si="78"/>
        <v>0</v>
      </c>
      <c r="UY52" s="1659"/>
      <c r="UZ52" s="1839"/>
      <c r="VA52" s="1839"/>
      <c r="VB52" s="1839"/>
      <c r="VC52" s="693"/>
      <c r="VD52" s="1659"/>
      <c r="VE52" s="715"/>
      <c r="VF52" s="715"/>
      <c r="VG52" s="715"/>
      <c r="VH52" s="705"/>
      <c r="VI52" s="1659"/>
      <c r="VJ52" s="1839"/>
      <c r="VK52" s="1839"/>
      <c r="VL52" s="1839"/>
      <c r="VM52" s="705"/>
      <c r="VN52" s="1659"/>
      <c r="VO52" s="1839"/>
      <c r="VP52" s="1839"/>
      <c r="VQ52" s="1839"/>
      <c r="VR52" s="1660"/>
    </row>
    <row r="53" spans="1:590" s="122" customFormat="1" ht="13.45" hidden="1" x14ac:dyDescent="0.3">
      <c r="B53" s="6016" t="s">
        <v>53</v>
      </c>
      <c r="C53" s="6031" t="s">
        <v>785</v>
      </c>
      <c r="D53" s="5989" t="s">
        <v>813</v>
      </c>
      <c r="E53" s="6032">
        <v>44044</v>
      </c>
      <c r="F53" s="6032">
        <v>44104</v>
      </c>
      <c r="G53" s="5965">
        <v>225000</v>
      </c>
      <c r="H53" s="1775"/>
      <c r="I53" s="1776"/>
      <c r="J53" s="1776"/>
      <c r="K53" s="1776"/>
      <c r="L53" s="1777"/>
      <c r="M53" s="1778"/>
      <c r="N53" s="1779"/>
      <c r="O53" s="1779"/>
      <c r="P53" s="1779"/>
      <c r="Q53" s="1780"/>
      <c r="R53" s="1780"/>
      <c r="S53" s="1776"/>
      <c r="T53" s="1776"/>
      <c r="U53" s="1776"/>
      <c r="V53" s="1777"/>
      <c r="W53" s="1776"/>
      <c r="X53" s="1776"/>
      <c r="Y53" s="1781"/>
      <c r="Z53" s="1776"/>
      <c r="AA53" s="1782"/>
      <c r="AB53" s="1781"/>
      <c r="AC53" s="1783"/>
      <c r="AD53" s="1784"/>
      <c r="AE53" s="1776"/>
      <c r="AF53" s="1777"/>
      <c r="AG53" s="1785"/>
      <c r="AH53" s="1776"/>
      <c r="AI53" s="1776"/>
      <c r="AJ53" s="1786"/>
      <c r="AK53" s="1777"/>
      <c r="AL53" s="1785"/>
      <c r="AM53" s="1776"/>
      <c r="AN53" s="1776"/>
      <c r="AO53" s="1781"/>
      <c r="AP53" s="1777"/>
      <c r="AQ53" s="1787"/>
      <c r="AR53" s="1788"/>
      <c r="AS53" s="1788"/>
      <c r="AT53" s="1789"/>
      <c r="AU53" s="1777"/>
      <c r="AV53" s="1790"/>
      <c r="AW53" s="1781"/>
      <c r="AX53" s="1781"/>
      <c r="AY53" s="1781"/>
      <c r="AZ53" s="1777"/>
      <c r="BA53" s="1791"/>
      <c r="BB53" s="1792"/>
      <c r="BC53" s="1783"/>
      <c r="BD53" s="1781"/>
      <c r="BE53" s="1780"/>
      <c r="BF53" s="1790"/>
      <c r="BG53" s="1781"/>
      <c r="BH53" s="1776"/>
      <c r="BI53" s="1781"/>
      <c r="BJ53" s="1793"/>
      <c r="BK53" s="1790"/>
      <c r="BL53" s="1781"/>
      <c r="BM53" s="1776"/>
      <c r="BN53" s="1781"/>
      <c r="BO53" s="1794"/>
      <c r="BP53" s="1937">
        <f>(AV53+AQ53+AL53+AG53+AB53+W53+R53+M53+H53+BA53+BF53+BK53)/12</f>
        <v>0</v>
      </c>
      <c r="BQ53" s="1796"/>
      <c r="BR53" s="1786"/>
      <c r="BS53" s="1797"/>
      <c r="BT53" s="1798"/>
      <c r="BU53" s="1786"/>
      <c r="BV53" s="1786"/>
      <c r="BW53" s="1799"/>
      <c r="BX53" s="1800"/>
      <c r="BY53" s="1786"/>
      <c r="BZ53" s="1786"/>
      <c r="CA53" s="1801"/>
      <c r="CB53" s="1802"/>
      <c r="CC53" s="1786"/>
      <c r="CD53" s="1786"/>
      <c r="CE53" s="1803"/>
      <c r="CF53" s="1800"/>
      <c r="CG53" s="1776"/>
      <c r="CH53" s="1776"/>
      <c r="CI53" s="1801"/>
      <c r="CJ53" s="1804"/>
      <c r="CK53" s="1776"/>
      <c r="CL53" s="1776"/>
      <c r="CM53" s="1776"/>
      <c r="CN53" s="1799"/>
      <c r="CO53" s="1804"/>
      <c r="CP53" s="1776"/>
      <c r="CQ53" s="1776"/>
      <c r="CR53" s="1776"/>
      <c r="CS53" s="1799"/>
      <c r="CT53" s="1804"/>
      <c r="CU53" s="1776"/>
      <c r="CV53" s="1776"/>
      <c r="CW53" s="1776"/>
      <c r="CX53" s="1801"/>
      <c r="CY53" s="1804"/>
      <c r="CZ53" s="1776"/>
      <c r="DA53" s="1776"/>
      <c r="DB53" s="1776"/>
      <c r="DC53" s="1801"/>
      <c r="DD53" s="1805"/>
      <c r="DE53" s="1806"/>
      <c r="DF53" s="1806"/>
      <c r="DG53" s="1783"/>
      <c r="DH53" s="1938"/>
      <c r="DI53" s="1804"/>
      <c r="DJ53" s="1806"/>
      <c r="DK53" s="1806"/>
      <c r="DL53" s="1776"/>
      <c r="DM53" s="1938"/>
      <c r="DN53" s="1804"/>
      <c r="DO53" s="1806"/>
      <c r="DP53" s="1806"/>
      <c r="DQ53" s="1776">
        <f>DP53-DO53</f>
        <v>0</v>
      </c>
      <c r="DR53" s="1938"/>
      <c r="DS53" s="1804"/>
      <c r="DT53" s="1806"/>
      <c r="DU53" s="1806"/>
      <c r="DV53" s="1810"/>
      <c r="DW53" s="1801"/>
      <c r="DX53" s="1804"/>
      <c r="DY53" s="1776"/>
      <c r="DZ53" s="1776"/>
      <c r="EA53" s="1776"/>
      <c r="EB53" s="1807"/>
      <c r="EC53" s="1804"/>
      <c r="ED53" s="1776"/>
      <c r="EE53" s="1776"/>
      <c r="EF53" s="1786">
        <f>EE53-ED53</f>
        <v>0</v>
      </c>
      <c r="EG53" s="1807" t="e">
        <f>EF53/EE53</f>
        <v>#DIV/0!</v>
      </c>
      <c r="EH53" s="1805"/>
      <c r="EI53" s="1776"/>
      <c r="EJ53" s="1776"/>
      <c r="EK53" s="1776"/>
      <c r="EL53" s="1801"/>
      <c r="EM53" s="1804"/>
      <c r="EN53" s="1776"/>
      <c r="EO53" s="1776"/>
      <c r="EP53" s="1776"/>
      <c r="EQ53" s="1801"/>
      <c r="ER53" s="2402">
        <f t="shared" si="38"/>
        <v>0</v>
      </c>
      <c r="ES53" s="2403">
        <f t="shared" si="146"/>
        <v>0</v>
      </c>
      <c r="ET53" s="2403">
        <f t="shared" si="146"/>
        <v>0</v>
      </c>
      <c r="EU53" s="2403">
        <f t="shared" si="146"/>
        <v>0</v>
      </c>
      <c r="EV53" s="2404" t="e">
        <f t="shared" si="40"/>
        <v>#DIV/0!</v>
      </c>
      <c r="EW53" s="1814"/>
      <c r="EX53" s="1776"/>
      <c r="EY53" s="1776"/>
      <c r="EZ53" s="1815"/>
      <c r="FA53" s="1939"/>
      <c r="FB53" s="1786"/>
      <c r="FC53" s="1786"/>
      <c r="FD53" s="1799"/>
      <c r="FE53" s="1814">
        <f>(DN53+DS53+DX53)/3</f>
        <v>0</v>
      </c>
      <c r="FF53" s="1786">
        <f>DP53+DU53+DZ53</f>
        <v>0</v>
      </c>
      <c r="FG53" s="1786">
        <f>DQ53+DV53+EA53</f>
        <v>0</v>
      </c>
      <c r="FH53" s="1803"/>
      <c r="FI53" s="1816">
        <f>(EC53+EH53+EM53)/3</f>
        <v>0</v>
      </c>
      <c r="FJ53" s="1814"/>
      <c r="FK53" s="1786">
        <f>EE53+EJ53+EO53</f>
        <v>0</v>
      </c>
      <c r="FL53" s="1786">
        <f>EF53+EK53+EP53</f>
        <v>0</v>
      </c>
      <c r="FM53" s="1799" t="e">
        <f>FL53/FK53</f>
        <v>#DIV/0!</v>
      </c>
      <c r="FN53" s="1817"/>
      <c r="FO53" s="1818"/>
      <c r="FP53" s="1818"/>
      <c r="FQ53" s="6036"/>
      <c r="FR53" s="1819"/>
      <c r="FS53" s="1804"/>
      <c r="FT53" s="1776"/>
      <c r="FU53" s="1776"/>
      <c r="FV53" s="1776"/>
      <c r="FW53" s="1807" t="e">
        <f>FV53/FU53</f>
        <v>#DIV/0!</v>
      </c>
      <c r="FX53" s="1820"/>
      <c r="FY53" s="6037"/>
      <c r="FZ53" s="6037"/>
      <c r="GA53" s="1776"/>
      <c r="GB53" s="1807"/>
      <c r="GC53" s="6038"/>
      <c r="GD53" s="1824"/>
      <c r="GE53" s="1824">
        <v>0</v>
      </c>
      <c r="GF53" s="1825">
        <v>0</v>
      </c>
      <c r="GG53" s="1821"/>
      <c r="GH53" s="1823">
        <v>10</v>
      </c>
      <c r="GI53" s="1824">
        <f>158818</f>
        <v>158818</v>
      </c>
      <c r="GJ53" s="1824">
        <v>225000</v>
      </c>
      <c r="GK53" s="1818">
        <f t="shared" si="230"/>
        <v>66182</v>
      </c>
      <c r="GL53" s="1821">
        <f t="shared" si="212"/>
        <v>0.29414222222222225</v>
      </c>
      <c r="GM53" s="1823">
        <v>10</v>
      </c>
      <c r="GN53" s="1824">
        <f>158818</f>
        <v>158818</v>
      </c>
      <c r="GO53" s="1824">
        <v>225000</v>
      </c>
      <c r="GP53" s="1818">
        <f t="shared" si="213"/>
        <v>66182</v>
      </c>
      <c r="GQ53" s="1821">
        <f t="shared" si="214"/>
        <v>0.29414222222222225</v>
      </c>
      <c r="GR53" s="1823"/>
      <c r="GS53" s="1824">
        <v>0</v>
      </c>
      <c r="GT53" s="1824">
        <v>0</v>
      </c>
      <c r="GU53" s="1818">
        <v>0</v>
      </c>
      <c r="GV53" s="1821"/>
      <c r="GW53" s="1823"/>
      <c r="GX53" s="1824"/>
      <c r="GY53" s="1824">
        <v>0</v>
      </c>
      <c r="GZ53" s="1818">
        <v>0</v>
      </c>
      <c r="HA53" s="1821"/>
      <c r="HB53" s="1823"/>
      <c r="HC53" s="1824"/>
      <c r="HD53" s="1824"/>
      <c r="HE53" s="1818">
        <v>0</v>
      </c>
      <c r="HF53" s="1821"/>
      <c r="HG53" s="1823"/>
      <c r="HH53" s="1824"/>
      <c r="HI53" s="1824"/>
      <c r="HJ53" s="1818">
        <f t="shared" si="149"/>
        <v>0</v>
      </c>
      <c r="HK53" s="1821"/>
      <c r="HL53" s="1823"/>
      <c r="HM53" s="1824"/>
      <c r="HN53" s="1824"/>
      <c r="HO53" s="1818">
        <f t="shared" si="151"/>
        <v>0</v>
      </c>
      <c r="HP53" s="1821"/>
      <c r="HQ53" s="654"/>
      <c r="HR53" s="1248"/>
      <c r="HS53" s="1248"/>
      <c r="HT53" s="1248">
        <f t="shared" si="232"/>
        <v>0</v>
      </c>
      <c r="HU53" s="1826"/>
      <c r="HV53" s="5941">
        <f t="shared" si="155"/>
        <v>1.6666666666666667</v>
      </c>
      <c r="HW53" s="622">
        <f t="shared" si="156"/>
        <v>317636</v>
      </c>
      <c r="HX53" s="622">
        <f t="shared" si="156"/>
        <v>450000</v>
      </c>
      <c r="HY53" s="622">
        <f t="shared" si="156"/>
        <v>132364</v>
      </c>
      <c r="HZ53" s="1828"/>
      <c r="IA53" s="1829">
        <f t="shared" si="219"/>
        <v>0</v>
      </c>
      <c r="IB53" s="1830">
        <f t="shared" si="220"/>
        <v>0</v>
      </c>
      <c r="IC53" s="1830">
        <f t="shared" si="220"/>
        <v>0</v>
      </c>
      <c r="ID53" s="1831"/>
      <c r="IE53" s="1832">
        <f t="shared" si="222"/>
        <v>6.666666666666667</v>
      </c>
      <c r="IF53" s="1833">
        <f t="shared" si="223"/>
        <v>450000</v>
      </c>
      <c r="IG53" s="1834">
        <f t="shared" si="223"/>
        <v>132364</v>
      </c>
      <c r="IH53" s="1831">
        <f t="shared" si="224"/>
        <v>0.29414222222222225</v>
      </c>
      <c r="II53" s="1835">
        <f t="shared" si="157"/>
        <v>0</v>
      </c>
      <c r="IJ53" s="1836">
        <f t="shared" si="158"/>
        <v>0</v>
      </c>
      <c r="IK53" s="1836">
        <f t="shared" si="158"/>
        <v>0</v>
      </c>
      <c r="IL53" s="239"/>
      <c r="IM53" s="1837">
        <f t="shared" si="160"/>
        <v>0</v>
      </c>
      <c r="IN53" s="1836">
        <f t="shared" si="161"/>
        <v>0</v>
      </c>
      <c r="IO53" s="1836">
        <f t="shared" si="161"/>
        <v>0</v>
      </c>
      <c r="IP53" s="1838"/>
      <c r="IQ53" s="1839"/>
      <c r="IR53" s="1840"/>
      <c r="IS53" s="1818"/>
      <c r="IT53" s="1818"/>
      <c r="IU53" s="1818">
        <f t="shared" si="163"/>
        <v>0</v>
      </c>
      <c r="IV53" s="1819"/>
      <c r="IW53" s="1820"/>
      <c r="IX53" s="1818"/>
      <c r="IY53" s="1818"/>
      <c r="IZ53" s="1818">
        <f t="shared" si="233"/>
        <v>0</v>
      </c>
      <c r="JA53" s="1821"/>
      <c r="JB53" s="1984"/>
      <c r="JC53" s="6064"/>
      <c r="JD53" s="6065"/>
      <c r="JE53" s="1818">
        <f t="shared" si="164"/>
        <v>0</v>
      </c>
      <c r="JF53" s="1821" t="e">
        <f t="shared" si="235"/>
        <v>#DIV/0!</v>
      </c>
      <c r="JG53" s="1981"/>
      <c r="JH53" s="1824"/>
      <c r="JI53" s="1824"/>
      <c r="JJ53" s="1822">
        <f t="shared" si="234"/>
        <v>0</v>
      </c>
      <c r="JK53" s="1821" t="e">
        <f>JJ53/JI53</f>
        <v>#DIV/0!</v>
      </c>
      <c r="JL53" s="1823"/>
      <c r="JM53" s="1824"/>
      <c r="JN53" s="1824"/>
      <c r="JO53" s="1996">
        <f t="shared" si="165"/>
        <v>0</v>
      </c>
      <c r="JP53" s="1821" t="e">
        <f>JO53/JN53</f>
        <v>#DIV/0!</v>
      </c>
      <c r="JQ53" s="6013"/>
      <c r="JR53" s="1982"/>
      <c r="JS53" s="1248"/>
      <c r="JT53" s="1996">
        <f>JS53-JR53</f>
        <v>0</v>
      </c>
      <c r="JU53" s="1821" t="e">
        <f>JT53/JS53</f>
        <v>#DIV/0!</v>
      </c>
      <c r="JV53" s="1981"/>
      <c r="JW53" s="1824"/>
      <c r="JX53" s="1248"/>
      <c r="JY53" s="1996">
        <f>JX53-JW53</f>
        <v>0</v>
      </c>
      <c r="JZ53" s="1821" t="e">
        <f>JY53/JX53</f>
        <v>#DIV/0!</v>
      </c>
      <c r="KA53" s="1981"/>
      <c r="KB53" s="1248"/>
      <c r="KC53" s="1982"/>
      <c r="KD53" s="1983">
        <f t="shared" si="231"/>
        <v>0</v>
      </c>
      <c r="KE53" s="1952"/>
      <c r="KF53" s="1990"/>
      <c r="KG53" s="1248">
        <v>0</v>
      </c>
      <c r="KH53" s="6063">
        <v>0</v>
      </c>
      <c r="KI53" s="1818">
        <f t="shared" si="227"/>
        <v>0</v>
      </c>
      <c r="KJ53" s="1821"/>
      <c r="KK53" s="1990"/>
      <c r="KL53" s="1904"/>
      <c r="KM53" s="1904"/>
      <c r="KN53" s="2023">
        <f t="shared" si="130"/>
        <v>0</v>
      </c>
      <c r="KO53" s="2024"/>
      <c r="KP53" s="1823"/>
      <c r="KQ53" s="1982"/>
      <c r="KR53" s="1248"/>
      <c r="KS53" s="1996">
        <f t="shared" si="236"/>
        <v>0</v>
      </c>
      <c r="KT53" s="1819"/>
      <c r="KU53" s="1905"/>
      <c r="KV53" s="1248"/>
      <c r="KW53" s="1248"/>
      <c r="KX53" s="1248">
        <f t="shared" si="145"/>
        <v>0</v>
      </c>
      <c r="KY53" s="77"/>
      <c r="KZ53" s="1832"/>
      <c r="LA53" s="622">
        <f t="shared" si="144"/>
        <v>0</v>
      </c>
      <c r="LB53" s="622">
        <f t="shared" si="144"/>
        <v>0</v>
      </c>
      <c r="LC53" s="622">
        <f t="shared" si="144"/>
        <v>0</v>
      </c>
      <c r="LD53" s="239"/>
      <c r="LE53" s="1834">
        <f t="shared" si="71"/>
        <v>0</v>
      </c>
      <c r="LF53" s="1830">
        <f t="shared" si="167"/>
        <v>0</v>
      </c>
      <c r="LG53" s="1830">
        <f t="shared" si="167"/>
        <v>0</v>
      </c>
      <c r="LH53" s="1831" t="e">
        <f t="shared" si="168"/>
        <v>#DIV/0!</v>
      </c>
      <c r="LI53" s="1832">
        <f t="shared" si="132"/>
        <v>0</v>
      </c>
      <c r="LJ53" s="1833">
        <f t="shared" si="133"/>
        <v>0</v>
      </c>
      <c r="LK53" s="1834">
        <f t="shared" si="133"/>
        <v>0</v>
      </c>
      <c r="LL53" s="1831" t="e">
        <f t="shared" si="169"/>
        <v>#DIV/0!</v>
      </c>
      <c r="LM53" s="1835">
        <f t="shared" si="135"/>
        <v>0</v>
      </c>
      <c r="LN53" s="1836">
        <f t="shared" si="136"/>
        <v>0</v>
      </c>
      <c r="LO53" s="1836">
        <f t="shared" si="136"/>
        <v>0</v>
      </c>
      <c r="LP53" s="239"/>
      <c r="LQ53" s="1837">
        <f t="shared" si="140"/>
        <v>0</v>
      </c>
      <c r="LR53" s="1836">
        <f t="shared" si="229"/>
        <v>0</v>
      </c>
      <c r="LS53" s="1836">
        <f t="shared" si="229"/>
        <v>0</v>
      </c>
      <c r="LT53" s="1838"/>
      <c r="LV53" s="3645"/>
      <c r="LW53" s="2897"/>
      <c r="LX53" s="2897"/>
      <c r="LY53" s="2589">
        <f t="shared" si="137"/>
        <v>0</v>
      </c>
      <c r="LZ53" s="77"/>
      <c r="MF53" s="5880"/>
      <c r="MG53" s="4965"/>
      <c r="MH53" s="4965"/>
      <c r="MI53" s="1839"/>
      <c r="MJ53" s="207" t="e">
        <f t="shared" si="170"/>
        <v>#DIV/0!</v>
      </c>
      <c r="MK53" s="5881"/>
      <c r="MN53" s="372">
        <f t="shared" si="12"/>
        <v>0</v>
      </c>
      <c r="MP53" s="5881"/>
      <c r="MQ53" s="1839"/>
      <c r="MR53" s="1839"/>
      <c r="MS53" s="1839"/>
      <c r="MT53" s="693"/>
      <c r="MU53" s="2035"/>
      <c r="MV53" s="1914"/>
      <c r="MW53" s="1914"/>
      <c r="MX53" s="1914"/>
      <c r="MY53" s="5882"/>
      <c r="MZ53" s="1659"/>
      <c r="NA53" s="1839"/>
      <c r="NB53" s="1839"/>
      <c r="NC53" s="1839"/>
      <c r="ND53" s="1839"/>
      <c r="NO53" s="5883"/>
      <c r="NP53" s="2425"/>
      <c r="NQ53" s="2425"/>
      <c r="NR53" s="5883"/>
      <c r="NT53" s="1839"/>
      <c r="NU53" s="1839"/>
      <c r="NV53" s="715"/>
      <c r="NW53" s="1839"/>
      <c r="NX53" s="1660"/>
      <c r="NY53" s="1659"/>
      <c r="NZ53" s="715"/>
      <c r="OA53" s="715"/>
      <c r="OB53" s="1839"/>
      <c r="OC53" s="1660"/>
      <c r="OE53" s="5885"/>
      <c r="OF53" s="5885"/>
      <c r="OG53" s="715"/>
      <c r="OH53" s="1660"/>
      <c r="OI53" s="1659"/>
      <c r="OJ53" s="1839"/>
      <c r="OK53" s="1839"/>
      <c r="OL53" s="1839"/>
      <c r="OM53" s="693"/>
      <c r="ON53" s="1659"/>
      <c r="OO53" s="715"/>
      <c r="OP53" s="715"/>
      <c r="OQ53" s="715"/>
      <c r="OR53" s="705"/>
      <c r="OS53" s="1659"/>
      <c r="OT53" s="1839"/>
      <c r="OU53" s="1839"/>
      <c r="OV53" s="1839"/>
      <c r="OW53" s="705"/>
      <c r="OX53" s="1659"/>
      <c r="OY53" s="1839"/>
      <c r="OZ53" s="1839"/>
      <c r="PA53" s="1839"/>
      <c r="PB53" s="1660"/>
      <c r="PD53" s="3645"/>
      <c r="PE53" s="2897"/>
      <c r="PF53" s="2897"/>
      <c r="PG53" s="2589">
        <f t="shared" si="138"/>
        <v>0</v>
      </c>
      <c r="PH53" s="77"/>
      <c r="PN53" s="5880"/>
      <c r="PO53" s="4965"/>
      <c r="PP53" s="4965"/>
      <c r="PQ53" s="1839"/>
      <c r="PR53" s="207" t="e">
        <f t="shared" si="171"/>
        <v>#DIV/0!</v>
      </c>
      <c r="PS53" s="5886"/>
      <c r="PT53" s="5883"/>
      <c r="PU53" s="5883"/>
      <c r="PV53" s="2892">
        <f t="shared" si="13"/>
        <v>0</v>
      </c>
      <c r="PW53" s="5883"/>
      <c r="PX53" s="5881"/>
      <c r="PY53" s="1839"/>
      <c r="PZ53" s="1839"/>
      <c r="QA53" s="1839"/>
      <c r="QB53" s="693"/>
      <c r="QC53" s="2035"/>
      <c r="QD53" s="1914"/>
      <c r="QE53" s="1914"/>
      <c r="QF53" s="1914"/>
      <c r="QG53" s="5882"/>
      <c r="QH53" s="1910"/>
      <c r="QI53" s="1839"/>
      <c r="QJ53" s="1839"/>
      <c r="QK53" s="1839"/>
      <c r="QL53" s="1839"/>
      <c r="QM53" s="5880"/>
      <c r="QR53" s="5883"/>
      <c r="QS53" s="5883"/>
      <c r="QT53" s="5883"/>
      <c r="QU53" s="5883"/>
      <c r="QV53" s="1677"/>
      <c r="QW53" s="5883"/>
      <c r="QX53" s="2425"/>
      <c r="QY53" s="2425"/>
      <c r="QZ53" s="5883"/>
      <c r="RA53" s="5883"/>
      <c r="RB53" s="1839"/>
      <c r="RC53" s="1839"/>
      <c r="RD53" s="715"/>
      <c r="RE53" s="1839"/>
      <c r="RF53" s="1660"/>
      <c r="RG53" s="2037"/>
      <c r="RH53" s="1914"/>
      <c r="RI53" s="1914"/>
      <c r="RJ53" s="5882"/>
      <c r="RK53" s="1660"/>
      <c r="RL53" s="5883"/>
      <c r="RM53" s="1873">
        <f t="shared" si="77"/>
        <v>0</v>
      </c>
      <c r="RN53" s="1873">
        <f t="shared" si="77"/>
        <v>0</v>
      </c>
      <c r="RO53" s="1873">
        <f t="shared" si="77"/>
        <v>0</v>
      </c>
      <c r="RP53" s="5883"/>
      <c r="RQ53" s="1659"/>
      <c r="RR53" s="1839"/>
      <c r="RS53" s="1839"/>
      <c r="RT53" s="1839"/>
      <c r="RU53" s="693"/>
      <c r="RV53" s="1659"/>
      <c r="RW53" s="715"/>
      <c r="RX53" s="715"/>
      <c r="RY53" s="715"/>
      <c r="RZ53" s="705"/>
      <c r="SA53" s="1659"/>
      <c r="SB53" s="1839"/>
      <c r="SC53" s="1839"/>
      <c r="SD53" s="1839"/>
      <c r="SE53" s="705"/>
      <c r="SF53" s="1659"/>
      <c r="SG53" s="1839"/>
      <c r="SH53" s="1839"/>
      <c r="SI53" s="1839"/>
      <c r="SJ53" s="1660"/>
      <c r="SL53" s="3645"/>
      <c r="SM53" s="2897"/>
      <c r="SN53" s="2897"/>
      <c r="SO53" s="6029">
        <f t="shared" si="139"/>
        <v>0</v>
      </c>
      <c r="SP53" s="6056"/>
      <c r="SQ53" s="5883"/>
      <c r="SR53" s="5883"/>
      <c r="SS53" s="5883"/>
      <c r="ST53" s="5883"/>
      <c r="SU53" s="5883"/>
      <c r="SV53" s="5880"/>
      <c r="SW53" s="4965"/>
      <c r="SX53" s="4965"/>
      <c r="SY53" s="1839"/>
      <c r="SZ53" s="207" t="e">
        <f t="shared" si="172"/>
        <v>#DIV/0!</v>
      </c>
      <c r="TA53" s="5881"/>
      <c r="TD53" s="372">
        <f t="shared" si="14"/>
        <v>0</v>
      </c>
      <c r="TF53" s="5881"/>
      <c r="TG53" s="1839"/>
      <c r="TH53" s="1839"/>
      <c r="TI53" s="1839"/>
      <c r="TJ53" s="693"/>
      <c r="TK53" s="2035"/>
      <c r="TL53" s="1914"/>
      <c r="TM53" s="1914"/>
      <c r="TN53" s="1914"/>
      <c r="TO53" s="5882"/>
      <c r="TP53" s="2407"/>
      <c r="TQ53" s="1839"/>
      <c r="TR53" s="1839"/>
      <c r="TS53" s="1839"/>
      <c r="TT53" s="1839"/>
      <c r="TU53" s="5889"/>
      <c r="TV53" s="5883"/>
      <c r="TW53" s="5883"/>
      <c r="TX53" s="5883"/>
      <c r="TY53" s="5883"/>
      <c r="TZ53" s="5883"/>
      <c r="UA53" s="5883"/>
      <c r="UB53" s="5883"/>
      <c r="UC53" s="5883"/>
      <c r="UD53" s="1677"/>
      <c r="UE53" s="5883"/>
      <c r="UF53" s="2425"/>
      <c r="UG53" s="2425"/>
      <c r="UH53" s="5883"/>
      <c r="UI53" s="5883"/>
      <c r="UJ53" s="1839"/>
      <c r="UK53" s="1839"/>
      <c r="UL53" s="715"/>
      <c r="UM53" s="1839"/>
      <c r="UN53" s="1660"/>
      <c r="UO53" s="2037"/>
      <c r="UP53" s="1914"/>
      <c r="UQ53" s="1914"/>
      <c r="UR53" s="5882"/>
      <c r="US53" s="1660"/>
      <c r="UU53" s="622">
        <f t="shared" si="78"/>
        <v>0</v>
      </c>
      <c r="UV53" s="622">
        <f t="shared" si="78"/>
        <v>0</v>
      </c>
      <c r="UW53" s="622">
        <f t="shared" si="78"/>
        <v>0</v>
      </c>
      <c r="UY53" s="1659"/>
      <c r="UZ53" s="1839"/>
      <c r="VA53" s="1839"/>
      <c r="VB53" s="1839"/>
      <c r="VC53" s="693"/>
      <c r="VD53" s="1659"/>
      <c r="VE53" s="715"/>
      <c r="VF53" s="715"/>
      <c r="VG53" s="715"/>
      <c r="VH53" s="705"/>
      <c r="VI53" s="1659"/>
      <c r="VJ53" s="1839"/>
      <c r="VK53" s="1839"/>
      <c r="VL53" s="1839"/>
      <c r="VM53" s="705"/>
      <c r="VN53" s="1659"/>
      <c r="VO53" s="1839"/>
      <c r="VP53" s="1839"/>
      <c r="VQ53" s="1839"/>
      <c r="VR53" s="1660"/>
    </row>
    <row r="54" spans="1:590" s="122" customFormat="1" ht="13.45" hidden="1" x14ac:dyDescent="0.3">
      <c r="B54" s="6016" t="s">
        <v>53</v>
      </c>
      <c r="C54" s="6031" t="s">
        <v>785</v>
      </c>
      <c r="D54" s="5989" t="s">
        <v>814</v>
      </c>
      <c r="E54" s="6032">
        <v>44105</v>
      </c>
      <c r="F54" s="6032">
        <v>45199</v>
      </c>
      <c r="G54" s="5965">
        <v>6830400</v>
      </c>
      <c r="H54" s="1775"/>
      <c r="I54" s="1776"/>
      <c r="J54" s="1776"/>
      <c r="K54" s="1776"/>
      <c r="L54" s="1777"/>
      <c r="M54" s="1778"/>
      <c r="N54" s="1779"/>
      <c r="O54" s="1779"/>
      <c r="P54" s="1779"/>
      <c r="Q54" s="1780"/>
      <c r="R54" s="1780"/>
      <c r="S54" s="1776"/>
      <c r="T54" s="1776"/>
      <c r="U54" s="1776"/>
      <c r="V54" s="1777"/>
      <c r="W54" s="1776"/>
      <c r="X54" s="1776"/>
      <c r="Y54" s="1781"/>
      <c r="Z54" s="1776"/>
      <c r="AA54" s="1782"/>
      <c r="AB54" s="1781"/>
      <c r="AC54" s="1783"/>
      <c r="AD54" s="1784"/>
      <c r="AE54" s="1776"/>
      <c r="AF54" s="1777"/>
      <c r="AG54" s="1785"/>
      <c r="AH54" s="1776"/>
      <c r="AI54" s="1776"/>
      <c r="AJ54" s="1786"/>
      <c r="AK54" s="1777"/>
      <c r="AL54" s="1785"/>
      <c r="AM54" s="1776"/>
      <c r="AN54" s="1776"/>
      <c r="AO54" s="1781"/>
      <c r="AP54" s="1777"/>
      <c r="AQ54" s="1787"/>
      <c r="AR54" s="1788"/>
      <c r="AS54" s="1788"/>
      <c r="AT54" s="1789"/>
      <c r="AU54" s="1777"/>
      <c r="AV54" s="1790"/>
      <c r="AW54" s="1781"/>
      <c r="AX54" s="1781"/>
      <c r="AY54" s="1781"/>
      <c r="AZ54" s="1777"/>
      <c r="BA54" s="1791"/>
      <c r="BB54" s="1792"/>
      <c r="BC54" s="1783"/>
      <c r="BD54" s="1781"/>
      <c r="BE54" s="1780"/>
      <c r="BF54" s="1790"/>
      <c r="BG54" s="1781"/>
      <c r="BH54" s="1776"/>
      <c r="BI54" s="1781"/>
      <c r="BJ54" s="1793"/>
      <c r="BK54" s="1790"/>
      <c r="BL54" s="1781"/>
      <c r="BM54" s="1776"/>
      <c r="BN54" s="1781"/>
      <c r="BO54" s="1794"/>
      <c r="BP54" s="1937"/>
      <c r="BQ54" s="1796"/>
      <c r="BR54" s="1786"/>
      <c r="BS54" s="1797"/>
      <c r="BT54" s="1798"/>
      <c r="BU54" s="1786"/>
      <c r="BV54" s="1786"/>
      <c r="BW54" s="1799"/>
      <c r="BX54" s="1800"/>
      <c r="BY54" s="1786"/>
      <c r="BZ54" s="1786"/>
      <c r="CA54" s="1801"/>
      <c r="CB54" s="1802"/>
      <c r="CC54" s="1786"/>
      <c r="CD54" s="1786"/>
      <c r="CE54" s="1803"/>
      <c r="CF54" s="1800"/>
      <c r="CG54" s="1776"/>
      <c r="CH54" s="1776"/>
      <c r="CI54" s="1801"/>
      <c r="CJ54" s="1804"/>
      <c r="CK54" s="1776"/>
      <c r="CL54" s="1776"/>
      <c r="CM54" s="1776"/>
      <c r="CN54" s="1799"/>
      <c r="CO54" s="1804"/>
      <c r="CP54" s="1776"/>
      <c r="CQ54" s="1776"/>
      <c r="CR54" s="1776"/>
      <c r="CS54" s="1799"/>
      <c r="CT54" s="1804"/>
      <c r="CU54" s="1776"/>
      <c r="CV54" s="1776"/>
      <c r="CW54" s="1776"/>
      <c r="CX54" s="1801"/>
      <c r="CY54" s="1804"/>
      <c r="CZ54" s="1776"/>
      <c r="DA54" s="1776"/>
      <c r="DB54" s="1776"/>
      <c r="DC54" s="1801"/>
      <c r="DD54" s="1805"/>
      <c r="DE54" s="1806"/>
      <c r="DF54" s="1806"/>
      <c r="DG54" s="1783"/>
      <c r="DH54" s="1938"/>
      <c r="DI54" s="1804"/>
      <c r="DJ54" s="1806"/>
      <c r="DK54" s="1806"/>
      <c r="DL54" s="1776"/>
      <c r="DM54" s="1938"/>
      <c r="DN54" s="1804"/>
      <c r="DO54" s="1806"/>
      <c r="DP54" s="1806"/>
      <c r="DQ54" s="1776"/>
      <c r="DR54" s="1938"/>
      <c r="DS54" s="1804"/>
      <c r="DT54" s="1806"/>
      <c r="DU54" s="1806"/>
      <c r="DV54" s="1810"/>
      <c r="DW54" s="1801"/>
      <c r="DX54" s="1804"/>
      <c r="DY54" s="1776"/>
      <c r="DZ54" s="1776"/>
      <c r="EA54" s="1776"/>
      <c r="EB54" s="1807"/>
      <c r="EC54" s="1804"/>
      <c r="ED54" s="1776"/>
      <c r="EE54" s="1776"/>
      <c r="EF54" s="1786"/>
      <c r="EG54" s="1807"/>
      <c r="EH54" s="1805"/>
      <c r="EI54" s="1776"/>
      <c r="EJ54" s="1776"/>
      <c r="EK54" s="1776"/>
      <c r="EL54" s="1801"/>
      <c r="EM54" s="1804"/>
      <c r="EN54" s="1776"/>
      <c r="EO54" s="1776"/>
      <c r="EP54" s="1776"/>
      <c r="EQ54" s="1801"/>
      <c r="ER54" s="2402">
        <f t="shared" si="38"/>
        <v>0</v>
      </c>
      <c r="ES54" s="2403">
        <f t="shared" si="146"/>
        <v>0</v>
      </c>
      <c r="ET54" s="2403">
        <f t="shared" si="146"/>
        <v>0</v>
      </c>
      <c r="EU54" s="2403">
        <f t="shared" si="146"/>
        <v>0</v>
      </c>
      <c r="EV54" s="2404" t="e">
        <f t="shared" si="40"/>
        <v>#DIV/0!</v>
      </c>
      <c r="EW54" s="1814"/>
      <c r="EX54" s="1776"/>
      <c r="EY54" s="1776"/>
      <c r="EZ54" s="1815"/>
      <c r="FA54" s="1939"/>
      <c r="FB54" s="1786"/>
      <c r="FC54" s="1786"/>
      <c r="FD54" s="1799"/>
      <c r="FE54" s="1814"/>
      <c r="FF54" s="1786"/>
      <c r="FG54" s="1786"/>
      <c r="FH54" s="1803"/>
      <c r="FI54" s="1816"/>
      <c r="FJ54" s="1814"/>
      <c r="FK54" s="1786"/>
      <c r="FL54" s="1786"/>
      <c r="FM54" s="1799"/>
      <c r="FN54" s="1817"/>
      <c r="FO54" s="1818"/>
      <c r="FP54" s="1818"/>
      <c r="FQ54" s="6036"/>
      <c r="FR54" s="1819"/>
      <c r="FS54" s="1820"/>
      <c r="FT54" s="1822"/>
      <c r="FU54" s="1822"/>
      <c r="FV54" s="1822"/>
      <c r="FW54" s="1821"/>
      <c r="FX54" s="1820"/>
      <c r="FY54" s="6037"/>
      <c r="FZ54" s="6037"/>
      <c r="GA54" s="1822"/>
      <c r="GB54" s="1821"/>
      <c r="GC54" s="6038"/>
      <c r="GD54" s="1824"/>
      <c r="GE54" s="1824"/>
      <c r="GF54" s="1825"/>
      <c r="GG54" s="1821"/>
      <c r="GH54" s="1823"/>
      <c r="GI54" s="1824"/>
      <c r="GJ54" s="1824"/>
      <c r="GK54" s="1818"/>
      <c r="GL54" s="1821"/>
      <c r="GM54" s="1823"/>
      <c r="GN54" s="1824">
        <v>0</v>
      </c>
      <c r="GO54" s="1824">
        <v>0</v>
      </c>
      <c r="GP54" s="1818">
        <v>0</v>
      </c>
      <c r="GQ54" s="1821"/>
      <c r="GR54" s="1823">
        <v>11</v>
      </c>
      <c r="GS54" s="1824">
        <v>314434</v>
      </c>
      <c r="GT54" s="1824">
        <v>569200</v>
      </c>
      <c r="GU54" s="1818">
        <f>GT54-GS54</f>
        <v>254766</v>
      </c>
      <c r="GV54" s="1821">
        <f>GU54/GT54</f>
        <v>0.44758608573436404</v>
      </c>
      <c r="GW54" s="1823">
        <v>11</v>
      </c>
      <c r="GX54" s="1824">
        <v>314250</v>
      </c>
      <c r="GY54" s="1824">
        <v>569200</v>
      </c>
      <c r="GZ54" s="1818">
        <f>GY54-GX54</f>
        <v>254950</v>
      </c>
      <c r="HA54" s="1821">
        <f>GZ54/GY54</f>
        <v>0.44790934645115954</v>
      </c>
      <c r="HB54" s="1823">
        <v>15</v>
      </c>
      <c r="HC54" s="1824">
        <v>357812</v>
      </c>
      <c r="HD54" s="1824">
        <v>569200</v>
      </c>
      <c r="HE54" s="1818">
        <f>HD54-HC54</f>
        <v>211388</v>
      </c>
      <c r="HF54" s="1821">
        <f>HE54/HD54</f>
        <v>0.37137737174982433</v>
      </c>
      <c r="HG54" s="1823">
        <v>13</v>
      </c>
      <c r="HH54" s="1824">
        <v>365791</v>
      </c>
      <c r="HI54" s="1824">
        <v>569200</v>
      </c>
      <c r="HJ54" s="1818">
        <f t="shared" si="149"/>
        <v>203409</v>
      </c>
      <c r="HK54" s="1821">
        <f>HJ54/HI54</f>
        <v>0.35735945186226281</v>
      </c>
      <c r="HL54" s="1823">
        <v>11</v>
      </c>
      <c r="HM54" s="1824">
        <v>305811</v>
      </c>
      <c r="HN54" s="1824">
        <v>569200</v>
      </c>
      <c r="HO54" s="1818">
        <f t="shared" si="151"/>
        <v>263389</v>
      </c>
      <c r="HP54" s="1821">
        <f>HO54/HN54</f>
        <v>0.46273541813070979</v>
      </c>
      <c r="HQ54" s="654">
        <v>11</v>
      </c>
      <c r="HR54" s="1248">
        <v>315637</v>
      </c>
      <c r="HS54" s="1248">
        <v>569200</v>
      </c>
      <c r="HT54" s="1248">
        <f t="shared" si="232"/>
        <v>253563</v>
      </c>
      <c r="HU54" s="1826">
        <f>HT54/HS54</f>
        <v>0.44547259311314125</v>
      </c>
      <c r="HV54" s="5941">
        <f t="shared" si="155"/>
        <v>6</v>
      </c>
      <c r="HW54" s="622">
        <f t="shared" si="156"/>
        <v>1973735</v>
      </c>
      <c r="HX54" s="622">
        <f t="shared" si="156"/>
        <v>3415200</v>
      </c>
      <c r="HY54" s="622">
        <f t="shared" si="156"/>
        <v>1441465</v>
      </c>
      <c r="HZ54" s="1828"/>
      <c r="IA54" s="1829"/>
      <c r="IB54" s="1830"/>
      <c r="IC54" s="1830"/>
      <c r="ID54" s="1831"/>
      <c r="IE54" s="1832"/>
      <c r="IF54" s="1833"/>
      <c r="IG54" s="1834"/>
      <c r="IH54" s="1831"/>
      <c r="II54" s="1835">
        <f t="shared" si="157"/>
        <v>12.333333333333334</v>
      </c>
      <c r="IJ54" s="1836">
        <f t="shared" si="158"/>
        <v>1707600</v>
      </c>
      <c r="IK54" s="1836">
        <f t="shared" si="158"/>
        <v>721104</v>
      </c>
      <c r="IL54" s="239">
        <f>IK54/IJ54</f>
        <v>0.42229093464511597</v>
      </c>
      <c r="IM54" s="1837">
        <f t="shared" si="160"/>
        <v>13</v>
      </c>
      <c r="IN54" s="1836">
        <f t="shared" si="161"/>
        <v>1707600</v>
      </c>
      <c r="IO54" s="1836">
        <f t="shared" si="161"/>
        <v>720361</v>
      </c>
      <c r="IP54" s="1838">
        <f>IO54/IN54</f>
        <v>0.42185582103537128</v>
      </c>
      <c r="IQ54" s="1839"/>
      <c r="IR54" s="1840">
        <v>11</v>
      </c>
      <c r="IS54" s="1818">
        <v>336163</v>
      </c>
      <c r="IT54" s="1818">
        <v>569200</v>
      </c>
      <c r="IU54" s="1818">
        <f t="shared" si="163"/>
        <v>233037</v>
      </c>
      <c r="IV54" s="1819">
        <f>IU54/IT54</f>
        <v>0.40941145467322559</v>
      </c>
      <c r="IW54" s="1820">
        <v>14</v>
      </c>
      <c r="IX54" s="1818">
        <v>348038</v>
      </c>
      <c r="IY54" s="1818">
        <v>569200</v>
      </c>
      <c r="IZ54" s="1818">
        <f t="shared" si="233"/>
        <v>221162</v>
      </c>
      <c r="JA54" s="1821">
        <f>IZ54/IY54</f>
        <v>0.38854884047786364</v>
      </c>
      <c r="JB54" s="1984">
        <v>13</v>
      </c>
      <c r="JC54" s="1985">
        <v>318328</v>
      </c>
      <c r="JD54" s="1986">
        <v>569200</v>
      </c>
      <c r="JE54" s="1818">
        <f t="shared" si="164"/>
        <v>250872</v>
      </c>
      <c r="JF54" s="1821">
        <f t="shared" si="235"/>
        <v>0.44074490513000703</v>
      </c>
      <c r="JG54" s="1981">
        <v>9</v>
      </c>
      <c r="JH54" s="1824">
        <v>262132</v>
      </c>
      <c r="JI54" s="1824">
        <v>569200</v>
      </c>
      <c r="JJ54" s="1822">
        <f t="shared" si="234"/>
        <v>307068</v>
      </c>
      <c r="JK54" s="1821">
        <f>JJ54/JI54</f>
        <v>0.53947294448348559</v>
      </c>
      <c r="JL54" s="1823">
        <v>11</v>
      </c>
      <c r="JM54" s="1824">
        <v>319393</v>
      </c>
      <c r="JN54" s="1824">
        <v>569200</v>
      </c>
      <c r="JO54" s="1996">
        <f t="shared" si="165"/>
        <v>249807</v>
      </c>
      <c r="JP54" s="1821">
        <f>JO54/JN54</f>
        <v>0.4388738580463809</v>
      </c>
      <c r="JQ54" s="6013">
        <v>11</v>
      </c>
      <c r="JR54" s="1982">
        <v>319360</v>
      </c>
      <c r="JS54" s="1248">
        <v>569200</v>
      </c>
      <c r="JT54" s="1996">
        <f>JS54-JR54</f>
        <v>249840</v>
      </c>
      <c r="JU54" s="1821">
        <f>JT54/JS54</f>
        <v>0.43893183415319748</v>
      </c>
      <c r="JV54" s="1981">
        <v>10</v>
      </c>
      <c r="JW54" s="1824">
        <v>293832</v>
      </c>
      <c r="JX54" s="1248">
        <v>569200</v>
      </c>
      <c r="JY54" s="1996">
        <f>JX54-JW54</f>
        <v>275368</v>
      </c>
      <c r="JZ54" s="1821">
        <f>JY54/JX54</f>
        <v>0.48378074490513001</v>
      </c>
      <c r="KA54" s="1981">
        <v>12</v>
      </c>
      <c r="KB54" s="1248">
        <v>366566</v>
      </c>
      <c r="KC54" s="1982">
        <v>569200</v>
      </c>
      <c r="KD54" s="1983">
        <f t="shared" si="231"/>
        <v>202634</v>
      </c>
      <c r="KE54" s="1952">
        <f>KD54/KC54</f>
        <v>0.35599789177793395</v>
      </c>
      <c r="KF54" s="1990"/>
      <c r="KG54" s="1248">
        <v>0</v>
      </c>
      <c r="KH54" s="6063">
        <v>0</v>
      </c>
      <c r="KI54" s="1818">
        <f t="shared" si="227"/>
        <v>0</v>
      </c>
      <c r="KJ54" s="1821"/>
      <c r="KK54" s="1990"/>
      <c r="KL54" s="1904"/>
      <c r="KM54" s="1904"/>
      <c r="KN54" s="2023">
        <f t="shared" si="130"/>
        <v>0</v>
      </c>
      <c r="KO54" s="2024"/>
      <c r="KP54" s="1823"/>
      <c r="KQ54" s="1982"/>
      <c r="KR54" s="1248"/>
      <c r="KS54" s="1996">
        <f t="shared" si="236"/>
        <v>0</v>
      </c>
      <c r="KT54" s="1819"/>
      <c r="KU54" s="1905"/>
      <c r="KV54" s="1248"/>
      <c r="KW54" s="1248"/>
      <c r="KX54" s="1248">
        <f t="shared" si="145"/>
        <v>0</v>
      </c>
      <c r="KY54" s="77"/>
      <c r="KZ54" s="1832"/>
      <c r="LA54" s="622">
        <f t="shared" si="144"/>
        <v>2563812</v>
      </c>
      <c r="LB54" s="622">
        <f t="shared" si="144"/>
        <v>4553600</v>
      </c>
      <c r="LC54" s="622">
        <f t="shared" si="144"/>
        <v>1989788</v>
      </c>
      <c r="LD54" s="239">
        <f>LC54/LB54</f>
        <v>0.43697030920590302</v>
      </c>
      <c r="LE54" s="1834">
        <f t="shared" si="71"/>
        <v>12.666666666666666</v>
      </c>
      <c r="LF54" s="1830">
        <f t="shared" si="167"/>
        <v>1707600</v>
      </c>
      <c r="LG54" s="1830">
        <f t="shared" si="167"/>
        <v>705071</v>
      </c>
      <c r="LH54" s="1831">
        <f t="shared" si="168"/>
        <v>0.41290173342703207</v>
      </c>
      <c r="LI54" s="1832">
        <f t="shared" si="132"/>
        <v>10.333333333333334</v>
      </c>
      <c r="LJ54" s="1833">
        <f t="shared" si="133"/>
        <v>1707600</v>
      </c>
      <c r="LK54" s="1834">
        <f t="shared" si="133"/>
        <v>806715</v>
      </c>
      <c r="LL54" s="1831">
        <f t="shared" si="169"/>
        <v>0.47242621222768799</v>
      </c>
      <c r="LM54" s="1835">
        <f t="shared" si="135"/>
        <v>7.333333333333333</v>
      </c>
      <c r="LN54" s="1836">
        <f t="shared" si="136"/>
        <v>1138400</v>
      </c>
      <c r="LO54" s="1836">
        <f t="shared" si="136"/>
        <v>478002</v>
      </c>
      <c r="LP54" s="239">
        <f>LO54/LN54</f>
        <v>0.41988931834153198</v>
      </c>
      <c r="LQ54" s="1837">
        <f t="shared" si="140"/>
        <v>0</v>
      </c>
      <c r="LR54" s="1836">
        <f t="shared" si="229"/>
        <v>0</v>
      </c>
      <c r="LS54" s="1836">
        <f t="shared" si="229"/>
        <v>0</v>
      </c>
      <c r="LT54" s="1838"/>
      <c r="LV54" s="3645"/>
      <c r="LW54" s="2897"/>
      <c r="LX54" s="2897"/>
      <c r="LY54" s="2589">
        <f t="shared" si="137"/>
        <v>0</v>
      </c>
      <c r="LZ54" s="77"/>
      <c r="MF54" s="5880"/>
      <c r="MG54" s="4965"/>
      <c r="MH54" s="4965"/>
      <c r="MI54" s="1839"/>
      <c r="MJ54" s="207" t="e">
        <f t="shared" si="170"/>
        <v>#DIV/0!</v>
      </c>
      <c r="MK54" s="5881"/>
      <c r="MN54" s="372">
        <f t="shared" si="12"/>
        <v>0</v>
      </c>
      <c r="MP54" s="5881"/>
      <c r="MQ54" s="1839"/>
      <c r="MR54" s="1839"/>
      <c r="MS54" s="1839"/>
      <c r="MT54" s="693"/>
      <c r="MU54" s="2035"/>
      <c r="MV54" s="1914"/>
      <c r="MW54" s="1914"/>
      <c r="MX54" s="1914"/>
      <c r="MY54" s="5882"/>
      <c r="MZ54" s="1659"/>
      <c r="NA54" s="1839"/>
      <c r="NB54" s="1839"/>
      <c r="NC54" s="1839"/>
      <c r="ND54" s="1839"/>
      <c r="NO54" s="5883"/>
      <c r="NP54" s="2425"/>
      <c r="NQ54" s="2425"/>
      <c r="NR54" s="5883"/>
      <c r="NT54" s="1839"/>
      <c r="NU54" s="1839"/>
      <c r="NV54" s="715"/>
      <c r="NW54" s="1839"/>
      <c r="NX54" s="1660"/>
      <c r="NY54" s="1659"/>
      <c r="NZ54" s="715"/>
      <c r="OA54" s="715"/>
      <c r="OB54" s="1839"/>
      <c r="OC54" s="1660"/>
      <c r="OE54" s="5885"/>
      <c r="OF54" s="5885"/>
      <c r="OG54" s="715"/>
      <c r="OH54" s="1660"/>
      <c r="OI54" s="1659"/>
      <c r="OJ54" s="1839"/>
      <c r="OK54" s="1839"/>
      <c r="OL54" s="1839"/>
      <c r="OM54" s="693"/>
      <c r="ON54" s="1659"/>
      <c r="OO54" s="715"/>
      <c r="OP54" s="715"/>
      <c r="OQ54" s="715"/>
      <c r="OR54" s="705"/>
      <c r="OS54" s="1659"/>
      <c r="OT54" s="1839"/>
      <c r="OU54" s="1839"/>
      <c r="OV54" s="1839"/>
      <c r="OW54" s="705"/>
      <c r="OX54" s="1659"/>
      <c r="OY54" s="1839"/>
      <c r="OZ54" s="1839"/>
      <c r="PA54" s="1839"/>
      <c r="PB54" s="1660"/>
      <c r="PD54" s="3645"/>
      <c r="PE54" s="2897"/>
      <c r="PF54" s="2897"/>
      <c r="PG54" s="2589">
        <f t="shared" si="138"/>
        <v>0</v>
      </c>
      <c r="PH54" s="77"/>
      <c r="PN54" s="5880"/>
      <c r="PO54" s="4965"/>
      <c r="PP54" s="4965"/>
      <c r="PQ54" s="1839"/>
      <c r="PR54" s="207" t="e">
        <f t="shared" si="171"/>
        <v>#DIV/0!</v>
      </c>
      <c r="PS54" s="5886"/>
      <c r="PT54" s="5883"/>
      <c r="PU54" s="5883"/>
      <c r="PV54" s="2892">
        <f t="shared" si="13"/>
        <v>0</v>
      </c>
      <c r="PW54" s="5883"/>
      <c r="PX54" s="5881"/>
      <c r="PY54" s="1839"/>
      <c r="PZ54" s="1839"/>
      <c r="QA54" s="1839"/>
      <c r="QB54" s="693"/>
      <c r="QC54" s="2035"/>
      <c r="QD54" s="1914"/>
      <c r="QE54" s="1914"/>
      <c r="QF54" s="1914"/>
      <c r="QG54" s="5882"/>
      <c r="QH54" s="1910"/>
      <c r="QI54" s="1839"/>
      <c r="QJ54" s="1839"/>
      <c r="QK54" s="1839"/>
      <c r="QL54" s="1839"/>
      <c r="QM54" s="5880"/>
      <c r="QR54" s="5883"/>
      <c r="QS54" s="5883"/>
      <c r="QT54" s="5883"/>
      <c r="QU54" s="5883"/>
      <c r="QV54" s="1677"/>
      <c r="QW54" s="5883"/>
      <c r="QX54" s="2425"/>
      <c r="QY54" s="2425"/>
      <c r="QZ54" s="5883"/>
      <c r="RA54" s="5883"/>
      <c r="RB54" s="1839"/>
      <c r="RC54" s="1839"/>
      <c r="RD54" s="715"/>
      <c r="RE54" s="1839"/>
      <c r="RF54" s="1660"/>
      <c r="RG54" s="2037"/>
      <c r="RH54" s="1914"/>
      <c r="RI54" s="1914"/>
      <c r="RJ54" s="5882"/>
      <c r="RK54" s="1660"/>
      <c r="RL54" s="5883"/>
      <c r="RM54" s="1873">
        <f t="shared" si="77"/>
        <v>0</v>
      </c>
      <c r="RN54" s="1873">
        <f t="shared" si="77"/>
        <v>0</v>
      </c>
      <c r="RO54" s="1873">
        <f t="shared" si="77"/>
        <v>0</v>
      </c>
      <c r="RP54" s="5883"/>
      <c r="RQ54" s="1659"/>
      <c r="RR54" s="1839"/>
      <c r="RS54" s="1839"/>
      <c r="RT54" s="1839"/>
      <c r="RU54" s="693"/>
      <c r="RV54" s="1659"/>
      <c r="RW54" s="715"/>
      <c r="RX54" s="715"/>
      <c r="RY54" s="715"/>
      <c r="RZ54" s="705"/>
      <c r="SA54" s="1659"/>
      <c r="SB54" s="1839"/>
      <c r="SC54" s="1839"/>
      <c r="SD54" s="1839"/>
      <c r="SE54" s="705"/>
      <c r="SF54" s="1659"/>
      <c r="SG54" s="1839"/>
      <c r="SH54" s="1839"/>
      <c r="SI54" s="1839"/>
      <c r="SJ54" s="1660"/>
      <c r="SL54" s="3645"/>
      <c r="SM54" s="2897"/>
      <c r="SN54" s="2897"/>
      <c r="SO54" s="6029">
        <f t="shared" si="139"/>
        <v>0</v>
      </c>
      <c r="SP54" s="6056"/>
      <c r="SQ54" s="5883"/>
      <c r="SR54" s="5883"/>
      <c r="SS54" s="5883"/>
      <c r="ST54" s="5883"/>
      <c r="SU54" s="5883"/>
      <c r="SV54" s="5880"/>
      <c r="SW54" s="4965"/>
      <c r="SX54" s="4965"/>
      <c r="SY54" s="1839"/>
      <c r="SZ54" s="207" t="e">
        <f t="shared" si="172"/>
        <v>#DIV/0!</v>
      </c>
      <c r="TA54" s="5881"/>
      <c r="TD54" s="372">
        <f t="shared" si="14"/>
        <v>0</v>
      </c>
      <c r="TF54" s="5881"/>
      <c r="TG54" s="1839"/>
      <c r="TH54" s="1839"/>
      <c r="TI54" s="1839"/>
      <c r="TJ54" s="693"/>
      <c r="TK54" s="2035"/>
      <c r="TL54" s="1914"/>
      <c r="TM54" s="1914"/>
      <c r="TN54" s="1914"/>
      <c r="TO54" s="5882"/>
      <c r="TP54" s="2407"/>
      <c r="TQ54" s="1839"/>
      <c r="TR54" s="1839"/>
      <c r="TS54" s="1839"/>
      <c r="TT54" s="1839"/>
      <c r="TU54" s="5889"/>
      <c r="TV54" s="5883"/>
      <c r="TW54" s="5883"/>
      <c r="TX54" s="5883"/>
      <c r="TY54" s="5883"/>
      <c r="TZ54" s="5883"/>
      <c r="UA54" s="5883"/>
      <c r="UB54" s="5883"/>
      <c r="UC54" s="5883"/>
      <c r="UD54" s="1677"/>
      <c r="UE54" s="5883"/>
      <c r="UF54" s="2425"/>
      <c r="UG54" s="2425"/>
      <c r="UH54" s="5883"/>
      <c r="UI54" s="5883"/>
      <c r="UJ54" s="1839"/>
      <c r="UK54" s="1839"/>
      <c r="UL54" s="715"/>
      <c r="UM54" s="1839"/>
      <c r="UN54" s="1660"/>
      <c r="UO54" s="2037"/>
      <c r="UP54" s="1914"/>
      <c r="UQ54" s="1914"/>
      <c r="UR54" s="5882"/>
      <c r="US54" s="1660"/>
      <c r="UU54" s="622">
        <f t="shared" si="78"/>
        <v>0</v>
      </c>
      <c r="UV54" s="622">
        <f t="shared" si="78"/>
        <v>0</v>
      </c>
      <c r="UW54" s="622">
        <f t="shared" si="78"/>
        <v>0</v>
      </c>
      <c r="UY54" s="1659"/>
      <c r="UZ54" s="1839"/>
      <c r="VA54" s="1839"/>
      <c r="VB54" s="1839"/>
      <c r="VC54" s="693"/>
      <c r="VD54" s="1659"/>
      <c r="VE54" s="715"/>
      <c r="VF54" s="715"/>
      <c r="VG54" s="715"/>
      <c r="VH54" s="705"/>
      <c r="VI54" s="1659"/>
      <c r="VJ54" s="1839"/>
      <c r="VK54" s="1839"/>
      <c r="VL54" s="1839"/>
      <c r="VM54" s="705"/>
      <c r="VN54" s="1659"/>
      <c r="VO54" s="1839"/>
      <c r="VP54" s="1839"/>
      <c r="VQ54" s="1839"/>
      <c r="VR54" s="1660"/>
    </row>
    <row r="55" spans="1:590" s="122" customFormat="1" ht="13.45" hidden="1" x14ac:dyDescent="0.3">
      <c r="B55" s="6016" t="s">
        <v>53</v>
      </c>
      <c r="C55" s="6031" t="s">
        <v>785</v>
      </c>
      <c r="D55" s="5989" t="s">
        <v>815</v>
      </c>
      <c r="E55" s="6032">
        <v>44197</v>
      </c>
      <c r="F55" s="6032">
        <v>44469</v>
      </c>
      <c r="G55" s="5965">
        <v>0</v>
      </c>
      <c r="H55" s="1775"/>
      <c r="I55" s="1776"/>
      <c r="J55" s="1776"/>
      <c r="K55" s="1776"/>
      <c r="L55" s="1777"/>
      <c r="M55" s="1778"/>
      <c r="N55" s="1779"/>
      <c r="O55" s="1779"/>
      <c r="P55" s="1779"/>
      <c r="Q55" s="1780"/>
      <c r="R55" s="1780"/>
      <c r="S55" s="1776"/>
      <c r="T55" s="1776"/>
      <c r="U55" s="1776"/>
      <c r="V55" s="1777"/>
      <c r="W55" s="1776"/>
      <c r="X55" s="1776"/>
      <c r="Y55" s="1781"/>
      <c r="Z55" s="1776"/>
      <c r="AA55" s="1782"/>
      <c r="AB55" s="1781"/>
      <c r="AC55" s="1783"/>
      <c r="AD55" s="1784"/>
      <c r="AE55" s="1776"/>
      <c r="AF55" s="1777"/>
      <c r="AG55" s="1785"/>
      <c r="AH55" s="1776"/>
      <c r="AI55" s="1776"/>
      <c r="AJ55" s="1786"/>
      <c r="AK55" s="1777"/>
      <c r="AL55" s="1785"/>
      <c r="AM55" s="1776"/>
      <c r="AN55" s="1776"/>
      <c r="AO55" s="1781"/>
      <c r="AP55" s="1777"/>
      <c r="AQ55" s="1787"/>
      <c r="AR55" s="1788"/>
      <c r="AS55" s="1788"/>
      <c r="AT55" s="1789"/>
      <c r="AU55" s="1777"/>
      <c r="AV55" s="1790"/>
      <c r="AW55" s="1781"/>
      <c r="AX55" s="1781"/>
      <c r="AY55" s="1781"/>
      <c r="AZ55" s="1777"/>
      <c r="BA55" s="1791"/>
      <c r="BB55" s="1792"/>
      <c r="BC55" s="1783"/>
      <c r="BD55" s="1781"/>
      <c r="BE55" s="1780"/>
      <c r="BF55" s="1790"/>
      <c r="BG55" s="1781"/>
      <c r="BH55" s="1776"/>
      <c r="BI55" s="1781"/>
      <c r="BJ55" s="1793"/>
      <c r="BK55" s="1790"/>
      <c r="BL55" s="1781"/>
      <c r="BM55" s="1776"/>
      <c r="BN55" s="1781"/>
      <c r="BO55" s="1794"/>
      <c r="BP55" s="1937"/>
      <c r="BQ55" s="1796"/>
      <c r="BR55" s="1786"/>
      <c r="BS55" s="1797"/>
      <c r="BT55" s="1798"/>
      <c r="BU55" s="1786"/>
      <c r="BV55" s="1786"/>
      <c r="BW55" s="1799"/>
      <c r="BX55" s="1800"/>
      <c r="BY55" s="1786"/>
      <c r="BZ55" s="1786"/>
      <c r="CA55" s="1801"/>
      <c r="CB55" s="1802"/>
      <c r="CC55" s="1786"/>
      <c r="CD55" s="1786"/>
      <c r="CE55" s="1803"/>
      <c r="CF55" s="1800"/>
      <c r="CG55" s="1776"/>
      <c r="CH55" s="1776"/>
      <c r="CI55" s="1801"/>
      <c r="CJ55" s="1804"/>
      <c r="CK55" s="1776"/>
      <c r="CL55" s="1776"/>
      <c r="CM55" s="1776"/>
      <c r="CN55" s="1799"/>
      <c r="CO55" s="1804"/>
      <c r="CP55" s="1776"/>
      <c r="CQ55" s="1776"/>
      <c r="CR55" s="1776"/>
      <c r="CS55" s="1799"/>
      <c r="CT55" s="1804"/>
      <c r="CU55" s="1776"/>
      <c r="CV55" s="1776"/>
      <c r="CW55" s="1776"/>
      <c r="CX55" s="1801"/>
      <c r="CY55" s="1804"/>
      <c r="CZ55" s="1776"/>
      <c r="DA55" s="1776"/>
      <c r="DB55" s="1776"/>
      <c r="DC55" s="1801"/>
      <c r="DD55" s="1805"/>
      <c r="DE55" s="1806"/>
      <c r="DF55" s="1806"/>
      <c r="DG55" s="1783"/>
      <c r="DH55" s="1938"/>
      <c r="DI55" s="1804"/>
      <c r="DJ55" s="1806"/>
      <c r="DK55" s="1806"/>
      <c r="DL55" s="1776"/>
      <c r="DM55" s="1938"/>
      <c r="DN55" s="1804"/>
      <c r="DO55" s="1806"/>
      <c r="DP55" s="1806"/>
      <c r="DQ55" s="1776"/>
      <c r="DR55" s="1938"/>
      <c r="DS55" s="1804"/>
      <c r="DT55" s="1806"/>
      <c r="DU55" s="1806"/>
      <c r="DV55" s="1810"/>
      <c r="DW55" s="1801"/>
      <c r="DX55" s="1804"/>
      <c r="DY55" s="1776"/>
      <c r="DZ55" s="1776"/>
      <c r="EA55" s="1776"/>
      <c r="EB55" s="1807"/>
      <c r="EC55" s="1804"/>
      <c r="ED55" s="1776"/>
      <c r="EE55" s="1776"/>
      <c r="EF55" s="1786"/>
      <c r="EG55" s="1807"/>
      <c r="EH55" s="1805"/>
      <c r="EI55" s="1776"/>
      <c r="EJ55" s="1776"/>
      <c r="EK55" s="1776"/>
      <c r="EL55" s="1801"/>
      <c r="EM55" s="1804"/>
      <c r="EN55" s="1776"/>
      <c r="EO55" s="1776"/>
      <c r="EP55" s="1776"/>
      <c r="EQ55" s="1801"/>
      <c r="ER55" s="2402">
        <f t="shared" si="38"/>
        <v>0</v>
      </c>
      <c r="ES55" s="2403">
        <f t="shared" si="146"/>
        <v>0</v>
      </c>
      <c r="ET55" s="2403">
        <f t="shared" si="146"/>
        <v>0</v>
      </c>
      <c r="EU55" s="2403">
        <f t="shared" si="146"/>
        <v>0</v>
      </c>
      <c r="EV55" s="2404" t="e">
        <f t="shared" si="40"/>
        <v>#DIV/0!</v>
      </c>
      <c r="EW55" s="1814"/>
      <c r="EX55" s="1776"/>
      <c r="EY55" s="1776"/>
      <c r="EZ55" s="1815"/>
      <c r="FA55" s="1939"/>
      <c r="FB55" s="1786"/>
      <c r="FC55" s="1786"/>
      <c r="FD55" s="1799"/>
      <c r="FE55" s="1814"/>
      <c r="FF55" s="1786"/>
      <c r="FG55" s="1786"/>
      <c r="FH55" s="1803"/>
      <c r="FI55" s="1816"/>
      <c r="FJ55" s="1814"/>
      <c r="FK55" s="1786"/>
      <c r="FL55" s="1786"/>
      <c r="FM55" s="1799"/>
      <c r="FN55" s="1817"/>
      <c r="FO55" s="1818"/>
      <c r="FP55" s="1818"/>
      <c r="FQ55" s="6036"/>
      <c r="FR55" s="1819"/>
      <c r="FS55" s="1820"/>
      <c r="FT55" s="1822"/>
      <c r="FU55" s="1822"/>
      <c r="FV55" s="1822"/>
      <c r="FW55" s="1821"/>
      <c r="FX55" s="1820"/>
      <c r="FY55" s="6037"/>
      <c r="FZ55" s="6037"/>
      <c r="GA55" s="1822"/>
      <c r="GB55" s="1821"/>
      <c r="GC55" s="6038"/>
      <c r="GD55" s="1824"/>
      <c r="GE55" s="1824"/>
      <c r="GF55" s="1825"/>
      <c r="GG55" s="1821"/>
      <c r="GH55" s="1823"/>
      <c r="GI55" s="1824"/>
      <c r="GJ55" s="1824"/>
      <c r="GK55" s="1818"/>
      <c r="GL55" s="1821"/>
      <c r="GM55" s="1823"/>
      <c r="GN55" s="1824"/>
      <c r="GO55" s="1824"/>
      <c r="GP55" s="1818"/>
      <c r="GQ55" s="1821"/>
      <c r="GR55" s="1823"/>
      <c r="GS55" s="1824"/>
      <c r="GT55" s="1824"/>
      <c r="GU55" s="1818"/>
      <c r="GV55" s="1821"/>
      <c r="GW55" s="1823"/>
      <c r="GX55" s="1824"/>
      <c r="GY55" s="1824"/>
      <c r="GZ55" s="1818"/>
      <c r="HA55" s="1821"/>
      <c r="HB55" s="1823"/>
      <c r="HC55" s="1824"/>
      <c r="HD55" s="1824"/>
      <c r="HE55" s="1818"/>
      <c r="HF55" s="1821"/>
      <c r="HG55" s="1823">
        <v>5</v>
      </c>
      <c r="HH55" s="1824">
        <v>99871</v>
      </c>
      <c r="HI55" s="1824">
        <v>219375</v>
      </c>
      <c r="HJ55" s="1818">
        <f t="shared" si="149"/>
        <v>119504</v>
      </c>
      <c r="HK55" s="1821">
        <f>HJ55/HI55</f>
        <v>0.54474757834757837</v>
      </c>
      <c r="HL55" s="1823">
        <v>5</v>
      </c>
      <c r="HM55" s="1824">
        <v>135214</v>
      </c>
      <c r="HN55" s="1824">
        <v>219375</v>
      </c>
      <c r="HO55" s="1818">
        <f t="shared" si="151"/>
        <v>84161</v>
      </c>
      <c r="HP55" s="1821">
        <f>HO55/HN55</f>
        <v>0.38363988603988602</v>
      </c>
      <c r="HQ55" s="654">
        <v>5</v>
      </c>
      <c r="HR55" s="1248">
        <v>137000</v>
      </c>
      <c r="HS55" s="1248">
        <v>219375</v>
      </c>
      <c r="HT55" s="1248">
        <f t="shared" si="232"/>
        <v>82375</v>
      </c>
      <c r="HU55" s="1826">
        <f>HT55/HS55</f>
        <v>0.37549857549857552</v>
      </c>
      <c r="HV55" s="5941">
        <f t="shared" si="155"/>
        <v>1.25</v>
      </c>
      <c r="HW55" s="622">
        <f t="shared" si="156"/>
        <v>372085</v>
      </c>
      <c r="HX55" s="622">
        <f t="shared" si="156"/>
        <v>658125</v>
      </c>
      <c r="HY55" s="622">
        <f t="shared" si="156"/>
        <v>286040</v>
      </c>
      <c r="HZ55" s="1828"/>
      <c r="IA55" s="1829"/>
      <c r="IB55" s="1830"/>
      <c r="IC55" s="1830"/>
      <c r="ID55" s="1831"/>
      <c r="IE55" s="1832"/>
      <c r="IF55" s="1833"/>
      <c r="IG55" s="1834"/>
      <c r="IH55" s="1831"/>
      <c r="II55" s="1835"/>
      <c r="IJ55" s="1836"/>
      <c r="IK55" s="1836"/>
      <c r="IL55" s="239"/>
      <c r="IM55" s="1837">
        <f t="shared" si="160"/>
        <v>3.3333333333333335</v>
      </c>
      <c r="IN55" s="1836">
        <f t="shared" si="161"/>
        <v>658125</v>
      </c>
      <c r="IO55" s="1836">
        <f t="shared" si="161"/>
        <v>286040</v>
      </c>
      <c r="IP55" s="1838">
        <f>IO55/IN55</f>
        <v>0.43462867996201332</v>
      </c>
      <c r="IQ55" s="1839"/>
      <c r="IR55" s="1840">
        <v>5</v>
      </c>
      <c r="IS55" s="1818">
        <v>135457</v>
      </c>
      <c r="IT55" s="1818">
        <v>219375</v>
      </c>
      <c r="IU55" s="1818">
        <f t="shared" si="163"/>
        <v>83918</v>
      </c>
      <c r="IV55" s="1819">
        <f>IU55/IT55</f>
        <v>0.38253219373219371</v>
      </c>
      <c r="IW55" s="1820">
        <v>5</v>
      </c>
      <c r="IX55" s="1818">
        <v>137000</v>
      </c>
      <c r="IY55" s="1818">
        <v>219375</v>
      </c>
      <c r="IZ55" s="1818">
        <f t="shared" si="233"/>
        <v>82375</v>
      </c>
      <c r="JA55" s="1821">
        <f>IZ55/IY55</f>
        <v>0.37549857549857552</v>
      </c>
      <c r="JB55" s="1984">
        <v>5</v>
      </c>
      <c r="JC55" s="1985">
        <v>135166</v>
      </c>
      <c r="JD55" s="1986">
        <v>219375</v>
      </c>
      <c r="JE55" s="1818">
        <f t="shared" si="164"/>
        <v>84209</v>
      </c>
      <c r="JF55" s="1821">
        <f t="shared" si="235"/>
        <v>0.38385868945868945</v>
      </c>
      <c r="JG55" s="1981">
        <v>5</v>
      </c>
      <c r="JH55" s="1824">
        <v>137000</v>
      </c>
      <c r="JI55" s="1824">
        <v>219375</v>
      </c>
      <c r="JJ55" s="1822">
        <f t="shared" si="234"/>
        <v>82375</v>
      </c>
      <c r="JK55" s="1821">
        <f>JJ55/JI55</f>
        <v>0.37549857549857552</v>
      </c>
      <c r="JL55" s="1823">
        <v>5</v>
      </c>
      <c r="JM55" s="1824">
        <v>137000</v>
      </c>
      <c r="JN55" s="1824">
        <v>219375</v>
      </c>
      <c r="JO55" s="1996">
        <f t="shared" si="165"/>
        <v>82375</v>
      </c>
      <c r="JP55" s="1821">
        <f>JO55/JN55</f>
        <v>0.37549857549857552</v>
      </c>
      <c r="JQ55" s="6013">
        <v>5</v>
      </c>
      <c r="JR55" s="1982">
        <v>137000</v>
      </c>
      <c r="JS55" s="1248">
        <v>219375</v>
      </c>
      <c r="JT55" s="1996">
        <f>JS55-JR55</f>
        <v>82375</v>
      </c>
      <c r="JU55" s="1821">
        <f>JT55/JS55</f>
        <v>0.37549857549857552</v>
      </c>
      <c r="JV55" s="1981">
        <v>5</v>
      </c>
      <c r="JW55" s="1824">
        <v>137000</v>
      </c>
      <c r="JX55" s="1248">
        <v>219375</v>
      </c>
      <c r="JY55" s="1996">
        <f>JX55-JW55</f>
        <v>82375</v>
      </c>
      <c r="JZ55" s="1821">
        <f>JY55/JX55</f>
        <v>0.37549857549857552</v>
      </c>
      <c r="KA55" s="1981">
        <v>5</v>
      </c>
      <c r="KB55" s="1248">
        <v>137000</v>
      </c>
      <c r="KC55" s="1982">
        <v>219375</v>
      </c>
      <c r="KD55" s="1983">
        <f t="shared" si="231"/>
        <v>82375</v>
      </c>
      <c r="KE55" s="1952">
        <f>KD55/KC55</f>
        <v>0.37549857549857552</v>
      </c>
      <c r="KF55" s="1990"/>
      <c r="KG55" s="1248">
        <v>0</v>
      </c>
      <c r="KH55" s="6063">
        <v>0</v>
      </c>
      <c r="KI55" s="1818">
        <f t="shared" si="227"/>
        <v>0</v>
      </c>
      <c r="KJ55" s="1821"/>
      <c r="KK55" s="1990"/>
      <c r="KL55" s="1904"/>
      <c r="KM55" s="1904"/>
      <c r="KN55" s="2023">
        <f t="shared" si="130"/>
        <v>0</v>
      </c>
      <c r="KO55" s="2024"/>
      <c r="KP55" s="1823"/>
      <c r="KQ55" s="1982"/>
      <c r="KR55" s="1248"/>
      <c r="KS55" s="1996">
        <f t="shared" si="236"/>
        <v>0</v>
      </c>
      <c r="KT55" s="1819"/>
      <c r="KU55" s="1905"/>
      <c r="KV55" s="1248"/>
      <c r="KW55" s="1248"/>
      <c r="KX55" s="1248">
        <f t="shared" si="145"/>
        <v>0</v>
      </c>
      <c r="KY55" s="77"/>
      <c r="KZ55" s="1832"/>
      <c r="LA55" s="622">
        <f t="shared" si="144"/>
        <v>1092623</v>
      </c>
      <c r="LB55" s="622">
        <f t="shared" si="144"/>
        <v>1755000</v>
      </c>
      <c r="LC55" s="622">
        <f t="shared" si="144"/>
        <v>662377</v>
      </c>
      <c r="LD55" s="239">
        <f>LC55/LB55</f>
        <v>0.377422792022792</v>
      </c>
      <c r="LE55" s="1834">
        <f t="shared" si="71"/>
        <v>5</v>
      </c>
      <c r="LF55" s="1830">
        <f t="shared" si="167"/>
        <v>658125</v>
      </c>
      <c r="LG55" s="1830">
        <f t="shared" si="167"/>
        <v>250502</v>
      </c>
      <c r="LH55" s="1831">
        <f t="shared" si="168"/>
        <v>0.38062981956315289</v>
      </c>
      <c r="LI55" s="1832">
        <f t="shared" si="132"/>
        <v>5</v>
      </c>
      <c r="LJ55" s="1833">
        <f t="shared" si="133"/>
        <v>658125</v>
      </c>
      <c r="LK55" s="1834">
        <f t="shared" si="133"/>
        <v>247125</v>
      </c>
      <c r="LL55" s="1831">
        <f t="shared" si="169"/>
        <v>0.37549857549857552</v>
      </c>
      <c r="LM55" s="1835">
        <f t="shared" si="135"/>
        <v>3.3333333333333335</v>
      </c>
      <c r="LN55" s="1836">
        <f t="shared" si="136"/>
        <v>438750</v>
      </c>
      <c r="LO55" s="1836">
        <f t="shared" si="136"/>
        <v>164750</v>
      </c>
      <c r="LP55" s="239">
        <f>LO55/LN55</f>
        <v>0.37549857549857552</v>
      </c>
      <c r="LQ55" s="1837">
        <f t="shared" si="140"/>
        <v>0</v>
      </c>
      <c r="LR55" s="1836">
        <f t="shared" si="229"/>
        <v>0</v>
      </c>
      <c r="LS55" s="1836">
        <f t="shared" si="229"/>
        <v>0</v>
      </c>
      <c r="LT55" s="1838"/>
      <c r="LV55" s="3645"/>
      <c r="LW55" s="2897"/>
      <c r="LX55" s="2897"/>
      <c r="LY55" s="2589">
        <f t="shared" si="137"/>
        <v>0</v>
      </c>
      <c r="LZ55" s="77"/>
      <c r="MF55" s="5880"/>
      <c r="MG55" s="4965"/>
      <c r="MH55" s="4965"/>
      <c r="MI55" s="1839"/>
      <c r="MJ55" s="207" t="e">
        <f t="shared" si="170"/>
        <v>#DIV/0!</v>
      </c>
      <c r="MK55" s="5881"/>
      <c r="MN55" s="372">
        <f t="shared" si="12"/>
        <v>0</v>
      </c>
      <c r="MP55" s="5881"/>
      <c r="MQ55" s="1839"/>
      <c r="MR55" s="1839"/>
      <c r="MS55" s="1839"/>
      <c r="MT55" s="693"/>
      <c r="MU55" s="2035"/>
      <c r="MV55" s="1914"/>
      <c r="MW55" s="1914"/>
      <c r="MX55" s="1914"/>
      <c r="MY55" s="5882"/>
      <c r="MZ55" s="1659"/>
      <c r="NA55" s="1839"/>
      <c r="NB55" s="1839"/>
      <c r="NC55" s="1839"/>
      <c r="ND55" s="1839"/>
      <c r="NO55" s="5883"/>
      <c r="NP55" s="2425"/>
      <c r="NQ55" s="2425"/>
      <c r="NR55" s="5883"/>
      <c r="NT55" s="1839"/>
      <c r="NU55" s="1839"/>
      <c r="NV55" s="715"/>
      <c r="NW55" s="1839"/>
      <c r="NX55" s="1660"/>
      <c r="NY55" s="1659"/>
      <c r="NZ55" s="715"/>
      <c r="OA55" s="715"/>
      <c r="OB55" s="1839"/>
      <c r="OC55" s="1660"/>
      <c r="OE55" s="5885"/>
      <c r="OF55" s="5885"/>
      <c r="OG55" s="715"/>
      <c r="OH55" s="1660"/>
      <c r="OI55" s="1659"/>
      <c r="OJ55" s="1839"/>
      <c r="OK55" s="1839"/>
      <c r="OL55" s="1839"/>
      <c r="OM55" s="693"/>
      <c r="ON55" s="1659"/>
      <c r="OO55" s="715"/>
      <c r="OP55" s="715"/>
      <c r="OQ55" s="715"/>
      <c r="OR55" s="705"/>
      <c r="OS55" s="1659"/>
      <c r="OT55" s="1839"/>
      <c r="OU55" s="1839"/>
      <c r="OV55" s="1839"/>
      <c r="OW55" s="705"/>
      <c r="OX55" s="1659"/>
      <c r="OY55" s="1839"/>
      <c r="OZ55" s="1839"/>
      <c r="PA55" s="1839"/>
      <c r="PB55" s="1660"/>
      <c r="PD55" s="3645"/>
      <c r="PE55" s="2897"/>
      <c r="PF55" s="2897"/>
      <c r="PG55" s="2589">
        <f t="shared" si="138"/>
        <v>0</v>
      </c>
      <c r="PH55" s="77"/>
      <c r="PN55" s="5880"/>
      <c r="PO55" s="4965"/>
      <c r="PP55" s="4965"/>
      <c r="PQ55" s="1839"/>
      <c r="PR55" s="207" t="e">
        <f t="shared" si="171"/>
        <v>#DIV/0!</v>
      </c>
      <c r="PS55" s="5886"/>
      <c r="PT55" s="5883"/>
      <c r="PU55" s="5883"/>
      <c r="PV55" s="2892">
        <f t="shared" si="13"/>
        <v>0</v>
      </c>
      <c r="PW55" s="5883"/>
      <c r="PX55" s="5881"/>
      <c r="PY55" s="1839"/>
      <c r="PZ55" s="1839"/>
      <c r="QA55" s="1839"/>
      <c r="QB55" s="693"/>
      <c r="QC55" s="2035"/>
      <c r="QD55" s="1914"/>
      <c r="QE55" s="1914"/>
      <c r="QF55" s="1914"/>
      <c r="QG55" s="5882"/>
      <c r="QH55" s="1910"/>
      <c r="QI55" s="1839"/>
      <c r="QJ55" s="1839"/>
      <c r="QK55" s="1839"/>
      <c r="QL55" s="1839"/>
      <c r="QM55" s="5880"/>
      <c r="QR55" s="5883"/>
      <c r="QS55" s="5883"/>
      <c r="QT55" s="5883"/>
      <c r="QU55" s="5883"/>
      <c r="QV55" s="1677"/>
      <c r="QW55" s="5883"/>
      <c r="QX55" s="2425"/>
      <c r="QY55" s="2425"/>
      <c r="QZ55" s="5883"/>
      <c r="RA55" s="5883"/>
      <c r="RB55" s="1839"/>
      <c r="RC55" s="1839"/>
      <c r="RD55" s="715"/>
      <c r="RE55" s="1839"/>
      <c r="RF55" s="1660"/>
      <c r="RG55" s="2037"/>
      <c r="RH55" s="1914"/>
      <c r="RI55" s="1914"/>
      <c r="RJ55" s="5882"/>
      <c r="RK55" s="1660"/>
      <c r="RL55" s="5883"/>
      <c r="RM55" s="1873">
        <f t="shared" si="77"/>
        <v>0</v>
      </c>
      <c r="RN55" s="1873">
        <f t="shared" si="77"/>
        <v>0</v>
      </c>
      <c r="RO55" s="1873">
        <f t="shared" si="77"/>
        <v>0</v>
      </c>
      <c r="RP55" s="5883"/>
      <c r="RQ55" s="1659"/>
      <c r="RR55" s="1839"/>
      <c r="RS55" s="1839"/>
      <c r="RT55" s="1839"/>
      <c r="RU55" s="693"/>
      <c r="RV55" s="1659"/>
      <c r="RW55" s="715"/>
      <c r="RX55" s="715"/>
      <c r="RY55" s="715"/>
      <c r="RZ55" s="705"/>
      <c r="SA55" s="1659"/>
      <c r="SB55" s="1839"/>
      <c r="SC55" s="1839"/>
      <c r="SD55" s="1839"/>
      <c r="SE55" s="705"/>
      <c r="SF55" s="1659"/>
      <c r="SG55" s="1839"/>
      <c r="SH55" s="1839"/>
      <c r="SI55" s="1839"/>
      <c r="SJ55" s="1660"/>
      <c r="SL55" s="3645"/>
      <c r="SM55" s="2897"/>
      <c r="SN55" s="2897"/>
      <c r="SO55" s="6029">
        <f t="shared" si="139"/>
        <v>0</v>
      </c>
      <c r="SP55" s="6056"/>
      <c r="SQ55" s="5883"/>
      <c r="SR55" s="5883"/>
      <c r="SS55" s="5883"/>
      <c r="ST55" s="5883"/>
      <c r="SU55" s="5883"/>
      <c r="SV55" s="5880"/>
      <c r="SW55" s="4965"/>
      <c r="SX55" s="4965"/>
      <c r="SY55" s="1839"/>
      <c r="SZ55" s="207" t="e">
        <f t="shared" si="172"/>
        <v>#DIV/0!</v>
      </c>
      <c r="TA55" s="5881"/>
      <c r="TD55" s="372">
        <f t="shared" si="14"/>
        <v>0</v>
      </c>
      <c r="TF55" s="5881"/>
      <c r="TG55" s="1839"/>
      <c r="TH55" s="1839"/>
      <c r="TI55" s="1839"/>
      <c r="TJ55" s="693"/>
      <c r="TK55" s="2035"/>
      <c r="TL55" s="1914"/>
      <c r="TM55" s="1914"/>
      <c r="TN55" s="1914"/>
      <c r="TO55" s="5882"/>
      <c r="TP55" s="2407"/>
      <c r="TQ55" s="1839"/>
      <c r="TR55" s="1839"/>
      <c r="TS55" s="1839"/>
      <c r="TT55" s="1839"/>
      <c r="TU55" s="5889"/>
      <c r="TV55" s="5883"/>
      <c r="TW55" s="5883"/>
      <c r="TX55" s="5883"/>
      <c r="TY55" s="5883"/>
      <c r="TZ55" s="5883"/>
      <c r="UA55" s="5883"/>
      <c r="UB55" s="5883"/>
      <c r="UC55" s="5883"/>
      <c r="UD55" s="1677"/>
      <c r="UE55" s="5883"/>
      <c r="UF55" s="2425"/>
      <c r="UG55" s="2425"/>
      <c r="UH55" s="5883"/>
      <c r="UI55" s="5883"/>
      <c r="UJ55" s="1839"/>
      <c r="UK55" s="1839"/>
      <c r="UL55" s="715"/>
      <c r="UM55" s="1839"/>
      <c r="UN55" s="1660"/>
      <c r="UO55" s="2037"/>
      <c r="UP55" s="1914"/>
      <c r="UQ55" s="1914"/>
      <c r="UR55" s="5882"/>
      <c r="US55" s="1660"/>
      <c r="UU55" s="622">
        <f t="shared" si="78"/>
        <v>0</v>
      </c>
      <c r="UV55" s="622">
        <f t="shared" si="78"/>
        <v>0</v>
      </c>
      <c r="UW55" s="622">
        <f t="shared" si="78"/>
        <v>0</v>
      </c>
      <c r="UY55" s="1659"/>
      <c r="UZ55" s="1839"/>
      <c r="VA55" s="1839"/>
      <c r="VB55" s="1839"/>
      <c r="VC55" s="693"/>
      <c r="VD55" s="1659"/>
      <c r="VE55" s="715"/>
      <c r="VF55" s="715"/>
      <c r="VG55" s="715"/>
      <c r="VH55" s="705"/>
      <c r="VI55" s="1659"/>
      <c r="VJ55" s="1839"/>
      <c r="VK55" s="1839"/>
      <c r="VL55" s="1839"/>
      <c r="VM55" s="705"/>
      <c r="VN55" s="1659"/>
      <c r="VO55" s="1839"/>
      <c r="VP55" s="1839"/>
      <c r="VQ55" s="1839"/>
      <c r="VR55" s="1660"/>
    </row>
    <row r="56" spans="1:590" s="122" customFormat="1" ht="13.45" hidden="1" x14ac:dyDescent="0.3">
      <c r="B56" s="6016" t="s">
        <v>53</v>
      </c>
      <c r="C56" s="6031" t="s">
        <v>785</v>
      </c>
      <c r="D56" s="5989" t="s">
        <v>816</v>
      </c>
      <c r="E56" s="6032">
        <v>44433</v>
      </c>
      <c r="F56" s="6032">
        <v>44616</v>
      </c>
      <c r="G56" s="5965">
        <v>43875</v>
      </c>
      <c r="H56" s="1775"/>
      <c r="I56" s="1776"/>
      <c r="J56" s="1776"/>
      <c r="K56" s="1776"/>
      <c r="L56" s="1777"/>
      <c r="M56" s="1778"/>
      <c r="N56" s="1779"/>
      <c r="O56" s="1779"/>
      <c r="P56" s="1779"/>
      <c r="Q56" s="1780"/>
      <c r="R56" s="1780"/>
      <c r="S56" s="1776"/>
      <c r="T56" s="1776"/>
      <c r="U56" s="1776"/>
      <c r="V56" s="1777"/>
      <c r="W56" s="1776"/>
      <c r="X56" s="1776"/>
      <c r="Y56" s="1781"/>
      <c r="Z56" s="1776"/>
      <c r="AA56" s="1782"/>
      <c r="AB56" s="1781"/>
      <c r="AC56" s="1783"/>
      <c r="AD56" s="1784"/>
      <c r="AE56" s="1776"/>
      <c r="AF56" s="1777"/>
      <c r="AG56" s="1785"/>
      <c r="AH56" s="1776"/>
      <c r="AI56" s="1776"/>
      <c r="AJ56" s="1786"/>
      <c r="AK56" s="1777"/>
      <c r="AL56" s="1785"/>
      <c r="AM56" s="1776"/>
      <c r="AN56" s="1776"/>
      <c r="AO56" s="1781"/>
      <c r="AP56" s="1777"/>
      <c r="AQ56" s="1787"/>
      <c r="AR56" s="1788"/>
      <c r="AS56" s="1788"/>
      <c r="AT56" s="1789"/>
      <c r="AU56" s="1777"/>
      <c r="AV56" s="1790"/>
      <c r="AW56" s="1781"/>
      <c r="AX56" s="1781"/>
      <c r="AY56" s="1781"/>
      <c r="AZ56" s="1777"/>
      <c r="BA56" s="1791"/>
      <c r="BB56" s="1792"/>
      <c r="BC56" s="1783"/>
      <c r="BD56" s="1781"/>
      <c r="BE56" s="1780"/>
      <c r="BF56" s="1790"/>
      <c r="BG56" s="1781"/>
      <c r="BH56" s="1776"/>
      <c r="BI56" s="1781"/>
      <c r="BJ56" s="1793"/>
      <c r="BK56" s="1790"/>
      <c r="BL56" s="1781"/>
      <c r="BM56" s="1776"/>
      <c r="BN56" s="1781"/>
      <c r="BO56" s="1794"/>
      <c r="BP56" s="1937"/>
      <c r="BQ56" s="1796"/>
      <c r="BR56" s="1786"/>
      <c r="BS56" s="1797"/>
      <c r="BT56" s="1798"/>
      <c r="BU56" s="1786"/>
      <c r="BV56" s="1786"/>
      <c r="BW56" s="1799"/>
      <c r="BX56" s="1800"/>
      <c r="BY56" s="1786"/>
      <c r="BZ56" s="1786"/>
      <c r="CA56" s="1801"/>
      <c r="CB56" s="1802"/>
      <c r="CC56" s="1786"/>
      <c r="CD56" s="1786"/>
      <c r="CE56" s="1803"/>
      <c r="CF56" s="1800"/>
      <c r="CG56" s="1776"/>
      <c r="CH56" s="1776"/>
      <c r="CI56" s="1801"/>
      <c r="CJ56" s="1804"/>
      <c r="CK56" s="1776"/>
      <c r="CL56" s="1776"/>
      <c r="CM56" s="1776"/>
      <c r="CN56" s="1799"/>
      <c r="CO56" s="1804"/>
      <c r="CP56" s="1776"/>
      <c r="CQ56" s="1776"/>
      <c r="CR56" s="1776"/>
      <c r="CS56" s="1799"/>
      <c r="CT56" s="1804"/>
      <c r="CU56" s="1776"/>
      <c r="CV56" s="1776"/>
      <c r="CW56" s="1776"/>
      <c r="CX56" s="1801"/>
      <c r="CY56" s="1804"/>
      <c r="CZ56" s="1776"/>
      <c r="DA56" s="1776"/>
      <c r="DB56" s="1776"/>
      <c r="DC56" s="1801"/>
      <c r="DD56" s="1805"/>
      <c r="DE56" s="1806"/>
      <c r="DF56" s="1806"/>
      <c r="DG56" s="1783"/>
      <c r="DH56" s="1938"/>
      <c r="DI56" s="1804"/>
      <c r="DJ56" s="1806"/>
      <c r="DK56" s="1806"/>
      <c r="DL56" s="1776"/>
      <c r="DM56" s="1938"/>
      <c r="DN56" s="1804"/>
      <c r="DO56" s="1806"/>
      <c r="DP56" s="1806"/>
      <c r="DQ56" s="1776"/>
      <c r="DR56" s="1938"/>
      <c r="DS56" s="1804"/>
      <c r="DT56" s="1806"/>
      <c r="DU56" s="1806"/>
      <c r="DV56" s="1810"/>
      <c r="DW56" s="1801"/>
      <c r="DX56" s="1804"/>
      <c r="DY56" s="1776"/>
      <c r="DZ56" s="1776"/>
      <c r="EA56" s="1776"/>
      <c r="EB56" s="1807"/>
      <c r="EC56" s="1804"/>
      <c r="ED56" s="1776"/>
      <c r="EE56" s="1776"/>
      <c r="EF56" s="1786"/>
      <c r="EG56" s="1807"/>
      <c r="EH56" s="1805"/>
      <c r="EI56" s="1776"/>
      <c r="EJ56" s="1776"/>
      <c r="EK56" s="1776"/>
      <c r="EL56" s="1801"/>
      <c r="EM56" s="1804"/>
      <c r="EN56" s="1776"/>
      <c r="EO56" s="1776"/>
      <c r="EP56" s="1776"/>
      <c r="EQ56" s="1801"/>
      <c r="ER56" s="2402">
        <f t="shared" si="38"/>
        <v>0</v>
      </c>
      <c r="ES56" s="2403">
        <f t="shared" si="146"/>
        <v>0</v>
      </c>
      <c r="ET56" s="2403">
        <f t="shared" si="146"/>
        <v>0</v>
      </c>
      <c r="EU56" s="2403">
        <f t="shared" si="146"/>
        <v>0</v>
      </c>
      <c r="EV56" s="2404" t="e">
        <f t="shared" si="40"/>
        <v>#DIV/0!</v>
      </c>
      <c r="EW56" s="1814"/>
      <c r="EX56" s="1776"/>
      <c r="EY56" s="1776"/>
      <c r="EZ56" s="1815"/>
      <c r="FA56" s="1939"/>
      <c r="FB56" s="1786"/>
      <c r="FC56" s="1786"/>
      <c r="FD56" s="1799"/>
      <c r="FE56" s="1814"/>
      <c r="FF56" s="1786"/>
      <c r="FG56" s="1786"/>
      <c r="FH56" s="1803"/>
      <c r="FI56" s="1816"/>
      <c r="FJ56" s="1814"/>
      <c r="FK56" s="1786"/>
      <c r="FL56" s="1786"/>
      <c r="FM56" s="1799"/>
      <c r="FN56" s="1817"/>
      <c r="FO56" s="1818"/>
      <c r="FP56" s="1818"/>
      <c r="FQ56" s="6036"/>
      <c r="FR56" s="1819"/>
      <c r="FS56" s="1820"/>
      <c r="FT56" s="1822"/>
      <c r="FU56" s="1822"/>
      <c r="FV56" s="1822"/>
      <c r="FW56" s="1821"/>
      <c r="FX56" s="1820"/>
      <c r="FY56" s="6037"/>
      <c r="FZ56" s="6037"/>
      <c r="GA56" s="1822"/>
      <c r="GB56" s="1821"/>
      <c r="GC56" s="6038"/>
      <c r="GD56" s="1824"/>
      <c r="GE56" s="1824"/>
      <c r="GF56" s="1825"/>
      <c r="GG56" s="1821"/>
      <c r="GH56" s="1823"/>
      <c r="GI56" s="1824"/>
      <c r="GJ56" s="1824"/>
      <c r="GK56" s="1818"/>
      <c r="GL56" s="1821"/>
      <c r="GM56" s="1823"/>
      <c r="GN56" s="1824"/>
      <c r="GO56" s="1824"/>
      <c r="GP56" s="1818"/>
      <c r="GQ56" s="1821"/>
      <c r="GR56" s="1823"/>
      <c r="GS56" s="1824"/>
      <c r="GT56" s="1824"/>
      <c r="GU56" s="1818"/>
      <c r="GV56" s="1821"/>
      <c r="GW56" s="1823"/>
      <c r="GX56" s="1824"/>
      <c r="GY56" s="1824"/>
      <c r="GZ56" s="1818"/>
      <c r="HA56" s="1821"/>
      <c r="HB56" s="1823"/>
      <c r="HC56" s="1824"/>
      <c r="HD56" s="1824"/>
      <c r="HE56" s="1818"/>
      <c r="HF56" s="1821"/>
      <c r="HG56" s="1823"/>
      <c r="HH56" s="1824"/>
      <c r="HI56" s="1824"/>
      <c r="HJ56" s="1818"/>
      <c r="HK56" s="1821"/>
      <c r="HL56" s="1823"/>
      <c r="HM56" s="1824"/>
      <c r="HN56" s="1824">
        <v>0</v>
      </c>
      <c r="HO56" s="1818">
        <f t="shared" si="151"/>
        <v>0</v>
      </c>
      <c r="HP56" s="6039">
        <v>0</v>
      </c>
      <c r="HQ56" s="654">
        <v>4</v>
      </c>
      <c r="HR56" s="1248">
        <v>69550</v>
      </c>
      <c r="HS56" s="1248">
        <v>214375</v>
      </c>
      <c r="HT56" s="1248">
        <f t="shared" si="232"/>
        <v>144825</v>
      </c>
      <c r="HU56" s="1826">
        <f>HT56/HS56</f>
        <v>0.67556851311953348</v>
      </c>
      <c r="HV56" s="5941">
        <f t="shared" si="155"/>
        <v>0.33333333333333331</v>
      </c>
      <c r="HW56" s="622">
        <f t="shared" si="156"/>
        <v>69550</v>
      </c>
      <c r="HX56" s="622">
        <f t="shared" si="156"/>
        <v>214375</v>
      </c>
      <c r="HY56" s="622">
        <f t="shared" si="156"/>
        <v>144825</v>
      </c>
      <c r="HZ56" s="1828"/>
      <c r="IA56" s="1829"/>
      <c r="IB56" s="1830"/>
      <c r="IC56" s="1830"/>
      <c r="ID56" s="1831"/>
      <c r="IE56" s="1832"/>
      <c r="IF56" s="1833"/>
      <c r="IG56" s="1834"/>
      <c r="IH56" s="1831"/>
      <c r="II56" s="1835"/>
      <c r="IJ56" s="1836"/>
      <c r="IK56" s="1836"/>
      <c r="IL56" s="239"/>
      <c r="IM56" s="1837">
        <f t="shared" si="160"/>
        <v>0</v>
      </c>
      <c r="IN56" s="1836">
        <f t="shared" si="161"/>
        <v>214375</v>
      </c>
      <c r="IO56" s="1836">
        <f t="shared" si="161"/>
        <v>144825</v>
      </c>
      <c r="IP56" s="1838"/>
      <c r="IQ56" s="1839"/>
      <c r="IR56" s="1840">
        <v>4</v>
      </c>
      <c r="IS56" s="1818">
        <v>126988</v>
      </c>
      <c r="IT56" s="1818">
        <v>165969.12</v>
      </c>
      <c r="IU56" s="1818">
        <f t="shared" si="163"/>
        <v>38981.119999999995</v>
      </c>
      <c r="IV56" s="1819">
        <f>IU56/IT56</f>
        <v>0.23486971552298402</v>
      </c>
      <c r="IW56" s="1820">
        <v>4</v>
      </c>
      <c r="IX56" s="1818">
        <v>101000</v>
      </c>
      <c r="IY56" s="1818">
        <v>171500</v>
      </c>
      <c r="IZ56" s="1818">
        <f t="shared" si="233"/>
        <v>70500</v>
      </c>
      <c r="JA56" s="1821">
        <f>IZ56/IY56</f>
        <v>0.41107871720116618</v>
      </c>
      <c r="JB56" s="1984">
        <v>3</v>
      </c>
      <c r="JC56" s="1985">
        <v>73266</v>
      </c>
      <c r="JD56" s="1986">
        <v>214375</v>
      </c>
      <c r="JE56" s="1818">
        <f t="shared" si="164"/>
        <v>141109</v>
      </c>
      <c r="JF56" s="1821">
        <f t="shared" si="235"/>
        <v>0.65823440233236152</v>
      </c>
      <c r="JG56" s="1981">
        <v>5</v>
      </c>
      <c r="JH56" s="1824">
        <v>119537</v>
      </c>
      <c r="JI56" s="1824">
        <v>178660.12</v>
      </c>
      <c r="JJ56" s="1822">
        <f t="shared" si="234"/>
        <v>59123.119999999995</v>
      </c>
      <c r="JK56" s="1821">
        <f>JJ56/JI56</f>
        <v>0.33092511076338693</v>
      </c>
      <c r="JL56" s="1823">
        <v>3</v>
      </c>
      <c r="JM56" s="1824">
        <v>74000</v>
      </c>
      <c r="JN56" s="1824">
        <v>219375</v>
      </c>
      <c r="JO56" s="1996">
        <f t="shared" si="165"/>
        <v>145375</v>
      </c>
      <c r="JP56" s="1821">
        <f>JO56/JN56</f>
        <v>0.66267806267806273</v>
      </c>
      <c r="JQ56" s="6013">
        <v>3</v>
      </c>
      <c r="JR56" s="1982">
        <v>74000</v>
      </c>
      <c r="JS56" s="1248">
        <v>219375</v>
      </c>
      <c r="JT56" s="1996">
        <f>JS56-JR56</f>
        <v>145375</v>
      </c>
      <c r="JU56" s="1821">
        <f>JT56/JS56</f>
        <v>0.66267806267806273</v>
      </c>
      <c r="JV56" s="1981">
        <v>5</v>
      </c>
      <c r="JW56" s="1824">
        <v>124136</v>
      </c>
      <c r="JX56" s="1248">
        <v>219375</v>
      </c>
      <c r="JY56" s="1996">
        <f>JX56-JW56</f>
        <v>95239</v>
      </c>
      <c r="JZ56" s="1821">
        <f>JY56/JX56</f>
        <v>0.43413789173789175</v>
      </c>
      <c r="KA56" s="1981">
        <v>3</v>
      </c>
      <c r="KB56" s="1248">
        <v>74000</v>
      </c>
      <c r="KC56" s="1982">
        <v>219375</v>
      </c>
      <c r="KD56" s="1983">
        <f t="shared" si="231"/>
        <v>145375</v>
      </c>
      <c r="KE56" s="1952">
        <f>KD56/KC56</f>
        <v>0.66267806267806273</v>
      </c>
      <c r="KF56" s="1990"/>
      <c r="KG56" s="1904">
        <v>0</v>
      </c>
      <c r="KH56" s="1904">
        <v>0</v>
      </c>
      <c r="KI56" s="1818">
        <f t="shared" si="227"/>
        <v>0</v>
      </c>
      <c r="KJ56" s="1821"/>
      <c r="KK56" s="1990"/>
      <c r="KL56" s="1904"/>
      <c r="KM56" s="1904"/>
      <c r="KN56" s="2023">
        <f t="shared" si="130"/>
        <v>0</v>
      </c>
      <c r="KO56" s="2024"/>
      <c r="KP56" s="1823"/>
      <c r="KQ56" s="1982"/>
      <c r="KR56" s="1248"/>
      <c r="KS56" s="1996">
        <f t="shared" si="236"/>
        <v>0</v>
      </c>
      <c r="KT56" s="1980"/>
      <c r="KU56" s="1905"/>
      <c r="KV56" s="1248"/>
      <c r="KW56" s="1248"/>
      <c r="KX56" s="1248">
        <f t="shared" si="145"/>
        <v>0</v>
      </c>
      <c r="KY56" s="77"/>
      <c r="KZ56" s="1832"/>
      <c r="LA56" s="622">
        <f t="shared" si="144"/>
        <v>766927</v>
      </c>
      <c r="LB56" s="622">
        <f t="shared" si="144"/>
        <v>1608004.24</v>
      </c>
      <c r="LC56" s="622">
        <f t="shared" si="144"/>
        <v>841077.24</v>
      </c>
      <c r="LD56" s="239">
        <f>LC56/LB56</f>
        <v>0.52305660587064129</v>
      </c>
      <c r="LE56" s="1834">
        <f t="shared" si="71"/>
        <v>3.6666666666666665</v>
      </c>
      <c r="LF56" s="1830">
        <f t="shared" si="167"/>
        <v>551844.12</v>
      </c>
      <c r="LG56" s="1830">
        <f t="shared" si="167"/>
        <v>250590.12</v>
      </c>
      <c r="LH56" s="1831">
        <f t="shared" si="168"/>
        <v>0.45409584141260761</v>
      </c>
      <c r="LI56" s="1832">
        <f t="shared" si="132"/>
        <v>3.6666666666666665</v>
      </c>
      <c r="LJ56" s="1833">
        <f t="shared" si="133"/>
        <v>617410.12</v>
      </c>
      <c r="LK56" s="1834">
        <f t="shared" si="133"/>
        <v>349873.12</v>
      </c>
      <c r="LL56" s="1831">
        <f t="shared" si="169"/>
        <v>0.56667862846174277</v>
      </c>
      <c r="LM56" s="1835">
        <f t="shared" si="135"/>
        <v>2.6666666666666665</v>
      </c>
      <c r="LN56" s="1836">
        <f t="shared" si="136"/>
        <v>438750</v>
      </c>
      <c r="LO56" s="1836">
        <f t="shared" si="136"/>
        <v>240614</v>
      </c>
      <c r="LP56" s="239">
        <f>LO56/LN56</f>
        <v>0.54840797720797718</v>
      </c>
      <c r="LQ56" s="1837">
        <f t="shared" si="140"/>
        <v>0</v>
      </c>
      <c r="LR56" s="1836">
        <f t="shared" si="229"/>
        <v>0</v>
      </c>
      <c r="LS56" s="1836">
        <f t="shared" si="229"/>
        <v>0</v>
      </c>
      <c r="LT56" s="1838"/>
      <c r="LV56" s="3645"/>
      <c r="LW56" s="2897"/>
      <c r="LX56" s="2897"/>
      <c r="LY56" s="2589">
        <f t="shared" si="137"/>
        <v>0</v>
      </c>
      <c r="LZ56" s="77"/>
      <c r="MF56" s="5880"/>
      <c r="MG56" s="4965"/>
      <c r="MH56" s="4965"/>
      <c r="MI56" s="1839"/>
      <c r="MJ56" s="207" t="e">
        <f t="shared" si="170"/>
        <v>#DIV/0!</v>
      </c>
      <c r="MK56" s="5881"/>
      <c r="MN56" s="372">
        <f t="shared" si="12"/>
        <v>0</v>
      </c>
      <c r="MP56" s="5881"/>
      <c r="MQ56" s="1839"/>
      <c r="MR56" s="1839"/>
      <c r="MS56" s="1839"/>
      <c r="MT56" s="693"/>
      <c r="MU56" s="2035"/>
      <c r="MV56" s="1914"/>
      <c r="MW56" s="1914"/>
      <c r="MX56" s="1914"/>
      <c r="MY56" s="5882"/>
      <c r="MZ56" s="1659"/>
      <c r="NA56" s="1839"/>
      <c r="NB56" s="1839"/>
      <c r="NC56" s="1839"/>
      <c r="ND56" s="1839"/>
      <c r="NO56" s="5883"/>
      <c r="NP56" s="2425"/>
      <c r="NQ56" s="2425"/>
      <c r="NR56" s="5883"/>
      <c r="NT56" s="1839"/>
      <c r="NU56" s="1839"/>
      <c r="NV56" s="715"/>
      <c r="NW56" s="1839"/>
      <c r="NX56" s="1660"/>
      <c r="NY56" s="1659"/>
      <c r="NZ56" s="715"/>
      <c r="OA56" s="715"/>
      <c r="OB56" s="1839"/>
      <c r="OC56" s="1660"/>
      <c r="OE56" s="5885"/>
      <c r="OF56" s="5885"/>
      <c r="OG56" s="715"/>
      <c r="OH56" s="1660"/>
      <c r="OI56" s="1659"/>
      <c r="OJ56" s="1839"/>
      <c r="OK56" s="1839"/>
      <c r="OL56" s="1839"/>
      <c r="OM56" s="693"/>
      <c r="ON56" s="1659"/>
      <c r="OO56" s="715"/>
      <c r="OP56" s="715"/>
      <c r="OQ56" s="715"/>
      <c r="OR56" s="705"/>
      <c r="OS56" s="1659"/>
      <c r="OT56" s="1839"/>
      <c r="OU56" s="1839"/>
      <c r="OV56" s="1839"/>
      <c r="OW56" s="705"/>
      <c r="OX56" s="1659"/>
      <c r="OY56" s="1839"/>
      <c r="OZ56" s="1839"/>
      <c r="PA56" s="1839"/>
      <c r="PB56" s="1660"/>
      <c r="PD56" s="3645"/>
      <c r="PE56" s="2897"/>
      <c r="PF56" s="2897"/>
      <c r="PG56" s="2589">
        <f t="shared" si="138"/>
        <v>0</v>
      </c>
      <c r="PH56" s="77"/>
      <c r="PN56" s="5880"/>
      <c r="PO56" s="4965"/>
      <c r="PP56" s="4965"/>
      <c r="PQ56" s="1839"/>
      <c r="PR56" s="207" t="e">
        <f t="shared" si="171"/>
        <v>#DIV/0!</v>
      </c>
      <c r="PS56" s="5886"/>
      <c r="PT56" s="5883"/>
      <c r="PU56" s="5883"/>
      <c r="PV56" s="2892">
        <f t="shared" si="13"/>
        <v>0</v>
      </c>
      <c r="PW56" s="5883"/>
      <c r="PX56" s="5881"/>
      <c r="PY56" s="1839"/>
      <c r="PZ56" s="1839"/>
      <c r="QA56" s="1839"/>
      <c r="QB56" s="693"/>
      <c r="QC56" s="2035"/>
      <c r="QD56" s="1914"/>
      <c r="QE56" s="1914"/>
      <c r="QF56" s="1914"/>
      <c r="QG56" s="5882"/>
      <c r="QH56" s="1910"/>
      <c r="QI56" s="1839"/>
      <c r="QJ56" s="1839"/>
      <c r="QK56" s="1839"/>
      <c r="QL56" s="1839"/>
      <c r="QM56" s="5880"/>
      <c r="QR56" s="5883"/>
      <c r="QS56" s="5883"/>
      <c r="QT56" s="5883"/>
      <c r="QU56" s="5883"/>
      <c r="QV56" s="1677"/>
      <c r="QW56" s="5883"/>
      <c r="QX56" s="2425"/>
      <c r="QY56" s="2425"/>
      <c r="QZ56" s="5883"/>
      <c r="RA56" s="5883"/>
      <c r="RB56" s="1839"/>
      <c r="RC56" s="1839"/>
      <c r="RD56" s="715"/>
      <c r="RE56" s="1839"/>
      <c r="RF56" s="1660"/>
      <c r="RG56" s="2037"/>
      <c r="RH56" s="1914"/>
      <c r="RI56" s="1914"/>
      <c r="RJ56" s="5882"/>
      <c r="RK56" s="1660"/>
      <c r="RL56" s="5883"/>
      <c r="RM56" s="1873">
        <f t="shared" si="77"/>
        <v>0</v>
      </c>
      <c r="RN56" s="1873">
        <f t="shared" si="77"/>
        <v>0</v>
      </c>
      <c r="RO56" s="1873">
        <f t="shared" si="77"/>
        <v>0</v>
      </c>
      <c r="RP56" s="5883"/>
      <c r="RQ56" s="1659"/>
      <c r="RR56" s="1839"/>
      <c r="RS56" s="1839"/>
      <c r="RT56" s="1839"/>
      <c r="RU56" s="693"/>
      <c r="RV56" s="1659"/>
      <c r="RW56" s="715"/>
      <c r="RX56" s="715"/>
      <c r="RY56" s="715"/>
      <c r="RZ56" s="705"/>
      <c r="SA56" s="1659"/>
      <c r="SB56" s="1839"/>
      <c r="SC56" s="1839"/>
      <c r="SD56" s="1839"/>
      <c r="SE56" s="705"/>
      <c r="SF56" s="1659"/>
      <c r="SG56" s="1839"/>
      <c r="SH56" s="1839"/>
      <c r="SI56" s="1839"/>
      <c r="SJ56" s="1660"/>
      <c r="SL56" s="3645"/>
      <c r="SM56" s="2897"/>
      <c r="SN56" s="2897"/>
      <c r="SO56" s="6029">
        <f t="shared" si="139"/>
        <v>0</v>
      </c>
      <c r="SP56" s="6056"/>
      <c r="SQ56" s="5883"/>
      <c r="SR56" s="5883"/>
      <c r="SS56" s="5883"/>
      <c r="ST56" s="5883"/>
      <c r="SU56" s="5883"/>
      <c r="SV56" s="5880"/>
      <c r="SW56" s="4965"/>
      <c r="SX56" s="4965"/>
      <c r="SY56" s="1839"/>
      <c r="SZ56" s="207" t="e">
        <f t="shared" si="172"/>
        <v>#DIV/0!</v>
      </c>
      <c r="TA56" s="5881"/>
      <c r="TD56" s="372">
        <f t="shared" si="14"/>
        <v>0</v>
      </c>
      <c r="TF56" s="5881"/>
      <c r="TG56" s="1839"/>
      <c r="TH56" s="1839"/>
      <c r="TI56" s="1839"/>
      <c r="TJ56" s="693"/>
      <c r="TK56" s="2035"/>
      <c r="TL56" s="1914"/>
      <c r="TM56" s="1914"/>
      <c r="TN56" s="1914"/>
      <c r="TO56" s="5882"/>
      <c r="TP56" s="2407"/>
      <c r="TQ56" s="1839"/>
      <c r="TR56" s="1839"/>
      <c r="TS56" s="1839"/>
      <c r="TT56" s="1839"/>
      <c r="TU56" s="5889"/>
      <c r="TV56" s="5883"/>
      <c r="TW56" s="5883"/>
      <c r="TX56" s="5883"/>
      <c r="TY56" s="5883"/>
      <c r="TZ56" s="5883"/>
      <c r="UA56" s="5883"/>
      <c r="UB56" s="5883"/>
      <c r="UC56" s="5883"/>
      <c r="UD56" s="1677"/>
      <c r="UE56" s="5883"/>
      <c r="UF56" s="2425"/>
      <c r="UG56" s="2425"/>
      <c r="UH56" s="5883"/>
      <c r="UI56" s="5883"/>
      <c r="UJ56" s="1839"/>
      <c r="UK56" s="1839"/>
      <c r="UL56" s="715"/>
      <c r="UM56" s="1839"/>
      <c r="UN56" s="1660"/>
      <c r="UO56" s="2037"/>
      <c r="UP56" s="1914"/>
      <c r="UQ56" s="1914"/>
      <c r="UR56" s="5882"/>
      <c r="US56" s="1660"/>
      <c r="UU56" s="622">
        <f t="shared" si="78"/>
        <v>0</v>
      </c>
      <c r="UV56" s="622">
        <f t="shared" si="78"/>
        <v>0</v>
      </c>
      <c r="UW56" s="622">
        <f t="shared" si="78"/>
        <v>0</v>
      </c>
      <c r="UY56" s="1659"/>
      <c r="UZ56" s="1839"/>
      <c r="VA56" s="1839"/>
      <c r="VB56" s="1839"/>
      <c r="VC56" s="693"/>
      <c r="VD56" s="1659"/>
      <c r="VE56" s="715"/>
      <c r="VF56" s="715"/>
      <c r="VG56" s="715"/>
      <c r="VH56" s="705"/>
      <c r="VI56" s="1659"/>
      <c r="VJ56" s="1839"/>
      <c r="VK56" s="1839"/>
      <c r="VL56" s="1839"/>
      <c r="VM56" s="705"/>
      <c r="VN56" s="1659"/>
      <c r="VO56" s="1839"/>
      <c r="VP56" s="1839"/>
      <c r="VQ56" s="1839"/>
      <c r="VR56" s="1660"/>
    </row>
    <row r="57" spans="1:590" s="2425" customFormat="1" ht="13.45" hidden="1" x14ac:dyDescent="0.3">
      <c r="A57" s="2399"/>
      <c r="B57" s="1773" t="s">
        <v>53</v>
      </c>
      <c r="C57" s="1991" t="s">
        <v>817</v>
      </c>
      <c r="D57" s="1992" t="s">
        <v>818</v>
      </c>
      <c r="E57" s="1993">
        <v>44547</v>
      </c>
      <c r="F57" s="1993">
        <v>44925</v>
      </c>
      <c r="G57" s="1994">
        <v>457000</v>
      </c>
      <c r="H57" s="1874"/>
      <c r="I57" s="1875"/>
      <c r="J57" s="1875"/>
      <c r="K57" s="1875"/>
      <c r="L57" s="1876"/>
      <c r="M57" s="1874"/>
      <c r="N57" s="1875"/>
      <c r="O57" s="1875"/>
      <c r="P57" s="1875"/>
      <c r="Q57" s="1876"/>
      <c r="R57" s="1874"/>
      <c r="S57" s="1875"/>
      <c r="T57" s="1875"/>
      <c r="U57" s="1875"/>
      <c r="V57" s="1876"/>
      <c r="W57" s="1874"/>
      <c r="X57" s="1875"/>
      <c r="Y57" s="1875"/>
      <c r="Z57" s="1875"/>
      <c r="AA57" s="1877"/>
      <c r="AB57" s="1874"/>
      <c r="AC57" s="1875"/>
      <c r="AD57" s="1875"/>
      <c r="AE57" s="1875"/>
      <c r="AF57" s="1877"/>
      <c r="AG57" s="1875"/>
      <c r="AH57" s="1875"/>
      <c r="AI57" s="1875"/>
      <c r="AJ57" s="1875"/>
      <c r="AK57" s="1876"/>
      <c r="AL57" s="1875"/>
      <c r="AM57" s="1875"/>
      <c r="AN57" s="1875"/>
      <c r="AO57" s="1875"/>
      <c r="AP57" s="1876"/>
      <c r="AQ57" s="1875"/>
      <c r="AR57" s="1875"/>
      <c r="AS57" s="1875"/>
      <c r="AT57" s="1875"/>
      <c r="AU57" s="1876"/>
      <c r="AV57" s="1878"/>
      <c r="AW57" s="1875"/>
      <c r="AX57" s="1875"/>
      <c r="AY57" s="1875"/>
      <c r="AZ57" s="1877"/>
      <c r="BA57" s="1878"/>
      <c r="BB57" s="1875"/>
      <c r="BC57" s="1875"/>
      <c r="BD57" s="1875"/>
      <c r="BE57" s="1877"/>
      <c r="BF57" s="1878"/>
      <c r="BG57" s="1875"/>
      <c r="BH57" s="1875"/>
      <c r="BI57" s="1875"/>
      <c r="BJ57" s="1877"/>
      <c r="BK57" s="1878"/>
      <c r="BL57" s="1875"/>
      <c r="BM57" s="1875"/>
      <c r="BN57" s="1875"/>
      <c r="BO57" s="1877"/>
      <c r="BP57" s="1879"/>
      <c r="BQ57" s="1875"/>
      <c r="BR57" s="1875"/>
      <c r="BS57" s="1875"/>
      <c r="BT57" s="1880"/>
      <c r="BU57" s="1875"/>
      <c r="BV57" s="1875"/>
      <c r="BW57" s="1881"/>
      <c r="BX57" s="1880"/>
      <c r="BY57" s="1875"/>
      <c r="BZ57" s="1875"/>
      <c r="CA57" s="1882"/>
      <c r="CB57" s="1875"/>
      <c r="CC57" s="1875"/>
      <c r="CD57" s="1875"/>
      <c r="CE57" s="1875"/>
      <c r="CF57" s="1880"/>
      <c r="CG57" s="1875"/>
      <c r="CH57" s="1875"/>
      <c r="CI57" s="1882"/>
      <c r="CJ57" s="1883"/>
      <c r="CK57" s="1875"/>
      <c r="CL57" s="1875"/>
      <c r="CM57" s="1875"/>
      <c r="CN57" s="1881"/>
      <c r="CO57" s="1883"/>
      <c r="CP57" s="1874"/>
      <c r="CQ57" s="1874"/>
      <c r="CR57" s="1874"/>
      <c r="CS57" s="1881"/>
      <c r="CT57" s="1883"/>
      <c r="CU57" s="1875"/>
      <c r="CV57" s="1875"/>
      <c r="CW57" s="1875"/>
      <c r="CX57" s="1881"/>
      <c r="CY57" s="1883"/>
      <c r="CZ57" s="1875"/>
      <c r="DA57" s="1875"/>
      <c r="DB57" s="1875"/>
      <c r="DC57" s="1881"/>
      <c r="DD57" s="1883"/>
      <c r="DE57" s="1875"/>
      <c r="DF57" s="1875"/>
      <c r="DG57" s="1875"/>
      <c r="DH57" s="1884"/>
      <c r="DI57" s="1883"/>
      <c r="DJ57" s="1875"/>
      <c r="DK57" s="1875"/>
      <c r="DL57" s="1875"/>
      <c r="DM57" s="1884"/>
      <c r="DN57" s="1883"/>
      <c r="DO57" s="1875"/>
      <c r="DP57" s="1875"/>
      <c r="DQ57" s="1875"/>
      <c r="DR57" s="1884"/>
      <c r="DS57" s="1883"/>
      <c r="DT57" s="1875"/>
      <c r="DU57" s="1875"/>
      <c r="DV57" s="1875"/>
      <c r="DW57" s="1884"/>
      <c r="DX57" s="1883"/>
      <c r="DY57" s="1875"/>
      <c r="DZ57" s="1875"/>
      <c r="EA57" s="1875"/>
      <c r="EB57" s="1884"/>
      <c r="EC57" s="1883"/>
      <c r="ED57" s="1875"/>
      <c r="EE57" s="1875"/>
      <c r="EF57" s="1875"/>
      <c r="EG57" s="1884"/>
      <c r="EH57" s="1885"/>
      <c r="EI57" s="1886"/>
      <c r="EJ57" s="1886"/>
      <c r="EK57" s="1886"/>
      <c r="EL57" s="1887"/>
      <c r="EM57" s="1888"/>
      <c r="EN57" s="1889"/>
      <c r="EO57" s="1889"/>
      <c r="EP57" s="1889"/>
      <c r="EQ57" s="166"/>
      <c r="ER57" s="2402">
        <f t="shared" si="38"/>
        <v>0</v>
      </c>
      <c r="ES57" s="2403">
        <f t="shared" si="146"/>
        <v>0</v>
      </c>
      <c r="ET57" s="2403">
        <f t="shared" si="146"/>
        <v>0</v>
      </c>
      <c r="EU57" s="2403">
        <f t="shared" si="146"/>
        <v>0</v>
      </c>
      <c r="EV57" s="2404" t="e">
        <f t="shared" si="40"/>
        <v>#DIV/0!</v>
      </c>
      <c r="EW57" s="1890"/>
      <c r="EX57" s="1890"/>
      <c r="EY57" s="1890"/>
      <c r="EZ57" s="1891"/>
      <c r="FA57" s="1885"/>
      <c r="FB57" s="1890"/>
      <c r="FC57" s="1890"/>
      <c r="FD57" s="1892"/>
      <c r="FE57" s="1890"/>
      <c r="FF57" s="1890"/>
      <c r="FG57" s="1890"/>
      <c r="FH57" s="1891"/>
      <c r="FI57" s="1893"/>
      <c r="FJ57" s="1894"/>
      <c r="FK57" s="1895"/>
      <c r="FL57" s="1895"/>
      <c r="FM57" s="1896"/>
      <c r="FN57" s="1890"/>
      <c r="FO57" s="1886"/>
      <c r="FP57" s="1886"/>
      <c r="FQ57" s="1886"/>
      <c r="FR57" s="1897"/>
      <c r="FS57" s="1888"/>
      <c r="FT57" s="1889"/>
      <c r="FU57" s="1889"/>
      <c r="FV57" s="1889"/>
      <c r="FW57" s="1898"/>
      <c r="FX57" s="1885"/>
      <c r="FY57" s="1886"/>
      <c r="FZ57" s="1886"/>
      <c r="GA57" s="1889"/>
      <c r="GB57" s="1898"/>
      <c r="GC57" s="1899"/>
      <c r="GD57" s="1900"/>
      <c r="GE57" s="1900"/>
      <c r="GF57" s="1889"/>
      <c r="GG57" s="166"/>
      <c r="GH57" s="1901"/>
      <c r="GI57" s="1824"/>
      <c r="GJ57" s="1824"/>
      <c r="GK57" s="1902"/>
      <c r="GL57" s="1898"/>
      <c r="GM57" s="1901"/>
      <c r="GN57" s="1824"/>
      <c r="GO57" s="1824"/>
      <c r="GP57" s="1902"/>
      <c r="GQ57" s="1898"/>
      <c r="GR57" s="1903"/>
      <c r="GS57" s="1904"/>
      <c r="GT57" s="1904"/>
      <c r="GU57" s="1902"/>
      <c r="GV57" s="1898"/>
      <c r="GW57" s="1903"/>
      <c r="GX57" s="1904"/>
      <c r="GY57" s="1904"/>
      <c r="GZ57" s="1902"/>
      <c r="HA57" s="1898"/>
      <c r="HB57" s="1903"/>
      <c r="HC57" s="1904"/>
      <c r="HD57" s="1904"/>
      <c r="HE57" s="1902"/>
      <c r="HF57" s="1898"/>
      <c r="HG57" s="1903"/>
      <c r="HH57" s="1904"/>
      <c r="HI57" s="1904"/>
      <c r="HJ57" s="1818"/>
      <c r="HK57" s="1898"/>
      <c r="HL57" s="1903"/>
      <c r="HM57" s="1904"/>
      <c r="HN57" s="1904"/>
      <c r="HO57" s="715"/>
      <c r="HP57" s="166"/>
      <c r="HQ57" s="1905"/>
      <c r="HR57" s="1248"/>
      <c r="HS57" s="1248"/>
      <c r="HT57" s="1248"/>
      <c r="HU57" s="1826"/>
      <c r="HV57" s="2405">
        <f t="shared" si="155"/>
        <v>0</v>
      </c>
      <c r="HW57" s="2406">
        <f t="shared" si="156"/>
        <v>0</v>
      </c>
      <c r="HX57" s="2406">
        <f t="shared" si="156"/>
        <v>0</v>
      </c>
      <c r="HY57" s="2406">
        <f t="shared" si="156"/>
        <v>0</v>
      </c>
      <c r="HZ57" s="1906"/>
      <c r="IA57" s="1907"/>
      <c r="IB57" s="1908"/>
      <c r="IC57" s="1908"/>
      <c r="ID57" s="1909"/>
      <c r="IE57" s="1910"/>
      <c r="IF57" s="1911"/>
      <c r="IG57" s="1912"/>
      <c r="IH57" s="1909"/>
      <c r="II57" s="1835"/>
      <c r="IJ57" s="1836"/>
      <c r="IK57" s="1836"/>
      <c r="IL57" s="693"/>
      <c r="IM57" s="1913"/>
      <c r="IN57" s="1836"/>
      <c r="IO57" s="1836"/>
      <c r="IP57" s="1838"/>
      <c r="IQ57" s="1914"/>
      <c r="IR57" s="1915"/>
      <c r="IS57" s="1916"/>
      <c r="IT57" s="1916"/>
      <c r="IU57" s="1917"/>
      <c r="IV57" s="1918"/>
      <c r="IW57" s="1919"/>
      <c r="IX57" s="1920"/>
      <c r="IY57" s="1920"/>
      <c r="IZ57" s="1818"/>
      <c r="JA57" s="1821"/>
      <c r="JB57" s="6021"/>
      <c r="JC57" s="6022"/>
      <c r="JD57" s="6023"/>
      <c r="JE57" s="1818"/>
      <c r="JF57" s="1821"/>
      <c r="JG57" s="1925"/>
      <c r="JH57" s="1824"/>
      <c r="JI57" s="1824"/>
      <c r="JJ57" s="1822"/>
      <c r="JK57" s="1821"/>
      <c r="JL57" s="1926"/>
      <c r="JM57" s="1824"/>
      <c r="JN57" s="1824"/>
      <c r="JO57" s="6012"/>
      <c r="JP57" s="1821"/>
      <c r="JQ57" s="1926"/>
      <c r="JR57" s="1982"/>
      <c r="JS57" s="1248"/>
      <c r="JT57" s="1995"/>
      <c r="JU57" s="1821"/>
      <c r="JV57" s="1990"/>
      <c r="JW57" s="2130"/>
      <c r="JX57" s="1904"/>
      <c r="JY57" s="1904"/>
      <c r="JZ57" s="1821"/>
      <c r="KA57" s="6014"/>
      <c r="KB57" s="1248"/>
      <c r="KC57" s="1248"/>
      <c r="KD57" s="1983"/>
      <c r="KE57" s="1952"/>
      <c r="KF57" s="1990"/>
      <c r="KG57" s="1904"/>
      <c r="KH57" s="1904"/>
      <c r="KI57" s="1818">
        <f t="shared" si="227"/>
        <v>0</v>
      </c>
      <c r="KJ57" s="1821"/>
      <c r="KK57" s="1990"/>
      <c r="KL57" s="1904"/>
      <c r="KM57" s="1904"/>
      <c r="KN57" s="2023">
        <f t="shared" si="130"/>
        <v>0</v>
      </c>
      <c r="KO57" s="2024"/>
      <c r="KP57" s="1823">
        <v>2</v>
      </c>
      <c r="KQ57" s="1248">
        <v>172427</v>
      </c>
      <c r="KR57" s="1248">
        <v>457000</v>
      </c>
      <c r="KS57" s="1996">
        <f t="shared" si="236"/>
        <v>284573</v>
      </c>
      <c r="KT57" s="1819">
        <f>KS57/KR57</f>
        <v>0.6226980306345733</v>
      </c>
      <c r="KU57" s="1905">
        <v>2</v>
      </c>
      <c r="KV57" s="6066">
        <f>KQ57/3</f>
        <v>57475.666666666664</v>
      </c>
      <c r="KW57" s="1248">
        <f>KR57/3</f>
        <v>152333.33333333334</v>
      </c>
      <c r="KX57" s="1248">
        <f t="shared" si="145"/>
        <v>94857.666666666686</v>
      </c>
      <c r="KY57" s="77">
        <f>KX57/KW57</f>
        <v>0.62269803063457341</v>
      </c>
      <c r="KZ57" s="1832">
        <v>2</v>
      </c>
      <c r="LA57" s="622">
        <f t="shared" si="144"/>
        <v>229902.66666666666</v>
      </c>
      <c r="LB57" s="622">
        <f t="shared" si="144"/>
        <v>609333.33333333337</v>
      </c>
      <c r="LC57" s="622">
        <f t="shared" si="144"/>
        <v>379430.66666666669</v>
      </c>
      <c r="LD57" s="239">
        <f>LC57/LB57</f>
        <v>0.6226980306345733</v>
      </c>
      <c r="LE57" s="1834">
        <f t="shared" si="71"/>
        <v>0</v>
      </c>
      <c r="LF57" s="1830">
        <f t="shared" si="167"/>
        <v>0</v>
      </c>
      <c r="LG57" s="1830">
        <f t="shared" si="167"/>
        <v>0</v>
      </c>
      <c r="LH57" s="1831"/>
      <c r="LI57" s="1832">
        <f t="shared" si="132"/>
        <v>0</v>
      </c>
      <c r="LJ57" s="1833">
        <f t="shared" si="133"/>
        <v>0</v>
      </c>
      <c r="LK57" s="1834">
        <f t="shared" si="133"/>
        <v>0</v>
      </c>
      <c r="LL57" s="1831"/>
      <c r="LM57" s="1835">
        <f t="shared" si="135"/>
        <v>0</v>
      </c>
      <c r="LN57" s="1836">
        <f t="shared" si="136"/>
        <v>0</v>
      </c>
      <c r="LO57" s="1836">
        <f t="shared" si="136"/>
        <v>0</v>
      </c>
      <c r="LP57" s="239"/>
      <c r="LQ57" s="1837">
        <f t="shared" ref="LQ57:LQ62" si="237">(KK57+KP57+KU57)/3</f>
        <v>1.3333333333333333</v>
      </c>
      <c r="LR57" s="1836">
        <f t="shared" si="229"/>
        <v>609333.33333333337</v>
      </c>
      <c r="LS57" s="1836">
        <f t="shared" si="229"/>
        <v>379430.66666666669</v>
      </c>
      <c r="LT57" s="1838">
        <f>LS57/LR57</f>
        <v>0.6226980306345733</v>
      </c>
      <c r="LV57" s="401"/>
      <c r="LW57" s="395"/>
      <c r="LX57" s="395"/>
      <c r="LY57" s="115"/>
      <c r="LZ57" s="186"/>
      <c r="MA57" s="2000"/>
      <c r="MB57" s="1317"/>
      <c r="MC57" s="1317"/>
      <c r="MD57" s="372"/>
      <c r="ME57" s="207"/>
      <c r="MF57" s="2445"/>
      <c r="MG57" s="2001"/>
      <c r="MH57" s="2001"/>
      <c r="MI57" s="372"/>
      <c r="MJ57" s="207"/>
      <c r="MK57" s="2891"/>
      <c r="ML57" s="2001"/>
      <c r="MM57" s="2001"/>
      <c r="MN57" s="372"/>
      <c r="MO57" s="207"/>
      <c r="MP57" s="1577"/>
      <c r="MQ57" s="1248"/>
      <c r="MR57" s="1248"/>
      <c r="MS57" s="1248"/>
      <c r="MT57" s="655"/>
      <c r="MU57" s="1318"/>
      <c r="MV57" s="395"/>
      <c r="MW57" s="395"/>
      <c r="MX57" s="395"/>
      <c r="MY57" s="655"/>
      <c r="MZ57" s="1318"/>
      <c r="NA57" s="395"/>
      <c r="NB57" s="395"/>
      <c r="NC57" s="395"/>
      <c r="ND57" s="801"/>
      <c r="NE57" s="1318"/>
      <c r="NF57" s="395"/>
      <c r="NG57" s="395"/>
      <c r="NH57" s="395"/>
      <c r="NI57" s="801"/>
      <c r="NJ57" s="1318"/>
      <c r="NK57" s="395"/>
      <c r="NL57" s="395"/>
      <c r="NM57" s="395">
        <f>NL57-NK57</f>
        <v>0</v>
      </c>
      <c r="NN57" s="801"/>
      <c r="NO57" s="2430"/>
      <c r="NP57" s="1873"/>
      <c r="NQ57" s="2431"/>
      <c r="NR57" s="2001">
        <f>NQ57-NP57</f>
        <v>0</v>
      </c>
      <c r="NS57" s="801"/>
      <c r="NT57" s="2432"/>
      <c r="NU57" s="622"/>
      <c r="NV57" s="622"/>
      <c r="NW57" s="395">
        <f>NV57-NU57</f>
        <v>0</v>
      </c>
      <c r="NX57" s="801"/>
      <c r="NY57" s="2432"/>
      <c r="NZ57" s="622">
        <v>0</v>
      </c>
      <c r="OA57" s="622">
        <v>0</v>
      </c>
      <c r="OB57" s="622">
        <f>OA57-NZ57</f>
        <v>0</v>
      </c>
      <c r="OC57" s="116"/>
      <c r="OD57" s="2433"/>
      <c r="OE57" s="622">
        <v>0</v>
      </c>
      <c r="OF57" s="622">
        <v>0</v>
      </c>
      <c r="OG57" s="622">
        <v>0</v>
      </c>
      <c r="OH57" s="1576"/>
      <c r="OI57" s="2435">
        <f t="shared" ref="OI57:OI64" si="238">(LV57+MA57+MF57)/3</f>
        <v>0</v>
      </c>
      <c r="OJ57" s="2436">
        <f t="shared" ref="OJ57:OL64" si="239">LW57+MB57+MG57</f>
        <v>0</v>
      </c>
      <c r="OK57" s="2436">
        <f t="shared" si="239"/>
        <v>0</v>
      </c>
      <c r="OL57" s="2436">
        <f t="shared" si="239"/>
        <v>0</v>
      </c>
      <c r="OM57" s="1439"/>
      <c r="ON57" s="622">
        <f>(MK57+MP57+MU57)/3</f>
        <v>0</v>
      </c>
      <c r="OO57" s="622">
        <f t="shared" ref="OO57:OQ62" si="240">ML57+MQ57+MV57</f>
        <v>0</v>
      </c>
      <c r="OP57" s="622">
        <f t="shared" si="240"/>
        <v>0</v>
      </c>
      <c r="OQ57" s="2437">
        <f t="shared" si="240"/>
        <v>0</v>
      </c>
      <c r="OR57" s="421" t="e">
        <f>OQ57/OP57</f>
        <v>#DIV/0!</v>
      </c>
      <c r="OS57" s="2438">
        <f t="shared" ref="OS57:OS64" si="241">(NJ57+NE57+MZ57)/3</f>
        <v>0</v>
      </c>
      <c r="OT57" s="2439">
        <f t="shared" ref="OT57:OV77" si="242">NK57+NF57+NA57</f>
        <v>0</v>
      </c>
      <c r="OU57" s="2439">
        <f t="shared" si="242"/>
        <v>0</v>
      </c>
      <c r="OV57" s="2440">
        <f t="shared" si="242"/>
        <v>0</v>
      </c>
      <c r="OW57" s="460"/>
      <c r="OX57" s="2432">
        <f t="shared" ref="OX57:OX64" si="243">(NO57+NT57+NY57)/3</f>
        <v>0</v>
      </c>
      <c r="OY57" s="622">
        <f t="shared" ref="OY57:PA64" si="244">NP57+NU57+NZ57</f>
        <v>0</v>
      </c>
      <c r="OZ57" s="622">
        <f t="shared" si="244"/>
        <v>0</v>
      </c>
      <c r="PA57" s="2437">
        <f t="shared" si="244"/>
        <v>0</v>
      </c>
      <c r="PB57" s="116"/>
      <c r="PC57" s="2441"/>
      <c r="PD57" s="401"/>
      <c r="PE57" s="395"/>
      <c r="PF57" s="395"/>
      <c r="PG57" s="115">
        <f t="shared" si="138"/>
        <v>0</v>
      </c>
      <c r="PH57" s="186" t="e">
        <f>PG57/PF57</f>
        <v>#DIV/0!</v>
      </c>
      <c r="PI57" s="2000"/>
      <c r="PJ57" s="1317"/>
      <c r="PK57" s="1317"/>
      <c r="PL57" s="372"/>
      <c r="PM57" s="207"/>
      <c r="PN57" s="2445"/>
      <c r="PO57" s="2001"/>
      <c r="PP57" s="2001"/>
      <c r="PQ57" s="372"/>
      <c r="PR57" s="207"/>
      <c r="PS57" s="2891"/>
      <c r="PT57" s="2001"/>
      <c r="PU57" s="2001"/>
      <c r="PV57" s="2892"/>
      <c r="PW57" s="370"/>
      <c r="PX57" s="1577"/>
      <c r="PY57" s="1248"/>
      <c r="PZ57" s="1248"/>
      <c r="QA57" s="1248"/>
      <c r="QB57" s="655"/>
      <c r="QC57" s="2002"/>
      <c r="QD57" s="2001"/>
      <c r="QE57" s="2001"/>
      <c r="QF57" s="2001"/>
      <c r="QG57" s="2019"/>
      <c r="QH57" s="401"/>
      <c r="QI57" s="395"/>
      <c r="QJ57" s="395"/>
      <c r="QK57" s="395"/>
      <c r="QL57" s="801"/>
      <c r="QM57" s="401"/>
      <c r="QN57" s="395"/>
      <c r="QO57" s="395"/>
      <c r="QP57" s="395"/>
      <c r="QQ57" s="801"/>
      <c r="QR57" s="2002"/>
      <c r="QS57" s="2001"/>
      <c r="QT57" s="2001"/>
      <c r="QU57" s="2001">
        <f>QT57-QS57</f>
        <v>0</v>
      </c>
      <c r="QV57" s="370"/>
      <c r="QW57" s="2430"/>
      <c r="QX57" s="1873"/>
      <c r="QY57" s="2431"/>
      <c r="QZ57" s="2001">
        <f>QY57-QX57</f>
        <v>0</v>
      </c>
      <c r="RA57" s="2003"/>
      <c r="RB57" s="2432"/>
      <c r="RC57" s="622"/>
      <c r="RD57" s="622"/>
      <c r="RE57" s="395">
        <f>RD57-RC57</f>
        <v>0</v>
      </c>
      <c r="RF57" s="801"/>
      <c r="RG57" s="2108"/>
      <c r="RH57" s="1873">
        <v>0</v>
      </c>
      <c r="RI57" s="1873">
        <v>0</v>
      </c>
      <c r="RJ57" s="1873">
        <f>RI57-RH57</f>
        <v>0</v>
      </c>
      <c r="RK57" s="116"/>
      <c r="RL57" s="3717"/>
      <c r="RM57" s="1873">
        <f t="shared" ref="RM57:RO71" si="245">RH57+RC57+QX57+QS57+QN57+QI57+QD57+PY57+PT57+PO57+PJ57+PE57</f>
        <v>0</v>
      </c>
      <c r="RN57" s="1873">
        <f t="shared" si="245"/>
        <v>0</v>
      </c>
      <c r="RO57" s="1873">
        <f t="shared" si="245"/>
        <v>0</v>
      </c>
      <c r="RP57" s="1576"/>
      <c r="RQ57" s="2435">
        <f t="shared" ref="RQ57:RQ64" si="246">(PD57+PI57+PN57)/3</f>
        <v>0</v>
      </c>
      <c r="RR57" s="2436">
        <f t="shared" ref="RR57:RT64" si="247">PE57+PJ57+PO57</f>
        <v>0</v>
      </c>
      <c r="RS57" s="2436">
        <f t="shared" si="247"/>
        <v>0</v>
      </c>
      <c r="RT57" s="2436">
        <f t="shared" si="247"/>
        <v>0</v>
      </c>
      <c r="RU57" s="1439"/>
      <c r="RV57" s="622">
        <f>(PS57+PX57+QC57)/3</f>
        <v>0</v>
      </c>
      <c r="RW57" s="622">
        <f t="shared" ref="RW57:RY62" si="248">PT57+PY57+QD57</f>
        <v>0</v>
      </c>
      <c r="RX57" s="622">
        <f t="shared" si="248"/>
        <v>0</v>
      </c>
      <c r="RY57" s="2437">
        <f t="shared" si="248"/>
        <v>0</v>
      </c>
      <c r="RZ57" s="421" t="e">
        <f>RY57/RX57</f>
        <v>#DIV/0!</v>
      </c>
      <c r="SA57" s="2438">
        <f t="shared" ref="SA57:SA64" si="249">(QR57+QM57+QH57)/3</f>
        <v>0</v>
      </c>
      <c r="SB57" s="2439">
        <f t="shared" ref="SB57:SD77" si="250">QS57+QN57+QI57</f>
        <v>0</v>
      </c>
      <c r="SC57" s="2439">
        <f t="shared" si="250"/>
        <v>0</v>
      </c>
      <c r="SD57" s="2440">
        <f t="shared" si="250"/>
        <v>0</v>
      </c>
      <c r="SE57" s="460"/>
      <c r="SF57" s="2432">
        <f t="shared" ref="SF57:SF64" si="251">(QW57+RB57+RG57)/3</f>
        <v>0</v>
      </c>
      <c r="SG57" s="622">
        <f t="shared" ref="SG57:SI64" si="252">QX57+RC57+RH57</f>
        <v>0</v>
      </c>
      <c r="SH57" s="622">
        <f t="shared" si="252"/>
        <v>0</v>
      </c>
      <c r="SI57" s="2437">
        <f t="shared" si="252"/>
        <v>0</v>
      </c>
      <c r="SJ57" s="116"/>
      <c r="SL57" s="2445"/>
      <c r="SM57" s="2001"/>
      <c r="SN57" s="2001"/>
      <c r="SO57" s="3534">
        <f t="shared" si="139"/>
        <v>0</v>
      </c>
      <c r="SP57" s="1498" t="e">
        <f>SO57/SN57</f>
        <v>#DIV/0!</v>
      </c>
      <c r="SQ57" s="6015"/>
      <c r="SR57" s="3208"/>
      <c r="SS57" s="3208"/>
      <c r="ST57" s="2892"/>
      <c r="SU57" s="370"/>
      <c r="SV57" s="401"/>
      <c r="SW57" s="395"/>
      <c r="SX57" s="395"/>
      <c r="SY57" s="372"/>
      <c r="SZ57" s="207"/>
      <c r="TA57" s="2573"/>
      <c r="TB57" s="395"/>
      <c r="TC57" s="395"/>
      <c r="TD57" s="372"/>
      <c r="TE57" s="207"/>
      <c r="TF57" s="1577"/>
      <c r="TG57" s="1248"/>
      <c r="TH57" s="1248"/>
      <c r="TI57" s="1248"/>
      <c r="TJ57" s="655"/>
      <c r="TK57" s="2002"/>
      <c r="TL57" s="2001"/>
      <c r="TM57" s="2001"/>
      <c r="TN57" s="2001"/>
      <c r="TO57" s="2019"/>
      <c r="TP57" s="4434"/>
      <c r="TQ57" s="395"/>
      <c r="TR57" s="395"/>
      <c r="TS57" s="395"/>
      <c r="TT57" s="801"/>
      <c r="TU57" s="4464"/>
      <c r="TV57" s="2001"/>
      <c r="TW57" s="2001"/>
      <c r="TX57" s="2001"/>
      <c r="TY57" s="2003"/>
      <c r="TZ57" s="2002"/>
      <c r="UA57" s="2001"/>
      <c r="UB57" s="2001"/>
      <c r="UC57" s="2001">
        <f>UB57-UA57</f>
        <v>0</v>
      </c>
      <c r="UD57" s="370"/>
      <c r="UE57" s="2430"/>
      <c r="UF57" s="1873"/>
      <c r="UG57" s="2431"/>
      <c r="UH57" s="2001">
        <f>UG57-UF57</f>
        <v>0</v>
      </c>
      <c r="UI57" s="2003"/>
      <c r="UJ57" s="2432"/>
      <c r="UK57" s="622"/>
      <c r="UL57" s="622"/>
      <c r="UM57" s="395">
        <f>UL57-UK57</f>
        <v>0</v>
      </c>
      <c r="UN57" s="801"/>
      <c r="UO57" s="2108"/>
      <c r="UP57" s="1873">
        <v>0</v>
      </c>
      <c r="UQ57" s="1873">
        <v>0</v>
      </c>
      <c r="UR57" s="1873">
        <f>UQ57-UP57</f>
        <v>0</v>
      </c>
      <c r="US57" s="116"/>
      <c r="UT57" s="2433"/>
      <c r="UU57" s="622">
        <f t="shared" si="78"/>
        <v>0</v>
      </c>
      <c r="UV57" s="622">
        <f t="shared" si="78"/>
        <v>0</v>
      </c>
      <c r="UW57" s="622">
        <f t="shared" si="78"/>
        <v>0</v>
      </c>
      <c r="UX57" s="1576"/>
      <c r="UY57" s="2435">
        <f t="shared" ref="UY57:UY64" si="253">(SL57+SQ57+SV57)/3</f>
        <v>0</v>
      </c>
      <c r="UZ57" s="2436">
        <f t="shared" ref="UZ57:VB66" si="254">SM57+SR57+SW57</f>
        <v>0</v>
      </c>
      <c r="VA57" s="2436">
        <f t="shared" si="254"/>
        <v>0</v>
      </c>
      <c r="VB57" s="2436">
        <f t="shared" si="254"/>
        <v>0</v>
      </c>
      <c r="VC57" s="1439"/>
      <c r="VD57" s="622">
        <f>(TA57+TF57+TK57)/3</f>
        <v>0</v>
      </c>
      <c r="VE57" s="622">
        <f t="shared" ref="VE57:VG62" si="255">TB57+TG57+TL57</f>
        <v>0</v>
      </c>
      <c r="VF57" s="622">
        <f t="shared" si="255"/>
        <v>0</v>
      </c>
      <c r="VG57" s="2437">
        <f t="shared" si="255"/>
        <v>0</v>
      </c>
      <c r="VH57" s="421" t="e">
        <f>VG57/VF57</f>
        <v>#DIV/0!</v>
      </c>
      <c r="VI57" s="2438">
        <f t="shared" ref="VI57:VI64" si="256">(TZ57+TU57+TP57)/3</f>
        <v>0</v>
      </c>
      <c r="VJ57" s="2439">
        <f t="shared" ref="VJ57:VL71" si="257">UA57+TV57+TQ57</f>
        <v>0</v>
      </c>
      <c r="VK57" s="2439">
        <f t="shared" si="257"/>
        <v>0</v>
      </c>
      <c r="VL57" s="2440">
        <f t="shared" si="257"/>
        <v>0</v>
      </c>
      <c r="VM57" s="460"/>
      <c r="VN57" s="2432">
        <f t="shared" ref="VN57:VN64" si="258">(UE57+UJ57+UO57)/3</f>
        <v>0</v>
      </c>
      <c r="VO57" s="622">
        <f t="shared" ref="VO57:VQ64" si="259">UF57+UK57+UP57</f>
        <v>0</v>
      </c>
      <c r="VP57" s="622">
        <f t="shared" si="259"/>
        <v>0</v>
      </c>
      <c r="VQ57" s="2437">
        <f t="shared" si="259"/>
        <v>0</v>
      </c>
      <c r="VR57" s="116"/>
    </row>
    <row r="58" spans="1:590" s="2425" customFormat="1" ht="13.45" hidden="1" x14ac:dyDescent="0.3">
      <c r="A58" s="2399"/>
      <c r="B58" s="1773" t="s">
        <v>84</v>
      </c>
      <c r="C58" s="2004" t="s">
        <v>89</v>
      </c>
      <c r="D58" s="2005" t="s">
        <v>273</v>
      </c>
      <c r="E58" s="2006">
        <v>44670</v>
      </c>
      <c r="F58" s="2006">
        <v>45034</v>
      </c>
      <c r="G58" s="2007">
        <v>1020000</v>
      </c>
      <c r="H58" s="1940"/>
      <c r="I58" s="1941"/>
      <c r="J58" s="1941"/>
      <c r="K58" s="1941"/>
      <c r="L58" s="1942"/>
      <c r="M58" s="1940"/>
      <c r="N58" s="1941"/>
      <c r="O58" s="1941"/>
      <c r="P58" s="1941"/>
      <c r="Q58" s="1942"/>
      <c r="R58" s="1940"/>
      <c r="S58" s="1941"/>
      <c r="T58" s="1941"/>
      <c r="U58" s="1941"/>
      <c r="V58" s="1942"/>
      <c r="W58" s="1940"/>
      <c r="X58" s="1941"/>
      <c r="Y58" s="1941"/>
      <c r="Z58" s="1941"/>
      <c r="AA58" s="1943"/>
      <c r="AB58" s="1940"/>
      <c r="AC58" s="1941"/>
      <c r="AD58" s="1941"/>
      <c r="AE58" s="1941"/>
      <c r="AF58" s="1943"/>
      <c r="AG58" s="1941"/>
      <c r="AH58" s="1941"/>
      <c r="AI58" s="1941"/>
      <c r="AJ58" s="1941"/>
      <c r="AK58" s="1942"/>
      <c r="AL58" s="1941"/>
      <c r="AM58" s="1941"/>
      <c r="AN58" s="1941"/>
      <c r="AO58" s="1941"/>
      <c r="AP58" s="1942"/>
      <c r="AQ58" s="1941"/>
      <c r="AR58" s="1941"/>
      <c r="AS58" s="1941"/>
      <c r="AT58" s="1941"/>
      <c r="AU58" s="1942"/>
      <c r="AV58" s="1944"/>
      <c r="AW58" s="1941"/>
      <c r="AX58" s="1941"/>
      <c r="AY58" s="1941"/>
      <c r="AZ58" s="1943"/>
      <c r="BA58" s="1944"/>
      <c r="BB58" s="1941"/>
      <c r="BC58" s="1941"/>
      <c r="BD58" s="1941"/>
      <c r="BE58" s="1943"/>
      <c r="BF58" s="1944"/>
      <c r="BG58" s="1941"/>
      <c r="BH58" s="1941"/>
      <c r="BI58" s="1941"/>
      <c r="BJ58" s="1943"/>
      <c r="BK58" s="1944"/>
      <c r="BL58" s="1941"/>
      <c r="BM58" s="1941"/>
      <c r="BN58" s="1941"/>
      <c r="BO58" s="1943"/>
      <c r="BP58" s="1945"/>
      <c r="BQ58" s="1941"/>
      <c r="BR58" s="1941"/>
      <c r="BS58" s="1941"/>
      <c r="BT58" s="1946"/>
      <c r="BU58" s="1941"/>
      <c r="BV58" s="1941"/>
      <c r="BW58" s="1947"/>
      <c r="BX58" s="1946"/>
      <c r="BY58" s="1941"/>
      <c r="BZ58" s="1941"/>
      <c r="CA58" s="1948"/>
      <c r="CB58" s="1941"/>
      <c r="CC58" s="1941"/>
      <c r="CD58" s="1941"/>
      <c r="CE58" s="1941"/>
      <c r="CF58" s="1946"/>
      <c r="CG58" s="1941"/>
      <c r="CH58" s="1941"/>
      <c r="CI58" s="1948"/>
      <c r="CJ58" s="1949"/>
      <c r="CK58" s="1941"/>
      <c r="CL58" s="1941"/>
      <c r="CM58" s="1941"/>
      <c r="CN58" s="1947"/>
      <c r="CO58" s="1949"/>
      <c r="CP58" s="1940"/>
      <c r="CQ58" s="1940"/>
      <c r="CR58" s="1940"/>
      <c r="CS58" s="1947"/>
      <c r="CT58" s="1949"/>
      <c r="CU58" s="1941"/>
      <c r="CV58" s="1941"/>
      <c r="CW58" s="1941"/>
      <c r="CX58" s="1947"/>
      <c r="CY58" s="1949"/>
      <c r="CZ58" s="1941"/>
      <c r="DA58" s="1941"/>
      <c r="DB58" s="1941"/>
      <c r="DC58" s="1947"/>
      <c r="DD58" s="1949"/>
      <c r="DE58" s="1941"/>
      <c r="DF58" s="1941"/>
      <c r="DG58" s="1941"/>
      <c r="DH58" s="1950"/>
      <c r="DI58" s="1949"/>
      <c r="DJ58" s="1941"/>
      <c r="DK58" s="1941"/>
      <c r="DL58" s="1941"/>
      <c r="DM58" s="1950"/>
      <c r="DN58" s="1949"/>
      <c r="DO58" s="1941"/>
      <c r="DP58" s="1941"/>
      <c r="DQ58" s="1941"/>
      <c r="DR58" s="1950"/>
      <c r="DS58" s="1949"/>
      <c r="DT58" s="1941"/>
      <c r="DU58" s="1941"/>
      <c r="DV58" s="1941"/>
      <c r="DW58" s="1950"/>
      <c r="DX58" s="1949"/>
      <c r="DY58" s="1941"/>
      <c r="DZ58" s="1941"/>
      <c r="EA58" s="1941"/>
      <c r="EB58" s="1950"/>
      <c r="EC58" s="1949"/>
      <c r="ED58" s="1941"/>
      <c r="EE58" s="1941"/>
      <c r="EF58" s="1941"/>
      <c r="EG58" s="1950"/>
      <c r="EH58" s="1899"/>
      <c r="EI58" s="1900"/>
      <c r="EJ58" s="1900"/>
      <c r="EK58" s="1900"/>
      <c r="EL58" s="1951"/>
      <c r="EM58" s="1901"/>
      <c r="EN58" s="1824"/>
      <c r="EO58" s="1824"/>
      <c r="EP58" s="1824"/>
      <c r="EQ58" s="1952"/>
      <c r="ER58" s="2402">
        <f t="shared" si="38"/>
        <v>0</v>
      </c>
      <c r="ES58" s="2403">
        <f t="shared" si="146"/>
        <v>0</v>
      </c>
      <c r="ET58" s="2403">
        <f t="shared" si="146"/>
        <v>0</v>
      </c>
      <c r="EU58" s="2403">
        <f t="shared" si="146"/>
        <v>0</v>
      </c>
      <c r="EV58" s="2404" t="e">
        <f t="shared" si="40"/>
        <v>#DIV/0!</v>
      </c>
      <c r="EW58" s="1953"/>
      <c r="EX58" s="1953"/>
      <c r="EY58" s="1953"/>
      <c r="EZ58" s="1954"/>
      <c r="FA58" s="1899"/>
      <c r="FB58" s="1953"/>
      <c r="FC58" s="1953"/>
      <c r="FD58" s="1955"/>
      <c r="FE58" s="1953"/>
      <c r="FF58" s="1953"/>
      <c r="FG58" s="1953"/>
      <c r="FH58" s="1954"/>
      <c r="FI58" s="1956"/>
      <c r="FJ58" s="1957"/>
      <c r="FK58" s="1958"/>
      <c r="FL58" s="1958"/>
      <c r="FM58" s="1959"/>
      <c r="FN58" s="1953"/>
      <c r="FO58" s="1900"/>
      <c r="FP58" s="1900"/>
      <c r="FQ58" s="1900"/>
      <c r="FR58" s="1960"/>
      <c r="FS58" s="1919"/>
      <c r="FT58" s="1920"/>
      <c r="FU58" s="1920"/>
      <c r="FV58" s="1920"/>
      <c r="FW58" s="1961"/>
      <c r="FX58" s="1899"/>
      <c r="FY58" s="1900"/>
      <c r="FZ58" s="1900"/>
      <c r="GA58" s="1920"/>
      <c r="GB58" s="1961"/>
      <c r="GC58" s="1899"/>
      <c r="GD58" s="1900"/>
      <c r="GE58" s="1900"/>
      <c r="GF58" s="1824"/>
      <c r="GG58" s="1952"/>
      <c r="GH58" s="1901"/>
      <c r="GI58" s="1824"/>
      <c r="GJ58" s="1824"/>
      <c r="GK58" s="1962"/>
      <c r="GL58" s="1961"/>
      <c r="GM58" s="1901"/>
      <c r="GN58" s="1824"/>
      <c r="GO58" s="1824"/>
      <c r="GP58" s="1962"/>
      <c r="GQ58" s="1961"/>
      <c r="GR58" s="715"/>
      <c r="GS58" s="715"/>
      <c r="GT58" s="715"/>
      <c r="GU58" s="1962"/>
      <c r="GV58" s="1961"/>
      <c r="GW58" s="715"/>
      <c r="GX58" s="715"/>
      <c r="GY58" s="715"/>
      <c r="GZ58" s="1962"/>
      <c r="HA58" s="1961"/>
      <c r="HB58" s="715"/>
      <c r="HC58" s="715"/>
      <c r="HD58" s="715"/>
      <c r="HE58" s="1962"/>
      <c r="HF58" s="1961"/>
      <c r="HG58" s="715"/>
      <c r="HH58" s="715"/>
      <c r="HI58" s="715"/>
      <c r="HJ58" s="715"/>
      <c r="HK58" s="1961"/>
      <c r="HL58" s="715"/>
      <c r="HM58" s="715"/>
      <c r="HN58" s="715"/>
      <c r="HO58" s="715"/>
      <c r="HP58" s="1961"/>
      <c r="HQ58" s="1963"/>
      <c r="HR58" s="1248">
        <v>0</v>
      </c>
      <c r="HS58" s="1248">
        <v>0</v>
      </c>
      <c r="HT58" s="1248">
        <v>0</v>
      </c>
      <c r="HU58" s="1826"/>
      <c r="HV58" s="2915">
        <f t="shared" si="155"/>
        <v>0</v>
      </c>
      <c r="HW58" s="395">
        <f t="shared" si="156"/>
        <v>0</v>
      </c>
      <c r="HX58" s="395">
        <f t="shared" si="156"/>
        <v>0</v>
      </c>
      <c r="HY58" s="395">
        <f t="shared" si="156"/>
        <v>0</v>
      </c>
      <c r="HZ58" s="2907"/>
      <c r="IA58" s="1907"/>
      <c r="IB58" s="1908"/>
      <c r="IC58" s="1908"/>
      <c r="ID58" s="1909"/>
      <c r="IE58" s="1914"/>
      <c r="IF58" s="1914"/>
      <c r="IG58" s="1964"/>
      <c r="IH58" s="1965"/>
      <c r="II58" s="1966"/>
      <c r="IJ58" s="1964"/>
      <c r="IK58" s="1964"/>
      <c r="IL58" s="2010"/>
      <c r="IM58" s="1967"/>
      <c r="IN58" s="1964"/>
      <c r="IO58" s="1964"/>
      <c r="IP58" s="1968"/>
      <c r="IQ58" s="1914"/>
      <c r="IR58" s="1969"/>
      <c r="IS58" s="1248">
        <v>0</v>
      </c>
      <c r="IT58" s="1248">
        <v>0</v>
      </c>
      <c r="IU58" s="1917">
        <v>0</v>
      </c>
      <c r="IV58" s="1918"/>
      <c r="IW58" s="1919"/>
      <c r="IX58" s="1920">
        <v>0</v>
      </c>
      <c r="IY58" s="1920">
        <v>0</v>
      </c>
      <c r="IZ58" s="1818">
        <f>IY58-IX58</f>
        <v>0</v>
      </c>
      <c r="JA58" s="1821"/>
      <c r="JB58" s="1925"/>
      <c r="JC58" s="6046">
        <v>0</v>
      </c>
      <c r="JD58" s="6047">
        <v>0</v>
      </c>
      <c r="JE58" s="1818">
        <f>JD58-JC58</f>
        <v>0</v>
      </c>
      <c r="JF58" s="1821"/>
      <c r="JG58" s="1925"/>
      <c r="JH58" s="1824"/>
      <c r="JI58" s="1824"/>
      <c r="JJ58" s="1822">
        <f>JI58-JH58</f>
        <v>0</v>
      </c>
      <c r="JK58" s="1821"/>
      <c r="JL58" s="1901"/>
      <c r="JM58" s="1824"/>
      <c r="JN58" s="1824">
        <v>0</v>
      </c>
      <c r="JO58" s="6012">
        <f>JN58-JM58</f>
        <v>0</v>
      </c>
      <c r="JP58" s="1821"/>
      <c r="JQ58" s="1926"/>
      <c r="JR58" s="1982">
        <v>0</v>
      </c>
      <c r="JS58" s="1248">
        <v>0</v>
      </c>
      <c r="JT58" s="1996">
        <f>JS58-JR58</f>
        <v>0</v>
      </c>
      <c r="JU58" s="1821"/>
      <c r="JV58" s="6014"/>
      <c r="JW58" s="1982"/>
      <c r="JX58" s="1248"/>
      <c r="JY58" s="1996">
        <f>JX58-JW58</f>
        <v>0</v>
      </c>
      <c r="JZ58" s="1821"/>
      <c r="KA58" s="1925"/>
      <c r="KB58" s="1248">
        <v>0</v>
      </c>
      <c r="KC58" s="1248">
        <v>0</v>
      </c>
      <c r="KD58" s="1983">
        <f>KC58-KB58</f>
        <v>0</v>
      </c>
      <c r="KE58" s="1952"/>
      <c r="KF58" s="1990"/>
      <c r="KG58" s="1904">
        <v>0</v>
      </c>
      <c r="KH58" s="1904">
        <v>0</v>
      </c>
      <c r="KI58" s="1818">
        <f t="shared" si="227"/>
        <v>0</v>
      </c>
      <c r="KJ58" s="1821"/>
      <c r="KK58" s="1990"/>
      <c r="KL58" s="1904"/>
      <c r="KM58" s="1904"/>
      <c r="KN58" s="2023">
        <f t="shared" si="130"/>
        <v>0</v>
      </c>
      <c r="KO58" s="2024"/>
      <c r="KP58" s="1823"/>
      <c r="KQ58" s="1982"/>
      <c r="KR58" s="1248"/>
      <c r="KS58" s="1996">
        <f t="shared" si="236"/>
        <v>0</v>
      </c>
      <c r="KT58" s="1819"/>
      <c r="KU58" s="1905"/>
      <c r="KV58" s="1248">
        <v>0</v>
      </c>
      <c r="KW58" s="1248">
        <v>0</v>
      </c>
      <c r="KX58" s="1248">
        <v>0</v>
      </c>
      <c r="KY58" s="77"/>
      <c r="KZ58" s="1832"/>
      <c r="LA58" s="622">
        <f t="shared" si="144"/>
        <v>0</v>
      </c>
      <c r="LB58" s="622">
        <f t="shared" si="144"/>
        <v>0</v>
      </c>
      <c r="LC58" s="622">
        <f t="shared" si="144"/>
        <v>0</v>
      </c>
      <c r="LD58" s="239"/>
      <c r="LE58" s="1834">
        <f t="shared" si="71"/>
        <v>0</v>
      </c>
      <c r="LF58" s="1830">
        <f t="shared" si="167"/>
        <v>0</v>
      </c>
      <c r="LG58" s="1830">
        <f t="shared" si="167"/>
        <v>0</v>
      </c>
      <c r="LH58" s="1831"/>
      <c r="LI58" s="1832">
        <f t="shared" si="132"/>
        <v>0</v>
      </c>
      <c r="LJ58" s="1833">
        <f t="shared" si="133"/>
        <v>0</v>
      </c>
      <c r="LK58" s="1834">
        <f t="shared" si="133"/>
        <v>0</v>
      </c>
      <c r="LL58" s="1831"/>
      <c r="LM58" s="1835">
        <f t="shared" si="135"/>
        <v>0</v>
      </c>
      <c r="LN58" s="1836">
        <f t="shared" si="136"/>
        <v>0</v>
      </c>
      <c r="LO58" s="1836">
        <f t="shared" si="136"/>
        <v>0</v>
      </c>
      <c r="LP58" s="239"/>
      <c r="LQ58" s="1837">
        <f t="shared" si="237"/>
        <v>0</v>
      </c>
      <c r="LR58" s="1836">
        <f t="shared" si="229"/>
        <v>0</v>
      </c>
      <c r="LS58" s="1836">
        <f t="shared" si="229"/>
        <v>0</v>
      </c>
      <c r="LT58" s="1838"/>
      <c r="LV58" s="401"/>
      <c r="LW58" s="395"/>
      <c r="LX58" s="395">
        <v>0</v>
      </c>
      <c r="LY58" s="115">
        <f>LX58-LW58</f>
        <v>0</v>
      </c>
      <c r="LZ58" s="186"/>
      <c r="MA58" s="2000"/>
      <c r="MB58" s="1317">
        <v>0</v>
      </c>
      <c r="MC58" s="1317">
        <v>0</v>
      </c>
      <c r="MD58" s="372">
        <f>MC58-MB58</f>
        <v>0</v>
      </c>
      <c r="ME58" s="207"/>
      <c r="MF58" s="2445"/>
      <c r="MG58" s="395">
        <v>0</v>
      </c>
      <c r="MH58" s="395">
        <v>0</v>
      </c>
      <c r="MI58" s="372">
        <f>MH58-MG58</f>
        <v>0</v>
      </c>
      <c r="MJ58" s="207"/>
      <c r="MK58" s="2891"/>
      <c r="ML58" s="395"/>
      <c r="MM58" s="395"/>
      <c r="MN58" s="372">
        <f>MM58-ML58</f>
        <v>0</v>
      </c>
      <c r="MO58" s="207"/>
      <c r="MP58" s="1577"/>
      <c r="MQ58" s="1248"/>
      <c r="MR58" s="1248"/>
      <c r="MS58" s="1248">
        <f>MR58-MQ58</f>
        <v>0</v>
      </c>
      <c r="MT58" s="655"/>
      <c r="MU58" s="1318"/>
      <c r="MV58" s="395"/>
      <c r="MW58" s="395"/>
      <c r="MX58" s="395">
        <f>MW58-MV58</f>
        <v>0</v>
      </c>
      <c r="MY58" s="655"/>
      <c r="MZ58" s="1318"/>
      <c r="NA58" s="395"/>
      <c r="NB58" s="395"/>
      <c r="NC58" s="395">
        <f>NB58-NA58</f>
        <v>0</v>
      </c>
      <c r="ND58" s="655"/>
      <c r="NE58" s="1318">
        <v>0</v>
      </c>
      <c r="NF58" s="395">
        <v>0</v>
      </c>
      <c r="NG58" s="395">
        <v>0</v>
      </c>
      <c r="NH58" s="395">
        <f>NG58-NF58</f>
        <v>0</v>
      </c>
      <c r="NI58" s="655"/>
      <c r="NJ58" s="1318"/>
      <c r="NK58" s="395"/>
      <c r="NL58" s="395"/>
      <c r="NM58" s="395">
        <f>NL58-NK58</f>
        <v>0</v>
      </c>
      <c r="NN58" s="655"/>
      <c r="NO58" s="2432"/>
      <c r="NP58" s="622"/>
      <c r="NQ58" s="622"/>
      <c r="NR58" s="395">
        <f>NQ58-NP58</f>
        <v>0</v>
      </c>
      <c r="NS58" s="655"/>
      <c r="NT58" s="2432"/>
      <c r="NU58" s="622"/>
      <c r="NV58" s="622"/>
      <c r="NW58" s="395"/>
      <c r="NX58" s="655"/>
      <c r="NY58" s="2432"/>
      <c r="NZ58" s="622">
        <v>0</v>
      </c>
      <c r="OA58" s="622">
        <v>0</v>
      </c>
      <c r="OB58" s="772">
        <f>OA58-NZ58</f>
        <v>0</v>
      </c>
      <c r="OC58" s="659"/>
      <c r="OD58" s="2433"/>
      <c r="OE58" s="622">
        <f t="shared" ref="OE58:OG61" si="260">NZ58+NU58+NP58+NK58+NF58+NA58+MV58+MQ58+ML58+MG58+MB58+LW58</f>
        <v>0</v>
      </c>
      <c r="OF58" s="622">
        <f t="shared" si="260"/>
        <v>0</v>
      </c>
      <c r="OG58" s="622">
        <f t="shared" si="260"/>
        <v>0</v>
      </c>
      <c r="OH58" s="1576"/>
      <c r="OI58" s="2435">
        <f t="shared" si="238"/>
        <v>0</v>
      </c>
      <c r="OJ58" s="2436">
        <f t="shared" si="239"/>
        <v>0</v>
      </c>
      <c r="OK58" s="2436">
        <f t="shared" si="239"/>
        <v>0</v>
      </c>
      <c r="OL58" s="2436">
        <f t="shared" si="239"/>
        <v>0</v>
      </c>
      <c r="OM58" s="1439"/>
      <c r="ON58" s="622">
        <f>(MK58+MP58+MU58)/3</f>
        <v>0</v>
      </c>
      <c r="OO58" s="622">
        <f t="shared" si="240"/>
        <v>0</v>
      </c>
      <c r="OP58" s="622">
        <f t="shared" si="240"/>
        <v>0</v>
      </c>
      <c r="OQ58" s="2437">
        <f t="shared" si="240"/>
        <v>0</v>
      </c>
      <c r="OR58" s="421" t="e">
        <f>OQ58/OP58</f>
        <v>#DIV/0!</v>
      </c>
      <c r="OS58" s="2438">
        <f t="shared" si="241"/>
        <v>0</v>
      </c>
      <c r="OT58" s="2439">
        <f t="shared" si="242"/>
        <v>0</v>
      </c>
      <c r="OU58" s="2439">
        <f t="shared" si="242"/>
        <v>0</v>
      </c>
      <c r="OV58" s="2440">
        <f t="shared" si="242"/>
        <v>0</v>
      </c>
      <c r="OW58" s="460"/>
      <c r="OX58" s="2432">
        <f t="shared" si="243"/>
        <v>0</v>
      </c>
      <c r="OY58" s="622">
        <f t="shared" si="244"/>
        <v>0</v>
      </c>
      <c r="OZ58" s="622">
        <f t="shared" si="244"/>
        <v>0</v>
      </c>
      <c r="PA58" s="2437">
        <f t="shared" si="244"/>
        <v>0</v>
      </c>
      <c r="PB58" s="116"/>
      <c r="PC58" s="2441"/>
      <c r="PD58" s="401"/>
      <c r="PE58" s="395"/>
      <c r="PF58" s="395"/>
      <c r="PG58" s="115"/>
      <c r="PH58" s="6067"/>
      <c r="PI58" s="2000"/>
      <c r="PJ58" s="1317"/>
      <c r="PK58" s="1317"/>
      <c r="PL58" s="372">
        <f>PK58-PJ58</f>
        <v>0</v>
      </c>
      <c r="PM58" s="207"/>
      <c r="PN58" s="2445"/>
      <c r="PO58" s="395"/>
      <c r="PP58" s="395"/>
      <c r="PQ58" s="372">
        <f>PP58-PO58</f>
        <v>0</v>
      </c>
      <c r="PR58" s="207"/>
      <c r="PS58" s="2891"/>
      <c r="PT58" s="2001"/>
      <c r="PU58" s="2001"/>
      <c r="PV58" s="2892">
        <f>PU58-PT58</f>
        <v>0</v>
      </c>
      <c r="PW58" s="370"/>
      <c r="PX58" s="1577"/>
      <c r="PY58" s="1248"/>
      <c r="PZ58" s="1248"/>
      <c r="QA58" s="1248">
        <f>PZ58-PY58</f>
        <v>0</v>
      </c>
      <c r="QB58" s="655"/>
      <c r="QC58" s="2002"/>
      <c r="QD58" s="2001"/>
      <c r="QE58" s="2001"/>
      <c r="QF58" s="2001">
        <f>QE58-QD58</f>
        <v>0</v>
      </c>
      <c r="QG58" s="2019"/>
      <c r="QH58" s="401"/>
      <c r="QI58" s="395"/>
      <c r="QJ58" s="395"/>
      <c r="QK58" s="395">
        <f>QJ58-QI58</f>
        <v>0</v>
      </c>
      <c r="QL58" s="655"/>
      <c r="QM58" s="401">
        <v>0</v>
      </c>
      <c r="QN58" s="395">
        <v>0</v>
      </c>
      <c r="QO58" s="395">
        <v>0</v>
      </c>
      <c r="QP58" s="395">
        <f>QO58-QN58</f>
        <v>0</v>
      </c>
      <c r="QQ58" s="655"/>
      <c r="QR58" s="2002"/>
      <c r="QS58" s="2001"/>
      <c r="QT58" s="2001"/>
      <c r="QU58" s="2001">
        <f>QT58-QS58</f>
        <v>0</v>
      </c>
      <c r="QV58" s="6056"/>
      <c r="QW58" s="2430"/>
      <c r="QX58" s="1873"/>
      <c r="QY58" s="1873"/>
      <c r="QZ58" s="2001">
        <f>QY58-QX58</f>
        <v>0</v>
      </c>
      <c r="RA58" s="2019"/>
      <c r="RB58" s="2432"/>
      <c r="RC58" s="622"/>
      <c r="RD58" s="622"/>
      <c r="RE58" s="395"/>
      <c r="RF58" s="655"/>
      <c r="RG58" s="2108"/>
      <c r="RH58" s="1873">
        <v>0</v>
      </c>
      <c r="RI58" s="1873">
        <v>0</v>
      </c>
      <c r="RJ58" s="2012">
        <f>RI58-RH58</f>
        <v>0</v>
      </c>
      <c r="RK58" s="659"/>
      <c r="RL58" s="3717"/>
      <c r="RM58" s="1873">
        <f t="shared" si="245"/>
        <v>0</v>
      </c>
      <c r="RN58" s="1873">
        <f t="shared" si="245"/>
        <v>0</v>
      </c>
      <c r="RO58" s="1873">
        <f t="shared" si="245"/>
        <v>0</v>
      </c>
      <c r="RP58" s="1576"/>
      <c r="RQ58" s="2435">
        <f t="shared" si="246"/>
        <v>0</v>
      </c>
      <c r="RR58" s="2436">
        <f t="shared" si="247"/>
        <v>0</v>
      </c>
      <c r="RS58" s="2436">
        <f t="shared" si="247"/>
        <v>0</v>
      </c>
      <c r="RT58" s="2436">
        <f t="shared" si="247"/>
        <v>0</v>
      </c>
      <c r="RU58" s="1439"/>
      <c r="RV58" s="622">
        <f>(PS58+PX58+QC58)/3</f>
        <v>0</v>
      </c>
      <c r="RW58" s="622">
        <f t="shared" si="248"/>
        <v>0</v>
      </c>
      <c r="RX58" s="622">
        <f t="shared" si="248"/>
        <v>0</v>
      </c>
      <c r="RY58" s="2437">
        <f t="shared" si="248"/>
        <v>0</v>
      </c>
      <c r="RZ58" s="421" t="e">
        <f>RY58/RX58</f>
        <v>#DIV/0!</v>
      </c>
      <c r="SA58" s="2438">
        <f t="shared" si="249"/>
        <v>0</v>
      </c>
      <c r="SB58" s="2439">
        <f t="shared" si="250"/>
        <v>0</v>
      </c>
      <c r="SC58" s="2439">
        <f t="shared" si="250"/>
        <v>0</v>
      </c>
      <c r="SD58" s="2440">
        <f t="shared" si="250"/>
        <v>0</v>
      </c>
      <c r="SE58" s="460"/>
      <c r="SF58" s="2432">
        <f t="shared" si="251"/>
        <v>0</v>
      </c>
      <c r="SG58" s="622">
        <f t="shared" si="252"/>
        <v>0</v>
      </c>
      <c r="SH58" s="622">
        <f t="shared" si="252"/>
        <v>0</v>
      </c>
      <c r="SI58" s="2437">
        <f t="shared" si="252"/>
        <v>0</v>
      </c>
      <c r="SJ58" s="116"/>
      <c r="SL58" s="2445"/>
      <c r="SM58" s="2001"/>
      <c r="SN58" s="2001"/>
      <c r="SO58" s="3534"/>
      <c r="SP58" s="6068"/>
      <c r="SQ58" s="6015"/>
      <c r="SR58" s="3208"/>
      <c r="SS58" s="3208"/>
      <c r="ST58" s="2892">
        <f>SS58-SR58</f>
        <v>0</v>
      </c>
      <c r="SU58" s="370"/>
      <c r="SV58" s="401"/>
      <c r="SW58" s="395"/>
      <c r="SX58" s="395"/>
      <c r="SY58" s="372">
        <f>SX58-SW58</f>
        <v>0</v>
      </c>
      <c r="SZ58" s="207"/>
      <c r="TA58" s="2573"/>
      <c r="TB58" s="395"/>
      <c r="TC58" s="395"/>
      <c r="TD58" s="372">
        <f>TC58-TB58</f>
        <v>0</v>
      </c>
      <c r="TE58" s="207"/>
      <c r="TF58" s="1577"/>
      <c r="TG58" s="1248"/>
      <c r="TH58" s="1248"/>
      <c r="TI58" s="1248">
        <f>TH58-TG58</f>
        <v>0</v>
      </c>
      <c r="TJ58" s="655"/>
      <c r="TK58" s="2002"/>
      <c r="TL58" s="2001"/>
      <c r="TM58" s="2001"/>
      <c r="TN58" s="2001">
        <f>TM58-TL58</f>
        <v>0</v>
      </c>
      <c r="TO58" s="2019"/>
      <c r="TP58" s="4434"/>
      <c r="TQ58" s="395"/>
      <c r="TR58" s="395"/>
      <c r="TS58" s="395">
        <f>TR58-TQ58</f>
        <v>0</v>
      </c>
      <c r="TT58" s="655"/>
      <c r="TU58" s="4464">
        <v>0</v>
      </c>
      <c r="TV58" s="2001">
        <v>0</v>
      </c>
      <c r="TW58" s="2001">
        <v>0</v>
      </c>
      <c r="TX58" s="2001">
        <f>TW58-TV58</f>
        <v>0</v>
      </c>
      <c r="TY58" s="2019"/>
      <c r="TZ58" s="2002"/>
      <c r="UA58" s="2001"/>
      <c r="UB58" s="2001"/>
      <c r="UC58" s="2001">
        <f>UB58-UA58</f>
        <v>0</v>
      </c>
      <c r="UD58" s="6056"/>
      <c r="UE58" s="2430"/>
      <c r="UF58" s="1873"/>
      <c r="UG58" s="1873"/>
      <c r="UH58" s="2001">
        <f>UG58-UF58</f>
        <v>0</v>
      </c>
      <c r="UI58" s="2019"/>
      <c r="UJ58" s="2432"/>
      <c r="UK58" s="622"/>
      <c r="UL58" s="622"/>
      <c r="UM58" s="395"/>
      <c r="UN58" s="655"/>
      <c r="UO58" s="2108"/>
      <c r="UP58" s="1873">
        <v>0</v>
      </c>
      <c r="UQ58" s="1873">
        <v>0</v>
      </c>
      <c r="UR58" s="2012">
        <f>UQ58-UP58</f>
        <v>0</v>
      </c>
      <c r="US58" s="659"/>
      <c r="UT58" s="2433"/>
      <c r="UU58" s="622">
        <f t="shared" si="78"/>
        <v>0</v>
      </c>
      <c r="UV58" s="622">
        <f t="shared" si="78"/>
        <v>0</v>
      </c>
      <c r="UW58" s="622">
        <f t="shared" si="78"/>
        <v>0</v>
      </c>
      <c r="UX58" s="1576"/>
      <c r="UY58" s="2435">
        <f t="shared" si="253"/>
        <v>0</v>
      </c>
      <c r="UZ58" s="2436">
        <f t="shared" si="254"/>
        <v>0</v>
      </c>
      <c r="VA58" s="2436">
        <f t="shared" si="254"/>
        <v>0</v>
      </c>
      <c r="VB58" s="2436">
        <f t="shared" si="254"/>
        <v>0</v>
      </c>
      <c r="VC58" s="1439"/>
      <c r="VD58" s="622">
        <f>(TA58+TF58+TK58)/3</f>
        <v>0</v>
      </c>
      <c r="VE58" s="622">
        <f t="shared" si="255"/>
        <v>0</v>
      </c>
      <c r="VF58" s="622">
        <f t="shared" si="255"/>
        <v>0</v>
      </c>
      <c r="VG58" s="2437">
        <f t="shared" si="255"/>
        <v>0</v>
      </c>
      <c r="VH58" s="421" t="e">
        <f>VG58/VF58</f>
        <v>#DIV/0!</v>
      </c>
      <c r="VI58" s="2438">
        <f t="shared" si="256"/>
        <v>0</v>
      </c>
      <c r="VJ58" s="2439">
        <f t="shared" si="257"/>
        <v>0</v>
      </c>
      <c r="VK58" s="2439">
        <f t="shared" si="257"/>
        <v>0</v>
      </c>
      <c r="VL58" s="2440">
        <f t="shared" si="257"/>
        <v>0</v>
      </c>
      <c r="VM58" s="460"/>
      <c r="VN58" s="2432">
        <f t="shared" si="258"/>
        <v>0</v>
      </c>
      <c r="VO58" s="622">
        <f t="shared" si="259"/>
        <v>0</v>
      </c>
      <c r="VP58" s="622">
        <f t="shared" si="259"/>
        <v>0</v>
      </c>
      <c r="VQ58" s="2437">
        <f t="shared" si="259"/>
        <v>0</v>
      </c>
      <c r="VR58" s="116"/>
    </row>
    <row r="59" spans="1:590" s="2425" customFormat="1" ht="13.45" hidden="1" x14ac:dyDescent="0.3">
      <c r="A59" s="2399"/>
      <c r="B59" s="1773" t="s">
        <v>53</v>
      </c>
      <c r="C59" s="2004" t="s">
        <v>66</v>
      </c>
      <c r="D59" s="2005" t="s">
        <v>67</v>
      </c>
      <c r="E59" s="6069">
        <v>44223</v>
      </c>
      <c r="F59" s="6069">
        <v>44587</v>
      </c>
      <c r="G59" s="6070">
        <v>120000</v>
      </c>
      <c r="H59" s="1874"/>
      <c r="I59" s="1875"/>
      <c r="J59" s="1875"/>
      <c r="K59" s="1875"/>
      <c r="L59" s="1876"/>
      <c r="M59" s="1874"/>
      <c r="N59" s="1875"/>
      <c r="O59" s="1875"/>
      <c r="P59" s="1875"/>
      <c r="Q59" s="1876"/>
      <c r="R59" s="1874"/>
      <c r="S59" s="1875"/>
      <c r="T59" s="1875"/>
      <c r="U59" s="1875"/>
      <c r="V59" s="1876"/>
      <c r="W59" s="1874"/>
      <c r="X59" s="1875"/>
      <c r="Y59" s="1875"/>
      <c r="Z59" s="1875"/>
      <c r="AA59" s="1877"/>
      <c r="AB59" s="1874"/>
      <c r="AC59" s="1875"/>
      <c r="AD59" s="1875"/>
      <c r="AE59" s="1875"/>
      <c r="AF59" s="1877"/>
      <c r="AG59" s="1875"/>
      <c r="AH59" s="1875"/>
      <c r="AI59" s="1875"/>
      <c r="AJ59" s="1875"/>
      <c r="AK59" s="1876"/>
      <c r="AL59" s="1875"/>
      <c r="AM59" s="1875"/>
      <c r="AN59" s="1875"/>
      <c r="AO59" s="1875"/>
      <c r="AP59" s="1876"/>
      <c r="AQ59" s="1875"/>
      <c r="AR59" s="1875"/>
      <c r="AS59" s="1875"/>
      <c r="AT59" s="1875"/>
      <c r="AU59" s="1876"/>
      <c r="AV59" s="1878"/>
      <c r="AW59" s="1875"/>
      <c r="AX59" s="1875"/>
      <c r="AY59" s="1875"/>
      <c r="AZ59" s="1877"/>
      <c r="BA59" s="1878"/>
      <c r="BB59" s="1875"/>
      <c r="BC59" s="1875"/>
      <c r="BD59" s="1875"/>
      <c r="BE59" s="1877"/>
      <c r="BF59" s="1878"/>
      <c r="BG59" s="1875"/>
      <c r="BH59" s="1875"/>
      <c r="BI59" s="1875"/>
      <c r="BJ59" s="1877"/>
      <c r="BK59" s="1878"/>
      <c r="BL59" s="1875"/>
      <c r="BM59" s="1875"/>
      <c r="BN59" s="1875"/>
      <c r="BO59" s="1877"/>
      <c r="BP59" s="1879"/>
      <c r="BQ59" s="1875"/>
      <c r="BR59" s="1875"/>
      <c r="BS59" s="1875"/>
      <c r="BT59" s="1880"/>
      <c r="BU59" s="1875"/>
      <c r="BV59" s="1875"/>
      <c r="BW59" s="1881"/>
      <c r="BX59" s="1880"/>
      <c r="BY59" s="1875"/>
      <c r="BZ59" s="1875"/>
      <c r="CA59" s="1882"/>
      <c r="CB59" s="1875"/>
      <c r="CC59" s="1875"/>
      <c r="CD59" s="1875"/>
      <c r="CE59" s="1875"/>
      <c r="CF59" s="1880"/>
      <c r="CG59" s="1875"/>
      <c r="CH59" s="1875"/>
      <c r="CI59" s="1882"/>
      <c r="CJ59" s="1883"/>
      <c r="CK59" s="1875"/>
      <c r="CL59" s="1875"/>
      <c r="CM59" s="1875"/>
      <c r="CN59" s="1881"/>
      <c r="CO59" s="1883"/>
      <c r="CP59" s="1874"/>
      <c r="CQ59" s="1874"/>
      <c r="CR59" s="1874"/>
      <c r="CS59" s="1881"/>
      <c r="CT59" s="1883"/>
      <c r="CU59" s="1875"/>
      <c r="CV59" s="1875"/>
      <c r="CW59" s="1875"/>
      <c r="CX59" s="1881"/>
      <c r="CY59" s="1883"/>
      <c r="CZ59" s="1875"/>
      <c r="DA59" s="1875"/>
      <c r="DB59" s="1875"/>
      <c r="DC59" s="1881"/>
      <c r="DD59" s="1883"/>
      <c r="DE59" s="1875"/>
      <c r="DF59" s="1875"/>
      <c r="DG59" s="1875"/>
      <c r="DH59" s="1884"/>
      <c r="DI59" s="1883"/>
      <c r="DJ59" s="1875"/>
      <c r="DK59" s="1875"/>
      <c r="DL59" s="1875"/>
      <c r="DM59" s="1884"/>
      <c r="DN59" s="1883"/>
      <c r="DO59" s="1875"/>
      <c r="DP59" s="1875"/>
      <c r="DQ59" s="1875"/>
      <c r="DR59" s="1884"/>
      <c r="DS59" s="1883"/>
      <c r="DT59" s="1875"/>
      <c r="DU59" s="1875"/>
      <c r="DV59" s="1875"/>
      <c r="DW59" s="1884"/>
      <c r="DX59" s="1883"/>
      <c r="DY59" s="1875"/>
      <c r="DZ59" s="1875"/>
      <c r="EA59" s="1875"/>
      <c r="EB59" s="1884"/>
      <c r="EC59" s="1883"/>
      <c r="ED59" s="1875"/>
      <c r="EE59" s="1875"/>
      <c r="EF59" s="1875"/>
      <c r="EG59" s="1884"/>
      <c r="EH59" s="1885"/>
      <c r="EI59" s="1886"/>
      <c r="EJ59" s="1886"/>
      <c r="EK59" s="1886"/>
      <c r="EL59" s="1887"/>
      <c r="EM59" s="1888"/>
      <c r="EN59" s="1889"/>
      <c r="EO59" s="1889"/>
      <c r="EP59" s="1889"/>
      <c r="EQ59" s="166"/>
      <c r="ER59" s="2402">
        <f t="shared" si="38"/>
        <v>0</v>
      </c>
      <c r="ES59" s="2403">
        <f t="shared" si="146"/>
        <v>0</v>
      </c>
      <c r="ET59" s="2403">
        <f t="shared" si="146"/>
        <v>0</v>
      </c>
      <c r="EU59" s="2403">
        <f t="shared" si="146"/>
        <v>0</v>
      </c>
      <c r="EV59" s="2404" t="e">
        <f t="shared" si="40"/>
        <v>#DIV/0!</v>
      </c>
      <c r="EW59" s="1890"/>
      <c r="EX59" s="1890"/>
      <c r="EY59" s="1890"/>
      <c r="EZ59" s="1891"/>
      <c r="FA59" s="1885"/>
      <c r="FB59" s="1890"/>
      <c r="FC59" s="1890"/>
      <c r="FD59" s="1892"/>
      <c r="FE59" s="1890"/>
      <c r="FF59" s="1890"/>
      <c r="FG59" s="1890"/>
      <c r="FH59" s="1891"/>
      <c r="FI59" s="1893"/>
      <c r="FJ59" s="1894"/>
      <c r="FK59" s="1895"/>
      <c r="FL59" s="1895"/>
      <c r="FM59" s="1896"/>
      <c r="FN59" s="1890"/>
      <c r="FO59" s="1886"/>
      <c r="FP59" s="1886"/>
      <c r="FQ59" s="1886"/>
      <c r="FR59" s="1897"/>
      <c r="FS59" s="1888"/>
      <c r="FT59" s="1889"/>
      <c r="FU59" s="1889"/>
      <c r="FV59" s="1889"/>
      <c r="FW59" s="1898"/>
      <c r="FX59" s="1885"/>
      <c r="FY59" s="1886"/>
      <c r="FZ59" s="1886"/>
      <c r="GA59" s="1889"/>
      <c r="GB59" s="1898"/>
      <c r="GC59" s="1899"/>
      <c r="GD59" s="1900"/>
      <c r="GE59" s="1900"/>
      <c r="GF59" s="1889"/>
      <c r="GG59" s="166"/>
      <c r="GH59" s="1901"/>
      <c r="GI59" s="1824"/>
      <c r="GJ59" s="1824"/>
      <c r="GK59" s="1902"/>
      <c r="GL59" s="1898"/>
      <c r="GM59" s="1901"/>
      <c r="GN59" s="1824"/>
      <c r="GO59" s="1824"/>
      <c r="GP59" s="1902"/>
      <c r="GQ59" s="1898"/>
      <c r="GR59" s="1903"/>
      <c r="GS59" s="1904"/>
      <c r="GT59" s="1904"/>
      <c r="GU59" s="1902"/>
      <c r="GV59" s="1898"/>
      <c r="GW59" s="1903"/>
      <c r="GX59" s="1904"/>
      <c r="GY59" s="1904"/>
      <c r="GZ59" s="1902"/>
      <c r="HA59" s="1898"/>
      <c r="HB59" s="1903"/>
      <c r="HC59" s="1904"/>
      <c r="HD59" s="1904"/>
      <c r="HE59" s="1902"/>
      <c r="HF59" s="1898"/>
      <c r="HG59" s="1903"/>
      <c r="HH59" s="1904"/>
      <c r="HI59" s="1904"/>
      <c r="HJ59" s="1818"/>
      <c r="HK59" s="1898"/>
      <c r="HL59" s="1903">
        <v>2</v>
      </c>
      <c r="HM59" s="1904">
        <v>26322</v>
      </c>
      <c r="HN59" s="1904">
        <v>34440</v>
      </c>
      <c r="HO59" s="1818">
        <f>HN59-HM59</f>
        <v>8118</v>
      </c>
      <c r="HP59" s="1961">
        <f>HO59/HN59</f>
        <v>0.23571428571428571</v>
      </c>
      <c r="HQ59" s="1905">
        <v>2</v>
      </c>
      <c r="HR59" s="1248">
        <v>55000</v>
      </c>
      <c r="HS59" s="1248">
        <v>79920</v>
      </c>
      <c r="HT59" s="1248">
        <f>HS59-HR59</f>
        <v>24920</v>
      </c>
      <c r="HU59" s="1826">
        <f>HT59/HS59</f>
        <v>0.31181181181181183</v>
      </c>
      <c r="HV59" s="2405">
        <f t="shared" si="155"/>
        <v>0.33333333333333331</v>
      </c>
      <c r="HW59" s="2406">
        <f t="shared" si="156"/>
        <v>81322</v>
      </c>
      <c r="HX59" s="2406">
        <f t="shared" si="156"/>
        <v>114360</v>
      </c>
      <c r="HY59" s="2406">
        <f t="shared" si="156"/>
        <v>33038</v>
      </c>
      <c r="HZ59" s="1906"/>
      <c r="IA59" s="1907"/>
      <c r="IB59" s="1908"/>
      <c r="IC59" s="1908"/>
      <c r="ID59" s="1909"/>
      <c r="IE59" s="1910"/>
      <c r="IF59" s="1911"/>
      <c r="IG59" s="1912"/>
      <c r="IH59" s="1909"/>
      <c r="II59" s="1835">
        <f>(GR59+GW59+HB59)/3</f>
        <v>0</v>
      </c>
      <c r="IJ59" s="1836">
        <f t="shared" ref="IJ59:IK61" si="261">(GT59+GY59+HD59)</f>
        <v>0</v>
      </c>
      <c r="IK59" s="1836">
        <f t="shared" si="261"/>
        <v>0</v>
      </c>
      <c r="IL59" s="2013"/>
      <c r="IM59" s="1913">
        <f>(HB59+HG59+HL59)/3</f>
        <v>0.66666666666666663</v>
      </c>
      <c r="IN59" s="1836">
        <f t="shared" ref="IN59:IO61" si="262">(HI59+HN59+HS59)</f>
        <v>114360</v>
      </c>
      <c r="IO59" s="1836">
        <f t="shared" si="262"/>
        <v>33038</v>
      </c>
      <c r="IP59" s="1838">
        <f>IO59/IN59</f>
        <v>0.28889471843301856</v>
      </c>
      <c r="IQ59" s="1914"/>
      <c r="IR59" s="1915">
        <v>3</v>
      </c>
      <c r="IS59" s="1916">
        <v>63000</v>
      </c>
      <c r="IT59" s="1916">
        <v>120000</v>
      </c>
      <c r="IU59" s="1917">
        <f>IT59-IS59</f>
        <v>57000</v>
      </c>
      <c r="IV59" s="1970">
        <f>IU59/IT59</f>
        <v>0.47499999999999998</v>
      </c>
      <c r="IW59" s="1919">
        <v>3</v>
      </c>
      <c r="IX59" s="1920">
        <v>59000</v>
      </c>
      <c r="IY59" s="1920">
        <v>120000</v>
      </c>
      <c r="IZ59" s="1818">
        <f>IY59-IX59</f>
        <v>61000</v>
      </c>
      <c r="JA59" s="1821">
        <f>IZ59/IY59</f>
        <v>0.5083333333333333</v>
      </c>
      <c r="JB59" s="6021">
        <v>3</v>
      </c>
      <c r="JC59" s="6022">
        <v>83000</v>
      </c>
      <c r="JD59" s="6023">
        <v>120000</v>
      </c>
      <c r="JE59" s="1818">
        <f>JD59-JC59</f>
        <v>37000</v>
      </c>
      <c r="JF59" s="1821">
        <f>JE59/JD59</f>
        <v>0.30833333333333335</v>
      </c>
      <c r="JG59" s="1925">
        <v>3</v>
      </c>
      <c r="JH59" s="1824">
        <v>83064</v>
      </c>
      <c r="JI59" s="1824">
        <v>120000</v>
      </c>
      <c r="JJ59" s="1822">
        <f>JI59-JH59</f>
        <v>36936</v>
      </c>
      <c r="JK59" s="1821">
        <f>JJ59/JI59</f>
        <v>0.30780000000000002</v>
      </c>
      <c r="JL59" s="1926">
        <v>3</v>
      </c>
      <c r="JM59" s="1824">
        <v>82128</v>
      </c>
      <c r="JN59" s="1824">
        <v>120000</v>
      </c>
      <c r="JO59" s="6012">
        <f>JN59-JM59</f>
        <v>37872</v>
      </c>
      <c r="JP59" s="1821">
        <f>JO59/JN59</f>
        <v>0.31559999999999999</v>
      </c>
      <c r="JQ59" s="1926"/>
      <c r="JR59" s="1982">
        <v>85000</v>
      </c>
      <c r="JS59" s="1248">
        <v>120000</v>
      </c>
      <c r="JT59" s="1996">
        <f>JS59-JR59</f>
        <v>35000</v>
      </c>
      <c r="JU59" s="1821">
        <f>JT59/JS59</f>
        <v>0.29166666666666669</v>
      </c>
      <c r="JV59" s="1990">
        <v>3</v>
      </c>
      <c r="JW59" s="2130">
        <v>85000</v>
      </c>
      <c r="JX59" s="1904">
        <v>120000</v>
      </c>
      <c r="JY59" s="1996">
        <f>JX59-JW59</f>
        <v>35000</v>
      </c>
      <c r="JZ59" s="1821">
        <f>JY59/JX59</f>
        <v>0.29166666666666669</v>
      </c>
      <c r="KA59" s="1925">
        <v>3</v>
      </c>
      <c r="KB59" s="1248">
        <v>85000</v>
      </c>
      <c r="KC59" s="1248">
        <v>120000</v>
      </c>
      <c r="KD59" s="1983">
        <f>KC59-KB59</f>
        <v>35000</v>
      </c>
      <c r="KE59" s="1952">
        <f>KD59/KC59</f>
        <v>0.29166666666666669</v>
      </c>
      <c r="KF59" s="1990">
        <v>3</v>
      </c>
      <c r="KG59" s="1904">
        <v>69081</v>
      </c>
      <c r="KH59" s="1904">
        <v>120000</v>
      </c>
      <c r="KI59" s="1818">
        <f t="shared" si="227"/>
        <v>50919</v>
      </c>
      <c r="KJ59" s="1821">
        <f>KI59/KH59</f>
        <v>0.42432500000000001</v>
      </c>
      <c r="KK59" s="1990">
        <v>3</v>
      </c>
      <c r="KL59" s="1904">
        <v>65423</v>
      </c>
      <c r="KM59" s="1904">
        <v>120000</v>
      </c>
      <c r="KN59" s="2023">
        <f t="shared" si="130"/>
        <v>54577</v>
      </c>
      <c r="KO59" s="2024">
        <f>KN59/KM59</f>
        <v>0.45480833333333331</v>
      </c>
      <c r="KP59" s="1823">
        <v>2</v>
      </c>
      <c r="KQ59" s="1982">
        <v>58166</v>
      </c>
      <c r="KR59" s="1248">
        <v>120000</v>
      </c>
      <c r="KS59" s="1996">
        <f t="shared" si="236"/>
        <v>61834</v>
      </c>
      <c r="KT59" s="1819">
        <f>KS59/KR59</f>
        <v>0.51528333333333332</v>
      </c>
      <c r="KU59" s="1905">
        <v>2</v>
      </c>
      <c r="KV59" s="1248">
        <v>58166</v>
      </c>
      <c r="KW59" s="1248">
        <v>120000</v>
      </c>
      <c r="KX59" s="1248">
        <f>KW59-KV59</f>
        <v>61834</v>
      </c>
      <c r="KY59" s="77">
        <f>KX59/KW59</f>
        <v>0.51528333333333332</v>
      </c>
      <c r="KZ59" s="1832">
        <v>2</v>
      </c>
      <c r="LA59" s="622">
        <f t="shared" si="144"/>
        <v>876028</v>
      </c>
      <c r="LB59" s="622">
        <f t="shared" si="144"/>
        <v>1440000</v>
      </c>
      <c r="LC59" s="622">
        <f t="shared" si="144"/>
        <v>563972</v>
      </c>
      <c r="LD59" s="239">
        <f>LC59/LB59</f>
        <v>0.3916472222222222</v>
      </c>
      <c r="LE59" s="1834">
        <f t="shared" si="71"/>
        <v>3</v>
      </c>
      <c r="LF59" s="1830">
        <f t="shared" si="167"/>
        <v>360000</v>
      </c>
      <c r="LG59" s="1830">
        <f t="shared" si="167"/>
        <v>155000</v>
      </c>
      <c r="LH59" s="1831">
        <f>LG59/LF59</f>
        <v>0.43055555555555558</v>
      </c>
      <c r="LI59" s="1832">
        <f t="shared" si="132"/>
        <v>2</v>
      </c>
      <c r="LJ59" s="1833">
        <f t="shared" si="133"/>
        <v>360000</v>
      </c>
      <c r="LK59" s="1834">
        <f t="shared" si="133"/>
        <v>109808</v>
      </c>
      <c r="LL59" s="1831">
        <f>LK59/LJ59</f>
        <v>0.30502222222222219</v>
      </c>
      <c r="LM59" s="1835">
        <f t="shared" si="135"/>
        <v>3</v>
      </c>
      <c r="LN59" s="1836">
        <f t="shared" si="136"/>
        <v>360000</v>
      </c>
      <c r="LO59" s="1836">
        <f t="shared" si="136"/>
        <v>120919</v>
      </c>
      <c r="LP59" s="239">
        <f>LO59/LN59</f>
        <v>0.33588611111111111</v>
      </c>
      <c r="LQ59" s="1837">
        <f t="shared" si="237"/>
        <v>2.3333333333333335</v>
      </c>
      <c r="LR59" s="1836">
        <f t="shared" si="229"/>
        <v>360000</v>
      </c>
      <c r="LS59" s="1836">
        <f t="shared" si="229"/>
        <v>178245</v>
      </c>
      <c r="LT59" s="1838">
        <f>LS59/LR59</f>
        <v>0.49512499999999998</v>
      </c>
      <c r="LV59" s="401">
        <v>2</v>
      </c>
      <c r="LW59" s="395">
        <v>58166</v>
      </c>
      <c r="LX59" s="395">
        <v>120000</v>
      </c>
      <c r="LY59" s="115">
        <f>LX59-LW59</f>
        <v>61834</v>
      </c>
      <c r="LZ59" s="186">
        <f>LY59/LX59</f>
        <v>0.51528333333333332</v>
      </c>
      <c r="MA59" s="2000">
        <v>2</v>
      </c>
      <c r="MB59" s="1317">
        <v>58166</v>
      </c>
      <c r="MC59" s="1317">
        <v>80000</v>
      </c>
      <c r="MD59" s="372">
        <f>MC59-MB59</f>
        <v>21834</v>
      </c>
      <c r="ME59" s="207">
        <f>MD59/MC59</f>
        <v>0.27292499999999997</v>
      </c>
      <c r="MF59" s="401">
        <v>2</v>
      </c>
      <c r="MG59" s="1317">
        <v>58166</v>
      </c>
      <c r="MH59" s="1317">
        <v>80000</v>
      </c>
      <c r="MI59" s="372">
        <f>MH59-MG59</f>
        <v>21834</v>
      </c>
      <c r="MJ59" s="207">
        <f>MI59/MH59</f>
        <v>0.27292499999999997</v>
      </c>
      <c r="MK59" s="2573">
        <v>2</v>
      </c>
      <c r="ML59" s="1317">
        <v>58166</v>
      </c>
      <c r="MM59" s="1317">
        <v>80000</v>
      </c>
      <c r="MN59" s="372">
        <f>MM59-ML59</f>
        <v>21834</v>
      </c>
      <c r="MO59" s="207">
        <f>MN59/MM59</f>
        <v>0.27292499999999997</v>
      </c>
      <c r="MP59" s="1577">
        <v>2</v>
      </c>
      <c r="MQ59" s="1248">
        <v>74558</v>
      </c>
      <c r="MR59" s="1248">
        <v>80000</v>
      </c>
      <c r="MS59" s="1248">
        <f>MR59-MQ59</f>
        <v>5442</v>
      </c>
      <c r="MT59" s="655">
        <f>MS59/MR59</f>
        <v>6.8025000000000002E-2</v>
      </c>
      <c r="MU59" s="1318"/>
      <c r="MV59" s="395">
        <v>0</v>
      </c>
      <c r="MW59" s="395">
        <v>0</v>
      </c>
      <c r="MX59" s="395">
        <f>MW59-MV59</f>
        <v>0</v>
      </c>
      <c r="MY59" s="6071" t="s">
        <v>68</v>
      </c>
      <c r="MZ59" s="1318"/>
      <c r="NA59" s="395"/>
      <c r="NB59" s="395"/>
      <c r="NC59" s="395">
        <f>NB59-NA59</f>
        <v>0</v>
      </c>
      <c r="ND59" s="2896"/>
      <c r="NE59" s="1318"/>
      <c r="NF59" s="395"/>
      <c r="NG59" s="395"/>
      <c r="NH59" s="395"/>
      <c r="NI59" s="2896"/>
      <c r="NJ59" s="1318"/>
      <c r="NK59" s="395"/>
      <c r="NL59" s="395"/>
      <c r="NM59" s="395"/>
      <c r="NN59" s="2896"/>
      <c r="NO59" s="2432"/>
      <c r="NP59" s="622"/>
      <c r="NQ59" s="2437"/>
      <c r="NR59" s="395"/>
      <c r="NS59" s="2896"/>
      <c r="NT59" s="2432"/>
      <c r="NU59" s="622"/>
      <c r="NV59" s="622"/>
      <c r="NW59" s="395"/>
      <c r="NX59" s="2896"/>
      <c r="NY59" s="2432"/>
      <c r="NZ59" s="622"/>
      <c r="OA59" s="622"/>
      <c r="OB59" s="622"/>
      <c r="OC59" s="116"/>
      <c r="OD59" s="2433"/>
      <c r="OE59" s="622">
        <f t="shared" si="260"/>
        <v>307222</v>
      </c>
      <c r="OF59" s="622">
        <f t="shared" si="260"/>
        <v>440000</v>
      </c>
      <c r="OG59" s="622">
        <f t="shared" si="260"/>
        <v>132778</v>
      </c>
      <c r="OH59" s="1576">
        <f>OG59/OF59</f>
        <v>0.30176818181818182</v>
      </c>
      <c r="OI59" s="2435">
        <f t="shared" si="238"/>
        <v>2</v>
      </c>
      <c r="OJ59" s="2436">
        <f t="shared" si="239"/>
        <v>174498</v>
      </c>
      <c r="OK59" s="2436">
        <f t="shared" si="239"/>
        <v>280000</v>
      </c>
      <c r="OL59" s="2436">
        <f t="shared" si="239"/>
        <v>105502</v>
      </c>
      <c r="OM59" s="1439">
        <f>OL59/OK59</f>
        <v>0.37679285714285715</v>
      </c>
      <c r="ON59" s="622">
        <f>(MK59+MP59+MU59)/3</f>
        <v>1.3333333333333333</v>
      </c>
      <c r="OO59" s="622">
        <f t="shared" si="240"/>
        <v>132724</v>
      </c>
      <c r="OP59" s="622">
        <f t="shared" si="240"/>
        <v>160000</v>
      </c>
      <c r="OQ59" s="2437">
        <f t="shared" si="240"/>
        <v>27276</v>
      </c>
      <c r="OR59" s="421">
        <f>OQ59/OP59</f>
        <v>0.17047499999999999</v>
      </c>
      <c r="OS59" s="2438">
        <f t="shared" si="241"/>
        <v>0</v>
      </c>
      <c r="OT59" s="2439">
        <f t="shared" si="242"/>
        <v>0</v>
      </c>
      <c r="OU59" s="2439">
        <f t="shared" si="242"/>
        <v>0</v>
      </c>
      <c r="OV59" s="2440">
        <f t="shared" si="242"/>
        <v>0</v>
      </c>
      <c r="OW59" s="460"/>
      <c r="OX59" s="2432">
        <f t="shared" si="243"/>
        <v>0</v>
      </c>
      <c r="OY59" s="622">
        <f t="shared" si="244"/>
        <v>0</v>
      </c>
      <c r="OZ59" s="622">
        <f t="shared" si="244"/>
        <v>0</v>
      </c>
      <c r="PA59" s="2437">
        <f t="shared" si="244"/>
        <v>0</v>
      </c>
      <c r="PB59" s="116"/>
      <c r="PC59" s="2441"/>
      <c r="PD59" s="401"/>
      <c r="PE59" s="395"/>
      <c r="PF59" s="395"/>
      <c r="PG59" s="115">
        <f t="shared" ref="PG59:PG77" si="263">PF59-PE59</f>
        <v>0</v>
      </c>
      <c r="PH59" s="186"/>
      <c r="PI59" s="2000"/>
      <c r="PJ59" s="1317"/>
      <c r="PK59" s="1317"/>
      <c r="PL59" s="372">
        <f>PK59-PJ59</f>
        <v>0</v>
      </c>
      <c r="PM59" s="207" t="e">
        <f>PL59/PK59</f>
        <v>#DIV/0!</v>
      </c>
      <c r="PN59" s="401"/>
      <c r="PO59" s="1317"/>
      <c r="PP59" s="1317"/>
      <c r="PQ59" s="372">
        <f>PP59-PO59</f>
        <v>0</v>
      </c>
      <c r="PR59" s="207" t="e">
        <f>PQ59/PP59</f>
        <v>#DIV/0!</v>
      </c>
      <c r="PS59" s="2891"/>
      <c r="PT59" s="3208"/>
      <c r="PU59" s="3208"/>
      <c r="PV59" s="2892">
        <f>PU59-PT59</f>
        <v>0</v>
      </c>
      <c r="PW59" s="370" t="e">
        <f>PV59/PU59</f>
        <v>#DIV/0!</v>
      </c>
      <c r="PX59" s="1577"/>
      <c r="PY59" s="1248"/>
      <c r="PZ59" s="1248"/>
      <c r="QA59" s="1248">
        <f>PZ59-PY59</f>
        <v>0</v>
      </c>
      <c r="QB59" s="655" t="e">
        <f>QA59/PZ59</f>
        <v>#DIV/0!</v>
      </c>
      <c r="QC59" s="2002"/>
      <c r="QD59" s="2001"/>
      <c r="QE59" s="2001"/>
      <c r="QF59" s="2001">
        <f>QE59-QD59</f>
        <v>0</v>
      </c>
      <c r="QG59" s="2898" t="s">
        <v>68</v>
      </c>
      <c r="QH59" s="401"/>
      <c r="QI59" s="395"/>
      <c r="QJ59" s="395"/>
      <c r="QK59" s="395">
        <f>QJ59-QI59</f>
        <v>0</v>
      </c>
      <c r="QL59" s="2896"/>
      <c r="QM59" s="401"/>
      <c r="QN59" s="395"/>
      <c r="QO59" s="395"/>
      <c r="QP59" s="395"/>
      <c r="QQ59" s="2896"/>
      <c r="QR59" s="2002"/>
      <c r="QS59" s="2001"/>
      <c r="QT59" s="2001"/>
      <c r="QU59" s="2001"/>
      <c r="QV59" s="2899"/>
      <c r="QW59" s="2430"/>
      <c r="QX59" s="1873"/>
      <c r="QY59" s="2431"/>
      <c r="QZ59" s="2001"/>
      <c r="RA59" s="2899"/>
      <c r="RB59" s="2432"/>
      <c r="RC59" s="622"/>
      <c r="RD59" s="622"/>
      <c r="RE59" s="395"/>
      <c r="RF59" s="2896"/>
      <c r="RG59" s="2108"/>
      <c r="RH59" s="1873"/>
      <c r="RI59" s="1873"/>
      <c r="RJ59" s="1873"/>
      <c r="RK59" s="116"/>
      <c r="RL59" s="3717"/>
      <c r="RM59" s="1873">
        <f t="shared" si="245"/>
        <v>0</v>
      </c>
      <c r="RN59" s="1873">
        <f t="shared" si="245"/>
        <v>0</v>
      </c>
      <c r="RO59" s="1873">
        <f t="shared" si="245"/>
        <v>0</v>
      </c>
      <c r="RP59" s="1576"/>
      <c r="RQ59" s="2435">
        <f t="shared" si="246"/>
        <v>0</v>
      </c>
      <c r="RR59" s="2436">
        <f t="shared" si="247"/>
        <v>0</v>
      </c>
      <c r="RS59" s="2436">
        <f t="shared" si="247"/>
        <v>0</v>
      </c>
      <c r="RT59" s="2436">
        <f t="shared" si="247"/>
        <v>0</v>
      </c>
      <c r="RU59" s="1439" t="e">
        <f>RT59/RS59</f>
        <v>#DIV/0!</v>
      </c>
      <c r="RV59" s="622">
        <f>(PS59+PX59+QC59)/3</f>
        <v>0</v>
      </c>
      <c r="RW59" s="622">
        <f t="shared" si="248"/>
        <v>0</v>
      </c>
      <c r="RX59" s="622">
        <f t="shared" si="248"/>
        <v>0</v>
      </c>
      <c r="RY59" s="2437">
        <f t="shared" si="248"/>
        <v>0</v>
      </c>
      <c r="RZ59" s="421" t="e">
        <f>RY59/RX59</f>
        <v>#DIV/0!</v>
      </c>
      <c r="SA59" s="2438">
        <f t="shared" si="249"/>
        <v>0</v>
      </c>
      <c r="SB59" s="2439">
        <f t="shared" si="250"/>
        <v>0</v>
      </c>
      <c r="SC59" s="2439">
        <f t="shared" si="250"/>
        <v>0</v>
      </c>
      <c r="SD59" s="2440">
        <f t="shared" si="250"/>
        <v>0</v>
      </c>
      <c r="SE59" s="460"/>
      <c r="SF59" s="2432">
        <f t="shared" si="251"/>
        <v>0</v>
      </c>
      <c r="SG59" s="622">
        <f t="shared" si="252"/>
        <v>0</v>
      </c>
      <c r="SH59" s="622">
        <f t="shared" si="252"/>
        <v>0</v>
      </c>
      <c r="SI59" s="2437">
        <f t="shared" si="252"/>
        <v>0</v>
      </c>
      <c r="SJ59" s="116"/>
      <c r="SL59" s="2445"/>
      <c r="SM59" s="2001"/>
      <c r="SN59" s="2001"/>
      <c r="SO59" s="3534">
        <f t="shared" ref="SO59:SO121" si="264">SN59-SM59</f>
        <v>0</v>
      </c>
      <c r="SP59" s="1498"/>
      <c r="SQ59" s="6015"/>
      <c r="SR59" s="3208"/>
      <c r="SS59" s="3208"/>
      <c r="ST59" s="2892">
        <f>SS59-SR59</f>
        <v>0</v>
      </c>
      <c r="SU59" s="370" t="e">
        <f>ST59/SS59</f>
        <v>#DIV/0!</v>
      </c>
      <c r="SV59" s="401"/>
      <c r="SW59" s="1317"/>
      <c r="SX59" s="1317"/>
      <c r="SY59" s="372">
        <f>SX59-SW59</f>
        <v>0</v>
      </c>
      <c r="SZ59" s="207" t="e">
        <f>SY59/SX59</f>
        <v>#DIV/0!</v>
      </c>
      <c r="TA59" s="2573"/>
      <c r="TB59" s="1317"/>
      <c r="TC59" s="1317"/>
      <c r="TD59" s="372">
        <f>TC59-TB59</f>
        <v>0</v>
      </c>
      <c r="TE59" s="207" t="e">
        <f>TD59/TC59</f>
        <v>#DIV/0!</v>
      </c>
      <c r="TF59" s="1577"/>
      <c r="TG59" s="1248"/>
      <c r="TH59" s="1248"/>
      <c r="TI59" s="1248">
        <f>TH59-TG59</f>
        <v>0</v>
      </c>
      <c r="TJ59" s="655" t="e">
        <f>TI59/TH59</f>
        <v>#DIV/0!</v>
      </c>
      <c r="TK59" s="2002"/>
      <c r="TL59" s="2001"/>
      <c r="TM59" s="2001"/>
      <c r="TN59" s="2001">
        <f>TM59-TL59</f>
        <v>0</v>
      </c>
      <c r="TO59" s="2898" t="s">
        <v>68</v>
      </c>
      <c r="TP59" s="4434"/>
      <c r="TQ59" s="395"/>
      <c r="TR59" s="395"/>
      <c r="TS59" s="395">
        <f>TR59-TQ59</f>
        <v>0</v>
      </c>
      <c r="TT59" s="2896"/>
      <c r="TU59" s="4464"/>
      <c r="TV59" s="2001"/>
      <c r="TW59" s="2001"/>
      <c r="TX59" s="2001"/>
      <c r="TY59" s="2899"/>
      <c r="TZ59" s="2002"/>
      <c r="UA59" s="2001"/>
      <c r="UB59" s="2001"/>
      <c r="UC59" s="2001"/>
      <c r="UD59" s="2899"/>
      <c r="UE59" s="2430"/>
      <c r="UF59" s="1873"/>
      <c r="UG59" s="2431"/>
      <c r="UH59" s="2001"/>
      <c r="UI59" s="2899"/>
      <c r="UJ59" s="2432"/>
      <c r="UK59" s="622"/>
      <c r="UL59" s="622"/>
      <c r="UM59" s="395"/>
      <c r="UN59" s="2896"/>
      <c r="UO59" s="2108"/>
      <c r="UP59" s="1873"/>
      <c r="UQ59" s="1873"/>
      <c r="UR59" s="1873"/>
      <c r="US59" s="116"/>
      <c r="UT59" s="2433"/>
      <c r="UU59" s="622">
        <f t="shared" si="78"/>
        <v>0</v>
      </c>
      <c r="UV59" s="622">
        <f t="shared" si="78"/>
        <v>0</v>
      </c>
      <c r="UW59" s="622">
        <f t="shared" si="78"/>
        <v>0</v>
      </c>
      <c r="UX59" s="1576"/>
      <c r="UY59" s="2435">
        <f t="shared" si="253"/>
        <v>0</v>
      </c>
      <c r="UZ59" s="2436">
        <f t="shared" si="254"/>
        <v>0</v>
      </c>
      <c r="VA59" s="2436">
        <f t="shared" si="254"/>
        <v>0</v>
      </c>
      <c r="VB59" s="2436">
        <f t="shared" si="254"/>
        <v>0</v>
      </c>
      <c r="VC59" s="1439" t="e">
        <f>VB59/VA59</f>
        <v>#DIV/0!</v>
      </c>
      <c r="VD59" s="622">
        <f>(TA59+TF59+TK59)/3</f>
        <v>0</v>
      </c>
      <c r="VE59" s="622">
        <f t="shared" si="255"/>
        <v>0</v>
      </c>
      <c r="VF59" s="622">
        <f t="shared" si="255"/>
        <v>0</v>
      </c>
      <c r="VG59" s="2437">
        <f t="shared" si="255"/>
        <v>0</v>
      </c>
      <c r="VH59" s="421" t="e">
        <f>VG59/VF59</f>
        <v>#DIV/0!</v>
      </c>
      <c r="VI59" s="2438">
        <f t="shared" si="256"/>
        <v>0</v>
      </c>
      <c r="VJ59" s="2439">
        <f t="shared" si="257"/>
        <v>0</v>
      </c>
      <c r="VK59" s="2439">
        <f t="shared" si="257"/>
        <v>0</v>
      </c>
      <c r="VL59" s="2440">
        <f t="shared" si="257"/>
        <v>0</v>
      </c>
      <c r="VM59" s="460"/>
      <c r="VN59" s="2432">
        <f t="shared" si="258"/>
        <v>0</v>
      </c>
      <c r="VO59" s="622">
        <f t="shared" si="259"/>
        <v>0</v>
      </c>
      <c r="VP59" s="622">
        <f t="shared" si="259"/>
        <v>0</v>
      </c>
      <c r="VQ59" s="2437">
        <f t="shared" si="259"/>
        <v>0</v>
      </c>
      <c r="VR59" s="116"/>
    </row>
    <row r="60" spans="1:590" s="122" customFormat="1" ht="13.45" hidden="1" x14ac:dyDescent="0.3">
      <c r="B60" s="1773" t="s">
        <v>53</v>
      </c>
      <c r="C60" s="1774" t="s">
        <v>62</v>
      </c>
      <c r="D60" s="2016" t="s">
        <v>63</v>
      </c>
      <c r="E60" s="2017">
        <v>44446</v>
      </c>
      <c r="F60" s="2017">
        <v>44810</v>
      </c>
      <c r="G60" s="2018">
        <v>120000</v>
      </c>
      <c r="H60" s="1775"/>
      <c r="I60" s="1776"/>
      <c r="J60" s="1776"/>
      <c r="K60" s="1776"/>
      <c r="L60" s="1777"/>
      <c r="M60" s="1778"/>
      <c r="N60" s="1779"/>
      <c r="O60" s="1779"/>
      <c r="P60" s="1779"/>
      <c r="Q60" s="1780"/>
      <c r="R60" s="1780"/>
      <c r="S60" s="1776"/>
      <c r="T60" s="1776"/>
      <c r="U60" s="1776"/>
      <c r="V60" s="1777"/>
      <c r="W60" s="1776"/>
      <c r="X60" s="1776"/>
      <c r="Y60" s="1781"/>
      <c r="Z60" s="1776"/>
      <c r="AA60" s="1782"/>
      <c r="AB60" s="1781"/>
      <c r="AC60" s="1783"/>
      <c r="AD60" s="1784"/>
      <c r="AE60" s="1776"/>
      <c r="AF60" s="1777"/>
      <c r="AG60" s="1785"/>
      <c r="AH60" s="1776"/>
      <c r="AI60" s="1776"/>
      <c r="AJ60" s="1786"/>
      <c r="AK60" s="1777"/>
      <c r="AL60" s="1785"/>
      <c r="AM60" s="1776"/>
      <c r="AN60" s="1776"/>
      <c r="AO60" s="1781"/>
      <c r="AP60" s="1777"/>
      <c r="AQ60" s="1787"/>
      <c r="AR60" s="1788"/>
      <c r="AS60" s="1788"/>
      <c r="AT60" s="1789"/>
      <c r="AU60" s="1777"/>
      <c r="AV60" s="1790"/>
      <c r="AW60" s="1781"/>
      <c r="AX60" s="1781"/>
      <c r="AY60" s="1781"/>
      <c r="AZ60" s="1777"/>
      <c r="BA60" s="1791"/>
      <c r="BB60" s="1792"/>
      <c r="BC60" s="1783"/>
      <c r="BD60" s="1781"/>
      <c r="BE60" s="1780"/>
      <c r="BF60" s="1790"/>
      <c r="BG60" s="1781"/>
      <c r="BH60" s="1776"/>
      <c r="BI60" s="1781"/>
      <c r="BJ60" s="1793"/>
      <c r="BK60" s="1790"/>
      <c r="BL60" s="1781"/>
      <c r="BM60" s="1776"/>
      <c r="BN60" s="1781"/>
      <c r="BO60" s="1794"/>
      <c r="BP60" s="1795"/>
      <c r="BQ60" s="1796"/>
      <c r="BR60" s="1786"/>
      <c r="BS60" s="1797"/>
      <c r="BT60" s="1798"/>
      <c r="BU60" s="1786"/>
      <c r="BV60" s="1786"/>
      <c r="BW60" s="1799"/>
      <c r="BX60" s="1800"/>
      <c r="BY60" s="1786"/>
      <c r="BZ60" s="1786"/>
      <c r="CA60" s="1801"/>
      <c r="CB60" s="1802"/>
      <c r="CC60" s="1786"/>
      <c r="CD60" s="1786"/>
      <c r="CE60" s="1803"/>
      <c r="CF60" s="1800"/>
      <c r="CG60" s="1776"/>
      <c r="CH60" s="1776"/>
      <c r="CI60" s="1801"/>
      <c r="CJ60" s="1804"/>
      <c r="CK60" s="1776"/>
      <c r="CL60" s="1776"/>
      <c r="CM60" s="1776"/>
      <c r="CN60" s="1799"/>
      <c r="CO60" s="1804"/>
      <c r="CP60" s="1776"/>
      <c r="CQ60" s="1776"/>
      <c r="CR60" s="1776"/>
      <c r="CS60" s="1799"/>
      <c r="CT60" s="1804"/>
      <c r="CU60" s="1776"/>
      <c r="CV60" s="1776"/>
      <c r="CW60" s="1776"/>
      <c r="CX60" s="1799"/>
      <c r="CY60" s="1804"/>
      <c r="CZ60" s="1776"/>
      <c r="DA60" s="1776"/>
      <c r="DB60" s="1776"/>
      <c r="DC60" s="1799"/>
      <c r="DD60" s="1805"/>
      <c r="DE60" s="1806"/>
      <c r="DF60" s="1806"/>
      <c r="DG60" s="1783"/>
      <c r="DH60" s="1807"/>
      <c r="DI60" s="1804"/>
      <c r="DJ60" s="1806"/>
      <c r="DK60" s="1806"/>
      <c r="DL60" s="1776"/>
      <c r="DM60" s="1807"/>
      <c r="DN60" s="1804"/>
      <c r="DO60" s="1776"/>
      <c r="DP60" s="1776"/>
      <c r="DQ60" s="1776"/>
      <c r="DR60" s="1807"/>
      <c r="DS60" s="1808"/>
      <c r="DT60" s="1783"/>
      <c r="DU60" s="1783"/>
      <c r="DV60" s="1776"/>
      <c r="DW60" s="1799"/>
      <c r="DX60" s="1804"/>
      <c r="DY60" s="1776"/>
      <c r="DZ60" s="1776"/>
      <c r="EA60" s="1776"/>
      <c r="EB60" s="1807"/>
      <c r="EC60" s="1804"/>
      <c r="ED60" s="1776"/>
      <c r="EE60" s="1776"/>
      <c r="EF60" s="1786"/>
      <c r="EG60" s="1807"/>
      <c r="EH60" s="1804"/>
      <c r="EI60" s="1776"/>
      <c r="EJ60" s="1776"/>
      <c r="EK60" s="1776"/>
      <c r="EL60" s="1807"/>
      <c r="EM60" s="1804"/>
      <c r="EN60" s="1776"/>
      <c r="EO60" s="1776"/>
      <c r="EP60" s="1776"/>
      <c r="EQ60" s="1807"/>
      <c r="ER60" s="2402">
        <f t="shared" si="38"/>
        <v>0</v>
      </c>
      <c r="ES60" s="2403">
        <f t="shared" si="146"/>
        <v>0</v>
      </c>
      <c r="ET60" s="2403">
        <f t="shared" si="146"/>
        <v>0</v>
      </c>
      <c r="EU60" s="2403">
        <f t="shared" si="146"/>
        <v>0</v>
      </c>
      <c r="EV60" s="2404" t="e">
        <f t="shared" si="40"/>
        <v>#DIV/0!</v>
      </c>
      <c r="EW60" s="1809"/>
      <c r="EX60" s="1810"/>
      <c r="EY60" s="1810"/>
      <c r="EZ60" s="1811"/>
      <c r="FA60" s="1812"/>
      <c r="FB60" s="1810"/>
      <c r="FC60" s="1810"/>
      <c r="FD60" s="1813"/>
      <c r="FE60" s="1814"/>
      <c r="FF60" s="1786"/>
      <c r="FG60" s="1786"/>
      <c r="FH60" s="1815"/>
      <c r="FI60" s="1816"/>
      <c r="FJ60" s="1814"/>
      <c r="FK60" s="1786"/>
      <c r="FL60" s="1786"/>
      <c r="FM60" s="1799"/>
      <c r="FN60" s="1817"/>
      <c r="FO60" s="1818"/>
      <c r="FP60" s="1818"/>
      <c r="FQ60" s="1818"/>
      <c r="FR60" s="1819"/>
      <c r="FS60" s="1820"/>
      <c r="FT60" s="1818"/>
      <c r="FU60" s="1818"/>
      <c r="FV60" s="1818"/>
      <c r="FW60" s="1821"/>
      <c r="FX60" s="1820"/>
      <c r="FY60" s="1822"/>
      <c r="FZ60" s="1822"/>
      <c r="GA60" s="1818"/>
      <c r="GB60" s="1821"/>
      <c r="GC60" s="1823"/>
      <c r="GD60" s="1824"/>
      <c r="GE60" s="1824">
        <v>0</v>
      </c>
      <c r="GF60" s="1825">
        <v>0</v>
      </c>
      <c r="GG60" s="1821" t="e">
        <f>GF60/GE60</f>
        <v>#DIV/0!</v>
      </c>
      <c r="GH60" s="1823"/>
      <c r="GI60" s="1824"/>
      <c r="GJ60" s="1824"/>
      <c r="GK60" s="1818">
        <f>GJ60-GI60</f>
        <v>0</v>
      </c>
      <c r="GL60" s="1821"/>
      <c r="GM60" s="1823">
        <v>1</v>
      </c>
      <c r="GN60" s="1824">
        <v>14166</v>
      </c>
      <c r="GO60" s="1824">
        <v>22800</v>
      </c>
      <c r="GP60" s="1818">
        <f>GO60-GN60</f>
        <v>8634</v>
      </c>
      <c r="GQ60" s="1821">
        <f>GP60/GO60</f>
        <v>0.37868421052631579</v>
      </c>
      <c r="GR60" s="1823">
        <v>2</v>
      </c>
      <c r="GS60" s="1824">
        <v>37580</v>
      </c>
      <c r="GT60" s="1824">
        <v>56760</v>
      </c>
      <c r="GU60" s="1818">
        <f>GT60-GS60</f>
        <v>19180</v>
      </c>
      <c r="GV60" s="1821">
        <f>GU60/GT60</f>
        <v>0.3379140239605356</v>
      </c>
      <c r="GW60" s="1823">
        <v>2</v>
      </c>
      <c r="GX60" s="1824">
        <v>55000</v>
      </c>
      <c r="GY60" s="1824">
        <v>79950</v>
      </c>
      <c r="GZ60" s="1818">
        <f>GY60-GX60</f>
        <v>24950</v>
      </c>
      <c r="HA60" s="1821">
        <f>GZ60/GY60</f>
        <v>0.31207004377736086</v>
      </c>
      <c r="HB60" s="1823">
        <v>2</v>
      </c>
      <c r="HC60" s="1824">
        <v>55000</v>
      </c>
      <c r="HD60" s="1824">
        <v>80040</v>
      </c>
      <c r="HE60" s="1818">
        <f>HD60-HC60</f>
        <v>25040</v>
      </c>
      <c r="HF60" s="1821">
        <f>HE60/HD60</f>
        <v>0.31284357821089454</v>
      </c>
      <c r="HG60" s="1823">
        <v>2</v>
      </c>
      <c r="HH60" s="1824">
        <v>55000</v>
      </c>
      <c r="HI60" s="1824">
        <v>80040</v>
      </c>
      <c r="HJ60" s="1818">
        <f>HI60-HH60</f>
        <v>25040</v>
      </c>
      <c r="HK60" s="1821">
        <f>HJ60/HI60</f>
        <v>0.31284357821089454</v>
      </c>
      <c r="HL60" s="1823">
        <v>3</v>
      </c>
      <c r="HM60" s="1824">
        <v>86383</v>
      </c>
      <c r="HN60" s="1824">
        <v>120000</v>
      </c>
      <c r="HO60" s="1818">
        <f>HN60-HM60</f>
        <v>33617</v>
      </c>
      <c r="HP60" s="1821">
        <f>HO60/HN60</f>
        <v>0.28014166666666668</v>
      </c>
      <c r="HQ60" s="654">
        <v>3</v>
      </c>
      <c r="HR60" s="1248">
        <v>96666</v>
      </c>
      <c r="HS60" s="1248">
        <v>120000</v>
      </c>
      <c r="HT60" s="1248">
        <f>HS60-HR60</f>
        <v>23334</v>
      </c>
      <c r="HU60" s="1826">
        <f>HT60/HS60</f>
        <v>0.19445000000000001</v>
      </c>
      <c r="HV60" s="2405">
        <f t="shared" si="155"/>
        <v>1.25</v>
      </c>
      <c r="HW60" s="2406">
        <f t="shared" si="156"/>
        <v>399795</v>
      </c>
      <c r="HX60" s="2406">
        <f t="shared" si="156"/>
        <v>559590</v>
      </c>
      <c r="HY60" s="2406">
        <f t="shared" si="156"/>
        <v>159795</v>
      </c>
      <c r="HZ60" s="1828"/>
      <c r="IA60" s="1829"/>
      <c r="IB60" s="1830"/>
      <c r="IC60" s="1830"/>
      <c r="ID60" s="1831"/>
      <c r="IE60" s="1832">
        <f>(GC60+GH60+GM60)/3</f>
        <v>0.33333333333333331</v>
      </c>
      <c r="IF60" s="1833">
        <f>(GE60+GJ60+GO60)</f>
        <v>22800</v>
      </c>
      <c r="IG60" s="1834">
        <f>(GF60+GK60+GP60)</f>
        <v>8634</v>
      </c>
      <c r="IH60" s="1831">
        <f>IG60/IF60</f>
        <v>0.37868421052631579</v>
      </c>
      <c r="II60" s="1835">
        <f>(GR60+GW60+HB60)/3</f>
        <v>2</v>
      </c>
      <c r="IJ60" s="1836">
        <f t="shared" si="261"/>
        <v>216750</v>
      </c>
      <c r="IK60" s="1836">
        <f t="shared" si="261"/>
        <v>69170</v>
      </c>
      <c r="IL60" s="239">
        <f>IK60/IJ60</f>
        <v>0.31912341407151096</v>
      </c>
      <c r="IM60" s="1837">
        <f>(HB60+HG60+HL60)/3</f>
        <v>2.3333333333333335</v>
      </c>
      <c r="IN60" s="1836">
        <f t="shared" si="262"/>
        <v>320040</v>
      </c>
      <c r="IO60" s="1836">
        <f t="shared" si="262"/>
        <v>81991</v>
      </c>
      <c r="IP60" s="1838">
        <f>IO60/IN60</f>
        <v>0.25618985126859145</v>
      </c>
      <c r="IQ60" s="1839"/>
      <c r="IR60" s="1840">
        <v>3</v>
      </c>
      <c r="IS60" s="1818">
        <v>94716</v>
      </c>
      <c r="IT60" s="1818">
        <v>120000</v>
      </c>
      <c r="IU60" s="1818">
        <f>IT60-IS60</f>
        <v>25284</v>
      </c>
      <c r="IV60" s="1819">
        <f>IU60/IT60</f>
        <v>0.2107</v>
      </c>
      <c r="IW60" s="1820">
        <v>3</v>
      </c>
      <c r="IX60" s="1818">
        <v>96666</v>
      </c>
      <c r="IY60" s="1818">
        <v>120000</v>
      </c>
      <c r="IZ60" s="1818">
        <f>IY60-IX60</f>
        <v>23334</v>
      </c>
      <c r="JA60" s="1821">
        <f>IZ60/IY60</f>
        <v>0.19445000000000001</v>
      </c>
      <c r="JB60" s="1984">
        <v>4</v>
      </c>
      <c r="JC60" s="1985">
        <v>110342</v>
      </c>
      <c r="JD60" s="1986">
        <v>120000</v>
      </c>
      <c r="JE60" s="1818">
        <f>JD60-JC60</f>
        <v>9658</v>
      </c>
      <c r="JF60" s="1821">
        <f>JE60/JD60</f>
        <v>8.0483333333333337E-2</v>
      </c>
      <c r="JG60" s="1981">
        <v>2</v>
      </c>
      <c r="JH60" s="1824">
        <v>65333</v>
      </c>
      <c r="JI60" s="1824">
        <v>120000</v>
      </c>
      <c r="JJ60" s="1822">
        <f>JI60-JH60</f>
        <v>54667</v>
      </c>
      <c r="JK60" s="1821">
        <f>JJ60/JI60</f>
        <v>0.45555833333333334</v>
      </c>
      <c r="JL60" s="1823">
        <v>2</v>
      </c>
      <c r="JM60" s="1824">
        <v>65333</v>
      </c>
      <c r="JN60" s="1824">
        <v>120000</v>
      </c>
      <c r="JO60" s="1996">
        <f>JN60-JM60</f>
        <v>54667</v>
      </c>
      <c r="JP60" s="1821">
        <f>JO60/JN60</f>
        <v>0.45555833333333334</v>
      </c>
      <c r="JQ60" s="6013">
        <v>2</v>
      </c>
      <c r="JR60" s="1982">
        <v>65333</v>
      </c>
      <c r="JS60" s="1248">
        <v>120000</v>
      </c>
      <c r="JT60" s="1996">
        <f>JS60-JR60</f>
        <v>54667</v>
      </c>
      <c r="JU60" s="1821">
        <f>JT60/JS60</f>
        <v>0.45555833333333334</v>
      </c>
      <c r="JV60" s="1981">
        <v>2</v>
      </c>
      <c r="JW60" s="1824">
        <v>65333</v>
      </c>
      <c r="JX60" s="1248">
        <v>120000</v>
      </c>
      <c r="JY60" s="1996">
        <f>JX60-JW60</f>
        <v>54667</v>
      </c>
      <c r="JZ60" s="1821">
        <f>JY60/JX60</f>
        <v>0.45555833333333334</v>
      </c>
      <c r="KA60" s="1981">
        <v>2</v>
      </c>
      <c r="KB60" s="1248">
        <v>65333</v>
      </c>
      <c r="KC60" s="1982">
        <v>120000</v>
      </c>
      <c r="KD60" s="1983">
        <f>KC60-KB60</f>
        <v>54667</v>
      </c>
      <c r="KE60" s="1952">
        <f>KD60/KC60</f>
        <v>0.45555833333333334</v>
      </c>
      <c r="KF60" s="1990">
        <v>2</v>
      </c>
      <c r="KG60" s="1904">
        <v>65333</v>
      </c>
      <c r="KH60" s="1904">
        <v>120000</v>
      </c>
      <c r="KI60" s="1818">
        <f t="shared" si="227"/>
        <v>54667</v>
      </c>
      <c r="KJ60" s="1821">
        <f>KI60/KH60</f>
        <v>0.45555833333333334</v>
      </c>
      <c r="KK60" s="1990">
        <v>2</v>
      </c>
      <c r="KL60" s="1904">
        <v>65333</v>
      </c>
      <c r="KM60" s="1904">
        <v>120000</v>
      </c>
      <c r="KN60" s="2023">
        <f t="shared" si="130"/>
        <v>54667</v>
      </c>
      <c r="KO60" s="2024">
        <f>KN60/KM60</f>
        <v>0.45555833333333334</v>
      </c>
      <c r="KP60" s="1823">
        <v>3</v>
      </c>
      <c r="KQ60" s="1982">
        <v>101166</v>
      </c>
      <c r="KR60" s="1248">
        <v>120000</v>
      </c>
      <c r="KS60" s="1996">
        <f t="shared" si="236"/>
        <v>18834</v>
      </c>
      <c r="KT60" s="1819">
        <f>KS60/KR60</f>
        <v>0.15695000000000001</v>
      </c>
      <c r="KU60" s="6072">
        <v>3</v>
      </c>
      <c r="KV60" s="6059">
        <v>125038</v>
      </c>
      <c r="KW60" s="6059">
        <v>120000</v>
      </c>
      <c r="KX60" s="6059">
        <f>KW60-KV60</f>
        <v>-5038</v>
      </c>
      <c r="KY60" s="6073">
        <f>KX60/KW60</f>
        <v>-4.1983333333333331E-2</v>
      </c>
      <c r="KZ60" s="1832">
        <v>3</v>
      </c>
      <c r="LA60" s="622">
        <f t="shared" si="144"/>
        <v>985259</v>
      </c>
      <c r="LB60" s="622">
        <f t="shared" si="144"/>
        <v>1440000</v>
      </c>
      <c r="LC60" s="622">
        <f t="shared" si="144"/>
        <v>454741</v>
      </c>
      <c r="LD60" s="239">
        <f>LC60/LB60</f>
        <v>0.31579236111111109</v>
      </c>
      <c r="LE60" s="1834">
        <f t="shared" si="71"/>
        <v>3.3333333333333335</v>
      </c>
      <c r="LF60" s="1830">
        <f t="shared" si="167"/>
        <v>360000</v>
      </c>
      <c r="LG60" s="1830">
        <f t="shared" si="167"/>
        <v>58276</v>
      </c>
      <c r="LH60" s="1831">
        <f>LG60/LF60</f>
        <v>0.16187777777777779</v>
      </c>
      <c r="LI60" s="1832">
        <f t="shared" si="132"/>
        <v>2</v>
      </c>
      <c r="LJ60" s="1833">
        <f t="shared" si="133"/>
        <v>360000</v>
      </c>
      <c r="LK60" s="1834">
        <f t="shared" si="133"/>
        <v>164001</v>
      </c>
      <c r="LL60" s="1831">
        <f>LK60/LJ60</f>
        <v>0.45555833333333334</v>
      </c>
      <c r="LM60" s="1835">
        <f t="shared" si="135"/>
        <v>2</v>
      </c>
      <c r="LN60" s="1836">
        <f t="shared" si="136"/>
        <v>360000</v>
      </c>
      <c r="LO60" s="1836">
        <f t="shared" si="136"/>
        <v>164001</v>
      </c>
      <c r="LP60" s="239">
        <f>LO60/LN60</f>
        <v>0.45555833333333334</v>
      </c>
      <c r="LQ60" s="1837">
        <f t="shared" si="237"/>
        <v>2.6666666666666665</v>
      </c>
      <c r="LR60" s="1836">
        <f t="shared" si="229"/>
        <v>360000</v>
      </c>
      <c r="LS60" s="1836">
        <f t="shared" si="229"/>
        <v>68463</v>
      </c>
      <c r="LT60" s="1838">
        <f>LS60/LR60</f>
        <v>0.19017500000000001</v>
      </c>
      <c r="LV60" s="401">
        <v>3</v>
      </c>
      <c r="LW60" s="395">
        <v>106666</v>
      </c>
      <c r="LX60" s="395">
        <v>120000</v>
      </c>
      <c r="LY60" s="115">
        <f>LX60-LW60</f>
        <v>13334</v>
      </c>
      <c r="LZ60" s="186">
        <f>LY60/LX60</f>
        <v>0.11111666666666667</v>
      </c>
      <c r="MA60" s="2000">
        <v>3</v>
      </c>
      <c r="MB60" s="1317">
        <v>106666</v>
      </c>
      <c r="MC60" s="1317">
        <v>120000</v>
      </c>
      <c r="MD60" s="372">
        <f>MC60-MB60</f>
        <v>13334</v>
      </c>
      <c r="ME60" s="207">
        <f>MD60/MC60</f>
        <v>0.11111666666666667</v>
      </c>
      <c r="MF60" s="401">
        <v>3</v>
      </c>
      <c r="MG60" s="1317">
        <v>106666</v>
      </c>
      <c r="MH60" s="1317">
        <v>120000</v>
      </c>
      <c r="MI60" s="372">
        <f>MH60-MG60</f>
        <v>13334</v>
      </c>
      <c r="MJ60" s="207">
        <f>MI60/MH60</f>
        <v>0.11111666666666667</v>
      </c>
      <c r="MK60" s="2573">
        <v>3</v>
      </c>
      <c r="ML60" s="1317">
        <v>99139</v>
      </c>
      <c r="MM60" s="1317">
        <v>110800</v>
      </c>
      <c r="MN60" s="372">
        <f>MM60-ML60</f>
        <v>11661</v>
      </c>
      <c r="MO60" s="207">
        <f>MN60/MM60</f>
        <v>0.10524368231046931</v>
      </c>
      <c r="MP60" s="1577">
        <v>3</v>
      </c>
      <c r="MQ60" s="1248">
        <v>75268</v>
      </c>
      <c r="MR60" s="1248">
        <v>82580</v>
      </c>
      <c r="MS60" s="1248">
        <f>MR60-MQ60</f>
        <v>7312</v>
      </c>
      <c r="MT60" s="655">
        <f>MS60/MR60</f>
        <v>8.8544441753451206E-2</v>
      </c>
      <c r="MU60" s="1318">
        <v>3</v>
      </c>
      <c r="MV60" s="395">
        <v>87215</v>
      </c>
      <c r="MW60" s="395">
        <v>24000</v>
      </c>
      <c r="MX60" s="395">
        <f>MW60-MV60</f>
        <v>-63215</v>
      </c>
      <c r="MY60" s="655">
        <f>MX60/MW60</f>
        <v>-2.6339583333333332</v>
      </c>
      <c r="MZ60" s="1318">
        <v>3</v>
      </c>
      <c r="NA60" s="395">
        <v>87215</v>
      </c>
      <c r="NB60" s="395">
        <v>0</v>
      </c>
      <c r="NC60" s="395">
        <f>NB60-NA60</f>
        <v>-87215</v>
      </c>
      <c r="ND60" s="801">
        <v>0</v>
      </c>
      <c r="NE60" s="1318">
        <v>3</v>
      </c>
      <c r="NF60" s="395">
        <v>87215</v>
      </c>
      <c r="NG60" s="395">
        <v>0</v>
      </c>
      <c r="NH60" s="395">
        <f>NG60-NF60</f>
        <v>-87215</v>
      </c>
      <c r="NI60" s="801"/>
      <c r="NJ60" s="1318"/>
      <c r="NK60" s="395">
        <v>0</v>
      </c>
      <c r="NL60" s="395">
        <v>0</v>
      </c>
      <c r="NM60" s="395">
        <v>0</v>
      </c>
      <c r="NN60" s="801"/>
      <c r="NO60" s="2738"/>
      <c r="NP60" s="622"/>
      <c r="NQ60" s="2437"/>
      <c r="NR60" s="395"/>
      <c r="NS60" s="801"/>
      <c r="NT60" s="2738"/>
      <c r="NU60" s="2911"/>
      <c r="NV60" s="622"/>
      <c r="NW60" s="395"/>
      <c r="NX60" s="801"/>
      <c r="NY60" s="2738"/>
      <c r="NZ60" s="622"/>
      <c r="OA60" s="622"/>
      <c r="OB60" s="772"/>
      <c r="OC60" s="116"/>
      <c r="OD60" s="2433"/>
      <c r="OE60" s="622">
        <f t="shared" si="260"/>
        <v>756050</v>
      </c>
      <c r="OF60" s="622">
        <f t="shared" si="260"/>
        <v>577380</v>
      </c>
      <c r="OG60" s="6074">
        <f t="shared" si="260"/>
        <v>-178670</v>
      </c>
      <c r="OH60" s="1576">
        <f>OG60/OF60</f>
        <v>-0.30944958259724964</v>
      </c>
      <c r="OI60" s="2435">
        <f t="shared" si="238"/>
        <v>3</v>
      </c>
      <c r="OJ60" s="2436">
        <f t="shared" si="239"/>
        <v>319998</v>
      </c>
      <c r="OK60" s="2436">
        <f t="shared" si="239"/>
        <v>360000</v>
      </c>
      <c r="OL60" s="2436">
        <f t="shared" si="239"/>
        <v>40002</v>
      </c>
      <c r="OM60" s="1439">
        <f>OL60/OK60</f>
        <v>0.11111666666666667</v>
      </c>
      <c r="ON60" s="622">
        <f>(MK60+MP60+MU60)/3</f>
        <v>3</v>
      </c>
      <c r="OO60" s="622">
        <f t="shared" si="240"/>
        <v>261622</v>
      </c>
      <c r="OP60" s="622">
        <f t="shared" si="240"/>
        <v>217380</v>
      </c>
      <c r="OQ60" s="2437">
        <f t="shared" si="240"/>
        <v>-44242</v>
      </c>
      <c r="OR60" s="421">
        <f>OQ60/OP60</f>
        <v>-0.20352378323672832</v>
      </c>
      <c r="OS60" s="2438">
        <f t="shared" si="241"/>
        <v>2</v>
      </c>
      <c r="OT60" s="2439">
        <f t="shared" si="242"/>
        <v>174430</v>
      </c>
      <c r="OU60" s="2439">
        <f t="shared" si="242"/>
        <v>0</v>
      </c>
      <c r="OV60" s="2440">
        <f t="shared" si="242"/>
        <v>-174430</v>
      </c>
      <c r="OW60" s="460"/>
      <c r="OX60" s="2432">
        <f t="shared" si="243"/>
        <v>0</v>
      </c>
      <c r="OY60" s="622">
        <f t="shared" si="244"/>
        <v>0</v>
      </c>
      <c r="OZ60" s="622">
        <f t="shared" si="244"/>
        <v>0</v>
      </c>
      <c r="PA60" s="2437">
        <f t="shared" si="244"/>
        <v>0</v>
      </c>
      <c r="PB60" s="116"/>
      <c r="PC60" s="2441"/>
      <c r="PD60" s="401"/>
      <c r="PE60" s="395"/>
      <c r="PF60" s="395"/>
      <c r="PG60" s="115">
        <f t="shared" si="263"/>
        <v>0</v>
      </c>
      <c r="PH60" s="186" t="s">
        <v>819</v>
      </c>
      <c r="PI60" s="2000"/>
      <c r="PJ60" s="1317"/>
      <c r="PK60" s="1317"/>
      <c r="PL60" s="372">
        <f>PK60-PJ60</f>
        <v>0</v>
      </c>
      <c r="PM60" s="207" t="e">
        <f>PL60/PK60</f>
        <v>#DIV/0!</v>
      </c>
      <c r="PN60" s="401"/>
      <c r="PO60" s="1317"/>
      <c r="PP60" s="1317"/>
      <c r="PQ60" s="372">
        <f>PP60-PO60</f>
        <v>0</v>
      </c>
      <c r="PR60" s="207" t="e">
        <f>PQ60/PP60</f>
        <v>#DIV/0!</v>
      </c>
      <c r="PS60" s="2891"/>
      <c r="PT60" s="3208"/>
      <c r="PU60" s="3208"/>
      <c r="PV60" s="2892">
        <f>PU60-PT60</f>
        <v>0</v>
      </c>
      <c r="PW60" s="370" t="e">
        <f>PV60/PU60</f>
        <v>#DIV/0!</v>
      </c>
      <c r="PX60" s="1577"/>
      <c r="PY60" s="1248"/>
      <c r="PZ60" s="1248"/>
      <c r="QA60" s="1248">
        <f>PZ60-PY60</f>
        <v>0</v>
      </c>
      <c r="QB60" s="655" t="e">
        <f>QA60/PZ60</f>
        <v>#DIV/0!</v>
      </c>
      <c r="QC60" s="2002"/>
      <c r="QD60" s="2001"/>
      <c r="QE60" s="2001"/>
      <c r="QF60" s="2001">
        <f>QE60-QD60</f>
        <v>0</v>
      </c>
      <c r="QG60" s="2019"/>
      <c r="QH60" s="401"/>
      <c r="QI60" s="395"/>
      <c r="QJ60" s="395"/>
      <c r="QK60" s="395"/>
      <c r="QL60" s="801"/>
      <c r="QM60" s="401"/>
      <c r="QN60" s="395"/>
      <c r="QO60" s="395"/>
      <c r="QP60" s="395"/>
      <c r="QQ60" s="801"/>
      <c r="QR60" s="2002"/>
      <c r="QS60" s="2001">
        <v>0</v>
      </c>
      <c r="QT60" s="2001">
        <v>0</v>
      </c>
      <c r="QU60" s="2001">
        <v>0</v>
      </c>
      <c r="QV60" s="370"/>
      <c r="QW60" s="1336"/>
      <c r="QX60" s="1873"/>
      <c r="QY60" s="2431"/>
      <c r="QZ60" s="2001"/>
      <c r="RA60" s="2003"/>
      <c r="RB60" s="2738"/>
      <c r="RC60" s="2911"/>
      <c r="RD60" s="622"/>
      <c r="RE60" s="395"/>
      <c r="RF60" s="801"/>
      <c r="RG60" s="2108"/>
      <c r="RH60" s="1873"/>
      <c r="RI60" s="1873"/>
      <c r="RJ60" s="2012"/>
      <c r="RK60" s="116"/>
      <c r="RL60" s="3717"/>
      <c r="RM60" s="1873">
        <f t="shared" si="245"/>
        <v>0</v>
      </c>
      <c r="RN60" s="1873">
        <f t="shared" si="245"/>
        <v>0</v>
      </c>
      <c r="RO60" s="1873">
        <f t="shared" si="245"/>
        <v>0</v>
      </c>
      <c r="RP60" s="1576"/>
      <c r="RQ60" s="2435">
        <f t="shared" si="246"/>
        <v>0</v>
      </c>
      <c r="RR60" s="2436">
        <f t="shared" si="247"/>
        <v>0</v>
      </c>
      <c r="RS60" s="2436">
        <f t="shared" si="247"/>
        <v>0</v>
      </c>
      <c r="RT60" s="2436">
        <f t="shared" si="247"/>
        <v>0</v>
      </c>
      <c r="RU60" s="1439" t="e">
        <f>RT60/RS60</f>
        <v>#DIV/0!</v>
      </c>
      <c r="RV60" s="622">
        <f>(PS60+PX60+QC60)/3</f>
        <v>0</v>
      </c>
      <c r="RW60" s="622">
        <f t="shared" si="248"/>
        <v>0</v>
      </c>
      <c r="RX60" s="622">
        <f t="shared" si="248"/>
        <v>0</v>
      </c>
      <c r="RY60" s="2437">
        <f t="shared" si="248"/>
        <v>0</v>
      </c>
      <c r="RZ60" s="421" t="e">
        <f>RY60/RX60</f>
        <v>#DIV/0!</v>
      </c>
      <c r="SA60" s="2438">
        <f t="shared" si="249"/>
        <v>0</v>
      </c>
      <c r="SB60" s="2439">
        <f t="shared" si="250"/>
        <v>0</v>
      </c>
      <c r="SC60" s="2439">
        <f t="shared" si="250"/>
        <v>0</v>
      </c>
      <c r="SD60" s="2440">
        <f t="shared" si="250"/>
        <v>0</v>
      </c>
      <c r="SE60" s="460"/>
      <c r="SF60" s="2432">
        <f t="shared" si="251"/>
        <v>0</v>
      </c>
      <c r="SG60" s="622">
        <f t="shared" si="252"/>
        <v>0</v>
      </c>
      <c r="SH60" s="622">
        <f t="shared" si="252"/>
        <v>0</v>
      </c>
      <c r="SI60" s="2437">
        <f t="shared" si="252"/>
        <v>0</v>
      </c>
      <c r="SJ60" s="116"/>
      <c r="SL60" s="2445"/>
      <c r="SM60" s="2001"/>
      <c r="SN60" s="2001"/>
      <c r="SO60" s="3534">
        <f t="shared" si="264"/>
        <v>0</v>
      </c>
      <c r="SP60" s="1498" t="s">
        <v>819</v>
      </c>
      <c r="SQ60" s="6015"/>
      <c r="SR60" s="3208"/>
      <c r="SS60" s="3208"/>
      <c r="ST60" s="2892">
        <f>SS60-SR60</f>
        <v>0</v>
      </c>
      <c r="SU60" s="370" t="e">
        <f>ST60/SS60</f>
        <v>#DIV/0!</v>
      </c>
      <c r="SV60" s="401"/>
      <c r="SW60" s="1317"/>
      <c r="SX60" s="1317"/>
      <c r="SY60" s="372">
        <f>SX60-SW60</f>
        <v>0</v>
      </c>
      <c r="SZ60" s="207" t="e">
        <f>SY60/SX60</f>
        <v>#DIV/0!</v>
      </c>
      <c r="TA60" s="2573"/>
      <c r="TB60" s="1317"/>
      <c r="TC60" s="1317"/>
      <c r="TD60" s="372">
        <f>TC60-TB60</f>
        <v>0</v>
      </c>
      <c r="TE60" s="207" t="e">
        <f>TD60/TC60</f>
        <v>#DIV/0!</v>
      </c>
      <c r="TF60" s="1577"/>
      <c r="TG60" s="1248"/>
      <c r="TH60" s="1248"/>
      <c r="TI60" s="1248">
        <f>TH60-TG60</f>
        <v>0</v>
      </c>
      <c r="TJ60" s="655" t="e">
        <f>TI60/TH60</f>
        <v>#DIV/0!</v>
      </c>
      <c r="TK60" s="2002"/>
      <c r="TL60" s="2001"/>
      <c r="TM60" s="2001"/>
      <c r="TN60" s="2001">
        <f>TM60-TL60</f>
        <v>0</v>
      </c>
      <c r="TO60" s="2019"/>
      <c r="TP60" s="4434"/>
      <c r="TQ60" s="395"/>
      <c r="TR60" s="395"/>
      <c r="TS60" s="395"/>
      <c r="TT60" s="801"/>
      <c r="TU60" s="4464"/>
      <c r="TV60" s="2001"/>
      <c r="TW60" s="2001"/>
      <c r="TX60" s="2001"/>
      <c r="TY60" s="2003"/>
      <c r="TZ60" s="2002"/>
      <c r="UA60" s="2001">
        <v>0</v>
      </c>
      <c r="UB60" s="2001">
        <v>0</v>
      </c>
      <c r="UC60" s="2001">
        <v>0</v>
      </c>
      <c r="UD60" s="370"/>
      <c r="UE60" s="1336"/>
      <c r="UF60" s="1873"/>
      <c r="UG60" s="2431"/>
      <c r="UH60" s="2001"/>
      <c r="UI60" s="2003"/>
      <c r="UJ60" s="2738"/>
      <c r="UK60" s="2911"/>
      <c r="UL60" s="622"/>
      <c r="UM60" s="395"/>
      <c r="UN60" s="801"/>
      <c r="UO60" s="2108"/>
      <c r="UP60" s="1873"/>
      <c r="UQ60" s="1873"/>
      <c r="UR60" s="2012"/>
      <c r="US60" s="116"/>
      <c r="UT60" s="2433"/>
      <c r="UU60" s="622">
        <f t="shared" si="78"/>
        <v>0</v>
      </c>
      <c r="UV60" s="622">
        <f t="shared" si="78"/>
        <v>0</v>
      </c>
      <c r="UW60" s="622">
        <f t="shared" si="78"/>
        <v>0</v>
      </c>
      <c r="UX60" s="1576"/>
      <c r="UY60" s="2435">
        <f t="shared" si="253"/>
        <v>0</v>
      </c>
      <c r="UZ60" s="2436">
        <f t="shared" si="254"/>
        <v>0</v>
      </c>
      <c r="VA60" s="2436">
        <f t="shared" si="254"/>
        <v>0</v>
      </c>
      <c r="VB60" s="2436">
        <f t="shared" si="254"/>
        <v>0</v>
      </c>
      <c r="VC60" s="1439" t="e">
        <f>VB60/VA60</f>
        <v>#DIV/0!</v>
      </c>
      <c r="VD60" s="622">
        <f>(TA60+TF60+TK60)/3</f>
        <v>0</v>
      </c>
      <c r="VE60" s="622">
        <f t="shared" si="255"/>
        <v>0</v>
      </c>
      <c r="VF60" s="622">
        <f t="shared" si="255"/>
        <v>0</v>
      </c>
      <c r="VG60" s="2437">
        <f t="shared" si="255"/>
        <v>0</v>
      </c>
      <c r="VH60" s="421" t="e">
        <f>VG60/VF60</f>
        <v>#DIV/0!</v>
      </c>
      <c r="VI60" s="2438">
        <f t="shared" si="256"/>
        <v>0</v>
      </c>
      <c r="VJ60" s="2439">
        <f t="shared" si="257"/>
        <v>0</v>
      </c>
      <c r="VK60" s="2439">
        <f t="shared" si="257"/>
        <v>0</v>
      </c>
      <c r="VL60" s="2440">
        <f t="shared" si="257"/>
        <v>0</v>
      </c>
      <c r="VM60" s="460"/>
      <c r="VN60" s="2432">
        <f t="shared" si="258"/>
        <v>0</v>
      </c>
      <c r="VO60" s="622">
        <f t="shared" si="259"/>
        <v>0</v>
      </c>
      <c r="VP60" s="622">
        <f t="shared" si="259"/>
        <v>0</v>
      </c>
      <c r="VQ60" s="2437">
        <f t="shared" si="259"/>
        <v>0</v>
      </c>
      <c r="VR60" s="116"/>
    </row>
    <row r="61" spans="1:590" s="122" customFormat="1" ht="13.45" hidden="1" x14ac:dyDescent="0.3">
      <c r="A61" s="2906"/>
      <c r="B61" s="1773" t="s">
        <v>53</v>
      </c>
      <c r="C61" s="1774" t="s">
        <v>60</v>
      </c>
      <c r="D61" s="2016" t="s">
        <v>61</v>
      </c>
      <c r="E61" s="2017">
        <v>44531</v>
      </c>
      <c r="F61" s="2017">
        <v>44530</v>
      </c>
      <c r="G61" s="2018">
        <v>76800</v>
      </c>
      <c r="H61" s="1775"/>
      <c r="I61" s="1776"/>
      <c r="J61" s="1776"/>
      <c r="K61" s="1776">
        <f>J61-I61</f>
        <v>0</v>
      </c>
      <c r="L61" s="1777"/>
      <c r="M61" s="1778"/>
      <c r="N61" s="1779"/>
      <c r="O61" s="1779"/>
      <c r="P61" s="1779">
        <f>O61-N61</f>
        <v>0</v>
      </c>
      <c r="Q61" s="1780"/>
      <c r="R61" s="1780"/>
      <c r="S61" s="1776"/>
      <c r="T61" s="1776"/>
      <c r="U61" s="1776">
        <f>T61-S61</f>
        <v>0</v>
      </c>
      <c r="V61" s="1777"/>
      <c r="W61" s="1776"/>
      <c r="X61" s="1776"/>
      <c r="Y61" s="1781"/>
      <c r="Z61" s="1776">
        <f>Y61-X61</f>
        <v>0</v>
      </c>
      <c r="AA61" s="1782"/>
      <c r="AB61" s="1781"/>
      <c r="AC61" s="1783"/>
      <c r="AD61" s="1784"/>
      <c r="AE61" s="1776"/>
      <c r="AF61" s="1777"/>
      <c r="AG61" s="1785"/>
      <c r="AH61" s="1776"/>
      <c r="AI61" s="1776"/>
      <c r="AJ61" s="1786"/>
      <c r="AK61" s="1777"/>
      <c r="AL61" s="1785"/>
      <c r="AM61" s="1776"/>
      <c r="AN61" s="1776"/>
      <c r="AO61" s="1781">
        <f>AN61-AM61</f>
        <v>0</v>
      </c>
      <c r="AP61" s="1777"/>
      <c r="AQ61" s="1787"/>
      <c r="AR61" s="1788"/>
      <c r="AS61" s="1788"/>
      <c r="AT61" s="1789"/>
      <c r="AU61" s="1777"/>
      <c r="AV61" s="1790">
        <v>1</v>
      </c>
      <c r="AW61" s="1781">
        <v>18709</v>
      </c>
      <c r="AX61" s="1781">
        <v>51148</v>
      </c>
      <c r="AY61" s="1781">
        <f>AX61-AW61</f>
        <v>32439</v>
      </c>
      <c r="AZ61" s="1777">
        <f>AY61/AX61</f>
        <v>0.63421834675842648</v>
      </c>
      <c r="BA61" s="1791">
        <v>3</v>
      </c>
      <c r="BB61" s="1781">
        <v>53387</v>
      </c>
      <c r="BC61" s="1783">
        <v>76800</v>
      </c>
      <c r="BD61" s="1781">
        <f>BC61-BB61</f>
        <v>23413</v>
      </c>
      <c r="BE61" s="1780">
        <f>BD61/BC61</f>
        <v>0.30485677083333335</v>
      </c>
      <c r="BF61" s="1790">
        <v>3</v>
      </c>
      <c r="BG61" s="1781">
        <v>51786</v>
      </c>
      <c r="BH61" s="1776">
        <v>76800</v>
      </c>
      <c r="BI61" s="1781">
        <f>BH61-BG61</f>
        <v>25014</v>
      </c>
      <c r="BJ61" s="1780">
        <f>BI61/BH61</f>
        <v>0.32570312499999998</v>
      </c>
      <c r="BK61" s="1790">
        <v>3</v>
      </c>
      <c r="BL61" s="1781">
        <v>47903</v>
      </c>
      <c r="BM61" s="1783">
        <v>76800</v>
      </c>
      <c r="BN61" s="1781">
        <f>BM61-BL61</f>
        <v>28897</v>
      </c>
      <c r="BO61" s="5978">
        <f>BN61/BM61</f>
        <v>0.37626302083333335</v>
      </c>
      <c r="BP61" s="1937">
        <f>(AV61+AQ61+AL61+AG61+AB61+W61+R61+M61+H61+BA61+BF61+BK61)/12</f>
        <v>0.83333333333333337</v>
      </c>
      <c r="BQ61" s="1796">
        <f>AW61+AR61+AM61+AH61+AC61+X61+S61+N61+I61+BB61+BG61+BL61</f>
        <v>171785</v>
      </c>
      <c r="BR61" s="1786">
        <f>AX61+AS61+AN61+AI61+AD61+Y61+T61+O61+J61+BC61+BH61+BM61</f>
        <v>281548</v>
      </c>
      <c r="BS61" s="1797">
        <f>BR61-BQ61</f>
        <v>109763</v>
      </c>
      <c r="BT61" s="1798">
        <f>H61+M61+R61</f>
        <v>0</v>
      </c>
      <c r="BU61" s="1786">
        <f>J61+O61+T61</f>
        <v>0</v>
      </c>
      <c r="BV61" s="1786">
        <f>K61+P61+U61</f>
        <v>0</v>
      </c>
      <c r="BW61" s="1799"/>
      <c r="BX61" s="1800">
        <f>W61+AB61+AG61</f>
        <v>0</v>
      </c>
      <c r="BY61" s="1786">
        <f>Y61+AD61+AI61</f>
        <v>0</v>
      </c>
      <c r="BZ61" s="1786">
        <f>Z61+AE61+AJ61</f>
        <v>0</v>
      </c>
      <c r="CA61" s="1801"/>
      <c r="CB61" s="1802">
        <f>AL61+AQ61+AV61</f>
        <v>1</v>
      </c>
      <c r="CC61" s="1786">
        <f>AN61+AS61+AX61</f>
        <v>51148</v>
      </c>
      <c r="CD61" s="1786">
        <f>AO61+AT61+AY61</f>
        <v>32439</v>
      </c>
      <c r="CE61" s="1803"/>
      <c r="CF61" s="1800">
        <f>BA61+BF61+BK61</f>
        <v>9</v>
      </c>
      <c r="CG61" s="1776">
        <f>BC61+BH61+BM61</f>
        <v>230400</v>
      </c>
      <c r="CH61" s="1776">
        <f>BD61+BI61+BN61</f>
        <v>77324</v>
      </c>
      <c r="CI61" s="1801"/>
      <c r="CJ61" s="1808">
        <v>3</v>
      </c>
      <c r="CK61" s="6075">
        <v>54333</v>
      </c>
      <c r="CL61" s="1783">
        <v>76800</v>
      </c>
      <c r="CM61" s="1776">
        <f>CL61-CK61</f>
        <v>22467</v>
      </c>
      <c r="CN61" s="1799">
        <f>CM61/CL61</f>
        <v>0.2925390625</v>
      </c>
      <c r="CO61" s="1804">
        <v>3</v>
      </c>
      <c r="CP61" s="1776">
        <v>55000</v>
      </c>
      <c r="CQ61" s="1776">
        <v>76800</v>
      </c>
      <c r="CR61" s="1776">
        <f>CQ61-CP61</f>
        <v>21800</v>
      </c>
      <c r="CS61" s="1799">
        <f>CR61/CQ61</f>
        <v>0.28385416666666669</v>
      </c>
      <c r="CT61" s="1804">
        <v>3</v>
      </c>
      <c r="CU61" s="1776">
        <v>55000</v>
      </c>
      <c r="CV61" s="1776">
        <v>76800</v>
      </c>
      <c r="CW61" s="1776">
        <f>CV61-CU61</f>
        <v>21800</v>
      </c>
      <c r="CX61" s="1799">
        <f>CW61/CV61</f>
        <v>0.28385416666666669</v>
      </c>
      <c r="CY61" s="1808">
        <v>3</v>
      </c>
      <c r="CZ61" s="2577">
        <v>51451</v>
      </c>
      <c r="DA61" s="1783">
        <v>76800</v>
      </c>
      <c r="DB61" s="1776">
        <f>DA61-CZ61</f>
        <v>25349</v>
      </c>
      <c r="DC61" s="1799">
        <f>DB61/DA61</f>
        <v>0.33006510416666668</v>
      </c>
      <c r="DD61" s="1808">
        <v>3</v>
      </c>
      <c r="DE61" s="2577">
        <v>54704</v>
      </c>
      <c r="DF61" s="1783">
        <v>76800</v>
      </c>
      <c r="DG61" s="1783">
        <f>DF61-DE61</f>
        <v>22096</v>
      </c>
      <c r="DH61" s="1807">
        <f>DG61/DF61</f>
        <v>0.28770833333333334</v>
      </c>
      <c r="DI61" s="1808">
        <v>3</v>
      </c>
      <c r="DJ61" s="2577">
        <v>54444</v>
      </c>
      <c r="DK61" s="2577">
        <v>76800</v>
      </c>
      <c r="DL61" s="1776">
        <f>DK61-DJ61</f>
        <v>22356</v>
      </c>
      <c r="DM61" s="1807">
        <f>DL61/DK61</f>
        <v>0.29109374999999998</v>
      </c>
      <c r="DN61" s="1808">
        <v>3</v>
      </c>
      <c r="DO61" s="2577">
        <v>55000</v>
      </c>
      <c r="DP61" s="1783">
        <v>76800</v>
      </c>
      <c r="DQ61" s="1776">
        <f>DP61-DO61</f>
        <v>21800</v>
      </c>
      <c r="DR61" s="1807">
        <f>DQ61/DP61</f>
        <v>0.28385416666666669</v>
      </c>
      <c r="DS61" s="1808">
        <v>3</v>
      </c>
      <c r="DT61" s="2577">
        <v>55000</v>
      </c>
      <c r="DU61" s="1783">
        <v>76800</v>
      </c>
      <c r="DV61" s="1776">
        <f>DU61-DT61</f>
        <v>21800</v>
      </c>
      <c r="DW61" s="1799">
        <f>DV61/DU61</f>
        <v>0.28385416666666669</v>
      </c>
      <c r="DX61" s="1804">
        <v>3</v>
      </c>
      <c r="DY61" s="1776">
        <v>55000</v>
      </c>
      <c r="DZ61" s="1776">
        <v>76800</v>
      </c>
      <c r="EA61" s="1776">
        <f>DZ61-DY61</f>
        <v>21800</v>
      </c>
      <c r="EB61" s="1807">
        <f>EA61/DZ61</f>
        <v>0.28385416666666669</v>
      </c>
      <c r="EC61" s="1804">
        <v>3</v>
      </c>
      <c r="ED61" s="1776">
        <v>55000</v>
      </c>
      <c r="EE61" s="1776">
        <v>76800</v>
      </c>
      <c r="EF61" s="1786">
        <f>EE61-ED61</f>
        <v>21800</v>
      </c>
      <c r="EG61" s="1807">
        <f>EF61/EE61</f>
        <v>0.28385416666666669</v>
      </c>
      <c r="EH61" s="1804">
        <v>3</v>
      </c>
      <c r="EI61" s="1776">
        <v>55000</v>
      </c>
      <c r="EJ61" s="1776">
        <v>67891.199999999997</v>
      </c>
      <c r="EK61" s="1776">
        <f>EJ61-EI61</f>
        <v>12891.199999999997</v>
      </c>
      <c r="EL61" s="1807">
        <f>EK61/EJ61</f>
        <v>0.18988027903469076</v>
      </c>
      <c r="EM61" s="1804">
        <v>3</v>
      </c>
      <c r="EN61" s="1776">
        <v>55000</v>
      </c>
      <c r="EO61" s="1776">
        <v>76800</v>
      </c>
      <c r="EP61" s="1776">
        <f>EO61-EN61</f>
        <v>21800</v>
      </c>
      <c r="EQ61" s="1807">
        <f>EP61/EO61</f>
        <v>0.28385416666666669</v>
      </c>
      <c r="ER61" s="2402">
        <f t="shared" si="38"/>
        <v>3</v>
      </c>
      <c r="ES61" s="2403">
        <f t="shared" si="146"/>
        <v>654932</v>
      </c>
      <c r="ET61" s="2403">
        <f t="shared" si="146"/>
        <v>912691.19999999995</v>
      </c>
      <c r="EU61" s="2403">
        <f t="shared" si="146"/>
        <v>257759.2</v>
      </c>
      <c r="EV61" s="2404">
        <f t="shared" si="40"/>
        <v>0.28241665965443735</v>
      </c>
      <c r="EW61" s="1814">
        <f>(CJ61+CO61+CT61)/3</f>
        <v>3</v>
      </c>
      <c r="EX61" s="1776">
        <f>CL61+CQ61+CV61</f>
        <v>230400</v>
      </c>
      <c r="EY61" s="1776">
        <f>CM61+CR61+CW61</f>
        <v>66067</v>
      </c>
      <c r="EZ61" s="1815">
        <f>EY61/EX61</f>
        <v>0.28674913194444446</v>
      </c>
      <c r="FA61" s="1939">
        <f>(CY61+DD61+DI61)/3</f>
        <v>3</v>
      </c>
      <c r="FB61" s="1786">
        <f>DK61+DF61+DA61</f>
        <v>230400</v>
      </c>
      <c r="FC61" s="1786">
        <f>DL61+DG61+DB61</f>
        <v>69801</v>
      </c>
      <c r="FD61" s="1799">
        <f>FC61/FB61</f>
        <v>0.30295572916666669</v>
      </c>
      <c r="FE61" s="1814">
        <f>(DN61+DS61+DX61)/3</f>
        <v>3</v>
      </c>
      <c r="FF61" s="1786">
        <f>DP61+DU61+DZ61</f>
        <v>230400</v>
      </c>
      <c r="FG61" s="1786">
        <f>DQ61+DV61+EA61</f>
        <v>65400</v>
      </c>
      <c r="FH61" s="1815">
        <f>FG61/FF61</f>
        <v>0.28385416666666669</v>
      </c>
      <c r="FI61" s="1816">
        <f>(EC61+EH61+EM61)/3</f>
        <v>3</v>
      </c>
      <c r="FJ61" s="1814"/>
      <c r="FK61" s="1786">
        <f>EE61+EJ61+EO61</f>
        <v>221491.20000000001</v>
      </c>
      <c r="FL61" s="1786">
        <f>EF61+EK61+EP61</f>
        <v>56491.199999999997</v>
      </c>
      <c r="FM61" s="1799">
        <f>FL61/FK61</f>
        <v>0.25504941054091534</v>
      </c>
      <c r="FN61" s="1817">
        <v>3</v>
      </c>
      <c r="FO61" s="1818">
        <v>55000</v>
      </c>
      <c r="FP61" s="1818">
        <v>76800</v>
      </c>
      <c r="FQ61" s="1818">
        <f>FP61-FO61</f>
        <v>21800</v>
      </c>
      <c r="FR61" s="1819">
        <f>FQ61/FP61</f>
        <v>0.28385416666666669</v>
      </c>
      <c r="FS61" s="1820">
        <v>3</v>
      </c>
      <c r="FT61" s="1818">
        <v>55000</v>
      </c>
      <c r="FU61" s="1818">
        <v>76800</v>
      </c>
      <c r="FV61" s="1818">
        <f>FU61-FT61</f>
        <v>21800</v>
      </c>
      <c r="FW61" s="1821">
        <f>FV61/FU61</f>
        <v>0.28385416666666669</v>
      </c>
      <c r="FX61" s="1820">
        <v>3</v>
      </c>
      <c r="FY61" s="1822">
        <v>55000</v>
      </c>
      <c r="FZ61" s="1822">
        <v>76800</v>
      </c>
      <c r="GA61" s="1818">
        <f>FZ61-FY61</f>
        <v>21800</v>
      </c>
      <c r="GB61" s="1821">
        <f>GA61/FZ61</f>
        <v>0.28385416666666669</v>
      </c>
      <c r="GC61" s="1823">
        <v>3</v>
      </c>
      <c r="GD61" s="1824">
        <v>55000</v>
      </c>
      <c r="GE61" s="1824">
        <v>76800</v>
      </c>
      <c r="GF61" s="1818">
        <f>GE61-GD61</f>
        <v>21800</v>
      </c>
      <c r="GG61" s="1821">
        <f>GF61/GE61</f>
        <v>0.28385416666666669</v>
      </c>
      <c r="GH61" s="1823">
        <v>3</v>
      </c>
      <c r="GI61" s="1824">
        <v>55000</v>
      </c>
      <c r="GJ61" s="1824">
        <v>76800</v>
      </c>
      <c r="GK61" s="1818">
        <f>GJ61-GI61</f>
        <v>21800</v>
      </c>
      <c r="GL61" s="1821">
        <f>GK61/GJ61</f>
        <v>0.28385416666666669</v>
      </c>
      <c r="GM61" s="1823">
        <v>3</v>
      </c>
      <c r="GN61" s="1824">
        <v>65000</v>
      </c>
      <c r="GO61" s="1824">
        <v>76800</v>
      </c>
      <c r="GP61" s="1818">
        <f>GO61-GN61</f>
        <v>11800</v>
      </c>
      <c r="GQ61" s="1821">
        <f>GP61/GO61</f>
        <v>0.15364583333333334</v>
      </c>
      <c r="GR61" s="1823">
        <v>3</v>
      </c>
      <c r="GS61" s="1824">
        <v>55000</v>
      </c>
      <c r="GT61" s="1824">
        <v>76800</v>
      </c>
      <c r="GU61" s="1818">
        <f>GT61-GS61</f>
        <v>21800</v>
      </c>
      <c r="GV61" s="1821">
        <f>GU61/GT61</f>
        <v>0.28385416666666669</v>
      </c>
      <c r="GW61" s="1823">
        <v>3</v>
      </c>
      <c r="GX61" s="1824">
        <v>55000</v>
      </c>
      <c r="GY61" s="1824">
        <v>76800</v>
      </c>
      <c r="GZ61" s="1818">
        <f>GY61-GX61</f>
        <v>21800</v>
      </c>
      <c r="HA61" s="1821">
        <f>GZ61/GY61</f>
        <v>0.28385416666666669</v>
      </c>
      <c r="HB61" s="1823">
        <v>3</v>
      </c>
      <c r="HC61" s="1824">
        <v>55000</v>
      </c>
      <c r="HD61" s="1824">
        <v>76800</v>
      </c>
      <c r="HE61" s="1818">
        <f>HD61-HC61</f>
        <v>21800</v>
      </c>
      <c r="HF61" s="1821">
        <f>HE61/HD61</f>
        <v>0.28385416666666669</v>
      </c>
      <c r="HG61" s="1823">
        <v>4</v>
      </c>
      <c r="HH61" s="1824">
        <v>56765</v>
      </c>
      <c r="HI61" s="1824">
        <v>76800</v>
      </c>
      <c r="HJ61" s="1818">
        <f>HI61-HH61</f>
        <v>20035</v>
      </c>
      <c r="HK61" s="1821">
        <f>HJ61/HI61</f>
        <v>0.26087239583333333</v>
      </c>
      <c r="HL61" s="1823">
        <v>3</v>
      </c>
      <c r="HM61" s="1824">
        <v>48237.428571428572</v>
      </c>
      <c r="HN61" s="1824">
        <v>76800</v>
      </c>
      <c r="HO61" s="1818">
        <f>HN61-HM61</f>
        <v>28562.571428571428</v>
      </c>
      <c r="HP61" s="1821">
        <f>HO61/HN61</f>
        <v>0.37190848214285716</v>
      </c>
      <c r="HQ61" s="654">
        <v>3</v>
      </c>
      <c r="HR61" s="1248">
        <v>52342</v>
      </c>
      <c r="HS61" s="1248">
        <v>76800</v>
      </c>
      <c r="HT61" s="1248">
        <f>HS61-HR61</f>
        <v>24458</v>
      </c>
      <c r="HU61" s="1826">
        <f>HT61/HS61</f>
        <v>0.31846354166666668</v>
      </c>
      <c r="HV61" s="2405">
        <f t="shared" si="155"/>
        <v>3.0833333333333335</v>
      </c>
      <c r="HW61" s="2406">
        <f t="shared" si="156"/>
        <v>662344.42857142852</v>
      </c>
      <c r="HX61" s="2406">
        <f t="shared" si="156"/>
        <v>921600</v>
      </c>
      <c r="HY61" s="2406">
        <f t="shared" si="156"/>
        <v>259255.57142857142</v>
      </c>
      <c r="HZ61" s="1828"/>
      <c r="IA61" s="1829">
        <f>(FN61+FS61+FX61)/3</f>
        <v>3</v>
      </c>
      <c r="IB61" s="1830">
        <f>FP61+FU61+FZ61</f>
        <v>230400</v>
      </c>
      <c r="IC61" s="1830">
        <f>FQ61+FV61+GA61</f>
        <v>65400</v>
      </c>
      <c r="ID61" s="1831">
        <f>IC61/IB61</f>
        <v>0.28385416666666669</v>
      </c>
      <c r="IE61" s="1832">
        <f>(GC61+GH61+GM61)/3</f>
        <v>3</v>
      </c>
      <c r="IF61" s="1833">
        <f>(GE61+GJ61+GO61)</f>
        <v>230400</v>
      </c>
      <c r="IG61" s="1834">
        <f>(GF61+GK61+GP61)</f>
        <v>55400</v>
      </c>
      <c r="IH61" s="1831">
        <f>IG61/IF61</f>
        <v>0.2404513888888889</v>
      </c>
      <c r="II61" s="1835">
        <f>(GR61+GW61+HB61)/3</f>
        <v>3</v>
      </c>
      <c r="IJ61" s="1836">
        <f t="shared" si="261"/>
        <v>230400</v>
      </c>
      <c r="IK61" s="1836">
        <f t="shared" si="261"/>
        <v>65400</v>
      </c>
      <c r="IL61" s="239">
        <f>IK61/IJ61</f>
        <v>0.28385416666666669</v>
      </c>
      <c r="IM61" s="1837">
        <f>(HB61+HG61+HL61)/3</f>
        <v>3.3333333333333335</v>
      </c>
      <c r="IN61" s="1836">
        <f t="shared" si="262"/>
        <v>230400</v>
      </c>
      <c r="IO61" s="1836">
        <f t="shared" si="262"/>
        <v>73055.57142857142</v>
      </c>
      <c r="IP61" s="1838">
        <f>IO61/IN61</f>
        <v>0.3170814732142857</v>
      </c>
      <c r="IQ61" s="1839"/>
      <c r="IR61" s="1840">
        <v>3</v>
      </c>
      <c r="IS61" s="1818">
        <v>64400</v>
      </c>
      <c r="IT61" s="1818">
        <v>76800</v>
      </c>
      <c r="IU61" s="1818">
        <f>IT61-IS61</f>
        <v>12400</v>
      </c>
      <c r="IV61" s="1819">
        <f>IU61/IT61</f>
        <v>0.16145833333333334</v>
      </c>
      <c r="IW61" s="1820">
        <v>3</v>
      </c>
      <c r="IX61" s="1818">
        <v>59000</v>
      </c>
      <c r="IY61" s="1818">
        <v>76800</v>
      </c>
      <c r="IZ61" s="1818">
        <f>IY61-IX61</f>
        <v>17800</v>
      </c>
      <c r="JA61" s="1821">
        <f>IZ61/IY61</f>
        <v>0.23177083333333334</v>
      </c>
      <c r="JB61" s="1984">
        <v>3</v>
      </c>
      <c r="JC61" s="1985">
        <f>59000</f>
        <v>59000</v>
      </c>
      <c r="JD61" s="1986">
        <v>76800</v>
      </c>
      <c r="JE61" s="1818">
        <f>JD61-JC61</f>
        <v>17800</v>
      </c>
      <c r="JF61" s="1821">
        <f>JE61/JD61</f>
        <v>0.23177083333333334</v>
      </c>
      <c r="JG61" s="1981">
        <v>3</v>
      </c>
      <c r="JH61" s="1824">
        <v>59000</v>
      </c>
      <c r="JI61" s="1824">
        <v>76800</v>
      </c>
      <c r="JJ61" s="1822">
        <f>JI61-JH61</f>
        <v>17800</v>
      </c>
      <c r="JK61" s="1821">
        <f>JJ61/JI61</f>
        <v>0.23177083333333334</v>
      </c>
      <c r="JL61" s="1823">
        <v>3</v>
      </c>
      <c r="JM61" s="1824">
        <v>58419</v>
      </c>
      <c r="JN61" s="1824">
        <v>76800</v>
      </c>
      <c r="JO61" s="1996">
        <f>JN61-JM61</f>
        <v>18381</v>
      </c>
      <c r="JP61" s="1821">
        <f>JO61/JN61</f>
        <v>0.23933593750000001</v>
      </c>
      <c r="JQ61" s="6013">
        <v>3</v>
      </c>
      <c r="JR61" s="1982">
        <v>59000</v>
      </c>
      <c r="JS61" s="1248">
        <v>76800</v>
      </c>
      <c r="JT61" s="1996">
        <f>JS61-JR61</f>
        <v>17800</v>
      </c>
      <c r="JU61" s="1821">
        <f>JT61/JS61</f>
        <v>0.23177083333333334</v>
      </c>
      <c r="JV61" s="1981">
        <v>3</v>
      </c>
      <c r="JW61" s="1824">
        <v>53029</v>
      </c>
      <c r="JX61" s="1248">
        <v>76800</v>
      </c>
      <c r="JY61" s="1996">
        <f>JX61-JW61</f>
        <v>23771</v>
      </c>
      <c r="JZ61" s="1821">
        <f>JY61/JX61</f>
        <v>0.30951822916666666</v>
      </c>
      <c r="KA61" s="1981">
        <v>2</v>
      </c>
      <c r="KB61" s="1248">
        <v>39442</v>
      </c>
      <c r="KC61" s="1982">
        <v>76800</v>
      </c>
      <c r="KD61" s="1983">
        <f>KC61-KB61</f>
        <v>37358</v>
      </c>
      <c r="KE61" s="1952">
        <f>KD61/KC61</f>
        <v>0.48643229166666668</v>
      </c>
      <c r="KF61" s="1981">
        <v>2</v>
      </c>
      <c r="KG61" s="1248">
        <v>39442</v>
      </c>
      <c r="KH61" s="1982">
        <v>76800</v>
      </c>
      <c r="KI61" s="1818">
        <f t="shared" si="227"/>
        <v>37358</v>
      </c>
      <c r="KJ61" s="1821">
        <f>KI61/KH61</f>
        <v>0.48643229166666668</v>
      </c>
      <c r="KK61" s="1990">
        <v>3</v>
      </c>
      <c r="KL61" s="1248">
        <v>59501</v>
      </c>
      <c r="KM61" s="1982">
        <v>76800</v>
      </c>
      <c r="KN61" s="2023">
        <f t="shared" si="130"/>
        <v>17299</v>
      </c>
      <c r="KO61" s="2024">
        <f>KN61/KM61</f>
        <v>0.22524739583333334</v>
      </c>
      <c r="KP61" s="1823">
        <v>3</v>
      </c>
      <c r="KQ61" s="1982">
        <v>58501</v>
      </c>
      <c r="KR61" s="1248">
        <v>76800</v>
      </c>
      <c r="KS61" s="1996">
        <f t="shared" si="236"/>
        <v>18299</v>
      </c>
      <c r="KT61" s="1819">
        <f>KS61/KR61</f>
        <v>0.23826822916666668</v>
      </c>
      <c r="KU61" s="1905">
        <v>3</v>
      </c>
      <c r="KV61" s="1248">
        <v>58501</v>
      </c>
      <c r="KW61" s="1248">
        <v>76800</v>
      </c>
      <c r="KX61" s="1248">
        <f>KW61-KV61</f>
        <v>18299</v>
      </c>
      <c r="KY61" s="77">
        <f>KX61/KW61</f>
        <v>0.23826822916666668</v>
      </c>
      <c r="KZ61" s="1832">
        <v>3</v>
      </c>
      <c r="LA61" s="622">
        <f t="shared" si="144"/>
        <v>667235</v>
      </c>
      <c r="LB61" s="622">
        <f t="shared" si="144"/>
        <v>921600</v>
      </c>
      <c r="LC61" s="622">
        <f t="shared" si="144"/>
        <v>254365</v>
      </c>
      <c r="LD61" s="239">
        <f>LC61/LB61</f>
        <v>0.27600368923611113</v>
      </c>
      <c r="LE61" s="1834">
        <f t="shared" si="71"/>
        <v>3</v>
      </c>
      <c r="LF61" s="1830">
        <f t="shared" si="167"/>
        <v>230400</v>
      </c>
      <c r="LG61" s="1830">
        <f t="shared" si="167"/>
        <v>48000</v>
      </c>
      <c r="LH61" s="1831">
        <f>LG61/LF61</f>
        <v>0.20833333333333334</v>
      </c>
      <c r="LI61" s="1832">
        <f t="shared" si="132"/>
        <v>3</v>
      </c>
      <c r="LJ61" s="1833">
        <f t="shared" si="133"/>
        <v>230400</v>
      </c>
      <c r="LK61" s="1834">
        <f t="shared" si="133"/>
        <v>53981</v>
      </c>
      <c r="LL61" s="1831">
        <f>LK61/LJ61</f>
        <v>0.23429253472222222</v>
      </c>
      <c r="LM61" s="1835">
        <f t="shared" si="135"/>
        <v>2.3333333333333335</v>
      </c>
      <c r="LN61" s="1836">
        <f t="shared" si="136"/>
        <v>230400</v>
      </c>
      <c r="LO61" s="1836">
        <f t="shared" si="136"/>
        <v>98487</v>
      </c>
      <c r="LP61" s="239">
        <f>LO61/LN61</f>
        <v>0.42746093750000003</v>
      </c>
      <c r="LQ61" s="1837">
        <f t="shared" si="237"/>
        <v>3</v>
      </c>
      <c r="LR61" s="1836">
        <f t="shared" si="229"/>
        <v>230400</v>
      </c>
      <c r="LS61" s="1836">
        <f t="shared" si="229"/>
        <v>53897</v>
      </c>
      <c r="LT61" s="1838">
        <f>LS61/LR61</f>
        <v>0.23392795138888889</v>
      </c>
      <c r="LV61" s="401">
        <v>3</v>
      </c>
      <c r="LW61" s="395">
        <v>58501</v>
      </c>
      <c r="LX61" s="395">
        <v>76800</v>
      </c>
      <c r="LY61" s="115">
        <f>LX61-LW61</f>
        <v>18299</v>
      </c>
      <c r="LZ61" s="186">
        <f>LY61/LX61</f>
        <v>0.23826822916666668</v>
      </c>
      <c r="MA61" s="2000"/>
      <c r="MB61" s="1317"/>
      <c r="MC61" s="1317"/>
      <c r="MD61" s="372">
        <f>MC61-MB61</f>
        <v>0</v>
      </c>
      <c r="ME61" s="207"/>
      <c r="MF61" s="401"/>
      <c r="MG61" s="395">
        <v>0</v>
      </c>
      <c r="MH61" s="395">
        <v>0</v>
      </c>
      <c r="MI61" s="372">
        <f>MH61-MG61</f>
        <v>0</v>
      </c>
      <c r="MJ61" s="207"/>
      <c r="MK61" s="2573"/>
      <c r="ML61" s="395"/>
      <c r="MM61" s="395"/>
      <c r="MN61" s="372">
        <f>MM61-ML61</f>
        <v>0</v>
      </c>
      <c r="MO61" s="207"/>
      <c r="MP61" s="1577"/>
      <c r="MQ61" s="1248">
        <v>0</v>
      </c>
      <c r="MR61" s="1248">
        <v>0</v>
      </c>
      <c r="MS61" s="1248">
        <f>MR61-MQ61</f>
        <v>0</v>
      </c>
      <c r="MT61" s="655"/>
      <c r="MU61" s="1318"/>
      <c r="MV61" s="395">
        <v>0</v>
      </c>
      <c r="MW61" s="395">
        <v>0</v>
      </c>
      <c r="MX61" s="395"/>
      <c r="MY61" s="655"/>
      <c r="MZ61" s="1318"/>
      <c r="NA61" s="395"/>
      <c r="NB61" s="395"/>
      <c r="NC61" s="395"/>
      <c r="ND61" s="801"/>
      <c r="NE61" s="1318"/>
      <c r="NF61" s="395"/>
      <c r="NG61" s="395"/>
      <c r="NH61" s="395"/>
      <c r="NI61" s="801"/>
      <c r="NJ61" s="1318"/>
      <c r="NK61" s="395"/>
      <c r="NL61" s="395"/>
      <c r="NM61" s="395"/>
      <c r="NN61" s="801"/>
      <c r="NO61" s="2738"/>
      <c r="NP61" s="622"/>
      <c r="NQ61" s="2437"/>
      <c r="NR61" s="395"/>
      <c r="NS61" s="801"/>
      <c r="NT61" s="2738"/>
      <c r="NU61" s="2911"/>
      <c r="NV61" s="622"/>
      <c r="NW61" s="395"/>
      <c r="NX61" s="801"/>
      <c r="NY61" s="2738"/>
      <c r="NZ61" s="622"/>
      <c r="OA61" s="622"/>
      <c r="OB61" s="772"/>
      <c r="OC61" s="116"/>
      <c r="OD61" s="2433"/>
      <c r="OE61" s="622">
        <f t="shared" si="260"/>
        <v>58501</v>
      </c>
      <c r="OF61" s="622">
        <f t="shared" si="260"/>
        <v>76800</v>
      </c>
      <c r="OG61" s="622">
        <f t="shared" si="260"/>
        <v>18299</v>
      </c>
      <c r="OH61" s="1576">
        <f>OG61/OF61</f>
        <v>0.23826822916666668</v>
      </c>
      <c r="OI61" s="2435">
        <f t="shared" si="238"/>
        <v>1</v>
      </c>
      <c r="OJ61" s="2436">
        <f t="shared" si="239"/>
        <v>58501</v>
      </c>
      <c r="OK61" s="2436">
        <f t="shared" si="239"/>
        <v>76800</v>
      </c>
      <c r="OL61" s="2436">
        <f t="shared" si="239"/>
        <v>18299</v>
      </c>
      <c r="OM61" s="1439">
        <f>OL61/OK61</f>
        <v>0.23826822916666668</v>
      </c>
      <c r="ON61" s="622"/>
      <c r="OO61" s="622">
        <f t="shared" si="240"/>
        <v>0</v>
      </c>
      <c r="OP61" s="622">
        <f t="shared" si="240"/>
        <v>0</v>
      </c>
      <c r="OQ61" s="2437">
        <f t="shared" si="240"/>
        <v>0</v>
      </c>
      <c r="OR61" s="421"/>
      <c r="OS61" s="2438">
        <f t="shared" si="241"/>
        <v>0</v>
      </c>
      <c r="OT61" s="2439">
        <f t="shared" si="242"/>
        <v>0</v>
      </c>
      <c r="OU61" s="2439">
        <f t="shared" si="242"/>
        <v>0</v>
      </c>
      <c r="OV61" s="2440">
        <f t="shared" si="242"/>
        <v>0</v>
      </c>
      <c r="OW61" s="460"/>
      <c r="OX61" s="2432">
        <f t="shared" si="243"/>
        <v>0</v>
      </c>
      <c r="OY61" s="622">
        <f t="shared" si="244"/>
        <v>0</v>
      </c>
      <c r="OZ61" s="622">
        <f t="shared" si="244"/>
        <v>0</v>
      </c>
      <c r="PA61" s="2437">
        <f t="shared" si="244"/>
        <v>0</v>
      </c>
      <c r="PB61" s="116"/>
      <c r="PC61" s="2441"/>
      <c r="PD61" s="401"/>
      <c r="PE61" s="395"/>
      <c r="PF61" s="395"/>
      <c r="PG61" s="115">
        <f t="shared" si="263"/>
        <v>0</v>
      </c>
      <c r="PH61" s="186" t="s">
        <v>819</v>
      </c>
      <c r="PI61" s="2000"/>
      <c r="PJ61" s="1317"/>
      <c r="PK61" s="1317"/>
      <c r="PL61" s="372">
        <f>PK61-PJ61</f>
        <v>0</v>
      </c>
      <c r="PM61" s="207"/>
      <c r="PN61" s="401"/>
      <c r="PO61" s="395"/>
      <c r="PP61" s="395"/>
      <c r="PQ61" s="372">
        <f>PP61-PO61</f>
        <v>0</v>
      </c>
      <c r="PR61" s="207"/>
      <c r="PS61" s="2891"/>
      <c r="PT61" s="2001"/>
      <c r="PU61" s="2001"/>
      <c r="PV61" s="2892">
        <f>PU61-PT61</f>
        <v>0</v>
      </c>
      <c r="PW61" s="370"/>
      <c r="PX61" s="1577"/>
      <c r="PY61" s="1248"/>
      <c r="PZ61" s="1248"/>
      <c r="QA61" s="1248">
        <f>PZ61-PY61</f>
        <v>0</v>
      </c>
      <c r="QB61" s="655"/>
      <c r="QC61" s="2002"/>
      <c r="QD61" s="2001"/>
      <c r="QE61" s="2001"/>
      <c r="QF61" s="2001"/>
      <c r="QG61" s="2019"/>
      <c r="QH61" s="401"/>
      <c r="QI61" s="395"/>
      <c r="QJ61" s="395"/>
      <c r="QK61" s="395"/>
      <c r="QL61" s="801"/>
      <c r="QM61" s="401"/>
      <c r="QN61" s="395"/>
      <c r="QO61" s="395"/>
      <c r="QP61" s="395"/>
      <c r="QQ61" s="801"/>
      <c r="QR61" s="2002"/>
      <c r="QS61" s="2001"/>
      <c r="QT61" s="2001"/>
      <c r="QU61" s="2001"/>
      <c r="QV61" s="370"/>
      <c r="QW61" s="1336"/>
      <c r="QX61" s="1873"/>
      <c r="QY61" s="2431"/>
      <c r="QZ61" s="2001"/>
      <c r="RA61" s="2003"/>
      <c r="RB61" s="2738"/>
      <c r="RC61" s="2911"/>
      <c r="RD61" s="622"/>
      <c r="RE61" s="395"/>
      <c r="RF61" s="801"/>
      <c r="RG61" s="2108"/>
      <c r="RH61" s="1873"/>
      <c r="RI61" s="1873"/>
      <c r="RJ61" s="2012"/>
      <c r="RK61" s="116"/>
      <c r="RL61" s="3717"/>
      <c r="RM61" s="1873">
        <f t="shared" si="245"/>
        <v>0</v>
      </c>
      <c r="RN61" s="1873">
        <f t="shared" si="245"/>
        <v>0</v>
      </c>
      <c r="RO61" s="1873">
        <f t="shared" si="245"/>
        <v>0</v>
      </c>
      <c r="RP61" s="1576"/>
      <c r="RQ61" s="2435">
        <f t="shared" si="246"/>
        <v>0</v>
      </c>
      <c r="RR61" s="2436">
        <f t="shared" si="247"/>
        <v>0</v>
      </c>
      <c r="RS61" s="2436">
        <f t="shared" si="247"/>
        <v>0</v>
      </c>
      <c r="RT61" s="2436">
        <f t="shared" si="247"/>
        <v>0</v>
      </c>
      <c r="RU61" s="1439" t="e">
        <f>RT61/RS61</f>
        <v>#DIV/0!</v>
      </c>
      <c r="RV61" s="622"/>
      <c r="RW61" s="622">
        <f t="shared" si="248"/>
        <v>0</v>
      </c>
      <c r="RX61" s="622">
        <f t="shared" si="248"/>
        <v>0</v>
      </c>
      <c r="RY61" s="2437">
        <f t="shared" si="248"/>
        <v>0</v>
      </c>
      <c r="RZ61" s="421"/>
      <c r="SA61" s="2438">
        <f t="shared" si="249"/>
        <v>0</v>
      </c>
      <c r="SB61" s="2439">
        <f t="shared" si="250"/>
        <v>0</v>
      </c>
      <c r="SC61" s="2439">
        <f t="shared" si="250"/>
        <v>0</v>
      </c>
      <c r="SD61" s="2440">
        <f t="shared" si="250"/>
        <v>0</v>
      </c>
      <c r="SE61" s="460"/>
      <c r="SF61" s="2432">
        <f t="shared" si="251"/>
        <v>0</v>
      </c>
      <c r="SG61" s="622">
        <f t="shared" si="252"/>
        <v>0</v>
      </c>
      <c r="SH61" s="622">
        <f t="shared" si="252"/>
        <v>0</v>
      </c>
      <c r="SI61" s="2437">
        <f t="shared" si="252"/>
        <v>0</v>
      </c>
      <c r="SJ61" s="116"/>
      <c r="SL61" s="2445"/>
      <c r="SM61" s="2001"/>
      <c r="SN61" s="2001"/>
      <c r="SO61" s="3534">
        <f t="shared" si="264"/>
        <v>0</v>
      </c>
      <c r="SP61" s="1498" t="s">
        <v>819</v>
      </c>
      <c r="SQ61" s="6015"/>
      <c r="SR61" s="3208"/>
      <c r="SS61" s="3208"/>
      <c r="ST61" s="2892">
        <f>SS61-SR61</f>
        <v>0</v>
      </c>
      <c r="SU61" s="370"/>
      <c r="SV61" s="401"/>
      <c r="SW61" s="395"/>
      <c r="SX61" s="395"/>
      <c r="SY61" s="372">
        <f>SX61-SW61</f>
        <v>0</v>
      </c>
      <c r="SZ61" s="207"/>
      <c r="TA61" s="2573"/>
      <c r="TB61" s="395"/>
      <c r="TC61" s="395"/>
      <c r="TD61" s="372">
        <f>TC61-TB61</f>
        <v>0</v>
      </c>
      <c r="TE61" s="207"/>
      <c r="TF61" s="1577"/>
      <c r="TG61" s="1248"/>
      <c r="TH61" s="1248"/>
      <c r="TI61" s="1248">
        <f>TH61-TG61</f>
        <v>0</v>
      </c>
      <c r="TJ61" s="655"/>
      <c r="TK61" s="2002"/>
      <c r="TL61" s="2001"/>
      <c r="TM61" s="2001"/>
      <c r="TN61" s="2001"/>
      <c r="TO61" s="2019"/>
      <c r="TP61" s="4434"/>
      <c r="TQ61" s="395"/>
      <c r="TR61" s="395"/>
      <c r="TS61" s="395"/>
      <c r="TT61" s="801"/>
      <c r="TU61" s="4464"/>
      <c r="TV61" s="2001"/>
      <c r="TW61" s="2001"/>
      <c r="TX61" s="2001"/>
      <c r="TY61" s="2003"/>
      <c r="TZ61" s="2002"/>
      <c r="UA61" s="2001"/>
      <c r="UB61" s="2001"/>
      <c r="UC61" s="2001"/>
      <c r="UD61" s="370"/>
      <c r="UE61" s="1336"/>
      <c r="UF61" s="1873"/>
      <c r="UG61" s="2431"/>
      <c r="UH61" s="2001"/>
      <c r="UI61" s="2003"/>
      <c r="UJ61" s="2738"/>
      <c r="UK61" s="2911"/>
      <c r="UL61" s="622"/>
      <c r="UM61" s="395"/>
      <c r="UN61" s="801"/>
      <c r="UO61" s="2108"/>
      <c r="UP61" s="1873"/>
      <c r="UQ61" s="1873"/>
      <c r="UR61" s="2012"/>
      <c r="US61" s="116"/>
      <c r="UT61" s="2433"/>
      <c r="UU61" s="622">
        <f t="shared" si="78"/>
        <v>0</v>
      </c>
      <c r="UV61" s="622">
        <f t="shared" si="78"/>
        <v>0</v>
      </c>
      <c r="UW61" s="622">
        <f t="shared" si="78"/>
        <v>0</v>
      </c>
      <c r="UX61" s="2281">
        <v>0</v>
      </c>
      <c r="UY61" s="2435">
        <f t="shared" si="253"/>
        <v>0</v>
      </c>
      <c r="UZ61" s="2436">
        <f t="shared" si="254"/>
        <v>0</v>
      </c>
      <c r="VA61" s="2436">
        <f t="shared" si="254"/>
        <v>0</v>
      </c>
      <c r="VB61" s="2436">
        <f t="shared" si="254"/>
        <v>0</v>
      </c>
      <c r="VC61" s="1439" t="e">
        <f>VB61/VA61</f>
        <v>#DIV/0!</v>
      </c>
      <c r="VD61" s="622"/>
      <c r="VE61" s="622">
        <f t="shared" si="255"/>
        <v>0</v>
      </c>
      <c r="VF61" s="622">
        <f t="shared" si="255"/>
        <v>0</v>
      </c>
      <c r="VG61" s="2437">
        <f t="shared" si="255"/>
        <v>0</v>
      </c>
      <c r="VH61" s="421"/>
      <c r="VI61" s="2438">
        <f t="shared" si="256"/>
        <v>0</v>
      </c>
      <c r="VJ61" s="2439">
        <f t="shared" si="257"/>
        <v>0</v>
      </c>
      <c r="VK61" s="2439">
        <f t="shared" si="257"/>
        <v>0</v>
      </c>
      <c r="VL61" s="2440">
        <f t="shared" si="257"/>
        <v>0</v>
      </c>
      <c r="VM61" s="460"/>
      <c r="VN61" s="2432">
        <f t="shared" si="258"/>
        <v>0</v>
      </c>
      <c r="VO61" s="622">
        <f t="shared" si="259"/>
        <v>0</v>
      </c>
      <c r="VP61" s="622">
        <f t="shared" si="259"/>
        <v>0</v>
      </c>
      <c r="VQ61" s="2437">
        <f t="shared" si="259"/>
        <v>0</v>
      </c>
      <c r="VR61" s="116"/>
    </row>
    <row r="62" spans="1:590" s="2425" customFormat="1" ht="13.45" hidden="1" x14ac:dyDescent="0.3">
      <c r="A62" s="2399"/>
      <c r="B62" s="1773" t="s">
        <v>53</v>
      </c>
      <c r="C62" s="1991" t="s">
        <v>817</v>
      </c>
      <c r="D62" s="1992" t="s">
        <v>820</v>
      </c>
      <c r="E62" s="1993">
        <v>44630</v>
      </c>
      <c r="F62" s="1993">
        <v>44804</v>
      </c>
      <c r="G62" s="1994">
        <v>1855000</v>
      </c>
      <c r="H62" s="1874"/>
      <c r="I62" s="1875"/>
      <c r="J62" s="1875"/>
      <c r="K62" s="1875"/>
      <c r="L62" s="1876"/>
      <c r="M62" s="1874"/>
      <c r="N62" s="1875"/>
      <c r="O62" s="1875"/>
      <c r="P62" s="1875"/>
      <c r="Q62" s="1876"/>
      <c r="R62" s="1874"/>
      <c r="S62" s="1875"/>
      <c r="T62" s="1875"/>
      <c r="U62" s="1875"/>
      <c r="V62" s="1876"/>
      <c r="W62" s="1874"/>
      <c r="X62" s="1875"/>
      <c r="Y62" s="1875"/>
      <c r="Z62" s="1875"/>
      <c r="AA62" s="1877"/>
      <c r="AB62" s="1874"/>
      <c r="AC62" s="1875"/>
      <c r="AD62" s="1875"/>
      <c r="AE62" s="1875"/>
      <c r="AF62" s="1877"/>
      <c r="AG62" s="1875"/>
      <c r="AH62" s="1875"/>
      <c r="AI62" s="1875"/>
      <c r="AJ62" s="1875"/>
      <c r="AK62" s="1876"/>
      <c r="AL62" s="1875"/>
      <c r="AM62" s="1875"/>
      <c r="AN62" s="1875"/>
      <c r="AO62" s="1875"/>
      <c r="AP62" s="1876"/>
      <c r="AQ62" s="1875"/>
      <c r="AR62" s="1875"/>
      <c r="AS62" s="1875"/>
      <c r="AT62" s="1875"/>
      <c r="AU62" s="1876"/>
      <c r="AV62" s="1878"/>
      <c r="AW62" s="1875"/>
      <c r="AX62" s="1875"/>
      <c r="AY62" s="1875"/>
      <c r="AZ62" s="1877"/>
      <c r="BA62" s="1878"/>
      <c r="BB62" s="1875"/>
      <c r="BC62" s="1875"/>
      <c r="BD62" s="1875"/>
      <c r="BE62" s="1877"/>
      <c r="BF62" s="1878"/>
      <c r="BG62" s="1875"/>
      <c r="BH62" s="1875"/>
      <c r="BI62" s="1875"/>
      <c r="BJ62" s="1877"/>
      <c r="BK62" s="1878"/>
      <c r="BL62" s="1875"/>
      <c r="BM62" s="1875"/>
      <c r="BN62" s="1875"/>
      <c r="BO62" s="1877"/>
      <c r="BP62" s="1879"/>
      <c r="BQ62" s="1875"/>
      <c r="BR62" s="1875"/>
      <c r="BS62" s="1875"/>
      <c r="BT62" s="1880"/>
      <c r="BU62" s="1875"/>
      <c r="BV62" s="1875"/>
      <c r="BW62" s="1881"/>
      <c r="BX62" s="1880"/>
      <c r="BY62" s="1875"/>
      <c r="BZ62" s="1875"/>
      <c r="CA62" s="1882"/>
      <c r="CB62" s="1875"/>
      <c r="CC62" s="1875"/>
      <c r="CD62" s="1875"/>
      <c r="CE62" s="1875"/>
      <c r="CF62" s="1880"/>
      <c r="CG62" s="1875"/>
      <c r="CH62" s="1875"/>
      <c r="CI62" s="1882"/>
      <c r="CJ62" s="1883"/>
      <c r="CK62" s="1875"/>
      <c r="CL62" s="1875"/>
      <c r="CM62" s="1875"/>
      <c r="CN62" s="1881"/>
      <c r="CO62" s="1883"/>
      <c r="CP62" s="1874"/>
      <c r="CQ62" s="1874"/>
      <c r="CR62" s="1874"/>
      <c r="CS62" s="1881"/>
      <c r="CT62" s="1883"/>
      <c r="CU62" s="1875"/>
      <c r="CV62" s="1875"/>
      <c r="CW62" s="1875"/>
      <c r="CX62" s="1881"/>
      <c r="CY62" s="1883"/>
      <c r="CZ62" s="1875"/>
      <c r="DA62" s="1875"/>
      <c r="DB62" s="1875"/>
      <c r="DC62" s="1881"/>
      <c r="DD62" s="1883"/>
      <c r="DE62" s="1875"/>
      <c r="DF62" s="1875"/>
      <c r="DG62" s="1875"/>
      <c r="DH62" s="1884"/>
      <c r="DI62" s="1883"/>
      <c r="DJ62" s="1875"/>
      <c r="DK62" s="1875"/>
      <c r="DL62" s="1875"/>
      <c r="DM62" s="1884"/>
      <c r="DN62" s="1883"/>
      <c r="DO62" s="1875"/>
      <c r="DP62" s="1875"/>
      <c r="DQ62" s="1875"/>
      <c r="DR62" s="1884"/>
      <c r="DS62" s="1883"/>
      <c r="DT62" s="1875"/>
      <c r="DU62" s="1875"/>
      <c r="DV62" s="1875"/>
      <c r="DW62" s="1884"/>
      <c r="DX62" s="1883"/>
      <c r="DY62" s="1875"/>
      <c r="DZ62" s="1875"/>
      <c r="EA62" s="1875"/>
      <c r="EB62" s="1884"/>
      <c r="EC62" s="1883"/>
      <c r="ED62" s="1875"/>
      <c r="EE62" s="1875"/>
      <c r="EF62" s="1875"/>
      <c r="EG62" s="1884"/>
      <c r="EH62" s="1885"/>
      <c r="EI62" s="1886"/>
      <c r="EJ62" s="1886"/>
      <c r="EK62" s="1886"/>
      <c r="EL62" s="1887"/>
      <c r="EM62" s="1888"/>
      <c r="EN62" s="1889"/>
      <c r="EO62" s="1889"/>
      <c r="EP62" s="1889"/>
      <c r="EQ62" s="166"/>
      <c r="ER62" s="2402">
        <f t="shared" si="38"/>
        <v>0</v>
      </c>
      <c r="ES62" s="2403">
        <f t="shared" si="146"/>
        <v>0</v>
      </c>
      <c r="ET62" s="2403">
        <f t="shared" si="146"/>
        <v>0</v>
      </c>
      <c r="EU62" s="2403">
        <f t="shared" si="146"/>
        <v>0</v>
      </c>
      <c r="EV62" s="2404" t="e">
        <f t="shared" si="40"/>
        <v>#DIV/0!</v>
      </c>
      <c r="EW62" s="1890"/>
      <c r="EX62" s="1890"/>
      <c r="EY62" s="1890"/>
      <c r="EZ62" s="1891"/>
      <c r="FA62" s="1885"/>
      <c r="FB62" s="1890"/>
      <c r="FC62" s="1890"/>
      <c r="FD62" s="1892"/>
      <c r="FE62" s="1890"/>
      <c r="FF62" s="1890"/>
      <c r="FG62" s="1890"/>
      <c r="FH62" s="1891"/>
      <c r="FI62" s="1893"/>
      <c r="FJ62" s="1894"/>
      <c r="FK62" s="1895"/>
      <c r="FL62" s="1895"/>
      <c r="FM62" s="1896"/>
      <c r="FN62" s="1890"/>
      <c r="FO62" s="1886"/>
      <c r="FP62" s="1886"/>
      <c r="FQ62" s="1886"/>
      <c r="FR62" s="1897"/>
      <c r="FS62" s="1888"/>
      <c r="FT62" s="1889"/>
      <c r="FU62" s="1889"/>
      <c r="FV62" s="1889"/>
      <c r="FW62" s="1898"/>
      <c r="FX62" s="1885"/>
      <c r="FY62" s="1886"/>
      <c r="FZ62" s="1886"/>
      <c r="GA62" s="1889"/>
      <c r="GB62" s="1898"/>
      <c r="GC62" s="1899"/>
      <c r="GD62" s="1900"/>
      <c r="GE62" s="1900"/>
      <c r="GF62" s="1889"/>
      <c r="GG62" s="166"/>
      <c r="GH62" s="1901"/>
      <c r="GI62" s="1824"/>
      <c r="GJ62" s="1824"/>
      <c r="GK62" s="1902"/>
      <c r="GL62" s="1898"/>
      <c r="GM62" s="1901"/>
      <c r="GN62" s="1824"/>
      <c r="GO62" s="1824"/>
      <c r="GP62" s="1902"/>
      <c r="GQ62" s="1898"/>
      <c r="GR62" s="1903"/>
      <c r="GS62" s="1904"/>
      <c r="GT62" s="1904"/>
      <c r="GU62" s="1902"/>
      <c r="GV62" s="1898"/>
      <c r="GW62" s="1903"/>
      <c r="GX62" s="1904"/>
      <c r="GY62" s="1904"/>
      <c r="GZ62" s="1902"/>
      <c r="HA62" s="1898"/>
      <c r="HB62" s="1903"/>
      <c r="HC62" s="1904"/>
      <c r="HD62" s="1904"/>
      <c r="HE62" s="1902"/>
      <c r="HF62" s="1898"/>
      <c r="HG62" s="1903"/>
      <c r="HH62" s="1904"/>
      <c r="HI62" s="1904"/>
      <c r="HJ62" s="1818"/>
      <c r="HK62" s="1898"/>
      <c r="HL62" s="1903"/>
      <c r="HM62" s="1904"/>
      <c r="HN62" s="1904"/>
      <c r="HO62" s="715"/>
      <c r="HP62" s="166"/>
      <c r="HQ62" s="1905"/>
      <c r="HR62" s="1248"/>
      <c r="HS62" s="1248"/>
      <c r="HT62" s="1248"/>
      <c r="HU62" s="1826"/>
      <c r="HV62" s="2405">
        <f t="shared" si="155"/>
        <v>0</v>
      </c>
      <c r="HW62" s="2406">
        <f t="shared" si="156"/>
        <v>0</v>
      </c>
      <c r="HX62" s="2406">
        <f t="shared" si="156"/>
        <v>0</v>
      </c>
      <c r="HY62" s="2406">
        <f t="shared" si="156"/>
        <v>0</v>
      </c>
      <c r="HZ62" s="1906"/>
      <c r="IA62" s="1907"/>
      <c r="IB62" s="1908"/>
      <c r="IC62" s="1908"/>
      <c r="ID62" s="1909"/>
      <c r="IE62" s="1910"/>
      <c r="IF62" s="1911"/>
      <c r="IG62" s="1912"/>
      <c r="IH62" s="1909"/>
      <c r="II62" s="1835"/>
      <c r="IJ62" s="1836"/>
      <c r="IK62" s="1836"/>
      <c r="IL62" s="693"/>
      <c r="IM62" s="1913"/>
      <c r="IN62" s="1836"/>
      <c r="IO62" s="1836"/>
      <c r="IP62" s="1838"/>
      <c r="IQ62" s="1914"/>
      <c r="IR62" s="1915"/>
      <c r="IS62" s="1916"/>
      <c r="IT62" s="1916"/>
      <c r="IU62" s="1917"/>
      <c r="IV62" s="1918"/>
      <c r="IW62" s="1919"/>
      <c r="IX62" s="1920"/>
      <c r="IY62" s="1920"/>
      <c r="IZ62" s="1818"/>
      <c r="JA62" s="1821"/>
      <c r="JB62" s="6021"/>
      <c r="JC62" s="6022"/>
      <c r="JD62" s="6023"/>
      <c r="JE62" s="1818"/>
      <c r="JF62" s="1821"/>
      <c r="JG62" s="1925"/>
      <c r="JH62" s="1824"/>
      <c r="JI62" s="1824"/>
      <c r="JJ62" s="1822"/>
      <c r="JK62" s="1821"/>
      <c r="JL62" s="1926"/>
      <c r="JM62" s="1824"/>
      <c r="JN62" s="1824"/>
      <c r="JO62" s="6012"/>
      <c r="JP62" s="1821"/>
      <c r="JQ62" s="1926"/>
      <c r="JR62" s="1982"/>
      <c r="JS62" s="1248"/>
      <c r="JT62" s="1995"/>
      <c r="JU62" s="1821"/>
      <c r="JV62" s="1990"/>
      <c r="JW62" s="2130"/>
      <c r="JX62" s="1904"/>
      <c r="JY62" s="1904"/>
      <c r="JZ62" s="1821"/>
      <c r="KA62" s="6014"/>
      <c r="KB62" s="1248"/>
      <c r="KC62" s="1248"/>
      <c r="KD62" s="1983"/>
      <c r="KE62" s="1952"/>
      <c r="KF62" s="1990"/>
      <c r="KG62" s="1904"/>
      <c r="KH62" s="1904"/>
      <c r="KI62" s="1818"/>
      <c r="KJ62" s="1821"/>
      <c r="KK62" s="1990"/>
      <c r="KL62" s="1904"/>
      <c r="KM62" s="1904"/>
      <c r="KN62" s="2023"/>
      <c r="KO62" s="2024"/>
      <c r="KP62" s="1823"/>
      <c r="KQ62" s="1248"/>
      <c r="KR62" s="1248"/>
      <c r="KS62" s="1996"/>
      <c r="KT62" s="1819"/>
      <c r="KU62" s="1905"/>
      <c r="KV62" s="1248"/>
      <c r="KW62" s="1248"/>
      <c r="KX62" s="1248"/>
      <c r="KY62" s="77"/>
      <c r="KZ62" s="1832">
        <f>(IR62+IW62+JB62+JG62+JL62+JQ62+JV62+KA62+KF62+KK62+KP62+KU62)/12</f>
        <v>0</v>
      </c>
      <c r="LA62" s="622">
        <f t="shared" si="144"/>
        <v>0</v>
      </c>
      <c r="LB62" s="622">
        <f t="shared" si="144"/>
        <v>0</v>
      </c>
      <c r="LC62" s="622">
        <f t="shared" si="144"/>
        <v>0</v>
      </c>
      <c r="LD62" s="239"/>
      <c r="LE62" s="1834"/>
      <c r="LF62" s="1830"/>
      <c r="LG62" s="1830"/>
      <c r="LH62" s="1831"/>
      <c r="LI62" s="1832"/>
      <c r="LJ62" s="1833"/>
      <c r="LK62" s="1834"/>
      <c r="LL62" s="1831"/>
      <c r="LM62" s="1835"/>
      <c r="LN62" s="1836"/>
      <c r="LO62" s="1836"/>
      <c r="LP62" s="239"/>
      <c r="LQ62" s="1837">
        <f t="shared" si="237"/>
        <v>0</v>
      </c>
      <c r="LR62" s="1836"/>
      <c r="LS62" s="1836"/>
      <c r="LT62" s="1838"/>
      <c r="LV62" s="401"/>
      <c r="LW62" s="395"/>
      <c r="LX62" s="395"/>
      <c r="LY62" s="115"/>
      <c r="LZ62" s="186"/>
      <c r="MA62" s="2000"/>
      <c r="MB62" s="1317"/>
      <c r="MC62" s="1317"/>
      <c r="MD62" s="372"/>
      <c r="ME62" s="207"/>
      <c r="MF62" s="2445"/>
      <c r="MG62" s="2001"/>
      <c r="MH62" s="2001"/>
      <c r="MI62" s="372"/>
      <c r="MJ62" s="207"/>
      <c r="MK62" s="2891"/>
      <c r="ML62" s="2001"/>
      <c r="MM62" s="2001"/>
      <c r="MN62" s="372"/>
      <c r="MO62" s="207"/>
      <c r="MP62" s="1577"/>
      <c r="MQ62" s="1248"/>
      <c r="MR62" s="1248"/>
      <c r="MS62" s="1248"/>
      <c r="MT62" s="655"/>
      <c r="MU62" s="1318"/>
      <c r="MV62" s="395"/>
      <c r="MW62" s="395"/>
      <c r="MX62" s="395"/>
      <c r="MY62" s="655"/>
      <c r="MZ62" s="1318"/>
      <c r="NA62" s="395"/>
      <c r="NB62" s="395"/>
      <c r="NC62" s="395"/>
      <c r="ND62" s="801"/>
      <c r="NE62" s="1318"/>
      <c r="NF62" s="395"/>
      <c r="NG62" s="395"/>
      <c r="NH62" s="395"/>
      <c r="NI62" s="801"/>
      <c r="NJ62" s="1318"/>
      <c r="NK62" s="395"/>
      <c r="NL62" s="395"/>
      <c r="NM62" s="395">
        <f>NL62-NK62</f>
        <v>0</v>
      </c>
      <c r="NN62" s="801"/>
      <c r="NO62" s="2430"/>
      <c r="NP62" s="1873"/>
      <c r="NQ62" s="2431"/>
      <c r="NR62" s="2001">
        <f>NQ62-NP62</f>
        <v>0</v>
      </c>
      <c r="NS62" s="801"/>
      <c r="NT62" s="2432"/>
      <c r="NU62" s="622"/>
      <c r="NV62" s="622"/>
      <c r="NW62" s="395">
        <f>NV62-NU62</f>
        <v>0</v>
      </c>
      <c r="NX62" s="801"/>
      <c r="NY62" s="2432"/>
      <c r="NZ62" s="622">
        <v>0</v>
      </c>
      <c r="OA62" s="622">
        <v>0</v>
      </c>
      <c r="OB62" s="622">
        <f>OA62-NZ62</f>
        <v>0</v>
      </c>
      <c r="OC62" s="116"/>
      <c r="OD62" s="2433"/>
      <c r="OE62" s="622">
        <v>0</v>
      </c>
      <c r="OF62" s="622">
        <v>0</v>
      </c>
      <c r="OG62" s="622"/>
      <c r="OH62" s="1576"/>
      <c r="OI62" s="2435">
        <f t="shared" si="238"/>
        <v>0</v>
      </c>
      <c r="OJ62" s="2436">
        <f t="shared" si="239"/>
        <v>0</v>
      </c>
      <c r="OK62" s="2436">
        <f t="shared" si="239"/>
        <v>0</v>
      </c>
      <c r="OL62" s="2436">
        <f t="shared" si="239"/>
        <v>0</v>
      </c>
      <c r="OM62" s="1439"/>
      <c r="ON62" s="622">
        <f>(MK62+MP62+MU62)/3</f>
        <v>0</v>
      </c>
      <c r="OO62" s="622">
        <f t="shared" si="240"/>
        <v>0</v>
      </c>
      <c r="OP62" s="622">
        <f t="shared" si="240"/>
        <v>0</v>
      </c>
      <c r="OQ62" s="2437">
        <f t="shared" si="240"/>
        <v>0</v>
      </c>
      <c r="OR62" s="421" t="e">
        <f>OQ62/OP62</f>
        <v>#DIV/0!</v>
      </c>
      <c r="OS62" s="2438">
        <f t="shared" si="241"/>
        <v>0</v>
      </c>
      <c r="OT62" s="2439">
        <f t="shared" si="242"/>
        <v>0</v>
      </c>
      <c r="OU62" s="2439">
        <f t="shared" si="242"/>
        <v>0</v>
      </c>
      <c r="OV62" s="2440">
        <f t="shared" si="242"/>
        <v>0</v>
      </c>
      <c r="OW62" s="460"/>
      <c r="OX62" s="2432">
        <f t="shared" si="243"/>
        <v>0</v>
      </c>
      <c r="OY62" s="622">
        <f t="shared" si="244"/>
        <v>0</v>
      </c>
      <c r="OZ62" s="622">
        <f t="shared" si="244"/>
        <v>0</v>
      </c>
      <c r="PA62" s="2437">
        <f t="shared" si="244"/>
        <v>0</v>
      </c>
      <c r="PB62" s="116"/>
      <c r="PC62" s="2441"/>
      <c r="PD62" s="401"/>
      <c r="PE62" s="395"/>
      <c r="PF62" s="395"/>
      <c r="PG62" s="115">
        <f t="shared" si="263"/>
        <v>0</v>
      </c>
      <c r="PH62" s="186" t="e">
        <f>PG62/PF62</f>
        <v>#DIV/0!</v>
      </c>
      <c r="PI62" s="2000"/>
      <c r="PJ62" s="1317"/>
      <c r="PK62" s="1317"/>
      <c r="PL62" s="372"/>
      <c r="PM62" s="207"/>
      <c r="PN62" s="2445"/>
      <c r="PO62" s="2001"/>
      <c r="PP62" s="2001"/>
      <c r="PQ62" s="372"/>
      <c r="PR62" s="207"/>
      <c r="PS62" s="2891"/>
      <c r="PT62" s="2001"/>
      <c r="PU62" s="2001"/>
      <c r="PV62" s="2892"/>
      <c r="PW62" s="370"/>
      <c r="PX62" s="1577"/>
      <c r="PY62" s="1248"/>
      <c r="PZ62" s="1248"/>
      <c r="QA62" s="1248"/>
      <c r="QB62" s="655"/>
      <c r="QC62" s="2002"/>
      <c r="QD62" s="2001"/>
      <c r="QE62" s="2001"/>
      <c r="QF62" s="2001"/>
      <c r="QG62" s="2019"/>
      <c r="QH62" s="401"/>
      <c r="QI62" s="395"/>
      <c r="QJ62" s="395"/>
      <c r="QK62" s="395"/>
      <c r="QL62" s="801"/>
      <c r="QM62" s="401"/>
      <c r="QN62" s="395"/>
      <c r="QO62" s="395"/>
      <c r="QP62" s="395"/>
      <c r="QQ62" s="801"/>
      <c r="QR62" s="2002"/>
      <c r="QS62" s="2001"/>
      <c r="QT62" s="2001"/>
      <c r="QU62" s="2001">
        <f>QT62-QS62</f>
        <v>0</v>
      </c>
      <c r="QV62" s="370"/>
      <c r="QW62" s="2430"/>
      <c r="QX62" s="1873"/>
      <c r="QY62" s="2431"/>
      <c r="QZ62" s="2001">
        <f>QY62-QX62</f>
        <v>0</v>
      </c>
      <c r="RA62" s="2003"/>
      <c r="RB62" s="2432"/>
      <c r="RC62" s="622"/>
      <c r="RD62" s="622"/>
      <c r="RE62" s="395">
        <f>RD62-RC62</f>
        <v>0</v>
      </c>
      <c r="RF62" s="801"/>
      <c r="RG62" s="2108"/>
      <c r="RH62" s="1873">
        <v>0</v>
      </c>
      <c r="RI62" s="1873">
        <v>0</v>
      </c>
      <c r="RJ62" s="1873">
        <f>RI62-RH62</f>
        <v>0</v>
      </c>
      <c r="RK62" s="116"/>
      <c r="RL62" s="3717"/>
      <c r="RM62" s="1873">
        <f t="shared" si="245"/>
        <v>0</v>
      </c>
      <c r="RN62" s="1873">
        <f t="shared" si="245"/>
        <v>0</v>
      </c>
      <c r="RO62" s="1873">
        <f t="shared" si="245"/>
        <v>0</v>
      </c>
      <c r="RP62" s="1576"/>
      <c r="RQ62" s="2435">
        <f t="shared" si="246"/>
        <v>0</v>
      </c>
      <c r="RR62" s="2436">
        <f t="shared" si="247"/>
        <v>0</v>
      </c>
      <c r="RS62" s="2436">
        <f t="shared" si="247"/>
        <v>0</v>
      </c>
      <c r="RT62" s="2436">
        <f t="shared" si="247"/>
        <v>0</v>
      </c>
      <c r="RU62" s="1439"/>
      <c r="RV62" s="622">
        <f>(PS62+PX62+QC62)/3</f>
        <v>0</v>
      </c>
      <c r="RW62" s="622">
        <f t="shared" si="248"/>
        <v>0</v>
      </c>
      <c r="RX62" s="622">
        <f t="shared" si="248"/>
        <v>0</v>
      </c>
      <c r="RY62" s="2437">
        <f t="shared" si="248"/>
        <v>0</v>
      </c>
      <c r="RZ62" s="421" t="e">
        <f>RY62/RX62</f>
        <v>#DIV/0!</v>
      </c>
      <c r="SA62" s="2438">
        <f t="shared" si="249"/>
        <v>0</v>
      </c>
      <c r="SB62" s="2439">
        <f t="shared" si="250"/>
        <v>0</v>
      </c>
      <c r="SC62" s="2439">
        <f t="shared" si="250"/>
        <v>0</v>
      </c>
      <c r="SD62" s="2440">
        <f t="shared" si="250"/>
        <v>0</v>
      </c>
      <c r="SE62" s="460"/>
      <c r="SF62" s="2432">
        <f t="shared" si="251"/>
        <v>0</v>
      </c>
      <c r="SG62" s="622">
        <f t="shared" si="252"/>
        <v>0</v>
      </c>
      <c r="SH62" s="622">
        <f t="shared" si="252"/>
        <v>0</v>
      </c>
      <c r="SI62" s="2437">
        <f t="shared" si="252"/>
        <v>0</v>
      </c>
      <c r="SJ62" s="116"/>
      <c r="SL62" s="2445"/>
      <c r="SM62" s="2001"/>
      <c r="SN62" s="2001"/>
      <c r="SO62" s="3534">
        <f t="shared" si="264"/>
        <v>0</v>
      </c>
      <c r="SP62" s="1498" t="e">
        <f>SO62/SN62</f>
        <v>#DIV/0!</v>
      </c>
      <c r="SQ62" s="6015"/>
      <c r="SR62" s="3208"/>
      <c r="SS62" s="3208"/>
      <c r="ST62" s="2892"/>
      <c r="SU62" s="370"/>
      <c r="SV62" s="401"/>
      <c r="SW62" s="395"/>
      <c r="SX62" s="395"/>
      <c r="SY62" s="372"/>
      <c r="SZ62" s="207"/>
      <c r="TA62" s="2573"/>
      <c r="TB62" s="395"/>
      <c r="TC62" s="395"/>
      <c r="TD62" s="372"/>
      <c r="TE62" s="207"/>
      <c r="TF62" s="1577"/>
      <c r="TG62" s="1248"/>
      <c r="TH62" s="1248"/>
      <c r="TI62" s="1248"/>
      <c r="TJ62" s="655"/>
      <c r="TK62" s="2002"/>
      <c r="TL62" s="2001"/>
      <c r="TM62" s="2001"/>
      <c r="TN62" s="2001"/>
      <c r="TO62" s="2019"/>
      <c r="TP62" s="4434"/>
      <c r="TQ62" s="395"/>
      <c r="TR62" s="395"/>
      <c r="TS62" s="395"/>
      <c r="TT62" s="801"/>
      <c r="TU62" s="4464"/>
      <c r="TV62" s="2001"/>
      <c r="TW62" s="2001"/>
      <c r="TX62" s="2001"/>
      <c r="TY62" s="2003"/>
      <c r="TZ62" s="2002"/>
      <c r="UA62" s="2001"/>
      <c r="UB62" s="2001"/>
      <c r="UC62" s="2001">
        <f>UB62-UA62</f>
        <v>0</v>
      </c>
      <c r="UD62" s="370"/>
      <c r="UE62" s="2430"/>
      <c r="UF62" s="1873"/>
      <c r="UG62" s="2431"/>
      <c r="UH62" s="2001">
        <f>UG62-UF62</f>
        <v>0</v>
      </c>
      <c r="UI62" s="2003"/>
      <c r="UJ62" s="2432"/>
      <c r="UK62" s="622"/>
      <c r="UL62" s="622"/>
      <c r="UM62" s="395">
        <f>UL62-UK62</f>
        <v>0</v>
      </c>
      <c r="UN62" s="801"/>
      <c r="UO62" s="2108"/>
      <c r="UP62" s="1873">
        <v>0</v>
      </c>
      <c r="UQ62" s="1873">
        <v>0</v>
      </c>
      <c r="UR62" s="1873">
        <f>UQ62-UP62</f>
        <v>0</v>
      </c>
      <c r="US62" s="116"/>
      <c r="UT62" s="2433"/>
      <c r="UU62" s="622">
        <f t="shared" si="78"/>
        <v>0</v>
      </c>
      <c r="UV62" s="622">
        <f t="shared" si="78"/>
        <v>0</v>
      </c>
      <c r="UW62" s="622">
        <f t="shared" si="78"/>
        <v>0</v>
      </c>
      <c r="UX62" s="2281">
        <v>0</v>
      </c>
      <c r="UY62" s="2435">
        <f t="shared" si="253"/>
        <v>0</v>
      </c>
      <c r="UZ62" s="2436">
        <f t="shared" si="254"/>
        <v>0</v>
      </c>
      <c r="VA62" s="2436">
        <f t="shared" si="254"/>
        <v>0</v>
      </c>
      <c r="VB62" s="2436">
        <f t="shared" si="254"/>
        <v>0</v>
      </c>
      <c r="VC62" s="1439"/>
      <c r="VD62" s="622">
        <f>(TA62+TF62+TK62)/3</f>
        <v>0</v>
      </c>
      <c r="VE62" s="622">
        <f t="shared" si="255"/>
        <v>0</v>
      </c>
      <c r="VF62" s="622">
        <f t="shared" si="255"/>
        <v>0</v>
      </c>
      <c r="VG62" s="2437">
        <f t="shared" si="255"/>
        <v>0</v>
      </c>
      <c r="VH62" s="421" t="e">
        <f>VG62/VF62</f>
        <v>#DIV/0!</v>
      </c>
      <c r="VI62" s="2438">
        <f t="shared" si="256"/>
        <v>0</v>
      </c>
      <c r="VJ62" s="2439">
        <f t="shared" si="257"/>
        <v>0</v>
      </c>
      <c r="VK62" s="2439">
        <f t="shared" si="257"/>
        <v>0</v>
      </c>
      <c r="VL62" s="2440">
        <f t="shared" si="257"/>
        <v>0</v>
      </c>
      <c r="VM62" s="460"/>
      <c r="VN62" s="2432">
        <f t="shared" si="258"/>
        <v>0</v>
      </c>
      <c r="VO62" s="622">
        <f t="shared" si="259"/>
        <v>0</v>
      </c>
      <c r="VP62" s="622">
        <f t="shared" si="259"/>
        <v>0</v>
      </c>
      <c r="VQ62" s="2437">
        <f t="shared" si="259"/>
        <v>0</v>
      </c>
      <c r="VR62" s="116"/>
    </row>
    <row r="63" spans="1:590" s="2425" customFormat="1" ht="13.45" hidden="1" x14ac:dyDescent="0.3">
      <c r="A63" s="2399"/>
      <c r="B63" s="1773" t="s">
        <v>53</v>
      </c>
      <c r="C63" s="1991" t="s">
        <v>821</v>
      </c>
      <c r="D63" s="1992" t="s">
        <v>267</v>
      </c>
      <c r="E63" s="1993"/>
      <c r="F63" s="1993"/>
      <c r="G63" s="1994">
        <v>0</v>
      </c>
      <c r="H63" s="1890"/>
      <c r="I63" s="1886"/>
      <c r="J63" s="1886"/>
      <c r="K63" s="1886"/>
      <c r="L63" s="1891"/>
      <c r="M63" s="1890"/>
      <c r="N63" s="1886"/>
      <c r="O63" s="1886"/>
      <c r="P63" s="1886"/>
      <c r="Q63" s="1891"/>
      <c r="R63" s="1890"/>
      <c r="S63" s="1886"/>
      <c r="T63" s="1886"/>
      <c r="U63" s="1886"/>
      <c r="V63" s="1891"/>
      <c r="W63" s="1890"/>
      <c r="X63" s="1886"/>
      <c r="Y63" s="1886"/>
      <c r="Z63" s="1886"/>
      <c r="AA63" s="1897"/>
      <c r="AB63" s="1890"/>
      <c r="AC63" s="1886"/>
      <c r="AD63" s="1886"/>
      <c r="AE63" s="1886"/>
      <c r="AF63" s="1897"/>
      <c r="AG63" s="1886"/>
      <c r="AH63" s="1886"/>
      <c r="AI63" s="1886"/>
      <c r="AJ63" s="1886"/>
      <c r="AK63" s="1891"/>
      <c r="AL63" s="1886"/>
      <c r="AM63" s="1886"/>
      <c r="AN63" s="1886"/>
      <c r="AO63" s="1886"/>
      <c r="AP63" s="1891"/>
      <c r="AQ63" s="1886"/>
      <c r="AR63" s="1886"/>
      <c r="AS63" s="1886"/>
      <c r="AT63" s="1886"/>
      <c r="AU63" s="1891"/>
      <c r="AV63" s="4953"/>
      <c r="AW63" s="1886"/>
      <c r="AX63" s="1886"/>
      <c r="AY63" s="1886"/>
      <c r="AZ63" s="1897"/>
      <c r="BA63" s="4953"/>
      <c r="BB63" s="1886"/>
      <c r="BC63" s="1886"/>
      <c r="BD63" s="1886"/>
      <c r="BE63" s="1897"/>
      <c r="BF63" s="4953"/>
      <c r="BG63" s="1886"/>
      <c r="BH63" s="1886"/>
      <c r="BI63" s="1886"/>
      <c r="BJ63" s="1897"/>
      <c r="BK63" s="4953"/>
      <c r="BL63" s="1886"/>
      <c r="BM63" s="1886"/>
      <c r="BN63" s="1886"/>
      <c r="BO63" s="1897"/>
      <c r="BP63" s="4954"/>
      <c r="BQ63" s="1886"/>
      <c r="BR63" s="1886"/>
      <c r="BS63" s="1886"/>
      <c r="BT63" s="4955"/>
      <c r="BU63" s="1886"/>
      <c r="BV63" s="1886"/>
      <c r="BW63" s="1892"/>
      <c r="BX63" s="4955"/>
      <c r="BY63" s="1886"/>
      <c r="BZ63" s="1886"/>
      <c r="CA63" s="1140"/>
      <c r="CB63" s="1886"/>
      <c r="CC63" s="1886"/>
      <c r="CD63" s="1886"/>
      <c r="CE63" s="1886"/>
      <c r="CF63" s="4955"/>
      <c r="CG63" s="1886"/>
      <c r="CH63" s="1886"/>
      <c r="CI63" s="1140"/>
      <c r="CJ63" s="1885"/>
      <c r="CK63" s="1886"/>
      <c r="CL63" s="1886"/>
      <c r="CM63" s="1886"/>
      <c r="CN63" s="1892"/>
      <c r="CO63" s="1885"/>
      <c r="CP63" s="1890"/>
      <c r="CQ63" s="1890"/>
      <c r="CR63" s="1890"/>
      <c r="CS63" s="1892"/>
      <c r="CT63" s="1885"/>
      <c r="CU63" s="1886"/>
      <c r="CV63" s="1886"/>
      <c r="CW63" s="1886"/>
      <c r="CX63" s="1892"/>
      <c r="CY63" s="1885"/>
      <c r="CZ63" s="1886"/>
      <c r="DA63" s="1886"/>
      <c r="DB63" s="1886"/>
      <c r="DC63" s="1892"/>
      <c r="DD63" s="1885"/>
      <c r="DE63" s="1886"/>
      <c r="DF63" s="1886"/>
      <c r="DG63" s="1886"/>
      <c r="DH63" s="1887"/>
      <c r="DI63" s="1885"/>
      <c r="DJ63" s="1886"/>
      <c r="DK63" s="1886"/>
      <c r="DL63" s="1886"/>
      <c r="DM63" s="1887"/>
      <c r="DN63" s="1885"/>
      <c r="DO63" s="1886"/>
      <c r="DP63" s="1886"/>
      <c r="DQ63" s="1886"/>
      <c r="DR63" s="1887"/>
      <c r="DS63" s="1885"/>
      <c r="DT63" s="1886"/>
      <c r="DU63" s="1886"/>
      <c r="DV63" s="1886"/>
      <c r="DW63" s="1887"/>
      <c r="DX63" s="1885"/>
      <c r="DY63" s="1886"/>
      <c r="DZ63" s="1886"/>
      <c r="EA63" s="1886"/>
      <c r="EB63" s="1887"/>
      <c r="EC63" s="1885"/>
      <c r="ED63" s="1886"/>
      <c r="EE63" s="1886"/>
      <c r="EF63" s="1886"/>
      <c r="EG63" s="1887"/>
      <c r="EH63" s="1885"/>
      <c r="EI63" s="1886"/>
      <c r="EJ63" s="1886"/>
      <c r="EK63" s="1886"/>
      <c r="EL63" s="1887"/>
      <c r="EM63" s="1888"/>
      <c r="EN63" s="1889"/>
      <c r="EO63" s="1889"/>
      <c r="EP63" s="1889"/>
      <c r="EQ63" s="166"/>
      <c r="ER63" s="2402">
        <f t="shared" si="38"/>
        <v>0</v>
      </c>
      <c r="ES63" s="2403">
        <f t="shared" si="146"/>
        <v>0</v>
      </c>
      <c r="ET63" s="2403">
        <f t="shared" si="146"/>
        <v>0</v>
      </c>
      <c r="EU63" s="2403">
        <f t="shared" si="146"/>
        <v>0</v>
      </c>
      <c r="EV63" s="2404" t="e">
        <f t="shared" si="40"/>
        <v>#DIV/0!</v>
      </c>
      <c r="EW63" s="1890"/>
      <c r="EX63" s="1890"/>
      <c r="EY63" s="1890"/>
      <c r="EZ63" s="1891"/>
      <c r="FA63" s="1885"/>
      <c r="FB63" s="1890"/>
      <c r="FC63" s="1890"/>
      <c r="FD63" s="1892"/>
      <c r="FE63" s="1890"/>
      <c r="FF63" s="1890"/>
      <c r="FG63" s="1890"/>
      <c r="FH63" s="1891"/>
      <c r="FI63" s="1893"/>
      <c r="FJ63" s="1894"/>
      <c r="FK63" s="1895"/>
      <c r="FL63" s="1895"/>
      <c r="FM63" s="1896"/>
      <c r="FN63" s="1890"/>
      <c r="FO63" s="1886"/>
      <c r="FP63" s="1886"/>
      <c r="FQ63" s="1886"/>
      <c r="FR63" s="1897"/>
      <c r="FS63" s="1888"/>
      <c r="FT63" s="1889"/>
      <c r="FU63" s="1889"/>
      <c r="FV63" s="1889"/>
      <c r="FW63" s="1898"/>
      <c r="FX63" s="1885"/>
      <c r="FY63" s="1886"/>
      <c r="FZ63" s="1886"/>
      <c r="GA63" s="1889"/>
      <c r="GB63" s="1898"/>
      <c r="GC63" s="1899"/>
      <c r="GD63" s="1900"/>
      <c r="GE63" s="1900"/>
      <c r="GF63" s="1889"/>
      <c r="GG63" s="166"/>
      <c r="GH63" s="1901"/>
      <c r="GI63" s="1824"/>
      <c r="GJ63" s="1824"/>
      <c r="GK63" s="1902"/>
      <c r="GL63" s="1898"/>
      <c r="GM63" s="1901"/>
      <c r="GN63" s="1824"/>
      <c r="GO63" s="1824"/>
      <c r="GP63" s="1902"/>
      <c r="GQ63" s="1898"/>
      <c r="GR63" s="1903"/>
      <c r="GS63" s="1904"/>
      <c r="GT63" s="1904"/>
      <c r="GU63" s="1902"/>
      <c r="GV63" s="1898"/>
      <c r="GW63" s="1903"/>
      <c r="GX63" s="1904"/>
      <c r="GY63" s="1904"/>
      <c r="GZ63" s="1902"/>
      <c r="HA63" s="1898"/>
      <c r="HB63" s="1903"/>
      <c r="HC63" s="1904"/>
      <c r="HD63" s="1904"/>
      <c r="HE63" s="1902"/>
      <c r="HF63" s="1898"/>
      <c r="HG63" s="1903"/>
      <c r="HH63" s="1904"/>
      <c r="HI63" s="1904"/>
      <c r="HJ63" s="1818"/>
      <c r="HK63" s="1898"/>
      <c r="HL63" s="1903"/>
      <c r="HM63" s="1904"/>
      <c r="HN63" s="1904"/>
      <c r="HO63" s="715"/>
      <c r="HP63" s="166"/>
      <c r="HQ63" s="1905"/>
      <c r="HR63" s="1248"/>
      <c r="HS63" s="1248"/>
      <c r="HT63" s="1248"/>
      <c r="HU63" s="1826"/>
      <c r="HV63" s="2405">
        <f t="shared" si="155"/>
        <v>0</v>
      </c>
      <c r="HW63" s="2406">
        <f t="shared" si="156"/>
        <v>0</v>
      </c>
      <c r="HX63" s="2406">
        <f t="shared" si="156"/>
        <v>0</v>
      </c>
      <c r="HY63" s="2406">
        <f t="shared" si="156"/>
        <v>0</v>
      </c>
      <c r="HZ63" s="1906"/>
      <c r="IA63" s="1907"/>
      <c r="IB63" s="1908"/>
      <c r="IC63" s="1908"/>
      <c r="ID63" s="1909"/>
      <c r="IE63" s="1910"/>
      <c r="IF63" s="1911"/>
      <c r="IG63" s="1912"/>
      <c r="IH63" s="1909"/>
      <c r="II63" s="1835"/>
      <c r="IJ63" s="1836"/>
      <c r="IK63" s="1836"/>
      <c r="IL63" s="693"/>
      <c r="IM63" s="1913"/>
      <c r="IN63" s="1836"/>
      <c r="IO63" s="1836"/>
      <c r="IP63" s="1838"/>
      <c r="IQ63" s="1914"/>
      <c r="IR63" s="1915"/>
      <c r="IS63" s="1916"/>
      <c r="IT63" s="1916"/>
      <c r="IU63" s="1917"/>
      <c r="IV63" s="1918"/>
      <c r="IW63" s="1919"/>
      <c r="IX63" s="1920"/>
      <c r="IY63" s="1920"/>
      <c r="IZ63" s="1818"/>
      <c r="JA63" s="1821"/>
      <c r="JB63" s="6021"/>
      <c r="JC63" s="6022"/>
      <c r="JD63" s="6023"/>
      <c r="JE63" s="1818"/>
      <c r="JF63" s="1821"/>
      <c r="JG63" s="1925"/>
      <c r="JH63" s="1824"/>
      <c r="JI63" s="1824"/>
      <c r="JJ63" s="1822"/>
      <c r="JK63" s="1821"/>
      <c r="JL63" s="1926"/>
      <c r="JM63" s="1824"/>
      <c r="JN63" s="1824"/>
      <c r="JO63" s="6012"/>
      <c r="JP63" s="1821"/>
      <c r="JQ63" s="1926"/>
      <c r="JR63" s="1982"/>
      <c r="JS63" s="1248"/>
      <c r="JT63" s="1996"/>
      <c r="JU63" s="1821"/>
      <c r="JV63" s="1990"/>
      <c r="JW63" s="2130"/>
      <c r="JX63" s="1904"/>
      <c r="JY63" s="1904"/>
      <c r="JZ63" s="1821"/>
      <c r="KA63" s="6014"/>
      <c r="KB63" s="1248"/>
      <c r="KC63" s="1248"/>
      <c r="KD63" s="1983"/>
      <c r="KE63" s="1952"/>
      <c r="KF63" s="1990"/>
      <c r="KG63" s="1904"/>
      <c r="KH63" s="1904"/>
      <c r="KI63" s="1818"/>
      <c r="KJ63" s="1821"/>
      <c r="KK63" s="1990"/>
      <c r="KL63" s="1904"/>
      <c r="KM63" s="1904"/>
      <c r="KN63" s="2023"/>
      <c r="KO63" s="2024"/>
      <c r="KP63" s="1823"/>
      <c r="KQ63" s="1982"/>
      <c r="KR63" s="1248"/>
      <c r="KS63" s="1996"/>
      <c r="KT63" s="1819"/>
      <c r="KU63" s="1905"/>
      <c r="KV63" s="1248"/>
      <c r="KW63" s="1248"/>
      <c r="KX63" s="1248"/>
      <c r="KY63" s="77"/>
      <c r="KZ63" s="1832"/>
      <c r="LA63" s="622"/>
      <c r="LB63" s="622"/>
      <c r="LC63" s="622"/>
      <c r="LD63" s="239"/>
      <c r="LE63" s="1834"/>
      <c r="LF63" s="1830"/>
      <c r="LG63" s="1830"/>
      <c r="LH63" s="1831"/>
      <c r="LI63" s="1832"/>
      <c r="LJ63" s="1833"/>
      <c r="LK63" s="1834"/>
      <c r="LL63" s="1831"/>
      <c r="LM63" s="1835"/>
      <c r="LN63" s="1836"/>
      <c r="LO63" s="1836"/>
      <c r="LP63" s="239"/>
      <c r="LQ63" s="1837"/>
      <c r="LR63" s="1836"/>
      <c r="LS63" s="1836"/>
      <c r="LT63" s="1838"/>
      <c r="LV63" s="6076"/>
      <c r="LW63" s="437"/>
      <c r="LX63" s="2025"/>
      <c r="LY63" s="115"/>
      <c r="LZ63" s="186"/>
      <c r="MA63" s="2026"/>
      <c r="MB63" s="437"/>
      <c r="MC63" s="2025"/>
      <c r="MD63" s="372"/>
      <c r="ME63" s="207"/>
      <c r="MF63" s="2026"/>
      <c r="MG63" s="437"/>
      <c r="MH63" s="2025"/>
      <c r="MI63" s="372"/>
      <c r="MJ63" s="207"/>
      <c r="MK63" s="6077"/>
      <c r="ML63" s="2025"/>
      <c r="MM63" s="2025"/>
      <c r="MN63" s="372"/>
      <c r="MO63" s="207"/>
      <c r="MP63" s="6078"/>
      <c r="MQ63" s="6079"/>
      <c r="MR63" s="6079"/>
      <c r="MS63" s="1248"/>
      <c r="MT63" s="655"/>
      <c r="MU63" s="1318"/>
      <c r="MV63" s="395"/>
      <c r="MW63" s="395"/>
      <c r="MX63" s="395"/>
      <c r="MY63" s="655"/>
      <c r="MZ63" s="1318"/>
      <c r="NA63" s="395"/>
      <c r="NB63" s="395"/>
      <c r="NC63" s="395"/>
      <c r="ND63" s="801"/>
      <c r="NE63" s="1318"/>
      <c r="NF63" s="395"/>
      <c r="NG63" s="395"/>
      <c r="NH63" s="395"/>
      <c r="NI63" s="801"/>
      <c r="NJ63" s="1318"/>
      <c r="NK63" s="395"/>
      <c r="NL63" s="395"/>
      <c r="NM63" s="395"/>
      <c r="NN63" s="801"/>
      <c r="NO63" s="2432"/>
      <c r="NP63" s="622"/>
      <c r="NQ63" s="2437"/>
      <c r="NR63" s="395"/>
      <c r="NS63" s="801"/>
      <c r="NT63" s="2432"/>
      <c r="NU63" s="622"/>
      <c r="NV63" s="622"/>
      <c r="NW63" s="395"/>
      <c r="NX63" s="801"/>
      <c r="NY63" s="2432"/>
      <c r="NZ63" s="622"/>
      <c r="OA63" s="622"/>
      <c r="OB63" s="622"/>
      <c r="OC63" s="116"/>
      <c r="OD63" s="2433"/>
      <c r="OE63" s="622">
        <f t="shared" ref="OE63:OG71" si="265">NZ63+NU63+NP63+NK63+NF63+NA63+MV63+MQ63+ML63+MG63+MB63+LW63</f>
        <v>0</v>
      </c>
      <c r="OF63" s="622">
        <f t="shared" si="265"/>
        <v>0</v>
      </c>
      <c r="OG63" s="622">
        <v>0</v>
      </c>
      <c r="OH63" s="1576"/>
      <c r="OI63" s="2435">
        <f t="shared" si="238"/>
        <v>0</v>
      </c>
      <c r="OJ63" s="2436">
        <f t="shared" si="239"/>
        <v>0</v>
      </c>
      <c r="OK63" s="2436">
        <f t="shared" si="239"/>
        <v>0</v>
      </c>
      <c r="OL63" s="2436">
        <f t="shared" si="239"/>
        <v>0</v>
      </c>
      <c r="OM63" s="1439"/>
      <c r="ON63" s="622"/>
      <c r="OO63" s="622"/>
      <c r="OP63" s="622"/>
      <c r="OQ63" s="2437"/>
      <c r="OR63" s="421"/>
      <c r="OS63" s="2438">
        <f t="shared" si="241"/>
        <v>0</v>
      </c>
      <c r="OT63" s="2439">
        <f t="shared" si="242"/>
        <v>0</v>
      </c>
      <c r="OU63" s="2439">
        <f t="shared" si="242"/>
        <v>0</v>
      </c>
      <c r="OV63" s="2440">
        <f t="shared" si="242"/>
        <v>0</v>
      </c>
      <c r="OW63" s="460" t="e">
        <f t="shared" ref="OW63:OW77" si="266">OV63/OU63</f>
        <v>#DIV/0!</v>
      </c>
      <c r="OX63" s="2432">
        <f t="shared" si="243"/>
        <v>0</v>
      </c>
      <c r="OY63" s="622">
        <f t="shared" si="244"/>
        <v>0</v>
      </c>
      <c r="OZ63" s="622">
        <f t="shared" si="244"/>
        <v>0</v>
      </c>
      <c r="PA63" s="2437">
        <f t="shared" si="244"/>
        <v>0</v>
      </c>
      <c r="PB63" s="116"/>
      <c r="PC63" s="2441"/>
      <c r="PD63" s="401"/>
      <c r="PE63" s="395"/>
      <c r="PF63" s="395"/>
      <c r="PG63" s="115">
        <f t="shared" si="263"/>
        <v>0</v>
      </c>
      <c r="PH63" s="186" t="e">
        <f>PG63/PF63</f>
        <v>#DIV/0!</v>
      </c>
      <c r="PI63" s="2026"/>
      <c r="PJ63" s="437"/>
      <c r="PK63" s="2025"/>
      <c r="PL63" s="372"/>
      <c r="PM63" s="207"/>
      <c r="PN63" s="2026"/>
      <c r="PO63" s="437"/>
      <c r="PP63" s="2025"/>
      <c r="PQ63" s="372"/>
      <c r="PR63" s="207"/>
      <c r="PS63" s="6080"/>
      <c r="PT63" s="6081"/>
      <c r="PU63" s="6081"/>
      <c r="PV63" s="2892"/>
      <c r="PW63" s="370"/>
      <c r="PX63" s="6078"/>
      <c r="PY63" s="6079"/>
      <c r="PZ63" s="6079"/>
      <c r="QA63" s="1248"/>
      <c r="QB63" s="655"/>
      <c r="QC63" s="2002"/>
      <c r="QD63" s="2001"/>
      <c r="QE63" s="2001"/>
      <c r="QF63" s="2001"/>
      <c r="QG63" s="2019"/>
      <c r="QH63" s="401"/>
      <c r="QI63" s="395"/>
      <c r="QJ63" s="395"/>
      <c r="QK63" s="395"/>
      <c r="QL63" s="801"/>
      <c r="QM63" s="401"/>
      <c r="QN63" s="395"/>
      <c r="QO63" s="395"/>
      <c r="QP63" s="395"/>
      <c r="QQ63" s="801"/>
      <c r="QR63" s="2002"/>
      <c r="QS63" s="2001"/>
      <c r="QT63" s="2001"/>
      <c r="QU63" s="2001"/>
      <c r="QV63" s="370"/>
      <c r="QW63" s="2430"/>
      <c r="QX63" s="1873"/>
      <c r="QY63" s="2431"/>
      <c r="QZ63" s="2001"/>
      <c r="RA63" s="2003"/>
      <c r="RB63" s="2432"/>
      <c r="RC63" s="622"/>
      <c r="RD63" s="622"/>
      <c r="RE63" s="395"/>
      <c r="RF63" s="801"/>
      <c r="RG63" s="2108"/>
      <c r="RH63" s="1873"/>
      <c r="RI63" s="1873"/>
      <c r="RJ63" s="1873"/>
      <c r="RK63" s="116"/>
      <c r="RL63" s="3717"/>
      <c r="RM63" s="1873">
        <f t="shared" si="245"/>
        <v>0</v>
      </c>
      <c r="RN63" s="1873">
        <f t="shared" si="245"/>
        <v>0</v>
      </c>
      <c r="RO63" s="1873">
        <f t="shared" si="245"/>
        <v>0</v>
      </c>
      <c r="RP63" s="1576"/>
      <c r="RQ63" s="2435">
        <f t="shared" si="246"/>
        <v>0</v>
      </c>
      <c r="RR63" s="2436">
        <f t="shared" si="247"/>
        <v>0</v>
      </c>
      <c r="RS63" s="2436">
        <f t="shared" si="247"/>
        <v>0</v>
      </c>
      <c r="RT63" s="2436">
        <f t="shared" si="247"/>
        <v>0</v>
      </c>
      <c r="RU63" s="1439"/>
      <c r="RV63" s="622"/>
      <c r="RW63" s="622"/>
      <c r="RX63" s="622"/>
      <c r="RY63" s="2437"/>
      <c r="RZ63" s="421"/>
      <c r="SA63" s="2438">
        <f t="shared" si="249"/>
        <v>0</v>
      </c>
      <c r="SB63" s="2439">
        <f t="shared" si="250"/>
        <v>0</v>
      </c>
      <c r="SC63" s="2439">
        <f t="shared" si="250"/>
        <v>0</v>
      </c>
      <c r="SD63" s="2440">
        <f t="shared" si="250"/>
        <v>0</v>
      </c>
      <c r="SE63" s="460" t="e">
        <f t="shared" ref="SE63:SE68" si="267">SD63/SC63</f>
        <v>#DIV/0!</v>
      </c>
      <c r="SF63" s="2432">
        <f t="shared" si="251"/>
        <v>0</v>
      </c>
      <c r="SG63" s="622">
        <f t="shared" si="252"/>
        <v>0</v>
      </c>
      <c r="SH63" s="622">
        <f t="shared" si="252"/>
        <v>0</v>
      </c>
      <c r="SI63" s="2437">
        <f t="shared" si="252"/>
        <v>0</v>
      </c>
      <c r="SJ63" s="116"/>
      <c r="SL63" s="2445"/>
      <c r="SM63" s="2001"/>
      <c r="SN63" s="2001"/>
      <c r="SO63" s="3534">
        <f t="shared" si="264"/>
        <v>0</v>
      </c>
      <c r="SP63" s="1498" t="e">
        <f>SO63/SN63</f>
        <v>#DIV/0!</v>
      </c>
      <c r="SQ63" s="6082"/>
      <c r="SR63" s="6083"/>
      <c r="SS63" s="6081"/>
      <c r="ST63" s="2892"/>
      <c r="SU63" s="370"/>
      <c r="SV63" s="2026"/>
      <c r="SW63" s="437"/>
      <c r="SX63" s="2025"/>
      <c r="SY63" s="372"/>
      <c r="SZ63" s="207"/>
      <c r="TA63" s="6077"/>
      <c r="TB63" s="2025"/>
      <c r="TC63" s="2025"/>
      <c r="TD63" s="372"/>
      <c r="TE63" s="207"/>
      <c r="TF63" s="6078"/>
      <c r="TG63" s="6079"/>
      <c r="TH63" s="6079"/>
      <c r="TI63" s="1248"/>
      <c r="TJ63" s="655"/>
      <c r="TK63" s="2002"/>
      <c r="TL63" s="2001"/>
      <c r="TM63" s="2001"/>
      <c r="TN63" s="2001"/>
      <c r="TO63" s="2019"/>
      <c r="TP63" s="4434"/>
      <c r="TQ63" s="395"/>
      <c r="TR63" s="395"/>
      <c r="TS63" s="395"/>
      <c r="TT63" s="801"/>
      <c r="TU63" s="4464"/>
      <c r="TV63" s="2001"/>
      <c r="TW63" s="2001"/>
      <c r="TX63" s="2001"/>
      <c r="TY63" s="2003"/>
      <c r="TZ63" s="2002"/>
      <c r="UA63" s="2001"/>
      <c r="UB63" s="2001"/>
      <c r="UC63" s="2001"/>
      <c r="UD63" s="370"/>
      <c r="UE63" s="2430"/>
      <c r="UF63" s="1873"/>
      <c r="UG63" s="2431"/>
      <c r="UH63" s="2001"/>
      <c r="UI63" s="2003"/>
      <c r="UJ63" s="2432"/>
      <c r="UK63" s="622"/>
      <c r="UL63" s="622"/>
      <c r="UM63" s="395"/>
      <c r="UN63" s="801"/>
      <c r="UO63" s="2108"/>
      <c r="UP63" s="1873"/>
      <c r="UQ63" s="1873"/>
      <c r="UR63" s="1873"/>
      <c r="US63" s="116"/>
      <c r="UT63" s="2433"/>
      <c r="UU63" s="622">
        <f t="shared" si="78"/>
        <v>0</v>
      </c>
      <c r="UV63" s="622">
        <f t="shared" si="78"/>
        <v>0</v>
      </c>
      <c r="UW63" s="622">
        <f t="shared" si="78"/>
        <v>0</v>
      </c>
      <c r="UX63" s="2281">
        <v>0</v>
      </c>
      <c r="UY63" s="2435">
        <f t="shared" si="253"/>
        <v>0</v>
      </c>
      <c r="UZ63" s="2436">
        <f t="shared" si="254"/>
        <v>0</v>
      </c>
      <c r="VA63" s="2436">
        <f t="shared" si="254"/>
        <v>0</v>
      </c>
      <c r="VB63" s="2436">
        <f t="shared" si="254"/>
        <v>0</v>
      </c>
      <c r="VC63" s="1439"/>
      <c r="VD63" s="622"/>
      <c r="VE63" s="622"/>
      <c r="VF63" s="622"/>
      <c r="VG63" s="2437"/>
      <c r="VH63" s="421"/>
      <c r="VI63" s="2438">
        <f t="shared" si="256"/>
        <v>0</v>
      </c>
      <c r="VJ63" s="2439">
        <f t="shared" si="257"/>
        <v>0</v>
      </c>
      <c r="VK63" s="2439">
        <f t="shared" si="257"/>
        <v>0</v>
      </c>
      <c r="VL63" s="2440">
        <f t="shared" si="257"/>
        <v>0</v>
      </c>
      <c r="VM63" s="460" t="e">
        <f t="shared" ref="VM63:VM82" si="268">VL63/VK63</f>
        <v>#DIV/0!</v>
      </c>
      <c r="VN63" s="2432">
        <f t="shared" si="258"/>
        <v>0</v>
      </c>
      <c r="VO63" s="622">
        <f t="shared" si="259"/>
        <v>0</v>
      </c>
      <c r="VP63" s="622">
        <f t="shared" si="259"/>
        <v>0</v>
      </c>
      <c r="VQ63" s="2437">
        <f t="shared" si="259"/>
        <v>0</v>
      </c>
      <c r="VR63" s="116"/>
    </row>
    <row r="64" spans="1:590" s="2425" customFormat="1" ht="13.45" hidden="1" x14ac:dyDescent="0.3">
      <c r="A64" s="2399"/>
      <c r="B64" s="1773" t="s">
        <v>53</v>
      </c>
      <c r="C64" s="1991" t="s">
        <v>81</v>
      </c>
      <c r="D64" s="1992" t="s">
        <v>822</v>
      </c>
      <c r="E64" s="1993">
        <v>44835</v>
      </c>
      <c r="F64" s="1993">
        <v>45107</v>
      </c>
      <c r="G64" s="1994">
        <v>80000</v>
      </c>
      <c r="H64" s="2031"/>
      <c r="I64" s="1914"/>
      <c r="J64" s="1914"/>
      <c r="K64" s="1914"/>
      <c r="L64" s="593"/>
      <c r="M64" s="2031"/>
      <c r="N64" s="1914"/>
      <c r="O64" s="1914"/>
      <c r="P64" s="1914"/>
      <c r="Q64" s="593"/>
      <c r="R64" s="2031"/>
      <c r="S64" s="1914"/>
      <c r="T64" s="1914"/>
      <c r="U64" s="1914"/>
      <c r="V64" s="593"/>
      <c r="W64" s="2031"/>
      <c r="X64" s="1914"/>
      <c r="Y64" s="1914"/>
      <c r="Z64" s="1914"/>
      <c r="AA64" s="2032"/>
      <c r="AB64" s="2031"/>
      <c r="AC64" s="1914"/>
      <c r="AD64" s="1914"/>
      <c r="AE64" s="1914"/>
      <c r="AF64" s="2032"/>
      <c r="AG64" s="1914"/>
      <c r="AH64" s="1914"/>
      <c r="AI64" s="1914"/>
      <c r="AJ64" s="1914"/>
      <c r="AK64" s="593"/>
      <c r="AL64" s="1914"/>
      <c r="AM64" s="1914"/>
      <c r="AN64" s="1914"/>
      <c r="AO64" s="1914"/>
      <c r="AP64" s="593"/>
      <c r="AQ64" s="1914"/>
      <c r="AR64" s="1914"/>
      <c r="AS64" s="1914"/>
      <c r="AT64" s="1914"/>
      <c r="AU64" s="593"/>
      <c r="AV64" s="2033"/>
      <c r="AW64" s="1914"/>
      <c r="AX64" s="1914"/>
      <c r="AY64" s="1914"/>
      <c r="AZ64" s="2032"/>
      <c r="BA64" s="2033"/>
      <c r="BB64" s="1914"/>
      <c r="BC64" s="1914"/>
      <c r="BD64" s="1914"/>
      <c r="BE64" s="2032"/>
      <c r="BF64" s="2033"/>
      <c r="BG64" s="1914"/>
      <c r="BH64" s="1914"/>
      <c r="BI64" s="1914"/>
      <c r="BJ64" s="2032"/>
      <c r="BK64" s="2033"/>
      <c r="BL64" s="1914"/>
      <c r="BM64" s="1914"/>
      <c r="BN64" s="1914"/>
      <c r="BO64" s="2032"/>
      <c r="BP64" s="2034"/>
      <c r="BQ64" s="1914"/>
      <c r="BR64" s="1914"/>
      <c r="BS64" s="1914"/>
      <c r="BT64" s="2035"/>
      <c r="BU64" s="1914"/>
      <c r="BV64" s="1914"/>
      <c r="BW64" s="2036"/>
      <c r="BX64" s="2035"/>
      <c r="BY64" s="1914"/>
      <c r="BZ64" s="1914"/>
      <c r="CA64" s="2010"/>
      <c r="CB64" s="1914"/>
      <c r="CC64" s="1914"/>
      <c r="CD64" s="1914"/>
      <c r="CE64" s="1914"/>
      <c r="CF64" s="2035"/>
      <c r="CG64" s="1914"/>
      <c r="CH64" s="1914"/>
      <c r="CI64" s="2010"/>
      <c r="CJ64" s="2037"/>
      <c r="CK64" s="1914"/>
      <c r="CL64" s="1914"/>
      <c r="CM64" s="1914"/>
      <c r="CN64" s="2036"/>
      <c r="CO64" s="2037"/>
      <c r="CP64" s="2031"/>
      <c r="CQ64" s="2031"/>
      <c r="CR64" s="2031"/>
      <c r="CS64" s="2036"/>
      <c r="CT64" s="2037"/>
      <c r="CU64" s="1914"/>
      <c r="CV64" s="1914"/>
      <c r="CW64" s="1914"/>
      <c r="CX64" s="2036"/>
      <c r="CY64" s="2037"/>
      <c r="CZ64" s="1914"/>
      <c r="DA64" s="1914"/>
      <c r="DB64" s="1914"/>
      <c r="DC64" s="2036"/>
      <c r="DD64" s="2037"/>
      <c r="DE64" s="1914"/>
      <c r="DF64" s="1914"/>
      <c r="DG64" s="1914"/>
      <c r="DH64" s="2038"/>
      <c r="DI64" s="2037"/>
      <c r="DJ64" s="1914"/>
      <c r="DK64" s="1914"/>
      <c r="DL64" s="1914"/>
      <c r="DM64" s="2038"/>
      <c r="DN64" s="2037"/>
      <c r="DO64" s="1914"/>
      <c r="DP64" s="1914"/>
      <c r="DQ64" s="1914"/>
      <c r="DR64" s="2038"/>
      <c r="DS64" s="2037"/>
      <c r="DT64" s="1914"/>
      <c r="DU64" s="1914"/>
      <c r="DV64" s="1914"/>
      <c r="DW64" s="2038"/>
      <c r="DX64" s="2037"/>
      <c r="DY64" s="1914"/>
      <c r="DZ64" s="1914"/>
      <c r="EA64" s="1914"/>
      <c r="EB64" s="2038"/>
      <c r="EC64" s="2037"/>
      <c r="ED64" s="1914"/>
      <c r="EE64" s="1914"/>
      <c r="EF64" s="1914"/>
      <c r="EG64" s="2038"/>
      <c r="EH64" s="2037"/>
      <c r="EI64" s="1914"/>
      <c r="EJ64" s="1914"/>
      <c r="EK64" s="1914"/>
      <c r="EL64" s="2038"/>
      <c r="EM64" s="1910"/>
      <c r="EN64" s="715"/>
      <c r="EO64" s="715"/>
      <c r="EP64" s="715"/>
      <c r="EQ64" s="366"/>
      <c r="ER64" s="2402">
        <f t="shared" si="38"/>
        <v>0</v>
      </c>
      <c r="ES64" s="2403">
        <f t="shared" si="146"/>
        <v>0</v>
      </c>
      <c r="ET64" s="2403">
        <f t="shared" si="146"/>
        <v>0</v>
      </c>
      <c r="EU64" s="2403">
        <f t="shared" si="146"/>
        <v>0</v>
      </c>
      <c r="EV64" s="2404" t="e">
        <f t="shared" si="40"/>
        <v>#DIV/0!</v>
      </c>
      <c r="EW64" s="2031"/>
      <c r="EX64" s="2031"/>
      <c r="EY64" s="2031"/>
      <c r="EZ64" s="593"/>
      <c r="FA64" s="2037"/>
      <c r="FB64" s="2031"/>
      <c r="FC64" s="2031"/>
      <c r="FD64" s="2036"/>
      <c r="FE64" s="2031"/>
      <c r="FF64" s="2031"/>
      <c r="FG64" s="2031"/>
      <c r="FH64" s="593"/>
      <c r="FI64" s="2039"/>
      <c r="FJ64" s="2040"/>
      <c r="FK64" s="2041"/>
      <c r="FL64" s="2041"/>
      <c r="FM64" s="693"/>
      <c r="FN64" s="2031"/>
      <c r="FO64" s="1914"/>
      <c r="FP64" s="1914"/>
      <c r="FQ64" s="1914"/>
      <c r="FR64" s="2032"/>
      <c r="FS64" s="1910"/>
      <c r="FT64" s="715"/>
      <c r="FU64" s="715"/>
      <c r="FV64" s="715"/>
      <c r="FW64" s="366"/>
      <c r="FX64" s="2037"/>
      <c r="FY64" s="1914"/>
      <c r="FZ64" s="1914"/>
      <c r="GA64" s="715"/>
      <c r="GB64" s="366"/>
      <c r="GC64" s="1899"/>
      <c r="GD64" s="1900"/>
      <c r="GE64" s="1900"/>
      <c r="GF64" s="1889"/>
      <c r="GG64" s="366"/>
      <c r="GH64" s="1901"/>
      <c r="GI64" s="1824"/>
      <c r="GJ64" s="1824"/>
      <c r="GK64" s="715"/>
      <c r="GL64" s="366"/>
      <c r="GM64" s="1901"/>
      <c r="GN64" s="1824"/>
      <c r="GO64" s="1824"/>
      <c r="GP64" s="715"/>
      <c r="GQ64" s="366"/>
      <c r="GR64" s="2042"/>
      <c r="GS64" s="2043"/>
      <c r="GT64" s="2043"/>
      <c r="GU64" s="715"/>
      <c r="GV64" s="366"/>
      <c r="GW64" s="2042"/>
      <c r="GX64" s="2043"/>
      <c r="GY64" s="2043"/>
      <c r="GZ64" s="715"/>
      <c r="HA64" s="366"/>
      <c r="HB64" s="2042"/>
      <c r="HC64" s="2043"/>
      <c r="HD64" s="2043"/>
      <c r="HE64" s="715"/>
      <c r="HF64" s="366"/>
      <c r="HG64" s="2042"/>
      <c r="HH64" s="2043"/>
      <c r="HI64" s="2043"/>
      <c r="HJ64" s="1818"/>
      <c r="HK64" s="366"/>
      <c r="HL64" s="2042"/>
      <c r="HM64" s="2043"/>
      <c r="HN64" s="2043"/>
      <c r="HO64" s="715"/>
      <c r="HP64" s="366"/>
      <c r="HQ64" s="1905"/>
      <c r="HR64" s="1248"/>
      <c r="HS64" s="1248"/>
      <c r="HT64" s="1248"/>
      <c r="HU64" s="1826"/>
      <c r="HV64" s="2405">
        <f t="shared" si="155"/>
        <v>0</v>
      </c>
      <c r="HW64" s="2406">
        <f t="shared" si="156"/>
        <v>0</v>
      </c>
      <c r="HX64" s="2406">
        <f t="shared" si="156"/>
        <v>0</v>
      </c>
      <c r="HY64" s="2406">
        <f t="shared" si="156"/>
        <v>0</v>
      </c>
      <c r="HZ64" s="1906"/>
      <c r="IA64" s="1907"/>
      <c r="IB64" s="1908"/>
      <c r="IC64" s="1908"/>
      <c r="ID64" s="1909"/>
      <c r="IE64" s="1910"/>
      <c r="IF64" s="1911"/>
      <c r="IG64" s="1912"/>
      <c r="IH64" s="1909"/>
      <c r="II64" s="1835"/>
      <c r="IJ64" s="1836"/>
      <c r="IK64" s="1836"/>
      <c r="IL64" s="693"/>
      <c r="IM64" s="1913"/>
      <c r="IN64" s="1836"/>
      <c r="IO64" s="1836"/>
      <c r="IP64" s="1838"/>
      <c r="IQ64" s="1914"/>
      <c r="IR64" s="2044"/>
      <c r="IS64" s="715"/>
      <c r="IT64" s="715"/>
      <c r="IU64" s="1996"/>
      <c r="IV64" s="2045"/>
      <c r="IW64" s="1910"/>
      <c r="IX64" s="715"/>
      <c r="IY64" s="715"/>
      <c r="IZ64" s="1818"/>
      <c r="JA64" s="1821"/>
      <c r="JB64" s="2407"/>
      <c r="JC64" s="2408"/>
      <c r="JD64" s="2409"/>
      <c r="JE64" s="1818"/>
      <c r="JF64" s="1821"/>
      <c r="JG64" s="1925"/>
      <c r="JH64" s="1824"/>
      <c r="JI64" s="1824"/>
      <c r="JJ64" s="1822"/>
      <c r="JK64" s="1821"/>
      <c r="JL64" s="1926"/>
      <c r="JM64" s="1824"/>
      <c r="JN64" s="1824"/>
      <c r="JO64" s="715"/>
      <c r="JP64" s="1821"/>
      <c r="JQ64" s="1926"/>
      <c r="JR64" s="1982"/>
      <c r="JS64" s="1248"/>
      <c r="JT64" s="1996"/>
      <c r="JU64" s="1821"/>
      <c r="JV64" s="2410"/>
      <c r="JW64" s="2043"/>
      <c r="JX64" s="1904"/>
      <c r="JY64" s="715"/>
      <c r="JZ64" s="1821"/>
      <c r="KA64" s="1925"/>
      <c r="KB64" s="1248"/>
      <c r="KC64" s="1982"/>
      <c r="KD64" s="1983"/>
      <c r="KE64" s="1952"/>
      <c r="KF64" s="1990"/>
      <c r="KG64" s="1904"/>
      <c r="KH64" s="1904"/>
      <c r="KI64" s="1818"/>
      <c r="KJ64" s="1821"/>
      <c r="KK64" s="1990"/>
      <c r="KL64" s="1904"/>
      <c r="KM64" s="1904"/>
      <c r="KN64" s="2023"/>
      <c r="KO64" s="2024"/>
      <c r="KP64" s="1823"/>
      <c r="KQ64" s="1982"/>
      <c r="KR64" s="1248"/>
      <c r="KS64" s="1996"/>
      <c r="KT64" s="1819"/>
      <c r="KU64" s="1905"/>
      <c r="KV64" s="1248"/>
      <c r="KW64" s="1248"/>
      <c r="KX64" s="1248"/>
      <c r="KY64" s="77"/>
      <c r="KZ64" s="1832">
        <f>(IR64+IW64+JB64+JG64+JL64+JQ64+JV64+KA64+KF64+KK64+KP64+KU64)/12</f>
        <v>0</v>
      </c>
      <c r="LA64" s="622">
        <f t="shared" ref="LA64:LC68" si="269">IS64+IX64+JC64+JH64+JM64+JR64+JW64+KB64+KG64+KL64+KQ64+KV64</f>
        <v>0</v>
      </c>
      <c r="LB64" s="622">
        <f t="shared" si="269"/>
        <v>0</v>
      </c>
      <c r="LC64" s="622">
        <f t="shared" si="269"/>
        <v>0</v>
      </c>
      <c r="LD64" s="239"/>
      <c r="LE64" s="1834"/>
      <c r="LF64" s="1830"/>
      <c r="LG64" s="1830"/>
      <c r="LH64" s="1831"/>
      <c r="LI64" s="1832"/>
      <c r="LJ64" s="1833"/>
      <c r="LK64" s="1834"/>
      <c r="LL64" s="1831"/>
      <c r="LM64" s="1835"/>
      <c r="LN64" s="1836"/>
      <c r="LO64" s="1836"/>
      <c r="LP64" s="239"/>
      <c r="LQ64" s="1837"/>
      <c r="LR64" s="1836"/>
      <c r="LS64" s="1836"/>
      <c r="LT64" s="1838"/>
      <c r="LV64" s="401"/>
      <c r="LW64" s="395"/>
      <c r="LX64" s="395"/>
      <c r="LY64" s="115"/>
      <c r="LZ64" s="186"/>
      <c r="MA64" s="2000"/>
      <c r="MB64" s="1317"/>
      <c r="MC64" s="1317"/>
      <c r="MD64" s="372"/>
      <c r="ME64" s="207"/>
      <c r="MF64" s="2445"/>
      <c r="MG64" s="2001"/>
      <c r="MH64" s="2001"/>
      <c r="MI64" s="372"/>
      <c r="MJ64" s="207"/>
      <c r="MK64" s="2573"/>
      <c r="ML64" s="395"/>
      <c r="MM64" s="395"/>
      <c r="MN64" s="372"/>
      <c r="MO64" s="207"/>
      <c r="MP64" s="1577"/>
      <c r="MQ64" s="1248"/>
      <c r="MR64" s="1248"/>
      <c r="MS64" s="1248"/>
      <c r="MT64" s="655"/>
      <c r="MU64" s="1318"/>
      <c r="MV64" s="395"/>
      <c r="MW64" s="395"/>
      <c r="MX64" s="395"/>
      <c r="MY64" s="655"/>
      <c r="MZ64" s="1318">
        <v>1</v>
      </c>
      <c r="NA64" s="395">
        <v>29167</v>
      </c>
      <c r="NB64" s="395">
        <v>80000</v>
      </c>
      <c r="NC64" s="395">
        <f>NB64-NA64</f>
        <v>50833</v>
      </c>
      <c r="ND64" s="801">
        <f>NC64/NB64</f>
        <v>0.63541250000000005</v>
      </c>
      <c r="NE64" s="1318">
        <v>1</v>
      </c>
      <c r="NF64" s="395">
        <v>29167</v>
      </c>
      <c r="NG64" s="395">
        <v>80000</v>
      </c>
      <c r="NH64" s="395">
        <f>NG64-NF64</f>
        <v>50833</v>
      </c>
      <c r="NI64" s="801">
        <f>NH64/NG64</f>
        <v>0.63541250000000005</v>
      </c>
      <c r="NJ64" s="1318">
        <v>1</v>
      </c>
      <c r="NK64" s="395">
        <v>29167</v>
      </c>
      <c r="NL64" s="395">
        <v>80000</v>
      </c>
      <c r="NM64" s="395">
        <f>NL64-NK64</f>
        <v>50833</v>
      </c>
      <c r="NN64" s="801">
        <f>NM64/NL64</f>
        <v>0.63541250000000005</v>
      </c>
      <c r="NO64" s="2432">
        <v>1</v>
      </c>
      <c r="NP64" s="622">
        <v>29167</v>
      </c>
      <c r="NQ64" s="2437">
        <v>80000</v>
      </c>
      <c r="NR64" s="395">
        <f>NQ64-NP64</f>
        <v>50833</v>
      </c>
      <c r="NS64" s="801">
        <f>NR64/NQ64</f>
        <v>0.63541250000000005</v>
      </c>
      <c r="NT64" s="2432">
        <v>1</v>
      </c>
      <c r="NU64" s="622">
        <v>29167</v>
      </c>
      <c r="NV64" s="622">
        <v>80000</v>
      </c>
      <c r="NW64" s="395">
        <f>NV64-NU64</f>
        <v>50833</v>
      </c>
      <c r="NX64" s="801">
        <f>NW64/NV64</f>
        <v>0.63541250000000005</v>
      </c>
      <c r="NY64" s="2432"/>
      <c r="NZ64" s="622">
        <v>0</v>
      </c>
      <c r="OA64" s="622">
        <v>0</v>
      </c>
      <c r="OB64" s="622">
        <v>0</v>
      </c>
      <c r="OC64" s="2050">
        <v>0</v>
      </c>
      <c r="OD64" s="2433"/>
      <c r="OE64" s="622">
        <f t="shared" si="265"/>
        <v>145835</v>
      </c>
      <c r="OF64" s="622">
        <f t="shared" si="265"/>
        <v>400000</v>
      </c>
      <c r="OG64" s="622">
        <f t="shared" si="265"/>
        <v>254165</v>
      </c>
      <c r="OH64" s="1576">
        <f>OG64/OF64</f>
        <v>0.63541250000000005</v>
      </c>
      <c r="OI64" s="2435">
        <f t="shared" si="238"/>
        <v>0</v>
      </c>
      <c r="OJ64" s="2436">
        <f t="shared" si="239"/>
        <v>0</v>
      </c>
      <c r="OK64" s="2436">
        <f t="shared" si="239"/>
        <v>0</v>
      </c>
      <c r="OL64" s="2436">
        <f t="shared" si="239"/>
        <v>0</v>
      </c>
      <c r="OM64" s="1439"/>
      <c r="ON64" s="622"/>
      <c r="OO64" s="622"/>
      <c r="OP64" s="622"/>
      <c r="OQ64" s="2437"/>
      <c r="OR64" s="421"/>
      <c r="OS64" s="2438">
        <f t="shared" si="241"/>
        <v>1</v>
      </c>
      <c r="OT64" s="2439">
        <f t="shared" si="242"/>
        <v>87501</v>
      </c>
      <c r="OU64" s="2439">
        <f t="shared" si="242"/>
        <v>240000</v>
      </c>
      <c r="OV64" s="2440">
        <f t="shared" si="242"/>
        <v>152499</v>
      </c>
      <c r="OW64" s="460">
        <f t="shared" si="266"/>
        <v>0.63541250000000005</v>
      </c>
      <c r="OX64" s="2432">
        <f t="shared" si="243"/>
        <v>0.66666666666666663</v>
      </c>
      <c r="OY64" s="622">
        <f t="shared" si="244"/>
        <v>58334</v>
      </c>
      <c r="OZ64" s="622">
        <f t="shared" si="244"/>
        <v>160000</v>
      </c>
      <c r="PA64" s="2437">
        <f t="shared" si="244"/>
        <v>101666</v>
      </c>
      <c r="PB64" s="116">
        <f>PA64/OZ64</f>
        <v>0.63541250000000005</v>
      </c>
      <c r="PC64" s="2441"/>
      <c r="PD64" s="401"/>
      <c r="PE64" s="395"/>
      <c r="PF64" s="395"/>
      <c r="PG64" s="115">
        <f t="shared" si="263"/>
        <v>0</v>
      </c>
      <c r="PH64" s="186" t="s">
        <v>819</v>
      </c>
      <c r="PI64" s="2000"/>
      <c r="PJ64" s="1317"/>
      <c r="PK64" s="1317"/>
      <c r="PL64" s="372"/>
      <c r="PM64" s="207"/>
      <c r="PN64" s="2445"/>
      <c r="PO64" s="2001"/>
      <c r="PP64" s="2001"/>
      <c r="PQ64" s="372"/>
      <c r="PR64" s="207"/>
      <c r="PS64" s="2891"/>
      <c r="PT64" s="2001"/>
      <c r="PU64" s="2001"/>
      <c r="PV64" s="2892"/>
      <c r="PW64" s="370"/>
      <c r="PX64" s="1577"/>
      <c r="PY64" s="1248"/>
      <c r="PZ64" s="1248"/>
      <c r="QA64" s="1248"/>
      <c r="QB64" s="655"/>
      <c r="QC64" s="2002"/>
      <c r="QD64" s="2001"/>
      <c r="QE64" s="2001"/>
      <c r="QF64" s="2001"/>
      <c r="QG64" s="2019"/>
      <c r="QH64" s="401"/>
      <c r="QI64" s="395"/>
      <c r="QJ64" s="395"/>
      <c r="QK64" s="395"/>
      <c r="QL64" s="801"/>
      <c r="QM64" s="401"/>
      <c r="QN64" s="395"/>
      <c r="QO64" s="395"/>
      <c r="QP64" s="395"/>
      <c r="QQ64" s="801"/>
      <c r="QR64" s="2002"/>
      <c r="QS64" s="2001"/>
      <c r="QT64" s="2001"/>
      <c r="QU64" s="2001"/>
      <c r="QV64" s="370"/>
      <c r="QW64" s="2430"/>
      <c r="QX64" s="1873"/>
      <c r="QY64" s="2431"/>
      <c r="QZ64" s="2001"/>
      <c r="RA64" s="2003"/>
      <c r="RB64" s="2432"/>
      <c r="RC64" s="622"/>
      <c r="RD64" s="622"/>
      <c r="RE64" s="395"/>
      <c r="RF64" s="801"/>
      <c r="RG64" s="2108"/>
      <c r="RH64" s="1873">
        <v>0</v>
      </c>
      <c r="RI64" s="1873">
        <v>0</v>
      </c>
      <c r="RJ64" s="1873">
        <v>0</v>
      </c>
      <c r="RK64" s="2050">
        <v>0</v>
      </c>
      <c r="RL64" s="3717"/>
      <c r="RM64" s="1873">
        <f t="shared" si="245"/>
        <v>0</v>
      </c>
      <c r="RN64" s="1873">
        <f t="shared" si="245"/>
        <v>0</v>
      </c>
      <c r="RO64" s="1873">
        <f t="shared" si="245"/>
        <v>0</v>
      </c>
      <c r="RP64" s="1576"/>
      <c r="RQ64" s="2435">
        <f t="shared" si="246"/>
        <v>0</v>
      </c>
      <c r="RR64" s="2436">
        <f t="shared" si="247"/>
        <v>0</v>
      </c>
      <c r="RS64" s="2436">
        <f t="shared" si="247"/>
        <v>0</v>
      </c>
      <c r="RT64" s="2436">
        <f t="shared" si="247"/>
        <v>0</v>
      </c>
      <c r="RU64" s="1439"/>
      <c r="RV64" s="622"/>
      <c r="RW64" s="622"/>
      <c r="RX64" s="622"/>
      <c r="RY64" s="2437"/>
      <c r="RZ64" s="421"/>
      <c r="SA64" s="2438">
        <f t="shared" si="249"/>
        <v>0</v>
      </c>
      <c r="SB64" s="2439">
        <f t="shared" si="250"/>
        <v>0</v>
      </c>
      <c r="SC64" s="2439">
        <f t="shared" si="250"/>
        <v>0</v>
      </c>
      <c r="SD64" s="2440">
        <f t="shared" si="250"/>
        <v>0</v>
      </c>
      <c r="SE64" s="460" t="e">
        <f t="shared" si="267"/>
        <v>#DIV/0!</v>
      </c>
      <c r="SF64" s="2432">
        <f t="shared" si="251"/>
        <v>0</v>
      </c>
      <c r="SG64" s="622">
        <f t="shared" si="252"/>
        <v>0</v>
      </c>
      <c r="SH64" s="622">
        <f t="shared" si="252"/>
        <v>0</v>
      </c>
      <c r="SI64" s="2437">
        <f t="shared" si="252"/>
        <v>0</v>
      </c>
      <c r="SJ64" s="116" t="e">
        <f>SI64/SH64</f>
        <v>#DIV/0!</v>
      </c>
      <c r="SL64" s="2445"/>
      <c r="SM64" s="2001"/>
      <c r="SN64" s="2001"/>
      <c r="SO64" s="3534">
        <f t="shared" si="264"/>
        <v>0</v>
      </c>
      <c r="SP64" s="1498" t="s">
        <v>819</v>
      </c>
      <c r="SQ64" s="6015"/>
      <c r="SR64" s="3208"/>
      <c r="SS64" s="3208"/>
      <c r="ST64" s="2892"/>
      <c r="SU64" s="370"/>
      <c r="SV64" s="401"/>
      <c r="SW64" s="395"/>
      <c r="SX64" s="395"/>
      <c r="SY64" s="372"/>
      <c r="SZ64" s="207"/>
      <c r="TA64" s="2573"/>
      <c r="TB64" s="395"/>
      <c r="TC64" s="395"/>
      <c r="TD64" s="372"/>
      <c r="TE64" s="207"/>
      <c r="TF64" s="1577"/>
      <c r="TG64" s="1248"/>
      <c r="TH64" s="1248"/>
      <c r="TI64" s="1248"/>
      <c r="TJ64" s="655"/>
      <c r="TK64" s="2002"/>
      <c r="TL64" s="2001"/>
      <c r="TM64" s="2001"/>
      <c r="TN64" s="2001"/>
      <c r="TO64" s="2019"/>
      <c r="TP64" s="4434"/>
      <c r="TQ64" s="395"/>
      <c r="TR64" s="395"/>
      <c r="TS64" s="395"/>
      <c r="TT64" s="801"/>
      <c r="TU64" s="4464"/>
      <c r="TV64" s="2001"/>
      <c r="TW64" s="2001"/>
      <c r="TX64" s="2001"/>
      <c r="TY64" s="2003"/>
      <c r="TZ64" s="2002"/>
      <c r="UA64" s="2001"/>
      <c r="UB64" s="2001"/>
      <c r="UC64" s="2001"/>
      <c r="UD64" s="370"/>
      <c r="UE64" s="2430"/>
      <c r="UF64" s="1873"/>
      <c r="UG64" s="2431"/>
      <c r="UH64" s="2001"/>
      <c r="UI64" s="2003"/>
      <c r="UJ64" s="2432"/>
      <c r="UK64" s="622"/>
      <c r="UL64" s="622"/>
      <c r="UM64" s="395"/>
      <c r="UN64" s="801"/>
      <c r="UO64" s="2108"/>
      <c r="UP64" s="1873">
        <v>0</v>
      </c>
      <c r="UQ64" s="1873">
        <v>0</v>
      </c>
      <c r="UR64" s="1873">
        <v>0</v>
      </c>
      <c r="US64" s="2050">
        <v>0</v>
      </c>
      <c r="UT64" s="2433"/>
      <c r="UU64" s="622">
        <f t="shared" si="78"/>
        <v>0</v>
      </c>
      <c r="UV64" s="622">
        <f t="shared" si="78"/>
        <v>0</v>
      </c>
      <c r="UW64" s="622">
        <f t="shared" si="78"/>
        <v>0</v>
      </c>
      <c r="UX64" s="2281">
        <v>0</v>
      </c>
      <c r="UY64" s="2435">
        <f t="shared" si="253"/>
        <v>0</v>
      </c>
      <c r="UZ64" s="2436">
        <f t="shared" si="254"/>
        <v>0</v>
      </c>
      <c r="VA64" s="2436">
        <f t="shared" si="254"/>
        <v>0</v>
      </c>
      <c r="VB64" s="2436">
        <f t="shared" si="254"/>
        <v>0</v>
      </c>
      <c r="VC64" s="1439"/>
      <c r="VD64" s="622"/>
      <c r="VE64" s="622"/>
      <c r="VF64" s="622"/>
      <c r="VG64" s="2437"/>
      <c r="VH64" s="421"/>
      <c r="VI64" s="2438">
        <f t="shared" si="256"/>
        <v>0</v>
      </c>
      <c r="VJ64" s="2439">
        <f t="shared" si="257"/>
        <v>0</v>
      </c>
      <c r="VK64" s="2439">
        <f t="shared" si="257"/>
        <v>0</v>
      </c>
      <c r="VL64" s="2440">
        <f t="shared" si="257"/>
        <v>0</v>
      </c>
      <c r="VM64" s="460" t="e">
        <f t="shared" si="268"/>
        <v>#DIV/0!</v>
      </c>
      <c r="VN64" s="2432">
        <f t="shared" si="258"/>
        <v>0</v>
      </c>
      <c r="VO64" s="622">
        <f t="shared" si="259"/>
        <v>0</v>
      </c>
      <c r="VP64" s="622">
        <f t="shared" si="259"/>
        <v>0</v>
      </c>
      <c r="VQ64" s="2437">
        <f t="shared" si="259"/>
        <v>0</v>
      </c>
      <c r="VR64" s="116" t="e">
        <f>VQ64/VP64</f>
        <v>#DIV/0!</v>
      </c>
    </row>
    <row r="65" spans="1:590" s="122" customFormat="1" ht="13.45" hidden="1" x14ac:dyDescent="0.3">
      <c r="A65" s="2906"/>
      <c r="B65" s="1773" t="s">
        <v>53</v>
      </c>
      <c r="C65" s="6084" t="s">
        <v>57</v>
      </c>
      <c r="D65" s="6009" t="s">
        <v>823</v>
      </c>
      <c r="E65" s="6085">
        <v>44505</v>
      </c>
      <c r="F65" s="6086">
        <v>44869</v>
      </c>
      <c r="G65" s="6087">
        <v>37000</v>
      </c>
      <c r="H65" s="1775"/>
      <c r="I65" s="6088"/>
      <c r="J65" s="6089"/>
      <c r="K65" s="1776"/>
      <c r="L65" s="1777"/>
      <c r="M65" s="5992"/>
      <c r="N65" s="1779"/>
      <c r="O65" s="1779"/>
      <c r="P65" s="1779"/>
      <c r="Q65" s="1780"/>
      <c r="R65" s="5986"/>
      <c r="S65" s="1776"/>
      <c r="T65" s="1783"/>
      <c r="U65" s="1776"/>
      <c r="V65" s="1777"/>
      <c r="W65" s="5976"/>
      <c r="X65" s="1776"/>
      <c r="Y65" s="1783"/>
      <c r="Z65" s="1776"/>
      <c r="AA65" s="1777"/>
      <c r="AB65" s="1785"/>
      <c r="AC65" s="1776"/>
      <c r="AD65" s="1783"/>
      <c r="AE65" s="1776"/>
      <c r="AF65" s="1777"/>
      <c r="AG65" s="1785"/>
      <c r="AH65" s="1776"/>
      <c r="AI65" s="1786"/>
      <c r="AJ65" s="1786"/>
      <c r="AK65" s="1777"/>
      <c r="AL65" s="1785"/>
      <c r="AM65" s="1781"/>
      <c r="AN65" s="1781"/>
      <c r="AO65" s="1781"/>
      <c r="AP65" s="1777"/>
      <c r="AQ65" s="1787"/>
      <c r="AR65" s="1781"/>
      <c r="AS65" s="1781"/>
      <c r="AT65" s="1789"/>
      <c r="AU65" s="1777"/>
      <c r="AV65" s="1790"/>
      <c r="AW65" s="1781"/>
      <c r="AX65" s="1781"/>
      <c r="AY65" s="1781"/>
      <c r="AZ65" s="1777"/>
      <c r="BA65" s="1791"/>
      <c r="BB65" s="1786"/>
      <c r="BC65" s="1776"/>
      <c r="BD65" s="1781"/>
      <c r="BE65" s="1780"/>
      <c r="BF65" s="1790"/>
      <c r="BG65" s="1781"/>
      <c r="BH65" s="1776"/>
      <c r="BI65" s="1781"/>
      <c r="BJ65" s="1780"/>
      <c r="BK65" s="1790"/>
      <c r="BL65" s="1783"/>
      <c r="BM65" s="6075"/>
      <c r="BN65" s="1781"/>
      <c r="BO65" s="5978"/>
      <c r="BP65" s="1937">
        <f>(AV65+AQ65+AL65+AG65+AB65+W65+R65+M65+H65+BA65+BF65+BK65)/12</f>
        <v>0</v>
      </c>
      <c r="BQ65" s="1796"/>
      <c r="BR65" s="1786"/>
      <c r="BS65" s="1797"/>
      <c r="BT65" s="1798"/>
      <c r="BU65" s="1786"/>
      <c r="BV65" s="1786"/>
      <c r="BW65" s="1799"/>
      <c r="BX65" s="1800"/>
      <c r="BY65" s="1786"/>
      <c r="BZ65" s="1786"/>
      <c r="CA65" s="6090"/>
      <c r="CB65" s="1802"/>
      <c r="CC65" s="1786"/>
      <c r="CD65" s="1786"/>
      <c r="CE65" s="1803"/>
      <c r="CF65" s="1800"/>
      <c r="CG65" s="1776"/>
      <c r="CH65" s="1776"/>
      <c r="CI65" s="1801"/>
      <c r="CJ65" s="1804"/>
      <c r="CK65" s="1776"/>
      <c r="CL65" s="1776"/>
      <c r="CM65" s="1810"/>
      <c r="CN65" s="1799"/>
      <c r="CO65" s="1804"/>
      <c r="CP65" s="1776"/>
      <c r="CQ65" s="1776"/>
      <c r="CR65" s="1776"/>
      <c r="CS65" s="1799"/>
      <c r="CT65" s="1804"/>
      <c r="CU65" s="1776"/>
      <c r="CV65" s="1776"/>
      <c r="CW65" s="1776"/>
      <c r="CX65" s="1799"/>
      <c r="CY65" s="1808"/>
      <c r="CZ65" s="1783"/>
      <c r="DA65" s="2577"/>
      <c r="DB65" s="1776"/>
      <c r="DC65" s="1799"/>
      <c r="DD65" s="1808"/>
      <c r="DE65" s="1783"/>
      <c r="DF65" s="2577"/>
      <c r="DG65" s="1783"/>
      <c r="DH65" s="1807"/>
      <c r="DI65" s="1808"/>
      <c r="DJ65" s="2577"/>
      <c r="DK65" s="2577"/>
      <c r="DL65" s="1776"/>
      <c r="DM65" s="1807"/>
      <c r="DN65" s="1804"/>
      <c r="DO65" s="1776"/>
      <c r="DP65" s="2577"/>
      <c r="DQ65" s="1776"/>
      <c r="DR65" s="1807"/>
      <c r="DS65" s="1804"/>
      <c r="DT65" s="2577"/>
      <c r="DU65" s="2577"/>
      <c r="DV65" s="1776"/>
      <c r="DW65" s="1799"/>
      <c r="DX65" s="1804"/>
      <c r="DY65" s="1776"/>
      <c r="DZ65" s="1776"/>
      <c r="EA65" s="1776"/>
      <c r="EB65" s="1807"/>
      <c r="EC65" s="1804"/>
      <c r="ED65" s="1776">
        <v>0</v>
      </c>
      <c r="EE65" s="1776">
        <v>0</v>
      </c>
      <c r="EF65" s="1786">
        <v>0</v>
      </c>
      <c r="EG65" s="1807"/>
      <c r="EH65" s="1804">
        <v>2</v>
      </c>
      <c r="EI65" s="1776">
        <v>66979</v>
      </c>
      <c r="EJ65" s="1776">
        <v>74000</v>
      </c>
      <c r="EK65" s="1776">
        <f>EJ65-EI65</f>
        <v>7021</v>
      </c>
      <c r="EL65" s="1807">
        <f>EK65/EJ65</f>
        <v>9.4878378378378384E-2</v>
      </c>
      <c r="EM65" s="1804">
        <v>2</v>
      </c>
      <c r="EN65" s="1776">
        <v>71700</v>
      </c>
      <c r="EO65" s="1776">
        <v>74000</v>
      </c>
      <c r="EP65" s="1776">
        <f>EO65-EN65</f>
        <v>2300</v>
      </c>
      <c r="EQ65" s="1807">
        <f>EP65/EO65</f>
        <v>3.1081081081081083E-2</v>
      </c>
      <c r="ER65" s="2402">
        <f t="shared" si="38"/>
        <v>0.33333333333333331</v>
      </c>
      <c r="ES65" s="2403">
        <f t="shared" si="146"/>
        <v>138679</v>
      </c>
      <c r="ET65" s="2403">
        <f t="shared" si="146"/>
        <v>148000</v>
      </c>
      <c r="EU65" s="2403">
        <f t="shared" si="146"/>
        <v>9321</v>
      </c>
      <c r="EV65" s="2404">
        <f t="shared" si="40"/>
        <v>6.2979729729729733E-2</v>
      </c>
      <c r="EW65" s="1814"/>
      <c r="EX65" s="1776"/>
      <c r="EY65" s="1776"/>
      <c r="EZ65" s="1815"/>
      <c r="FA65" s="1939"/>
      <c r="FB65" s="1786"/>
      <c r="FC65" s="1786"/>
      <c r="FD65" s="1799"/>
      <c r="FE65" s="6091"/>
      <c r="FF65" s="1786"/>
      <c r="FG65" s="1786"/>
      <c r="FH65" s="1815"/>
      <c r="FI65" s="1816">
        <f>(EC65+EH65+EM65)/3</f>
        <v>1.3333333333333333</v>
      </c>
      <c r="FJ65" s="1814"/>
      <c r="FK65" s="1786">
        <f>EE65+EJ65+EO65</f>
        <v>148000</v>
      </c>
      <c r="FL65" s="1786">
        <f>EF65+EK65+EP65</f>
        <v>9321</v>
      </c>
      <c r="FM65" s="1799"/>
      <c r="FN65" s="1817">
        <v>2</v>
      </c>
      <c r="FO65" s="1818">
        <v>70000</v>
      </c>
      <c r="FP65" s="1818">
        <v>74000</v>
      </c>
      <c r="FQ65" s="1818">
        <f>FP65-FO65</f>
        <v>4000</v>
      </c>
      <c r="FR65" s="1819">
        <f>FQ65/FP65</f>
        <v>5.4054054054054057E-2</v>
      </c>
      <c r="FS65" s="1820">
        <v>2</v>
      </c>
      <c r="FT65" s="1818">
        <v>70000</v>
      </c>
      <c r="FU65" s="1818">
        <v>74000</v>
      </c>
      <c r="FV65" s="1818">
        <f>FU65-FT65</f>
        <v>4000</v>
      </c>
      <c r="FW65" s="1821">
        <f>FV65/FU65</f>
        <v>5.4054054054054057E-2</v>
      </c>
      <c r="FX65" s="1820"/>
      <c r="FY65" s="1822">
        <v>0</v>
      </c>
      <c r="FZ65" s="1822">
        <v>0</v>
      </c>
      <c r="GA65" s="1818">
        <v>0</v>
      </c>
      <c r="GB65" s="1821"/>
      <c r="GC65" s="1823">
        <v>1</v>
      </c>
      <c r="GD65" s="1824">
        <v>8387</v>
      </c>
      <c r="GE65" s="1824">
        <v>37000</v>
      </c>
      <c r="GF65" s="1818">
        <f>GE65-GD65</f>
        <v>28613</v>
      </c>
      <c r="GG65" s="1821">
        <f>GF65/GE65</f>
        <v>0.7733243243243243</v>
      </c>
      <c r="GH65" s="1823">
        <v>2</v>
      </c>
      <c r="GI65" s="1824">
        <v>48629</v>
      </c>
      <c r="GJ65" s="1824">
        <v>74000</v>
      </c>
      <c r="GK65" s="1818">
        <f>GJ65-GI65</f>
        <v>25371</v>
      </c>
      <c r="GL65" s="1821">
        <f>GK65/GJ65</f>
        <v>0.34285135135135136</v>
      </c>
      <c r="GM65" s="1823">
        <v>3</v>
      </c>
      <c r="GN65" s="1824">
        <v>81192</v>
      </c>
      <c r="GO65" s="1824">
        <v>74000</v>
      </c>
      <c r="GP65" s="1818">
        <f>GO65-GN65</f>
        <v>-7192</v>
      </c>
      <c r="GQ65" s="1821">
        <f>GP65/GO65</f>
        <v>-9.7189189189189187E-2</v>
      </c>
      <c r="GR65" s="1823">
        <v>2</v>
      </c>
      <c r="GS65" s="1824">
        <v>65833</v>
      </c>
      <c r="GT65" s="1824">
        <v>74000</v>
      </c>
      <c r="GU65" s="1818">
        <f>GT65-GS65</f>
        <v>8167</v>
      </c>
      <c r="GV65" s="1821">
        <f>GU65/GT65</f>
        <v>0.11036486486486487</v>
      </c>
      <c r="GW65" s="1823">
        <v>2</v>
      </c>
      <c r="GX65" s="1824">
        <v>61699</v>
      </c>
      <c r="GY65" s="1824">
        <v>74000</v>
      </c>
      <c r="GZ65" s="1818">
        <f>GY65-GX65</f>
        <v>12301</v>
      </c>
      <c r="HA65" s="1821">
        <f>GZ65/GY65</f>
        <v>0.16622972972972974</v>
      </c>
      <c r="HB65" s="1823">
        <v>2</v>
      </c>
      <c r="HC65" s="1824">
        <f>59999</f>
        <v>59999</v>
      </c>
      <c r="HD65" s="1824">
        <v>74000</v>
      </c>
      <c r="HE65" s="1818">
        <f>HD65-HC65</f>
        <v>14001</v>
      </c>
      <c r="HF65" s="1821">
        <f>HE65/HD65</f>
        <v>0.1892027027027027</v>
      </c>
      <c r="HG65" s="1823">
        <v>2</v>
      </c>
      <c r="HH65" s="1824">
        <v>60923</v>
      </c>
      <c r="HI65" s="1824">
        <v>74000</v>
      </c>
      <c r="HJ65" s="1818">
        <f>HI65-HH65</f>
        <v>13077</v>
      </c>
      <c r="HK65" s="1821">
        <f>HJ65/HI65</f>
        <v>0.17671621621621622</v>
      </c>
      <c r="HL65" s="1823">
        <v>2</v>
      </c>
      <c r="HM65" s="1824">
        <v>61799</v>
      </c>
      <c r="HN65" s="1824">
        <v>74000</v>
      </c>
      <c r="HO65" s="1818">
        <f>HN65-HM65</f>
        <v>12201</v>
      </c>
      <c r="HP65" s="1821">
        <f>HO65/HN65</f>
        <v>0.16487837837837838</v>
      </c>
      <c r="HQ65" s="654">
        <v>2</v>
      </c>
      <c r="HR65" s="1248">
        <v>61899</v>
      </c>
      <c r="HS65" s="1248">
        <v>74000</v>
      </c>
      <c r="HT65" s="1248">
        <f>HS65-HR65</f>
        <v>12101</v>
      </c>
      <c r="HU65" s="1826">
        <f>HT65/HS65</f>
        <v>0.16352702702702704</v>
      </c>
      <c r="HV65" s="6092">
        <f t="shared" si="155"/>
        <v>1.8333333333333333</v>
      </c>
      <c r="HW65" s="622">
        <f t="shared" si="156"/>
        <v>650360</v>
      </c>
      <c r="HX65" s="622">
        <f t="shared" si="156"/>
        <v>777000</v>
      </c>
      <c r="HY65" s="622">
        <f t="shared" si="156"/>
        <v>126640</v>
      </c>
      <c r="HZ65" s="1828"/>
      <c r="IA65" s="1829">
        <f>(FN65+FS65+FX65)/3</f>
        <v>1.3333333333333333</v>
      </c>
      <c r="IB65" s="1830">
        <f>FP65+FU65+FZ65</f>
        <v>148000</v>
      </c>
      <c r="IC65" s="1830">
        <f>FQ65+FV65+GA65</f>
        <v>8000</v>
      </c>
      <c r="ID65" s="1831">
        <f>IC65/IB65</f>
        <v>5.4054054054054057E-2</v>
      </c>
      <c r="IE65" s="1832">
        <f>(GC65+GH65+GM65)/3</f>
        <v>2</v>
      </c>
      <c r="IF65" s="1833">
        <f>(GE65+GJ65+GO65)</f>
        <v>185000</v>
      </c>
      <c r="IG65" s="1834">
        <f>(GF65+GK65+GP65)</f>
        <v>46792</v>
      </c>
      <c r="IH65" s="1831">
        <f>IG65/IF65</f>
        <v>0.25292972972972971</v>
      </c>
      <c r="II65" s="1913">
        <f>(GR65+GW65+HB65)/3</f>
        <v>2</v>
      </c>
      <c r="IJ65" s="1836">
        <f>(GT65+GY65+HD65)</f>
        <v>222000</v>
      </c>
      <c r="IK65" s="1836">
        <f>(GU65+GZ65+HE65)</f>
        <v>34469</v>
      </c>
      <c r="IL65" s="239">
        <f>IK65/IJ65</f>
        <v>0.15526576576576576</v>
      </c>
      <c r="IM65" s="1837">
        <f>(HB65+HG65+HL65)/3</f>
        <v>2</v>
      </c>
      <c r="IN65" s="1836">
        <f>(HI65+HN65+HS65)</f>
        <v>222000</v>
      </c>
      <c r="IO65" s="1836">
        <f>(HJ65+HO65+HT65)</f>
        <v>37379</v>
      </c>
      <c r="IP65" s="1838">
        <f>IO65/IN65</f>
        <v>0.16837387387387387</v>
      </c>
      <c r="IQ65" s="1839"/>
      <c r="IR65" s="1840">
        <v>2</v>
      </c>
      <c r="IS65" s="1818">
        <v>60999</v>
      </c>
      <c r="IT65" s="1818">
        <v>74000</v>
      </c>
      <c r="IU65" s="1818">
        <f>IT65-IS65</f>
        <v>13001</v>
      </c>
      <c r="IV65" s="1819">
        <f>IU65/IT65</f>
        <v>0.17568918918918919</v>
      </c>
      <c r="IW65" s="1820">
        <v>2</v>
      </c>
      <c r="IX65" s="1818">
        <v>59999</v>
      </c>
      <c r="IY65" s="1818">
        <v>74000</v>
      </c>
      <c r="IZ65" s="1818">
        <f>IY65-IX65</f>
        <v>14001</v>
      </c>
      <c r="JA65" s="1821">
        <f>IZ65/IY65</f>
        <v>0.1892027027027027</v>
      </c>
      <c r="JB65" s="1984">
        <v>2</v>
      </c>
      <c r="JC65" s="1985">
        <v>61099</v>
      </c>
      <c r="JD65" s="1986">
        <v>74000</v>
      </c>
      <c r="JE65" s="1818">
        <f>JD65-JC65</f>
        <v>12901</v>
      </c>
      <c r="JF65" s="1821">
        <f>JE65/JD65</f>
        <v>0.17433783783783785</v>
      </c>
      <c r="JG65" s="1981">
        <v>2</v>
      </c>
      <c r="JH65" s="1824">
        <v>61699</v>
      </c>
      <c r="JI65" s="1824">
        <v>74000</v>
      </c>
      <c r="JJ65" s="1822">
        <f>JI65-JH65</f>
        <v>12301</v>
      </c>
      <c r="JK65" s="1821">
        <f>JJ65/JI65</f>
        <v>0.16622972972972974</v>
      </c>
      <c r="JL65" s="1823">
        <v>2</v>
      </c>
      <c r="JM65" s="1824">
        <v>63399</v>
      </c>
      <c r="JN65" s="1824">
        <v>74000</v>
      </c>
      <c r="JO65" s="1996">
        <f>JN65-JM65</f>
        <v>10601</v>
      </c>
      <c r="JP65" s="1821">
        <f>JO65/JN65</f>
        <v>0.14325675675675675</v>
      </c>
      <c r="JQ65" s="6013">
        <v>2</v>
      </c>
      <c r="JR65" s="1982">
        <v>49155</v>
      </c>
      <c r="JS65" s="1248">
        <v>74000</v>
      </c>
      <c r="JT65" s="1996">
        <f>JS65-JR65</f>
        <v>24845</v>
      </c>
      <c r="JU65" s="1821">
        <f>JT65/JS65</f>
        <v>0.33574324324324323</v>
      </c>
      <c r="JV65" s="1981">
        <v>1</v>
      </c>
      <c r="JW65" s="1824">
        <v>34333</v>
      </c>
      <c r="JX65" s="1248">
        <v>74000</v>
      </c>
      <c r="JY65" s="1996">
        <f>JX65-JW65</f>
        <v>39667</v>
      </c>
      <c r="JZ65" s="1821">
        <f>JY65/JX65</f>
        <v>0.53604054054054051</v>
      </c>
      <c r="KA65" s="1981"/>
      <c r="KB65" s="1248">
        <v>0</v>
      </c>
      <c r="KC65" s="1982">
        <v>0</v>
      </c>
      <c r="KD65" s="1983">
        <f>KC65-KB65</f>
        <v>0</v>
      </c>
      <c r="KE65" s="1952"/>
      <c r="KF65" s="1981"/>
      <c r="KG65" s="1248"/>
      <c r="KH65" s="1824"/>
      <c r="KI65" s="2228">
        <f>KH65-KG65</f>
        <v>0</v>
      </c>
      <c r="KJ65" s="1821"/>
      <c r="KK65" s="1981"/>
      <c r="KL65" s="1904"/>
      <c r="KM65" s="1824"/>
      <c r="KN65" s="2023"/>
      <c r="KO65" s="2024"/>
      <c r="KP65" s="1823"/>
      <c r="KQ65" s="1982"/>
      <c r="KR65" s="1248"/>
      <c r="KS65" s="1996"/>
      <c r="KT65" s="1819"/>
      <c r="KU65" s="1905"/>
      <c r="KV65" s="1248"/>
      <c r="KW65" s="1248"/>
      <c r="KX65" s="1248"/>
      <c r="KY65" s="77"/>
      <c r="KZ65" s="1832">
        <v>0</v>
      </c>
      <c r="LA65" s="622">
        <f t="shared" si="269"/>
        <v>390683</v>
      </c>
      <c r="LB65" s="622">
        <f t="shared" si="269"/>
        <v>518000</v>
      </c>
      <c r="LC65" s="622">
        <f t="shared" si="269"/>
        <v>127317</v>
      </c>
      <c r="LD65" s="239">
        <f>LC65/LB65</f>
        <v>0.24578571428571427</v>
      </c>
      <c r="LE65" s="1834">
        <f>(IR65+IW65+JB65)/3</f>
        <v>2</v>
      </c>
      <c r="LF65" s="1830">
        <f t="shared" ref="LF65:LG68" si="270">IT65+IY65+JD65</f>
        <v>222000</v>
      </c>
      <c r="LG65" s="1830">
        <f t="shared" si="270"/>
        <v>39903</v>
      </c>
      <c r="LH65" s="1831">
        <f>LG65/LF65</f>
        <v>0.17974324324324326</v>
      </c>
      <c r="LI65" s="1832">
        <f>(JG65+JL65+JQ65)/3</f>
        <v>2</v>
      </c>
      <c r="LJ65" s="1833">
        <f t="shared" ref="LJ65:LK68" si="271">(JI65+JN65+JS65)</f>
        <v>222000</v>
      </c>
      <c r="LK65" s="1834">
        <f t="shared" si="271"/>
        <v>47747</v>
      </c>
      <c r="LL65" s="1831">
        <f>LK65/LJ65</f>
        <v>0.21507657657657658</v>
      </c>
      <c r="LM65" s="1835">
        <f>(JV65+KA65+KF65)/3</f>
        <v>0.33333333333333331</v>
      </c>
      <c r="LN65" s="1836">
        <f t="shared" ref="LN65:LO68" si="272">(JX65+KC65+KH65)</f>
        <v>74000</v>
      </c>
      <c r="LO65" s="1836">
        <f t="shared" si="272"/>
        <v>39667</v>
      </c>
      <c r="LP65" s="239">
        <f>LO65/LN65</f>
        <v>0.53604054054054051</v>
      </c>
      <c r="LQ65" s="1837">
        <f>(KF65+KK65+KP65)/3</f>
        <v>0</v>
      </c>
      <c r="LR65" s="1836">
        <f t="shared" ref="LR65:LS68" si="273">(KM65+KR65+KW65)</f>
        <v>0</v>
      </c>
      <c r="LS65" s="1836">
        <f t="shared" si="273"/>
        <v>0</v>
      </c>
      <c r="LT65" s="1838"/>
      <c r="LV65" s="6093"/>
      <c r="LW65" s="6094"/>
      <c r="LX65" s="6094"/>
      <c r="LY65" s="6095">
        <f>LX65-LW65</f>
        <v>0</v>
      </c>
      <c r="LZ65" s="6096"/>
      <c r="MA65" s="6097"/>
      <c r="MB65" s="2554"/>
      <c r="MC65" s="2554"/>
      <c r="MD65" s="6098">
        <f>MC65-MB65</f>
        <v>0</v>
      </c>
      <c r="ME65" s="6099"/>
      <c r="MF65" s="3660"/>
      <c r="MG65" s="6100">
        <v>0</v>
      </c>
      <c r="MH65" s="6100">
        <v>0</v>
      </c>
      <c r="MI65" s="372">
        <f>MH65-MG65</f>
        <v>0</v>
      </c>
      <c r="MJ65" s="207"/>
      <c r="MK65" s="6101"/>
      <c r="ML65" s="6102"/>
      <c r="MM65" s="6102"/>
      <c r="MN65" s="372">
        <f>MM65-ML65</f>
        <v>0</v>
      </c>
      <c r="MO65" s="207"/>
      <c r="MP65" s="6103"/>
      <c r="MQ65" s="6104"/>
      <c r="MR65" s="6104"/>
      <c r="MS65" s="1248">
        <f t="shared" ref="MS65:MS70" si="274">MR65-MQ65</f>
        <v>0</v>
      </c>
      <c r="MT65" s="655"/>
      <c r="MU65" s="6105"/>
      <c r="MV65" s="6106"/>
      <c r="MW65" s="6106"/>
      <c r="MX65" s="2001"/>
      <c r="MY65" s="2019"/>
      <c r="MZ65" s="1623"/>
      <c r="NA65" s="459"/>
      <c r="NB65" s="459"/>
      <c r="NC65" s="395"/>
      <c r="ND65" s="725"/>
      <c r="NE65" s="1623"/>
      <c r="NF65" s="459"/>
      <c r="NG65" s="459"/>
      <c r="NH65" s="395"/>
      <c r="NI65" s="725"/>
      <c r="NJ65" s="1623"/>
      <c r="NK65" s="459"/>
      <c r="NL65" s="459"/>
      <c r="NM65" s="395"/>
      <c r="NN65" s="725"/>
      <c r="NO65" s="6107"/>
      <c r="NP65" s="3560"/>
      <c r="NQ65" s="6108"/>
      <c r="NR65" s="2001"/>
      <c r="NS65" s="725"/>
      <c r="NT65" s="1839"/>
      <c r="NU65" s="1839"/>
      <c r="NV65" s="715"/>
      <c r="NW65" s="1839"/>
      <c r="NX65" s="1660"/>
      <c r="NY65" s="1659"/>
      <c r="NZ65" s="715"/>
      <c r="OA65" s="715"/>
      <c r="OB65" s="1839"/>
      <c r="OC65" s="1660"/>
      <c r="OD65" s="6109">
        <f>NY65+NT65+NO65+NJ65+NE65+MZ65+MU65+MP65+MK65+MF65+MA65+LV65</f>
        <v>0</v>
      </c>
      <c r="OE65" s="622">
        <f t="shared" si="265"/>
        <v>0</v>
      </c>
      <c r="OF65" s="622">
        <f t="shared" si="265"/>
        <v>0</v>
      </c>
      <c r="OG65" s="622">
        <f t="shared" si="265"/>
        <v>0</v>
      </c>
      <c r="OH65" s="6110"/>
      <c r="OI65" s="2435">
        <f>LV65+MA65+MF65</f>
        <v>0</v>
      </c>
      <c r="OJ65" s="2440"/>
      <c r="OK65" s="2436">
        <f>LX65+MC65+MH65</f>
        <v>0</v>
      </c>
      <c r="OL65" s="2436">
        <f>LY65+MD65+MI65</f>
        <v>0</v>
      </c>
      <c r="OM65" s="1439"/>
      <c r="ON65" s="622"/>
      <c r="OO65" s="622">
        <f t="shared" ref="OO65:OQ70" si="275">ML65+MQ65+MV65</f>
        <v>0</v>
      </c>
      <c r="OP65" s="622">
        <f t="shared" si="275"/>
        <v>0</v>
      </c>
      <c r="OQ65" s="2437">
        <f t="shared" si="275"/>
        <v>0</v>
      </c>
      <c r="OR65" s="421"/>
      <c r="OS65" s="2438">
        <f>NJ65+NE65+MZ65</f>
        <v>0</v>
      </c>
      <c r="OT65" s="2439">
        <f t="shared" si="242"/>
        <v>0</v>
      </c>
      <c r="OU65" s="2439">
        <f t="shared" si="242"/>
        <v>0</v>
      </c>
      <c r="OV65" s="2440">
        <f t="shared" si="242"/>
        <v>0</v>
      </c>
      <c r="OW65" s="460" t="e">
        <f t="shared" si="266"/>
        <v>#DIV/0!</v>
      </c>
      <c r="OX65" s="6111"/>
      <c r="OY65" s="6112"/>
      <c r="OZ65" s="6102"/>
      <c r="PA65" s="6102"/>
      <c r="PB65" s="6113"/>
      <c r="PD65" s="6093"/>
      <c r="PE65" s="6094"/>
      <c r="PF65" s="6094"/>
      <c r="PG65" s="6095">
        <f t="shared" si="263"/>
        <v>0</v>
      </c>
      <c r="PH65" s="6096"/>
      <c r="PI65" s="6097"/>
      <c r="PJ65" s="2554"/>
      <c r="PK65" s="2554"/>
      <c r="PL65" s="6098">
        <f t="shared" ref="PL65:PL71" si="276">PK65-PJ65</f>
        <v>0</v>
      </c>
      <c r="PM65" s="6099"/>
      <c r="PN65" s="3660"/>
      <c r="PO65" s="6100">
        <v>0</v>
      </c>
      <c r="PP65" s="6100">
        <v>0</v>
      </c>
      <c r="PQ65" s="372">
        <f t="shared" ref="PQ65:PQ71" si="277">PP65-PO65</f>
        <v>0</v>
      </c>
      <c r="PR65" s="207"/>
      <c r="PS65" s="6114"/>
      <c r="PT65" s="6115"/>
      <c r="PU65" s="6115"/>
      <c r="PV65" s="2892">
        <f>PU65-PT65</f>
        <v>0</v>
      </c>
      <c r="PW65" s="370"/>
      <c r="PX65" s="6103"/>
      <c r="PY65" s="6104"/>
      <c r="PZ65" s="6104"/>
      <c r="QA65" s="1248">
        <f>PZ65-PY65</f>
        <v>0</v>
      </c>
      <c r="QB65" s="655"/>
      <c r="QC65" s="6105"/>
      <c r="QD65" s="6106"/>
      <c r="QE65" s="6106"/>
      <c r="QF65" s="2001"/>
      <c r="QG65" s="2019"/>
      <c r="QH65" s="3660"/>
      <c r="QI65" s="459"/>
      <c r="QJ65" s="459"/>
      <c r="QK65" s="395"/>
      <c r="QL65" s="725"/>
      <c r="QM65" s="3660"/>
      <c r="QN65" s="459"/>
      <c r="QO65" s="459"/>
      <c r="QP65" s="395"/>
      <c r="QQ65" s="725"/>
      <c r="QR65" s="6105"/>
      <c r="QS65" s="6106"/>
      <c r="QT65" s="6106"/>
      <c r="QU65" s="2001"/>
      <c r="QV65" s="6116"/>
      <c r="QW65" s="6107"/>
      <c r="QX65" s="3560"/>
      <c r="QY65" s="6108"/>
      <c r="QZ65" s="2001"/>
      <c r="RA65" s="6117"/>
      <c r="RB65" s="1839"/>
      <c r="RC65" s="1839"/>
      <c r="RD65" s="715"/>
      <c r="RE65" s="1839"/>
      <c r="RF65" s="1660"/>
      <c r="RG65" s="2037"/>
      <c r="RH65" s="1914"/>
      <c r="RI65" s="1914"/>
      <c r="RJ65" s="5882"/>
      <c r="RK65" s="1660"/>
      <c r="RL65" s="6118">
        <f>RG65+RB65+QW65+QR65+QM65+QH65+QC65+PX65+PS65+PN65+PI65+PD65</f>
        <v>0</v>
      </c>
      <c r="RM65" s="1873">
        <f t="shared" si="245"/>
        <v>0</v>
      </c>
      <c r="RN65" s="1873">
        <f t="shared" si="245"/>
        <v>0</v>
      </c>
      <c r="RO65" s="1873">
        <f t="shared" si="245"/>
        <v>0</v>
      </c>
      <c r="RP65" s="6119"/>
      <c r="RQ65" s="2435">
        <f>PD65+PI65+PN65</f>
        <v>0</v>
      </c>
      <c r="RR65" s="2440"/>
      <c r="RS65" s="2436">
        <f>PF65+PK65+PP65</f>
        <v>0</v>
      </c>
      <c r="RT65" s="2436">
        <f>PG65+PL65+PQ65</f>
        <v>0</v>
      </c>
      <c r="RU65" s="1439"/>
      <c r="RV65" s="622"/>
      <c r="RW65" s="622">
        <f t="shared" ref="RW65:RY71" si="278">PT65+PY65+QD65</f>
        <v>0</v>
      </c>
      <c r="RX65" s="622">
        <f t="shared" si="278"/>
        <v>0</v>
      </c>
      <c r="RY65" s="2437">
        <f t="shared" si="278"/>
        <v>0</v>
      </c>
      <c r="RZ65" s="421"/>
      <c r="SA65" s="2438">
        <f>QR65+QM65+QH65</f>
        <v>0</v>
      </c>
      <c r="SB65" s="2439">
        <f t="shared" si="250"/>
        <v>0</v>
      </c>
      <c r="SC65" s="2439">
        <f t="shared" si="250"/>
        <v>0</v>
      </c>
      <c r="SD65" s="2440">
        <f t="shared" si="250"/>
        <v>0</v>
      </c>
      <c r="SE65" s="460" t="e">
        <f t="shared" si="267"/>
        <v>#DIV/0!</v>
      </c>
      <c r="SF65" s="6111"/>
      <c r="SG65" s="6112"/>
      <c r="SH65" s="6102"/>
      <c r="SI65" s="6102"/>
      <c r="SJ65" s="6113"/>
      <c r="SL65" s="6120"/>
      <c r="SM65" s="6121"/>
      <c r="SN65" s="6121"/>
      <c r="SO65" s="6122">
        <f t="shared" si="264"/>
        <v>0</v>
      </c>
      <c r="SP65" s="6123"/>
      <c r="SQ65" s="6124"/>
      <c r="SR65" s="6125"/>
      <c r="SS65" s="6125"/>
      <c r="ST65" s="6126">
        <f>SS65-SR65</f>
        <v>0</v>
      </c>
      <c r="SU65" s="6116"/>
      <c r="SV65" s="3660"/>
      <c r="SW65" s="6100">
        <v>0</v>
      </c>
      <c r="SX65" s="6100">
        <v>0</v>
      </c>
      <c r="SY65" s="372">
        <f t="shared" ref="SY65:SY71" si="279">SX65-SW65</f>
        <v>0</v>
      </c>
      <c r="SZ65" s="207"/>
      <c r="TA65" s="6101"/>
      <c r="TB65" s="6102"/>
      <c r="TC65" s="6102"/>
      <c r="TD65" s="372">
        <f t="shared" ref="TD65:TD121" si="280">TC65-TB65</f>
        <v>0</v>
      </c>
      <c r="TE65" s="207"/>
      <c r="TF65" s="6103"/>
      <c r="TG65" s="6104"/>
      <c r="TH65" s="6104"/>
      <c r="TI65" s="1248">
        <f>TH65-TG65</f>
        <v>0</v>
      </c>
      <c r="TJ65" s="655"/>
      <c r="TK65" s="6105"/>
      <c r="TL65" s="6106"/>
      <c r="TM65" s="6106"/>
      <c r="TN65" s="2001"/>
      <c r="TO65" s="2019"/>
      <c r="TP65" s="6127"/>
      <c r="TQ65" s="459"/>
      <c r="TR65" s="459"/>
      <c r="TS65" s="395"/>
      <c r="TT65" s="725"/>
      <c r="TU65" s="6128"/>
      <c r="TV65" s="6106"/>
      <c r="TW65" s="6106"/>
      <c r="TX65" s="2001"/>
      <c r="TY65" s="6117"/>
      <c r="TZ65" s="6105"/>
      <c r="UA65" s="6106"/>
      <c r="UB65" s="6106"/>
      <c r="UC65" s="2001"/>
      <c r="UD65" s="3868">
        <v>0</v>
      </c>
      <c r="UE65" s="6107"/>
      <c r="UF65" s="3560"/>
      <c r="UG65" s="6108"/>
      <c r="UH65" s="2001"/>
      <c r="UI65" s="6117"/>
      <c r="UJ65" s="1839"/>
      <c r="UK65" s="1839"/>
      <c r="UL65" s="715"/>
      <c r="UM65" s="1839"/>
      <c r="UN65" s="1660"/>
      <c r="UO65" s="2037"/>
      <c r="UP65" s="1914"/>
      <c r="UQ65" s="1914"/>
      <c r="UR65" s="5882"/>
      <c r="US65" s="1660"/>
      <c r="UT65" s="6109">
        <f>UO65+UJ65+UE65+TZ65+TU65+TP65+TK65+TF65+TA65+SV65+SQ65+SL65</f>
        <v>0</v>
      </c>
      <c r="UU65" s="622">
        <f t="shared" si="78"/>
        <v>0</v>
      </c>
      <c r="UV65" s="622">
        <f t="shared" si="78"/>
        <v>0</v>
      </c>
      <c r="UW65" s="622">
        <f t="shared" si="78"/>
        <v>0</v>
      </c>
      <c r="UX65" s="2281">
        <v>0</v>
      </c>
      <c r="UY65" s="2435">
        <f>SL65+SQ65+SV65</f>
        <v>0</v>
      </c>
      <c r="UZ65" s="2440"/>
      <c r="VA65" s="2436">
        <f t="shared" si="254"/>
        <v>0</v>
      </c>
      <c r="VB65" s="2436">
        <f t="shared" si="254"/>
        <v>0</v>
      </c>
      <c r="VC65" s="1439"/>
      <c r="VD65" s="622"/>
      <c r="VE65" s="622">
        <f t="shared" ref="VE65:VG71" si="281">TB65+TG65+TL65</f>
        <v>0</v>
      </c>
      <c r="VF65" s="622">
        <f t="shared" si="281"/>
        <v>0</v>
      </c>
      <c r="VG65" s="2437">
        <f t="shared" si="281"/>
        <v>0</v>
      </c>
      <c r="VH65" s="421"/>
      <c r="VI65" s="2438">
        <f>TZ65+TU65+TP65</f>
        <v>0</v>
      </c>
      <c r="VJ65" s="2439">
        <f t="shared" si="257"/>
        <v>0</v>
      </c>
      <c r="VK65" s="2439">
        <f t="shared" si="257"/>
        <v>0</v>
      </c>
      <c r="VL65" s="2440">
        <f t="shared" si="257"/>
        <v>0</v>
      </c>
      <c r="VM65" s="460" t="e">
        <f t="shared" si="268"/>
        <v>#DIV/0!</v>
      </c>
      <c r="VN65" s="6111"/>
      <c r="VO65" s="6112"/>
      <c r="VP65" s="6102"/>
      <c r="VQ65" s="6102"/>
      <c r="VR65" s="6113"/>
    </row>
    <row r="66" spans="1:590" s="2425" customFormat="1" ht="13.45" hidden="1" x14ac:dyDescent="0.3">
      <c r="A66" s="2399"/>
      <c r="B66" s="1773" t="s">
        <v>53</v>
      </c>
      <c r="C66" s="2060" t="s">
        <v>72</v>
      </c>
      <c r="D66" s="2061" t="s">
        <v>824</v>
      </c>
      <c r="E66" s="6129">
        <v>44759</v>
      </c>
      <c r="F66" s="6129">
        <v>44942</v>
      </c>
      <c r="G66" s="6130">
        <v>1200000</v>
      </c>
      <c r="H66" s="1874"/>
      <c r="I66" s="1875"/>
      <c r="J66" s="1875"/>
      <c r="K66" s="1875"/>
      <c r="L66" s="1876"/>
      <c r="M66" s="1874"/>
      <c r="N66" s="1875"/>
      <c r="O66" s="1875"/>
      <c r="P66" s="1875"/>
      <c r="Q66" s="1876"/>
      <c r="R66" s="1874"/>
      <c r="S66" s="1875"/>
      <c r="T66" s="1875"/>
      <c r="U66" s="1875"/>
      <c r="V66" s="1876"/>
      <c r="W66" s="1874"/>
      <c r="X66" s="1875"/>
      <c r="Y66" s="1875"/>
      <c r="Z66" s="1875"/>
      <c r="AA66" s="1877"/>
      <c r="AB66" s="1874"/>
      <c r="AC66" s="1875"/>
      <c r="AD66" s="1875"/>
      <c r="AE66" s="1875"/>
      <c r="AF66" s="1877"/>
      <c r="AG66" s="1875"/>
      <c r="AH66" s="1875"/>
      <c r="AI66" s="1875"/>
      <c r="AJ66" s="1875"/>
      <c r="AK66" s="1876"/>
      <c r="AL66" s="1875"/>
      <c r="AM66" s="1875"/>
      <c r="AN66" s="1875"/>
      <c r="AO66" s="1875"/>
      <c r="AP66" s="1876"/>
      <c r="AQ66" s="1875"/>
      <c r="AR66" s="1875"/>
      <c r="AS66" s="1875"/>
      <c r="AT66" s="1875"/>
      <c r="AU66" s="1876"/>
      <c r="AV66" s="1878"/>
      <c r="AW66" s="1875"/>
      <c r="AX66" s="1875"/>
      <c r="AY66" s="1875"/>
      <c r="AZ66" s="1877"/>
      <c r="BA66" s="1878"/>
      <c r="BB66" s="1875"/>
      <c r="BC66" s="1875"/>
      <c r="BD66" s="1875"/>
      <c r="BE66" s="1877"/>
      <c r="BF66" s="1878"/>
      <c r="BG66" s="1875"/>
      <c r="BH66" s="1875"/>
      <c r="BI66" s="1875"/>
      <c r="BJ66" s="1877"/>
      <c r="BK66" s="1878"/>
      <c r="BL66" s="1875"/>
      <c r="BM66" s="1875"/>
      <c r="BN66" s="1875"/>
      <c r="BO66" s="1877"/>
      <c r="BP66" s="1879"/>
      <c r="BQ66" s="1875"/>
      <c r="BR66" s="1875"/>
      <c r="BS66" s="1875"/>
      <c r="BT66" s="1880"/>
      <c r="BU66" s="1875"/>
      <c r="BV66" s="1875"/>
      <c r="BW66" s="1881"/>
      <c r="BX66" s="1880"/>
      <c r="BY66" s="1875"/>
      <c r="BZ66" s="1875"/>
      <c r="CA66" s="1882"/>
      <c r="CB66" s="1875"/>
      <c r="CC66" s="1875"/>
      <c r="CD66" s="1875"/>
      <c r="CE66" s="1875"/>
      <c r="CF66" s="1880"/>
      <c r="CG66" s="1875"/>
      <c r="CH66" s="1875"/>
      <c r="CI66" s="1882"/>
      <c r="CJ66" s="1883"/>
      <c r="CK66" s="1875"/>
      <c r="CL66" s="1875"/>
      <c r="CM66" s="1875"/>
      <c r="CN66" s="1881"/>
      <c r="CO66" s="1883"/>
      <c r="CP66" s="1874"/>
      <c r="CQ66" s="1874"/>
      <c r="CR66" s="1874"/>
      <c r="CS66" s="1881"/>
      <c r="CT66" s="1883"/>
      <c r="CU66" s="1875"/>
      <c r="CV66" s="1875"/>
      <c r="CW66" s="1875"/>
      <c r="CX66" s="1881"/>
      <c r="CY66" s="1883"/>
      <c r="CZ66" s="1875"/>
      <c r="DA66" s="1875"/>
      <c r="DB66" s="1875"/>
      <c r="DC66" s="1881"/>
      <c r="DD66" s="1883"/>
      <c r="DE66" s="1875"/>
      <c r="DF66" s="1875"/>
      <c r="DG66" s="1875"/>
      <c r="DH66" s="1884"/>
      <c r="DI66" s="1883"/>
      <c r="DJ66" s="1875"/>
      <c r="DK66" s="1875"/>
      <c r="DL66" s="1875"/>
      <c r="DM66" s="1884"/>
      <c r="DN66" s="1883"/>
      <c r="DO66" s="1875"/>
      <c r="DP66" s="1875"/>
      <c r="DQ66" s="1875"/>
      <c r="DR66" s="1884"/>
      <c r="DS66" s="1883"/>
      <c r="DT66" s="1875"/>
      <c r="DU66" s="1875"/>
      <c r="DV66" s="1875"/>
      <c r="DW66" s="1884"/>
      <c r="DX66" s="1883"/>
      <c r="DY66" s="1875"/>
      <c r="DZ66" s="1875"/>
      <c r="EA66" s="1875"/>
      <c r="EB66" s="1884"/>
      <c r="EC66" s="1883"/>
      <c r="ED66" s="1875"/>
      <c r="EE66" s="1875"/>
      <c r="EF66" s="1875"/>
      <c r="EG66" s="1884"/>
      <c r="EH66" s="1885"/>
      <c r="EI66" s="1886"/>
      <c r="EJ66" s="1886"/>
      <c r="EK66" s="1886"/>
      <c r="EL66" s="1887"/>
      <c r="EM66" s="1888"/>
      <c r="EN66" s="1889"/>
      <c r="EO66" s="1889"/>
      <c r="EP66" s="1889"/>
      <c r="EQ66" s="166"/>
      <c r="ER66" s="2402">
        <f t="shared" si="38"/>
        <v>0</v>
      </c>
      <c r="ES66" s="2403">
        <f t="shared" si="146"/>
        <v>0</v>
      </c>
      <c r="ET66" s="2403">
        <f t="shared" si="146"/>
        <v>0</v>
      </c>
      <c r="EU66" s="2403">
        <f t="shared" si="146"/>
        <v>0</v>
      </c>
      <c r="EV66" s="2404" t="e">
        <f t="shared" si="40"/>
        <v>#DIV/0!</v>
      </c>
      <c r="EW66" s="1890"/>
      <c r="EX66" s="1890"/>
      <c r="EY66" s="1890"/>
      <c r="EZ66" s="1891"/>
      <c r="FA66" s="1885"/>
      <c r="FB66" s="1890"/>
      <c r="FC66" s="1890"/>
      <c r="FD66" s="1892"/>
      <c r="FE66" s="1890"/>
      <c r="FF66" s="1890"/>
      <c r="FG66" s="1890"/>
      <c r="FH66" s="1891"/>
      <c r="FI66" s="1893"/>
      <c r="FJ66" s="1894"/>
      <c r="FK66" s="1895"/>
      <c r="FL66" s="1895"/>
      <c r="FM66" s="1896"/>
      <c r="FN66" s="1890"/>
      <c r="FO66" s="1886"/>
      <c r="FP66" s="1886"/>
      <c r="FQ66" s="1886"/>
      <c r="FR66" s="1897"/>
      <c r="FS66" s="1888"/>
      <c r="FT66" s="1889"/>
      <c r="FU66" s="1889"/>
      <c r="FV66" s="1889"/>
      <c r="FW66" s="1898"/>
      <c r="FX66" s="1885"/>
      <c r="FY66" s="1886"/>
      <c r="FZ66" s="1886"/>
      <c r="GA66" s="1889"/>
      <c r="GB66" s="1898"/>
      <c r="GC66" s="1899"/>
      <c r="GD66" s="1900"/>
      <c r="GE66" s="1900"/>
      <c r="GF66" s="1889"/>
      <c r="GG66" s="166"/>
      <c r="GH66" s="1901"/>
      <c r="GI66" s="1824"/>
      <c r="GJ66" s="1824"/>
      <c r="GK66" s="1902"/>
      <c r="GL66" s="1898"/>
      <c r="GM66" s="1901"/>
      <c r="GN66" s="1824"/>
      <c r="GO66" s="1824"/>
      <c r="GP66" s="1902"/>
      <c r="GQ66" s="1898"/>
      <c r="GR66" s="1903"/>
      <c r="GS66" s="1904"/>
      <c r="GT66" s="1904"/>
      <c r="GU66" s="1902"/>
      <c r="GV66" s="1898"/>
      <c r="GW66" s="1903"/>
      <c r="GX66" s="1904"/>
      <c r="GY66" s="1904"/>
      <c r="GZ66" s="1902"/>
      <c r="HA66" s="1898"/>
      <c r="HB66" s="1903"/>
      <c r="HC66" s="1904"/>
      <c r="HD66" s="1904"/>
      <c r="HE66" s="1902"/>
      <c r="HF66" s="1898"/>
      <c r="HG66" s="1903"/>
      <c r="HH66" s="1904"/>
      <c r="HI66" s="1904"/>
      <c r="HJ66" s="1818"/>
      <c r="HK66" s="1898"/>
      <c r="HL66" s="1903"/>
      <c r="HM66" s="1904"/>
      <c r="HN66" s="1904"/>
      <c r="HO66" s="715"/>
      <c r="HP66" s="166"/>
      <c r="HQ66" s="1905"/>
      <c r="HR66" s="1248"/>
      <c r="HS66" s="1248"/>
      <c r="HT66" s="1248"/>
      <c r="HU66" s="1826"/>
      <c r="HV66" s="2405">
        <f t="shared" si="155"/>
        <v>0</v>
      </c>
      <c r="HW66" s="2406">
        <f t="shared" si="156"/>
        <v>0</v>
      </c>
      <c r="HX66" s="2406">
        <f t="shared" si="156"/>
        <v>0</v>
      </c>
      <c r="HY66" s="2406">
        <f t="shared" si="156"/>
        <v>0</v>
      </c>
      <c r="HZ66" s="1906"/>
      <c r="IA66" s="1907"/>
      <c r="IB66" s="1908"/>
      <c r="IC66" s="1908"/>
      <c r="ID66" s="1909"/>
      <c r="IE66" s="1910"/>
      <c r="IF66" s="1911"/>
      <c r="IG66" s="1912"/>
      <c r="IH66" s="1909"/>
      <c r="II66" s="1835"/>
      <c r="IJ66" s="1836"/>
      <c r="IK66" s="1836"/>
      <c r="IL66" s="693"/>
      <c r="IM66" s="1913"/>
      <c r="IN66" s="1836"/>
      <c r="IO66" s="1836"/>
      <c r="IP66" s="1838"/>
      <c r="IQ66" s="1914"/>
      <c r="IR66" s="1915"/>
      <c r="IS66" s="1916"/>
      <c r="IT66" s="1916"/>
      <c r="IU66" s="1917"/>
      <c r="IV66" s="1918"/>
      <c r="IW66" s="1919"/>
      <c r="IX66" s="1920"/>
      <c r="IY66" s="1920"/>
      <c r="IZ66" s="1818"/>
      <c r="JA66" s="1821"/>
      <c r="JB66" s="6021"/>
      <c r="JC66" s="6022"/>
      <c r="JD66" s="6023"/>
      <c r="JE66" s="1818"/>
      <c r="JF66" s="1821"/>
      <c r="JG66" s="1925"/>
      <c r="JH66" s="1824"/>
      <c r="JI66" s="1824"/>
      <c r="JJ66" s="1822"/>
      <c r="JK66" s="1821"/>
      <c r="JL66" s="1926"/>
      <c r="JM66" s="1824"/>
      <c r="JN66" s="1824"/>
      <c r="JO66" s="6012"/>
      <c r="JP66" s="1821"/>
      <c r="JQ66" s="1926"/>
      <c r="JR66" s="1982"/>
      <c r="JS66" s="1248"/>
      <c r="JT66" s="1995"/>
      <c r="JU66" s="1821"/>
      <c r="JV66" s="1990"/>
      <c r="JW66" s="2130"/>
      <c r="JX66" s="1904"/>
      <c r="JY66" s="1904"/>
      <c r="JZ66" s="1821"/>
      <c r="KA66" s="6014"/>
      <c r="KB66" s="1248"/>
      <c r="KC66" s="1248"/>
      <c r="KD66" s="1983"/>
      <c r="KE66" s="1952"/>
      <c r="KF66" s="1990"/>
      <c r="KG66" s="1904"/>
      <c r="KH66" s="1904"/>
      <c r="KI66" s="1818"/>
      <c r="KJ66" s="1821"/>
      <c r="KK66" s="1990"/>
      <c r="KL66" s="1904"/>
      <c r="KM66" s="1904"/>
      <c r="KN66" s="2023">
        <f>KM66-KL66</f>
        <v>0</v>
      </c>
      <c r="KO66" s="2024"/>
      <c r="KP66" s="1823">
        <v>1</v>
      </c>
      <c r="KQ66" s="1248">
        <v>58333</v>
      </c>
      <c r="KR66" s="1248">
        <v>199200</v>
      </c>
      <c r="KS66" s="1996">
        <f>KR66-KQ66</f>
        <v>140867</v>
      </c>
      <c r="KT66" s="1819">
        <f>KS66/KR66</f>
        <v>0.70716365461847386</v>
      </c>
      <c r="KU66" s="1905">
        <v>1</v>
      </c>
      <c r="KV66" s="1248">
        <v>172333</v>
      </c>
      <c r="KW66" s="1248">
        <v>200400</v>
      </c>
      <c r="KX66" s="1248">
        <f>KW66-KV66</f>
        <v>28067</v>
      </c>
      <c r="KY66" s="77">
        <f>KX66/KW66</f>
        <v>0.14005489021956088</v>
      </c>
      <c r="KZ66" s="1832">
        <v>1</v>
      </c>
      <c r="LA66" s="622">
        <f t="shared" si="269"/>
        <v>230666</v>
      </c>
      <c r="LB66" s="622">
        <f t="shared" si="269"/>
        <v>399600</v>
      </c>
      <c r="LC66" s="622">
        <f t="shared" si="269"/>
        <v>168934</v>
      </c>
      <c r="LD66" s="239">
        <f>LC66/LB66</f>
        <v>0.42275775775775776</v>
      </c>
      <c r="LE66" s="1834">
        <f>(IR66+IW66+JB66)/3</f>
        <v>0</v>
      </c>
      <c r="LF66" s="1830">
        <f t="shared" si="270"/>
        <v>0</v>
      </c>
      <c r="LG66" s="1830">
        <f t="shared" si="270"/>
        <v>0</v>
      </c>
      <c r="LH66" s="1831"/>
      <c r="LI66" s="1832">
        <f>(JG66+JL66+JQ66)/3</f>
        <v>0</v>
      </c>
      <c r="LJ66" s="1833">
        <f t="shared" si="271"/>
        <v>0</v>
      </c>
      <c r="LK66" s="1834">
        <f t="shared" si="271"/>
        <v>0</v>
      </c>
      <c r="LL66" s="1831"/>
      <c r="LM66" s="1835">
        <f>(JV66+KA66+KF66)/3</f>
        <v>0</v>
      </c>
      <c r="LN66" s="1836">
        <f t="shared" si="272"/>
        <v>0</v>
      </c>
      <c r="LO66" s="1836">
        <f t="shared" si="272"/>
        <v>0</v>
      </c>
      <c r="LP66" s="239"/>
      <c r="LQ66" s="1837">
        <f>(KK66+KP66+KU66)/3</f>
        <v>0.66666666666666663</v>
      </c>
      <c r="LR66" s="1836">
        <f t="shared" si="273"/>
        <v>399600</v>
      </c>
      <c r="LS66" s="1836">
        <f t="shared" si="273"/>
        <v>168934</v>
      </c>
      <c r="LT66" s="1838">
        <f>LS66/LR66</f>
        <v>0.42275775775775776</v>
      </c>
      <c r="LV66" s="401">
        <v>2</v>
      </c>
      <c r="LW66" s="395">
        <v>172333</v>
      </c>
      <c r="LX66" s="395">
        <v>199200</v>
      </c>
      <c r="LY66" s="115">
        <f>LX66-LW66</f>
        <v>26867</v>
      </c>
      <c r="LZ66" s="186">
        <f>LY66/LX66</f>
        <v>0.13487449799196788</v>
      </c>
      <c r="MA66" s="2000">
        <v>2</v>
      </c>
      <c r="MB66" s="1317">
        <f>58333+114000</f>
        <v>172333</v>
      </c>
      <c r="MC66" s="1317">
        <v>199200</v>
      </c>
      <c r="MD66" s="372">
        <f>MC66-MB66</f>
        <v>26867</v>
      </c>
      <c r="ME66" s="207">
        <f>MD66/MC66</f>
        <v>0.13487449799196788</v>
      </c>
      <c r="MF66" s="401">
        <v>2</v>
      </c>
      <c r="MG66" s="395">
        <v>172333</v>
      </c>
      <c r="MH66" s="395">
        <v>199200</v>
      </c>
      <c r="MI66" s="372">
        <f>MH66-MG66</f>
        <v>26867</v>
      </c>
      <c r="MJ66" s="207">
        <f>MI66/MH66</f>
        <v>0.13487449799196788</v>
      </c>
      <c r="MK66" s="2573">
        <v>1</v>
      </c>
      <c r="ML66" s="395">
        <v>58333</v>
      </c>
      <c r="MM66" s="395">
        <v>80400</v>
      </c>
      <c r="MN66" s="372">
        <f>MM66-ML66</f>
        <v>22067</v>
      </c>
      <c r="MO66" s="207">
        <f>MN66/MM66</f>
        <v>0.27446517412935323</v>
      </c>
      <c r="MP66" s="1577">
        <v>1</v>
      </c>
      <c r="MQ66" s="1248">
        <v>58333</v>
      </c>
      <c r="MR66" s="1248">
        <v>151200</v>
      </c>
      <c r="MS66" s="1248">
        <f t="shared" si="274"/>
        <v>92867</v>
      </c>
      <c r="MT66" s="655">
        <f>MS66/MR66</f>
        <v>0.6141997354497355</v>
      </c>
      <c r="MU66" s="1318">
        <v>2</v>
      </c>
      <c r="MV66" s="395">
        <v>83889</v>
      </c>
      <c r="MW66" s="395">
        <v>109200</v>
      </c>
      <c r="MX66" s="395">
        <f>MW66-MV66</f>
        <v>25311</v>
      </c>
      <c r="MY66" s="655">
        <f>MX66/MW66</f>
        <v>0.23178571428571429</v>
      </c>
      <c r="MZ66" s="1318">
        <v>1</v>
      </c>
      <c r="NA66" s="395">
        <v>62500</v>
      </c>
      <c r="NB66" s="395">
        <v>79200</v>
      </c>
      <c r="NC66" s="395">
        <f>NB66-NA66</f>
        <v>16700</v>
      </c>
      <c r="ND66" s="801">
        <f>NC66/NB66</f>
        <v>0.21085858585858586</v>
      </c>
      <c r="NE66" s="1318">
        <v>1</v>
      </c>
      <c r="NF66" s="395">
        <v>62500</v>
      </c>
      <c r="NG66" s="395">
        <v>79200</v>
      </c>
      <c r="NH66" s="395">
        <f>NG66-NF66</f>
        <v>16700</v>
      </c>
      <c r="NI66" s="801">
        <f>NH66/NG66</f>
        <v>0.21085858585858586</v>
      </c>
      <c r="NJ66" s="1318">
        <v>1</v>
      </c>
      <c r="NK66" s="395">
        <v>155000</v>
      </c>
      <c r="NL66" s="395">
        <v>199200</v>
      </c>
      <c r="NM66" s="395">
        <f>NL66-NK66</f>
        <v>44200</v>
      </c>
      <c r="NN66" s="801">
        <f>NM66/NL66</f>
        <v>0.22188755020080322</v>
      </c>
      <c r="NO66" s="2432">
        <v>1</v>
      </c>
      <c r="NP66" s="622">
        <v>152532</v>
      </c>
      <c r="NQ66" s="2437">
        <f>199200/2</f>
        <v>99600</v>
      </c>
      <c r="NR66" s="395">
        <f t="shared" ref="NR66:NR71" si="282">NQ66-NP66</f>
        <v>-52932</v>
      </c>
      <c r="NS66" s="801">
        <f t="shared" ref="NS66:NS71" si="283">NR66/NQ66</f>
        <v>-0.5314457831325301</v>
      </c>
      <c r="NT66" s="2432"/>
      <c r="NU66" s="622"/>
      <c r="NV66" s="622"/>
      <c r="NW66" s="395"/>
      <c r="NX66" s="801"/>
      <c r="NY66" s="2432"/>
      <c r="NZ66" s="622"/>
      <c r="OA66" s="622"/>
      <c r="OB66" s="622">
        <f t="shared" ref="OB66:OB71" si="284">OA66-NZ66</f>
        <v>0</v>
      </c>
      <c r="OC66" s="2050">
        <v>0</v>
      </c>
      <c r="OD66" s="2433"/>
      <c r="OE66" s="622">
        <f t="shared" si="265"/>
        <v>1150086</v>
      </c>
      <c r="OF66" s="622">
        <f t="shared" si="265"/>
        <v>1395600</v>
      </c>
      <c r="OG66" s="622">
        <f t="shared" si="265"/>
        <v>245514</v>
      </c>
      <c r="OH66" s="1576">
        <f t="shared" ref="OH66:OH71" si="285">OG66/OF66</f>
        <v>0.17592003439380913</v>
      </c>
      <c r="OI66" s="2435">
        <f t="shared" ref="OI66:OI71" si="286">(LV66+MA66+MF66)/3</f>
        <v>2</v>
      </c>
      <c r="OJ66" s="2436">
        <f>LW66+MB66+MG66</f>
        <v>516999</v>
      </c>
      <c r="OK66" s="2436">
        <f>LX66+MC66+MH66</f>
        <v>597600</v>
      </c>
      <c r="OL66" s="2436">
        <f>LY66+MD66+MI66</f>
        <v>80601</v>
      </c>
      <c r="OM66" s="1439">
        <f>OL66/OK66</f>
        <v>0.13487449799196788</v>
      </c>
      <c r="ON66" s="622">
        <f>(MK66+MP66+MU66)/3</f>
        <v>1.3333333333333333</v>
      </c>
      <c r="OO66" s="622">
        <f t="shared" si="275"/>
        <v>200555</v>
      </c>
      <c r="OP66" s="622">
        <f t="shared" si="275"/>
        <v>340800</v>
      </c>
      <c r="OQ66" s="2437">
        <f t="shared" si="275"/>
        <v>140245</v>
      </c>
      <c r="OR66" s="421">
        <f>OQ66/OP66</f>
        <v>0.41151701877934271</v>
      </c>
      <c r="OS66" s="2438">
        <f t="shared" ref="OS66:OS71" si="287">(NJ66+NE66+MZ66)/3</f>
        <v>1</v>
      </c>
      <c r="OT66" s="2439">
        <f t="shared" si="242"/>
        <v>280000</v>
      </c>
      <c r="OU66" s="2439">
        <f t="shared" si="242"/>
        <v>357600</v>
      </c>
      <c r="OV66" s="2440">
        <f t="shared" si="242"/>
        <v>77600</v>
      </c>
      <c r="OW66" s="460">
        <f t="shared" si="266"/>
        <v>0.21700223713646533</v>
      </c>
      <c r="OX66" s="2432">
        <f>(NO66+NT66+NY66)/3</f>
        <v>0.33333333333333331</v>
      </c>
      <c r="OY66" s="622">
        <f>NP66+NU66+NZ66</f>
        <v>152532</v>
      </c>
      <c r="OZ66" s="622">
        <f>NQ66+NV66+OA66</f>
        <v>99600</v>
      </c>
      <c r="PA66" s="2437">
        <f>NR66+NW66+OB66</f>
        <v>-52932</v>
      </c>
      <c r="PB66" s="116">
        <f t="shared" ref="PB66:PB71" si="288">PA66/OZ66</f>
        <v>-0.5314457831325301</v>
      </c>
      <c r="PC66" s="2441"/>
      <c r="PD66" s="401"/>
      <c r="PE66" s="395"/>
      <c r="PF66" s="395"/>
      <c r="PG66" s="115">
        <f t="shared" si="263"/>
        <v>0</v>
      </c>
      <c r="PH66" s="186" t="s">
        <v>819</v>
      </c>
      <c r="PI66" s="2000"/>
      <c r="PJ66" s="1317"/>
      <c r="PK66" s="1317"/>
      <c r="PL66" s="372">
        <f t="shared" si="276"/>
        <v>0</v>
      </c>
      <c r="PM66" s="207" t="e">
        <f>PL66/PK66</f>
        <v>#DIV/0!</v>
      </c>
      <c r="PN66" s="401"/>
      <c r="PO66" s="395"/>
      <c r="PP66" s="395"/>
      <c r="PQ66" s="372">
        <f t="shared" si="277"/>
        <v>0</v>
      </c>
      <c r="PR66" s="207" t="e">
        <f>PQ66/PP66</f>
        <v>#DIV/0!</v>
      </c>
      <c r="PS66" s="2891"/>
      <c r="PT66" s="2001"/>
      <c r="PU66" s="2001"/>
      <c r="PV66" s="2892">
        <f>PU66-PT66</f>
        <v>0</v>
      </c>
      <c r="PW66" s="370" t="e">
        <f>PV66/PU66</f>
        <v>#DIV/0!</v>
      </c>
      <c r="PX66" s="1577"/>
      <c r="PY66" s="1248"/>
      <c r="PZ66" s="1248"/>
      <c r="QA66" s="1248">
        <f>PZ66-PY66</f>
        <v>0</v>
      </c>
      <c r="QB66" s="655" t="e">
        <f>QA66/PZ66</f>
        <v>#DIV/0!</v>
      </c>
      <c r="QC66" s="2002"/>
      <c r="QD66" s="2001"/>
      <c r="QE66" s="2001"/>
      <c r="QF66" s="2001">
        <f t="shared" ref="QF66:QF82" si="289">QE66-QD66</f>
        <v>0</v>
      </c>
      <c r="QG66" s="2019"/>
      <c r="QH66" s="401"/>
      <c r="QI66" s="395"/>
      <c r="QJ66" s="395"/>
      <c r="QK66" s="395"/>
      <c r="QL66" s="801"/>
      <c r="QM66" s="401"/>
      <c r="QN66" s="395"/>
      <c r="QO66" s="395"/>
      <c r="QP66" s="395"/>
      <c r="QQ66" s="801"/>
      <c r="QR66" s="2002"/>
      <c r="QS66" s="2001"/>
      <c r="QT66" s="2001"/>
      <c r="QU66" s="2001"/>
      <c r="QV66" s="370"/>
      <c r="QW66" s="2430"/>
      <c r="QX66" s="1873"/>
      <c r="QY66" s="2431"/>
      <c r="QZ66" s="2001"/>
      <c r="RA66" s="2003"/>
      <c r="RB66" s="2432"/>
      <c r="RC66" s="622"/>
      <c r="RD66" s="622"/>
      <c r="RE66" s="395"/>
      <c r="RF66" s="801"/>
      <c r="RG66" s="2108"/>
      <c r="RH66" s="1873"/>
      <c r="RI66" s="1873"/>
      <c r="RJ66" s="1873">
        <f t="shared" ref="RJ66:RJ71" si="290">RI66-RH66</f>
        <v>0</v>
      </c>
      <c r="RK66" s="2050">
        <v>0</v>
      </c>
      <c r="RL66" s="3717"/>
      <c r="RM66" s="1873">
        <f t="shared" si="245"/>
        <v>0</v>
      </c>
      <c r="RN66" s="1873">
        <f t="shared" si="245"/>
        <v>0</v>
      </c>
      <c r="RO66" s="1873">
        <f t="shared" si="245"/>
        <v>0</v>
      </c>
      <c r="RP66" s="1576"/>
      <c r="RQ66" s="2435">
        <f t="shared" ref="RQ66:RQ71" si="291">(PD66+PI66+PN66)/3</f>
        <v>0</v>
      </c>
      <c r="RR66" s="2436">
        <f>PE66+PJ66+PO66</f>
        <v>0</v>
      </c>
      <c r="RS66" s="2436">
        <f>PF66+PK66+PP66</f>
        <v>0</v>
      </c>
      <c r="RT66" s="2436">
        <f>PG66+PL66+PQ66</f>
        <v>0</v>
      </c>
      <c r="RU66" s="1439" t="e">
        <f t="shared" ref="RU66:RU71" si="292">RT66/RS66</f>
        <v>#DIV/0!</v>
      </c>
      <c r="RV66" s="622">
        <f>(PS66+PX66+QC66)/3</f>
        <v>0</v>
      </c>
      <c r="RW66" s="622">
        <f t="shared" si="278"/>
        <v>0</v>
      </c>
      <c r="RX66" s="622">
        <f t="shared" si="278"/>
        <v>0</v>
      </c>
      <c r="RY66" s="2437">
        <f t="shared" si="278"/>
        <v>0</v>
      </c>
      <c r="RZ66" s="421" t="e">
        <f>RY66/RX66</f>
        <v>#DIV/0!</v>
      </c>
      <c r="SA66" s="2438">
        <f>(QR66+QM66+QH66)/3</f>
        <v>0</v>
      </c>
      <c r="SB66" s="2439">
        <f t="shared" si="250"/>
        <v>0</v>
      </c>
      <c r="SC66" s="2439">
        <f t="shared" si="250"/>
        <v>0</v>
      </c>
      <c r="SD66" s="2440">
        <f t="shared" si="250"/>
        <v>0</v>
      </c>
      <c r="SE66" s="460" t="e">
        <f t="shared" si="267"/>
        <v>#DIV/0!</v>
      </c>
      <c r="SF66" s="2432">
        <f>(QW66+RB66+RG66)/3</f>
        <v>0</v>
      </c>
      <c r="SG66" s="622">
        <f t="shared" ref="SG66:SI71" si="293">QX66+RC66+RH66</f>
        <v>0</v>
      </c>
      <c r="SH66" s="622">
        <f t="shared" si="293"/>
        <v>0</v>
      </c>
      <c r="SI66" s="2437">
        <f t="shared" si="293"/>
        <v>0</v>
      </c>
      <c r="SJ66" s="116" t="e">
        <f t="shared" ref="SJ66:SJ112" si="294">SI66/SH66</f>
        <v>#DIV/0!</v>
      </c>
      <c r="SL66" s="2445"/>
      <c r="SM66" s="2001"/>
      <c r="SN66" s="2001"/>
      <c r="SO66" s="3534">
        <f t="shared" si="264"/>
        <v>0</v>
      </c>
      <c r="SP66" s="1498" t="s">
        <v>819</v>
      </c>
      <c r="SQ66" s="6015"/>
      <c r="SR66" s="3208"/>
      <c r="SS66" s="3208"/>
      <c r="ST66" s="2892">
        <f>SS66-SR66</f>
        <v>0</v>
      </c>
      <c r="SU66" s="370" t="e">
        <f>ST66/SS66</f>
        <v>#DIV/0!</v>
      </c>
      <c r="SV66" s="401"/>
      <c r="SW66" s="395"/>
      <c r="SX66" s="395"/>
      <c r="SY66" s="372">
        <f t="shared" si="279"/>
        <v>0</v>
      </c>
      <c r="SZ66" s="207" t="e">
        <f>SY66/SX66</f>
        <v>#DIV/0!</v>
      </c>
      <c r="TA66" s="2573"/>
      <c r="TB66" s="395"/>
      <c r="TC66" s="395"/>
      <c r="TD66" s="372">
        <f t="shared" si="280"/>
        <v>0</v>
      </c>
      <c r="TE66" s="207" t="e">
        <f t="shared" ref="TE66:TE119" si="295">TD66/TC66</f>
        <v>#DIV/0!</v>
      </c>
      <c r="TF66" s="1577"/>
      <c r="TG66" s="1248"/>
      <c r="TH66" s="1248"/>
      <c r="TI66" s="1248">
        <f>TH66-TG66</f>
        <v>0</v>
      </c>
      <c r="TJ66" s="655" t="e">
        <f t="shared" ref="TJ66:TJ119" si="296">TI66/TH66</f>
        <v>#DIV/0!</v>
      </c>
      <c r="TK66" s="2002"/>
      <c r="TL66" s="2001"/>
      <c r="TM66" s="2001"/>
      <c r="TN66" s="2001">
        <f>TM66-TL66</f>
        <v>0</v>
      </c>
      <c r="TO66" s="2019"/>
      <c r="TP66" s="4434"/>
      <c r="TQ66" s="395"/>
      <c r="TR66" s="395"/>
      <c r="TS66" s="395"/>
      <c r="TT66" s="801"/>
      <c r="TU66" s="4464"/>
      <c r="TV66" s="2001"/>
      <c r="TW66" s="2001"/>
      <c r="TX66" s="2001"/>
      <c r="TY66" s="2003"/>
      <c r="TZ66" s="2002"/>
      <c r="UA66" s="2001"/>
      <c r="UB66" s="2001"/>
      <c r="UC66" s="2001"/>
      <c r="UD66" s="3868">
        <v>0</v>
      </c>
      <c r="UE66" s="2430"/>
      <c r="UF66" s="1873"/>
      <c r="UG66" s="2431"/>
      <c r="UH66" s="2001"/>
      <c r="UI66" s="2003"/>
      <c r="UJ66" s="2432"/>
      <c r="UK66" s="622"/>
      <c r="UL66" s="622"/>
      <c r="UM66" s="395"/>
      <c r="UN66" s="801"/>
      <c r="UO66" s="2108"/>
      <c r="UP66" s="1873"/>
      <c r="UQ66" s="1873"/>
      <c r="UR66" s="1873">
        <f>UQ66-UP66</f>
        <v>0</v>
      </c>
      <c r="US66" s="2050">
        <v>0</v>
      </c>
      <c r="UT66" s="2433"/>
      <c r="UU66" s="622">
        <f t="shared" si="78"/>
        <v>0</v>
      </c>
      <c r="UV66" s="622">
        <f t="shared" si="78"/>
        <v>0</v>
      </c>
      <c r="UW66" s="622">
        <f t="shared" si="78"/>
        <v>0</v>
      </c>
      <c r="UX66" s="2281">
        <v>0</v>
      </c>
      <c r="UY66" s="2435">
        <f t="shared" ref="UY66:UY71" si="297">(SL66+SQ66+SV66)/3</f>
        <v>0</v>
      </c>
      <c r="UZ66" s="2436">
        <f>SM66+SR66+SW66</f>
        <v>0</v>
      </c>
      <c r="VA66" s="2436">
        <f t="shared" si="254"/>
        <v>0</v>
      </c>
      <c r="VB66" s="2436">
        <f t="shared" si="254"/>
        <v>0</v>
      </c>
      <c r="VC66" s="1439" t="e">
        <f t="shared" ref="VC66:VC71" si="298">VB66/VA66</f>
        <v>#DIV/0!</v>
      </c>
      <c r="VD66" s="622">
        <f>(TA66+TF66+TK66)/3</f>
        <v>0</v>
      </c>
      <c r="VE66" s="622">
        <f t="shared" si="281"/>
        <v>0</v>
      </c>
      <c r="VF66" s="622">
        <f t="shared" si="281"/>
        <v>0</v>
      </c>
      <c r="VG66" s="2437">
        <f t="shared" si="281"/>
        <v>0</v>
      </c>
      <c r="VH66" s="421" t="e">
        <f>VG66/VF66</f>
        <v>#DIV/0!</v>
      </c>
      <c r="VI66" s="2438">
        <f>(TZ66+TU66+TP66)/3</f>
        <v>0</v>
      </c>
      <c r="VJ66" s="2439">
        <f t="shared" si="257"/>
        <v>0</v>
      </c>
      <c r="VK66" s="2439">
        <f t="shared" si="257"/>
        <v>0</v>
      </c>
      <c r="VL66" s="2440">
        <f t="shared" si="257"/>
        <v>0</v>
      </c>
      <c r="VM66" s="460" t="e">
        <f t="shared" si="268"/>
        <v>#DIV/0!</v>
      </c>
      <c r="VN66" s="2432">
        <f>(UE66+UJ66+UO66)/3</f>
        <v>0</v>
      </c>
      <c r="VO66" s="622">
        <f t="shared" ref="VO66:VQ71" si="299">UF66+UK66+UP66</f>
        <v>0</v>
      </c>
      <c r="VP66" s="622">
        <f t="shared" si="299"/>
        <v>0</v>
      </c>
      <c r="VQ66" s="2437">
        <f t="shared" si="299"/>
        <v>0</v>
      </c>
      <c r="VR66" s="116" t="e">
        <f t="shared" ref="VR66:VR82" si="300">VQ66/VP66</f>
        <v>#DIV/0!</v>
      </c>
    </row>
    <row r="67" spans="1:590" s="122" customFormat="1" ht="13.45" hidden="1" x14ac:dyDescent="0.3">
      <c r="A67" s="2906"/>
      <c r="B67" s="1773" t="s">
        <v>53</v>
      </c>
      <c r="C67" s="6084" t="s">
        <v>57</v>
      </c>
      <c r="D67" s="6009" t="s">
        <v>58</v>
      </c>
      <c r="E67" s="6131">
        <v>45017</v>
      </c>
      <c r="F67" s="6132">
        <v>45291</v>
      </c>
      <c r="G67" s="6087">
        <v>37000</v>
      </c>
      <c r="H67" s="1775"/>
      <c r="I67" s="6088"/>
      <c r="J67" s="6089"/>
      <c r="K67" s="1776"/>
      <c r="L67" s="1777"/>
      <c r="M67" s="5992"/>
      <c r="N67" s="1779"/>
      <c r="O67" s="1779"/>
      <c r="P67" s="1779"/>
      <c r="Q67" s="1780"/>
      <c r="R67" s="5986"/>
      <c r="S67" s="1776"/>
      <c r="T67" s="1783"/>
      <c r="U67" s="1776"/>
      <c r="V67" s="1777"/>
      <c r="W67" s="5976"/>
      <c r="X67" s="1776"/>
      <c r="Y67" s="1783"/>
      <c r="Z67" s="1776"/>
      <c r="AA67" s="1777"/>
      <c r="AB67" s="1785"/>
      <c r="AC67" s="1776"/>
      <c r="AD67" s="1783"/>
      <c r="AE67" s="1776"/>
      <c r="AF67" s="1777"/>
      <c r="AG67" s="1785"/>
      <c r="AH67" s="1776"/>
      <c r="AI67" s="1786"/>
      <c r="AJ67" s="1786"/>
      <c r="AK67" s="1777"/>
      <c r="AL67" s="1785"/>
      <c r="AM67" s="1781"/>
      <c r="AN67" s="1781"/>
      <c r="AO67" s="1781"/>
      <c r="AP67" s="1777"/>
      <c r="AQ67" s="1787"/>
      <c r="AR67" s="1781"/>
      <c r="AS67" s="1781"/>
      <c r="AT67" s="1789"/>
      <c r="AU67" s="1777"/>
      <c r="AV67" s="1790"/>
      <c r="AW67" s="1781"/>
      <c r="AX67" s="1781"/>
      <c r="AY67" s="1781"/>
      <c r="AZ67" s="1777"/>
      <c r="BA67" s="1791"/>
      <c r="BB67" s="1786"/>
      <c r="BC67" s="1776"/>
      <c r="BD67" s="1781"/>
      <c r="BE67" s="1780"/>
      <c r="BF67" s="1790"/>
      <c r="BG67" s="1781"/>
      <c r="BH67" s="1776"/>
      <c r="BI67" s="1781"/>
      <c r="BJ67" s="1780"/>
      <c r="BK67" s="1790"/>
      <c r="BL67" s="1783"/>
      <c r="BM67" s="6075"/>
      <c r="BN67" s="1781"/>
      <c r="BO67" s="5978"/>
      <c r="BP67" s="1937"/>
      <c r="BQ67" s="1796"/>
      <c r="BR67" s="1786"/>
      <c r="BS67" s="1797"/>
      <c r="BT67" s="1798"/>
      <c r="BU67" s="1786"/>
      <c r="BV67" s="1786"/>
      <c r="BW67" s="1799"/>
      <c r="BX67" s="1800"/>
      <c r="BY67" s="1786"/>
      <c r="BZ67" s="1786"/>
      <c r="CA67" s="6090"/>
      <c r="CB67" s="1802"/>
      <c r="CC67" s="1786"/>
      <c r="CD67" s="1786"/>
      <c r="CE67" s="1803"/>
      <c r="CF67" s="1800"/>
      <c r="CG67" s="1776"/>
      <c r="CH67" s="1776"/>
      <c r="CI67" s="1801"/>
      <c r="CJ67" s="1804"/>
      <c r="CK67" s="1776"/>
      <c r="CL67" s="1776"/>
      <c r="CM67" s="1810"/>
      <c r="CN67" s="1799"/>
      <c r="CO67" s="1804"/>
      <c r="CP67" s="1776"/>
      <c r="CQ67" s="1776"/>
      <c r="CR67" s="1776"/>
      <c r="CS67" s="1799"/>
      <c r="CT67" s="1804"/>
      <c r="CU67" s="1776"/>
      <c r="CV67" s="1776"/>
      <c r="CW67" s="1776"/>
      <c r="CX67" s="1799"/>
      <c r="CY67" s="1808"/>
      <c r="CZ67" s="1783"/>
      <c r="DA67" s="2577"/>
      <c r="DB67" s="1776"/>
      <c r="DC67" s="1799"/>
      <c r="DD67" s="1808"/>
      <c r="DE67" s="1783"/>
      <c r="DF67" s="2577"/>
      <c r="DG67" s="1783"/>
      <c r="DH67" s="1807"/>
      <c r="DI67" s="1808"/>
      <c r="DJ67" s="2577"/>
      <c r="DK67" s="2577"/>
      <c r="DL67" s="1776"/>
      <c r="DM67" s="1807"/>
      <c r="DN67" s="1804"/>
      <c r="DO67" s="1776"/>
      <c r="DP67" s="2577"/>
      <c r="DQ67" s="1776"/>
      <c r="DR67" s="1807"/>
      <c r="DS67" s="1804"/>
      <c r="DT67" s="2577"/>
      <c r="DU67" s="2577"/>
      <c r="DV67" s="1776"/>
      <c r="DW67" s="1799"/>
      <c r="DX67" s="1804"/>
      <c r="DY67" s="1776"/>
      <c r="DZ67" s="1776"/>
      <c r="EA67" s="1776"/>
      <c r="EB67" s="1807"/>
      <c r="EC67" s="1804"/>
      <c r="ED67" s="1776"/>
      <c r="EE67" s="1776"/>
      <c r="EF67" s="1786"/>
      <c r="EG67" s="1807"/>
      <c r="EH67" s="1804"/>
      <c r="EI67" s="1776"/>
      <c r="EJ67" s="1776"/>
      <c r="EK67" s="1776"/>
      <c r="EL67" s="1807"/>
      <c r="EM67" s="1804"/>
      <c r="EN67" s="1776"/>
      <c r="EO67" s="1776"/>
      <c r="EP67" s="1776"/>
      <c r="EQ67" s="1807"/>
      <c r="ER67" s="2402">
        <f>(CJ67+CO67+CT67+CY67+DD67+DI67+DN67+DS67+DX67+EC67+EH67+EM67)/12</f>
        <v>0</v>
      </c>
      <c r="ES67" s="2403">
        <f t="shared" si="146"/>
        <v>0</v>
      </c>
      <c r="ET67" s="2403">
        <f t="shared" si="146"/>
        <v>0</v>
      </c>
      <c r="EU67" s="2403">
        <f t="shared" si="146"/>
        <v>0</v>
      </c>
      <c r="EV67" s="2404" t="e">
        <f>EU67/ET67</f>
        <v>#DIV/0!</v>
      </c>
      <c r="EW67" s="1814"/>
      <c r="EX67" s="1776"/>
      <c r="EY67" s="1776"/>
      <c r="EZ67" s="1815"/>
      <c r="FA67" s="1939"/>
      <c r="FB67" s="1786"/>
      <c r="FC67" s="1786"/>
      <c r="FD67" s="1799"/>
      <c r="FE67" s="6091"/>
      <c r="FF67" s="1786"/>
      <c r="FG67" s="1786"/>
      <c r="FH67" s="1815"/>
      <c r="FI67" s="1816"/>
      <c r="FJ67" s="1814"/>
      <c r="FK67" s="1786"/>
      <c r="FL67" s="1786"/>
      <c r="FM67" s="1799"/>
      <c r="FN67" s="1817"/>
      <c r="FO67" s="1818"/>
      <c r="FP67" s="1818"/>
      <c r="FQ67" s="1818"/>
      <c r="FR67" s="1819"/>
      <c r="FS67" s="1820"/>
      <c r="FT67" s="1818"/>
      <c r="FU67" s="1818"/>
      <c r="FV67" s="1818"/>
      <c r="FW67" s="1821"/>
      <c r="FX67" s="1820"/>
      <c r="FY67" s="1822"/>
      <c r="FZ67" s="1822"/>
      <c r="GA67" s="1818"/>
      <c r="GB67" s="1821"/>
      <c r="GC67" s="1823"/>
      <c r="GD67" s="1824"/>
      <c r="GE67" s="1824"/>
      <c r="GF67" s="1818"/>
      <c r="GG67" s="1821"/>
      <c r="GH67" s="1823"/>
      <c r="GI67" s="1824"/>
      <c r="GJ67" s="1824"/>
      <c r="GK67" s="1818"/>
      <c r="GL67" s="1821"/>
      <c r="GM67" s="1823"/>
      <c r="GN67" s="1824"/>
      <c r="GO67" s="1824"/>
      <c r="GP67" s="1818"/>
      <c r="GQ67" s="1821"/>
      <c r="GR67" s="1823"/>
      <c r="GS67" s="1824"/>
      <c r="GT67" s="1824"/>
      <c r="GU67" s="1818"/>
      <c r="GV67" s="1821"/>
      <c r="GW67" s="1823"/>
      <c r="GX67" s="1824"/>
      <c r="GY67" s="1824"/>
      <c r="GZ67" s="1818"/>
      <c r="HA67" s="1821"/>
      <c r="HB67" s="1823"/>
      <c r="HC67" s="1824"/>
      <c r="HD67" s="1824"/>
      <c r="HE67" s="1818"/>
      <c r="HF67" s="1821"/>
      <c r="HG67" s="1823"/>
      <c r="HH67" s="1824"/>
      <c r="HI67" s="1824"/>
      <c r="HJ67" s="1818"/>
      <c r="HK67" s="1821"/>
      <c r="HL67" s="1823"/>
      <c r="HM67" s="1824"/>
      <c r="HN67" s="1824"/>
      <c r="HO67" s="1818"/>
      <c r="HP67" s="1821"/>
      <c r="HQ67" s="654"/>
      <c r="HR67" s="1248"/>
      <c r="HS67" s="1248"/>
      <c r="HT67" s="1248"/>
      <c r="HU67" s="1826"/>
      <c r="HV67" s="2405">
        <f>(FN67+FS67+FX67+GC67+GH67+GM67+GR67+GW67+HB67+HG67+HL67+HQ67)/12</f>
        <v>0</v>
      </c>
      <c r="HW67" s="2406">
        <f t="shared" si="156"/>
        <v>0</v>
      </c>
      <c r="HX67" s="2406">
        <f t="shared" si="156"/>
        <v>0</v>
      </c>
      <c r="HY67" s="2406">
        <f t="shared" si="156"/>
        <v>0</v>
      </c>
      <c r="HZ67" s="1828"/>
      <c r="IA67" s="1829"/>
      <c r="IB67" s="1830"/>
      <c r="IC67" s="1830"/>
      <c r="ID67" s="1831"/>
      <c r="IE67" s="1832"/>
      <c r="IF67" s="1833"/>
      <c r="IG67" s="1834"/>
      <c r="IH67" s="1831"/>
      <c r="II67" s="1913"/>
      <c r="IJ67" s="1836"/>
      <c r="IK67" s="1836"/>
      <c r="IL67" s="239"/>
      <c r="IM67" s="1837"/>
      <c r="IN67" s="1836"/>
      <c r="IO67" s="1836"/>
      <c r="IP67" s="1838"/>
      <c r="IQ67" s="1839"/>
      <c r="IR67" s="1840"/>
      <c r="IS67" s="1818"/>
      <c r="IT67" s="1818"/>
      <c r="IU67" s="1818"/>
      <c r="IV67" s="1819"/>
      <c r="IW67" s="1820"/>
      <c r="IX67" s="1818"/>
      <c r="IY67" s="1818"/>
      <c r="IZ67" s="1818"/>
      <c r="JA67" s="1821"/>
      <c r="JB67" s="1984"/>
      <c r="JC67" s="1985"/>
      <c r="JD67" s="1986"/>
      <c r="JE67" s="1818"/>
      <c r="JF67" s="1821"/>
      <c r="JG67" s="1981"/>
      <c r="JH67" s="1824"/>
      <c r="JI67" s="1824"/>
      <c r="JJ67" s="1822"/>
      <c r="JK67" s="1821"/>
      <c r="JL67" s="1823"/>
      <c r="JM67" s="1824"/>
      <c r="JN67" s="1824"/>
      <c r="JO67" s="1996"/>
      <c r="JP67" s="1821"/>
      <c r="JQ67" s="6013"/>
      <c r="JR67" s="1982"/>
      <c r="JS67" s="1248"/>
      <c r="JT67" s="1996"/>
      <c r="JU67" s="1821"/>
      <c r="JV67" s="1823"/>
      <c r="JW67" s="1982"/>
      <c r="JX67" s="1248"/>
      <c r="JY67" s="1996"/>
      <c r="JZ67" s="1821"/>
      <c r="KA67" s="1823">
        <v>1</v>
      </c>
      <c r="KB67" s="1982">
        <v>28000</v>
      </c>
      <c r="KC67" s="1248">
        <v>37000</v>
      </c>
      <c r="KD67" s="1983">
        <f>KC67-KB67</f>
        <v>9000</v>
      </c>
      <c r="KE67" s="1952">
        <f>KD67/KC67</f>
        <v>0.24324324324324326</v>
      </c>
      <c r="KF67" s="1823">
        <v>1</v>
      </c>
      <c r="KG67" s="1982">
        <v>28000</v>
      </c>
      <c r="KH67" s="1248">
        <v>37000</v>
      </c>
      <c r="KI67" s="1818">
        <f>KH67-KG67</f>
        <v>9000</v>
      </c>
      <c r="KJ67" s="1821">
        <f>KI67/KH67</f>
        <v>0.24324324324324326</v>
      </c>
      <c r="KK67" s="1823">
        <v>1</v>
      </c>
      <c r="KL67" s="1982">
        <v>28000</v>
      </c>
      <c r="KM67" s="1248">
        <v>37000</v>
      </c>
      <c r="KN67" s="1996">
        <f>KM67-KL67</f>
        <v>9000</v>
      </c>
      <c r="KO67" s="2024">
        <f>KN67/KM67</f>
        <v>0.24324324324324326</v>
      </c>
      <c r="KP67" s="1823">
        <v>1</v>
      </c>
      <c r="KQ67" s="1982">
        <v>28000</v>
      </c>
      <c r="KR67" s="1248">
        <v>37000</v>
      </c>
      <c r="KS67" s="1996">
        <f>KR67-KQ67</f>
        <v>9000</v>
      </c>
      <c r="KT67" s="1819">
        <f>KS67/KR67</f>
        <v>0.24324324324324326</v>
      </c>
      <c r="KU67" s="1905">
        <v>1</v>
      </c>
      <c r="KV67" s="1248">
        <v>28500</v>
      </c>
      <c r="KW67" s="1248">
        <v>37000</v>
      </c>
      <c r="KX67" s="1248">
        <f>KW67-KV67</f>
        <v>8500</v>
      </c>
      <c r="KY67" s="77">
        <f>KX67/KW67</f>
        <v>0.22972972972972974</v>
      </c>
      <c r="KZ67" s="1832">
        <v>1</v>
      </c>
      <c r="LA67" s="622">
        <f t="shared" si="269"/>
        <v>140500</v>
      </c>
      <c r="LB67" s="622">
        <f t="shared" si="269"/>
        <v>185000</v>
      </c>
      <c r="LC67" s="622">
        <f t="shared" si="269"/>
        <v>44500</v>
      </c>
      <c r="LD67" s="239">
        <f>LC67/LB67</f>
        <v>0.24054054054054055</v>
      </c>
      <c r="LE67" s="1834">
        <f>(IR67+IW67+JB67)/3</f>
        <v>0</v>
      </c>
      <c r="LF67" s="1830">
        <f t="shared" si="270"/>
        <v>0</v>
      </c>
      <c r="LG67" s="1830">
        <f t="shared" si="270"/>
        <v>0</v>
      </c>
      <c r="LH67" s="1831"/>
      <c r="LI67" s="1832">
        <f>(JG67+JL67+JQ67)/3</f>
        <v>0</v>
      </c>
      <c r="LJ67" s="1833">
        <f t="shared" si="271"/>
        <v>0</v>
      </c>
      <c r="LK67" s="1834">
        <f t="shared" si="271"/>
        <v>0</v>
      </c>
      <c r="LL67" s="1831"/>
      <c r="LM67" s="1835">
        <f>(JV67+KA67+KF67)/3</f>
        <v>0.66666666666666663</v>
      </c>
      <c r="LN67" s="1836">
        <f t="shared" si="272"/>
        <v>74000</v>
      </c>
      <c r="LO67" s="1836">
        <f t="shared" si="272"/>
        <v>18000</v>
      </c>
      <c r="LP67" s="239">
        <f>LO67/LN67</f>
        <v>0.24324324324324326</v>
      </c>
      <c r="LQ67" s="1837">
        <f>(KK67+KP67+KU67)/3</f>
        <v>1</v>
      </c>
      <c r="LR67" s="1836">
        <f t="shared" si="273"/>
        <v>111000</v>
      </c>
      <c r="LS67" s="1836">
        <f t="shared" si="273"/>
        <v>26500</v>
      </c>
      <c r="LT67" s="1838">
        <f>LS67/LR67</f>
        <v>0.23873873873873874</v>
      </c>
      <c r="LV67" s="401">
        <v>1</v>
      </c>
      <c r="LW67" s="395">
        <v>28500</v>
      </c>
      <c r="LX67" s="395">
        <v>37000</v>
      </c>
      <c r="LY67" s="115">
        <f>LX67-LW67</f>
        <v>8500</v>
      </c>
      <c r="LZ67" s="186">
        <f>LY67/LX67</f>
        <v>0.22972972972972974</v>
      </c>
      <c r="MA67" s="2000">
        <v>1</v>
      </c>
      <c r="MB67" s="1317">
        <v>28000</v>
      </c>
      <c r="MC67" s="1317">
        <v>37000</v>
      </c>
      <c r="MD67" s="372">
        <f>MC67-MB67</f>
        <v>9000</v>
      </c>
      <c r="ME67" s="207">
        <f>MD67/MC67</f>
        <v>0.24324324324324326</v>
      </c>
      <c r="MF67" s="401">
        <v>1</v>
      </c>
      <c r="MG67" s="395">
        <v>31000</v>
      </c>
      <c r="MH67" s="395">
        <v>37000</v>
      </c>
      <c r="MI67" s="372">
        <f>MH67-MG67</f>
        <v>6000</v>
      </c>
      <c r="MJ67" s="207">
        <f>MI67/MH67</f>
        <v>0.16216216216216217</v>
      </c>
      <c r="MK67" s="2573">
        <v>1</v>
      </c>
      <c r="ML67" s="395">
        <v>31600</v>
      </c>
      <c r="MM67" s="395">
        <v>37000</v>
      </c>
      <c r="MN67" s="372">
        <f>MM67-ML67</f>
        <v>5400</v>
      </c>
      <c r="MO67" s="207">
        <f>MN67/MM67</f>
        <v>0.14594594594594595</v>
      </c>
      <c r="MP67" s="1577">
        <v>1</v>
      </c>
      <c r="MQ67" s="1248">
        <v>31433</v>
      </c>
      <c r="MR67" s="1248">
        <v>37000</v>
      </c>
      <c r="MS67" s="1248">
        <f t="shared" si="274"/>
        <v>5567</v>
      </c>
      <c r="MT67" s="655">
        <f>MS67/MR67</f>
        <v>0.15045945945945946</v>
      </c>
      <c r="MU67" s="1318">
        <v>1</v>
      </c>
      <c r="MV67" s="395">
        <v>31433</v>
      </c>
      <c r="MW67" s="395">
        <v>37000</v>
      </c>
      <c r="MX67" s="395">
        <f>MW67-MV67</f>
        <v>5567</v>
      </c>
      <c r="MY67" s="655">
        <f>MX67/MW67</f>
        <v>0.15045945945945946</v>
      </c>
      <c r="MZ67" s="1318">
        <v>1</v>
      </c>
      <c r="NA67" s="395">
        <v>31600</v>
      </c>
      <c r="NB67" s="395">
        <v>37000</v>
      </c>
      <c r="NC67" s="395">
        <f>NB67-NA67</f>
        <v>5400</v>
      </c>
      <c r="ND67" s="801">
        <f>NC67/NB67</f>
        <v>0.14594594594594595</v>
      </c>
      <c r="NE67" s="1318">
        <v>1</v>
      </c>
      <c r="NF67" s="395">
        <v>31433</v>
      </c>
      <c r="NG67" s="395">
        <v>40000</v>
      </c>
      <c r="NH67" s="395">
        <f>NG67-NF67</f>
        <v>8567</v>
      </c>
      <c r="NI67" s="801">
        <f>NH67/NG67</f>
        <v>0.214175</v>
      </c>
      <c r="NJ67" s="1318">
        <v>1</v>
      </c>
      <c r="NK67" s="395">
        <v>30833</v>
      </c>
      <c r="NL67" s="395">
        <v>37000</v>
      </c>
      <c r="NM67" s="395">
        <f>NL67-NK67</f>
        <v>6167</v>
      </c>
      <c r="NN67" s="801">
        <f>NM67/NL67</f>
        <v>0.16667567567567568</v>
      </c>
      <c r="NO67" s="2738">
        <v>1</v>
      </c>
      <c r="NP67" s="622">
        <v>31733</v>
      </c>
      <c r="NQ67" s="2437">
        <v>37000</v>
      </c>
      <c r="NR67" s="395">
        <f t="shared" si="282"/>
        <v>5267</v>
      </c>
      <c r="NS67" s="801">
        <f t="shared" si="283"/>
        <v>0.14235135135135135</v>
      </c>
      <c r="NT67" s="2738">
        <v>1</v>
      </c>
      <c r="NU67" s="622">
        <v>31133</v>
      </c>
      <c r="NV67" s="622">
        <v>37000</v>
      </c>
      <c r="NW67" s="395">
        <f>NV67-NU67</f>
        <v>5867</v>
      </c>
      <c r="NX67" s="801">
        <f>NW67/NV67</f>
        <v>0.15856756756756757</v>
      </c>
      <c r="NY67" s="2738">
        <v>1</v>
      </c>
      <c r="NZ67" s="622">
        <v>31133</v>
      </c>
      <c r="OA67" s="622">
        <v>37000</v>
      </c>
      <c r="OB67" s="772">
        <f t="shared" si="284"/>
        <v>5867</v>
      </c>
      <c r="OC67" s="116">
        <f>OB67/OA67</f>
        <v>0.15856756756756757</v>
      </c>
      <c r="OD67" s="2433">
        <v>1</v>
      </c>
      <c r="OE67" s="622">
        <v>369664</v>
      </c>
      <c r="OF67" s="622">
        <v>447000</v>
      </c>
      <c r="OG67" s="622">
        <f t="shared" si="265"/>
        <v>77169</v>
      </c>
      <c r="OH67" s="1576">
        <f t="shared" si="285"/>
        <v>0.17263758389261746</v>
      </c>
      <c r="OI67" s="2435">
        <f t="shared" si="286"/>
        <v>1</v>
      </c>
      <c r="OJ67" s="2436">
        <f t="shared" ref="OJ67:OL71" si="301">LW67+MB67+MG67</f>
        <v>87500</v>
      </c>
      <c r="OK67" s="2436">
        <f t="shared" si="301"/>
        <v>111000</v>
      </c>
      <c r="OL67" s="2436">
        <f t="shared" si="301"/>
        <v>23500</v>
      </c>
      <c r="OM67" s="1439">
        <f>OL67/OK67</f>
        <v>0.21171171171171171</v>
      </c>
      <c r="ON67" s="622">
        <f>(MK67+MP67+MU67)/3</f>
        <v>1</v>
      </c>
      <c r="OO67" s="622">
        <f t="shared" si="275"/>
        <v>94466</v>
      </c>
      <c r="OP67" s="622">
        <f t="shared" si="275"/>
        <v>111000</v>
      </c>
      <c r="OQ67" s="2437">
        <f t="shared" si="275"/>
        <v>16534</v>
      </c>
      <c r="OR67" s="421">
        <f>OQ67/OP67</f>
        <v>0.14895495495495495</v>
      </c>
      <c r="OS67" s="2438">
        <f t="shared" si="287"/>
        <v>1</v>
      </c>
      <c r="OT67" s="2439">
        <f t="shared" si="242"/>
        <v>93866</v>
      </c>
      <c r="OU67" s="2439">
        <f t="shared" si="242"/>
        <v>114000</v>
      </c>
      <c r="OV67" s="2440">
        <f t="shared" si="242"/>
        <v>20134</v>
      </c>
      <c r="OW67" s="460">
        <f>OV67/OU67</f>
        <v>0.17661403508771931</v>
      </c>
      <c r="OX67" s="2432">
        <v>1</v>
      </c>
      <c r="OY67" s="622">
        <f t="shared" ref="OY67:PA71" si="302">NP67+NU67+NZ67</f>
        <v>93999</v>
      </c>
      <c r="OZ67" s="622">
        <f t="shared" si="302"/>
        <v>111000</v>
      </c>
      <c r="PA67" s="2437">
        <f t="shared" si="302"/>
        <v>17001</v>
      </c>
      <c r="PB67" s="116">
        <f t="shared" si="288"/>
        <v>0.15316216216216216</v>
      </c>
      <c r="PC67" s="2441"/>
      <c r="PD67" s="401">
        <v>1</v>
      </c>
      <c r="PE67" s="395">
        <v>31133</v>
      </c>
      <c r="PF67" s="395">
        <v>37000</v>
      </c>
      <c r="PG67" s="115">
        <f>PF67-PE67</f>
        <v>5867</v>
      </c>
      <c r="PH67" s="186">
        <f>PG67/PF67</f>
        <v>0.15856756756756757</v>
      </c>
      <c r="PI67" s="401">
        <v>1</v>
      </c>
      <c r="PJ67" s="395">
        <v>31333</v>
      </c>
      <c r="PK67" s="395">
        <v>37000</v>
      </c>
      <c r="PL67" s="115">
        <f t="shared" si="276"/>
        <v>5667</v>
      </c>
      <c r="PM67" s="186">
        <f>PL67/PK67</f>
        <v>0.15316216216216216</v>
      </c>
      <c r="PN67" s="401">
        <v>1</v>
      </c>
      <c r="PO67" s="395">
        <v>31333</v>
      </c>
      <c r="PP67" s="395">
        <v>37000</v>
      </c>
      <c r="PQ67" s="372">
        <f t="shared" si="277"/>
        <v>5667</v>
      </c>
      <c r="PR67" s="207">
        <f>PQ67/PP67</f>
        <v>0.15316216216216216</v>
      </c>
      <c r="PS67" s="2573">
        <v>1</v>
      </c>
      <c r="PT67" s="395">
        <v>30833</v>
      </c>
      <c r="PU67" s="395">
        <v>37000</v>
      </c>
      <c r="PV67" s="372">
        <f>PU67-PT67</f>
        <v>6167</v>
      </c>
      <c r="PW67" s="207">
        <f>PV67/PU67</f>
        <v>0.16667567567567568</v>
      </c>
      <c r="PX67" s="1577">
        <v>1</v>
      </c>
      <c r="PY67" s="1248">
        <v>31000</v>
      </c>
      <c r="PZ67" s="1248">
        <v>37000</v>
      </c>
      <c r="QA67" s="1248">
        <f>PZ67-PY67</f>
        <v>6000</v>
      </c>
      <c r="QB67" s="655">
        <f>QA67/PZ67</f>
        <v>0.16216216216216217</v>
      </c>
      <c r="QC67" s="1318">
        <v>1</v>
      </c>
      <c r="QD67" s="395">
        <v>31600</v>
      </c>
      <c r="QE67" s="395">
        <v>37000</v>
      </c>
      <c r="QF67" s="395">
        <f>QE67-QD67</f>
        <v>5400</v>
      </c>
      <c r="QG67" s="655">
        <f>QF67/QE67</f>
        <v>0.14594594594594595</v>
      </c>
      <c r="QH67" s="401">
        <v>1</v>
      </c>
      <c r="QI67" s="395">
        <v>31600</v>
      </c>
      <c r="QJ67" s="395">
        <v>37000</v>
      </c>
      <c r="QK67" s="395">
        <f>QJ67-QI67</f>
        <v>5400</v>
      </c>
      <c r="QL67" s="801">
        <f>QK67/QJ67</f>
        <v>0.14594594594594595</v>
      </c>
      <c r="QM67" s="6133">
        <v>1</v>
      </c>
      <c r="QN67" s="6134">
        <v>29567</v>
      </c>
      <c r="QO67" s="6134">
        <v>37000</v>
      </c>
      <c r="QP67" s="395">
        <f>QO67-QN67</f>
        <v>7433</v>
      </c>
      <c r="QQ67" s="801">
        <f>QP67/QO67</f>
        <v>0.20089189189189188</v>
      </c>
      <c r="QR67" s="1318">
        <v>1</v>
      </c>
      <c r="QS67" s="395">
        <v>23961</v>
      </c>
      <c r="QT67" s="395">
        <v>37000</v>
      </c>
      <c r="QU67" s="395">
        <f t="shared" ref="QU67:QU72" si="303">QT67-QS67</f>
        <v>13039</v>
      </c>
      <c r="QV67" s="207">
        <f>QU67/QT67</f>
        <v>0.35240540540540538</v>
      </c>
      <c r="QW67" s="2739">
        <v>1</v>
      </c>
      <c r="QX67" s="395">
        <v>29667</v>
      </c>
      <c r="QY67" s="395">
        <v>37000</v>
      </c>
      <c r="QZ67" s="395">
        <f t="shared" ref="QZ67:QZ72" si="304">QY67-QX67</f>
        <v>7333</v>
      </c>
      <c r="RA67" s="6135">
        <f>QZ67/QY67</f>
        <v>0.19818918918918918</v>
      </c>
      <c r="RB67" s="2739">
        <v>1</v>
      </c>
      <c r="RC67" s="395">
        <v>29667</v>
      </c>
      <c r="RD67" s="395">
        <v>37000</v>
      </c>
      <c r="RE67" s="395">
        <f t="shared" ref="RE67:RE72" si="305">RD67-RC67</f>
        <v>7333</v>
      </c>
      <c r="RF67" s="116">
        <f>RE67/RD67</f>
        <v>0.19818918918918918</v>
      </c>
      <c r="RG67" s="1832">
        <v>1</v>
      </c>
      <c r="RH67" s="2437">
        <v>33734</v>
      </c>
      <c r="RI67" s="395">
        <v>37000</v>
      </c>
      <c r="RJ67" s="772">
        <f t="shared" si="290"/>
        <v>3266</v>
      </c>
      <c r="RK67" s="116">
        <f>RJ67/RI67</f>
        <v>8.8270270270270276E-2</v>
      </c>
      <c r="RL67" s="2108">
        <v>1</v>
      </c>
      <c r="RM67" s="1873">
        <f t="shared" si="245"/>
        <v>365428</v>
      </c>
      <c r="RN67" s="1873">
        <f t="shared" si="245"/>
        <v>444000</v>
      </c>
      <c r="RO67" s="1873">
        <f t="shared" si="245"/>
        <v>78572</v>
      </c>
      <c r="RP67" s="1576">
        <f t="shared" ref="RP67:RP72" si="306">RO67/RN67</f>
        <v>0.17696396396396397</v>
      </c>
      <c r="RQ67" s="2435">
        <f t="shared" si="291"/>
        <v>1</v>
      </c>
      <c r="RR67" s="2436">
        <f t="shared" ref="RR67:RT71" si="307">PE67+PJ67+PO67</f>
        <v>93799</v>
      </c>
      <c r="RS67" s="2436">
        <f t="shared" si="307"/>
        <v>111000</v>
      </c>
      <c r="RT67" s="2436">
        <f t="shared" si="307"/>
        <v>17201</v>
      </c>
      <c r="RU67" s="1439">
        <f t="shared" si="292"/>
        <v>0.15496396396396397</v>
      </c>
      <c r="RV67" s="622">
        <v>1</v>
      </c>
      <c r="RW67" s="622">
        <f t="shared" si="278"/>
        <v>93433</v>
      </c>
      <c r="RX67" s="622">
        <f t="shared" si="278"/>
        <v>111000</v>
      </c>
      <c r="RY67" s="2437">
        <f t="shared" si="278"/>
        <v>17567</v>
      </c>
      <c r="RZ67" s="421">
        <f>RY67/RX67</f>
        <v>0.15826126126126125</v>
      </c>
      <c r="SA67" s="2438">
        <v>1</v>
      </c>
      <c r="SB67" s="2439">
        <f t="shared" si="250"/>
        <v>85128</v>
      </c>
      <c r="SC67" s="2439">
        <f t="shared" si="250"/>
        <v>111000</v>
      </c>
      <c r="SD67" s="2440">
        <f t="shared" si="250"/>
        <v>25872</v>
      </c>
      <c r="SE67" s="460">
        <f t="shared" si="267"/>
        <v>0.23308108108108108</v>
      </c>
      <c r="SF67" s="2108">
        <v>1</v>
      </c>
      <c r="SG67" s="622">
        <f t="shared" si="293"/>
        <v>93068</v>
      </c>
      <c r="SH67" s="622">
        <f t="shared" si="293"/>
        <v>111000</v>
      </c>
      <c r="SI67" s="2437">
        <f t="shared" si="293"/>
        <v>17932</v>
      </c>
      <c r="SJ67" s="116">
        <f>SI67/SH67</f>
        <v>0.16154954954954956</v>
      </c>
      <c r="SL67" s="2445"/>
      <c r="SM67" s="2001">
        <v>0</v>
      </c>
      <c r="SN67" s="2001">
        <v>0</v>
      </c>
      <c r="SO67" s="3534">
        <f t="shared" si="264"/>
        <v>0</v>
      </c>
      <c r="SP67" s="1498"/>
      <c r="SQ67" s="2445"/>
      <c r="SR67" s="2001"/>
      <c r="SS67" s="2001"/>
      <c r="ST67" s="3534">
        <f t="shared" ref="ST67:ST72" si="308">SS67-SR67</f>
        <v>0</v>
      </c>
      <c r="SU67" s="1498" t="e">
        <f>ST67/SS67</f>
        <v>#DIV/0!</v>
      </c>
      <c r="SV67" s="401"/>
      <c r="SW67" s="395"/>
      <c r="SX67" s="395"/>
      <c r="SY67" s="372">
        <f t="shared" si="279"/>
        <v>0</v>
      </c>
      <c r="SZ67" s="207" t="e">
        <f>SY67/SX67</f>
        <v>#DIV/0!</v>
      </c>
      <c r="TA67" s="2573"/>
      <c r="TB67" s="395"/>
      <c r="TC67" s="395"/>
      <c r="TD67" s="372">
        <f>TC67-TB67</f>
        <v>0</v>
      </c>
      <c r="TE67" s="207" t="e">
        <f>TD67/TC67</f>
        <v>#DIV/0!</v>
      </c>
      <c r="TF67" s="1577"/>
      <c r="TG67" s="1248"/>
      <c r="TH67" s="1248"/>
      <c r="TI67" s="1248">
        <f>TH67-TG67</f>
        <v>0</v>
      </c>
      <c r="TJ67" s="655" t="e">
        <f>TI67/TH67</f>
        <v>#DIV/0!</v>
      </c>
      <c r="TK67" s="1318"/>
      <c r="TL67" s="395"/>
      <c r="TM67" s="395"/>
      <c r="TN67" s="395">
        <f>TM67-TL67</f>
        <v>0</v>
      </c>
      <c r="TO67" s="655" t="e">
        <f>TN67/TM67</f>
        <v>#DIV/0!</v>
      </c>
      <c r="TP67" s="4434"/>
      <c r="TQ67" s="395"/>
      <c r="TR67" s="395"/>
      <c r="TS67" s="395">
        <f>TR67-TQ67</f>
        <v>0</v>
      </c>
      <c r="TT67" s="801" t="e">
        <f>TS67/TR67</f>
        <v>#DIV/0!</v>
      </c>
      <c r="TU67" s="6136"/>
      <c r="TV67" s="6137"/>
      <c r="TW67" s="6137"/>
      <c r="TX67" s="2001">
        <f>TW67-TV67</f>
        <v>0</v>
      </c>
      <c r="TY67" s="2003" t="e">
        <f>TX67/TW67</f>
        <v>#DIV/0!</v>
      </c>
      <c r="TZ67" s="2002"/>
      <c r="UA67" s="2001"/>
      <c r="UB67" s="2001"/>
      <c r="UC67" s="2001">
        <f t="shared" ref="UC67:UC72" si="309">UB67-UA67</f>
        <v>0</v>
      </c>
      <c r="UD67" s="3868">
        <v>0</v>
      </c>
      <c r="UE67" s="6493"/>
      <c r="UF67" s="2001"/>
      <c r="UG67" s="2001"/>
      <c r="UH67" s="2001">
        <f t="shared" ref="UH67:UH72" si="310">UG67-UF67</f>
        <v>0</v>
      </c>
      <c r="UI67" s="6494" t="e">
        <f>UH67/UG67</f>
        <v>#DIV/0!</v>
      </c>
      <c r="UJ67" s="2739"/>
      <c r="UK67" s="395"/>
      <c r="UL67" s="395"/>
      <c r="UM67" s="395">
        <f t="shared" ref="UM67:UM72" si="311">UL67-UK67</f>
        <v>0</v>
      </c>
      <c r="UN67" s="116" t="e">
        <f>UM67/UL67</f>
        <v>#DIV/0!</v>
      </c>
      <c r="UO67" s="2108"/>
      <c r="UP67" s="1873"/>
      <c r="UQ67" s="1873"/>
      <c r="UR67" s="2012">
        <f t="shared" ref="UR67:UR72" si="312">UQ67-UP67</f>
        <v>0</v>
      </c>
      <c r="US67" s="116" t="e">
        <f>UR67/UQ67</f>
        <v>#DIV/0!</v>
      </c>
      <c r="UT67" s="2108"/>
      <c r="UU67" s="622">
        <f t="shared" si="78"/>
        <v>0</v>
      </c>
      <c r="UV67" s="622">
        <f t="shared" si="78"/>
        <v>0</v>
      </c>
      <c r="UW67" s="622">
        <f t="shared" si="78"/>
        <v>0</v>
      </c>
      <c r="UX67" s="2281">
        <v>0</v>
      </c>
      <c r="UY67" s="2435">
        <f t="shared" si="297"/>
        <v>0</v>
      </c>
      <c r="UZ67" s="2436">
        <f t="shared" ref="UZ67:VB71" si="313">SM67+SR67+SW67</f>
        <v>0</v>
      </c>
      <c r="VA67" s="2436">
        <f t="shared" si="313"/>
        <v>0</v>
      </c>
      <c r="VB67" s="2436">
        <f t="shared" si="313"/>
        <v>0</v>
      </c>
      <c r="VC67" s="1439" t="e">
        <f t="shared" si="298"/>
        <v>#DIV/0!</v>
      </c>
      <c r="VD67" s="622"/>
      <c r="VE67" s="622">
        <f t="shared" si="281"/>
        <v>0</v>
      </c>
      <c r="VF67" s="622">
        <f t="shared" si="281"/>
        <v>0</v>
      </c>
      <c r="VG67" s="2437">
        <f t="shared" si="281"/>
        <v>0</v>
      </c>
      <c r="VH67" s="421" t="e">
        <f>VG67/VF67</f>
        <v>#DIV/0!</v>
      </c>
      <c r="VI67" s="2438"/>
      <c r="VJ67" s="2439">
        <f t="shared" si="257"/>
        <v>0</v>
      </c>
      <c r="VK67" s="2439">
        <f t="shared" si="257"/>
        <v>0</v>
      </c>
      <c r="VL67" s="2440">
        <f t="shared" si="257"/>
        <v>0</v>
      </c>
      <c r="VM67" s="460" t="e">
        <f>VL67/VK67</f>
        <v>#DIV/0!</v>
      </c>
      <c r="VN67" s="2108"/>
      <c r="VO67" s="622">
        <f t="shared" si="299"/>
        <v>0</v>
      </c>
      <c r="VP67" s="622">
        <f t="shared" si="299"/>
        <v>0</v>
      </c>
      <c r="VQ67" s="2437">
        <f t="shared" si="299"/>
        <v>0</v>
      </c>
      <c r="VR67" s="116" t="e">
        <f>VQ67/VP67</f>
        <v>#DIV/0!</v>
      </c>
    </row>
    <row r="68" spans="1:590" s="122" customFormat="1" ht="13.45" hidden="1" x14ac:dyDescent="0.3">
      <c r="A68" s="2906"/>
      <c r="B68" s="1773" t="s">
        <v>53</v>
      </c>
      <c r="C68" s="6084" t="s">
        <v>57</v>
      </c>
      <c r="D68" s="6009" t="s">
        <v>59</v>
      </c>
      <c r="E68" s="6131">
        <v>45017</v>
      </c>
      <c r="F68" s="6132">
        <v>45291</v>
      </c>
      <c r="G68" s="6087">
        <v>37000</v>
      </c>
      <c r="H68" s="1775"/>
      <c r="I68" s="6088"/>
      <c r="J68" s="6089"/>
      <c r="K68" s="1776"/>
      <c r="L68" s="1777"/>
      <c r="M68" s="5992"/>
      <c r="N68" s="1779"/>
      <c r="O68" s="1779"/>
      <c r="P68" s="1779"/>
      <c r="Q68" s="1780"/>
      <c r="R68" s="5986"/>
      <c r="S68" s="1776"/>
      <c r="T68" s="1783"/>
      <c r="U68" s="1776"/>
      <c r="V68" s="1777"/>
      <c r="W68" s="5976"/>
      <c r="X68" s="1776"/>
      <c r="Y68" s="1783"/>
      <c r="Z68" s="1776"/>
      <c r="AA68" s="1777"/>
      <c r="AB68" s="1785"/>
      <c r="AC68" s="1776"/>
      <c r="AD68" s="1783"/>
      <c r="AE68" s="1776"/>
      <c r="AF68" s="1777"/>
      <c r="AG68" s="1785"/>
      <c r="AH68" s="1776"/>
      <c r="AI68" s="1786"/>
      <c r="AJ68" s="1786"/>
      <c r="AK68" s="1777"/>
      <c r="AL68" s="1785"/>
      <c r="AM68" s="1781"/>
      <c r="AN68" s="1781"/>
      <c r="AO68" s="1781"/>
      <c r="AP68" s="1777"/>
      <c r="AQ68" s="1787"/>
      <c r="AR68" s="1781"/>
      <c r="AS68" s="1781"/>
      <c r="AT68" s="1789"/>
      <c r="AU68" s="1777"/>
      <c r="AV68" s="1790"/>
      <c r="AW68" s="1781"/>
      <c r="AX68" s="1781"/>
      <c r="AY68" s="1781"/>
      <c r="AZ68" s="1777"/>
      <c r="BA68" s="1791"/>
      <c r="BB68" s="1786"/>
      <c r="BC68" s="1776"/>
      <c r="BD68" s="1781"/>
      <c r="BE68" s="1780"/>
      <c r="BF68" s="1790"/>
      <c r="BG68" s="1781"/>
      <c r="BH68" s="1776"/>
      <c r="BI68" s="1781"/>
      <c r="BJ68" s="1780"/>
      <c r="BK68" s="1790"/>
      <c r="BL68" s="1783"/>
      <c r="BM68" s="6075"/>
      <c r="BN68" s="1781"/>
      <c r="BO68" s="5978"/>
      <c r="BP68" s="1937"/>
      <c r="BQ68" s="1796"/>
      <c r="BR68" s="1786"/>
      <c r="BS68" s="1797"/>
      <c r="BT68" s="1798"/>
      <c r="BU68" s="1786"/>
      <c r="BV68" s="1786"/>
      <c r="BW68" s="1799"/>
      <c r="BX68" s="1800"/>
      <c r="BY68" s="1786"/>
      <c r="BZ68" s="1786"/>
      <c r="CA68" s="6090"/>
      <c r="CB68" s="1802"/>
      <c r="CC68" s="1786"/>
      <c r="CD68" s="1786"/>
      <c r="CE68" s="1803"/>
      <c r="CF68" s="1800"/>
      <c r="CG68" s="1776"/>
      <c r="CH68" s="1776"/>
      <c r="CI68" s="1801"/>
      <c r="CJ68" s="1804"/>
      <c r="CK68" s="1776"/>
      <c r="CL68" s="1776"/>
      <c r="CM68" s="1810"/>
      <c r="CN68" s="1799"/>
      <c r="CO68" s="1804"/>
      <c r="CP68" s="1776"/>
      <c r="CQ68" s="1776"/>
      <c r="CR68" s="1776"/>
      <c r="CS68" s="1799"/>
      <c r="CT68" s="1804"/>
      <c r="CU68" s="1776"/>
      <c r="CV68" s="1776"/>
      <c r="CW68" s="1776"/>
      <c r="CX68" s="1799"/>
      <c r="CY68" s="1808"/>
      <c r="CZ68" s="1783"/>
      <c r="DA68" s="2577"/>
      <c r="DB68" s="1776"/>
      <c r="DC68" s="1799"/>
      <c r="DD68" s="1808"/>
      <c r="DE68" s="1783"/>
      <c r="DF68" s="2577"/>
      <c r="DG68" s="1783"/>
      <c r="DH68" s="1807"/>
      <c r="DI68" s="1808"/>
      <c r="DJ68" s="2577"/>
      <c r="DK68" s="2577"/>
      <c r="DL68" s="1776"/>
      <c r="DM68" s="1807"/>
      <c r="DN68" s="1804"/>
      <c r="DO68" s="1776"/>
      <c r="DP68" s="2577"/>
      <c r="DQ68" s="1776"/>
      <c r="DR68" s="1807"/>
      <c r="DS68" s="1804"/>
      <c r="DT68" s="2577"/>
      <c r="DU68" s="2577"/>
      <c r="DV68" s="1776"/>
      <c r="DW68" s="1799"/>
      <c r="DX68" s="1804"/>
      <c r="DY68" s="1776"/>
      <c r="DZ68" s="1776"/>
      <c r="EA68" s="1776"/>
      <c r="EB68" s="1807"/>
      <c r="EC68" s="1804"/>
      <c r="ED68" s="1776"/>
      <c r="EE68" s="1776"/>
      <c r="EF68" s="1786"/>
      <c r="EG68" s="1807"/>
      <c r="EH68" s="1804"/>
      <c r="EI68" s="1776"/>
      <c r="EJ68" s="1776"/>
      <c r="EK68" s="1776"/>
      <c r="EL68" s="1807"/>
      <c r="EM68" s="1804"/>
      <c r="EN68" s="1776"/>
      <c r="EO68" s="1776"/>
      <c r="EP68" s="1776"/>
      <c r="EQ68" s="1807"/>
      <c r="ER68" s="2402">
        <f>(CJ68+CO68+CT68+CY68+DD68+DI68+DN68+DS68+DX68+EC68+EH68+EM68)/12</f>
        <v>0</v>
      </c>
      <c r="ES68" s="2403">
        <f t="shared" si="146"/>
        <v>0</v>
      </c>
      <c r="ET68" s="2403">
        <f t="shared" si="146"/>
        <v>0</v>
      </c>
      <c r="EU68" s="2403">
        <f t="shared" si="146"/>
        <v>0</v>
      </c>
      <c r="EV68" s="2404" t="e">
        <f>EU68/ET68</f>
        <v>#DIV/0!</v>
      </c>
      <c r="EW68" s="1814"/>
      <c r="EX68" s="1776"/>
      <c r="EY68" s="1776"/>
      <c r="EZ68" s="1815"/>
      <c r="FA68" s="1939"/>
      <c r="FB68" s="1786"/>
      <c r="FC68" s="1786"/>
      <c r="FD68" s="1799"/>
      <c r="FE68" s="6091"/>
      <c r="FF68" s="1786"/>
      <c r="FG68" s="1786"/>
      <c r="FH68" s="1815"/>
      <c r="FI68" s="1816"/>
      <c r="FJ68" s="1814"/>
      <c r="FK68" s="1786"/>
      <c r="FL68" s="1786"/>
      <c r="FM68" s="1799"/>
      <c r="FN68" s="1817"/>
      <c r="FO68" s="1818"/>
      <c r="FP68" s="1818"/>
      <c r="FQ68" s="1818"/>
      <c r="FR68" s="1819"/>
      <c r="FS68" s="1820"/>
      <c r="FT68" s="1818"/>
      <c r="FU68" s="1818"/>
      <c r="FV68" s="1818"/>
      <c r="FW68" s="1821"/>
      <c r="FX68" s="1820"/>
      <c r="FY68" s="1822"/>
      <c r="FZ68" s="1822"/>
      <c r="GA68" s="1818"/>
      <c r="GB68" s="1821"/>
      <c r="GC68" s="1823"/>
      <c r="GD68" s="1824"/>
      <c r="GE68" s="1824"/>
      <c r="GF68" s="1818"/>
      <c r="GG68" s="1821"/>
      <c r="GH68" s="1823"/>
      <c r="GI68" s="1824"/>
      <c r="GJ68" s="1824"/>
      <c r="GK68" s="1818"/>
      <c r="GL68" s="1821"/>
      <c r="GM68" s="1823"/>
      <c r="GN68" s="1824"/>
      <c r="GO68" s="1824"/>
      <c r="GP68" s="1818"/>
      <c r="GQ68" s="1821"/>
      <c r="GR68" s="1823"/>
      <c r="GS68" s="1824"/>
      <c r="GT68" s="1824"/>
      <c r="GU68" s="1818"/>
      <c r="GV68" s="1821"/>
      <c r="GW68" s="1823"/>
      <c r="GX68" s="1824"/>
      <c r="GY68" s="1824"/>
      <c r="GZ68" s="1818"/>
      <c r="HA68" s="1821"/>
      <c r="HB68" s="1823"/>
      <c r="HC68" s="1824"/>
      <c r="HD68" s="1824"/>
      <c r="HE68" s="1818"/>
      <c r="HF68" s="1821"/>
      <c r="HG68" s="1823"/>
      <c r="HH68" s="1824"/>
      <c r="HI68" s="1824"/>
      <c r="HJ68" s="1818"/>
      <c r="HK68" s="1821"/>
      <c r="HL68" s="1823"/>
      <c r="HM68" s="1824"/>
      <c r="HN68" s="1824"/>
      <c r="HO68" s="1818"/>
      <c r="HP68" s="1821"/>
      <c r="HQ68" s="654"/>
      <c r="HR68" s="1248"/>
      <c r="HS68" s="1248"/>
      <c r="HT68" s="1248"/>
      <c r="HU68" s="1826"/>
      <c r="HV68" s="2405">
        <f>(FN68+FS68+FX68+GC68+GH68+GM68+GR68+GW68+HB68+HG68+HL68+HQ68)/12</f>
        <v>0</v>
      </c>
      <c r="HW68" s="2406">
        <f t="shared" si="156"/>
        <v>0</v>
      </c>
      <c r="HX68" s="2406">
        <f t="shared" si="156"/>
        <v>0</v>
      </c>
      <c r="HY68" s="2406">
        <f t="shared" si="156"/>
        <v>0</v>
      </c>
      <c r="HZ68" s="1828"/>
      <c r="IA68" s="1829"/>
      <c r="IB68" s="1830"/>
      <c r="IC68" s="1830"/>
      <c r="ID68" s="1831"/>
      <c r="IE68" s="1832"/>
      <c r="IF68" s="1833"/>
      <c r="IG68" s="1834"/>
      <c r="IH68" s="1831"/>
      <c r="II68" s="1913"/>
      <c r="IJ68" s="1836"/>
      <c r="IK68" s="1836"/>
      <c r="IL68" s="239"/>
      <c r="IM68" s="1837"/>
      <c r="IN68" s="1836"/>
      <c r="IO68" s="1836"/>
      <c r="IP68" s="1838"/>
      <c r="IQ68" s="1839"/>
      <c r="IR68" s="1840"/>
      <c r="IS68" s="1818"/>
      <c r="IT68" s="1818"/>
      <c r="IU68" s="1818"/>
      <c r="IV68" s="1819"/>
      <c r="IW68" s="1820"/>
      <c r="IX68" s="1818"/>
      <c r="IY68" s="1818"/>
      <c r="IZ68" s="1818"/>
      <c r="JA68" s="1821"/>
      <c r="JB68" s="1984"/>
      <c r="JC68" s="1985"/>
      <c r="JD68" s="1986"/>
      <c r="JE68" s="1818"/>
      <c r="JF68" s="1821"/>
      <c r="JG68" s="1981"/>
      <c r="JH68" s="1824"/>
      <c r="JI68" s="1824"/>
      <c r="JJ68" s="1822"/>
      <c r="JK68" s="1821"/>
      <c r="JL68" s="1823"/>
      <c r="JM68" s="1824"/>
      <c r="JN68" s="1824"/>
      <c r="JO68" s="1996"/>
      <c r="JP68" s="1821"/>
      <c r="JQ68" s="6013"/>
      <c r="JR68" s="1982"/>
      <c r="JS68" s="1248"/>
      <c r="JT68" s="1996"/>
      <c r="JU68" s="1821"/>
      <c r="JV68" s="1823"/>
      <c r="JW68" s="1982"/>
      <c r="JX68" s="1248"/>
      <c r="JY68" s="1996"/>
      <c r="JZ68" s="1821"/>
      <c r="KA68" s="1823">
        <v>1</v>
      </c>
      <c r="KB68" s="1982">
        <v>32500</v>
      </c>
      <c r="KC68" s="1248">
        <v>37000</v>
      </c>
      <c r="KD68" s="1983">
        <f>KC68-KB68</f>
        <v>4500</v>
      </c>
      <c r="KE68" s="1952">
        <f>KD68/KC68</f>
        <v>0.12162162162162163</v>
      </c>
      <c r="KF68" s="1823">
        <v>1</v>
      </c>
      <c r="KG68" s="1982">
        <v>32500</v>
      </c>
      <c r="KH68" s="1248">
        <v>37000</v>
      </c>
      <c r="KI68" s="1818">
        <f>KH68-KG68</f>
        <v>4500</v>
      </c>
      <c r="KJ68" s="1821">
        <f>KI68/KH68</f>
        <v>0.12162162162162163</v>
      </c>
      <c r="KK68" s="1823">
        <v>1</v>
      </c>
      <c r="KL68" s="1982">
        <v>32500</v>
      </c>
      <c r="KM68" s="1248">
        <v>37000</v>
      </c>
      <c r="KN68" s="1996">
        <f>KM68-KL68</f>
        <v>4500</v>
      </c>
      <c r="KO68" s="2024">
        <f>KN68/KM68</f>
        <v>0.12162162162162163</v>
      </c>
      <c r="KP68" s="1823">
        <v>1</v>
      </c>
      <c r="KQ68" s="1982">
        <v>32500</v>
      </c>
      <c r="KR68" s="1248">
        <v>37000</v>
      </c>
      <c r="KS68" s="1996">
        <f>KR68-KQ68</f>
        <v>4500</v>
      </c>
      <c r="KT68" s="1819">
        <f>KS68/KR68</f>
        <v>0.12162162162162163</v>
      </c>
      <c r="KU68" s="1905">
        <v>1</v>
      </c>
      <c r="KV68" s="1248">
        <v>32700</v>
      </c>
      <c r="KW68" s="1248">
        <v>37000</v>
      </c>
      <c r="KX68" s="1248">
        <f>KW68-KV68</f>
        <v>4300</v>
      </c>
      <c r="KY68" s="77">
        <f>KX68/KW68</f>
        <v>0.11621621621621622</v>
      </c>
      <c r="KZ68" s="1832">
        <v>1</v>
      </c>
      <c r="LA68" s="622">
        <f t="shared" si="269"/>
        <v>162700</v>
      </c>
      <c r="LB68" s="622">
        <f t="shared" si="269"/>
        <v>185000</v>
      </c>
      <c r="LC68" s="622">
        <f t="shared" si="269"/>
        <v>22300</v>
      </c>
      <c r="LD68" s="239">
        <f>LC68/LB68</f>
        <v>0.12054054054054054</v>
      </c>
      <c r="LE68" s="1834">
        <f>(IR68+IW68+JB68)/3</f>
        <v>0</v>
      </c>
      <c r="LF68" s="1830">
        <f t="shared" si="270"/>
        <v>0</v>
      </c>
      <c r="LG68" s="1830">
        <f t="shared" si="270"/>
        <v>0</v>
      </c>
      <c r="LH68" s="1831"/>
      <c r="LI68" s="1832">
        <f>(JG68+JL68+JQ68)/3</f>
        <v>0</v>
      </c>
      <c r="LJ68" s="1833">
        <f t="shared" si="271"/>
        <v>0</v>
      </c>
      <c r="LK68" s="1834">
        <f t="shared" si="271"/>
        <v>0</v>
      </c>
      <c r="LL68" s="1831"/>
      <c r="LM68" s="1835">
        <f>(JV68+KA68+KF68)/3</f>
        <v>0.66666666666666663</v>
      </c>
      <c r="LN68" s="1836">
        <f t="shared" si="272"/>
        <v>74000</v>
      </c>
      <c r="LO68" s="1836">
        <f t="shared" si="272"/>
        <v>9000</v>
      </c>
      <c r="LP68" s="239">
        <f>LO68/LN68</f>
        <v>0.12162162162162163</v>
      </c>
      <c r="LQ68" s="1837">
        <f>(KK68+KP68+KU68)/3</f>
        <v>1</v>
      </c>
      <c r="LR68" s="1836">
        <f t="shared" si="273"/>
        <v>111000</v>
      </c>
      <c r="LS68" s="1836">
        <f t="shared" si="273"/>
        <v>13300</v>
      </c>
      <c r="LT68" s="1838">
        <f>LS68/LR68</f>
        <v>0.11981981981981982</v>
      </c>
      <c r="LV68" s="401">
        <v>1</v>
      </c>
      <c r="LW68" s="395">
        <v>32500</v>
      </c>
      <c r="LX68" s="395">
        <v>37000</v>
      </c>
      <c r="LY68" s="115">
        <f>LX68-LW68</f>
        <v>4500</v>
      </c>
      <c r="LZ68" s="186">
        <f>LY68/LX68</f>
        <v>0.12162162162162163</v>
      </c>
      <c r="MA68" s="2000">
        <v>1</v>
      </c>
      <c r="MB68" s="1317">
        <v>32600</v>
      </c>
      <c r="MC68" s="1317">
        <v>37000</v>
      </c>
      <c r="MD68" s="372">
        <f>MC68-MB68</f>
        <v>4400</v>
      </c>
      <c r="ME68" s="207">
        <f>MD68/MC68</f>
        <v>0.11891891891891893</v>
      </c>
      <c r="MF68" s="401">
        <v>1</v>
      </c>
      <c r="MG68" s="395">
        <v>32500</v>
      </c>
      <c r="MH68" s="395">
        <v>37000</v>
      </c>
      <c r="MI68" s="372">
        <f>MH68-MG68</f>
        <v>4500</v>
      </c>
      <c r="MJ68" s="207">
        <f>MI68/MH68</f>
        <v>0.12162162162162163</v>
      </c>
      <c r="MK68" s="2573">
        <v>1</v>
      </c>
      <c r="ML68" s="395">
        <v>33800</v>
      </c>
      <c r="MM68" s="395">
        <v>37000</v>
      </c>
      <c r="MN68" s="372">
        <f>MM68-ML68</f>
        <v>3200</v>
      </c>
      <c r="MO68" s="207">
        <f>MN68/MM68</f>
        <v>8.6486486486486491E-2</v>
      </c>
      <c r="MP68" s="1577">
        <v>1</v>
      </c>
      <c r="MQ68" s="1248">
        <v>33800</v>
      </c>
      <c r="MR68" s="1248">
        <v>37000</v>
      </c>
      <c r="MS68" s="1248">
        <f t="shared" si="274"/>
        <v>3200</v>
      </c>
      <c r="MT68" s="655">
        <f>MS68/MR68</f>
        <v>8.6486486486486491E-2</v>
      </c>
      <c r="MU68" s="1318">
        <v>1</v>
      </c>
      <c r="MV68" s="395">
        <v>33200</v>
      </c>
      <c r="MW68" s="395">
        <v>37000</v>
      </c>
      <c r="MX68" s="395">
        <f>MW68-MV68</f>
        <v>3800</v>
      </c>
      <c r="MY68" s="655">
        <f>MX68/MW68</f>
        <v>0.10270270270270271</v>
      </c>
      <c r="MZ68" s="1318">
        <v>1</v>
      </c>
      <c r="NA68" s="395">
        <v>33334</v>
      </c>
      <c r="NB68" s="395">
        <v>37000</v>
      </c>
      <c r="NC68" s="395">
        <f>NB68-NA68</f>
        <v>3666</v>
      </c>
      <c r="ND68" s="801">
        <f>NC68/NB68</f>
        <v>9.9081081081081088E-2</v>
      </c>
      <c r="NE68" s="1318">
        <v>1</v>
      </c>
      <c r="NF68" s="395">
        <v>33300</v>
      </c>
      <c r="NG68" s="395">
        <v>40000</v>
      </c>
      <c r="NH68" s="395">
        <f>NG68-NF68</f>
        <v>6700</v>
      </c>
      <c r="NI68" s="801">
        <f>NH68/NG68</f>
        <v>0.16750000000000001</v>
      </c>
      <c r="NJ68" s="1318">
        <v>1</v>
      </c>
      <c r="NK68" s="395">
        <v>32500</v>
      </c>
      <c r="NL68" s="395">
        <v>37000</v>
      </c>
      <c r="NM68" s="395">
        <f>NL68-NK68</f>
        <v>4500</v>
      </c>
      <c r="NN68" s="801">
        <f>NM68/NL68</f>
        <v>0.12162162162162163</v>
      </c>
      <c r="NO68" s="2738">
        <v>1</v>
      </c>
      <c r="NP68" s="622">
        <v>32500</v>
      </c>
      <c r="NQ68" s="2437">
        <v>37000</v>
      </c>
      <c r="NR68" s="395">
        <f t="shared" si="282"/>
        <v>4500</v>
      </c>
      <c r="NS68" s="801">
        <f t="shared" si="283"/>
        <v>0.12162162162162163</v>
      </c>
      <c r="NT68" s="2738">
        <v>1</v>
      </c>
      <c r="NU68" s="622">
        <v>31133</v>
      </c>
      <c r="NV68" s="622">
        <v>37000</v>
      </c>
      <c r="NW68" s="395">
        <f>NV68-NU68</f>
        <v>5867</v>
      </c>
      <c r="NX68" s="801">
        <f>NW68/NV68</f>
        <v>0.15856756756756757</v>
      </c>
      <c r="NY68" s="2738">
        <v>1</v>
      </c>
      <c r="NZ68" s="622">
        <v>28271</v>
      </c>
      <c r="OA68" s="622">
        <v>37000</v>
      </c>
      <c r="OB68" s="772">
        <f t="shared" si="284"/>
        <v>8729</v>
      </c>
      <c r="OC68" s="116">
        <f>OB68/OA68</f>
        <v>0.23591891891891892</v>
      </c>
      <c r="OD68" s="2433">
        <v>1</v>
      </c>
      <c r="OE68" s="622">
        <v>390504</v>
      </c>
      <c r="OF68" s="622">
        <v>447000</v>
      </c>
      <c r="OG68" s="622">
        <f t="shared" si="265"/>
        <v>57562</v>
      </c>
      <c r="OH68" s="1576">
        <f t="shared" si="285"/>
        <v>0.12877404921700222</v>
      </c>
      <c r="OI68" s="2435">
        <f t="shared" si="286"/>
        <v>1</v>
      </c>
      <c r="OJ68" s="2436">
        <f t="shared" si="301"/>
        <v>97600</v>
      </c>
      <c r="OK68" s="2436">
        <f t="shared" si="301"/>
        <v>111000</v>
      </c>
      <c r="OL68" s="2436">
        <f t="shared" si="301"/>
        <v>13400</v>
      </c>
      <c r="OM68" s="1439">
        <f>OL68/OK68</f>
        <v>0.12072072072072072</v>
      </c>
      <c r="ON68" s="622">
        <f>(MK68+MP68+MU68)/3</f>
        <v>1</v>
      </c>
      <c r="OO68" s="622">
        <f t="shared" si="275"/>
        <v>100800</v>
      </c>
      <c r="OP68" s="622">
        <f t="shared" si="275"/>
        <v>111000</v>
      </c>
      <c r="OQ68" s="2437">
        <f t="shared" si="275"/>
        <v>10200</v>
      </c>
      <c r="OR68" s="421">
        <f>OQ68/OP68</f>
        <v>9.1891891891891897E-2</v>
      </c>
      <c r="OS68" s="2438">
        <f t="shared" si="287"/>
        <v>1</v>
      </c>
      <c r="OT68" s="2439">
        <f t="shared" si="242"/>
        <v>99134</v>
      </c>
      <c r="OU68" s="2439">
        <f t="shared" si="242"/>
        <v>114000</v>
      </c>
      <c r="OV68" s="2440">
        <f t="shared" si="242"/>
        <v>14866</v>
      </c>
      <c r="OW68" s="460">
        <f>OV68/OU68</f>
        <v>0.13040350877192983</v>
      </c>
      <c r="OX68" s="2432">
        <v>1</v>
      </c>
      <c r="OY68" s="622">
        <f t="shared" si="302"/>
        <v>91904</v>
      </c>
      <c r="OZ68" s="622">
        <f t="shared" si="302"/>
        <v>111000</v>
      </c>
      <c r="PA68" s="2437">
        <f t="shared" si="302"/>
        <v>19096</v>
      </c>
      <c r="PB68" s="116">
        <f t="shared" si="288"/>
        <v>0.17203603603603604</v>
      </c>
      <c r="PC68" s="2441"/>
      <c r="PD68" s="401">
        <v>1</v>
      </c>
      <c r="PE68" s="395">
        <v>33334</v>
      </c>
      <c r="PF68" s="395">
        <v>37000</v>
      </c>
      <c r="PG68" s="115">
        <f>PF68-PE68</f>
        <v>3666</v>
      </c>
      <c r="PH68" s="186">
        <f>PG68/PF68</f>
        <v>9.9081081081081088E-2</v>
      </c>
      <c r="PI68" s="401">
        <v>1</v>
      </c>
      <c r="PJ68" s="395">
        <v>33334</v>
      </c>
      <c r="PK68" s="395">
        <v>37000</v>
      </c>
      <c r="PL68" s="115">
        <f t="shared" si="276"/>
        <v>3666</v>
      </c>
      <c r="PM68" s="186">
        <f>PL68/PK68</f>
        <v>9.9081081081081088E-2</v>
      </c>
      <c r="PN68" s="401">
        <v>1</v>
      </c>
      <c r="PO68" s="395">
        <v>33334</v>
      </c>
      <c r="PP68" s="395">
        <v>37000</v>
      </c>
      <c r="PQ68" s="372">
        <f t="shared" si="277"/>
        <v>3666</v>
      </c>
      <c r="PR68" s="207">
        <f>PQ68/PP68</f>
        <v>9.9081081081081088E-2</v>
      </c>
      <c r="PS68" s="2573">
        <v>1</v>
      </c>
      <c r="PT68" s="395">
        <v>32828</v>
      </c>
      <c r="PU68" s="395">
        <v>37000</v>
      </c>
      <c r="PV68" s="372">
        <f>PU68-PT68</f>
        <v>4172</v>
      </c>
      <c r="PW68" s="207">
        <f>PV68/PU68</f>
        <v>0.11275675675675675</v>
      </c>
      <c r="PX68" s="1577">
        <v>1</v>
      </c>
      <c r="PY68" s="1248">
        <v>31000</v>
      </c>
      <c r="PZ68" s="1248">
        <v>37000</v>
      </c>
      <c r="QA68" s="1248">
        <f>PZ68-PY68</f>
        <v>6000</v>
      </c>
      <c r="QB68" s="655">
        <f>QA68/PZ68</f>
        <v>0.16216216216216217</v>
      </c>
      <c r="QC68" s="1318">
        <v>1</v>
      </c>
      <c r="QD68" s="395">
        <v>31600</v>
      </c>
      <c r="QE68" s="395">
        <v>37000</v>
      </c>
      <c r="QF68" s="395">
        <f>QE68-QD68</f>
        <v>5400</v>
      </c>
      <c r="QG68" s="655">
        <f>QF68/QE68</f>
        <v>0.14594594594594595</v>
      </c>
      <c r="QH68" s="401">
        <v>1</v>
      </c>
      <c r="QI68" s="395">
        <v>31500</v>
      </c>
      <c r="QJ68" s="395">
        <v>37000</v>
      </c>
      <c r="QK68" s="395">
        <f>QJ68-QI68</f>
        <v>5500</v>
      </c>
      <c r="QL68" s="801">
        <f>QK68/QJ68</f>
        <v>0.14864864864864866</v>
      </c>
      <c r="QM68" s="6133">
        <v>1</v>
      </c>
      <c r="QN68" s="6134">
        <v>33934</v>
      </c>
      <c r="QO68" s="6134">
        <v>37000</v>
      </c>
      <c r="QP68" s="395">
        <f>QO68-QN68</f>
        <v>3066</v>
      </c>
      <c r="QQ68" s="801">
        <f>QP68/QO68</f>
        <v>8.2864864864864871E-2</v>
      </c>
      <c r="QR68" s="1318">
        <v>1</v>
      </c>
      <c r="QS68" s="395">
        <v>33734</v>
      </c>
      <c r="QT68" s="395">
        <v>37000</v>
      </c>
      <c r="QU68" s="395">
        <f t="shared" si="303"/>
        <v>3266</v>
      </c>
      <c r="QV68" s="207">
        <f>QU68/QT68</f>
        <v>8.8270270270270276E-2</v>
      </c>
      <c r="QW68" s="2739">
        <v>1</v>
      </c>
      <c r="QX68" s="395">
        <v>33334</v>
      </c>
      <c r="QY68" s="395">
        <v>37000</v>
      </c>
      <c r="QZ68" s="395">
        <f t="shared" si="304"/>
        <v>3666</v>
      </c>
      <c r="RA68" s="6135">
        <f>QZ68/QY68</f>
        <v>9.9081081081081088E-2</v>
      </c>
      <c r="RB68" s="2739">
        <v>1</v>
      </c>
      <c r="RC68" s="395">
        <v>33192</v>
      </c>
      <c r="RD68" s="395">
        <v>37000</v>
      </c>
      <c r="RE68" s="395">
        <f t="shared" si="305"/>
        <v>3808</v>
      </c>
      <c r="RF68" s="116">
        <f>RE68/RD68</f>
        <v>0.10291891891891893</v>
      </c>
      <c r="RG68" s="1832">
        <v>1</v>
      </c>
      <c r="RH68" s="2437">
        <v>33334</v>
      </c>
      <c r="RI68" s="395">
        <v>39000</v>
      </c>
      <c r="RJ68" s="772">
        <f t="shared" si="290"/>
        <v>5666</v>
      </c>
      <c r="RK68" s="116">
        <f>RJ68/RI68</f>
        <v>0.14528205128205129</v>
      </c>
      <c r="RL68" s="2108">
        <v>1</v>
      </c>
      <c r="RM68" s="1873">
        <f t="shared" si="245"/>
        <v>394458</v>
      </c>
      <c r="RN68" s="1873">
        <f t="shared" si="245"/>
        <v>446000</v>
      </c>
      <c r="RO68" s="1873">
        <f t="shared" si="245"/>
        <v>51542</v>
      </c>
      <c r="RP68" s="1576">
        <f t="shared" si="306"/>
        <v>0.11556502242152467</v>
      </c>
      <c r="RQ68" s="2435">
        <f t="shared" si="291"/>
        <v>1</v>
      </c>
      <c r="RR68" s="2436">
        <f t="shared" si="307"/>
        <v>100002</v>
      </c>
      <c r="RS68" s="2436">
        <f t="shared" si="307"/>
        <v>111000</v>
      </c>
      <c r="RT68" s="2436">
        <f t="shared" si="307"/>
        <v>10998</v>
      </c>
      <c r="RU68" s="1439">
        <f t="shared" si="292"/>
        <v>9.9081081081081088E-2</v>
      </c>
      <c r="RV68" s="622">
        <v>1</v>
      </c>
      <c r="RW68" s="622">
        <f t="shared" si="278"/>
        <v>95428</v>
      </c>
      <c r="RX68" s="622">
        <f t="shared" si="278"/>
        <v>111000</v>
      </c>
      <c r="RY68" s="2437">
        <f t="shared" si="278"/>
        <v>15572</v>
      </c>
      <c r="RZ68" s="421">
        <f>RY68/RX68</f>
        <v>0.14028828828828829</v>
      </c>
      <c r="SA68" s="2438">
        <v>1</v>
      </c>
      <c r="SB68" s="2439">
        <f t="shared" si="250"/>
        <v>99168</v>
      </c>
      <c r="SC68" s="2439">
        <f t="shared" si="250"/>
        <v>111000</v>
      </c>
      <c r="SD68" s="2440">
        <f t="shared" si="250"/>
        <v>11832</v>
      </c>
      <c r="SE68" s="460">
        <f t="shared" si="267"/>
        <v>0.1065945945945946</v>
      </c>
      <c r="SF68" s="2108">
        <v>1</v>
      </c>
      <c r="SG68" s="622">
        <f t="shared" si="293"/>
        <v>99860</v>
      </c>
      <c r="SH68" s="622">
        <f t="shared" si="293"/>
        <v>113000</v>
      </c>
      <c r="SI68" s="2437">
        <f t="shared" si="293"/>
        <v>13140</v>
      </c>
      <c r="SJ68" s="116">
        <f>SI68/SH68</f>
        <v>0.11628318584070796</v>
      </c>
      <c r="SL68" s="2445"/>
      <c r="SM68" s="2001">
        <v>0</v>
      </c>
      <c r="SN68" s="2001">
        <v>0</v>
      </c>
      <c r="SO68" s="3534">
        <f t="shared" si="264"/>
        <v>0</v>
      </c>
      <c r="SP68" s="1498"/>
      <c r="SQ68" s="2445"/>
      <c r="SR68" s="2001"/>
      <c r="SS68" s="2001"/>
      <c r="ST68" s="3534">
        <f t="shared" si="308"/>
        <v>0</v>
      </c>
      <c r="SU68" s="1498" t="e">
        <f>ST68/SS68</f>
        <v>#DIV/0!</v>
      </c>
      <c r="SV68" s="401"/>
      <c r="SW68" s="395"/>
      <c r="SX68" s="395"/>
      <c r="SY68" s="372">
        <f t="shared" si="279"/>
        <v>0</v>
      </c>
      <c r="SZ68" s="207" t="e">
        <f>SY68/SX68</f>
        <v>#DIV/0!</v>
      </c>
      <c r="TA68" s="2573"/>
      <c r="TB68" s="395"/>
      <c r="TC68" s="395"/>
      <c r="TD68" s="372">
        <f>TC68-TB68</f>
        <v>0</v>
      </c>
      <c r="TE68" s="207" t="e">
        <f>TD68/TC68</f>
        <v>#DIV/0!</v>
      </c>
      <c r="TF68" s="1577"/>
      <c r="TG68" s="1248"/>
      <c r="TH68" s="1248"/>
      <c r="TI68" s="1248">
        <f>TH68-TG68</f>
        <v>0</v>
      </c>
      <c r="TJ68" s="655" t="e">
        <f>TI68/TH68</f>
        <v>#DIV/0!</v>
      </c>
      <c r="TK68" s="1318"/>
      <c r="TL68" s="395"/>
      <c r="TM68" s="395"/>
      <c r="TN68" s="395">
        <f>TM68-TL68</f>
        <v>0</v>
      </c>
      <c r="TO68" s="655" t="e">
        <f>TN68/TM68</f>
        <v>#DIV/0!</v>
      </c>
      <c r="TP68" s="4434"/>
      <c r="TQ68" s="395"/>
      <c r="TR68" s="395"/>
      <c r="TS68" s="395">
        <f>TR68-TQ68</f>
        <v>0</v>
      </c>
      <c r="TT68" s="801" t="e">
        <f>TS68/TR68</f>
        <v>#DIV/0!</v>
      </c>
      <c r="TU68" s="6136"/>
      <c r="TV68" s="6137"/>
      <c r="TW68" s="6137"/>
      <c r="TX68" s="2001">
        <f>TW68-TV68</f>
        <v>0</v>
      </c>
      <c r="TY68" s="2003" t="e">
        <f>TX68/TW68</f>
        <v>#DIV/0!</v>
      </c>
      <c r="TZ68" s="2002"/>
      <c r="UA68" s="2001"/>
      <c r="UB68" s="2001"/>
      <c r="UC68" s="2001">
        <f t="shared" si="309"/>
        <v>0</v>
      </c>
      <c r="UD68" s="3868">
        <v>0</v>
      </c>
      <c r="UE68" s="6493"/>
      <c r="UF68" s="2001"/>
      <c r="UG68" s="2001"/>
      <c r="UH68" s="2001">
        <f t="shared" si="310"/>
        <v>0</v>
      </c>
      <c r="UI68" s="6494" t="e">
        <f>UH68/UG68</f>
        <v>#DIV/0!</v>
      </c>
      <c r="UJ68" s="2739"/>
      <c r="UK68" s="395"/>
      <c r="UL68" s="395"/>
      <c r="UM68" s="395">
        <f t="shared" si="311"/>
        <v>0</v>
      </c>
      <c r="UN68" s="116" t="e">
        <f>UM68/UL68</f>
        <v>#DIV/0!</v>
      </c>
      <c r="UO68" s="2108"/>
      <c r="UP68" s="1873"/>
      <c r="UQ68" s="1873"/>
      <c r="UR68" s="2012">
        <f t="shared" si="312"/>
        <v>0</v>
      </c>
      <c r="US68" s="116" t="e">
        <f>UR68/UQ68</f>
        <v>#DIV/0!</v>
      </c>
      <c r="UT68" s="2108"/>
      <c r="UU68" s="622">
        <f t="shared" si="78"/>
        <v>0</v>
      </c>
      <c r="UV68" s="622">
        <f t="shared" si="78"/>
        <v>0</v>
      </c>
      <c r="UW68" s="622">
        <f t="shared" si="78"/>
        <v>0</v>
      </c>
      <c r="UX68" s="2281">
        <v>0</v>
      </c>
      <c r="UY68" s="2435">
        <f t="shared" si="297"/>
        <v>0</v>
      </c>
      <c r="UZ68" s="2436">
        <f t="shared" si="313"/>
        <v>0</v>
      </c>
      <c r="VA68" s="2436">
        <f t="shared" si="313"/>
        <v>0</v>
      </c>
      <c r="VB68" s="2436">
        <f t="shared" si="313"/>
        <v>0</v>
      </c>
      <c r="VC68" s="1439" t="e">
        <f t="shared" si="298"/>
        <v>#DIV/0!</v>
      </c>
      <c r="VD68" s="622"/>
      <c r="VE68" s="622">
        <f t="shared" si="281"/>
        <v>0</v>
      </c>
      <c r="VF68" s="622">
        <f t="shared" si="281"/>
        <v>0</v>
      </c>
      <c r="VG68" s="2437">
        <f t="shared" si="281"/>
        <v>0</v>
      </c>
      <c r="VH68" s="421" t="e">
        <f>VG68/VF68</f>
        <v>#DIV/0!</v>
      </c>
      <c r="VI68" s="2438"/>
      <c r="VJ68" s="2439">
        <f t="shared" si="257"/>
        <v>0</v>
      </c>
      <c r="VK68" s="2439">
        <f t="shared" si="257"/>
        <v>0</v>
      </c>
      <c r="VL68" s="2440">
        <f t="shared" si="257"/>
        <v>0</v>
      </c>
      <c r="VM68" s="460" t="e">
        <f>VL68/VK68</f>
        <v>#DIV/0!</v>
      </c>
      <c r="VN68" s="2108"/>
      <c r="VO68" s="622">
        <f t="shared" si="299"/>
        <v>0</v>
      </c>
      <c r="VP68" s="622">
        <f t="shared" si="299"/>
        <v>0</v>
      </c>
      <c r="VQ68" s="2437">
        <f t="shared" si="299"/>
        <v>0</v>
      </c>
      <c r="VR68" s="116" t="e">
        <f>VQ68/VP68</f>
        <v>#DIV/0!</v>
      </c>
    </row>
    <row r="69" spans="1:590" s="2425" customFormat="1" ht="13.45" hidden="1" x14ac:dyDescent="0.3">
      <c r="A69" s="2399"/>
      <c r="B69" s="1773" t="s">
        <v>53</v>
      </c>
      <c r="C69" s="1991" t="s">
        <v>827</v>
      </c>
      <c r="D69" s="1992" t="s">
        <v>266</v>
      </c>
      <c r="E69" s="1993">
        <v>44757</v>
      </c>
      <c r="F69" s="1993">
        <v>45107</v>
      </c>
      <c r="G69" s="1994">
        <v>960000</v>
      </c>
      <c r="H69" s="2031"/>
      <c r="I69" s="1914"/>
      <c r="J69" s="1914"/>
      <c r="K69" s="1914"/>
      <c r="L69" s="593"/>
      <c r="M69" s="2031"/>
      <c r="N69" s="1914"/>
      <c r="O69" s="1914"/>
      <c r="P69" s="1914"/>
      <c r="Q69" s="593"/>
      <c r="R69" s="2031"/>
      <c r="S69" s="1914"/>
      <c r="T69" s="1914"/>
      <c r="U69" s="1914"/>
      <c r="V69" s="593"/>
      <c r="W69" s="2031"/>
      <c r="X69" s="1914"/>
      <c r="Y69" s="1914"/>
      <c r="Z69" s="1914"/>
      <c r="AA69" s="2032"/>
      <c r="AB69" s="2031"/>
      <c r="AC69" s="1914"/>
      <c r="AD69" s="1914"/>
      <c r="AE69" s="1914"/>
      <c r="AF69" s="2032"/>
      <c r="AG69" s="1914"/>
      <c r="AH69" s="1914"/>
      <c r="AI69" s="1914"/>
      <c r="AJ69" s="1914"/>
      <c r="AK69" s="593"/>
      <c r="AL69" s="1914"/>
      <c r="AM69" s="1914"/>
      <c r="AN69" s="1914"/>
      <c r="AO69" s="1914"/>
      <c r="AP69" s="593"/>
      <c r="AQ69" s="1914"/>
      <c r="AR69" s="1914"/>
      <c r="AS69" s="1914"/>
      <c r="AT69" s="1914"/>
      <c r="AU69" s="593"/>
      <c r="AV69" s="2033"/>
      <c r="AW69" s="1914"/>
      <c r="AX69" s="1914"/>
      <c r="AY69" s="1914"/>
      <c r="AZ69" s="2032"/>
      <c r="BA69" s="2033"/>
      <c r="BB69" s="1914"/>
      <c r="BC69" s="1914"/>
      <c r="BD69" s="1914"/>
      <c r="BE69" s="2032"/>
      <c r="BF69" s="2033"/>
      <c r="BG69" s="1914"/>
      <c r="BH69" s="1914"/>
      <c r="BI69" s="1914"/>
      <c r="BJ69" s="2032"/>
      <c r="BK69" s="2033"/>
      <c r="BL69" s="1914"/>
      <c r="BM69" s="1914"/>
      <c r="BN69" s="1914"/>
      <c r="BO69" s="2032"/>
      <c r="BP69" s="2034"/>
      <c r="BQ69" s="1914"/>
      <c r="BR69" s="1914"/>
      <c r="BS69" s="1914"/>
      <c r="BT69" s="2035"/>
      <c r="BU69" s="1914"/>
      <c r="BV69" s="1914"/>
      <c r="BW69" s="2036"/>
      <c r="BX69" s="2035"/>
      <c r="BY69" s="1914"/>
      <c r="BZ69" s="1914"/>
      <c r="CA69" s="2010"/>
      <c r="CB69" s="1914"/>
      <c r="CC69" s="1914"/>
      <c r="CD69" s="1914"/>
      <c r="CE69" s="1914"/>
      <c r="CF69" s="2035"/>
      <c r="CG69" s="1914"/>
      <c r="CH69" s="1914"/>
      <c r="CI69" s="2010"/>
      <c r="CJ69" s="2037"/>
      <c r="CK69" s="1914"/>
      <c r="CL69" s="1914"/>
      <c r="CM69" s="1914"/>
      <c r="CN69" s="2036"/>
      <c r="CO69" s="2037"/>
      <c r="CP69" s="2031"/>
      <c r="CQ69" s="2031"/>
      <c r="CR69" s="2031"/>
      <c r="CS69" s="2036"/>
      <c r="CT69" s="2037"/>
      <c r="CU69" s="1914"/>
      <c r="CV69" s="1914"/>
      <c r="CW69" s="1914"/>
      <c r="CX69" s="2036"/>
      <c r="CY69" s="2037"/>
      <c r="CZ69" s="1914"/>
      <c r="DA69" s="1914"/>
      <c r="DB69" s="1914"/>
      <c r="DC69" s="2036"/>
      <c r="DD69" s="2037"/>
      <c r="DE69" s="1914"/>
      <c r="DF69" s="1914"/>
      <c r="DG69" s="1914"/>
      <c r="DH69" s="2038"/>
      <c r="DI69" s="2037"/>
      <c r="DJ69" s="1914"/>
      <c r="DK69" s="1914"/>
      <c r="DL69" s="1914"/>
      <c r="DM69" s="2038"/>
      <c r="DN69" s="2037"/>
      <c r="DO69" s="1914"/>
      <c r="DP69" s="1914"/>
      <c r="DQ69" s="1914"/>
      <c r="DR69" s="2038"/>
      <c r="DS69" s="2037"/>
      <c r="DT69" s="1914"/>
      <c r="DU69" s="1914"/>
      <c r="DV69" s="1914"/>
      <c r="DW69" s="2038"/>
      <c r="DX69" s="2037"/>
      <c r="DY69" s="1914"/>
      <c r="DZ69" s="1914"/>
      <c r="EA69" s="1914"/>
      <c r="EB69" s="2038"/>
      <c r="EC69" s="2037"/>
      <c r="ED69" s="1914"/>
      <c r="EE69" s="1914"/>
      <c r="EF69" s="1914"/>
      <c r="EG69" s="2038"/>
      <c r="EH69" s="2037"/>
      <c r="EI69" s="1914"/>
      <c r="EJ69" s="1914"/>
      <c r="EK69" s="1914"/>
      <c r="EL69" s="2038"/>
      <c r="EM69" s="1910"/>
      <c r="EN69" s="715"/>
      <c r="EO69" s="715"/>
      <c r="EP69" s="715"/>
      <c r="EQ69" s="366"/>
      <c r="ER69" s="2402">
        <f>(CJ69+CO69+CT69+CY69+DD69+DI69+DN69+DS69+DX69+EC69+EH69+EM69)/12</f>
        <v>0</v>
      </c>
      <c r="ES69" s="2403">
        <f t="shared" si="146"/>
        <v>0</v>
      </c>
      <c r="ET69" s="2403">
        <f t="shared" si="146"/>
        <v>0</v>
      </c>
      <c r="EU69" s="2403">
        <f t="shared" si="146"/>
        <v>0</v>
      </c>
      <c r="EV69" s="2404" t="e">
        <f>EU69/ET69</f>
        <v>#DIV/0!</v>
      </c>
      <c r="EW69" s="2031"/>
      <c r="EX69" s="2031"/>
      <c r="EY69" s="2031"/>
      <c r="EZ69" s="593"/>
      <c r="FA69" s="2037"/>
      <c r="FB69" s="2031"/>
      <c r="FC69" s="2031"/>
      <c r="FD69" s="2036"/>
      <c r="FE69" s="2031"/>
      <c r="FF69" s="2031"/>
      <c r="FG69" s="2031"/>
      <c r="FH69" s="593"/>
      <c r="FI69" s="2039"/>
      <c r="FJ69" s="2040"/>
      <c r="FK69" s="2041"/>
      <c r="FL69" s="2041"/>
      <c r="FM69" s="693"/>
      <c r="FN69" s="2031"/>
      <c r="FO69" s="1914"/>
      <c r="FP69" s="1914"/>
      <c r="FQ69" s="1914"/>
      <c r="FR69" s="2032"/>
      <c r="FS69" s="1910"/>
      <c r="FT69" s="715"/>
      <c r="FU69" s="715"/>
      <c r="FV69" s="715"/>
      <c r="FW69" s="2109"/>
      <c r="FX69" s="2037"/>
      <c r="FY69" s="1914"/>
      <c r="FZ69" s="1914"/>
      <c r="GA69" s="715"/>
      <c r="GB69" s="2109"/>
      <c r="GC69" s="2110"/>
      <c r="GD69" s="2111"/>
      <c r="GE69" s="2111"/>
      <c r="GF69" s="715"/>
      <c r="GG69" s="366"/>
      <c r="GH69" s="2042"/>
      <c r="GI69" s="2043"/>
      <c r="GJ69" s="2043"/>
      <c r="GK69" s="2112"/>
      <c r="GL69" s="2109"/>
      <c r="GM69" s="2042"/>
      <c r="GN69" s="2043"/>
      <c r="GO69" s="2043"/>
      <c r="GP69" s="2112"/>
      <c r="GQ69" s="2109"/>
      <c r="GR69" s="1903"/>
      <c r="GS69" s="1904"/>
      <c r="GT69" s="1904"/>
      <c r="GU69" s="2112"/>
      <c r="GV69" s="2109"/>
      <c r="GW69" s="1903"/>
      <c r="GX69" s="1904"/>
      <c r="GY69" s="1904"/>
      <c r="GZ69" s="2112"/>
      <c r="HA69" s="2109"/>
      <c r="HB69" s="1903"/>
      <c r="HC69" s="1904"/>
      <c r="HD69" s="1904"/>
      <c r="HE69" s="2112"/>
      <c r="HF69" s="2109"/>
      <c r="HG69" s="1903"/>
      <c r="HH69" s="1904"/>
      <c r="HI69" s="1904"/>
      <c r="HJ69" s="2113"/>
      <c r="HK69" s="2109"/>
      <c r="HL69" s="1903"/>
      <c r="HM69" s="1904"/>
      <c r="HN69" s="1904"/>
      <c r="HO69" s="715"/>
      <c r="HP69" s="366"/>
      <c r="HQ69" s="2114"/>
      <c r="HR69" s="1904"/>
      <c r="HS69" s="1904"/>
      <c r="HT69" s="1904"/>
      <c r="HU69" s="2115"/>
      <c r="HV69" s="2405">
        <f>(FN69+FS69+FX69+GC69+GH69+GM69+GR69+GW69+HB69+HG69+HL69+HQ69)/12</f>
        <v>0</v>
      </c>
      <c r="HW69" s="2406">
        <f t="shared" si="156"/>
        <v>0</v>
      </c>
      <c r="HX69" s="2406">
        <f t="shared" si="156"/>
        <v>0</v>
      </c>
      <c r="HY69" s="2406">
        <f t="shared" si="156"/>
        <v>0</v>
      </c>
      <c r="HZ69" s="1906"/>
      <c r="IA69" s="1907"/>
      <c r="IB69" s="1908"/>
      <c r="IC69" s="1908"/>
      <c r="ID69" s="1909"/>
      <c r="IE69" s="1910"/>
      <c r="IF69" s="1911"/>
      <c r="IG69" s="1912"/>
      <c r="IH69" s="1909"/>
      <c r="II69" s="1907"/>
      <c r="IJ69" s="2116"/>
      <c r="IK69" s="2116"/>
      <c r="IL69" s="693"/>
      <c r="IM69" s="2117"/>
      <c r="IN69" s="2116"/>
      <c r="IO69" s="2116"/>
      <c r="IP69" s="1838"/>
      <c r="IQ69" s="1914"/>
      <c r="IR69" s="2044"/>
      <c r="IS69" s="2118"/>
      <c r="IT69" s="2118"/>
      <c r="IU69" s="2119"/>
      <c r="IV69" s="2120"/>
      <c r="IW69" s="2121"/>
      <c r="IX69" s="2122"/>
      <c r="IY69" s="2122"/>
      <c r="IZ69" s="2113"/>
      <c r="JA69" s="2132"/>
      <c r="JB69" s="2407"/>
      <c r="JC69" s="2408"/>
      <c r="JD69" s="2409"/>
      <c r="JE69" s="2113"/>
      <c r="JF69" s="2132"/>
      <c r="JG69" s="2410"/>
      <c r="JH69" s="2043"/>
      <c r="JI69" s="2043"/>
      <c r="JJ69" s="2411"/>
      <c r="JK69" s="2132"/>
      <c r="JL69" s="2129"/>
      <c r="JM69" s="2043"/>
      <c r="JN69" s="2043"/>
      <c r="JO69" s="2412"/>
      <c r="JP69" s="2132"/>
      <c r="JQ69" s="2129"/>
      <c r="JR69" s="2130"/>
      <c r="JS69" s="1904"/>
      <c r="JT69" s="2131"/>
      <c r="JU69" s="2132"/>
      <c r="JV69" s="1990"/>
      <c r="JW69" s="2130"/>
      <c r="JX69" s="1904"/>
      <c r="JY69" s="1904"/>
      <c r="JZ69" s="2132"/>
      <c r="KA69" s="1990"/>
      <c r="KB69" s="1904"/>
      <c r="KC69" s="1904"/>
      <c r="KD69" s="2414"/>
      <c r="KE69" s="2415"/>
      <c r="KF69" s="1990"/>
      <c r="KG69" s="1904"/>
      <c r="KH69" s="1904"/>
      <c r="KI69" s="2113"/>
      <c r="KJ69" s="2132"/>
      <c r="KK69" s="1990"/>
      <c r="KL69" s="1904"/>
      <c r="KM69" s="1904"/>
      <c r="KN69" s="2416"/>
      <c r="KO69" s="2417"/>
      <c r="KP69" s="2136"/>
      <c r="KQ69" s="2130"/>
      <c r="KR69" s="1904"/>
      <c r="KS69" s="2131"/>
      <c r="KT69" s="2137"/>
      <c r="KU69" s="2114"/>
      <c r="KV69" s="1904"/>
      <c r="KW69" s="1904"/>
      <c r="KX69" s="1904"/>
      <c r="KY69" s="2418"/>
      <c r="KZ69" s="1832"/>
      <c r="LA69" s="622"/>
      <c r="LB69" s="622"/>
      <c r="LC69" s="622"/>
      <c r="LD69" s="239"/>
      <c r="LE69" s="2419"/>
      <c r="LF69" s="2420"/>
      <c r="LG69" s="2420"/>
      <c r="LH69" s="2421"/>
      <c r="LI69" s="2422"/>
      <c r="LJ69" s="2423"/>
      <c r="LK69" s="2419"/>
      <c r="LL69" s="2421"/>
      <c r="LM69" s="1907"/>
      <c r="LN69" s="2116"/>
      <c r="LO69" s="2116"/>
      <c r="LP69" s="2013"/>
      <c r="LQ69" s="2424"/>
      <c r="LR69" s="2116"/>
      <c r="LS69" s="2116"/>
      <c r="LT69" s="1838"/>
      <c r="LV69" s="2426"/>
      <c r="LW69" s="436"/>
      <c r="LX69" s="436"/>
      <c r="LY69" s="2427"/>
      <c r="LZ69" s="1588"/>
      <c r="MA69" s="2147"/>
      <c r="MB69" s="1592"/>
      <c r="MC69" s="1592"/>
      <c r="MD69" s="2148"/>
      <c r="ME69" s="2149"/>
      <c r="MF69" s="406"/>
      <c r="MG69" s="2428"/>
      <c r="MH69" s="2428"/>
      <c r="MI69" s="2148"/>
      <c r="MJ69" s="2149"/>
      <c r="MK69" s="2429"/>
      <c r="ML69" s="436"/>
      <c r="MM69" s="436"/>
      <c r="MN69" s="2148"/>
      <c r="MO69" s="2149"/>
      <c r="MP69" s="2153" t="s">
        <v>238</v>
      </c>
      <c r="MQ69" s="1904">
        <v>17917</v>
      </c>
      <c r="MR69" s="1904">
        <v>80000</v>
      </c>
      <c r="MS69" s="1248">
        <f t="shared" si="274"/>
        <v>62083</v>
      </c>
      <c r="MT69" s="655">
        <f>MS69/MR69</f>
        <v>0.77603750000000005</v>
      </c>
      <c r="MU69" s="1318">
        <v>1</v>
      </c>
      <c r="MV69" s="1904">
        <v>17917</v>
      </c>
      <c r="MW69" s="1904">
        <v>80000</v>
      </c>
      <c r="MX69" s="395">
        <f>MW69-MV69</f>
        <v>62083</v>
      </c>
      <c r="MY69" s="655">
        <f>MX69/MW69</f>
        <v>0.77603750000000005</v>
      </c>
      <c r="MZ69" s="1318">
        <v>1</v>
      </c>
      <c r="NA69" s="1904">
        <v>17917</v>
      </c>
      <c r="NB69" s="1904">
        <v>80000</v>
      </c>
      <c r="NC69" s="395">
        <f>NB69-NA69</f>
        <v>62083</v>
      </c>
      <c r="ND69" s="801">
        <f>NC69/NB69</f>
        <v>0.77603750000000005</v>
      </c>
      <c r="NE69" s="1318">
        <v>1</v>
      </c>
      <c r="NF69" s="395">
        <v>17917</v>
      </c>
      <c r="NG69" s="395">
        <v>80000</v>
      </c>
      <c r="NH69" s="395">
        <f>NG69-NF69</f>
        <v>62083</v>
      </c>
      <c r="NI69" s="801">
        <f>NH69/NG69</f>
        <v>0.77603750000000005</v>
      </c>
      <c r="NJ69" s="1318">
        <v>1</v>
      </c>
      <c r="NK69" s="395">
        <v>17916</v>
      </c>
      <c r="NL69" s="395">
        <v>80000</v>
      </c>
      <c r="NM69" s="395">
        <f>NL69-NK69</f>
        <v>62084</v>
      </c>
      <c r="NN69" s="801">
        <f>NM69/NL69</f>
        <v>0.77605000000000002</v>
      </c>
      <c r="NO69" s="2432">
        <v>1</v>
      </c>
      <c r="NP69" s="622">
        <v>17916</v>
      </c>
      <c r="NQ69" s="2437">
        <v>80000</v>
      </c>
      <c r="NR69" s="395">
        <f t="shared" si="282"/>
        <v>62084</v>
      </c>
      <c r="NS69" s="801">
        <f t="shared" si="283"/>
        <v>0.77605000000000002</v>
      </c>
      <c r="NT69" s="2432">
        <v>1</v>
      </c>
      <c r="NU69" s="622">
        <v>17916</v>
      </c>
      <c r="NV69" s="622">
        <v>80000</v>
      </c>
      <c r="NW69" s="395">
        <f>NV69-NU69</f>
        <v>62084</v>
      </c>
      <c r="NX69" s="801">
        <f>NW69/NV69</f>
        <v>0.77605000000000002</v>
      </c>
      <c r="NY69" s="2432">
        <v>1</v>
      </c>
      <c r="NZ69" s="622">
        <v>17916</v>
      </c>
      <c r="OA69" s="622">
        <v>80000</v>
      </c>
      <c r="OB69" s="622">
        <f t="shared" si="284"/>
        <v>62084</v>
      </c>
      <c r="OC69" s="116">
        <f>OB69/OA69</f>
        <v>0.77605000000000002</v>
      </c>
      <c r="OD69" s="2433">
        <v>1</v>
      </c>
      <c r="OE69" s="622">
        <f t="shared" ref="OE69:OF71" si="314">NZ69+NU69+NP69+NK69+NF69+NA69+MV69+MQ69+ML69+MG69+MB69+LW69</f>
        <v>143332</v>
      </c>
      <c r="OF69" s="622">
        <f t="shared" si="314"/>
        <v>640000</v>
      </c>
      <c r="OG69" s="622">
        <f t="shared" si="265"/>
        <v>496668</v>
      </c>
      <c r="OH69" s="1576">
        <f t="shared" si="285"/>
        <v>0.77604375000000003</v>
      </c>
      <c r="OI69" s="2435">
        <f t="shared" si="286"/>
        <v>0</v>
      </c>
      <c r="OJ69" s="2436">
        <f t="shared" si="301"/>
        <v>0</v>
      </c>
      <c r="OK69" s="2436">
        <f t="shared" si="301"/>
        <v>0</v>
      </c>
      <c r="OL69" s="2436">
        <f t="shared" si="301"/>
        <v>0</v>
      </c>
      <c r="OM69" s="1439"/>
      <c r="ON69" s="622">
        <f>(MK69+MP69+MU69)/3</f>
        <v>0.66666666666666663</v>
      </c>
      <c r="OO69" s="622">
        <f t="shared" si="275"/>
        <v>35834</v>
      </c>
      <c r="OP69" s="622">
        <f t="shared" si="275"/>
        <v>160000</v>
      </c>
      <c r="OQ69" s="2437">
        <f t="shared" si="275"/>
        <v>124166</v>
      </c>
      <c r="OR69" s="421">
        <f>OQ69/OP69</f>
        <v>0.77603750000000005</v>
      </c>
      <c r="OS69" s="2438">
        <f t="shared" si="287"/>
        <v>1</v>
      </c>
      <c r="OT69" s="2439">
        <f t="shared" si="242"/>
        <v>53750</v>
      </c>
      <c r="OU69" s="2439">
        <f t="shared" si="242"/>
        <v>240000</v>
      </c>
      <c r="OV69" s="2440">
        <f t="shared" si="242"/>
        <v>186250</v>
      </c>
      <c r="OW69" s="460">
        <f>OV69/OU69</f>
        <v>0.77604166666666663</v>
      </c>
      <c r="OX69" s="2432">
        <v>1</v>
      </c>
      <c r="OY69" s="622">
        <f t="shared" si="302"/>
        <v>53748</v>
      </c>
      <c r="OZ69" s="622">
        <f t="shared" si="302"/>
        <v>240000</v>
      </c>
      <c r="PA69" s="2437">
        <f t="shared" si="302"/>
        <v>186252</v>
      </c>
      <c r="PB69" s="116">
        <f t="shared" si="288"/>
        <v>0.77605000000000002</v>
      </c>
      <c r="PC69" s="2441"/>
      <c r="PD69" s="2426">
        <v>1</v>
      </c>
      <c r="PE69" s="436">
        <v>17916</v>
      </c>
      <c r="PF69" s="436">
        <v>80000</v>
      </c>
      <c r="PG69" s="115">
        <f>PF69-PE69</f>
        <v>62084</v>
      </c>
      <c r="PH69" s="186">
        <f>PG69/PF69</f>
        <v>0.77605000000000002</v>
      </c>
      <c r="PI69" s="401">
        <v>1</v>
      </c>
      <c r="PJ69" s="395">
        <v>17916</v>
      </c>
      <c r="PK69" s="395">
        <v>80000</v>
      </c>
      <c r="PL69" s="115">
        <f t="shared" si="276"/>
        <v>62084</v>
      </c>
      <c r="PM69" s="186">
        <f>PL69/PK69</f>
        <v>0.77605000000000002</v>
      </c>
      <c r="PN69" s="2426">
        <v>1</v>
      </c>
      <c r="PO69" s="436">
        <v>17916</v>
      </c>
      <c r="PP69" s="436">
        <v>80000</v>
      </c>
      <c r="PQ69" s="372">
        <f t="shared" si="277"/>
        <v>62084</v>
      </c>
      <c r="PR69" s="207">
        <f>PQ69/PP69</f>
        <v>0.77605000000000002</v>
      </c>
      <c r="PS69" s="2429"/>
      <c r="PT69" s="436"/>
      <c r="PU69" s="436"/>
      <c r="PV69" s="372">
        <f>PU69-PT69</f>
        <v>0</v>
      </c>
      <c r="PW69" s="6138" t="s">
        <v>68</v>
      </c>
      <c r="PX69" s="2153"/>
      <c r="PY69" s="1904"/>
      <c r="PZ69" s="1904"/>
      <c r="QA69" s="1248"/>
      <c r="QB69" s="655"/>
      <c r="QC69" s="1318"/>
      <c r="QD69" s="1904"/>
      <c r="QE69" s="1904"/>
      <c r="QF69" s="395"/>
      <c r="QG69" s="655"/>
      <c r="QH69" s="401"/>
      <c r="QI69" s="395">
        <v>0</v>
      </c>
      <c r="QJ69" s="395">
        <v>0</v>
      </c>
      <c r="QK69" s="395">
        <f>QJ69-QI69</f>
        <v>0</v>
      </c>
      <c r="QL69" s="801"/>
      <c r="QM69" s="401"/>
      <c r="QN69" s="395">
        <v>0</v>
      </c>
      <c r="QO69" s="395">
        <v>0</v>
      </c>
      <c r="QP69" s="395">
        <v>0</v>
      </c>
      <c r="QQ69" s="801"/>
      <c r="QR69" s="1318"/>
      <c r="QS69" s="395">
        <v>0</v>
      </c>
      <c r="QT69" s="395">
        <v>0</v>
      </c>
      <c r="QU69" s="395">
        <f t="shared" si="303"/>
        <v>0</v>
      </c>
      <c r="QV69" s="207"/>
      <c r="QW69" s="1318"/>
      <c r="QX69" s="395">
        <v>0</v>
      </c>
      <c r="QY69" s="395">
        <v>0</v>
      </c>
      <c r="QZ69" s="395">
        <f t="shared" si="304"/>
        <v>0</v>
      </c>
      <c r="RA69" s="6135"/>
      <c r="RB69" s="1318"/>
      <c r="RC69" s="395"/>
      <c r="RD69" s="395"/>
      <c r="RE69" s="395">
        <f t="shared" si="305"/>
        <v>0</v>
      </c>
      <c r="RF69" s="2050">
        <v>0</v>
      </c>
      <c r="RG69" s="1832"/>
      <c r="RH69" s="2437"/>
      <c r="RI69" s="395"/>
      <c r="RJ69" s="772">
        <f t="shared" si="290"/>
        <v>0</v>
      </c>
      <c r="RK69" s="2050">
        <v>0</v>
      </c>
      <c r="RL69" s="2108"/>
      <c r="RM69" s="1873">
        <f t="shared" si="245"/>
        <v>53748</v>
      </c>
      <c r="RN69" s="1873">
        <f t="shared" si="245"/>
        <v>240000</v>
      </c>
      <c r="RO69" s="1873">
        <f t="shared" si="245"/>
        <v>186252</v>
      </c>
      <c r="RP69" s="1576">
        <f t="shared" si="306"/>
        <v>0.77605000000000002</v>
      </c>
      <c r="RQ69" s="2435">
        <f t="shared" si="291"/>
        <v>1</v>
      </c>
      <c r="RR69" s="2436">
        <f t="shared" si="307"/>
        <v>53748</v>
      </c>
      <c r="RS69" s="2436">
        <f t="shared" si="307"/>
        <v>240000</v>
      </c>
      <c r="RT69" s="2436">
        <f t="shared" si="307"/>
        <v>186252</v>
      </c>
      <c r="RU69" s="1439">
        <f t="shared" si="292"/>
        <v>0.77605000000000002</v>
      </c>
      <c r="RV69" s="622"/>
      <c r="RW69" s="622">
        <f t="shared" si="278"/>
        <v>0</v>
      </c>
      <c r="RX69" s="622">
        <f t="shared" si="278"/>
        <v>0</v>
      </c>
      <c r="RY69" s="2437">
        <f t="shared" si="278"/>
        <v>0</v>
      </c>
      <c r="RZ69" s="421"/>
      <c r="SA69" s="2438"/>
      <c r="SB69" s="2439">
        <f t="shared" si="250"/>
        <v>0</v>
      </c>
      <c r="SC69" s="2439">
        <f t="shared" si="250"/>
        <v>0</v>
      </c>
      <c r="SD69" s="2440">
        <f t="shared" si="250"/>
        <v>0</v>
      </c>
      <c r="SE69" s="460"/>
      <c r="SF69" s="2108"/>
      <c r="SG69" s="622">
        <f t="shared" si="293"/>
        <v>0</v>
      </c>
      <c r="SH69" s="622">
        <f t="shared" si="293"/>
        <v>0</v>
      </c>
      <c r="SI69" s="2437">
        <f t="shared" si="293"/>
        <v>0</v>
      </c>
      <c r="SJ69" s="116">
        <v>0</v>
      </c>
      <c r="SL69" s="406"/>
      <c r="SM69" s="2428"/>
      <c r="SN69" s="2001"/>
      <c r="SO69" s="3534">
        <f t="shared" si="264"/>
        <v>0</v>
      </c>
      <c r="SP69" s="6139">
        <v>0</v>
      </c>
      <c r="SQ69" s="2445"/>
      <c r="SR69" s="2001"/>
      <c r="SS69" s="2001"/>
      <c r="ST69" s="3534">
        <f t="shared" si="308"/>
        <v>0</v>
      </c>
      <c r="SU69" s="1498" t="e">
        <f>ST69/SS69</f>
        <v>#DIV/0!</v>
      </c>
      <c r="SV69" s="2426"/>
      <c r="SW69" s="436"/>
      <c r="SX69" s="436"/>
      <c r="SY69" s="372">
        <f t="shared" si="279"/>
        <v>0</v>
      </c>
      <c r="SZ69" s="207" t="e">
        <f>SY69/SX69</f>
        <v>#DIV/0!</v>
      </c>
      <c r="TA69" s="2429"/>
      <c r="TB69" s="436"/>
      <c r="TC69" s="436"/>
      <c r="TD69" s="372">
        <f>TC69-TB69</f>
        <v>0</v>
      </c>
      <c r="TE69" s="6138" t="s">
        <v>68</v>
      </c>
      <c r="TF69" s="2153"/>
      <c r="TG69" s="1904"/>
      <c r="TH69" s="1904"/>
      <c r="TI69" s="1248"/>
      <c r="TJ69" s="655"/>
      <c r="TK69" s="1318"/>
      <c r="TL69" s="1904"/>
      <c r="TM69" s="1904"/>
      <c r="TN69" s="395"/>
      <c r="TO69" s="655"/>
      <c r="TP69" s="4434"/>
      <c r="TQ69" s="395"/>
      <c r="TR69" s="395"/>
      <c r="TS69" s="395">
        <f>TR69-TQ69</f>
        <v>0</v>
      </c>
      <c r="TT69" s="801"/>
      <c r="TU69" s="4464"/>
      <c r="TV69" s="2001"/>
      <c r="TW69" s="2001"/>
      <c r="TX69" s="2001">
        <v>0</v>
      </c>
      <c r="TY69" s="2003"/>
      <c r="TZ69" s="2002"/>
      <c r="UA69" s="2001"/>
      <c r="UB69" s="2001"/>
      <c r="UC69" s="2001">
        <f t="shared" si="309"/>
        <v>0</v>
      </c>
      <c r="UD69" s="3868">
        <v>0</v>
      </c>
      <c r="UE69" s="2002"/>
      <c r="UF69" s="2001"/>
      <c r="UG69" s="2001"/>
      <c r="UH69" s="2001">
        <f t="shared" si="310"/>
        <v>0</v>
      </c>
      <c r="UI69" s="6494"/>
      <c r="UJ69" s="1318"/>
      <c r="UK69" s="395"/>
      <c r="UL69" s="395"/>
      <c r="UM69" s="395">
        <f t="shared" si="311"/>
        <v>0</v>
      </c>
      <c r="UN69" s="2050">
        <v>0</v>
      </c>
      <c r="UO69" s="2108"/>
      <c r="UP69" s="1873"/>
      <c r="UQ69" s="1873"/>
      <c r="UR69" s="1873">
        <f t="shared" si="312"/>
        <v>0</v>
      </c>
      <c r="US69" s="2050">
        <v>0</v>
      </c>
      <c r="UT69" s="2108"/>
      <c r="UU69" s="622">
        <f t="shared" si="78"/>
        <v>0</v>
      </c>
      <c r="UV69" s="622">
        <f t="shared" si="78"/>
        <v>0</v>
      </c>
      <c r="UW69" s="622">
        <f t="shared" si="78"/>
        <v>0</v>
      </c>
      <c r="UX69" s="2281">
        <v>0</v>
      </c>
      <c r="UY69" s="2435">
        <f t="shared" si="297"/>
        <v>0</v>
      </c>
      <c r="UZ69" s="2436">
        <f t="shared" si="313"/>
        <v>0</v>
      </c>
      <c r="VA69" s="2436">
        <f t="shared" si="313"/>
        <v>0</v>
      </c>
      <c r="VB69" s="2436">
        <f t="shared" si="313"/>
        <v>0</v>
      </c>
      <c r="VC69" s="1439" t="e">
        <f t="shared" si="298"/>
        <v>#DIV/0!</v>
      </c>
      <c r="VD69" s="622"/>
      <c r="VE69" s="622">
        <f t="shared" si="281"/>
        <v>0</v>
      </c>
      <c r="VF69" s="622">
        <f t="shared" si="281"/>
        <v>0</v>
      </c>
      <c r="VG69" s="2437">
        <f t="shared" si="281"/>
        <v>0</v>
      </c>
      <c r="VH69" s="421"/>
      <c r="VI69" s="2438"/>
      <c r="VJ69" s="2439">
        <f t="shared" si="257"/>
        <v>0</v>
      </c>
      <c r="VK69" s="2439">
        <f t="shared" si="257"/>
        <v>0</v>
      </c>
      <c r="VL69" s="2440">
        <f t="shared" si="257"/>
        <v>0</v>
      </c>
      <c r="VM69" s="460"/>
      <c r="VN69" s="2108"/>
      <c r="VO69" s="622">
        <f t="shared" si="299"/>
        <v>0</v>
      </c>
      <c r="VP69" s="622">
        <f t="shared" si="299"/>
        <v>0</v>
      </c>
      <c r="VQ69" s="2437">
        <f t="shared" si="299"/>
        <v>0</v>
      </c>
      <c r="VR69" s="116">
        <v>0</v>
      </c>
    </row>
    <row r="70" spans="1:590" s="2425" customFormat="1" ht="13.45" hidden="1" x14ac:dyDescent="0.3">
      <c r="A70" s="2399"/>
      <c r="B70" s="1773" t="s">
        <v>53</v>
      </c>
      <c r="C70" s="1991" t="s">
        <v>81</v>
      </c>
      <c r="D70" s="1992" t="s">
        <v>82</v>
      </c>
      <c r="E70" s="1993">
        <v>44757</v>
      </c>
      <c r="F70" s="1993">
        <v>45107</v>
      </c>
      <c r="G70" s="1994">
        <v>480000</v>
      </c>
      <c r="H70" s="1890"/>
      <c r="I70" s="1886"/>
      <c r="J70" s="1886"/>
      <c r="K70" s="1886"/>
      <c r="L70" s="1891"/>
      <c r="M70" s="1890"/>
      <c r="N70" s="1886"/>
      <c r="O70" s="1886"/>
      <c r="P70" s="1886"/>
      <c r="Q70" s="1891"/>
      <c r="R70" s="1890"/>
      <c r="S70" s="1886"/>
      <c r="T70" s="1886"/>
      <c r="U70" s="1886"/>
      <c r="V70" s="1891"/>
      <c r="W70" s="1890"/>
      <c r="X70" s="1886"/>
      <c r="Y70" s="1886"/>
      <c r="Z70" s="1886"/>
      <c r="AA70" s="1897"/>
      <c r="AB70" s="1890"/>
      <c r="AC70" s="1886"/>
      <c r="AD70" s="1886"/>
      <c r="AE70" s="1886"/>
      <c r="AF70" s="1897"/>
      <c r="AG70" s="1886"/>
      <c r="AH70" s="1886"/>
      <c r="AI70" s="1886"/>
      <c r="AJ70" s="1886"/>
      <c r="AK70" s="1891"/>
      <c r="AL70" s="1886"/>
      <c r="AM70" s="1886"/>
      <c r="AN70" s="1886"/>
      <c r="AO70" s="1886"/>
      <c r="AP70" s="1891"/>
      <c r="AQ70" s="1886"/>
      <c r="AR70" s="1886"/>
      <c r="AS70" s="1886"/>
      <c r="AT70" s="1886"/>
      <c r="AU70" s="1891"/>
      <c r="AV70" s="4953"/>
      <c r="AW70" s="1886"/>
      <c r="AX70" s="1886"/>
      <c r="AY70" s="1886"/>
      <c r="AZ70" s="1897"/>
      <c r="BA70" s="4953"/>
      <c r="BB70" s="1886"/>
      <c r="BC70" s="1886"/>
      <c r="BD70" s="1886"/>
      <c r="BE70" s="1897"/>
      <c r="BF70" s="4953"/>
      <c r="BG70" s="1886"/>
      <c r="BH70" s="1886"/>
      <c r="BI70" s="1886"/>
      <c r="BJ70" s="1897"/>
      <c r="BK70" s="4953"/>
      <c r="BL70" s="1886"/>
      <c r="BM70" s="1886"/>
      <c r="BN70" s="1886"/>
      <c r="BO70" s="1897"/>
      <c r="BP70" s="4954"/>
      <c r="BQ70" s="1886"/>
      <c r="BR70" s="1886"/>
      <c r="BS70" s="1886"/>
      <c r="BT70" s="4955"/>
      <c r="BU70" s="1886"/>
      <c r="BV70" s="1886"/>
      <c r="BW70" s="1892"/>
      <c r="BX70" s="4955"/>
      <c r="BY70" s="1886"/>
      <c r="BZ70" s="1886"/>
      <c r="CA70" s="1140"/>
      <c r="CB70" s="1886"/>
      <c r="CC70" s="1886"/>
      <c r="CD70" s="1886"/>
      <c r="CE70" s="1886"/>
      <c r="CF70" s="4955"/>
      <c r="CG70" s="1886"/>
      <c r="CH70" s="1886"/>
      <c r="CI70" s="1140"/>
      <c r="CJ70" s="1885"/>
      <c r="CK70" s="1886"/>
      <c r="CL70" s="1886"/>
      <c r="CM70" s="1886"/>
      <c r="CN70" s="1892"/>
      <c r="CO70" s="1885"/>
      <c r="CP70" s="1890"/>
      <c r="CQ70" s="1890"/>
      <c r="CR70" s="1890"/>
      <c r="CS70" s="1892"/>
      <c r="CT70" s="1885"/>
      <c r="CU70" s="1886"/>
      <c r="CV70" s="1886"/>
      <c r="CW70" s="1886"/>
      <c r="CX70" s="1892"/>
      <c r="CY70" s="1885"/>
      <c r="CZ70" s="1886"/>
      <c r="DA70" s="1886"/>
      <c r="DB70" s="1886"/>
      <c r="DC70" s="1892"/>
      <c r="DD70" s="1885"/>
      <c r="DE70" s="1886"/>
      <c r="DF70" s="1886"/>
      <c r="DG70" s="1886"/>
      <c r="DH70" s="1887"/>
      <c r="DI70" s="1885"/>
      <c r="DJ70" s="1886"/>
      <c r="DK70" s="1886"/>
      <c r="DL70" s="1886"/>
      <c r="DM70" s="1887"/>
      <c r="DN70" s="1885"/>
      <c r="DO70" s="1886"/>
      <c r="DP70" s="1886"/>
      <c r="DQ70" s="1886"/>
      <c r="DR70" s="1887"/>
      <c r="DS70" s="1885"/>
      <c r="DT70" s="1886"/>
      <c r="DU70" s="1886"/>
      <c r="DV70" s="1886"/>
      <c r="DW70" s="1887"/>
      <c r="DX70" s="1885"/>
      <c r="DY70" s="1886"/>
      <c r="DZ70" s="1886"/>
      <c r="EA70" s="1886"/>
      <c r="EB70" s="1887"/>
      <c r="EC70" s="1885"/>
      <c r="ED70" s="1886"/>
      <c r="EE70" s="1886"/>
      <c r="EF70" s="1886"/>
      <c r="EG70" s="1887"/>
      <c r="EH70" s="1885"/>
      <c r="EI70" s="1886"/>
      <c r="EJ70" s="1886"/>
      <c r="EK70" s="1886"/>
      <c r="EL70" s="1887"/>
      <c r="EM70" s="1888"/>
      <c r="EN70" s="1889"/>
      <c r="EO70" s="1889"/>
      <c r="EP70" s="1889"/>
      <c r="EQ70" s="166"/>
      <c r="ER70" s="2402">
        <f>(CJ70+CO70+CT70+CY70+DD70+DI70+DN70+DS70+DX70+EC70+EH70+EM70)/12</f>
        <v>0</v>
      </c>
      <c r="ES70" s="2403">
        <f t="shared" si="146"/>
        <v>0</v>
      </c>
      <c r="ET70" s="2403">
        <f t="shared" si="146"/>
        <v>0</v>
      </c>
      <c r="EU70" s="2403">
        <f t="shared" si="146"/>
        <v>0</v>
      </c>
      <c r="EV70" s="2404" t="e">
        <f>EU70/ET70</f>
        <v>#DIV/0!</v>
      </c>
      <c r="EW70" s="1890"/>
      <c r="EX70" s="1890"/>
      <c r="EY70" s="1890"/>
      <c r="EZ70" s="1891"/>
      <c r="FA70" s="1885"/>
      <c r="FB70" s="1890"/>
      <c r="FC70" s="1890"/>
      <c r="FD70" s="1892"/>
      <c r="FE70" s="1890"/>
      <c r="FF70" s="1890"/>
      <c r="FG70" s="1890"/>
      <c r="FH70" s="1891"/>
      <c r="FI70" s="1893"/>
      <c r="FJ70" s="1894"/>
      <c r="FK70" s="1895"/>
      <c r="FL70" s="1895"/>
      <c r="FM70" s="1896"/>
      <c r="FN70" s="1890"/>
      <c r="FO70" s="1886"/>
      <c r="FP70" s="1886"/>
      <c r="FQ70" s="1886"/>
      <c r="FR70" s="1897"/>
      <c r="FS70" s="1888"/>
      <c r="FT70" s="1889"/>
      <c r="FU70" s="1889"/>
      <c r="FV70" s="1889"/>
      <c r="FW70" s="1898"/>
      <c r="FX70" s="1885"/>
      <c r="FY70" s="1886"/>
      <c r="FZ70" s="1886"/>
      <c r="GA70" s="1889"/>
      <c r="GB70" s="1898"/>
      <c r="GC70" s="1899"/>
      <c r="GD70" s="1900"/>
      <c r="GE70" s="1900"/>
      <c r="GF70" s="1889"/>
      <c r="GG70" s="166"/>
      <c r="GH70" s="1901"/>
      <c r="GI70" s="1824"/>
      <c r="GJ70" s="1824"/>
      <c r="GK70" s="1902"/>
      <c r="GL70" s="1898"/>
      <c r="GM70" s="1901"/>
      <c r="GN70" s="1824"/>
      <c r="GO70" s="1824"/>
      <c r="GP70" s="1902"/>
      <c r="GQ70" s="1898"/>
      <c r="GR70" s="1903"/>
      <c r="GS70" s="1904"/>
      <c r="GT70" s="1904"/>
      <c r="GU70" s="1902"/>
      <c r="GV70" s="1898"/>
      <c r="GW70" s="1903"/>
      <c r="GX70" s="1904"/>
      <c r="GY70" s="1904"/>
      <c r="GZ70" s="1902"/>
      <c r="HA70" s="1898"/>
      <c r="HB70" s="1903"/>
      <c r="HC70" s="1904"/>
      <c r="HD70" s="1904"/>
      <c r="HE70" s="1902"/>
      <c r="HF70" s="1898"/>
      <c r="HG70" s="1903"/>
      <c r="HH70" s="1904"/>
      <c r="HI70" s="1904"/>
      <c r="HJ70" s="1818"/>
      <c r="HK70" s="1898"/>
      <c r="HL70" s="1903"/>
      <c r="HM70" s="1904"/>
      <c r="HN70" s="1904"/>
      <c r="HO70" s="715"/>
      <c r="HP70" s="166"/>
      <c r="HQ70" s="1905"/>
      <c r="HR70" s="1248"/>
      <c r="HS70" s="1248"/>
      <c r="HT70" s="1248"/>
      <c r="HU70" s="1826"/>
      <c r="HV70" s="2405">
        <f>(FN70+FS70+FX70+GC70+GH70+GM70+GR70+GW70+HB70+HG70+HL70+HQ70)/12</f>
        <v>0</v>
      </c>
      <c r="HW70" s="2406">
        <f t="shared" si="156"/>
        <v>0</v>
      </c>
      <c r="HX70" s="2406">
        <f t="shared" si="156"/>
        <v>0</v>
      </c>
      <c r="HY70" s="2406">
        <f t="shared" si="156"/>
        <v>0</v>
      </c>
      <c r="HZ70" s="1906"/>
      <c r="IA70" s="1907"/>
      <c r="IB70" s="1908"/>
      <c r="IC70" s="1908"/>
      <c r="ID70" s="1909"/>
      <c r="IE70" s="1910"/>
      <c r="IF70" s="1911"/>
      <c r="IG70" s="1912"/>
      <c r="IH70" s="1909"/>
      <c r="II70" s="1835"/>
      <c r="IJ70" s="1836"/>
      <c r="IK70" s="1836"/>
      <c r="IL70" s="693"/>
      <c r="IM70" s="1913"/>
      <c r="IN70" s="1836"/>
      <c r="IO70" s="1836"/>
      <c r="IP70" s="1838"/>
      <c r="IQ70" s="1914"/>
      <c r="IR70" s="1915"/>
      <c r="IS70" s="1916"/>
      <c r="IT70" s="1916"/>
      <c r="IU70" s="1917"/>
      <c r="IV70" s="1918"/>
      <c r="IW70" s="1919"/>
      <c r="IX70" s="1920"/>
      <c r="IY70" s="1920"/>
      <c r="IZ70" s="1818"/>
      <c r="JA70" s="1821"/>
      <c r="JB70" s="6021"/>
      <c r="JC70" s="6022"/>
      <c r="JD70" s="6023"/>
      <c r="JE70" s="1818"/>
      <c r="JF70" s="1821"/>
      <c r="JG70" s="1925"/>
      <c r="JH70" s="1824"/>
      <c r="JI70" s="1824"/>
      <c r="JJ70" s="1822"/>
      <c r="JK70" s="1821"/>
      <c r="JL70" s="1926"/>
      <c r="JM70" s="1824"/>
      <c r="JN70" s="1824"/>
      <c r="JO70" s="6012"/>
      <c r="JP70" s="1821"/>
      <c r="JQ70" s="1926"/>
      <c r="JR70" s="1982"/>
      <c r="JS70" s="1248"/>
      <c r="JT70" s="1996"/>
      <c r="JU70" s="1821"/>
      <c r="JV70" s="1990"/>
      <c r="JW70" s="2130"/>
      <c r="JX70" s="1904"/>
      <c r="JY70" s="1904"/>
      <c r="JZ70" s="1821"/>
      <c r="KA70" s="6014"/>
      <c r="KB70" s="1248"/>
      <c r="KC70" s="1248"/>
      <c r="KD70" s="1983"/>
      <c r="KE70" s="1952"/>
      <c r="KF70" s="1990"/>
      <c r="KG70" s="1904"/>
      <c r="KH70" s="1904"/>
      <c r="KI70" s="1818"/>
      <c r="KJ70" s="1821"/>
      <c r="KK70" s="1990"/>
      <c r="KL70" s="1904"/>
      <c r="KM70" s="1904"/>
      <c r="KN70" s="2023"/>
      <c r="KO70" s="2024"/>
      <c r="KP70" s="1823"/>
      <c r="KQ70" s="1982"/>
      <c r="KR70" s="1248"/>
      <c r="KS70" s="1996"/>
      <c r="KT70" s="1819"/>
      <c r="KU70" s="1905"/>
      <c r="KV70" s="1248"/>
      <c r="KW70" s="1248"/>
      <c r="KX70" s="1248"/>
      <c r="KY70" s="77"/>
      <c r="KZ70" s="1832">
        <f>(IR70+IW70+JB70+JG70+JL70+JQ70+JV70+KA70+KF70+KK70+KP70+KU70)/12</f>
        <v>0</v>
      </c>
      <c r="LA70" s="622">
        <f>IS70+IX70+JC70+JH70+JM70+JR70+JW70+KB70+KG70+KL70+KQ70+KV70</f>
        <v>0</v>
      </c>
      <c r="LB70" s="622">
        <f>IT70+IY70+JD70+JI70+JN70+JS70+JX70+KC70+KH70+KM70+KR70+KW70</f>
        <v>0</v>
      </c>
      <c r="LC70" s="622">
        <f>IU70+IZ70+JE70+JJ70+JO70+JT70+JY70+KD70+KI70+KN70+KS70+KX70</f>
        <v>0</v>
      </c>
      <c r="LD70" s="239"/>
      <c r="LE70" s="1834"/>
      <c r="LF70" s="1830"/>
      <c r="LG70" s="1830"/>
      <c r="LH70" s="1831"/>
      <c r="LI70" s="1832"/>
      <c r="LJ70" s="1833"/>
      <c r="LK70" s="1834"/>
      <c r="LL70" s="1831"/>
      <c r="LM70" s="1835"/>
      <c r="LN70" s="1836"/>
      <c r="LO70" s="1836"/>
      <c r="LP70" s="239"/>
      <c r="LQ70" s="1837">
        <f>(KK70+KP70+KU70)/3</f>
        <v>0</v>
      </c>
      <c r="LR70" s="1836"/>
      <c r="LS70" s="1836"/>
      <c r="LT70" s="1838"/>
      <c r="LU70" s="1914"/>
      <c r="LV70" s="401"/>
      <c r="LW70" s="395"/>
      <c r="LX70" s="395"/>
      <c r="LY70" s="115"/>
      <c r="LZ70" s="186"/>
      <c r="MA70" s="2000"/>
      <c r="MB70" s="1317"/>
      <c r="MC70" s="1317"/>
      <c r="MD70" s="372"/>
      <c r="ME70" s="207"/>
      <c r="MF70" s="2445"/>
      <c r="MG70" s="2001"/>
      <c r="MH70" s="2001"/>
      <c r="MI70" s="372"/>
      <c r="MJ70" s="207"/>
      <c r="MK70" s="2573">
        <v>1</v>
      </c>
      <c r="ML70" s="395">
        <v>6991</v>
      </c>
      <c r="MM70" s="395">
        <v>8800</v>
      </c>
      <c r="MN70" s="372">
        <f>MM70-ML70</f>
        <v>1809</v>
      </c>
      <c r="MO70" s="207">
        <f>MN70/MM70</f>
        <v>0.20556818181818182</v>
      </c>
      <c r="MP70" s="1577">
        <v>1</v>
      </c>
      <c r="MQ70" s="1248">
        <v>30000</v>
      </c>
      <c r="MR70" s="1248">
        <v>40000</v>
      </c>
      <c r="MS70" s="1248">
        <f t="shared" si="274"/>
        <v>10000</v>
      </c>
      <c r="MT70" s="655">
        <f>MS70/MR70</f>
        <v>0.25</v>
      </c>
      <c r="MU70" s="1318">
        <v>1</v>
      </c>
      <c r="MV70" s="395">
        <v>30000</v>
      </c>
      <c r="MW70" s="395">
        <v>40000</v>
      </c>
      <c r="MX70" s="395">
        <f>MW70-MV70</f>
        <v>10000</v>
      </c>
      <c r="MY70" s="655">
        <f>MX70/MW70</f>
        <v>0.25</v>
      </c>
      <c r="MZ70" s="1318">
        <v>1</v>
      </c>
      <c r="NA70" s="395">
        <v>30000</v>
      </c>
      <c r="NB70" s="395">
        <v>40000</v>
      </c>
      <c r="NC70" s="395">
        <f>NB70-NA70</f>
        <v>10000</v>
      </c>
      <c r="ND70" s="801">
        <f>NC70/NB70</f>
        <v>0.25</v>
      </c>
      <c r="NE70" s="1318">
        <v>1</v>
      </c>
      <c r="NF70" s="395">
        <v>30000</v>
      </c>
      <c r="NG70" s="395">
        <v>40000</v>
      </c>
      <c r="NH70" s="395">
        <f>NG70-NF70</f>
        <v>10000</v>
      </c>
      <c r="NI70" s="801">
        <f>NH70/NG70</f>
        <v>0.25</v>
      </c>
      <c r="NJ70" s="1318">
        <v>1</v>
      </c>
      <c r="NK70" s="395">
        <v>30000</v>
      </c>
      <c r="NL70" s="395">
        <v>40000</v>
      </c>
      <c r="NM70" s="395">
        <f>NL70-NK70</f>
        <v>10000</v>
      </c>
      <c r="NN70" s="801">
        <f>NM70/NL70</f>
        <v>0.25</v>
      </c>
      <c r="NO70" s="2432">
        <v>1</v>
      </c>
      <c r="NP70" s="622">
        <v>30000</v>
      </c>
      <c r="NQ70" s="2437">
        <v>40000</v>
      </c>
      <c r="NR70" s="395">
        <f t="shared" si="282"/>
        <v>10000</v>
      </c>
      <c r="NS70" s="801">
        <f t="shared" si="283"/>
        <v>0.25</v>
      </c>
      <c r="NT70" s="2432">
        <v>1</v>
      </c>
      <c r="NU70" s="622">
        <v>30000</v>
      </c>
      <c r="NV70" s="622">
        <v>40000</v>
      </c>
      <c r="NW70" s="395">
        <f>NV70-NU70</f>
        <v>10000</v>
      </c>
      <c r="NX70" s="801">
        <f>NW70/NV70</f>
        <v>0.25</v>
      </c>
      <c r="NY70" s="2432">
        <v>1</v>
      </c>
      <c r="NZ70" s="622">
        <v>30000</v>
      </c>
      <c r="OA70" s="622">
        <v>40000</v>
      </c>
      <c r="OB70" s="622">
        <f t="shared" si="284"/>
        <v>10000</v>
      </c>
      <c r="OC70" s="116">
        <f>OB70/OA70</f>
        <v>0.25</v>
      </c>
      <c r="OD70" s="2433">
        <v>1</v>
      </c>
      <c r="OE70" s="622">
        <f t="shared" si="314"/>
        <v>246991</v>
      </c>
      <c r="OF70" s="622">
        <f t="shared" si="314"/>
        <v>328800</v>
      </c>
      <c r="OG70" s="622">
        <f t="shared" si="265"/>
        <v>81809</v>
      </c>
      <c r="OH70" s="1576">
        <f t="shared" si="285"/>
        <v>0.24881082725060827</v>
      </c>
      <c r="OI70" s="2435">
        <f t="shared" si="286"/>
        <v>0</v>
      </c>
      <c r="OJ70" s="2436">
        <f t="shared" si="301"/>
        <v>0</v>
      </c>
      <c r="OK70" s="2436">
        <f t="shared" si="301"/>
        <v>0</v>
      </c>
      <c r="OL70" s="2436">
        <f t="shared" si="301"/>
        <v>0</v>
      </c>
      <c r="OM70" s="1439"/>
      <c r="ON70" s="622">
        <f>(MK70+MP70+MU70)/3</f>
        <v>1</v>
      </c>
      <c r="OO70" s="622">
        <f t="shared" si="275"/>
        <v>66991</v>
      </c>
      <c r="OP70" s="622">
        <f t="shared" si="275"/>
        <v>88800</v>
      </c>
      <c r="OQ70" s="2437">
        <f t="shared" si="275"/>
        <v>21809</v>
      </c>
      <c r="OR70" s="421">
        <f>OQ70/OP70</f>
        <v>0.24559684684684685</v>
      </c>
      <c r="OS70" s="2438">
        <f t="shared" si="287"/>
        <v>1</v>
      </c>
      <c r="OT70" s="2439">
        <f t="shared" si="242"/>
        <v>90000</v>
      </c>
      <c r="OU70" s="2439">
        <f t="shared" si="242"/>
        <v>120000</v>
      </c>
      <c r="OV70" s="2440">
        <f t="shared" si="242"/>
        <v>30000</v>
      </c>
      <c r="OW70" s="460">
        <f>OV70/OU70</f>
        <v>0.25</v>
      </c>
      <c r="OX70" s="2432">
        <v>1</v>
      </c>
      <c r="OY70" s="622">
        <f t="shared" si="302"/>
        <v>90000</v>
      </c>
      <c r="OZ70" s="622">
        <f t="shared" si="302"/>
        <v>120000</v>
      </c>
      <c r="PA70" s="2437">
        <f t="shared" si="302"/>
        <v>30000</v>
      </c>
      <c r="PB70" s="116">
        <f t="shared" si="288"/>
        <v>0.25</v>
      </c>
      <c r="PC70" s="2041"/>
      <c r="PD70" s="401">
        <v>1</v>
      </c>
      <c r="PE70" s="395">
        <v>22881</v>
      </c>
      <c r="PF70" s="395">
        <v>40000</v>
      </c>
      <c r="PG70" s="115">
        <f>PF70-PE70</f>
        <v>17119</v>
      </c>
      <c r="PH70" s="186">
        <f>PG70/PF70</f>
        <v>0.42797499999999999</v>
      </c>
      <c r="PI70" s="401"/>
      <c r="PJ70" s="395"/>
      <c r="PK70" s="395"/>
      <c r="PL70" s="115">
        <f t="shared" si="276"/>
        <v>0</v>
      </c>
      <c r="PM70" s="2154" t="s">
        <v>828</v>
      </c>
      <c r="PN70" s="401"/>
      <c r="PO70" s="395">
        <v>0</v>
      </c>
      <c r="PP70" s="395">
        <v>0</v>
      </c>
      <c r="PQ70" s="372">
        <f t="shared" si="277"/>
        <v>0</v>
      </c>
      <c r="PR70" s="207"/>
      <c r="PS70" s="2573"/>
      <c r="PT70" s="395"/>
      <c r="PU70" s="395"/>
      <c r="PV70" s="372"/>
      <c r="PW70" s="207"/>
      <c r="PX70" s="1577"/>
      <c r="PY70" s="1248"/>
      <c r="PZ70" s="1248"/>
      <c r="QA70" s="1248"/>
      <c r="QB70" s="655"/>
      <c r="QC70" s="1318"/>
      <c r="QD70" s="395"/>
      <c r="QE70" s="395"/>
      <c r="QF70" s="395"/>
      <c r="QG70" s="655"/>
      <c r="QH70" s="401"/>
      <c r="QI70" s="395">
        <v>0</v>
      </c>
      <c r="QJ70" s="395">
        <v>0</v>
      </c>
      <c r="QK70" s="395">
        <v>0</v>
      </c>
      <c r="QL70" s="801"/>
      <c r="QM70" s="401"/>
      <c r="QN70" s="395">
        <v>0</v>
      </c>
      <c r="QO70" s="395">
        <v>0</v>
      </c>
      <c r="QP70" s="395">
        <v>0</v>
      </c>
      <c r="QQ70" s="801"/>
      <c r="QR70" s="1318"/>
      <c r="QS70" s="395">
        <v>0</v>
      </c>
      <c r="QT70" s="395">
        <v>0</v>
      </c>
      <c r="QU70" s="395">
        <f t="shared" si="303"/>
        <v>0</v>
      </c>
      <c r="QV70" s="207"/>
      <c r="QW70" s="1318"/>
      <c r="QX70" s="395">
        <v>0</v>
      </c>
      <c r="QY70" s="395">
        <v>0</v>
      </c>
      <c r="QZ70" s="395">
        <f t="shared" si="304"/>
        <v>0</v>
      </c>
      <c r="RA70" s="6135"/>
      <c r="RB70" s="1318"/>
      <c r="RC70" s="395"/>
      <c r="RD70" s="395"/>
      <c r="RE70" s="395">
        <f t="shared" si="305"/>
        <v>0</v>
      </c>
      <c r="RF70" s="2050">
        <v>0</v>
      </c>
      <c r="RG70" s="1832"/>
      <c r="RH70" s="2437"/>
      <c r="RI70" s="395"/>
      <c r="RJ70" s="772">
        <f t="shared" si="290"/>
        <v>0</v>
      </c>
      <c r="RK70" s="2050">
        <v>0</v>
      </c>
      <c r="RL70" s="2108"/>
      <c r="RM70" s="1873">
        <f t="shared" si="245"/>
        <v>22881</v>
      </c>
      <c r="RN70" s="1873">
        <f t="shared" si="245"/>
        <v>40000</v>
      </c>
      <c r="RO70" s="1873">
        <f t="shared" si="245"/>
        <v>17119</v>
      </c>
      <c r="RP70" s="1576">
        <f t="shared" si="306"/>
        <v>0.42797499999999999</v>
      </c>
      <c r="RQ70" s="2435">
        <f t="shared" si="291"/>
        <v>0.33333333333333331</v>
      </c>
      <c r="RR70" s="2436">
        <f t="shared" si="307"/>
        <v>22881</v>
      </c>
      <c r="RS70" s="2436">
        <f t="shared" si="307"/>
        <v>40000</v>
      </c>
      <c r="RT70" s="2436">
        <f t="shared" si="307"/>
        <v>17119</v>
      </c>
      <c r="RU70" s="1439">
        <f t="shared" si="292"/>
        <v>0.42797499999999999</v>
      </c>
      <c r="RV70" s="622"/>
      <c r="RW70" s="622">
        <f t="shared" si="278"/>
        <v>0</v>
      </c>
      <c r="RX70" s="622">
        <f t="shared" si="278"/>
        <v>0</v>
      </c>
      <c r="RY70" s="2437">
        <f t="shared" si="278"/>
        <v>0</v>
      </c>
      <c r="RZ70" s="421"/>
      <c r="SA70" s="2438"/>
      <c r="SB70" s="2439">
        <f t="shared" si="250"/>
        <v>0</v>
      </c>
      <c r="SC70" s="2439">
        <f t="shared" si="250"/>
        <v>0</v>
      </c>
      <c r="SD70" s="2440">
        <f t="shared" si="250"/>
        <v>0</v>
      </c>
      <c r="SE70" s="460"/>
      <c r="SF70" s="2108"/>
      <c r="SG70" s="622">
        <f t="shared" si="293"/>
        <v>0</v>
      </c>
      <c r="SH70" s="622">
        <f t="shared" si="293"/>
        <v>0</v>
      </c>
      <c r="SI70" s="2437">
        <f t="shared" si="293"/>
        <v>0</v>
      </c>
      <c r="SJ70" s="116">
        <v>0</v>
      </c>
      <c r="SL70" s="2445"/>
      <c r="SM70" s="2001"/>
      <c r="SN70" s="2001"/>
      <c r="SO70" s="3534">
        <f t="shared" si="264"/>
        <v>0</v>
      </c>
      <c r="SP70" s="6139">
        <v>0</v>
      </c>
      <c r="SQ70" s="2445"/>
      <c r="SR70" s="2001"/>
      <c r="SS70" s="2001"/>
      <c r="ST70" s="3534">
        <f t="shared" si="308"/>
        <v>0</v>
      </c>
      <c r="SU70" s="3556"/>
      <c r="SV70" s="401"/>
      <c r="SW70" s="395"/>
      <c r="SX70" s="395"/>
      <c r="SY70" s="372">
        <f t="shared" si="279"/>
        <v>0</v>
      </c>
      <c r="SZ70" s="207"/>
      <c r="TA70" s="2573"/>
      <c r="TB70" s="395"/>
      <c r="TC70" s="395"/>
      <c r="TD70" s="372"/>
      <c r="TE70" s="207"/>
      <c r="TF70" s="1577"/>
      <c r="TG70" s="1248"/>
      <c r="TH70" s="1248"/>
      <c r="TI70" s="1248"/>
      <c r="TJ70" s="655"/>
      <c r="TK70" s="1318"/>
      <c r="TL70" s="395"/>
      <c r="TM70" s="395"/>
      <c r="TN70" s="395"/>
      <c r="TO70" s="655"/>
      <c r="TP70" s="4434"/>
      <c r="TQ70" s="395"/>
      <c r="TR70" s="395"/>
      <c r="TS70" s="395">
        <v>0</v>
      </c>
      <c r="TT70" s="801"/>
      <c r="TU70" s="4464"/>
      <c r="TV70" s="2001"/>
      <c r="TW70" s="2001"/>
      <c r="TX70" s="2001">
        <v>0</v>
      </c>
      <c r="TY70" s="2003"/>
      <c r="TZ70" s="2002"/>
      <c r="UA70" s="2001"/>
      <c r="UB70" s="2001"/>
      <c r="UC70" s="2001">
        <f t="shared" si="309"/>
        <v>0</v>
      </c>
      <c r="UD70" s="3868">
        <v>0</v>
      </c>
      <c r="UE70" s="2002"/>
      <c r="UF70" s="2001"/>
      <c r="UG70" s="2001"/>
      <c r="UH70" s="2001">
        <f t="shared" si="310"/>
        <v>0</v>
      </c>
      <c r="UI70" s="6494"/>
      <c r="UJ70" s="1318"/>
      <c r="UK70" s="395"/>
      <c r="UL70" s="395"/>
      <c r="UM70" s="395">
        <f t="shared" si="311"/>
        <v>0</v>
      </c>
      <c r="UN70" s="2050">
        <v>0</v>
      </c>
      <c r="UO70" s="2108"/>
      <c r="UP70" s="1873"/>
      <c r="UQ70" s="1873"/>
      <c r="UR70" s="1873">
        <f t="shared" si="312"/>
        <v>0</v>
      </c>
      <c r="US70" s="2050">
        <v>0</v>
      </c>
      <c r="UT70" s="2108"/>
      <c r="UU70" s="622">
        <f t="shared" si="78"/>
        <v>0</v>
      </c>
      <c r="UV70" s="622">
        <f t="shared" si="78"/>
        <v>0</v>
      </c>
      <c r="UW70" s="622">
        <f t="shared" si="78"/>
        <v>0</v>
      </c>
      <c r="UX70" s="2281">
        <v>0</v>
      </c>
      <c r="UY70" s="2435">
        <f t="shared" si="297"/>
        <v>0</v>
      </c>
      <c r="UZ70" s="2436">
        <f t="shared" si="313"/>
        <v>0</v>
      </c>
      <c r="VA70" s="2436">
        <f t="shared" si="313"/>
        <v>0</v>
      </c>
      <c r="VB70" s="2436">
        <f t="shared" si="313"/>
        <v>0</v>
      </c>
      <c r="VC70" s="1439" t="e">
        <f t="shared" si="298"/>
        <v>#DIV/0!</v>
      </c>
      <c r="VD70" s="622"/>
      <c r="VE70" s="622">
        <f t="shared" si="281"/>
        <v>0</v>
      </c>
      <c r="VF70" s="622">
        <f t="shared" si="281"/>
        <v>0</v>
      </c>
      <c r="VG70" s="2437">
        <f t="shared" si="281"/>
        <v>0</v>
      </c>
      <c r="VH70" s="421"/>
      <c r="VI70" s="2438"/>
      <c r="VJ70" s="2439">
        <f t="shared" si="257"/>
        <v>0</v>
      </c>
      <c r="VK70" s="2439">
        <f t="shared" si="257"/>
        <v>0</v>
      </c>
      <c r="VL70" s="2440">
        <f t="shared" si="257"/>
        <v>0</v>
      </c>
      <c r="VM70" s="460"/>
      <c r="VN70" s="2108"/>
      <c r="VO70" s="622">
        <f t="shared" si="299"/>
        <v>0</v>
      </c>
      <c r="VP70" s="622">
        <f t="shared" si="299"/>
        <v>0</v>
      </c>
      <c r="VQ70" s="2437">
        <f t="shared" si="299"/>
        <v>0</v>
      </c>
      <c r="VR70" s="116">
        <v>0</v>
      </c>
    </row>
    <row r="71" spans="1:590" s="2425" customFormat="1" ht="13.45" hidden="1" x14ac:dyDescent="0.3">
      <c r="A71" s="2399"/>
      <c r="B71" s="1773" t="s">
        <v>53</v>
      </c>
      <c r="C71" s="1991" t="s">
        <v>830</v>
      </c>
      <c r="D71" s="1992" t="s">
        <v>831</v>
      </c>
      <c r="E71" s="1993">
        <v>45112</v>
      </c>
      <c r="F71" s="1993">
        <v>45473</v>
      </c>
      <c r="G71" s="1994">
        <v>450000</v>
      </c>
      <c r="H71" s="2031"/>
      <c r="I71" s="1914"/>
      <c r="J71" s="1914"/>
      <c r="K71" s="1914"/>
      <c r="L71" s="593"/>
      <c r="M71" s="2031"/>
      <c r="N71" s="1914"/>
      <c r="O71" s="1914"/>
      <c r="P71" s="1914"/>
      <c r="Q71" s="593"/>
      <c r="R71" s="2031"/>
      <c r="S71" s="1914"/>
      <c r="T71" s="1914"/>
      <c r="U71" s="1914"/>
      <c r="V71" s="593"/>
      <c r="W71" s="2031"/>
      <c r="X71" s="1914"/>
      <c r="Y71" s="1914"/>
      <c r="Z71" s="1914"/>
      <c r="AA71" s="2032"/>
      <c r="AB71" s="2031"/>
      <c r="AC71" s="1914"/>
      <c r="AD71" s="1914"/>
      <c r="AE71" s="1914"/>
      <c r="AF71" s="2032"/>
      <c r="AG71" s="1914"/>
      <c r="AH71" s="1914"/>
      <c r="AI71" s="1914"/>
      <c r="AJ71" s="1914"/>
      <c r="AK71" s="593"/>
      <c r="AL71" s="1914"/>
      <c r="AM71" s="1914"/>
      <c r="AN71" s="1914"/>
      <c r="AO71" s="1914"/>
      <c r="AP71" s="593"/>
      <c r="AQ71" s="1914"/>
      <c r="AR71" s="1914"/>
      <c r="AS71" s="1914"/>
      <c r="AT71" s="1914"/>
      <c r="AU71" s="593"/>
      <c r="AV71" s="2033"/>
      <c r="AW71" s="1914"/>
      <c r="AX71" s="1914"/>
      <c r="AY71" s="1914"/>
      <c r="AZ71" s="2032"/>
      <c r="BA71" s="2033"/>
      <c r="BB71" s="1914"/>
      <c r="BC71" s="1914"/>
      <c r="BD71" s="1914"/>
      <c r="BE71" s="2032"/>
      <c r="BF71" s="2033"/>
      <c r="BG71" s="1914"/>
      <c r="BH71" s="1914"/>
      <c r="BI71" s="1914"/>
      <c r="BJ71" s="2032"/>
      <c r="BK71" s="2033"/>
      <c r="BL71" s="1914"/>
      <c r="BM71" s="1914"/>
      <c r="BN71" s="1914"/>
      <c r="BO71" s="2032"/>
      <c r="BP71" s="2034"/>
      <c r="BQ71" s="1914"/>
      <c r="BR71" s="1914"/>
      <c r="BS71" s="1914"/>
      <c r="BT71" s="2035"/>
      <c r="BU71" s="1914"/>
      <c r="BV71" s="1914"/>
      <c r="BW71" s="2036"/>
      <c r="BX71" s="2035"/>
      <c r="BY71" s="1914"/>
      <c r="BZ71" s="1914"/>
      <c r="CA71" s="2010"/>
      <c r="CB71" s="1914"/>
      <c r="CC71" s="1914"/>
      <c r="CD71" s="1914"/>
      <c r="CE71" s="1914"/>
      <c r="CF71" s="2035"/>
      <c r="CG71" s="1914"/>
      <c r="CH71" s="1914"/>
      <c r="CI71" s="2010"/>
      <c r="CJ71" s="2037"/>
      <c r="CK71" s="1914"/>
      <c r="CL71" s="1914"/>
      <c r="CM71" s="1914"/>
      <c r="CN71" s="2036"/>
      <c r="CO71" s="2037"/>
      <c r="CP71" s="2031"/>
      <c r="CQ71" s="2031"/>
      <c r="CR71" s="2031"/>
      <c r="CS71" s="2036"/>
      <c r="CT71" s="2037"/>
      <c r="CU71" s="1914"/>
      <c r="CV71" s="1914"/>
      <c r="CW71" s="1914"/>
      <c r="CX71" s="2036"/>
      <c r="CY71" s="2037"/>
      <c r="CZ71" s="1914"/>
      <c r="DA71" s="1914"/>
      <c r="DB71" s="1914"/>
      <c r="DC71" s="2036"/>
      <c r="DD71" s="2037"/>
      <c r="DE71" s="1914"/>
      <c r="DF71" s="1914"/>
      <c r="DG71" s="1914"/>
      <c r="DH71" s="2038"/>
      <c r="DI71" s="2037"/>
      <c r="DJ71" s="1914"/>
      <c r="DK71" s="1914"/>
      <c r="DL71" s="1914"/>
      <c r="DM71" s="2038"/>
      <c r="DN71" s="2037"/>
      <c r="DO71" s="1914"/>
      <c r="DP71" s="1914"/>
      <c r="DQ71" s="1914"/>
      <c r="DR71" s="2038"/>
      <c r="DS71" s="2037"/>
      <c r="DT71" s="1914"/>
      <c r="DU71" s="1914"/>
      <c r="DV71" s="1914"/>
      <c r="DW71" s="2038"/>
      <c r="DX71" s="2037"/>
      <c r="DY71" s="1914"/>
      <c r="DZ71" s="1914"/>
      <c r="EA71" s="1914"/>
      <c r="EB71" s="2038"/>
      <c r="EC71" s="2037"/>
      <c r="ED71" s="1914"/>
      <c r="EE71" s="1914"/>
      <c r="EF71" s="1914"/>
      <c r="EG71" s="2038"/>
      <c r="EH71" s="2037"/>
      <c r="EI71" s="1914"/>
      <c r="EJ71" s="1914"/>
      <c r="EK71" s="1914"/>
      <c r="EL71" s="2038"/>
      <c r="EM71" s="1910"/>
      <c r="EN71" s="715"/>
      <c r="EO71" s="715"/>
      <c r="EP71" s="715"/>
      <c r="EQ71" s="366"/>
      <c r="ER71" s="2402">
        <f>(CJ71+CO71+CT71+CY71+DD71+DI71+DN71+DS71+DX71+EC71+EH71+EM71)/12</f>
        <v>0</v>
      </c>
      <c r="ES71" s="2403">
        <f t="shared" si="146"/>
        <v>0</v>
      </c>
      <c r="ET71" s="2403">
        <f t="shared" si="146"/>
        <v>0</v>
      </c>
      <c r="EU71" s="2403">
        <f t="shared" si="146"/>
        <v>0</v>
      </c>
      <c r="EV71" s="2404" t="e">
        <f>EU71/ET71</f>
        <v>#DIV/0!</v>
      </c>
      <c r="EW71" s="2031"/>
      <c r="EX71" s="2031"/>
      <c r="EY71" s="2031"/>
      <c r="EZ71" s="593"/>
      <c r="FA71" s="2037"/>
      <c r="FB71" s="2031"/>
      <c r="FC71" s="2031"/>
      <c r="FD71" s="2036"/>
      <c r="FE71" s="2031"/>
      <c r="FF71" s="2031"/>
      <c r="FG71" s="2031"/>
      <c r="FH71" s="593"/>
      <c r="FI71" s="2039"/>
      <c r="FJ71" s="2040"/>
      <c r="FK71" s="2041"/>
      <c r="FL71" s="2041"/>
      <c r="FM71" s="693"/>
      <c r="FN71" s="2031"/>
      <c r="FO71" s="1914"/>
      <c r="FP71" s="1914"/>
      <c r="FQ71" s="1914"/>
      <c r="FR71" s="2032"/>
      <c r="FS71" s="1910"/>
      <c r="FT71" s="715"/>
      <c r="FU71" s="715"/>
      <c r="FV71" s="715"/>
      <c r="FW71" s="366"/>
      <c r="FX71" s="2037"/>
      <c r="FY71" s="1914"/>
      <c r="FZ71" s="1914"/>
      <c r="GA71" s="715"/>
      <c r="GB71" s="366"/>
      <c r="GC71" s="1899"/>
      <c r="GD71" s="1900"/>
      <c r="GE71" s="1900"/>
      <c r="GF71" s="1889"/>
      <c r="GG71" s="366"/>
      <c r="GH71" s="1901"/>
      <c r="GI71" s="1824"/>
      <c r="GJ71" s="1824"/>
      <c r="GK71" s="715"/>
      <c r="GL71" s="366"/>
      <c r="GM71" s="1901"/>
      <c r="GN71" s="1824"/>
      <c r="GO71" s="1824"/>
      <c r="GP71" s="715"/>
      <c r="GQ71" s="366"/>
      <c r="GR71" s="2042"/>
      <c r="GS71" s="2043"/>
      <c r="GT71" s="2043"/>
      <c r="GU71" s="715"/>
      <c r="GV71" s="366"/>
      <c r="GW71" s="2042"/>
      <c r="GX71" s="2043"/>
      <c r="GY71" s="2043"/>
      <c r="GZ71" s="715"/>
      <c r="HA71" s="366"/>
      <c r="HB71" s="2042"/>
      <c r="HC71" s="2043"/>
      <c r="HD71" s="2043"/>
      <c r="HE71" s="715"/>
      <c r="HF71" s="366"/>
      <c r="HG71" s="2042"/>
      <c r="HH71" s="2043"/>
      <c r="HI71" s="2043"/>
      <c r="HJ71" s="1818"/>
      <c r="HK71" s="366"/>
      <c r="HL71" s="2042"/>
      <c r="HM71" s="2043"/>
      <c r="HN71" s="2043"/>
      <c r="HO71" s="715"/>
      <c r="HP71" s="366"/>
      <c r="HQ71" s="1905"/>
      <c r="HR71" s="1248"/>
      <c r="HS71" s="1248"/>
      <c r="HT71" s="1248"/>
      <c r="HU71" s="1826"/>
      <c r="HV71" s="2405">
        <f>(FN71+FS71+FX71+GC71+GH71+GM71+GR71+GW71+HB71+HG71+HL71+HQ71)/12</f>
        <v>0</v>
      </c>
      <c r="HW71" s="2406">
        <f t="shared" si="156"/>
        <v>0</v>
      </c>
      <c r="HX71" s="2406">
        <f t="shared" si="156"/>
        <v>0</v>
      </c>
      <c r="HY71" s="2406">
        <f t="shared" si="156"/>
        <v>0</v>
      </c>
      <c r="HZ71" s="1906"/>
      <c r="IA71" s="1907"/>
      <c r="IB71" s="1908"/>
      <c r="IC71" s="1908"/>
      <c r="ID71" s="1909"/>
      <c r="IE71" s="1910"/>
      <c r="IF71" s="1911"/>
      <c r="IG71" s="1912"/>
      <c r="IH71" s="1909"/>
      <c r="II71" s="1835"/>
      <c r="IJ71" s="1836"/>
      <c r="IK71" s="1836"/>
      <c r="IL71" s="693"/>
      <c r="IM71" s="1913"/>
      <c r="IN71" s="1836"/>
      <c r="IO71" s="1836"/>
      <c r="IP71" s="1838"/>
      <c r="IQ71" s="1914"/>
      <c r="IR71" s="2044"/>
      <c r="IS71" s="715"/>
      <c r="IT71" s="715"/>
      <c r="IU71" s="1996"/>
      <c r="IV71" s="2045"/>
      <c r="IW71" s="1910"/>
      <c r="IX71" s="715"/>
      <c r="IY71" s="715"/>
      <c r="IZ71" s="1818"/>
      <c r="JA71" s="1821"/>
      <c r="JB71" s="2407"/>
      <c r="JC71" s="2408"/>
      <c r="JD71" s="2409"/>
      <c r="JE71" s="1818"/>
      <c r="JF71" s="1821"/>
      <c r="JG71" s="1925"/>
      <c r="JH71" s="1824"/>
      <c r="JI71" s="1824"/>
      <c r="JJ71" s="1822"/>
      <c r="JK71" s="1821"/>
      <c r="JL71" s="1926"/>
      <c r="JM71" s="1824"/>
      <c r="JN71" s="1824"/>
      <c r="JO71" s="715"/>
      <c r="JP71" s="1821"/>
      <c r="JQ71" s="1926"/>
      <c r="JR71" s="1982"/>
      <c r="JS71" s="1248"/>
      <c r="JT71" s="1996"/>
      <c r="JU71" s="1821"/>
      <c r="JV71" s="2410"/>
      <c r="JW71" s="2043"/>
      <c r="JX71" s="1904"/>
      <c r="JY71" s="715"/>
      <c r="JZ71" s="1821"/>
      <c r="KA71" s="1925"/>
      <c r="KB71" s="1248"/>
      <c r="KC71" s="1982"/>
      <c r="KD71" s="1983"/>
      <c r="KE71" s="1952"/>
      <c r="KF71" s="1990"/>
      <c r="KG71" s="1904"/>
      <c r="KH71" s="1904"/>
      <c r="KI71" s="1818"/>
      <c r="KJ71" s="1821"/>
      <c r="KK71" s="1990"/>
      <c r="KL71" s="1904"/>
      <c r="KM71" s="1904"/>
      <c r="KN71" s="2023"/>
      <c r="KO71" s="2024"/>
      <c r="KP71" s="1823"/>
      <c r="KQ71" s="1982"/>
      <c r="KR71" s="1248"/>
      <c r="KS71" s="1996"/>
      <c r="KT71" s="1819"/>
      <c r="KU71" s="1905"/>
      <c r="KV71" s="1248"/>
      <c r="KW71" s="1248"/>
      <c r="KX71" s="1248"/>
      <c r="KY71" s="77"/>
      <c r="KZ71" s="1832"/>
      <c r="LA71" s="622"/>
      <c r="LB71" s="622"/>
      <c r="LC71" s="622"/>
      <c r="LD71" s="239"/>
      <c r="LE71" s="1834"/>
      <c r="LF71" s="1830"/>
      <c r="LG71" s="1830"/>
      <c r="LH71" s="1831"/>
      <c r="LI71" s="1832"/>
      <c r="LJ71" s="1833"/>
      <c r="LK71" s="1834"/>
      <c r="LL71" s="1831"/>
      <c r="LM71" s="1835"/>
      <c r="LN71" s="1836"/>
      <c r="LO71" s="1836"/>
      <c r="LP71" s="239"/>
      <c r="LQ71" s="1837"/>
      <c r="LR71" s="1836"/>
      <c r="LS71" s="1836"/>
      <c r="LT71" s="1838"/>
      <c r="LV71" s="401"/>
      <c r="LW71" s="395"/>
      <c r="LX71" s="395"/>
      <c r="LY71" s="115"/>
      <c r="LZ71" s="186"/>
      <c r="MA71" s="2000"/>
      <c r="MB71" s="1317"/>
      <c r="MC71" s="1317"/>
      <c r="MD71" s="372"/>
      <c r="ME71" s="207"/>
      <c r="MF71" s="2445"/>
      <c r="MG71" s="2001"/>
      <c r="MH71" s="2001"/>
      <c r="MI71" s="372"/>
      <c r="MJ71" s="207"/>
      <c r="MK71" s="2573"/>
      <c r="ML71" s="395"/>
      <c r="MM71" s="395"/>
      <c r="MN71" s="372"/>
      <c r="MO71" s="207"/>
      <c r="MP71" s="1577"/>
      <c r="MQ71" s="1248"/>
      <c r="MR71" s="1248"/>
      <c r="MS71" s="1248"/>
      <c r="MT71" s="655"/>
      <c r="MU71" s="1318"/>
      <c r="MV71" s="395"/>
      <c r="MW71" s="395"/>
      <c r="MX71" s="395"/>
      <c r="MY71" s="655"/>
      <c r="MZ71" s="1318"/>
      <c r="NA71" s="395"/>
      <c r="NB71" s="395"/>
      <c r="NC71" s="395"/>
      <c r="ND71" s="801"/>
      <c r="NE71" s="1318"/>
      <c r="NF71" s="395"/>
      <c r="NG71" s="395"/>
      <c r="NH71" s="395"/>
      <c r="NI71" s="801"/>
      <c r="NJ71" s="1318"/>
      <c r="NK71" s="395"/>
      <c r="NL71" s="395"/>
      <c r="NM71" s="395"/>
      <c r="NN71" s="801"/>
      <c r="NO71" s="2432">
        <v>3</v>
      </c>
      <c r="NP71" s="622">
        <v>236595</v>
      </c>
      <c r="NQ71" s="2437">
        <v>450000</v>
      </c>
      <c r="NR71" s="395">
        <f t="shared" si="282"/>
        <v>213405</v>
      </c>
      <c r="NS71" s="801">
        <f t="shared" si="283"/>
        <v>0.47423333333333334</v>
      </c>
      <c r="NT71" s="2432">
        <v>5</v>
      </c>
      <c r="NU71" s="622">
        <v>312556</v>
      </c>
      <c r="NV71" s="622">
        <v>450000</v>
      </c>
      <c r="NW71" s="395">
        <v>137444</v>
      </c>
      <c r="NX71" s="801">
        <f>NW71/NV71</f>
        <v>0.3054311111111111</v>
      </c>
      <c r="NY71" s="2432">
        <v>5</v>
      </c>
      <c r="NZ71" s="622">
        <v>343751</v>
      </c>
      <c r="OA71" s="622">
        <v>450000</v>
      </c>
      <c r="OB71" s="622">
        <f t="shared" si="284"/>
        <v>106249</v>
      </c>
      <c r="OC71" s="116">
        <f>OB71/OA71</f>
        <v>0.2361088888888889</v>
      </c>
      <c r="OD71" s="2433">
        <v>5</v>
      </c>
      <c r="OE71" s="622">
        <f t="shared" si="314"/>
        <v>892902</v>
      </c>
      <c r="OF71" s="622">
        <f t="shared" si="314"/>
        <v>1350000</v>
      </c>
      <c r="OG71" s="622">
        <f t="shared" si="265"/>
        <v>457098</v>
      </c>
      <c r="OH71" s="1576">
        <f t="shared" si="285"/>
        <v>0.33859111111111112</v>
      </c>
      <c r="OI71" s="2435">
        <f t="shared" si="286"/>
        <v>0</v>
      </c>
      <c r="OJ71" s="2436">
        <f t="shared" si="301"/>
        <v>0</v>
      </c>
      <c r="OK71" s="2436">
        <f t="shared" si="301"/>
        <v>0</v>
      </c>
      <c r="OL71" s="2436">
        <f t="shared" si="301"/>
        <v>0</v>
      </c>
      <c r="OM71" s="1439"/>
      <c r="ON71" s="622"/>
      <c r="OO71" s="622"/>
      <c r="OP71" s="622"/>
      <c r="OQ71" s="2437"/>
      <c r="OR71" s="421"/>
      <c r="OS71" s="2438">
        <f t="shared" si="287"/>
        <v>0</v>
      </c>
      <c r="OT71" s="2439"/>
      <c r="OU71" s="2439"/>
      <c r="OV71" s="2440"/>
      <c r="OW71" s="460"/>
      <c r="OX71" s="2432">
        <v>5</v>
      </c>
      <c r="OY71" s="622">
        <f t="shared" si="302"/>
        <v>892902</v>
      </c>
      <c r="OZ71" s="622">
        <f t="shared" si="302"/>
        <v>1350000</v>
      </c>
      <c r="PA71" s="2437">
        <f t="shared" si="302"/>
        <v>457098</v>
      </c>
      <c r="PB71" s="116">
        <f t="shared" si="288"/>
        <v>0.33859111111111112</v>
      </c>
      <c r="PC71" s="2441"/>
      <c r="PD71" s="401">
        <v>5</v>
      </c>
      <c r="PE71" s="395">
        <v>343751</v>
      </c>
      <c r="PF71" s="395">
        <v>450000</v>
      </c>
      <c r="PG71" s="115">
        <f>PF71-PE71</f>
        <v>106249</v>
      </c>
      <c r="PH71" s="186">
        <f>PG71/PF71</f>
        <v>0.2361088888888889</v>
      </c>
      <c r="PI71" s="401">
        <v>5</v>
      </c>
      <c r="PJ71" s="395">
        <v>339738</v>
      </c>
      <c r="PK71" s="395">
        <v>450000</v>
      </c>
      <c r="PL71" s="115">
        <f t="shared" si="276"/>
        <v>110262</v>
      </c>
      <c r="PM71" s="186">
        <f>PL71/PK71</f>
        <v>0.24502666666666667</v>
      </c>
      <c r="PN71" s="401">
        <v>5</v>
      </c>
      <c r="PO71" s="395">
        <v>343751</v>
      </c>
      <c r="PP71" s="395">
        <v>450000</v>
      </c>
      <c r="PQ71" s="372">
        <f t="shared" si="277"/>
        <v>106249</v>
      </c>
      <c r="PR71" s="207">
        <f>PQ71/PP71</f>
        <v>0.2361088888888889</v>
      </c>
      <c r="PS71" s="2573"/>
      <c r="PT71" s="395">
        <v>0</v>
      </c>
      <c r="PU71" s="395">
        <v>0</v>
      </c>
      <c r="PV71" s="372">
        <f>PU71-PT71</f>
        <v>0</v>
      </c>
      <c r="PW71" s="6138" t="s">
        <v>68</v>
      </c>
      <c r="PX71" s="1577"/>
      <c r="PY71" s="1248"/>
      <c r="PZ71" s="1248"/>
      <c r="QA71" s="1248"/>
      <c r="QB71" s="655"/>
      <c r="QC71" s="1318"/>
      <c r="QD71" s="459"/>
      <c r="QE71" s="395"/>
      <c r="QF71" s="395"/>
      <c r="QG71" s="655"/>
      <c r="QH71" s="401"/>
      <c r="QI71" s="395">
        <v>0</v>
      </c>
      <c r="QJ71" s="395">
        <v>0</v>
      </c>
      <c r="QK71" s="395">
        <f>QJ71-QI71</f>
        <v>0</v>
      </c>
      <c r="QL71" s="2003"/>
      <c r="QM71" s="401"/>
      <c r="QN71" s="395">
        <v>0</v>
      </c>
      <c r="QO71" s="395">
        <v>0</v>
      </c>
      <c r="QP71" s="395">
        <f>QO71-QN71</f>
        <v>0</v>
      </c>
      <c r="QQ71" s="801"/>
      <c r="QR71" s="1318"/>
      <c r="QS71" s="395">
        <v>0</v>
      </c>
      <c r="QT71" s="395">
        <v>0</v>
      </c>
      <c r="QU71" s="395">
        <f t="shared" si="303"/>
        <v>0</v>
      </c>
      <c r="QV71" s="207"/>
      <c r="QW71" s="1318"/>
      <c r="QX71" s="395"/>
      <c r="QY71" s="395"/>
      <c r="QZ71" s="395">
        <f t="shared" si="304"/>
        <v>0</v>
      </c>
      <c r="RA71" s="6135"/>
      <c r="RB71" s="1318"/>
      <c r="RC71" s="395"/>
      <c r="RD71" s="395"/>
      <c r="RE71" s="395">
        <f t="shared" si="305"/>
        <v>0</v>
      </c>
      <c r="RF71" s="2050">
        <v>0</v>
      </c>
      <c r="RG71" s="1832"/>
      <c r="RH71" s="2437"/>
      <c r="RI71" s="395"/>
      <c r="RJ71" s="772">
        <f t="shared" si="290"/>
        <v>0</v>
      </c>
      <c r="RK71" s="2050">
        <v>0</v>
      </c>
      <c r="RL71" s="2108"/>
      <c r="RM71" s="1873">
        <f t="shared" si="245"/>
        <v>1027240</v>
      </c>
      <c r="RN71" s="1873">
        <f t="shared" si="245"/>
        <v>1350000</v>
      </c>
      <c r="RO71" s="1873">
        <f t="shared" si="245"/>
        <v>322760</v>
      </c>
      <c r="RP71" s="1576">
        <f t="shared" si="306"/>
        <v>0.23908148148148148</v>
      </c>
      <c r="RQ71" s="2435">
        <f t="shared" si="291"/>
        <v>5</v>
      </c>
      <c r="RR71" s="2436">
        <f t="shared" si="307"/>
        <v>1027240</v>
      </c>
      <c r="RS71" s="2436">
        <f t="shared" si="307"/>
        <v>1350000</v>
      </c>
      <c r="RT71" s="2436">
        <f t="shared" si="307"/>
        <v>322760</v>
      </c>
      <c r="RU71" s="1439">
        <f t="shared" si="292"/>
        <v>0.23908148148148148</v>
      </c>
      <c r="RV71" s="622"/>
      <c r="RW71" s="622">
        <f t="shared" si="278"/>
        <v>0</v>
      </c>
      <c r="RX71" s="622">
        <f t="shared" si="278"/>
        <v>0</v>
      </c>
      <c r="RY71" s="2437">
        <f t="shared" si="278"/>
        <v>0</v>
      </c>
      <c r="RZ71" s="421"/>
      <c r="SA71" s="2438"/>
      <c r="SB71" s="2439">
        <f t="shared" si="250"/>
        <v>0</v>
      </c>
      <c r="SC71" s="2439">
        <f t="shared" si="250"/>
        <v>0</v>
      </c>
      <c r="SD71" s="2440">
        <f t="shared" si="250"/>
        <v>0</v>
      </c>
      <c r="SE71" s="460"/>
      <c r="SF71" s="2108"/>
      <c r="SG71" s="622">
        <f t="shared" si="293"/>
        <v>0</v>
      </c>
      <c r="SH71" s="622">
        <f t="shared" si="293"/>
        <v>0</v>
      </c>
      <c r="SI71" s="2437">
        <f t="shared" si="293"/>
        <v>0</v>
      </c>
      <c r="SJ71" s="116">
        <v>0</v>
      </c>
      <c r="SL71" s="401"/>
      <c r="SM71" s="395"/>
      <c r="SN71" s="395"/>
      <c r="SO71" s="115">
        <f t="shared" si="264"/>
        <v>0</v>
      </c>
      <c r="SP71" s="1614">
        <v>0</v>
      </c>
      <c r="SQ71" s="6015"/>
      <c r="SR71" s="3208"/>
      <c r="SS71" s="3208"/>
      <c r="ST71" s="2892">
        <f t="shared" si="308"/>
        <v>0</v>
      </c>
      <c r="SU71" s="1498" t="e">
        <f>ST71/SS71</f>
        <v>#DIV/0!</v>
      </c>
      <c r="SV71" s="401"/>
      <c r="SW71" s="395"/>
      <c r="SX71" s="395"/>
      <c r="SY71" s="372">
        <f t="shared" si="279"/>
        <v>0</v>
      </c>
      <c r="SZ71" s="207" t="e">
        <f>SY71/SX71</f>
        <v>#DIV/0!</v>
      </c>
      <c r="TA71" s="2573"/>
      <c r="TB71" s="395"/>
      <c r="TC71" s="395"/>
      <c r="TD71" s="372">
        <f>TC71-TB71</f>
        <v>0</v>
      </c>
      <c r="TE71" s="6138" t="s">
        <v>68</v>
      </c>
      <c r="TF71" s="1577"/>
      <c r="TG71" s="1248"/>
      <c r="TH71" s="1248"/>
      <c r="TI71" s="1248"/>
      <c r="TJ71" s="655"/>
      <c r="TK71" s="1318"/>
      <c r="TL71" s="459"/>
      <c r="TM71" s="395"/>
      <c r="TN71" s="395"/>
      <c r="TO71" s="655"/>
      <c r="TP71" s="4434"/>
      <c r="TQ71" s="395"/>
      <c r="TR71" s="395"/>
      <c r="TS71" s="395">
        <f>TR71-TQ71</f>
        <v>0</v>
      </c>
      <c r="TT71" s="2003"/>
      <c r="TU71" s="4464"/>
      <c r="TV71" s="2001"/>
      <c r="TW71" s="2001"/>
      <c r="TX71" s="2001">
        <f>TW71-TV71</f>
        <v>0</v>
      </c>
      <c r="TY71" s="2003"/>
      <c r="TZ71" s="2002"/>
      <c r="UA71" s="2001"/>
      <c r="UB71" s="2001"/>
      <c r="UC71" s="2001">
        <f t="shared" si="309"/>
        <v>0</v>
      </c>
      <c r="UD71" s="3868">
        <v>0</v>
      </c>
      <c r="UE71" s="2002"/>
      <c r="UF71" s="2001"/>
      <c r="UG71" s="2001"/>
      <c r="UH71" s="2001">
        <f t="shared" si="310"/>
        <v>0</v>
      </c>
      <c r="UI71" s="6494"/>
      <c r="UJ71" s="1318"/>
      <c r="UK71" s="395"/>
      <c r="UL71" s="395"/>
      <c r="UM71" s="395">
        <f t="shared" si="311"/>
        <v>0</v>
      </c>
      <c r="UN71" s="2050">
        <v>0</v>
      </c>
      <c r="UO71" s="2108"/>
      <c r="UP71" s="1873"/>
      <c r="UQ71" s="1873"/>
      <c r="UR71" s="1873">
        <f t="shared" si="312"/>
        <v>0</v>
      </c>
      <c r="US71" s="2050">
        <v>0</v>
      </c>
      <c r="UT71" s="2108"/>
      <c r="UU71" s="622">
        <f t="shared" si="78"/>
        <v>0</v>
      </c>
      <c r="UV71" s="622">
        <f t="shared" si="78"/>
        <v>0</v>
      </c>
      <c r="UW71" s="622">
        <f t="shared" si="78"/>
        <v>0</v>
      </c>
      <c r="UX71" s="2281">
        <v>0</v>
      </c>
      <c r="UY71" s="2435">
        <f t="shared" si="297"/>
        <v>0</v>
      </c>
      <c r="UZ71" s="2436">
        <f t="shared" si="313"/>
        <v>0</v>
      </c>
      <c r="VA71" s="2436">
        <f t="shared" si="313"/>
        <v>0</v>
      </c>
      <c r="VB71" s="2436">
        <f t="shared" si="313"/>
        <v>0</v>
      </c>
      <c r="VC71" s="1439" t="e">
        <f t="shared" si="298"/>
        <v>#DIV/0!</v>
      </c>
      <c r="VD71" s="622"/>
      <c r="VE71" s="622">
        <f t="shared" si="281"/>
        <v>0</v>
      </c>
      <c r="VF71" s="622">
        <f t="shared" si="281"/>
        <v>0</v>
      </c>
      <c r="VG71" s="2437">
        <f t="shared" si="281"/>
        <v>0</v>
      </c>
      <c r="VH71" s="421"/>
      <c r="VI71" s="2438"/>
      <c r="VJ71" s="2439">
        <f t="shared" si="257"/>
        <v>0</v>
      </c>
      <c r="VK71" s="2439">
        <f t="shared" si="257"/>
        <v>0</v>
      </c>
      <c r="VL71" s="2440">
        <f t="shared" si="257"/>
        <v>0</v>
      </c>
      <c r="VM71" s="460"/>
      <c r="VN71" s="2108"/>
      <c r="VO71" s="622">
        <f t="shared" si="299"/>
        <v>0</v>
      </c>
      <c r="VP71" s="622">
        <f t="shared" si="299"/>
        <v>0</v>
      </c>
      <c r="VQ71" s="2437">
        <f t="shared" si="299"/>
        <v>0</v>
      </c>
      <c r="VR71" s="116">
        <v>0</v>
      </c>
    </row>
    <row r="72" spans="1:590" s="1193" customFormat="1" ht="13.45" hidden="1" x14ac:dyDescent="0.3">
      <c r="A72" s="1297"/>
      <c r="B72" s="1773" t="s">
        <v>53</v>
      </c>
      <c r="C72" s="2636" t="s">
        <v>291</v>
      </c>
      <c r="D72" s="1992" t="s">
        <v>300</v>
      </c>
      <c r="E72" s="2086">
        <v>45182</v>
      </c>
      <c r="F72" s="2086">
        <v>45657</v>
      </c>
      <c r="G72" s="1994">
        <v>40000</v>
      </c>
      <c r="H72" s="2093"/>
      <c r="I72" s="2094"/>
      <c r="J72" s="2094"/>
      <c r="K72" s="2094"/>
      <c r="L72" s="2095"/>
      <c r="M72" s="2093"/>
      <c r="N72" s="2094"/>
      <c r="O72" s="2094"/>
      <c r="P72" s="2094"/>
      <c r="Q72" s="2095"/>
      <c r="R72" s="2093"/>
      <c r="S72" s="2094"/>
      <c r="T72" s="2094"/>
      <c r="U72" s="2094"/>
      <c r="V72" s="2095"/>
      <c r="W72" s="2093"/>
      <c r="X72" s="2094"/>
      <c r="Y72" s="2094"/>
      <c r="Z72" s="2094"/>
      <c r="AA72" s="2096"/>
      <c r="AB72" s="2093"/>
      <c r="AC72" s="2094"/>
      <c r="AD72" s="2094"/>
      <c r="AE72" s="2094"/>
      <c r="AF72" s="2096"/>
      <c r="AG72" s="2094"/>
      <c r="AH72" s="2094"/>
      <c r="AI72" s="2094"/>
      <c r="AJ72" s="2094"/>
      <c r="AK72" s="2095"/>
      <c r="AL72" s="2094"/>
      <c r="AM72" s="2094"/>
      <c r="AN72" s="2094"/>
      <c r="AO72" s="2094"/>
      <c r="AP72" s="2095"/>
      <c r="AQ72" s="2094"/>
      <c r="AR72" s="2094"/>
      <c r="AS72" s="2094"/>
      <c r="AT72" s="2094"/>
      <c r="AU72" s="2095"/>
      <c r="AV72" s="2097"/>
      <c r="AW72" s="2094"/>
      <c r="AX72" s="2094"/>
      <c r="AY72" s="2094"/>
      <c r="AZ72" s="2096"/>
      <c r="BA72" s="2097"/>
      <c r="BB72" s="2094"/>
      <c r="BC72" s="2094"/>
      <c r="BD72" s="2094"/>
      <c r="BE72" s="2096"/>
      <c r="BF72" s="2097"/>
      <c r="BG72" s="2094"/>
      <c r="BH72" s="2094"/>
      <c r="BI72" s="2094"/>
      <c r="BJ72" s="2096"/>
      <c r="BK72" s="2097"/>
      <c r="BL72" s="2094"/>
      <c r="BM72" s="2094"/>
      <c r="BN72" s="2094"/>
      <c r="BO72" s="2096"/>
      <c r="BP72" s="2098"/>
      <c r="BQ72" s="2094"/>
      <c r="BR72" s="2094"/>
      <c r="BS72" s="2094"/>
      <c r="BT72" s="2099"/>
      <c r="BU72" s="2094"/>
      <c r="BV72" s="2094"/>
      <c r="BW72" s="2100"/>
      <c r="BX72" s="2099"/>
      <c r="BY72" s="2094"/>
      <c r="BZ72" s="2094"/>
      <c r="CA72" s="2101"/>
      <c r="CB72" s="2094"/>
      <c r="CC72" s="2094"/>
      <c r="CD72" s="2094"/>
      <c r="CE72" s="2094"/>
      <c r="CF72" s="2099"/>
      <c r="CG72" s="2094"/>
      <c r="CH72" s="2094"/>
      <c r="CI72" s="2101"/>
      <c r="CJ72" s="2102"/>
      <c r="CK72" s="2094"/>
      <c r="CL72" s="2094"/>
      <c r="CM72" s="2094"/>
      <c r="CN72" s="2100"/>
      <c r="CO72" s="2102"/>
      <c r="CP72" s="2093"/>
      <c r="CQ72" s="2093"/>
      <c r="CR72" s="2093"/>
      <c r="CS72" s="2100"/>
      <c r="CT72" s="2102"/>
      <c r="CU72" s="2094"/>
      <c r="CV72" s="2094"/>
      <c r="CW72" s="2094"/>
      <c r="CX72" s="2100"/>
      <c r="CY72" s="2102"/>
      <c r="CZ72" s="2094"/>
      <c r="DA72" s="2094"/>
      <c r="DB72" s="2094"/>
      <c r="DC72" s="2100"/>
      <c r="DD72" s="2102"/>
      <c r="DE72" s="2094"/>
      <c r="DF72" s="2094"/>
      <c r="DG72" s="2094"/>
      <c r="DH72" s="2103"/>
      <c r="DI72" s="2102"/>
      <c r="DJ72" s="2094"/>
      <c r="DK72" s="2094"/>
      <c r="DL72" s="2094"/>
      <c r="DM72" s="2103"/>
      <c r="DN72" s="2102"/>
      <c r="DO72" s="2094"/>
      <c r="DP72" s="2094"/>
      <c r="DQ72" s="2094"/>
      <c r="DR72" s="2103"/>
      <c r="DS72" s="2102"/>
      <c r="DT72" s="2094"/>
      <c r="DU72" s="2094"/>
      <c r="DV72" s="2094"/>
      <c r="DW72" s="2103"/>
      <c r="DX72" s="2102"/>
      <c r="DY72" s="2094"/>
      <c r="DZ72" s="2094"/>
      <c r="EA72" s="2094"/>
      <c r="EB72" s="2103"/>
      <c r="EC72" s="2102"/>
      <c r="ED72" s="2094"/>
      <c r="EE72" s="2094"/>
      <c r="EF72" s="2094"/>
      <c r="EG72" s="2103"/>
      <c r="EH72" s="2037"/>
      <c r="EI72" s="1914"/>
      <c r="EJ72" s="1914"/>
      <c r="EK72" s="1914"/>
      <c r="EL72" s="2038"/>
      <c r="EM72" s="1910"/>
      <c r="EN72" s="715"/>
      <c r="EO72" s="715"/>
      <c r="EP72" s="715"/>
      <c r="EQ72" s="366"/>
      <c r="ER72" s="1713"/>
      <c r="ES72" s="1714"/>
      <c r="ET72" s="1714"/>
      <c r="EU72" s="1714"/>
      <c r="EV72" s="1715"/>
      <c r="EW72" s="2031"/>
      <c r="EX72" s="2031"/>
      <c r="EY72" s="2031"/>
      <c r="EZ72" s="593"/>
      <c r="FA72" s="2037"/>
      <c r="FB72" s="2031"/>
      <c r="FC72" s="2031"/>
      <c r="FD72" s="2036"/>
      <c r="FE72" s="2031"/>
      <c r="FF72" s="2031"/>
      <c r="FG72" s="2031"/>
      <c r="FH72" s="593"/>
      <c r="FI72" s="2039"/>
      <c r="FJ72" s="2040"/>
      <c r="FK72" s="2041"/>
      <c r="FL72" s="2041"/>
      <c r="FM72" s="693"/>
      <c r="FN72" s="2031"/>
      <c r="FO72" s="1914"/>
      <c r="FP72" s="1914"/>
      <c r="FQ72" s="1914"/>
      <c r="FR72" s="2032"/>
      <c r="FS72" s="1910"/>
      <c r="FT72" s="715"/>
      <c r="FU72" s="715"/>
      <c r="FV72" s="715"/>
      <c r="FW72" s="366"/>
      <c r="FX72" s="2037"/>
      <c r="FY72" s="1914"/>
      <c r="FZ72" s="1914"/>
      <c r="GA72" s="715"/>
      <c r="GB72" s="366"/>
      <c r="GC72" s="1899"/>
      <c r="GD72" s="1900"/>
      <c r="GE72" s="1900"/>
      <c r="GF72" s="1889"/>
      <c r="GG72" s="366"/>
      <c r="GH72" s="1901"/>
      <c r="GI72" s="1824"/>
      <c r="GJ72" s="1824"/>
      <c r="GK72" s="715"/>
      <c r="GL72" s="366"/>
      <c r="GM72" s="1901"/>
      <c r="GN72" s="1824"/>
      <c r="GO72" s="1824"/>
      <c r="GP72" s="715"/>
      <c r="GQ72" s="366"/>
      <c r="GR72" s="2042"/>
      <c r="GS72" s="2043"/>
      <c r="GT72" s="2043"/>
      <c r="GU72" s="715"/>
      <c r="GV72" s="366"/>
      <c r="GW72" s="2042"/>
      <c r="GX72" s="2043"/>
      <c r="GY72" s="2043"/>
      <c r="GZ72" s="715"/>
      <c r="HA72" s="366"/>
      <c r="HB72" s="2042"/>
      <c r="HC72" s="2043"/>
      <c r="HD72" s="2043"/>
      <c r="HE72" s="715"/>
      <c r="HF72" s="366"/>
      <c r="HG72" s="2042"/>
      <c r="HH72" s="2043"/>
      <c r="HI72" s="2043"/>
      <c r="HJ72" s="1818"/>
      <c r="HK72" s="366"/>
      <c r="HL72" s="2042"/>
      <c r="HM72" s="2043"/>
      <c r="HN72" s="2043"/>
      <c r="HO72" s="715"/>
      <c r="HP72" s="366"/>
      <c r="HQ72" s="1905"/>
      <c r="HR72" s="1248"/>
      <c r="HS72" s="1248"/>
      <c r="HT72" s="1248"/>
      <c r="HU72" s="1826"/>
      <c r="HV72" s="1827"/>
      <c r="HW72" s="1089"/>
      <c r="HX72" s="1089"/>
      <c r="HY72" s="1089"/>
      <c r="HZ72" s="1906"/>
      <c r="IA72" s="1907"/>
      <c r="IB72" s="1908"/>
      <c r="IC72" s="1908"/>
      <c r="ID72" s="1909"/>
      <c r="IE72" s="1910"/>
      <c r="IF72" s="1911"/>
      <c r="IG72" s="1912"/>
      <c r="IH72" s="1909"/>
      <c r="II72" s="1835"/>
      <c r="IJ72" s="1836"/>
      <c r="IK72" s="1836"/>
      <c r="IL72" s="693"/>
      <c r="IM72" s="1913"/>
      <c r="IN72" s="1836"/>
      <c r="IO72" s="1836"/>
      <c r="IP72" s="1838"/>
      <c r="IQ72" s="1914"/>
      <c r="IR72" s="2044"/>
      <c r="IS72" s="715"/>
      <c r="IT72" s="715"/>
      <c r="IU72" s="1996"/>
      <c r="IV72" s="2045"/>
      <c r="IW72" s="1910"/>
      <c r="IX72" s="715"/>
      <c r="IY72" s="823"/>
      <c r="IZ72" s="1719"/>
      <c r="JA72" s="1721"/>
      <c r="JB72" s="2046"/>
      <c r="JC72" s="2047"/>
      <c r="JD72" s="2048"/>
      <c r="JE72" s="1719"/>
      <c r="JF72" s="1721"/>
      <c r="JG72" s="1847"/>
      <c r="JH72" s="1096"/>
      <c r="JI72" s="1096"/>
      <c r="JJ72" s="1756"/>
      <c r="JK72" s="1721"/>
      <c r="JL72" s="1927"/>
      <c r="JM72" s="1096"/>
      <c r="JN72" s="1096"/>
      <c r="JO72" s="1843"/>
      <c r="JP72" s="1721"/>
      <c r="JQ72" s="1926"/>
      <c r="JR72" s="1982"/>
      <c r="JS72" s="1248"/>
      <c r="JT72" s="1995"/>
      <c r="JU72" s="1821"/>
      <c r="JV72" s="1988"/>
      <c r="JW72" s="2049"/>
      <c r="JX72" s="1850"/>
      <c r="JY72" s="823"/>
      <c r="JZ72" s="1721"/>
      <c r="KA72" s="1847"/>
      <c r="KB72" s="264"/>
      <c r="KC72" s="972"/>
      <c r="KD72" s="964"/>
      <c r="KE72" s="1848"/>
      <c r="KF72" s="1849"/>
      <c r="KG72" s="1850"/>
      <c r="KH72" s="1850"/>
      <c r="KI72" s="1719"/>
      <c r="KJ72" s="1721"/>
      <c r="KK72" s="1849"/>
      <c r="KL72" s="1850"/>
      <c r="KM72" s="1850"/>
      <c r="KN72" s="1851"/>
      <c r="KO72" s="1852"/>
      <c r="KP72" s="1722"/>
      <c r="KQ72" s="972"/>
      <c r="KR72" s="264"/>
      <c r="KS72" s="1845"/>
      <c r="KT72" s="1720"/>
      <c r="KU72" s="1853"/>
      <c r="KV72" s="264"/>
      <c r="KW72" s="264"/>
      <c r="KX72" s="264"/>
      <c r="KY72" s="75"/>
      <c r="KZ72" s="1857"/>
      <c r="LA72" s="358"/>
      <c r="LB72" s="358"/>
      <c r="LC72" s="358"/>
      <c r="LD72" s="151"/>
      <c r="LE72" s="1854"/>
      <c r="LF72" s="1855"/>
      <c r="LG72" s="1855"/>
      <c r="LH72" s="1856"/>
      <c r="LI72" s="1857"/>
      <c r="LJ72" s="1858"/>
      <c r="LK72" s="1854"/>
      <c r="LL72" s="1856"/>
      <c r="LM72" s="1859"/>
      <c r="LN72" s="1727"/>
      <c r="LO72" s="1727"/>
      <c r="LP72" s="151"/>
      <c r="LQ72" s="1860"/>
      <c r="LR72" s="1727"/>
      <c r="LS72" s="1727"/>
      <c r="LT72" s="1861"/>
      <c r="LV72" s="439"/>
      <c r="LW72" s="208"/>
      <c r="LX72" s="208"/>
      <c r="LY72" s="96"/>
      <c r="LZ72" s="78"/>
      <c r="MA72" s="1862"/>
      <c r="MB72" s="265"/>
      <c r="MC72" s="265"/>
      <c r="MD72" s="371"/>
      <c r="ME72" s="157"/>
      <c r="MF72" s="439"/>
      <c r="MG72" s="358"/>
      <c r="MH72" s="265"/>
      <c r="MI72" s="371"/>
      <c r="MJ72" s="157"/>
      <c r="MK72" s="354"/>
      <c r="ML72" s="358"/>
      <c r="MM72" s="265"/>
      <c r="MN72" s="371"/>
      <c r="MO72" s="157"/>
      <c r="MP72" s="1579"/>
      <c r="MQ72" s="1978"/>
      <c r="MR72" s="1978"/>
      <c r="MS72" s="264"/>
      <c r="MT72" s="597"/>
      <c r="MU72" s="209"/>
      <c r="MV72" s="208"/>
      <c r="MW72" s="208"/>
      <c r="MX72" s="208"/>
      <c r="MY72" s="597"/>
      <c r="MZ72" s="209"/>
      <c r="NA72" s="208"/>
      <c r="NB72" s="208"/>
      <c r="NC72" s="208"/>
      <c r="ND72" s="1313"/>
      <c r="NE72" s="209"/>
      <c r="NF72" s="208"/>
      <c r="NG72" s="208"/>
      <c r="NH72" s="208"/>
      <c r="NI72" s="1313"/>
      <c r="NJ72" s="209"/>
      <c r="NK72" s="208"/>
      <c r="NL72" s="208"/>
      <c r="NM72" s="208"/>
      <c r="NN72" s="1313"/>
      <c r="NO72" s="357"/>
      <c r="NP72" s="358"/>
      <c r="NQ72" s="359"/>
      <c r="NR72" s="208"/>
      <c r="NS72" s="1313"/>
      <c r="NT72" s="357"/>
      <c r="NU72" s="358"/>
      <c r="NV72" s="358"/>
      <c r="NW72" s="208"/>
      <c r="NX72" s="1313"/>
      <c r="NY72" s="357"/>
      <c r="NZ72" s="358"/>
      <c r="OA72" s="358"/>
      <c r="OB72" s="622"/>
      <c r="OC72" s="116"/>
      <c r="OD72" s="191"/>
      <c r="OE72" s="358"/>
      <c r="OF72" s="358"/>
      <c r="OG72" s="358"/>
      <c r="OH72" s="220"/>
      <c r="OI72" s="1863"/>
      <c r="OJ72" s="105"/>
      <c r="OK72" s="105"/>
      <c r="OL72" s="105"/>
      <c r="OM72" s="106"/>
      <c r="ON72" s="358"/>
      <c r="OO72" s="358"/>
      <c r="OP72" s="358"/>
      <c r="OQ72" s="359"/>
      <c r="OR72" s="169"/>
      <c r="OS72" s="686"/>
      <c r="OT72" s="146"/>
      <c r="OU72" s="146"/>
      <c r="OV72" s="1864"/>
      <c r="OW72" s="203"/>
      <c r="OX72" s="357"/>
      <c r="OY72" s="358"/>
      <c r="OZ72" s="358"/>
      <c r="PA72" s="359"/>
      <c r="PB72" s="114"/>
      <c r="PC72" s="79"/>
      <c r="PD72" s="439"/>
      <c r="PE72" s="358"/>
      <c r="PF72" s="358"/>
      <c r="PG72" s="96"/>
      <c r="PH72" s="78"/>
      <c r="PI72" s="439"/>
      <c r="PJ72" s="208"/>
      <c r="PK72" s="208"/>
      <c r="PL72" s="96"/>
      <c r="PM72" s="78"/>
      <c r="PN72" s="439"/>
      <c r="PO72" s="208"/>
      <c r="PP72" s="358"/>
      <c r="PQ72" s="371"/>
      <c r="PR72" s="157"/>
      <c r="PS72" s="1574"/>
      <c r="PT72" s="208"/>
      <c r="PU72" s="358"/>
      <c r="PV72" s="371"/>
      <c r="PW72" s="157"/>
      <c r="PX72" s="2080"/>
      <c r="PY72" s="264"/>
      <c r="PZ72" s="264"/>
      <c r="QA72" s="264"/>
      <c r="QB72" s="597"/>
      <c r="QC72" s="209">
        <v>1</v>
      </c>
      <c r="QD72" s="823">
        <v>20780</v>
      </c>
      <c r="QE72" s="823">
        <v>24000</v>
      </c>
      <c r="QF72" s="208">
        <f>QE72-QD72</f>
        <v>3220</v>
      </c>
      <c r="QG72" s="597">
        <f>QF72/QE72</f>
        <v>0.13416666666666666</v>
      </c>
      <c r="QH72" s="401">
        <v>1</v>
      </c>
      <c r="QI72" s="395">
        <v>33334</v>
      </c>
      <c r="QJ72" s="395">
        <v>40000</v>
      </c>
      <c r="QK72" s="395">
        <f>QJ72-QI72</f>
        <v>6666</v>
      </c>
      <c r="QL72" s="801">
        <f>QK72/QJ72</f>
        <v>0.16664999999999999</v>
      </c>
      <c r="QM72" s="2084">
        <v>1</v>
      </c>
      <c r="QN72" s="2085">
        <v>31000</v>
      </c>
      <c r="QO72" s="2085">
        <v>40000</v>
      </c>
      <c r="QP72" s="208">
        <f>QO72-QN72</f>
        <v>9000</v>
      </c>
      <c r="QQ72" s="801">
        <f>QP72/QO72</f>
        <v>0.22500000000000001</v>
      </c>
      <c r="QR72" s="209">
        <v>1</v>
      </c>
      <c r="QS72" s="208">
        <v>31000</v>
      </c>
      <c r="QT72" s="208">
        <v>40000</v>
      </c>
      <c r="QU72" s="208">
        <f t="shared" si="303"/>
        <v>9000</v>
      </c>
      <c r="QV72" s="157">
        <f>QU72/QT72</f>
        <v>0.22500000000000001</v>
      </c>
      <c r="QW72" s="209">
        <v>1</v>
      </c>
      <c r="QX72" s="208">
        <v>31000</v>
      </c>
      <c r="QY72" s="208">
        <v>40000</v>
      </c>
      <c r="QZ72" s="208">
        <f t="shared" si="304"/>
        <v>9000</v>
      </c>
      <c r="RA72" s="2083">
        <f>QZ72/QY72</f>
        <v>0.22500000000000001</v>
      </c>
      <c r="RB72" s="209">
        <v>1</v>
      </c>
      <c r="RC72" s="208">
        <v>33334</v>
      </c>
      <c r="RD72" s="208">
        <v>40000</v>
      </c>
      <c r="RE72" s="208">
        <f t="shared" si="305"/>
        <v>6666</v>
      </c>
      <c r="RF72" s="114"/>
      <c r="RG72" s="1857"/>
      <c r="RH72" s="208">
        <v>0</v>
      </c>
      <c r="RI72" s="208">
        <v>0</v>
      </c>
      <c r="RJ72" s="772">
        <f>RI72-RH72</f>
        <v>0</v>
      </c>
      <c r="RK72" s="2050" t="s">
        <v>68</v>
      </c>
      <c r="RL72" s="1567"/>
      <c r="RM72" s="1568">
        <f>RH72+RC72+QX72+QS72+QN72+QI72+QD72+PY72+PT72+PO72+PJ72+PE72</f>
        <v>180448</v>
      </c>
      <c r="RN72" s="1568">
        <f>RI72+RD72+QY72+QT72+QO72+QJ72+QE72+PZ72+PU72+PP72+PK72+PF72</f>
        <v>224000</v>
      </c>
      <c r="RO72" s="1568">
        <f>RJ72+RE72+QZ72+QU72+QP72+QK72+QF72+QA72+PV72+PQ72+PL72+PG72</f>
        <v>43552</v>
      </c>
      <c r="RP72" s="220">
        <f t="shared" si="306"/>
        <v>0.19442857142857142</v>
      </c>
      <c r="RQ72" s="1863"/>
      <c r="RR72" s="105"/>
      <c r="RS72" s="105"/>
      <c r="RT72" s="105"/>
      <c r="RU72" s="106"/>
      <c r="RV72" s="358">
        <v>1</v>
      </c>
      <c r="RW72" s="358">
        <f>PT72+PY72+QD72</f>
        <v>20780</v>
      </c>
      <c r="RX72" s="358">
        <f>PU72+PZ72+QE72</f>
        <v>24000</v>
      </c>
      <c r="RY72" s="359">
        <f>PV72+QA72+QF72</f>
        <v>3220</v>
      </c>
      <c r="RZ72" s="169">
        <f>RY72/RX72</f>
        <v>0.13416666666666666</v>
      </c>
      <c r="SA72" s="686">
        <v>1</v>
      </c>
      <c r="SB72" s="146">
        <f>QS72+QN72+QI72</f>
        <v>95334</v>
      </c>
      <c r="SC72" s="146">
        <f>QT72+QO72+QJ72</f>
        <v>120000</v>
      </c>
      <c r="SD72" s="1864">
        <f>QU72+QP72+QK72</f>
        <v>24666</v>
      </c>
      <c r="SE72" s="203">
        <f>SD72/SC72</f>
        <v>0.20555000000000001</v>
      </c>
      <c r="SF72" s="1567"/>
      <c r="SG72" s="358">
        <f>QX72+RC72+RH72</f>
        <v>64334</v>
      </c>
      <c r="SH72" s="358">
        <f>QY72+RD72+RI72</f>
        <v>80000</v>
      </c>
      <c r="SI72" s="359">
        <f>QZ72+RE72+RJ72</f>
        <v>15666</v>
      </c>
      <c r="SJ72" s="114">
        <f>SI72/SH72</f>
        <v>0.195825</v>
      </c>
      <c r="SL72" s="439"/>
      <c r="SM72" s="358"/>
      <c r="SN72" s="208"/>
      <c r="SO72" s="96">
        <f t="shared" si="264"/>
        <v>0</v>
      </c>
      <c r="SP72" s="1581">
        <v>0</v>
      </c>
      <c r="SQ72" s="439"/>
      <c r="SR72" s="208"/>
      <c r="SS72" s="208"/>
      <c r="ST72" s="96">
        <f t="shared" si="308"/>
        <v>0</v>
      </c>
      <c r="SU72" s="222"/>
      <c r="SV72" s="439"/>
      <c r="SW72" s="208"/>
      <c r="SX72" s="358"/>
      <c r="SY72" s="371"/>
      <c r="SZ72" s="157"/>
      <c r="TA72" s="1574"/>
      <c r="TB72" s="208"/>
      <c r="TC72" s="358"/>
      <c r="TD72" s="96"/>
      <c r="TE72" s="4435"/>
      <c r="TF72" s="1574"/>
      <c r="TG72" s="208"/>
      <c r="TH72" s="208"/>
      <c r="TI72" s="208"/>
      <c r="TJ72" s="114"/>
      <c r="TK72" s="209"/>
      <c r="TL72" s="208"/>
      <c r="TM72" s="208"/>
      <c r="TN72" s="395">
        <f>TM72-TL72</f>
        <v>0</v>
      </c>
      <c r="TO72" s="114"/>
      <c r="TP72" s="4434"/>
      <c r="TQ72" s="395">
        <v>0</v>
      </c>
      <c r="TR72" s="395">
        <v>0</v>
      </c>
      <c r="TS72" s="772">
        <f>TR72-TQ72</f>
        <v>0</v>
      </c>
      <c r="TT72" s="116">
        <v>0</v>
      </c>
      <c r="TU72" s="6140"/>
      <c r="TV72" s="2085">
        <v>0</v>
      </c>
      <c r="TW72" s="2085">
        <v>0</v>
      </c>
      <c r="TX72" s="994">
        <f>TW72-TV72</f>
        <v>0</v>
      </c>
      <c r="TY72" s="2050">
        <v>0</v>
      </c>
      <c r="TZ72" s="1868"/>
      <c r="UA72" s="1575"/>
      <c r="UB72" s="1575"/>
      <c r="UC72" s="2552">
        <f t="shared" si="309"/>
        <v>0</v>
      </c>
      <c r="UD72" s="3868">
        <v>0</v>
      </c>
      <c r="UE72" s="1868"/>
      <c r="UF72" s="1575"/>
      <c r="UG72" s="1575"/>
      <c r="UH72" s="1575">
        <f t="shared" si="310"/>
        <v>0</v>
      </c>
      <c r="UI72" s="6495" t="e">
        <f>UH72/UG72</f>
        <v>#DIV/0!</v>
      </c>
      <c r="UJ72" s="209"/>
      <c r="UK72" s="208"/>
      <c r="UL72" s="208"/>
      <c r="UM72" s="208">
        <f t="shared" si="311"/>
        <v>0</v>
      </c>
      <c r="UN72" s="114"/>
      <c r="UO72" s="1567"/>
      <c r="UP72" s="1568"/>
      <c r="UQ72" s="1568"/>
      <c r="UR72" s="1873">
        <f t="shared" si="312"/>
        <v>0</v>
      </c>
      <c r="US72" s="2050" t="s">
        <v>68</v>
      </c>
      <c r="UT72" s="1567"/>
      <c r="UU72" s="358">
        <f>UP72+UK72+UF72+UA72+TV72+TQ72+TL72+TG72+TB72+SW72+SR72+SM72</f>
        <v>0</v>
      </c>
      <c r="UV72" s="358">
        <f>UQ72+UL72+UG72+UB72+TW72+TR72+TM72+TH72+TC72+SX72+SS72+SN72</f>
        <v>0</v>
      </c>
      <c r="UW72" s="358">
        <f>UR72+UM72+UH72+UC72+TX72+TS72+TN72+TI72+TD72+SY72+ST72+SO72</f>
        <v>0</v>
      </c>
      <c r="UX72" s="2281">
        <v>0</v>
      </c>
      <c r="UY72" s="1863">
        <f>(SL72+SQ72+SV72)/3</f>
        <v>0</v>
      </c>
      <c r="UZ72" s="105">
        <f>SM72+SR72+SW72</f>
        <v>0</v>
      </c>
      <c r="VA72" s="105">
        <f>SN72+SS72+SX72</f>
        <v>0</v>
      </c>
      <c r="VB72" s="105">
        <f>SO72+ST72+SY72</f>
        <v>0</v>
      </c>
      <c r="VC72" s="106" t="e">
        <f>VB72/VA72</f>
        <v>#DIV/0!</v>
      </c>
      <c r="VD72" s="358"/>
      <c r="VE72" s="358">
        <f>TB72+TG72+TL72</f>
        <v>0</v>
      </c>
      <c r="VF72" s="358">
        <f>TC72+TH72+TM72</f>
        <v>0</v>
      </c>
      <c r="VG72" s="359">
        <f>TD72+TI72+TN72</f>
        <v>0</v>
      </c>
      <c r="VH72" s="169" t="e">
        <f>VG72/VF72</f>
        <v>#DIV/0!</v>
      </c>
      <c r="VI72" s="686"/>
      <c r="VJ72" s="146">
        <f>UA72+TV72+TQ72</f>
        <v>0</v>
      </c>
      <c r="VK72" s="146">
        <f>UB72+TW72+TR72</f>
        <v>0</v>
      </c>
      <c r="VL72" s="1864">
        <f>UC72+TX72+TS72</f>
        <v>0</v>
      </c>
      <c r="VM72" s="203" t="e">
        <f>VL72/VK72</f>
        <v>#DIV/0!</v>
      </c>
      <c r="VN72" s="1567"/>
      <c r="VO72" s="358">
        <f>UF72+UK72+UP72</f>
        <v>0</v>
      </c>
      <c r="VP72" s="358">
        <f>UG72+UL72+UQ72</f>
        <v>0</v>
      </c>
      <c r="VQ72" s="359">
        <f>UH72+UM72+UR72</f>
        <v>0</v>
      </c>
      <c r="VR72" s="114" t="e">
        <f>VQ72/VP72</f>
        <v>#DIV/0!</v>
      </c>
    </row>
    <row r="73" spans="1:590" s="1193" customFormat="1" ht="13.45" hidden="1" x14ac:dyDescent="0.3">
      <c r="A73" s="1297"/>
      <c r="B73" s="1437"/>
      <c r="C73" s="3557"/>
      <c r="D73" s="2090"/>
      <c r="E73" s="3558"/>
      <c r="F73" s="3558"/>
      <c r="G73" s="2092"/>
      <c r="H73" s="3559"/>
      <c r="I73" s="3560"/>
      <c r="J73" s="3560"/>
      <c r="K73" s="3560"/>
      <c r="L73" s="739"/>
      <c r="M73" s="3559"/>
      <c r="N73" s="3560"/>
      <c r="O73" s="3560"/>
      <c r="P73" s="3560"/>
      <c r="Q73" s="739"/>
      <c r="R73" s="3559"/>
      <c r="S73" s="3560"/>
      <c r="T73" s="3560"/>
      <c r="U73" s="3560"/>
      <c r="V73" s="739"/>
      <c r="W73" s="3559"/>
      <c r="X73" s="3560"/>
      <c r="Y73" s="3560"/>
      <c r="Z73" s="3560"/>
      <c r="AA73" s="3561"/>
      <c r="AB73" s="3559"/>
      <c r="AC73" s="3560"/>
      <c r="AD73" s="3560"/>
      <c r="AE73" s="3560"/>
      <c r="AF73" s="3561"/>
      <c r="AG73" s="3560"/>
      <c r="AH73" s="3560"/>
      <c r="AI73" s="3560"/>
      <c r="AJ73" s="3560"/>
      <c r="AK73" s="739"/>
      <c r="AL73" s="3560"/>
      <c r="AM73" s="3560"/>
      <c r="AN73" s="3560"/>
      <c r="AO73" s="3560"/>
      <c r="AP73" s="739"/>
      <c r="AQ73" s="3560"/>
      <c r="AR73" s="3560"/>
      <c r="AS73" s="3560"/>
      <c r="AT73" s="3560"/>
      <c r="AU73" s="739"/>
      <c r="AV73" s="3562"/>
      <c r="AW73" s="3560"/>
      <c r="AX73" s="3560"/>
      <c r="AY73" s="3560"/>
      <c r="AZ73" s="3561"/>
      <c r="BA73" s="3562"/>
      <c r="BB73" s="3560"/>
      <c r="BC73" s="3560"/>
      <c r="BD73" s="3560"/>
      <c r="BE73" s="3561"/>
      <c r="BF73" s="3562"/>
      <c r="BG73" s="3560"/>
      <c r="BH73" s="3560"/>
      <c r="BI73" s="3560"/>
      <c r="BJ73" s="3561"/>
      <c r="BK73" s="3562"/>
      <c r="BL73" s="3560"/>
      <c r="BM73" s="3560"/>
      <c r="BN73" s="3560"/>
      <c r="BO73" s="3561"/>
      <c r="BP73" s="3563"/>
      <c r="BQ73" s="3560"/>
      <c r="BR73" s="3560"/>
      <c r="BS73" s="3560"/>
      <c r="BT73" s="3564"/>
      <c r="BU73" s="3560"/>
      <c r="BV73" s="3560"/>
      <c r="BW73" s="3565"/>
      <c r="BX73" s="3564"/>
      <c r="BY73" s="3560"/>
      <c r="BZ73" s="3560"/>
      <c r="CA73" s="3566"/>
      <c r="CB73" s="3560"/>
      <c r="CC73" s="3560"/>
      <c r="CD73" s="3560"/>
      <c r="CE73" s="3560"/>
      <c r="CF73" s="3564"/>
      <c r="CG73" s="3560"/>
      <c r="CH73" s="3560"/>
      <c r="CI73" s="3566"/>
      <c r="CJ73" s="3567"/>
      <c r="CK73" s="3560"/>
      <c r="CL73" s="3560"/>
      <c r="CM73" s="3560"/>
      <c r="CN73" s="3565"/>
      <c r="CO73" s="3567"/>
      <c r="CP73" s="3559"/>
      <c r="CQ73" s="3559"/>
      <c r="CR73" s="3559"/>
      <c r="CS73" s="3565"/>
      <c r="CT73" s="3567"/>
      <c r="CU73" s="3560"/>
      <c r="CV73" s="3560"/>
      <c r="CW73" s="3560"/>
      <c r="CX73" s="3565"/>
      <c r="CY73" s="3567"/>
      <c r="CZ73" s="3560"/>
      <c r="DA73" s="3560"/>
      <c r="DB73" s="3560"/>
      <c r="DC73" s="3565"/>
      <c r="DD73" s="3567"/>
      <c r="DE73" s="3560"/>
      <c r="DF73" s="3560"/>
      <c r="DG73" s="3560"/>
      <c r="DH73" s="3568"/>
      <c r="DI73" s="3567"/>
      <c r="DJ73" s="3560"/>
      <c r="DK73" s="3560"/>
      <c r="DL73" s="3560"/>
      <c r="DM73" s="3568"/>
      <c r="DN73" s="3567"/>
      <c r="DO73" s="3560"/>
      <c r="DP73" s="3560"/>
      <c r="DQ73" s="3560"/>
      <c r="DR73" s="3568"/>
      <c r="DS73" s="3567"/>
      <c r="DT73" s="3560"/>
      <c r="DU73" s="3560"/>
      <c r="DV73" s="3560"/>
      <c r="DW73" s="3568"/>
      <c r="DX73" s="3567"/>
      <c r="DY73" s="3560"/>
      <c r="DZ73" s="3560"/>
      <c r="EA73" s="3560"/>
      <c r="EB73" s="3568"/>
      <c r="EC73" s="3567"/>
      <c r="ED73" s="3560"/>
      <c r="EE73" s="3560"/>
      <c r="EF73" s="3560"/>
      <c r="EG73" s="3568"/>
      <c r="EH73" s="3567"/>
      <c r="EI73" s="3560"/>
      <c r="EJ73" s="3560"/>
      <c r="EK73" s="3560"/>
      <c r="EL73" s="3568"/>
      <c r="EM73" s="2904"/>
      <c r="EN73" s="2406"/>
      <c r="EO73" s="2406"/>
      <c r="EP73" s="2406"/>
      <c r="EQ73" s="3569"/>
      <c r="ER73" s="3570"/>
      <c r="ES73" s="3571"/>
      <c r="ET73" s="3571"/>
      <c r="EU73" s="3571"/>
      <c r="EV73" s="3572"/>
      <c r="EW73" s="3559"/>
      <c r="EX73" s="3559"/>
      <c r="EY73" s="3559"/>
      <c r="EZ73" s="739"/>
      <c r="FA73" s="3567"/>
      <c r="FB73" s="3559"/>
      <c r="FC73" s="3559"/>
      <c r="FD73" s="3565"/>
      <c r="FE73" s="3559"/>
      <c r="FF73" s="3559"/>
      <c r="FG73" s="3559"/>
      <c r="FH73" s="739"/>
      <c r="FI73" s="3573"/>
      <c r="FJ73" s="3574"/>
      <c r="FK73" s="2439"/>
      <c r="FL73" s="2439"/>
      <c r="FM73" s="683"/>
      <c r="FN73" s="3559"/>
      <c r="FO73" s="3560"/>
      <c r="FP73" s="3560"/>
      <c r="FQ73" s="3560"/>
      <c r="FR73" s="3561"/>
      <c r="FS73" s="2904"/>
      <c r="FT73" s="2406"/>
      <c r="FU73" s="2406"/>
      <c r="FV73" s="2406"/>
      <c r="FW73" s="3569"/>
      <c r="FX73" s="3567"/>
      <c r="FY73" s="3560"/>
      <c r="FZ73" s="3560"/>
      <c r="GA73" s="2406"/>
      <c r="GB73" s="3569"/>
      <c r="GC73" s="3567"/>
      <c r="GD73" s="3560"/>
      <c r="GE73" s="3560"/>
      <c r="GF73" s="2406"/>
      <c r="GG73" s="3569"/>
      <c r="GH73" s="2904"/>
      <c r="GI73" s="2406"/>
      <c r="GJ73" s="2406"/>
      <c r="GK73" s="2406"/>
      <c r="GL73" s="3569"/>
      <c r="GM73" s="2904"/>
      <c r="GN73" s="2406"/>
      <c r="GO73" s="2406"/>
      <c r="GP73" s="2406"/>
      <c r="GQ73" s="3569"/>
      <c r="GR73" s="2904"/>
      <c r="GS73" s="2406"/>
      <c r="GT73" s="2406"/>
      <c r="GU73" s="2406"/>
      <c r="GV73" s="3569"/>
      <c r="GW73" s="2904"/>
      <c r="GX73" s="2406"/>
      <c r="GY73" s="2406"/>
      <c r="GZ73" s="2406"/>
      <c r="HA73" s="3569"/>
      <c r="HB73" s="2904"/>
      <c r="HC73" s="2406"/>
      <c r="HD73" s="2406"/>
      <c r="HE73" s="2406"/>
      <c r="HF73" s="3569"/>
      <c r="HG73" s="2904"/>
      <c r="HH73" s="2406"/>
      <c r="HI73" s="2406"/>
      <c r="HJ73" s="3575"/>
      <c r="HK73" s="3569"/>
      <c r="HL73" s="2904"/>
      <c r="HM73" s="2406"/>
      <c r="HN73" s="2406"/>
      <c r="HO73" s="2406"/>
      <c r="HP73" s="3569"/>
      <c r="HQ73" s="2553"/>
      <c r="HR73" s="2554"/>
      <c r="HS73" s="2554"/>
      <c r="HT73" s="2554"/>
      <c r="HU73" s="2555"/>
      <c r="HV73" s="1827"/>
      <c r="HW73" s="1089"/>
      <c r="HX73" s="1089"/>
      <c r="HY73" s="1089"/>
      <c r="HZ73" s="3576"/>
      <c r="IA73" s="1835"/>
      <c r="IB73" s="2902"/>
      <c r="IC73" s="2902"/>
      <c r="ID73" s="2903"/>
      <c r="IE73" s="2904"/>
      <c r="IF73" s="2905"/>
      <c r="IG73" s="2901"/>
      <c r="IH73" s="2903"/>
      <c r="II73" s="1835"/>
      <c r="IJ73" s="1836"/>
      <c r="IK73" s="1836"/>
      <c r="IL73" s="683"/>
      <c r="IM73" s="1913"/>
      <c r="IN73" s="1836"/>
      <c r="IO73" s="1836"/>
      <c r="IP73" s="3577"/>
      <c r="IQ73" s="3560"/>
      <c r="IR73" s="3578"/>
      <c r="IS73" s="2406"/>
      <c r="IT73" s="2406"/>
      <c r="IU73" s="3579"/>
      <c r="IV73" s="3580"/>
      <c r="IW73" s="2904"/>
      <c r="IX73" s="2406"/>
      <c r="IY73" s="1089"/>
      <c r="IZ73" s="1040"/>
      <c r="JA73" s="95"/>
      <c r="JB73" s="3581"/>
      <c r="JC73" s="3582"/>
      <c r="JD73" s="3583"/>
      <c r="JE73" s="1040"/>
      <c r="JF73" s="95"/>
      <c r="JG73" s="3581"/>
      <c r="JH73" s="1089"/>
      <c r="JI73" s="1089"/>
      <c r="JJ73" s="1089"/>
      <c r="JK73" s="95"/>
      <c r="JL73" s="3584"/>
      <c r="JM73" s="1089"/>
      <c r="JN73" s="1089"/>
      <c r="JO73" s="1089"/>
      <c r="JP73" s="95"/>
      <c r="JQ73" s="3585"/>
      <c r="JR73" s="3586"/>
      <c r="JS73" s="1622"/>
      <c r="JT73" s="3579"/>
      <c r="JU73" s="3569"/>
      <c r="JV73" s="3581"/>
      <c r="JW73" s="1089"/>
      <c r="JX73" s="1089"/>
      <c r="JY73" s="1089"/>
      <c r="JZ73" s="95"/>
      <c r="KA73" s="3581"/>
      <c r="KB73" s="1074"/>
      <c r="KC73" s="1050"/>
      <c r="KD73" s="1040"/>
      <c r="KE73" s="95"/>
      <c r="KF73" s="3581"/>
      <c r="KG73" s="1074"/>
      <c r="KH73" s="1089"/>
      <c r="KI73" s="1040"/>
      <c r="KJ73" s="95"/>
      <c r="KK73" s="3581"/>
      <c r="KL73" s="1089"/>
      <c r="KM73" s="1089"/>
      <c r="KN73" s="3587"/>
      <c r="KO73" s="3588"/>
      <c r="KP73" s="681"/>
      <c r="KQ73" s="3586"/>
      <c r="KR73" s="1622"/>
      <c r="KS73" s="3579"/>
      <c r="KT73" s="3589"/>
      <c r="KU73" s="3590"/>
      <c r="KV73" s="1006"/>
      <c r="KW73" s="1006"/>
      <c r="KX73" s="1006"/>
      <c r="KY73" s="145"/>
      <c r="KZ73" s="2072"/>
      <c r="LA73" s="1089"/>
      <c r="LB73" s="1089"/>
      <c r="LC73" s="1089"/>
      <c r="LD73" s="150"/>
      <c r="LE73" s="2074"/>
      <c r="LF73" s="2070"/>
      <c r="LG73" s="2070"/>
      <c r="LH73" s="2071"/>
      <c r="LI73" s="2072"/>
      <c r="LJ73" s="2073"/>
      <c r="LK73" s="2074"/>
      <c r="LL73" s="2071"/>
      <c r="LM73" s="1859"/>
      <c r="LN73" s="1727"/>
      <c r="LO73" s="1727"/>
      <c r="LP73" s="150"/>
      <c r="LQ73" s="1860"/>
      <c r="LR73" s="1727"/>
      <c r="LS73" s="1727"/>
      <c r="LT73" s="3591"/>
      <c r="LU73" s="2056"/>
      <c r="LV73" s="439"/>
      <c r="LW73" s="208"/>
      <c r="LX73" s="208"/>
      <c r="LY73" s="96"/>
      <c r="LZ73" s="78"/>
      <c r="MA73" s="2000"/>
      <c r="MB73" s="1317"/>
      <c r="MC73" s="1317"/>
      <c r="MD73" s="372"/>
      <c r="ME73" s="207"/>
      <c r="MF73" s="405"/>
      <c r="MG73" s="1575"/>
      <c r="MH73" s="1575"/>
      <c r="MI73" s="371"/>
      <c r="MJ73" s="157"/>
      <c r="MK73" s="354"/>
      <c r="ML73" s="208"/>
      <c r="MM73" s="208"/>
      <c r="MN73" s="371"/>
      <c r="MO73" s="157"/>
      <c r="MP73" s="2825"/>
      <c r="MQ73" s="1006"/>
      <c r="MR73" s="1006"/>
      <c r="MS73" s="1006"/>
      <c r="MT73" s="729"/>
      <c r="MU73" s="209"/>
      <c r="MV73" s="208"/>
      <c r="MW73" s="208"/>
      <c r="MX73" s="208"/>
      <c r="MY73" s="725"/>
      <c r="MZ73" s="209"/>
      <c r="NA73" s="208"/>
      <c r="NB73" s="208"/>
      <c r="NC73" s="208"/>
      <c r="ND73" s="1313"/>
      <c r="NE73" s="209"/>
      <c r="NF73" s="208"/>
      <c r="NG73" s="208"/>
      <c r="NH73" s="208"/>
      <c r="NI73" s="1313"/>
      <c r="NJ73" s="209"/>
      <c r="NK73" s="208"/>
      <c r="NL73" s="208"/>
      <c r="NM73" s="208"/>
      <c r="NN73" s="1313"/>
      <c r="NO73" s="357"/>
      <c r="NP73" s="358"/>
      <c r="NQ73" s="359"/>
      <c r="NR73" s="208"/>
      <c r="NS73" s="1313"/>
      <c r="NT73" s="357"/>
      <c r="NU73" s="358"/>
      <c r="NV73" s="358"/>
      <c r="NW73" s="208"/>
      <c r="NX73" s="1313"/>
      <c r="NY73" s="357"/>
      <c r="NZ73" s="358"/>
      <c r="OA73" s="358"/>
      <c r="OB73" s="622"/>
      <c r="OC73" s="150"/>
      <c r="OD73" s="191"/>
      <c r="OE73" s="358"/>
      <c r="OF73" s="358"/>
      <c r="OG73" s="358"/>
      <c r="OH73" s="220"/>
      <c r="OI73" s="1863"/>
      <c r="OJ73" s="105"/>
      <c r="OK73" s="105"/>
      <c r="OL73" s="105"/>
      <c r="OM73" s="106"/>
      <c r="ON73" s="358"/>
      <c r="OO73" s="358"/>
      <c r="OP73" s="358"/>
      <c r="OQ73" s="359"/>
      <c r="OR73" s="169"/>
      <c r="OS73" s="686"/>
      <c r="OT73" s="146"/>
      <c r="OU73" s="146"/>
      <c r="OV73" s="1864"/>
      <c r="OW73" s="203"/>
      <c r="OX73" s="357"/>
      <c r="OY73" s="358"/>
      <c r="OZ73" s="358"/>
      <c r="PA73" s="359"/>
      <c r="PB73" s="114"/>
      <c r="PC73" s="146"/>
      <c r="PD73" s="439"/>
      <c r="PE73" s="208"/>
      <c r="PF73" s="208"/>
      <c r="PG73" s="96"/>
      <c r="PH73" s="78"/>
      <c r="PI73" s="401"/>
      <c r="PJ73" s="395"/>
      <c r="PK73" s="395"/>
      <c r="PL73" s="115"/>
      <c r="PM73" s="2154"/>
      <c r="PN73" s="439"/>
      <c r="PO73" s="208"/>
      <c r="PP73" s="208"/>
      <c r="PQ73" s="371"/>
      <c r="PR73" s="157"/>
      <c r="PS73" s="354"/>
      <c r="PT73" s="208"/>
      <c r="PU73" s="208"/>
      <c r="PV73" s="371"/>
      <c r="PW73" s="157"/>
      <c r="PX73" s="2825"/>
      <c r="PY73" s="1006"/>
      <c r="PZ73" s="1006"/>
      <c r="QA73" s="1006"/>
      <c r="QB73" s="729"/>
      <c r="QC73" s="209"/>
      <c r="QD73" s="208"/>
      <c r="QE73" s="208"/>
      <c r="QF73" s="208"/>
      <c r="QG73" s="725"/>
      <c r="QH73" s="439"/>
      <c r="QI73" s="208"/>
      <c r="QJ73" s="208"/>
      <c r="QK73" s="208"/>
      <c r="QL73" s="1313"/>
      <c r="QM73" s="2072"/>
      <c r="QN73" s="1089"/>
      <c r="QO73" s="1089"/>
      <c r="QP73" s="208"/>
      <c r="QQ73" s="801"/>
      <c r="QR73" s="209"/>
      <c r="QS73" s="208"/>
      <c r="QT73" s="208"/>
      <c r="QU73" s="208"/>
      <c r="QV73" s="157"/>
      <c r="QW73" s="209"/>
      <c r="QX73" s="208"/>
      <c r="QY73" s="208"/>
      <c r="QZ73" s="208"/>
      <c r="RA73" s="2083"/>
      <c r="RB73" s="209"/>
      <c r="RC73" s="208"/>
      <c r="RD73" s="208"/>
      <c r="RE73" s="208"/>
      <c r="RF73" s="2155"/>
      <c r="RG73" s="1857"/>
      <c r="RH73" s="359"/>
      <c r="RI73" s="208"/>
      <c r="RJ73" s="772"/>
      <c r="RK73" s="3592"/>
      <c r="RL73" s="1567"/>
      <c r="RM73" s="1568"/>
      <c r="RN73" s="1568"/>
      <c r="RO73" s="1568"/>
      <c r="RP73" s="220"/>
      <c r="RQ73" s="1863"/>
      <c r="RR73" s="105"/>
      <c r="RS73" s="105"/>
      <c r="RT73" s="105"/>
      <c r="RU73" s="106"/>
      <c r="RV73" s="358"/>
      <c r="RW73" s="358"/>
      <c r="RX73" s="358"/>
      <c r="RY73" s="359"/>
      <c r="RZ73" s="169"/>
      <c r="SA73" s="686"/>
      <c r="SB73" s="146"/>
      <c r="SC73" s="146"/>
      <c r="SD73" s="1864"/>
      <c r="SE73" s="203"/>
      <c r="SF73" s="1567"/>
      <c r="SG73" s="358"/>
      <c r="SH73" s="358"/>
      <c r="SI73" s="359"/>
      <c r="SJ73" s="114"/>
      <c r="SL73" s="405"/>
      <c r="SM73" s="1575"/>
      <c r="SN73" s="1575"/>
      <c r="SO73" s="3523"/>
      <c r="SP73" s="3525"/>
      <c r="SQ73" s="2445"/>
      <c r="SR73" s="2001"/>
      <c r="SS73" s="2001"/>
      <c r="ST73" s="3534"/>
      <c r="SU73" s="3556"/>
      <c r="SV73" s="439"/>
      <c r="SW73" s="208"/>
      <c r="SX73" s="208"/>
      <c r="SY73" s="371"/>
      <c r="SZ73" s="157"/>
      <c r="TA73" s="354"/>
      <c r="TB73" s="208"/>
      <c r="TC73" s="208"/>
      <c r="TD73" s="371"/>
      <c r="TE73" s="157"/>
      <c r="TF73" s="1579"/>
      <c r="TG73" s="264"/>
      <c r="TH73" s="264"/>
      <c r="TI73" s="264"/>
      <c r="TJ73" s="597"/>
      <c r="TK73" s="209"/>
      <c r="TL73" s="208"/>
      <c r="TM73" s="208"/>
      <c r="TN73" s="208"/>
      <c r="TO73" s="655"/>
      <c r="TP73" s="4432"/>
      <c r="TQ73" s="208"/>
      <c r="TR73" s="208"/>
      <c r="TS73" s="208"/>
      <c r="TT73" s="1313"/>
      <c r="TU73" s="4930"/>
      <c r="TV73" s="2056"/>
      <c r="TW73" s="2056"/>
      <c r="TX73" s="1575"/>
      <c r="TY73" s="2003"/>
      <c r="TZ73" s="1868"/>
      <c r="UA73" s="1575"/>
      <c r="UB73" s="1575"/>
      <c r="UC73" s="1575"/>
      <c r="UD73" s="3868">
        <v>0</v>
      </c>
      <c r="UE73" s="1868"/>
      <c r="UF73" s="1575"/>
      <c r="UG73" s="1575"/>
      <c r="UH73" s="1575"/>
      <c r="UI73" s="6495"/>
      <c r="UJ73" s="209"/>
      <c r="UK73" s="208"/>
      <c r="UL73" s="208"/>
      <c r="UM73" s="208"/>
      <c r="UN73" s="2155"/>
      <c r="UO73" s="1567"/>
      <c r="UP73" s="1568"/>
      <c r="UQ73" s="1568"/>
      <c r="UR73" s="1873"/>
      <c r="US73" s="3592"/>
      <c r="UT73" s="1567"/>
      <c r="UU73" s="358"/>
      <c r="UV73" s="358"/>
      <c r="UW73" s="358"/>
      <c r="UX73" s="2281">
        <v>0</v>
      </c>
      <c r="UY73" s="1863"/>
      <c r="UZ73" s="105"/>
      <c r="VA73" s="105"/>
      <c r="VB73" s="105"/>
      <c r="VC73" s="106"/>
      <c r="VD73" s="358"/>
      <c r="VE73" s="358"/>
      <c r="VF73" s="358"/>
      <c r="VG73" s="359"/>
      <c r="VH73" s="169"/>
      <c r="VI73" s="686"/>
      <c r="VJ73" s="146"/>
      <c r="VK73" s="146"/>
      <c r="VL73" s="1864"/>
      <c r="VM73" s="203"/>
      <c r="VN73" s="1567"/>
      <c r="VO73" s="358"/>
      <c r="VP73" s="358"/>
      <c r="VQ73" s="359"/>
      <c r="VR73" s="114"/>
    </row>
    <row r="74" spans="1:590" s="1193" customFormat="1" ht="13.45" x14ac:dyDescent="0.3">
      <c r="A74" s="1297"/>
      <c r="B74" s="1773" t="s">
        <v>53</v>
      </c>
      <c r="C74" s="1991" t="s">
        <v>90</v>
      </c>
      <c r="D74" s="1992" t="s">
        <v>826</v>
      </c>
      <c r="E74" s="2086">
        <v>45117</v>
      </c>
      <c r="F74" s="2086">
        <v>45482</v>
      </c>
      <c r="G74" s="1994">
        <v>65000</v>
      </c>
      <c r="H74" s="1940"/>
      <c r="I74" s="1941"/>
      <c r="J74" s="1941"/>
      <c r="K74" s="1941"/>
      <c r="L74" s="1942"/>
      <c r="M74" s="1940"/>
      <c r="N74" s="1941"/>
      <c r="O74" s="1941"/>
      <c r="P74" s="1941"/>
      <c r="Q74" s="1942"/>
      <c r="R74" s="1940"/>
      <c r="S74" s="1941"/>
      <c r="T74" s="1941"/>
      <c r="U74" s="1941"/>
      <c r="V74" s="1942"/>
      <c r="W74" s="1940"/>
      <c r="X74" s="1941"/>
      <c r="Y74" s="1941"/>
      <c r="Z74" s="1941"/>
      <c r="AA74" s="1943"/>
      <c r="AB74" s="1940"/>
      <c r="AC74" s="1941"/>
      <c r="AD74" s="1941"/>
      <c r="AE74" s="1941"/>
      <c r="AF74" s="1943"/>
      <c r="AG74" s="1941"/>
      <c r="AH74" s="1941"/>
      <c r="AI74" s="1941"/>
      <c r="AJ74" s="1941"/>
      <c r="AK74" s="1942"/>
      <c r="AL74" s="1941"/>
      <c r="AM74" s="1941"/>
      <c r="AN74" s="1941"/>
      <c r="AO74" s="1941"/>
      <c r="AP74" s="1942"/>
      <c r="AQ74" s="1941"/>
      <c r="AR74" s="1941"/>
      <c r="AS74" s="1941"/>
      <c r="AT74" s="1941"/>
      <c r="AU74" s="1942"/>
      <c r="AV74" s="1944"/>
      <c r="AW74" s="1941"/>
      <c r="AX74" s="1941"/>
      <c r="AY74" s="1941"/>
      <c r="AZ74" s="1943"/>
      <c r="BA74" s="1944"/>
      <c r="BB74" s="1941"/>
      <c r="BC74" s="1941"/>
      <c r="BD74" s="1941"/>
      <c r="BE74" s="1943"/>
      <c r="BF74" s="1944"/>
      <c r="BG74" s="1941"/>
      <c r="BH74" s="1941"/>
      <c r="BI74" s="1941"/>
      <c r="BJ74" s="1943"/>
      <c r="BK74" s="1944"/>
      <c r="BL74" s="1941"/>
      <c r="BM74" s="1941"/>
      <c r="BN74" s="1941"/>
      <c r="BO74" s="1943"/>
      <c r="BP74" s="1945"/>
      <c r="BQ74" s="1941"/>
      <c r="BR74" s="1941"/>
      <c r="BS74" s="1941"/>
      <c r="BT74" s="1946"/>
      <c r="BU74" s="1941"/>
      <c r="BV74" s="1941"/>
      <c r="BW74" s="1947"/>
      <c r="BX74" s="1946"/>
      <c r="BY74" s="1941"/>
      <c r="BZ74" s="1941"/>
      <c r="CA74" s="1948"/>
      <c r="CB74" s="1941"/>
      <c r="CC74" s="1941"/>
      <c r="CD74" s="1941"/>
      <c r="CE74" s="1941"/>
      <c r="CF74" s="1946"/>
      <c r="CG74" s="1941"/>
      <c r="CH74" s="1941"/>
      <c r="CI74" s="1948"/>
      <c r="CJ74" s="1949"/>
      <c r="CK74" s="1941"/>
      <c r="CL74" s="1941"/>
      <c r="CM74" s="1941"/>
      <c r="CN74" s="1947"/>
      <c r="CO74" s="1949"/>
      <c r="CP74" s="1940"/>
      <c r="CQ74" s="1940"/>
      <c r="CR74" s="1940"/>
      <c r="CS74" s="1947"/>
      <c r="CT74" s="1949"/>
      <c r="CU74" s="1941"/>
      <c r="CV74" s="1941"/>
      <c r="CW74" s="1941"/>
      <c r="CX74" s="1947"/>
      <c r="CY74" s="1949"/>
      <c r="CZ74" s="1941"/>
      <c r="DA74" s="1941"/>
      <c r="DB74" s="1941"/>
      <c r="DC74" s="1947"/>
      <c r="DD74" s="1949"/>
      <c r="DE74" s="1941"/>
      <c r="DF74" s="1941"/>
      <c r="DG74" s="1941"/>
      <c r="DH74" s="1950"/>
      <c r="DI74" s="1949"/>
      <c r="DJ74" s="1941"/>
      <c r="DK74" s="1941"/>
      <c r="DL74" s="1941"/>
      <c r="DM74" s="1950"/>
      <c r="DN74" s="1949"/>
      <c r="DO74" s="1941"/>
      <c r="DP74" s="1941"/>
      <c r="DQ74" s="1941"/>
      <c r="DR74" s="1950"/>
      <c r="DS74" s="1949"/>
      <c r="DT74" s="1941"/>
      <c r="DU74" s="1941"/>
      <c r="DV74" s="1941"/>
      <c r="DW74" s="1950"/>
      <c r="DX74" s="1949"/>
      <c r="DY74" s="1941"/>
      <c r="DZ74" s="1941"/>
      <c r="EA74" s="1941"/>
      <c r="EB74" s="1950"/>
      <c r="EC74" s="1949"/>
      <c r="ED74" s="1941"/>
      <c r="EE74" s="1941"/>
      <c r="EF74" s="1941"/>
      <c r="EG74" s="1950"/>
      <c r="EH74" s="1899"/>
      <c r="EI74" s="1900"/>
      <c r="EJ74" s="1900"/>
      <c r="EK74" s="1900"/>
      <c r="EL74" s="1951"/>
      <c r="EM74" s="1901"/>
      <c r="EN74" s="1824"/>
      <c r="EO74" s="1824"/>
      <c r="EP74" s="1824"/>
      <c r="EQ74" s="1952"/>
      <c r="ER74" s="1713">
        <f>(CJ74+CO74+CT74+CY74+DD74+DI74+DN74+DS74+DX74+EC74+EH74+EM74)/12</f>
        <v>0</v>
      </c>
      <c r="ES74" s="1714">
        <f>CK74+CP74+CU74+CZ74+DE74+DJ74+DO74+DT74+DY74+ED74+EI74+EN74</f>
        <v>0</v>
      </c>
      <c r="ET74" s="1714">
        <f>CL74+CQ74+CV74+DA74+DF74+DK74+DP74+DU74+DZ74+EE74+EJ74+EO74</f>
        <v>0</v>
      </c>
      <c r="EU74" s="1714">
        <f>CM74+CR74+CW74+DB74+DG74+DL74+DQ74+DV74+EA74+EF74+EK74+EP74</f>
        <v>0</v>
      </c>
      <c r="EV74" s="1715" t="e">
        <f>EU74/ET74</f>
        <v>#DIV/0!</v>
      </c>
      <c r="EW74" s="1953"/>
      <c r="EX74" s="1953"/>
      <c r="EY74" s="1953"/>
      <c r="EZ74" s="1954"/>
      <c r="FA74" s="1899"/>
      <c r="FB74" s="1953"/>
      <c r="FC74" s="1953"/>
      <c r="FD74" s="1955"/>
      <c r="FE74" s="1953"/>
      <c r="FF74" s="1953"/>
      <c r="FG74" s="1953"/>
      <c r="FH74" s="1954"/>
      <c r="FI74" s="1956"/>
      <c r="FJ74" s="1957"/>
      <c r="FK74" s="1958"/>
      <c r="FL74" s="1958"/>
      <c r="FM74" s="1959"/>
      <c r="FN74" s="1953"/>
      <c r="FO74" s="1900"/>
      <c r="FP74" s="1900"/>
      <c r="FQ74" s="1900"/>
      <c r="FR74" s="1960"/>
      <c r="FS74" s="1919"/>
      <c r="FT74" s="1920"/>
      <c r="FU74" s="1920"/>
      <c r="FV74" s="1920"/>
      <c r="FW74" s="1961"/>
      <c r="FX74" s="1899"/>
      <c r="FY74" s="1900"/>
      <c r="FZ74" s="1900"/>
      <c r="GA74" s="1920">
        <f>FZ74-FY74</f>
        <v>0</v>
      </c>
      <c r="GB74" s="1961" t="e">
        <f>GA74/FZ74</f>
        <v>#DIV/0!</v>
      </c>
      <c r="GC74" s="1899"/>
      <c r="GD74" s="1900"/>
      <c r="GE74" s="1900"/>
      <c r="GF74" s="1824"/>
      <c r="GG74" s="1952"/>
      <c r="GH74" s="1901">
        <v>1</v>
      </c>
      <c r="GI74" s="1824">
        <v>41000</v>
      </c>
      <c r="GJ74" s="1824">
        <v>65000</v>
      </c>
      <c r="GK74" s="1962">
        <f>GJ74-GI74</f>
        <v>24000</v>
      </c>
      <c r="GL74" s="1961">
        <f>GK74/GJ74</f>
        <v>0.36923076923076925</v>
      </c>
      <c r="GM74" s="1901">
        <v>1</v>
      </c>
      <c r="GN74" s="1824">
        <v>41000</v>
      </c>
      <c r="GO74" s="1824">
        <v>65000</v>
      </c>
      <c r="GP74" s="1962">
        <f>GO74-GN74</f>
        <v>24000</v>
      </c>
      <c r="GQ74" s="1961">
        <f>GP74/GO74</f>
        <v>0.36923076923076925</v>
      </c>
      <c r="GR74" s="2087">
        <v>1</v>
      </c>
      <c r="GS74" s="1248">
        <v>41000</v>
      </c>
      <c r="GT74" s="1248">
        <v>65000</v>
      </c>
      <c r="GU74" s="1962">
        <f>GT74-GS74</f>
        <v>24000</v>
      </c>
      <c r="GV74" s="1961">
        <f>GU74/GT74</f>
        <v>0.36923076923076925</v>
      </c>
      <c r="GW74" s="2087">
        <v>1</v>
      </c>
      <c r="GX74" s="1248">
        <v>39632</v>
      </c>
      <c r="GY74" s="1248">
        <v>63050</v>
      </c>
      <c r="GZ74" s="1962">
        <f>GY74-GX74</f>
        <v>23418</v>
      </c>
      <c r="HA74" s="1961">
        <f>GZ74/GY74</f>
        <v>0.37141950832672482</v>
      </c>
      <c r="HB74" s="2087">
        <v>1</v>
      </c>
      <c r="HC74" s="1248">
        <v>41000</v>
      </c>
      <c r="HD74" s="1248">
        <v>65000</v>
      </c>
      <c r="HE74" s="1962">
        <f>HD74-HC74</f>
        <v>24000</v>
      </c>
      <c r="HF74" s="1961">
        <f>HE74/HD74</f>
        <v>0.36923076923076925</v>
      </c>
      <c r="HG74" s="2087">
        <v>1</v>
      </c>
      <c r="HH74" s="1248">
        <v>41000</v>
      </c>
      <c r="HI74" s="1248">
        <v>65000</v>
      </c>
      <c r="HJ74" s="1818">
        <f>HI74-HH74</f>
        <v>24000</v>
      </c>
      <c r="HK74" s="1961">
        <f>HJ74/HI74</f>
        <v>0.36923076923076925</v>
      </c>
      <c r="HL74" s="2087">
        <v>1</v>
      </c>
      <c r="HM74" s="1916">
        <v>41000</v>
      </c>
      <c r="HN74" s="1916">
        <v>65000</v>
      </c>
      <c r="HO74" s="2088">
        <f>HN74-HM74</f>
        <v>24000</v>
      </c>
      <c r="HP74" s="1961">
        <f>HO74/HN74</f>
        <v>0.36923076923076925</v>
      </c>
      <c r="HQ74" s="1905">
        <v>1</v>
      </c>
      <c r="HR74" s="1248">
        <v>41000</v>
      </c>
      <c r="HS74" s="1248">
        <v>65000</v>
      </c>
      <c r="HT74" s="1248">
        <f>HS74-HR74</f>
        <v>24000</v>
      </c>
      <c r="HU74" s="1826">
        <f>HT74/HS74</f>
        <v>0.36923076923076925</v>
      </c>
      <c r="HV74" s="2008">
        <f>(FN74+FS74+FX74+GC74+GH74+GM74+GR74+GW74+HB74+HG74+HL74+HQ74)/12</f>
        <v>0.66666666666666663</v>
      </c>
      <c r="HW74" s="208">
        <f>FO74+FT74+FY74+GD74+GI74+GN74+GS74+GX74+HC74+HH74+HM74+HR74</f>
        <v>326632</v>
      </c>
      <c r="HX74" s="208">
        <f>FP74+FU74+FZ74+GE74+GJ74+GO74+GT74+GY74+HD74+HI74+HN74+HS74</f>
        <v>518050</v>
      </c>
      <c r="HY74" s="208">
        <f>FQ74+FV74+GA74+GF74+GK74+GP74+GU74+GZ74+HE74+HJ74+HO74+HT74</f>
        <v>191418</v>
      </c>
      <c r="HZ74" s="2009"/>
      <c r="IA74" s="1829">
        <f>(FN74+FS74+FX74)/3</f>
        <v>0</v>
      </c>
      <c r="IB74" s="1830">
        <f>FP74+FU74+FZ74</f>
        <v>0</v>
      </c>
      <c r="IC74" s="1830">
        <f>FQ74+FV74+GA74</f>
        <v>0</v>
      </c>
      <c r="ID74" s="1831"/>
      <c r="IE74" s="1832">
        <f>(GC74+GH74+GM74)/3</f>
        <v>0.66666666666666663</v>
      </c>
      <c r="IF74" s="1833">
        <f>(GE74+GJ74+GO74)</f>
        <v>130000</v>
      </c>
      <c r="IG74" s="1834">
        <f>(GF74+GK74+GP74)</f>
        <v>48000</v>
      </c>
      <c r="IH74" s="1831">
        <f>IG74/IF74</f>
        <v>0.36923076923076925</v>
      </c>
      <c r="II74" s="1835">
        <f>(GR74+GW74+HB74)/3</f>
        <v>1</v>
      </c>
      <c r="IJ74" s="1836">
        <f>(GT74+GY74+HD74)</f>
        <v>193050</v>
      </c>
      <c r="IK74" s="1836">
        <f>(GU74+GZ74+HE74)</f>
        <v>71418</v>
      </c>
      <c r="IL74" s="239">
        <f>IK74/IJ74</f>
        <v>0.36994560994560993</v>
      </c>
      <c r="IM74" s="2089">
        <f>(HB74+HG74+HL74)/3</f>
        <v>1</v>
      </c>
      <c r="IN74" s="1836">
        <f t="shared" ref="IN74:IO76" si="315">(HI74+HN74+HS74)</f>
        <v>195000</v>
      </c>
      <c r="IO74" s="1836">
        <f t="shared" si="315"/>
        <v>72000</v>
      </c>
      <c r="IP74" s="1838">
        <f>IO74/IN74</f>
        <v>0.36923076923076925</v>
      </c>
      <c r="IQ74" s="1914"/>
      <c r="IR74" s="1969">
        <v>1</v>
      </c>
      <c r="IS74" s="1248">
        <v>41000</v>
      </c>
      <c r="IT74" s="1248">
        <v>65000</v>
      </c>
      <c r="IU74" s="1917">
        <f>IT74-IS74</f>
        <v>24000</v>
      </c>
      <c r="IV74" s="1970">
        <f>IU74/IT74</f>
        <v>0.36923076923076925</v>
      </c>
      <c r="IW74" s="1919">
        <v>1</v>
      </c>
      <c r="IX74" s="1920">
        <v>41000</v>
      </c>
      <c r="IY74" s="1921">
        <v>65000</v>
      </c>
      <c r="IZ74" s="1719">
        <f>IY74-IX74</f>
        <v>24000</v>
      </c>
      <c r="JA74" s="1721">
        <f>IZ74/IY74</f>
        <v>0.36923076923076925</v>
      </c>
      <c r="JB74" s="1847">
        <v>1</v>
      </c>
      <c r="JC74" s="1971">
        <v>41000</v>
      </c>
      <c r="JD74" s="1972">
        <v>65000</v>
      </c>
      <c r="JE74" s="1719">
        <f>JD74-JC74</f>
        <v>24000</v>
      </c>
      <c r="JF74" s="1721">
        <f>JE74/JD74</f>
        <v>0.36923076923076925</v>
      </c>
      <c r="JG74" s="1847">
        <v>1</v>
      </c>
      <c r="JH74" s="1096">
        <v>41000</v>
      </c>
      <c r="JI74" s="1096">
        <v>65000</v>
      </c>
      <c r="JJ74" s="1756">
        <f>JI74-JH74</f>
        <v>24000</v>
      </c>
      <c r="JK74" s="1721">
        <f>JJ74/JI74</f>
        <v>0.36923076923076925</v>
      </c>
      <c r="JL74" s="1927">
        <v>1</v>
      </c>
      <c r="JM74" s="1096">
        <v>41000</v>
      </c>
      <c r="JN74" s="1096">
        <v>65000</v>
      </c>
      <c r="JO74" s="1843">
        <f>JN74-JM74</f>
        <v>24000</v>
      </c>
      <c r="JP74" s="1721">
        <f>JO74/JN74</f>
        <v>0.36923076923076925</v>
      </c>
      <c r="JQ74" s="1927">
        <v>1</v>
      </c>
      <c r="JR74" s="972">
        <v>41000</v>
      </c>
      <c r="JS74" s="264">
        <v>65000</v>
      </c>
      <c r="JT74" s="1845">
        <f>JS74-JR74</f>
        <v>24000</v>
      </c>
      <c r="JU74" s="1721">
        <f>JT74/JS74</f>
        <v>0.36923076923076925</v>
      </c>
      <c r="JV74" s="1846">
        <v>1</v>
      </c>
      <c r="JW74" s="972">
        <v>41000</v>
      </c>
      <c r="JX74" s="264">
        <v>65000</v>
      </c>
      <c r="JY74" s="1845">
        <f>JX74-JW74</f>
        <v>24000</v>
      </c>
      <c r="JZ74" s="1721">
        <f>JY74/JX74</f>
        <v>0.36923076923076925</v>
      </c>
      <c r="KA74" s="1847">
        <v>1</v>
      </c>
      <c r="KB74" s="264">
        <v>41000</v>
      </c>
      <c r="KC74" s="264">
        <v>65000</v>
      </c>
      <c r="KD74" s="964">
        <f>KC74-KB74</f>
        <v>24000</v>
      </c>
      <c r="KE74" s="1848">
        <f>KD74/KC74</f>
        <v>0.36923076923076925</v>
      </c>
      <c r="KF74" s="1849">
        <v>1</v>
      </c>
      <c r="KG74" s="1850">
        <v>41000</v>
      </c>
      <c r="KH74" s="1850">
        <v>65000</v>
      </c>
      <c r="KI74" s="1719">
        <f>KH74-KG74</f>
        <v>24000</v>
      </c>
      <c r="KJ74" s="1721">
        <f>KI74/KH74</f>
        <v>0.36923076923076925</v>
      </c>
      <c r="KK74" s="1849">
        <v>1</v>
      </c>
      <c r="KL74" s="1850">
        <v>41000</v>
      </c>
      <c r="KM74" s="1850">
        <v>65000</v>
      </c>
      <c r="KN74" s="1851">
        <f>KM74-KL74</f>
        <v>24000</v>
      </c>
      <c r="KO74" s="1852">
        <f>KN74/KM74</f>
        <v>0.36923076923076925</v>
      </c>
      <c r="KP74" s="1722">
        <v>1</v>
      </c>
      <c r="KQ74" s="972">
        <v>41000</v>
      </c>
      <c r="KR74" s="264">
        <v>65000</v>
      </c>
      <c r="KS74" s="1845">
        <f>KR74-KQ74</f>
        <v>24000</v>
      </c>
      <c r="KT74" s="1720">
        <f>KS74/KR74</f>
        <v>0.36923076923076925</v>
      </c>
      <c r="KU74" s="1853">
        <v>1</v>
      </c>
      <c r="KV74" s="264">
        <v>41000</v>
      </c>
      <c r="KW74" s="264">
        <v>65000</v>
      </c>
      <c r="KX74" s="264">
        <f>KW74-KV74</f>
        <v>24000</v>
      </c>
      <c r="KY74" s="75">
        <f>KX74/KW74</f>
        <v>0.36923076923076925</v>
      </c>
      <c r="KZ74" s="1857">
        <v>1</v>
      </c>
      <c r="LA74" s="358">
        <f t="shared" ref="LA74:LC77" si="316">IS74+IX74+JC74+JH74+JM74+JR74+JW74+KB74+KG74+KL74+KQ74+KV74</f>
        <v>492000</v>
      </c>
      <c r="LB74" s="358">
        <f t="shared" si="316"/>
        <v>780000</v>
      </c>
      <c r="LC74" s="358">
        <f t="shared" si="316"/>
        <v>288000</v>
      </c>
      <c r="LD74" s="151">
        <f>LC74/LB74</f>
        <v>0.36923076923076925</v>
      </c>
      <c r="LE74" s="1854">
        <f>(IR74+IW74+JB74)/3</f>
        <v>1</v>
      </c>
      <c r="LF74" s="1855">
        <f>IT74+IY74+JD74</f>
        <v>195000</v>
      </c>
      <c r="LG74" s="1855">
        <f>IU74+IZ74+JE74</f>
        <v>72000</v>
      </c>
      <c r="LH74" s="1856">
        <f>LG74/LF74</f>
        <v>0.36923076923076925</v>
      </c>
      <c r="LI74" s="1857">
        <f>(JG74+JL74+JQ74)/3</f>
        <v>1</v>
      </c>
      <c r="LJ74" s="1858">
        <f>(JI74+JN74+JS74)</f>
        <v>195000</v>
      </c>
      <c r="LK74" s="1854">
        <f>(JJ74+JO74+JT74)</f>
        <v>72000</v>
      </c>
      <c r="LL74" s="1856">
        <f>LK74/LJ74</f>
        <v>0.36923076923076925</v>
      </c>
      <c r="LM74" s="1859">
        <f>(JV74+KA74+KF74)/3</f>
        <v>1</v>
      </c>
      <c r="LN74" s="1727">
        <f>(JX74+KC74+KH74)</f>
        <v>195000</v>
      </c>
      <c r="LO74" s="1727">
        <f>(JY74+KD74+KI74)</f>
        <v>72000</v>
      </c>
      <c r="LP74" s="151">
        <f>LO74/LN74</f>
        <v>0.36923076923076925</v>
      </c>
      <c r="LQ74" s="1860">
        <f>(KK74+KP74+KU74)/3</f>
        <v>1</v>
      </c>
      <c r="LR74" s="1727">
        <f>(KM74+KR74+KW74)</f>
        <v>195000</v>
      </c>
      <c r="LS74" s="1727">
        <f>(KN74+KS74+KX74)</f>
        <v>72000</v>
      </c>
      <c r="LT74" s="1861">
        <f>LS74/LR74</f>
        <v>0.36923076923076925</v>
      </c>
      <c r="LV74" s="439">
        <v>1</v>
      </c>
      <c r="LW74" s="208">
        <v>41000</v>
      </c>
      <c r="LX74" s="208">
        <v>65000</v>
      </c>
      <c r="LY74" s="96">
        <f>LX74-LW74</f>
        <v>24000</v>
      </c>
      <c r="LZ74" s="78">
        <f>LY74/LX74</f>
        <v>0.36923076923076925</v>
      </c>
      <c r="MA74" s="1862">
        <v>1</v>
      </c>
      <c r="MB74" s="265">
        <v>41000</v>
      </c>
      <c r="MC74" s="265">
        <v>65000</v>
      </c>
      <c r="MD74" s="371">
        <f>MC74-MB74</f>
        <v>24000</v>
      </c>
      <c r="ME74" s="157">
        <f>MD74/MC74</f>
        <v>0.36923076923076925</v>
      </c>
      <c r="MF74" s="439">
        <v>1</v>
      </c>
      <c r="MG74" s="208">
        <v>41000</v>
      </c>
      <c r="MH74" s="208">
        <v>65000</v>
      </c>
      <c r="MI74" s="371">
        <f>MH74-MG74</f>
        <v>24000</v>
      </c>
      <c r="MJ74" s="157">
        <f>MI74/MH74</f>
        <v>0.36923076923076925</v>
      </c>
      <c r="MK74" s="354">
        <v>1</v>
      </c>
      <c r="ML74" s="208">
        <v>41000</v>
      </c>
      <c r="MM74" s="208">
        <v>65000</v>
      </c>
      <c r="MN74" s="371">
        <f>MM74-ML74</f>
        <v>24000</v>
      </c>
      <c r="MO74" s="157">
        <f>MN74/MM74</f>
        <v>0.36923076923076925</v>
      </c>
      <c r="MP74" s="1579">
        <v>1</v>
      </c>
      <c r="MQ74" s="264">
        <v>41000</v>
      </c>
      <c r="MR74" s="264">
        <v>65000</v>
      </c>
      <c r="MS74" s="264">
        <f>MR74-MQ74</f>
        <v>24000</v>
      </c>
      <c r="MT74" s="597">
        <f>MS74/MR74</f>
        <v>0.36923076923076925</v>
      </c>
      <c r="MU74" s="209">
        <v>1</v>
      </c>
      <c r="MV74" s="208">
        <v>41000</v>
      </c>
      <c r="MW74" s="208">
        <v>65000</v>
      </c>
      <c r="MX74" s="208">
        <f>MW74-MV74</f>
        <v>24000</v>
      </c>
      <c r="MY74" s="597">
        <f>MX74/MW74</f>
        <v>0.36923076923076925</v>
      </c>
      <c r="MZ74" s="209">
        <v>1</v>
      </c>
      <c r="NA74" s="208">
        <v>41000</v>
      </c>
      <c r="NB74" s="208">
        <v>65000</v>
      </c>
      <c r="NC74" s="208">
        <f>NB74-NA74</f>
        <v>24000</v>
      </c>
      <c r="ND74" s="597">
        <f>NC74/NB74</f>
        <v>0.36923076923076925</v>
      </c>
      <c r="NE74" s="209">
        <v>1</v>
      </c>
      <c r="NF74" s="208">
        <v>41000</v>
      </c>
      <c r="NG74" s="208">
        <v>65000</v>
      </c>
      <c r="NH74" s="208">
        <f>NG74-NF74</f>
        <v>24000</v>
      </c>
      <c r="NI74" s="597">
        <f>NH74/NG74</f>
        <v>0.36923076923076925</v>
      </c>
      <c r="NJ74" s="209">
        <v>1</v>
      </c>
      <c r="NK74" s="208">
        <v>41000</v>
      </c>
      <c r="NL74" s="208">
        <v>65000</v>
      </c>
      <c r="NM74" s="208">
        <f>NL74-NK74</f>
        <v>24000</v>
      </c>
      <c r="NN74" s="597">
        <f>NM74/NL74</f>
        <v>0.36923076923076925</v>
      </c>
      <c r="NO74" s="357">
        <v>1</v>
      </c>
      <c r="NP74" s="358">
        <v>41000</v>
      </c>
      <c r="NQ74" s="358">
        <v>65000</v>
      </c>
      <c r="NR74" s="208">
        <f>NQ74-NP74</f>
        <v>24000</v>
      </c>
      <c r="NS74" s="597">
        <f>NR74/NQ74</f>
        <v>0.36923076923076925</v>
      </c>
      <c r="NT74" s="357">
        <v>1</v>
      </c>
      <c r="NU74" s="358">
        <v>41000</v>
      </c>
      <c r="NV74" s="358">
        <v>65000</v>
      </c>
      <c r="NW74" s="208">
        <f>NV74-NU74</f>
        <v>24000</v>
      </c>
      <c r="NX74" s="597">
        <f>NW74/NV74</f>
        <v>0.36923076923076925</v>
      </c>
      <c r="NY74" s="357">
        <v>1</v>
      </c>
      <c r="NZ74" s="358">
        <v>41000</v>
      </c>
      <c r="OA74" s="358">
        <v>65000</v>
      </c>
      <c r="OB74" s="772">
        <f>OA74-NZ74</f>
        <v>24000</v>
      </c>
      <c r="OC74" s="659">
        <f>OB74/OA74</f>
        <v>0.36923076923076925</v>
      </c>
      <c r="OD74" s="191">
        <v>1</v>
      </c>
      <c r="OE74" s="358">
        <f>NZ74+NU74+NP74+NK74+NF74+NA74+MV74+MQ74+ML74+MG74+MB74+LW74</f>
        <v>492000</v>
      </c>
      <c r="OF74" s="358">
        <f>OA74+NV74+NQ74+NL74+NG74+NB74+MW74+MR74+MM74+MH74+MC74+LX74</f>
        <v>780000</v>
      </c>
      <c r="OG74" s="358">
        <f>OB74+NW74+NR74+NM74+NH74+NC74+MX74+MS74+MN74+MI74+MD74+LY74</f>
        <v>288000</v>
      </c>
      <c r="OH74" s="220">
        <f>OG74/OF74</f>
        <v>0.36923076923076925</v>
      </c>
      <c r="OI74" s="1863">
        <f>(LV74+MA74+MF74)/3</f>
        <v>1</v>
      </c>
      <c r="OJ74" s="105">
        <f>LW74+MB74+MG74</f>
        <v>123000</v>
      </c>
      <c r="OK74" s="105">
        <f>LX74+MC74+MH74</f>
        <v>195000</v>
      </c>
      <c r="OL74" s="105">
        <f>LY74+MD74+MI74</f>
        <v>72000</v>
      </c>
      <c r="OM74" s="106">
        <f>OL74/OK74</f>
        <v>0.36923076923076925</v>
      </c>
      <c r="ON74" s="358">
        <f>(MK74+MP74+MU74)/3</f>
        <v>1</v>
      </c>
      <c r="OO74" s="358">
        <f>ML74+MQ74+MV74</f>
        <v>123000</v>
      </c>
      <c r="OP74" s="358">
        <f>MM74+MR74+MW74</f>
        <v>195000</v>
      </c>
      <c r="OQ74" s="359">
        <f>MN74+MS74+MX74</f>
        <v>72000</v>
      </c>
      <c r="OR74" s="169">
        <f>OQ74/OP74</f>
        <v>0.36923076923076925</v>
      </c>
      <c r="OS74" s="686">
        <f>(NJ74+NE74+MZ74)/3</f>
        <v>1</v>
      </c>
      <c r="OT74" s="146">
        <f>NK74+NF74+NA74</f>
        <v>123000</v>
      </c>
      <c r="OU74" s="146">
        <f>NL74+NG74+NB74</f>
        <v>195000</v>
      </c>
      <c r="OV74" s="1864">
        <f>NM74+NH74+NC74</f>
        <v>72000</v>
      </c>
      <c r="OW74" s="203">
        <f>OV74/OU74</f>
        <v>0.36923076923076925</v>
      </c>
      <c r="OX74" s="357">
        <v>1</v>
      </c>
      <c r="OY74" s="358">
        <f>NP74+NU74+NZ74</f>
        <v>123000</v>
      </c>
      <c r="OZ74" s="358">
        <f>NQ74+NV74+OA74</f>
        <v>195000</v>
      </c>
      <c r="PA74" s="359">
        <f>NR74+NW74+OB74</f>
        <v>72000</v>
      </c>
      <c r="PB74" s="114">
        <f>PA74/OZ74</f>
        <v>0.36923076923076925</v>
      </c>
      <c r="PC74" s="79"/>
      <c r="PD74" s="439">
        <v>1</v>
      </c>
      <c r="PE74" s="208">
        <v>41000</v>
      </c>
      <c r="PF74" s="208">
        <v>65000</v>
      </c>
      <c r="PG74" s="96">
        <f>PF74-PE74</f>
        <v>24000</v>
      </c>
      <c r="PH74" s="224">
        <f>PG74/PF74</f>
        <v>0.36923076923076925</v>
      </c>
      <c r="PI74" s="1862">
        <v>1</v>
      </c>
      <c r="PJ74" s="265">
        <v>41000</v>
      </c>
      <c r="PK74" s="265">
        <v>65000</v>
      </c>
      <c r="PL74" s="371">
        <f>PK74-PJ74</f>
        <v>24000</v>
      </c>
      <c r="PM74" s="157">
        <f>PL74/PK74</f>
        <v>0.36923076923076925</v>
      </c>
      <c r="PN74" s="439">
        <v>1</v>
      </c>
      <c r="PO74" s="208">
        <v>41000</v>
      </c>
      <c r="PP74" s="208">
        <v>65000</v>
      </c>
      <c r="PQ74" s="371">
        <f>PP74-PO74</f>
        <v>24000</v>
      </c>
      <c r="PR74" s="157">
        <f>PQ74/PP74</f>
        <v>0.36923076923076925</v>
      </c>
      <c r="PS74" s="354">
        <v>1</v>
      </c>
      <c r="PT74" s="208">
        <v>41000</v>
      </c>
      <c r="PU74" s="208">
        <v>64935</v>
      </c>
      <c r="PV74" s="371">
        <f>PU74-PT74</f>
        <v>23935</v>
      </c>
      <c r="PW74" s="157">
        <f>PV74/PU74</f>
        <v>0.36859936859936859</v>
      </c>
      <c r="PX74" s="1579">
        <v>1</v>
      </c>
      <c r="PY74" s="264">
        <v>46000</v>
      </c>
      <c r="PZ74" s="264">
        <v>65000</v>
      </c>
      <c r="QA74" s="264">
        <f>PZ74-PY74</f>
        <v>19000</v>
      </c>
      <c r="QB74" s="597">
        <f>QA74/PZ74</f>
        <v>0.29230769230769232</v>
      </c>
      <c r="QC74" s="209">
        <v>1</v>
      </c>
      <c r="QD74" s="208">
        <v>46000</v>
      </c>
      <c r="QE74" s="208">
        <v>65000</v>
      </c>
      <c r="QF74" s="208">
        <f>QE74-QD74</f>
        <v>19000</v>
      </c>
      <c r="QG74" s="597">
        <f>QF74/QE74</f>
        <v>0.29230769230769232</v>
      </c>
      <c r="QH74" s="439">
        <v>1</v>
      </c>
      <c r="QI74" s="208">
        <v>46000</v>
      </c>
      <c r="QJ74" s="208">
        <v>65000</v>
      </c>
      <c r="QK74" s="208">
        <f>QJ74-QI74</f>
        <v>19000</v>
      </c>
      <c r="QL74" s="597">
        <f>QK74/QJ74</f>
        <v>0.29230769230769232</v>
      </c>
      <c r="QM74" s="2084">
        <v>1</v>
      </c>
      <c r="QN74" s="2085">
        <v>46000</v>
      </c>
      <c r="QO74" s="2085">
        <v>65000</v>
      </c>
      <c r="QP74" s="208">
        <f>QO74-QN74</f>
        <v>19000</v>
      </c>
      <c r="QQ74" s="801">
        <f>QP74/QO74</f>
        <v>0.29230769230769232</v>
      </c>
      <c r="QR74" s="209">
        <v>1</v>
      </c>
      <c r="QS74" s="208">
        <v>46000</v>
      </c>
      <c r="QT74" s="208">
        <v>65000</v>
      </c>
      <c r="QU74" s="208">
        <f>QT74-QS74</f>
        <v>19000</v>
      </c>
      <c r="QV74" s="157">
        <f t="shared" ref="QV74:QV82" si="317">QU74/QT74</f>
        <v>0.29230769230769232</v>
      </c>
      <c r="QW74" s="209">
        <v>1</v>
      </c>
      <c r="QX74" s="208">
        <v>46000</v>
      </c>
      <c r="QY74" s="994">
        <v>65000</v>
      </c>
      <c r="QZ74" s="208">
        <f t="shared" ref="QZ74:QZ89" si="318">QY74-QX74</f>
        <v>19000</v>
      </c>
      <c r="RA74" s="2083">
        <f>QZ74/QY74</f>
        <v>0.29230769230769232</v>
      </c>
      <c r="RB74" s="209">
        <v>1</v>
      </c>
      <c r="RC74" s="208">
        <v>46000</v>
      </c>
      <c r="RD74" s="208">
        <v>65000</v>
      </c>
      <c r="RE74" s="208">
        <f>RD74-RC74</f>
        <v>19000</v>
      </c>
      <c r="RF74" s="602">
        <f>RE74/RD74</f>
        <v>0.29230769230769232</v>
      </c>
      <c r="RG74" s="1857">
        <v>1</v>
      </c>
      <c r="RH74" s="208">
        <v>46000</v>
      </c>
      <c r="RI74" s="208">
        <v>65000</v>
      </c>
      <c r="RJ74" s="772">
        <f>RI74-RH74</f>
        <v>19000</v>
      </c>
      <c r="RK74" s="116">
        <f>RJ74/RI74</f>
        <v>0.29230769230769232</v>
      </c>
      <c r="RL74" s="1567">
        <v>1</v>
      </c>
      <c r="RM74" s="1568">
        <f>RH74+RC74+QX74+QS74+QN74+QI74+QD74+PY74+PT74+PO74+PJ74+PE74</f>
        <v>532000</v>
      </c>
      <c r="RN74" s="1568">
        <f>RI74+RD74+QY74+QT74+QO74+QJ74+QE74+PZ74+PU74+PP74+PK74+PF74</f>
        <v>779935</v>
      </c>
      <c r="RO74" s="1568">
        <f>RJ74+RE74+QZ74+QU74+QP74+QK74+QF74+QA74+PV74+PQ74+PL74+PG74</f>
        <v>247935</v>
      </c>
      <c r="RP74" s="220">
        <f>RO74/RN74</f>
        <v>0.31789187560501836</v>
      </c>
      <c r="RQ74" s="1863">
        <f>(PD74+PI74+PN74)/3</f>
        <v>1</v>
      </c>
      <c r="RR74" s="105">
        <f>PE74+PJ74+PO74</f>
        <v>123000</v>
      </c>
      <c r="RS74" s="105">
        <f>PF74+PK74+PP74</f>
        <v>195000</v>
      </c>
      <c r="RT74" s="105">
        <f>PG74+PL74+PQ74</f>
        <v>72000</v>
      </c>
      <c r="RU74" s="106">
        <f>RT74/RS74</f>
        <v>0.36923076923076925</v>
      </c>
      <c r="RV74" s="358">
        <v>1</v>
      </c>
      <c r="RW74" s="358">
        <f>PT74+PY74+QD74</f>
        <v>133000</v>
      </c>
      <c r="RX74" s="358">
        <f>PU74+PZ74+QE74</f>
        <v>194935</v>
      </c>
      <c r="RY74" s="359">
        <f>PV74+QA74+QF74</f>
        <v>61935</v>
      </c>
      <c r="RZ74" s="169">
        <f>RY74/RX74</f>
        <v>0.31772129171262214</v>
      </c>
      <c r="SA74" s="686">
        <v>1</v>
      </c>
      <c r="SB74" s="146">
        <f>QS74+QN74+QI74</f>
        <v>138000</v>
      </c>
      <c r="SC74" s="146">
        <f>QT74+QO74+QJ74</f>
        <v>195000</v>
      </c>
      <c r="SD74" s="1864">
        <f>QU74+QP74+QK74</f>
        <v>57000</v>
      </c>
      <c r="SE74" s="203">
        <f>SD74/SC74</f>
        <v>0.29230769230769232</v>
      </c>
      <c r="SF74" s="1567">
        <v>1</v>
      </c>
      <c r="SG74" s="358">
        <f t="shared" ref="SG74:SI89" si="319">QX74+RC74+RH74</f>
        <v>138000</v>
      </c>
      <c r="SH74" s="358">
        <f t="shared" si="319"/>
        <v>195000</v>
      </c>
      <c r="SI74" s="359">
        <f t="shared" si="319"/>
        <v>57000</v>
      </c>
      <c r="SJ74" s="114">
        <f>SI74/SH74</f>
        <v>0.29230769230769232</v>
      </c>
      <c r="SL74" s="439">
        <v>1</v>
      </c>
      <c r="SM74" s="359">
        <v>46000</v>
      </c>
      <c r="SN74" s="208">
        <v>65000</v>
      </c>
      <c r="SO74" s="96">
        <f>SN74-SM74</f>
        <v>19000</v>
      </c>
      <c r="SP74" s="78">
        <f>SO74/SN74</f>
        <v>0.29230769230769232</v>
      </c>
      <c r="SQ74" s="1862">
        <v>1</v>
      </c>
      <c r="SR74" s="265">
        <v>46000</v>
      </c>
      <c r="SS74" s="265">
        <v>65000</v>
      </c>
      <c r="ST74" s="371">
        <f t="shared" ref="ST74:ST92" si="320">SS74-SR74</f>
        <v>19000</v>
      </c>
      <c r="SU74" s="1867">
        <f>ST74/SS74</f>
        <v>0.29230769230769232</v>
      </c>
      <c r="SV74" s="439">
        <v>1</v>
      </c>
      <c r="SW74" s="208">
        <v>46000</v>
      </c>
      <c r="SX74" s="208">
        <v>68068</v>
      </c>
      <c r="SY74" s="371">
        <f t="shared" ref="SY74:SY92" si="321">SX74-SW74</f>
        <v>22068</v>
      </c>
      <c r="SZ74" s="157">
        <f>SY74/SX74</f>
        <v>0.32420520655814772</v>
      </c>
      <c r="TA74" s="354">
        <v>1</v>
      </c>
      <c r="TB74" s="208">
        <v>46000</v>
      </c>
      <c r="TC74" s="994">
        <v>68068</v>
      </c>
      <c r="TD74" s="96">
        <f>TC74-TB74</f>
        <v>22068</v>
      </c>
      <c r="TE74" s="94">
        <f>TD74/TC74</f>
        <v>0.32420520655814772</v>
      </c>
      <c r="TF74" s="6496"/>
      <c r="TG74" s="4099"/>
      <c r="TH74" s="4099"/>
      <c r="TI74" s="4099"/>
      <c r="TJ74" s="6497" t="s">
        <v>68</v>
      </c>
      <c r="TK74" s="209"/>
      <c r="TL74" s="208"/>
      <c r="TM74" s="208"/>
      <c r="TN74" s="4101">
        <f>TM74-TL74</f>
        <v>0</v>
      </c>
      <c r="TO74" s="4148" t="s">
        <v>68</v>
      </c>
      <c r="TP74" s="4432"/>
      <c r="TQ74" s="208">
        <v>0</v>
      </c>
      <c r="TR74" s="208">
        <v>0</v>
      </c>
      <c r="TS74" s="994">
        <f>TR74-TQ74</f>
        <v>0</v>
      </c>
      <c r="TT74" s="2155">
        <v>0</v>
      </c>
      <c r="TU74" s="6140"/>
      <c r="TV74" s="2085">
        <v>0</v>
      </c>
      <c r="TW74" s="2085">
        <v>0</v>
      </c>
      <c r="TX74" s="994">
        <f>TW74-TV74</f>
        <v>0</v>
      </c>
      <c r="TY74" s="2050">
        <v>0</v>
      </c>
      <c r="TZ74" s="209">
        <v>1</v>
      </c>
      <c r="UA74" s="208">
        <v>51677</v>
      </c>
      <c r="UB74" s="208">
        <v>64860</v>
      </c>
      <c r="UC74" s="994">
        <f>UB74-UA74</f>
        <v>13183</v>
      </c>
      <c r="UD74" s="114">
        <f>UC74/UB74</f>
        <v>0.20325316065371571</v>
      </c>
      <c r="UE74" s="1868">
        <v>1</v>
      </c>
      <c r="UF74" s="1575">
        <v>53334</v>
      </c>
      <c r="UG74" s="2552">
        <v>69000</v>
      </c>
      <c r="UH74" s="1575">
        <f t="shared" ref="UH74:UH125" si="322">UG74-UF74</f>
        <v>15666</v>
      </c>
      <c r="UI74" s="6495">
        <f>UH74/UG74</f>
        <v>0.22704347826086957</v>
      </c>
      <c r="UJ74" s="209"/>
      <c r="UK74" s="208"/>
      <c r="UL74" s="208"/>
      <c r="UM74" s="208">
        <f>UL74-UK74</f>
        <v>0</v>
      </c>
      <c r="UN74" s="602" t="e">
        <f>UM74/UL74</f>
        <v>#DIV/0!</v>
      </c>
      <c r="UO74" s="1567"/>
      <c r="UP74" s="1568"/>
      <c r="UQ74" s="1568"/>
      <c r="UR74" s="2012">
        <f t="shared" ref="UR74:UR125" si="323">UQ74-UP74</f>
        <v>0</v>
      </c>
      <c r="US74" s="116" t="e">
        <f>UR74/UQ74</f>
        <v>#DIV/0!</v>
      </c>
      <c r="UT74" s="1567"/>
      <c r="UU74" s="358">
        <f>UP74+UK74+UF74+UA74+TV74+TQ74+TL74+TG74+TB74+SW74+SR74+SM74</f>
        <v>289011</v>
      </c>
      <c r="UV74" s="358">
        <f>UQ74+UL74+UG74+UB74+TW74+TR74+TM74+TH74+TC74+SX74+SS74+SN74</f>
        <v>399996</v>
      </c>
      <c r="UW74" s="358">
        <f>UR74+UM74+UH74+UC74+TX74+TS74+TN74+TI74+TD74+SY74+ST74+SO74</f>
        <v>110985</v>
      </c>
      <c r="UX74" s="220">
        <f>UW74/UV74</f>
        <v>0.27746527465274651</v>
      </c>
      <c r="UY74" s="1863">
        <f t="shared" ref="UY74:UY123" si="324">(SL74+SQ74+SV74)/3</f>
        <v>1</v>
      </c>
      <c r="UZ74" s="105">
        <f>SM74+SR74+SW74</f>
        <v>138000</v>
      </c>
      <c r="VA74" s="105">
        <f>SN74+SS74+SX74</f>
        <v>198068</v>
      </c>
      <c r="VB74" s="105">
        <f>SO74+ST74+SY74</f>
        <v>60068</v>
      </c>
      <c r="VC74" s="106">
        <f t="shared" ref="VC74:VC123" si="325">VB74/VA74</f>
        <v>0.30326958418320982</v>
      </c>
      <c r="VD74" s="358"/>
      <c r="VE74" s="358">
        <f t="shared" ref="VE74:VG89" si="326">TB74+TG74+TL74</f>
        <v>46000</v>
      </c>
      <c r="VF74" s="358">
        <f t="shared" si="326"/>
        <v>68068</v>
      </c>
      <c r="VG74" s="359">
        <f t="shared" si="326"/>
        <v>22068</v>
      </c>
      <c r="VH74" s="169">
        <f>VG74/VF74</f>
        <v>0.32420520655814772</v>
      </c>
      <c r="VI74" s="686"/>
      <c r="VJ74" s="146">
        <f>UA74+TV74+TQ74</f>
        <v>51677</v>
      </c>
      <c r="VK74" s="146">
        <f>UB74+TW74+TR74</f>
        <v>64860</v>
      </c>
      <c r="VL74" s="1864">
        <f>UC74+TX74+TS74</f>
        <v>13183</v>
      </c>
      <c r="VM74" s="203">
        <f>VL74/VK74</f>
        <v>0.20325316065371571</v>
      </c>
      <c r="VN74" s="1567"/>
      <c r="VO74" s="358">
        <f>UF74+UK74+UP74</f>
        <v>53334</v>
      </c>
      <c r="VP74" s="358">
        <f>UG74+UL74+UQ74</f>
        <v>69000</v>
      </c>
      <c r="VQ74" s="359">
        <f>UH74+UM74+UR74</f>
        <v>15666</v>
      </c>
      <c r="VR74" s="114">
        <f>VQ74/VP74</f>
        <v>0.22704347826086957</v>
      </c>
    </row>
    <row r="75" spans="1:590" ht="13.45" x14ac:dyDescent="0.3">
      <c r="B75" s="3593" t="s">
        <v>53</v>
      </c>
      <c r="C75" s="3594" t="s">
        <v>57</v>
      </c>
      <c r="D75" s="3595" t="s">
        <v>262</v>
      </c>
      <c r="E75" s="3596">
        <v>45383</v>
      </c>
      <c r="F75" s="3597">
        <v>45657</v>
      </c>
      <c r="G75" s="3598">
        <v>196838</v>
      </c>
      <c r="H75" s="3004">
        <v>6</v>
      </c>
      <c r="I75" s="3599">
        <f>144797+9542</f>
        <v>154339</v>
      </c>
      <c r="J75" s="3600">
        <v>205040</v>
      </c>
      <c r="K75" s="3005">
        <f>J75-I75</f>
        <v>50701</v>
      </c>
      <c r="L75" s="3006">
        <f>K75/J75</f>
        <v>0.24727370269215762</v>
      </c>
      <c r="M75" s="3601">
        <v>6</v>
      </c>
      <c r="N75" s="3008">
        <v>153699</v>
      </c>
      <c r="O75" s="3008">
        <v>205400</v>
      </c>
      <c r="P75" s="3008">
        <f>O75-N75</f>
        <v>51701</v>
      </c>
      <c r="Q75" s="3009">
        <f>P75/O75</f>
        <v>0.25170886075949367</v>
      </c>
      <c r="R75" s="3602">
        <v>6</v>
      </c>
      <c r="S75" s="3005">
        <f>126745+22000</f>
        <v>148745</v>
      </c>
      <c r="T75" s="3030">
        <v>205040</v>
      </c>
      <c r="U75" s="3005">
        <f>T75-S75</f>
        <v>56295</v>
      </c>
      <c r="V75" s="3006">
        <f>U75/T75</f>
        <v>0.27455618415918848</v>
      </c>
      <c r="W75" s="3603">
        <v>6</v>
      </c>
      <c r="X75" s="3005">
        <v>133965</v>
      </c>
      <c r="Y75" s="3030">
        <v>205040</v>
      </c>
      <c r="Z75" s="3005">
        <f>Y75-X75</f>
        <v>71075</v>
      </c>
      <c r="AA75" s="3006">
        <f>Z75/Y75</f>
        <v>0.34663968006242685</v>
      </c>
      <c r="AB75" s="1726">
        <v>6</v>
      </c>
      <c r="AC75" s="3005">
        <v>159206</v>
      </c>
      <c r="AD75" s="3030">
        <v>205040</v>
      </c>
      <c r="AE75" s="3005">
        <f>AD75-AC75</f>
        <v>45834</v>
      </c>
      <c r="AF75" s="3006">
        <f>AE75/AD75</f>
        <v>0.22353687085446741</v>
      </c>
      <c r="AG75" s="1726">
        <v>5</v>
      </c>
      <c r="AH75" s="3005">
        <v>133885</v>
      </c>
      <c r="AI75" s="3012">
        <f>'[7]mgnt data'!$CU$9</f>
        <v>184536</v>
      </c>
      <c r="AJ75" s="3012">
        <f>AI75-AH75</f>
        <v>50651</v>
      </c>
      <c r="AK75" s="3006">
        <f>AJ75/AI75</f>
        <v>0.27447760870507654</v>
      </c>
      <c r="AL75" s="1726">
        <v>5</v>
      </c>
      <c r="AM75" s="3010">
        <v>106585</v>
      </c>
      <c r="AN75" s="3010">
        <v>170798.32</v>
      </c>
      <c r="AO75" s="3010">
        <f>AN75-AM75</f>
        <v>64213.320000000007</v>
      </c>
      <c r="AP75" s="3006">
        <f>AO75/AN75</f>
        <v>0.37595990405526242</v>
      </c>
      <c r="AQ75" s="3014">
        <v>5</v>
      </c>
      <c r="AR75" s="3010">
        <v>135753</v>
      </c>
      <c r="AS75" s="3010">
        <v>170798.32</v>
      </c>
      <c r="AT75" s="3015">
        <f>AS75-AR75</f>
        <v>35045.320000000007</v>
      </c>
      <c r="AU75" s="3006">
        <f>AT75/AS75</f>
        <v>0.20518539058229615</v>
      </c>
      <c r="AV75" s="3016">
        <v>6</v>
      </c>
      <c r="AW75" s="3010">
        <v>171630</v>
      </c>
      <c r="AX75" s="3010">
        <v>205040</v>
      </c>
      <c r="AY75" s="3010">
        <f>AX75-AW75</f>
        <v>33410</v>
      </c>
      <c r="AZ75" s="3006">
        <f>AY75/AX75</f>
        <v>0.16294381584081155</v>
      </c>
      <c r="BA75" s="3017">
        <v>6</v>
      </c>
      <c r="BB75" s="3012">
        <v>185751</v>
      </c>
      <c r="BC75" s="3005">
        <v>205040</v>
      </c>
      <c r="BD75" s="3010">
        <f>BC75-BB75</f>
        <v>19289</v>
      </c>
      <c r="BE75" s="3009">
        <f>BD75/BC75</f>
        <v>9.4074326960593049E-2</v>
      </c>
      <c r="BF75" s="3016">
        <v>6</v>
      </c>
      <c r="BG75" s="3010">
        <v>185753</v>
      </c>
      <c r="BH75" s="3005">
        <v>205040</v>
      </c>
      <c r="BI75" s="3010">
        <f>BH75-BG75</f>
        <v>19287</v>
      </c>
      <c r="BJ75" s="3009">
        <f>BI75/BH75</f>
        <v>9.4064572766289503E-2</v>
      </c>
      <c r="BK75" s="3016">
        <v>6</v>
      </c>
      <c r="BL75" s="3030">
        <v>149678</v>
      </c>
      <c r="BM75" s="3604">
        <v>205040</v>
      </c>
      <c r="BN75" s="3010">
        <f>BM75-BL75</f>
        <v>55362</v>
      </c>
      <c r="BO75" s="3018">
        <f>BN75/BM75</f>
        <v>0.27000585251658216</v>
      </c>
      <c r="BP75" s="3019">
        <f>(AV75+AQ75+AL75+AG75+AB75+W75+R75+M75+H75+BA75+BF75+BK75)/12</f>
        <v>5.75</v>
      </c>
      <c r="BQ75" s="3020">
        <f>AW75+AR75+AM75+AH75+AC75+X75+S75+N75+I75+BB75+BG75+BL75</f>
        <v>1818989</v>
      </c>
      <c r="BR75" s="3012">
        <f>AX75+AS75+AN75+AI75+AD75+Y75+T75+O75+J75+BC75+BH75+BM75</f>
        <v>2371852.64</v>
      </c>
      <c r="BS75" s="3021">
        <f>BR75-BQ75</f>
        <v>552863.64000000013</v>
      </c>
      <c r="BT75" s="3022">
        <f>H75+M75+R75</f>
        <v>18</v>
      </c>
      <c r="BU75" s="3012">
        <f>J75+O75+T75</f>
        <v>615480</v>
      </c>
      <c r="BV75" s="3012">
        <f>K75+P75+U75</f>
        <v>158697</v>
      </c>
      <c r="BW75" s="3023">
        <f>BV75/BU75</f>
        <v>0.25784265938779488</v>
      </c>
      <c r="BX75" s="3024">
        <f>W75+AB75+AG75</f>
        <v>17</v>
      </c>
      <c r="BY75" s="3012">
        <f>Y75+AD75+AI75</f>
        <v>594616</v>
      </c>
      <c r="BZ75" s="3012">
        <f>Z75+AE75+AJ75</f>
        <v>167560</v>
      </c>
      <c r="CA75" s="3605">
        <f>BZ75/BY75</f>
        <v>0.28179530991429763</v>
      </c>
      <c r="CB75" s="3026">
        <f>AL75+AQ75+AV75</f>
        <v>16</v>
      </c>
      <c r="CC75" s="3012">
        <f>AN75+AS75+AX75</f>
        <v>546636.64</v>
      </c>
      <c r="CD75" s="3012">
        <f>AO75+AT75+AY75</f>
        <v>132668.64000000001</v>
      </c>
      <c r="CE75" s="3027"/>
      <c r="CF75" s="3024">
        <f>BA75+BF75+BK75</f>
        <v>18</v>
      </c>
      <c r="CG75" s="3005">
        <f>BC75+BH75+BM75</f>
        <v>615120</v>
      </c>
      <c r="CH75" s="3005">
        <f>BD75+BI75+BN75</f>
        <v>93938</v>
      </c>
      <c r="CI75" s="3025"/>
      <c r="CJ75" s="1725">
        <v>6</v>
      </c>
      <c r="CK75" s="3005">
        <v>172816</v>
      </c>
      <c r="CL75" s="3005">
        <v>196838</v>
      </c>
      <c r="CM75" s="3032">
        <f>CL75-CK75</f>
        <v>24022</v>
      </c>
      <c r="CN75" s="3023">
        <f>CM75/CL75</f>
        <v>0.12203944360336927</v>
      </c>
      <c r="CO75" s="1725">
        <v>5</v>
      </c>
      <c r="CP75" s="3005">
        <v>150816</v>
      </c>
      <c r="CQ75" s="3005">
        <v>189358.16</v>
      </c>
      <c r="CR75" s="3005">
        <f>CQ75-CP75</f>
        <v>38542.160000000003</v>
      </c>
      <c r="CS75" s="3023">
        <f>CR75/CQ75</f>
        <v>0.2035410567994535</v>
      </c>
      <c r="CT75" s="1725">
        <v>5</v>
      </c>
      <c r="CU75" s="3005">
        <f>113873+7194</f>
        <v>121067</v>
      </c>
      <c r="CV75" s="3005">
        <f>123614</f>
        <v>123614</v>
      </c>
      <c r="CW75" s="3005">
        <f>CV75-CU75</f>
        <v>2547</v>
      </c>
      <c r="CX75" s="3023">
        <f>CW75/CV75</f>
        <v>2.0604462277735533E-2</v>
      </c>
      <c r="CY75" s="3606">
        <v>6</v>
      </c>
      <c r="CZ75" s="3030">
        <v>186304</v>
      </c>
      <c r="DA75" s="3607">
        <v>196838</v>
      </c>
      <c r="DB75" s="3005">
        <f>DA75-CZ75</f>
        <v>10534</v>
      </c>
      <c r="DC75" s="3023">
        <f>DB75/DA75</f>
        <v>5.3516089372986922E-2</v>
      </c>
      <c r="DD75" s="3606">
        <v>6</v>
      </c>
      <c r="DE75" s="3030">
        <v>188749</v>
      </c>
      <c r="DF75" s="3607">
        <v>196838</v>
      </c>
      <c r="DG75" s="3030">
        <f>DF75-DE75</f>
        <v>8089</v>
      </c>
      <c r="DH75" s="3033">
        <f>DG75/DF75</f>
        <v>4.1094707322773039E-2</v>
      </c>
      <c r="DI75" s="3606">
        <v>7</v>
      </c>
      <c r="DJ75" s="3607">
        <v>219571</v>
      </c>
      <c r="DK75" s="3607">
        <v>194869.62</v>
      </c>
      <c r="DL75" s="3005">
        <f>DK75-DJ75</f>
        <v>-24701.380000000005</v>
      </c>
      <c r="DM75" s="3033">
        <f>DL75/DK75</f>
        <v>-0.12675849627048077</v>
      </c>
      <c r="DN75" s="1725">
        <v>6</v>
      </c>
      <c r="DO75" s="3005">
        <v>188749</v>
      </c>
      <c r="DP75" s="3607">
        <v>196838</v>
      </c>
      <c r="DQ75" s="3005">
        <f>DP75-DO75</f>
        <v>8089</v>
      </c>
      <c r="DR75" s="3033">
        <f>DQ75/DP75</f>
        <v>4.1094707322773039E-2</v>
      </c>
      <c r="DS75" s="1725">
        <v>6</v>
      </c>
      <c r="DT75" s="3607">
        <v>188749</v>
      </c>
      <c r="DU75" s="3607">
        <v>196838</v>
      </c>
      <c r="DV75" s="3005">
        <f>DU75-DT75</f>
        <v>8089</v>
      </c>
      <c r="DW75" s="3023">
        <f>DV75/DU75</f>
        <v>4.1094707322773039E-2</v>
      </c>
      <c r="DX75" s="1725">
        <v>6</v>
      </c>
      <c r="DY75" s="3005">
        <v>173753</v>
      </c>
      <c r="DZ75" s="3005">
        <v>196838</v>
      </c>
      <c r="EA75" s="3005">
        <f>DZ75-DY75</f>
        <v>23085</v>
      </c>
      <c r="EB75" s="3033">
        <f>EA75/DZ75</f>
        <v>0.11727918389741818</v>
      </c>
      <c r="EC75" s="1725">
        <v>6</v>
      </c>
      <c r="ED75" s="3005">
        <f>152268+3200</f>
        <v>155468</v>
      </c>
      <c r="EE75" s="3005">
        <v>196838</v>
      </c>
      <c r="EF75" s="3012">
        <f>EE75-ED75</f>
        <v>41370</v>
      </c>
      <c r="EG75" s="3033">
        <f>EF75/EE75</f>
        <v>0.21017283248153304</v>
      </c>
      <c r="EH75" s="1725">
        <v>5</v>
      </c>
      <c r="EI75" s="3005">
        <v>162159</v>
      </c>
      <c r="EJ75" s="3005">
        <v>163966.04999999999</v>
      </c>
      <c r="EK75" s="3005">
        <f>EJ75-EI75</f>
        <v>1807.0499999999884</v>
      </c>
      <c r="EL75" s="3033">
        <f>EK75/EJ75</f>
        <v>1.1020879017333091E-2</v>
      </c>
      <c r="EM75" s="1725">
        <v>6</v>
      </c>
      <c r="EN75" s="3005">
        <v>143912</v>
      </c>
      <c r="EO75" s="3005">
        <v>196838</v>
      </c>
      <c r="EP75" s="3005">
        <f>EO75-EN75</f>
        <v>52926</v>
      </c>
      <c r="EQ75" s="3033">
        <f>EP75/EO75</f>
        <v>0.26888100874831078</v>
      </c>
      <c r="ER75" s="3608">
        <f t="shared" ref="ER75:ER77" si="327">(CJ75+CO75+CT75+CY75+DD75+DI75+DN75+DS75+DX75+EC75+EH75+EM75)/12</f>
        <v>5.833333333333333</v>
      </c>
      <c r="ES75" s="3609">
        <f t="shared" si="146"/>
        <v>2052113</v>
      </c>
      <c r="ET75" s="3609">
        <f t="shared" si="146"/>
        <v>2246511.83</v>
      </c>
      <c r="EU75" s="3609">
        <f t="shared" si="146"/>
        <v>194398.83</v>
      </c>
      <c r="EV75" s="3610">
        <f t="shared" ref="EV75:EV77" si="328">EU75/ET75</f>
        <v>8.6533632898786017E-2</v>
      </c>
      <c r="EW75" s="3037">
        <f>(CJ75+CO75+CT75)/3</f>
        <v>5.333333333333333</v>
      </c>
      <c r="EX75" s="3005">
        <f>CL75+CQ75+CV75</f>
        <v>509810.16000000003</v>
      </c>
      <c r="EY75" s="3005">
        <f>CM75+CR75+CW75</f>
        <v>65111.16</v>
      </c>
      <c r="EZ75" s="3611">
        <f>EY75/EX75</f>
        <v>0.12771648175862169</v>
      </c>
      <c r="FA75" s="3038">
        <f>(CY75+DD75+DI75)/3</f>
        <v>6.333333333333333</v>
      </c>
      <c r="FB75" s="3012">
        <f>DK75+DF75+DA75</f>
        <v>588545.62</v>
      </c>
      <c r="FC75" s="3012">
        <f>DL75+DG75+DB75</f>
        <v>-6078.3800000000047</v>
      </c>
      <c r="FD75" s="3023">
        <f>FC75/FB75</f>
        <v>-1.032779752910234E-2</v>
      </c>
      <c r="FE75" s="3612">
        <f>(DN75+DS75+DX75)/3</f>
        <v>6</v>
      </c>
      <c r="FF75" s="3012">
        <f>DP75+DU75+DZ75</f>
        <v>590514</v>
      </c>
      <c r="FG75" s="3012">
        <f>DQ75+DV75+EA75</f>
        <v>39263</v>
      </c>
      <c r="FH75" s="3611">
        <f>FG75/FF75</f>
        <v>6.6489532847654756E-2</v>
      </c>
      <c r="FI75" s="3039">
        <f>(EC75+EH75+EM75)/3</f>
        <v>5.666666666666667</v>
      </c>
      <c r="FJ75" s="3037"/>
      <c r="FK75" s="3012">
        <f>EE75+EJ75+EO75</f>
        <v>557642.05000000005</v>
      </c>
      <c r="FL75" s="3012">
        <f>EF75+EK75+EP75</f>
        <v>96103.049999999988</v>
      </c>
      <c r="FM75" s="3023">
        <f>FL75/FK75</f>
        <v>0.17233824099168987</v>
      </c>
      <c r="FN75" s="2063">
        <v>3</v>
      </c>
      <c r="FO75" s="2064">
        <v>102082</v>
      </c>
      <c r="FP75" s="2064">
        <v>157470.39999999999</v>
      </c>
      <c r="FQ75" s="2064">
        <f>FP75-FO75</f>
        <v>55388.399999999994</v>
      </c>
      <c r="FR75" s="2065">
        <f>FQ75/FP75</f>
        <v>0.35173848545504421</v>
      </c>
      <c r="FS75" s="2066">
        <v>3</v>
      </c>
      <c r="FT75" s="2064">
        <v>102082</v>
      </c>
      <c r="FU75" s="2064">
        <v>196838</v>
      </c>
      <c r="FV75" s="2064">
        <f>FU75-FT75</f>
        <v>94756</v>
      </c>
      <c r="FW75" s="2508">
        <f>FV75/FU75</f>
        <v>0.48139078836403543</v>
      </c>
      <c r="FX75" s="2066">
        <v>5</v>
      </c>
      <c r="FY75" s="2509">
        <f>102082+70000</f>
        <v>172082</v>
      </c>
      <c r="FZ75" s="2509">
        <v>196838</v>
      </c>
      <c r="GA75" s="2064">
        <f>FZ75-FY75</f>
        <v>24756</v>
      </c>
      <c r="GB75" s="2508">
        <f>GA75/FZ75</f>
        <v>0.1257683983783619</v>
      </c>
      <c r="GC75" s="2067">
        <v>6</v>
      </c>
      <c r="GD75" s="1142">
        <v>192386</v>
      </c>
      <c r="GE75" s="1142">
        <v>196838</v>
      </c>
      <c r="GF75" s="2064">
        <f>GE75-GD75</f>
        <v>4452</v>
      </c>
      <c r="GG75" s="2508">
        <f>GF75/GE75</f>
        <v>2.2617584003088834E-2</v>
      </c>
      <c r="GH75" s="2067">
        <v>6</v>
      </c>
      <c r="GI75" s="1142">
        <f>174582+30833+2900</f>
        <v>208315</v>
      </c>
      <c r="GJ75" s="1142">
        <v>196838</v>
      </c>
      <c r="GK75" s="2064">
        <f>GJ75-GI75</f>
        <v>-11477</v>
      </c>
      <c r="GL75" s="2508">
        <f>GK75/GJ75</f>
        <v>-5.8306830998079637E-2</v>
      </c>
      <c r="GM75" s="2067">
        <v>6</v>
      </c>
      <c r="GN75" s="1142">
        <v>178082</v>
      </c>
      <c r="GO75" s="1142">
        <v>196838</v>
      </c>
      <c r="GP75" s="2064">
        <f>GO75-GN75</f>
        <v>18756</v>
      </c>
      <c r="GQ75" s="2508">
        <f>GP75/GO75</f>
        <v>9.5286479236732738E-2</v>
      </c>
      <c r="GR75" s="2067">
        <v>6</v>
      </c>
      <c r="GS75" s="1142">
        <v>158125</v>
      </c>
      <c r="GT75" s="1142">
        <v>196838</v>
      </c>
      <c r="GU75" s="2064">
        <f>GT75-GS75</f>
        <v>38713</v>
      </c>
      <c r="GV75" s="2508">
        <f>GU75/GT75</f>
        <v>0.19667442262164825</v>
      </c>
      <c r="GW75" s="2067">
        <v>6</v>
      </c>
      <c r="GX75" s="1142">
        <v>191115.33333333299</v>
      </c>
      <c r="GY75" s="1142">
        <v>196838</v>
      </c>
      <c r="GZ75" s="2064">
        <f>GY75-GX75</f>
        <v>5722.6666666670062</v>
      </c>
      <c r="HA75" s="2508">
        <f>GZ75/GY75</f>
        <v>2.9072977101306689E-2</v>
      </c>
      <c r="HB75" s="2067">
        <v>6</v>
      </c>
      <c r="HC75" s="1142">
        <v>189045</v>
      </c>
      <c r="HD75" s="1142">
        <v>196838</v>
      </c>
      <c r="HE75" s="2064">
        <f>HD75-HC75</f>
        <v>7793</v>
      </c>
      <c r="HF75" s="2508">
        <f>HE75/HD75</f>
        <v>3.9590932645119335E-2</v>
      </c>
      <c r="HG75" s="2067">
        <v>6</v>
      </c>
      <c r="HH75" s="1142">
        <v>157662</v>
      </c>
      <c r="HI75" s="1142">
        <v>196838</v>
      </c>
      <c r="HJ75" s="2064">
        <f>HI75-HH75</f>
        <v>39176</v>
      </c>
      <c r="HK75" s="2508">
        <f>HJ75/HI75</f>
        <v>0.19902661071541064</v>
      </c>
      <c r="HL75" s="2067">
        <v>6</v>
      </c>
      <c r="HM75" s="1142">
        <v>186433</v>
      </c>
      <c r="HN75" s="1142">
        <v>196838</v>
      </c>
      <c r="HO75" s="2064">
        <f>HN75-HM75</f>
        <v>10405</v>
      </c>
      <c r="HP75" s="2508">
        <f>HO75/HN75</f>
        <v>5.2860728111441893E-2</v>
      </c>
      <c r="HQ75" s="746">
        <v>6</v>
      </c>
      <c r="HR75" s="946">
        <v>186899</v>
      </c>
      <c r="HS75" s="946">
        <v>196838</v>
      </c>
      <c r="HT75" s="946">
        <f>HS75-HR75</f>
        <v>9939</v>
      </c>
      <c r="HU75" s="2565">
        <f>HT75/HS75</f>
        <v>5.0493299058108697E-2</v>
      </c>
      <c r="HV75" s="1827">
        <f t="shared" si="155"/>
        <v>5.416666666666667</v>
      </c>
      <c r="HW75" s="1089">
        <f t="shared" si="156"/>
        <v>2024308.333333333</v>
      </c>
      <c r="HX75" s="1089">
        <f t="shared" si="156"/>
        <v>2322688.4</v>
      </c>
      <c r="HY75" s="1089">
        <f t="shared" si="156"/>
        <v>298380.066666667</v>
      </c>
      <c r="HZ75" s="2068"/>
      <c r="IA75" s="2069">
        <f>(FN75+FS75+FX75)/3</f>
        <v>3.6666666666666665</v>
      </c>
      <c r="IB75" s="2070">
        <f>FP75+FU75+FZ75</f>
        <v>551146.4</v>
      </c>
      <c r="IC75" s="2070">
        <f>FQ75+FV75+GA75</f>
        <v>174900.4</v>
      </c>
      <c r="ID75" s="2071">
        <f>IC75/IB75</f>
        <v>0.31733927682372592</v>
      </c>
      <c r="IE75" s="2072">
        <f>(GC75+GH75+GM75)/3</f>
        <v>6</v>
      </c>
      <c r="IF75" s="2073">
        <f>(GE75+GJ75+GO75)</f>
        <v>590514</v>
      </c>
      <c r="IG75" s="2074">
        <f>(GF75+GK75+GP75)</f>
        <v>11731</v>
      </c>
      <c r="IH75" s="2071">
        <f>IG75/IF75</f>
        <v>1.9865744080580647E-2</v>
      </c>
      <c r="II75" s="1037">
        <f>(GR75+GW75+HB75)/3</f>
        <v>6</v>
      </c>
      <c r="IJ75" s="1727">
        <f>(GT75+GY75+HD75)</f>
        <v>590514</v>
      </c>
      <c r="IK75" s="1727">
        <f>(GU75+GZ75+HE75)</f>
        <v>52228.666666667006</v>
      </c>
      <c r="IL75" s="2075">
        <f>IK75/IJ75</f>
        <v>8.8446110789358101E-2</v>
      </c>
      <c r="IM75" s="1860">
        <f>(HB75+HG75+HL75)/3</f>
        <v>6</v>
      </c>
      <c r="IN75" s="1727">
        <f t="shared" si="315"/>
        <v>590514</v>
      </c>
      <c r="IO75" s="1727">
        <f t="shared" si="315"/>
        <v>59520</v>
      </c>
      <c r="IP75" s="1861">
        <f>IO75/IN75</f>
        <v>0.10079354596165374</v>
      </c>
      <c r="IQ75" s="69"/>
      <c r="IR75" s="2076">
        <v>6</v>
      </c>
      <c r="IS75" s="2064">
        <v>185799</v>
      </c>
      <c r="IT75" s="2064">
        <v>196838</v>
      </c>
      <c r="IU75" s="2064">
        <f>IT75-IS75</f>
        <v>11039</v>
      </c>
      <c r="IV75" s="2065">
        <f>IU75/IT75</f>
        <v>5.6081650900740708E-2</v>
      </c>
      <c r="IW75" s="2066">
        <v>6</v>
      </c>
      <c r="IX75" s="2064">
        <v>165381</v>
      </c>
      <c r="IY75" s="2064">
        <v>196838</v>
      </c>
      <c r="IZ75" s="2064">
        <f>IY75-IX75</f>
        <v>31457</v>
      </c>
      <c r="JA75" s="2508">
        <f>IZ75/IY75</f>
        <v>0.15981162173970473</v>
      </c>
      <c r="JB75" s="3048">
        <v>6</v>
      </c>
      <c r="JC75" s="3613">
        <v>160012</v>
      </c>
      <c r="JD75" s="3614">
        <v>196838</v>
      </c>
      <c r="JE75" s="2064">
        <f>JD75-JC75</f>
        <v>36826</v>
      </c>
      <c r="JF75" s="2508">
        <f>JE75/JD75</f>
        <v>0.18708785905160588</v>
      </c>
      <c r="JG75" s="2077">
        <v>6</v>
      </c>
      <c r="JH75" s="1142">
        <v>179699</v>
      </c>
      <c r="JI75" s="1142">
        <v>196838</v>
      </c>
      <c r="JJ75" s="2509">
        <f>JI75-JH75</f>
        <v>17139</v>
      </c>
      <c r="JK75" s="2508">
        <f>JJ75/JI75</f>
        <v>8.7071602028063688E-2</v>
      </c>
      <c r="JL75" s="2067">
        <v>6</v>
      </c>
      <c r="JM75" s="1142">
        <v>125741</v>
      </c>
      <c r="JN75" s="1142">
        <v>196838</v>
      </c>
      <c r="JO75" s="2518">
        <f>JN75-JM75</f>
        <v>71097</v>
      </c>
      <c r="JP75" s="2508">
        <f>JO75/JN75</f>
        <v>0.3611955008687347</v>
      </c>
      <c r="JQ75" s="2078">
        <v>5</v>
      </c>
      <c r="JR75" s="949">
        <v>144844</v>
      </c>
      <c r="JS75" s="946">
        <v>196838</v>
      </c>
      <c r="JT75" s="2518">
        <f>JS75-JR75</f>
        <v>51994</v>
      </c>
      <c r="JU75" s="2508">
        <f>JT75/JS75</f>
        <v>0.26414615064164437</v>
      </c>
      <c r="JV75" s="2077">
        <v>5</v>
      </c>
      <c r="JW75" s="1142">
        <v>145044</v>
      </c>
      <c r="JX75" s="1142">
        <v>196838</v>
      </c>
      <c r="JY75" s="2064">
        <f>JX75-JW75</f>
        <v>51794</v>
      </c>
      <c r="JZ75" s="2508">
        <f>JY75/JX75</f>
        <v>0.26313008667025678</v>
      </c>
      <c r="KA75" s="2077">
        <v>5</v>
      </c>
      <c r="KB75" s="946">
        <v>144800</v>
      </c>
      <c r="KC75" s="949">
        <v>196838</v>
      </c>
      <c r="KD75" s="937">
        <f>KC75-KB75</f>
        <v>52038</v>
      </c>
      <c r="KE75" s="159">
        <f>KD75/KC75</f>
        <v>0.26436968471534966</v>
      </c>
      <c r="KF75" s="2077">
        <v>4</v>
      </c>
      <c r="KG75" s="946">
        <f>145800-26000</f>
        <v>119800</v>
      </c>
      <c r="KH75" s="1142">
        <v>196838</v>
      </c>
      <c r="KI75" s="2064">
        <f>KH75-KG75</f>
        <v>77038</v>
      </c>
      <c r="KJ75" s="2508"/>
      <c r="KK75" s="2077">
        <v>5</v>
      </c>
      <c r="KL75" s="1142">
        <v>150500</v>
      </c>
      <c r="KM75" s="1142">
        <v>196838</v>
      </c>
      <c r="KN75" s="2064">
        <f>KM75-KL75</f>
        <v>46338</v>
      </c>
      <c r="KO75" s="2508">
        <f>KN75/KM75</f>
        <v>0.23541186153080199</v>
      </c>
      <c r="KP75" s="2067">
        <v>4</v>
      </c>
      <c r="KQ75" s="949">
        <v>118631.25</v>
      </c>
      <c r="KR75" s="946">
        <v>196838</v>
      </c>
      <c r="KS75" s="2518">
        <f>KR75-KQ75</f>
        <v>78206.75</v>
      </c>
      <c r="KT75" s="2065">
        <f>KS75/KR75</f>
        <v>0.397315304971601</v>
      </c>
      <c r="KU75" s="2587">
        <v>6</v>
      </c>
      <c r="KV75" s="1916">
        <v>178455</v>
      </c>
      <c r="KW75" s="1916">
        <v>196838</v>
      </c>
      <c r="KX75" s="1916">
        <f>KW75-KV75</f>
        <v>18383</v>
      </c>
      <c r="KY75" s="3615">
        <f>KX75/KW75</f>
        <v>9.3391519930094799E-2</v>
      </c>
      <c r="KZ75" s="1698">
        <v>6</v>
      </c>
      <c r="LA75" s="1089">
        <f t="shared" si="316"/>
        <v>1818706.25</v>
      </c>
      <c r="LB75" s="1089">
        <f t="shared" si="316"/>
        <v>2362056</v>
      </c>
      <c r="LC75" s="1089">
        <f t="shared" si="316"/>
        <v>543349.75</v>
      </c>
      <c r="LD75" s="150">
        <f>LC75/LB75</f>
        <v>0.23003254368228357</v>
      </c>
      <c r="LE75" s="2074">
        <f>(IR75+IW75+JB75)/3</f>
        <v>6</v>
      </c>
      <c r="LF75" s="2070">
        <f t="shared" ref="LF75:LG77" si="329">IT75+IY75+JD75</f>
        <v>590514</v>
      </c>
      <c r="LG75" s="2070">
        <f t="shared" si="329"/>
        <v>79322</v>
      </c>
      <c r="LH75" s="2071">
        <f>LG75/LF75</f>
        <v>0.13432704389735045</v>
      </c>
      <c r="LI75" s="2072">
        <f>(JG75+JL75+JQ75)/3</f>
        <v>5.666666666666667</v>
      </c>
      <c r="LJ75" s="2073">
        <f t="shared" ref="LJ75:LK77" si="330">(JI75+JN75+JS75)</f>
        <v>590514</v>
      </c>
      <c r="LK75" s="2074">
        <f t="shared" si="330"/>
        <v>140230</v>
      </c>
      <c r="LL75" s="2071">
        <f>LK75/LJ75</f>
        <v>0.23747108451281426</v>
      </c>
      <c r="LM75" s="1859">
        <f>(JV75+KA75+KF75)/3</f>
        <v>4.666666666666667</v>
      </c>
      <c r="LN75" s="1727">
        <f t="shared" ref="LN75:LO77" si="331">(JX75+KC75+KH75)</f>
        <v>590514</v>
      </c>
      <c r="LO75" s="1727">
        <f t="shared" si="331"/>
        <v>180870</v>
      </c>
      <c r="LP75" s="150">
        <f>LO75/LN75</f>
        <v>0.30629248417480365</v>
      </c>
      <c r="LQ75" s="1860">
        <f>(KK75+KP75+KU75)/3</f>
        <v>5</v>
      </c>
      <c r="LR75" s="1727">
        <f t="shared" ref="LR75:LS77" si="332">(KM75+KR75+KW75)</f>
        <v>590514</v>
      </c>
      <c r="LS75" s="1727">
        <f t="shared" si="332"/>
        <v>142927.75</v>
      </c>
      <c r="LT75" s="1861">
        <f>LS75/LR75</f>
        <v>0.24203956214416594</v>
      </c>
      <c r="LV75" s="1606">
        <v>6</v>
      </c>
      <c r="LW75" s="1066">
        <v>187800</v>
      </c>
      <c r="LX75" s="1066">
        <v>196838</v>
      </c>
      <c r="LY75" s="105">
        <f>LX75-LW75</f>
        <v>9038</v>
      </c>
      <c r="LZ75" s="365">
        <f>LY75/LX75</f>
        <v>4.591593086700739E-2</v>
      </c>
      <c r="MA75" s="2520">
        <v>6</v>
      </c>
      <c r="MB75" s="1074">
        <v>187800</v>
      </c>
      <c r="MC75" s="1074">
        <v>222000</v>
      </c>
      <c r="MD75" s="2521">
        <f>MC75-MB75</f>
        <v>34200</v>
      </c>
      <c r="ME75" s="170">
        <f>MD75/MC75</f>
        <v>0.15405405405405406</v>
      </c>
      <c r="MF75" s="1606">
        <v>6</v>
      </c>
      <c r="MG75" s="1066">
        <v>171580</v>
      </c>
      <c r="MH75" s="1066">
        <v>206090</v>
      </c>
      <c r="MI75" s="2521">
        <f>MH75-MG75</f>
        <v>34510</v>
      </c>
      <c r="MJ75" s="170">
        <f>MI75/MH75</f>
        <v>0.1674511135911495</v>
      </c>
      <c r="MK75" s="2053">
        <v>6</v>
      </c>
      <c r="ML75" s="1066">
        <v>188419</v>
      </c>
      <c r="MM75" s="1066">
        <v>222000</v>
      </c>
      <c r="MN75" s="2521">
        <f>MM75-ML75</f>
        <v>33581</v>
      </c>
      <c r="MO75" s="170">
        <f>MN75/MM75</f>
        <v>0.15126576576576575</v>
      </c>
      <c r="MP75" s="3616">
        <v>6</v>
      </c>
      <c r="MQ75" s="946">
        <v>188419</v>
      </c>
      <c r="MR75" s="946">
        <v>222000</v>
      </c>
      <c r="MS75" s="946">
        <f>MR75-MQ75</f>
        <v>33581</v>
      </c>
      <c r="MT75" s="747">
        <f>MS75/MR75</f>
        <v>0.15126576576576575</v>
      </c>
      <c r="MU75" s="1092">
        <v>6</v>
      </c>
      <c r="MV75" s="1066">
        <v>189533</v>
      </c>
      <c r="MW75" s="1066">
        <v>222000</v>
      </c>
      <c r="MX75" s="1066">
        <f>MW75-MV75</f>
        <v>32467</v>
      </c>
      <c r="MY75" s="747">
        <f>MX75/MW75</f>
        <v>0.14624774774774774</v>
      </c>
      <c r="MZ75" s="1092">
        <v>6</v>
      </c>
      <c r="NA75" s="1066">
        <v>188833</v>
      </c>
      <c r="NB75" s="1066">
        <v>222000</v>
      </c>
      <c r="NC75" s="1066">
        <f>NB75-NA75</f>
        <v>33167</v>
      </c>
      <c r="ND75" s="1610">
        <f>NC75/NB75</f>
        <v>0.14940090090090091</v>
      </c>
      <c r="NE75" s="1092">
        <v>6</v>
      </c>
      <c r="NF75" s="1066">
        <v>185900</v>
      </c>
      <c r="NG75" s="1066">
        <v>218300</v>
      </c>
      <c r="NH75" s="1066">
        <f>NG75-NF75</f>
        <v>32400</v>
      </c>
      <c r="NI75" s="1610">
        <f>NH75/NG75</f>
        <v>0.14841960604672469</v>
      </c>
      <c r="NJ75" s="1092">
        <v>6</v>
      </c>
      <c r="NK75" s="1066">
        <v>186663</v>
      </c>
      <c r="NL75" s="1066">
        <v>222000</v>
      </c>
      <c r="NM75" s="1066">
        <f>NL75-NK75</f>
        <v>35337</v>
      </c>
      <c r="NN75" s="1610">
        <f>NM75/NL75</f>
        <v>0.15917567567567567</v>
      </c>
      <c r="NO75" s="462">
        <v>6</v>
      </c>
      <c r="NP75" s="1089">
        <v>182842</v>
      </c>
      <c r="NQ75" s="1066">
        <v>222000</v>
      </c>
      <c r="NR75" s="1066">
        <f>NQ75-NP75</f>
        <v>39158</v>
      </c>
      <c r="NS75" s="1610">
        <f>NR75/NQ75</f>
        <v>0.17638738738738738</v>
      </c>
      <c r="NT75" s="462">
        <v>6</v>
      </c>
      <c r="NU75" s="1089">
        <v>185272</v>
      </c>
      <c r="NV75" s="1089">
        <v>222000</v>
      </c>
      <c r="NW75" s="1066">
        <f>NV75-NU75</f>
        <v>36728</v>
      </c>
      <c r="NX75" s="1610">
        <f>NW75/NV75</f>
        <v>0.16544144144144143</v>
      </c>
      <c r="NY75" s="462">
        <v>6</v>
      </c>
      <c r="NZ75" s="1089">
        <v>186902</v>
      </c>
      <c r="OA75" s="1089">
        <v>222000</v>
      </c>
      <c r="OB75" s="3617">
        <f>OA75-NZ75</f>
        <v>35098</v>
      </c>
      <c r="OC75" s="683">
        <f>OB75/OA75</f>
        <v>0.15809909909909911</v>
      </c>
      <c r="OD75" s="189">
        <v>6</v>
      </c>
      <c r="OE75" s="1089">
        <v>2228849</v>
      </c>
      <c r="OF75" s="1089">
        <v>2619228</v>
      </c>
      <c r="OG75" s="1089">
        <f>OB75+NW75+NR75+NM75+NH75+NC75+MX75+MS75+MN75+MI75+MD75+LY75</f>
        <v>389265</v>
      </c>
      <c r="OH75" s="369">
        <f>OG75/OF75</f>
        <v>0.14861821880340315</v>
      </c>
      <c r="OI75" s="1863">
        <f>(LV75+MA75+MF75)/3</f>
        <v>6</v>
      </c>
      <c r="OJ75" s="105">
        <f t="shared" ref="OJ75:OL77" si="333">LW75+MB75+MG75</f>
        <v>547180</v>
      </c>
      <c r="OK75" s="105">
        <f t="shared" si="333"/>
        <v>624928</v>
      </c>
      <c r="OL75" s="105">
        <f t="shared" si="333"/>
        <v>77748</v>
      </c>
      <c r="OM75" s="106">
        <f>OL75/OK75</f>
        <v>0.12441113216242511</v>
      </c>
      <c r="ON75" s="1089">
        <f>(MK75+MP75+MU75)/3</f>
        <v>6</v>
      </c>
      <c r="OO75" s="1089">
        <f t="shared" ref="OO75:OQ77" si="334">ML75+MQ75+MV75</f>
        <v>566371</v>
      </c>
      <c r="OP75" s="1089">
        <f t="shared" si="334"/>
        <v>666000</v>
      </c>
      <c r="OQ75" s="3618">
        <f t="shared" si="334"/>
        <v>99629</v>
      </c>
      <c r="OR75" s="203">
        <f>OQ75/OP75</f>
        <v>0.1495930930930931</v>
      </c>
      <c r="OS75" s="686">
        <f>(NJ75+NE75+MZ75)/3</f>
        <v>6</v>
      </c>
      <c r="OT75" s="146">
        <f t="shared" si="242"/>
        <v>561396</v>
      </c>
      <c r="OU75" s="146">
        <f t="shared" si="242"/>
        <v>662300</v>
      </c>
      <c r="OV75" s="1864">
        <f t="shared" si="242"/>
        <v>100904</v>
      </c>
      <c r="OW75" s="203">
        <f t="shared" si="266"/>
        <v>0.15235391816397403</v>
      </c>
      <c r="OX75" s="1698">
        <v>6</v>
      </c>
      <c r="OY75" s="1089">
        <f t="shared" ref="OY75:PA77" si="335">NP75+NU75+NZ75</f>
        <v>555016</v>
      </c>
      <c r="OZ75" s="1089">
        <f t="shared" si="335"/>
        <v>666000</v>
      </c>
      <c r="PA75" s="3618">
        <f t="shared" si="335"/>
        <v>110984</v>
      </c>
      <c r="PB75" s="106">
        <f>PA75/OZ75</f>
        <v>0.16664264264264264</v>
      </c>
      <c r="PC75" s="79"/>
      <c r="PD75" s="1606">
        <v>6</v>
      </c>
      <c r="PE75" s="1066">
        <v>165616</v>
      </c>
      <c r="PF75" s="1066">
        <v>196100</v>
      </c>
      <c r="PG75" s="105">
        <f t="shared" si="263"/>
        <v>30484</v>
      </c>
      <c r="PH75" s="365">
        <f>PG75/PF75</f>
        <v>0.15545130035696073</v>
      </c>
      <c r="PI75" s="1606">
        <v>6</v>
      </c>
      <c r="PJ75" s="1066">
        <v>172719</v>
      </c>
      <c r="PK75" s="1066">
        <v>210049</v>
      </c>
      <c r="PL75" s="105">
        <f>PK75-PJ75</f>
        <v>37330</v>
      </c>
      <c r="PM75" s="365">
        <f>PL75/PK75</f>
        <v>0.17772043666001741</v>
      </c>
      <c r="PN75" s="1606">
        <v>6</v>
      </c>
      <c r="PO75" s="1066">
        <v>165919</v>
      </c>
      <c r="PP75" s="1066">
        <v>222000</v>
      </c>
      <c r="PQ75" s="2521">
        <f>PP75-PO75</f>
        <v>56081</v>
      </c>
      <c r="PR75" s="170">
        <f>PQ75/PP75</f>
        <v>0.2526171171171171</v>
      </c>
      <c r="PS75" s="3619">
        <v>6</v>
      </c>
      <c r="PT75" s="1066">
        <v>177476</v>
      </c>
      <c r="PU75" s="1066">
        <v>222000</v>
      </c>
      <c r="PV75" s="2521">
        <f>PU75-PT75</f>
        <v>44524</v>
      </c>
      <c r="PW75" s="170">
        <f>PV75/PU75</f>
        <v>0.20055855855855856</v>
      </c>
      <c r="PX75" s="3620">
        <v>6</v>
      </c>
      <c r="PY75" s="946">
        <f>149856+3500</f>
        <v>153356</v>
      </c>
      <c r="PZ75" s="946">
        <v>222000</v>
      </c>
      <c r="QA75" s="946">
        <f>PZ75-PY75</f>
        <v>68644</v>
      </c>
      <c r="QB75" s="747">
        <f>QA75/PZ75</f>
        <v>0.30920720720720718</v>
      </c>
      <c r="QC75" s="1092">
        <v>6</v>
      </c>
      <c r="QD75" s="1066">
        <f>153439+2334</f>
        <v>155773</v>
      </c>
      <c r="QE75" s="1066">
        <v>222000</v>
      </c>
      <c r="QF75" s="1066">
        <f t="shared" si="289"/>
        <v>66227</v>
      </c>
      <c r="QG75" s="747">
        <f t="shared" ref="QG75:QG82" si="336">QF75/QE75</f>
        <v>0.29831981981981981</v>
      </c>
      <c r="QH75" s="1606">
        <v>6</v>
      </c>
      <c r="QI75" s="1066">
        <v>183868</v>
      </c>
      <c r="QJ75" s="1066">
        <v>222000</v>
      </c>
      <c r="QK75" s="1066">
        <f t="shared" ref="QK75:QK82" si="337">QJ75-QI75</f>
        <v>38132</v>
      </c>
      <c r="QL75" s="1610">
        <f t="shared" ref="QL75:QL82" si="338">QK75/QJ75</f>
        <v>0.17176576576576577</v>
      </c>
      <c r="QM75" s="2081">
        <v>6</v>
      </c>
      <c r="QN75" s="2082">
        <v>148932</v>
      </c>
      <c r="QO75" s="2082">
        <v>222000</v>
      </c>
      <c r="QP75" s="1066">
        <f t="shared" ref="QP75:QP105" si="339">QO75-QN75</f>
        <v>73068</v>
      </c>
      <c r="QQ75" s="1610">
        <f t="shared" ref="QQ75:QQ105" si="340">QP75/QO75</f>
        <v>0.32913513513513515</v>
      </c>
      <c r="QR75" s="1092">
        <v>6</v>
      </c>
      <c r="QS75" s="1066">
        <v>171892</v>
      </c>
      <c r="QT75" s="1066">
        <v>222000</v>
      </c>
      <c r="QU75" s="1066">
        <f t="shared" ref="QU75:QU89" si="341">QT75-QS75</f>
        <v>50108</v>
      </c>
      <c r="QV75" s="170">
        <f t="shared" si="317"/>
        <v>0.2257117117117117</v>
      </c>
      <c r="QW75" s="400">
        <v>6</v>
      </c>
      <c r="QX75" s="1066">
        <v>178360</v>
      </c>
      <c r="QY75" s="1066">
        <v>222000</v>
      </c>
      <c r="QZ75" s="1066">
        <f t="shared" si="318"/>
        <v>43640</v>
      </c>
      <c r="RA75" s="3621">
        <f t="shared" ref="RA75:RA82" si="342">QZ75/QY75</f>
        <v>0.19657657657657657</v>
      </c>
      <c r="RB75" s="400">
        <v>6</v>
      </c>
      <c r="RC75" s="1066">
        <v>174603</v>
      </c>
      <c r="RD75" s="1066">
        <v>215599</v>
      </c>
      <c r="RE75" s="1066">
        <f t="shared" ref="RE75:RE105" si="343">RD75-RC75</f>
        <v>40996</v>
      </c>
      <c r="RF75" s="106">
        <f t="shared" ref="RF75:RF87" si="344">RE75/RD75</f>
        <v>0.1901493049596705</v>
      </c>
      <c r="RG75" s="2072">
        <v>6</v>
      </c>
      <c r="RH75" s="208">
        <v>151867</v>
      </c>
      <c r="RI75" s="1066">
        <v>186147</v>
      </c>
      <c r="RJ75" s="3617">
        <f>RI75-RH75</f>
        <v>34280</v>
      </c>
      <c r="RK75" s="683">
        <f t="shared" ref="RK75:RK106" si="345">RJ75/RI75</f>
        <v>0.18415553299274229</v>
      </c>
      <c r="RL75" s="2928">
        <v>6</v>
      </c>
      <c r="RM75" s="2056">
        <f t="shared" ref="RM75:RO85" si="346">RH75+RC75+QX75+QS75+QN75+QI75+QD75+PY75+PT75+PO75+PJ75+PE75</f>
        <v>2000381</v>
      </c>
      <c r="RN75" s="2056">
        <f t="shared" si="346"/>
        <v>2583895</v>
      </c>
      <c r="RO75" s="2056">
        <f t="shared" si="346"/>
        <v>583514</v>
      </c>
      <c r="RP75" s="369">
        <f t="shared" ref="RP75:RP112" si="347">RO75/RN75</f>
        <v>0.22582728787353976</v>
      </c>
      <c r="RQ75" s="1863">
        <f>(PD75+PI75+PN75)/3</f>
        <v>6</v>
      </c>
      <c r="RR75" s="105">
        <f t="shared" ref="RR75:RT77" si="348">PE75+PJ75+PO75</f>
        <v>504254</v>
      </c>
      <c r="RS75" s="105">
        <f t="shared" si="348"/>
        <v>628149</v>
      </c>
      <c r="RT75" s="105">
        <f t="shared" si="348"/>
        <v>123895</v>
      </c>
      <c r="RU75" s="106">
        <f>RT75/RS75</f>
        <v>0.19723823487739373</v>
      </c>
      <c r="RV75" s="358">
        <v>6</v>
      </c>
      <c r="RW75" s="358">
        <f t="shared" ref="RW75:RY82" si="349">PT75+PY75+QD75</f>
        <v>486605</v>
      </c>
      <c r="RX75" s="358">
        <f t="shared" si="349"/>
        <v>666000</v>
      </c>
      <c r="RY75" s="359">
        <f t="shared" si="349"/>
        <v>179395</v>
      </c>
      <c r="RZ75" s="169">
        <f>RY75/RX75</f>
        <v>0.26936186186186184</v>
      </c>
      <c r="SA75" s="686">
        <v>6</v>
      </c>
      <c r="SB75" s="146">
        <f>QS75+QN75+QI75</f>
        <v>504692</v>
      </c>
      <c r="SC75" s="146">
        <f t="shared" si="250"/>
        <v>666000</v>
      </c>
      <c r="SD75" s="1864">
        <f t="shared" si="250"/>
        <v>161308</v>
      </c>
      <c r="SE75" s="203">
        <f>SD75/SC75</f>
        <v>0.24220420420420422</v>
      </c>
      <c r="SF75" s="1567">
        <v>6</v>
      </c>
      <c r="SG75" s="358">
        <f t="shared" si="319"/>
        <v>504830</v>
      </c>
      <c r="SH75" s="358">
        <f t="shared" si="319"/>
        <v>623746</v>
      </c>
      <c r="SI75" s="359">
        <f t="shared" si="319"/>
        <v>118916</v>
      </c>
      <c r="SJ75" s="114">
        <f t="shared" si="294"/>
        <v>0.19064811638070625</v>
      </c>
      <c r="SL75" s="439">
        <v>3</v>
      </c>
      <c r="SM75" s="208">
        <v>93147</v>
      </c>
      <c r="SN75" s="208">
        <v>111000</v>
      </c>
      <c r="SO75" s="96">
        <f t="shared" si="264"/>
        <v>17853</v>
      </c>
      <c r="SP75" s="78">
        <f>SO75/SN75</f>
        <v>0.16083783783783784</v>
      </c>
      <c r="SQ75" s="405"/>
      <c r="SR75" s="1575"/>
      <c r="SS75" s="1575"/>
      <c r="ST75" s="3523">
        <f t="shared" si="320"/>
        <v>0</v>
      </c>
      <c r="SU75" s="3622" t="s">
        <v>68</v>
      </c>
      <c r="SV75" s="439"/>
      <c r="SW75" s="208"/>
      <c r="SX75" s="208"/>
      <c r="SY75" s="371">
        <f t="shared" si="321"/>
        <v>0</v>
      </c>
      <c r="SZ75" s="157"/>
      <c r="TA75" s="1574"/>
      <c r="TB75" s="208"/>
      <c r="TC75" s="994"/>
      <c r="TD75" s="96">
        <f t="shared" si="280"/>
        <v>0</v>
      </c>
      <c r="TE75" s="4435">
        <v>0</v>
      </c>
      <c r="TF75" s="3619"/>
      <c r="TG75" s="1066"/>
      <c r="TH75" s="1066"/>
      <c r="TI75" s="1066">
        <f t="shared" ref="TI75:TI88" si="350">TH75-TG75</f>
        <v>0</v>
      </c>
      <c r="TJ75" s="106"/>
      <c r="TK75" s="209"/>
      <c r="TL75" s="208"/>
      <c r="TM75" s="208"/>
      <c r="TN75" s="4101">
        <f t="shared" ref="TN75:TN95" si="351">TM75-TL75</f>
        <v>0</v>
      </c>
      <c r="TO75" s="114">
        <v>0</v>
      </c>
      <c r="TP75" s="4432"/>
      <c r="TQ75" s="208">
        <v>0</v>
      </c>
      <c r="TR75" s="208">
        <v>0</v>
      </c>
      <c r="TS75" s="994">
        <f t="shared" ref="TS75:TS121" si="352">TR75-TQ75</f>
        <v>0</v>
      </c>
      <c r="TT75" s="2155">
        <v>0</v>
      </c>
      <c r="TU75" s="4931"/>
      <c r="TV75" s="4932">
        <v>0</v>
      </c>
      <c r="TW75" s="4932">
        <v>0</v>
      </c>
      <c r="TX75" s="1575">
        <f t="shared" ref="TX75:TX97" si="353">TW75-TV75</f>
        <v>0</v>
      </c>
      <c r="TY75" s="3868">
        <v>0</v>
      </c>
      <c r="TZ75" s="1868"/>
      <c r="UA75" s="1575">
        <v>0</v>
      </c>
      <c r="UB75" s="1575">
        <v>0</v>
      </c>
      <c r="UC75" s="2552">
        <f t="shared" ref="UC75:UC96" si="354">UB75-UA75</f>
        <v>0</v>
      </c>
      <c r="UD75" s="5261">
        <v>0</v>
      </c>
      <c r="UE75" s="6498"/>
      <c r="UF75" s="1575">
        <v>0</v>
      </c>
      <c r="UG75" s="1575">
        <v>0</v>
      </c>
      <c r="UH75" s="1575">
        <f t="shared" si="322"/>
        <v>0</v>
      </c>
      <c r="UI75" s="6499">
        <v>0</v>
      </c>
      <c r="UJ75" s="156"/>
      <c r="UK75" s="208"/>
      <c r="UL75" s="208"/>
      <c r="UM75" s="208">
        <f t="shared" ref="UM75:UM89" si="355">UL75-UK75</f>
        <v>0</v>
      </c>
      <c r="UN75" s="114" t="e">
        <f t="shared" ref="UN75:UN80" si="356">UM75/UL75</f>
        <v>#DIV/0!</v>
      </c>
      <c r="UO75" s="1567"/>
      <c r="UP75" s="1568"/>
      <c r="UQ75" s="1568"/>
      <c r="UR75" s="2012">
        <f t="shared" si="323"/>
        <v>0</v>
      </c>
      <c r="US75" s="2079" t="e">
        <f t="shared" ref="US75:US80" si="357">UR75/UQ75</f>
        <v>#DIV/0!</v>
      </c>
      <c r="UT75" s="1567"/>
      <c r="UU75" s="358">
        <f t="shared" si="78"/>
        <v>93147</v>
      </c>
      <c r="UV75" s="358">
        <f t="shared" si="78"/>
        <v>111000</v>
      </c>
      <c r="UW75" s="358">
        <f t="shared" si="78"/>
        <v>17853</v>
      </c>
      <c r="UX75" s="220">
        <f t="shared" ref="UX75:UX119" si="358">UW75/UV75</f>
        <v>0.16083783783783784</v>
      </c>
      <c r="UY75" s="1863">
        <f t="shared" si="324"/>
        <v>1</v>
      </c>
      <c r="UZ75" s="105">
        <f t="shared" ref="UZ75:VB90" si="359">SM75+SR75+SW75</f>
        <v>93147</v>
      </c>
      <c r="VA75" s="105">
        <f t="shared" si="359"/>
        <v>111000</v>
      </c>
      <c r="VB75" s="105">
        <f t="shared" si="359"/>
        <v>17853</v>
      </c>
      <c r="VC75" s="106">
        <f t="shared" si="325"/>
        <v>0.16083783783783784</v>
      </c>
      <c r="VD75" s="358"/>
      <c r="VE75" s="358">
        <f t="shared" si="326"/>
        <v>0</v>
      </c>
      <c r="VF75" s="358">
        <f t="shared" si="326"/>
        <v>0</v>
      </c>
      <c r="VG75" s="359">
        <f t="shared" si="326"/>
        <v>0</v>
      </c>
      <c r="VH75" s="169" t="e">
        <f>VG75/VF75</f>
        <v>#DIV/0!</v>
      </c>
      <c r="VI75" s="686">
        <v>0</v>
      </c>
      <c r="VJ75" s="146">
        <f>UA75+TV75+TQ75</f>
        <v>0</v>
      </c>
      <c r="VK75" s="146">
        <f t="shared" ref="VK75:VL94" si="360">UB75+TW75+TR75</f>
        <v>0</v>
      </c>
      <c r="VL75" s="1864">
        <f t="shared" si="360"/>
        <v>0</v>
      </c>
      <c r="VM75" s="203" t="e">
        <f t="shared" si="268"/>
        <v>#DIV/0!</v>
      </c>
      <c r="VN75" s="1567"/>
      <c r="VO75" s="358">
        <f>UF75+UK75+UP75</f>
        <v>0</v>
      </c>
      <c r="VP75" s="358">
        <f t="shared" ref="VP75:VQ126" si="361">UG75+UL75+UQ75</f>
        <v>0</v>
      </c>
      <c r="VQ75" s="359">
        <f t="shared" si="361"/>
        <v>0</v>
      </c>
      <c r="VR75" s="114" t="e">
        <f t="shared" si="300"/>
        <v>#DIV/0!</v>
      </c>
    </row>
    <row r="76" spans="1:590" ht="13.45" x14ac:dyDescent="0.3">
      <c r="A76" s="63"/>
      <c r="B76" s="1773" t="s">
        <v>53</v>
      </c>
      <c r="C76" s="1774" t="s">
        <v>64</v>
      </c>
      <c r="D76" s="2016" t="s">
        <v>65</v>
      </c>
      <c r="E76" s="2017">
        <v>45627</v>
      </c>
      <c r="F76" s="2062">
        <v>45980</v>
      </c>
      <c r="G76" s="2018">
        <v>28093.33</v>
      </c>
      <c r="H76" s="1775"/>
      <c r="I76" s="1776"/>
      <c r="J76" s="1776"/>
      <c r="K76" s="1776"/>
      <c r="L76" s="1777"/>
      <c r="M76" s="1778"/>
      <c r="N76" s="1779"/>
      <c r="O76" s="1779"/>
      <c r="P76" s="1779"/>
      <c r="Q76" s="1780"/>
      <c r="R76" s="1780"/>
      <c r="S76" s="1776"/>
      <c r="T76" s="1776"/>
      <c r="U76" s="1776"/>
      <c r="V76" s="1777"/>
      <c r="W76" s="1776"/>
      <c r="X76" s="1776"/>
      <c r="Y76" s="1781"/>
      <c r="Z76" s="1776"/>
      <c r="AA76" s="1782"/>
      <c r="AB76" s="1781"/>
      <c r="AC76" s="1783"/>
      <c r="AD76" s="1784"/>
      <c r="AE76" s="1776"/>
      <c r="AF76" s="1777"/>
      <c r="AG76" s="1785"/>
      <c r="AH76" s="1776"/>
      <c r="AI76" s="1776"/>
      <c r="AJ76" s="1786"/>
      <c r="AK76" s="1777"/>
      <c r="AL76" s="1785"/>
      <c r="AM76" s="1776"/>
      <c r="AN76" s="1776"/>
      <c r="AO76" s="1781"/>
      <c r="AP76" s="1777"/>
      <c r="AQ76" s="1787"/>
      <c r="AR76" s="1788"/>
      <c r="AS76" s="1788"/>
      <c r="AT76" s="1789"/>
      <c r="AU76" s="1777"/>
      <c r="AV76" s="1790"/>
      <c r="AW76" s="1781"/>
      <c r="AX76" s="1781"/>
      <c r="AY76" s="1781"/>
      <c r="AZ76" s="1777"/>
      <c r="BA76" s="1791"/>
      <c r="BB76" s="1792"/>
      <c r="BC76" s="1783"/>
      <c r="BD76" s="1781"/>
      <c r="BE76" s="1780"/>
      <c r="BF76" s="1790"/>
      <c r="BG76" s="1781"/>
      <c r="BH76" s="1776"/>
      <c r="BI76" s="1781"/>
      <c r="BJ76" s="1793"/>
      <c r="BK76" s="1790"/>
      <c r="BL76" s="1781"/>
      <c r="BM76" s="1776"/>
      <c r="BN76" s="1781"/>
      <c r="BO76" s="1794"/>
      <c r="BP76" s="1795"/>
      <c r="BQ76" s="1796"/>
      <c r="BR76" s="1786"/>
      <c r="BS76" s="1797"/>
      <c r="BT76" s="1798"/>
      <c r="BU76" s="1786"/>
      <c r="BV76" s="1786"/>
      <c r="BW76" s="1799"/>
      <c r="BX76" s="1800"/>
      <c r="BY76" s="1786"/>
      <c r="BZ76" s="1786"/>
      <c r="CA76" s="1801"/>
      <c r="CB76" s="1802"/>
      <c r="CC76" s="1786"/>
      <c r="CD76" s="1786"/>
      <c r="CE76" s="1803"/>
      <c r="CF76" s="1800"/>
      <c r="CG76" s="1776"/>
      <c r="CH76" s="1776"/>
      <c r="CI76" s="1801"/>
      <c r="CJ76" s="1804"/>
      <c r="CK76" s="1776"/>
      <c r="CL76" s="1776"/>
      <c r="CM76" s="1776"/>
      <c r="CN76" s="1799"/>
      <c r="CO76" s="1804"/>
      <c r="CP76" s="1776"/>
      <c r="CQ76" s="1776"/>
      <c r="CR76" s="1776"/>
      <c r="CS76" s="1799"/>
      <c r="CT76" s="1804"/>
      <c r="CU76" s="1776"/>
      <c r="CV76" s="1776"/>
      <c r="CW76" s="1776"/>
      <c r="CX76" s="1799"/>
      <c r="CY76" s="1804"/>
      <c r="CZ76" s="1776"/>
      <c r="DA76" s="1776"/>
      <c r="DB76" s="1776"/>
      <c r="DC76" s="1799"/>
      <c r="DD76" s="1805"/>
      <c r="DE76" s="1806"/>
      <c r="DF76" s="1806"/>
      <c r="DG76" s="1783"/>
      <c r="DH76" s="1807"/>
      <c r="DI76" s="1804"/>
      <c r="DJ76" s="1806"/>
      <c r="DK76" s="1806"/>
      <c r="DL76" s="1776"/>
      <c r="DM76" s="1807"/>
      <c r="DN76" s="1804"/>
      <c r="DO76" s="1776"/>
      <c r="DP76" s="1776"/>
      <c r="DQ76" s="1776"/>
      <c r="DR76" s="1807"/>
      <c r="DS76" s="1808"/>
      <c r="DT76" s="1783"/>
      <c r="DU76" s="1783"/>
      <c r="DV76" s="1776"/>
      <c r="DW76" s="1799"/>
      <c r="DX76" s="1804"/>
      <c r="DY76" s="1776"/>
      <c r="DZ76" s="1776"/>
      <c r="EA76" s="1776"/>
      <c r="EB76" s="1807"/>
      <c r="EC76" s="1804"/>
      <c r="ED76" s="1776"/>
      <c r="EE76" s="1776"/>
      <c r="EF76" s="1786"/>
      <c r="EG76" s="1807"/>
      <c r="EH76" s="1804"/>
      <c r="EI76" s="1776"/>
      <c r="EJ76" s="1776"/>
      <c r="EK76" s="1776"/>
      <c r="EL76" s="1807"/>
      <c r="EM76" s="1804"/>
      <c r="EN76" s="1776"/>
      <c r="EO76" s="1776"/>
      <c r="EP76" s="1776"/>
      <c r="EQ76" s="1807"/>
      <c r="ER76" s="1713">
        <f t="shared" si="327"/>
        <v>0</v>
      </c>
      <c r="ES76" s="1714">
        <f t="shared" si="146"/>
        <v>0</v>
      </c>
      <c r="ET76" s="1714">
        <f t="shared" si="146"/>
        <v>0</v>
      </c>
      <c r="EU76" s="1714">
        <f t="shared" si="146"/>
        <v>0</v>
      </c>
      <c r="EV76" s="1715" t="e">
        <f t="shared" si="328"/>
        <v>#DIV/0!</v>
      </c>
      <c r="EW76" s="1809"/>
      <c r="EX76" s="1810"/>
      <c r="EY76" s="1810"/>
      <c r="EZ76" s="1811"/>
      <c r="FA76" s="1812"/>
      <c r="FB76" s="1810"/>
      <c r="FC76" s="1810"/>
      <c r="FD76" s="1813"/>
      <c r="FE76" s="1814"/>
      <c r="FF76" s="1786"/>
      <c r="FG76" s="1786"/>
      <c r="FH76" s="1815"/>
      <c r="FI76" s="1816"/>
      <c r="FJ76" s="1814"/>
      <c r="FK76" s="1786"/>
      <c r="FL76" s="1786"/>
      <c r="FM76" s="1799"/>
      <c r="FN76" s="1817"/>
      <c r="FO76" s="1818"/>
      <c r="FP76" s="1818"/>
      <c r="FQ76" s="1818"/>
      <c r="FR76" s="1819"/>
      <c r="FS76" s="1820"/>
      <c r="FT76" s="1818"/>
      <c r="FU76" s="1818"/>
      <c r="FV76" s="1818"/>
      <c r="FW76" s="1821"/>
      <c r="FX76" s="1820"/>
      <c r="FY76" s="1822"/>
      <c r="FZ76" s="1822"/>
      <c r="GA76" s="1818"/>
      <c r="GB76" s="1821"/>
      <c r="GC76" s="1823"/>
      <c r="GD76" s="1824"/>
      <c r="GE76" s="1824"/>
      <c r="GF76" s="1825"/>
      <c r="GG76" s="1821"/>
      <c r="GH76" s="1823"/>
      <c r="GI76" s="1824"/>
      <c r="GJ76" s="1824"/>
      <c r="GK76" s="1818"/>
      <c r="GL76" s="1821"/>
      <c r="GM76" s="1823"/>
      <c r="GN76" s="1824"/>
      <c r="GO76" s="1824"/>
      <c r="GP76" s="1818"/>
      <c r="GQ76" s="1821"/>
      <c r="GR76" s="1823"/>
      <c r="GS76" s="1824"/>
      <c r="GT76" s="1824"/>
      <c r="GU76" s="1818"/>
      <c r="GV76" s="1821"/>
      <c r="GW76" s="1823"/>
      <c r="GX76" s="1824"/>
      <c r="GY76" s="1824"/>
      <c r="GZ76" s="1818"/>
      <c r="HA76" s="1821"/>
      <c r="HB76" s="1823">
        <v>1</v>
      </c>
      <c r="HC76" s="1824">
        <v>21214</v>
      </c>
      <c r="HD76" s="1824">
        <v>28093.33</v>
      </c>
      <c r="HE76" s="1818">
        <f>HD76-HC76</f>
        <v>6879.3300000000017</v>
      </c>
      <c r="HF76" s="1821">
        <f>HE76/HD76</f>
        <v>0.24487413916399378</v>
      </c>
      <c r="HG76" s="1823">
        <v>1</v>
      </c>
      <c r="HH76" s="1824">
        <v>27400</v>
      </c>
      <c r="HI76" s="1824">
        <v>28093.33</v>
      </c>
      <c r="HJ76" s="1818">
        <f>HI76-HH76</f>
        <v>693.33000000000175</v>
      </c>
      <c r="HK76" s="1821">
        <f>HJ76/HI76</f>
        <v>2.4679523573745147E-2</v>
      </c>
      <c r="HL76" s="1823">
        <v>1</v>
      </c>
      <c r="HM76" s="1824">
        <v>24465</v>
      </c>
      <c r="HN76" s="1824">
        <v>28093.33</v>
      </c>
      <c r="HO76" s="1818">
        <f>HN76-HM76</f>
        <v>3628.3300000000017</v>
      </c>
      <c r="HP76" s="1821">
        <f>HO76/HN76</f>
        <v>0.12915272059239691</v>
      </c>
      <c r="HQ76" s="654"/>
      <c r="HR76" s="1248">
        <v>0</v>
      </c>
      <c r="HS76" s="1248">
        <v>0</v>
      </c>
      <c r="HT76" s="1248">
        <f>HS76-HR76</f>
        <v>0</v>
      </c>
      <c r="HU76" s="1826"/>
      <c r="HV76" s="1827">
        <f t="shared" si="155"/>
        <v>0.25</v>
      </c>
      <c r="HW76" s="1089">
        <f t="shared" si="156"/>
        <v>73079</v>
      </c>
      <c r="HX76" s="1089">
        <f t="shared" si="156"/>
        <v>84279.99</v>
      </c>
      <c r="HY76" s="1089">
        <f t="shared" si="156"/>
        <v>11200.990000000005</v>
      </c>
      <c r="HZ76" s="1828"/>
      <c r="IA76" s="1829"/>
      <c r="IB76" s="1830"/>
      <c r="IC76" s="1830"/>
      <c r="ID76" s="1831"/>
      <c r="IE76" s="1832"/>
      <c r="IF76" s="1833"/>
      <c r="IG76" s="1834"/>
      <c r="IH76" s="1831"/>
      <c r="II76" s="1835"/>
      <c r="IJ76" s="1836"/>
      <c r="IK76" s="1836"/>
      <c r="IL76" s="239"/>
      <c r="IM76" s="1837">
        <f>(HB76+HG76+HL76)/3</f>
        <v>1</v>
      </c>
      <c r="IN76" s="1836">
        <f t="shared" si="315"/>
        <v>56186.66</v>
      </c>
      <c r="IO76" s="1836">
        <f t="shared" si="315"/>
        <v>4321.6600000000035</v>
      </c>
      <c r="IP76" s="1838">
        <f>IO76/IN76</f>
        <v>7.6916122083071026E-2</v>
      </c>
      <c r="IQ76" s="1839"/>
      <c r="IR76" s="1840">
        <v>1</v>
      </c>
      <c r="IS76" s="1818">
        <v>21219</v>
      </c>
      <c r="IT76" s="1818">
        <v>21631.86</v>
      </c>
      <c r="IU76" s="1818">
        <f>IT76-IS76</f>
        <v>412.86000000000058</v>
      </c>
      <c r="IV76" s="1819">
        <f>IU76/IT76</f>
        <v>1.908573742618529E-2</v>
      </c>
      <c r="IW76" s="1820">
        <v>1</v>
      </c>
      <c r="IX76" s="1818">
        <v>26596</v>
      </c>
      <c r="IY76" s="1719">
        <v>28093.33</v>
      </c>
      <c r="IZ76" s="1719">
        <f>IY76-IX76</f>
        <v>1497.3300000000017</v>
      </c>
      <c r="JA76" s="1721">
        <f>IZ76/IY76</f>
        <v>5.3298416385668825E-2</v>
      </c>
      <c r="JB76" s="1757">
        <v>1</v>
      </c>
      <c r="JC76" s="1841">
        <v>27000</v>
      </c>
      <c r="JD76" s="1842">
        <v>28093.33</v>
      </c>
      <c r="JE76" s="1719">
        <f>JD76-JC76</f>
        <v>1093.3300000000017</v>
      </c>
      <c r="JF76" s="1721">
        <f>JE76/JD76</f>
        <v>3.8917778704055432E-2</v>
      </c>
      <c r="JG76" s="1758">
        <v>1</v>
      </c>
      <c r="JH76" s="1096">
        <v>25789</v>
      </c>
      <c r="JI76" s="1096">
        <v>28093.33</v>
      </c>
      <c r="JJ76" s="1756">
        <f>JI76-JH76</f>
        <v>2304.3300000000017</v>
      </c>
      <c r="JK76" s="1721">
        <f>JJ76/JI76</f>
        <v>8.2024096111069839E-2</v>
      </c>
      <c r="JL76" s="1722">
        <v>1</v>
      </c>
      <c r="JM76" s="1096">
        <v>26192</v>
      </c>
      <c r="JN76" s="1096">
        <v>28093.33</v>
      </c>
      <c r="JO76" s="1845">
        <f>JN76-JM76</f>
        <v>1901.3300000000017</v>
      </c>
      <c r="JP76" s="1721">
        <f>JO76/JN76</f>
        <v>6.7679054067282224E-2</v>
      </c>
      <c r="JQ76" s="1844">
        <v>1</v>
      </c>
      <c r="JR76" s="972">
        <v>23661</v>
      </c>
      <c r="JS76" s="264">
        <v>28093.33</v>
      </c>
      <c r="JT76" s="1845">
        <f>JS76-JR76</f>
        <v>4432.3300000000017</v>
      </c>
      <c r="JU76" s="1721">
        <f>JT76/JS76</f>
        <v>0.15777161340432058</v>
      </c>
      <c r="JV76" s="1758">
        <v>1</v>
      </c>
      <c r="JW76" s="1096">
        <v>27000</v>
      </c>
      <c r="JX76" s="264">
        <v>28093.33</v>
      </c>
      <c r="JY76" s="1845">
        <f>JX76-JW76</f>
        <v>1093.3300000000017</v>
      </c>
      <c r="JZ76" s="1721">
        <f>JY76/JX76</f>
        <v>3.8917778704055432E-2</v>
      </c>
      <c r="KA76" s="1758">
        <v>1</v>
      </c>
      <c r="KB76" s="264">
        <v>25330</v>
      </c>
      <c r="KC76" s="972">
        <f>19143.6+10395</f>
        <v>29538.6</v>
      </c>
      <c r="KD76" s="964">
        <f>KC76-KB76</f>
        <v>4208.5999999999985</v>
      </c>
      <c r="KE76" s="1848">
        <f>KD76/KC76</f>
        <v>0.14247797796781156</v>
      </c>
      <c r="KF76" s="1849">
        <v>1</v>
      </c>
      <c r="KG76" s="1850">
        <v>21343</v>
      </c>
      <c r="KH76" s="1850">
        <v>28093.33</v>
      </c>
      <c r="KI76" s="1719">
        <f>KH76-KG76</f>
        <v>6750.3300000000017</v>
      </c>
      <c r="KJ76" s="1721">
        <f>KI76/KH76</f>
        <v>0.2402823018844687</v>
      </c>
      <c r="KK76" s="1849">
        <v>1</v>
      </c>
      <c r="KL76" s="1850">
        <v>27000</v>
      </c>
      <c r="KM76" s="1850">
        <v>28093.33</v>
      </c>
      <c r="KN76" s="1851">
        <f>KM76-KL76</f>
        <v>1093.3300000000017</v>
      </c>
      <c r="KO76" s="1852">
        <f>KN76/KM76</f>
        <v>3.8917778704055432E-2</v>
      </c>
      <c r="KP76" s="1722">
        <v>1</v>
      </c>
      <c r="KQ76" s="972">
        <v>27000</v>
      </c>
      <c r="KR76" s="264">
        <v>30387</v>
      </c>
      <c r="KS76" s="1845">
        <f>KR76-KQ76</f>
        <v>3387</v>
      </c>
      <c r="KT76" s="1720">
        <f>KS76/KR76</f>
        <v>0.11146213841445354</v>
      </c>
      <c r="KU76" s="1853">
        <v>1</v>
      </c>
      <c r="KV76" s="264">
        <v>19641</v>
      </c>
      <c r="KW76" s="264">
        <v>28093.33</v>
      </c>
      <c r="KX76" s="264">
        <f>KW76-KV76</f>
        <v>8452.3300000000017</v>
      </c>
      <c r="KY76" s="75">
        <f>KX76/KW76</f>
        <v>0.30086607746393901</v>
      </c>
      <c r="KZ76" s="1857">
        <v>1</v>
      </c>
      <c r="LA76" s="358">
        <f t="shared" si="316"/>
        <v>297771</v>
      </c>
      <c r="LB76" s="358">
        <f t="shared" si="316"/>
        <v>334397.43000000005</v>
      </c>
      <c r="LC76" s="358">
        <f t="shared" si="316"/>
        <v>36626.430000000015</v>
      </c>
      <c r="LD76" s="151">
        <f>LC76/LB76</f>
        <v>0.10952963962671605</v>
      </c>
      <c r="LE76" s="1854">
        <f>(IR76+IW76+JB76)/3</f>
        <v>1</v>
      </c>
      <c r="LF76" s="1855">
        <f t="shared" si="329"/>
        <v>77818.52</v>
      </c>
      <c r="LG76" s="1855">
        <f t="shared" si="329"/>
        <v>3003.5200000000041</v>
      </c>
      <c r="LH76" s="1856">
        <f>LG76/LF76</f>
        <v>3.8596467781705487E-2</v>
      </c>
      <c r="LI76" s="1857">
        <f>(JG76+JL76+JQ76)/3</f>
        <v>1</v>
      </c>
      <c r="LJ76" s="1858">
        <f t="shared" si="330"/>
        <v>84279.99</v>
      </c>
      <c r="LK76" s="1854">
        <f t="shared" si="330"/>
        <v>8637.9900000000052</v>
      </c>
      <c r="LL76" s="1856">
        <f>LK76/LJ76</f>
        <v>0.10249158786089088</v>
      </c>
      <c r="LM76" s="1859">
        <f>(JV76+KA76+KF76)/3</f>
        <v>1</v>
      </c>
      <c r="LN76" s="1727">
        <f t="shared" si="331"/>
        <v>85725.260000000009</v>
      </c>
      <c r="LO76" s="1727">
        <f t="shared" si="331"/>
        <v>12052.260000000002</v>
      </c>
      <c r="LP76" s="151">
        <f>LO76/LN76</f>
        <v>0.14059169957606429</v>
      </c>
      <c r="LQ76" s="1860">
        <f>(KK76+KP76+KU76)/3</f>
        <v>1</v>
      </c>
      <c r="LR76" s="1727">
        <f t="shared" si="332"/>
        <v>86573.66</v>
      </c>
      <c r="LS76" s="1727">
        <f t="shared" si="332"/>
        <v>12932.660000000003</v>
      </c>
      <c r="LT76" s="1861">
        <f>LS76/LR76</f>
        <v>0.14938331127504606</v>
      </c>
      <c r="LV76" s="439">
        <v>1</v>
      </c>
      <c r="LW76" s="208">
        <v>25330</v>
      </c>
      <c r="LX76" s="208">
        <v>28093.33</v>
      </c>
      <c r="LY76" s="96">
        <f>LX76-LW76</f>
        <v>2763.3300000000017</v>
      </c>
      <c r="LZ76" s="78">
        <f>LY76/LX76</f>
        <v>9.8362493873100892E-2</v>
      </c>
      <c r="MA76" s="1862">
        <v>1</v>
      </c>
      <c r="MB76" s="265">
        <v>22960</v>
      </c>
      <c r="MC76" s="265">
        <v>28093.33</v>
      </c>
      <c r="MD76" s="371">
        <f>MC76-MB76</f>
        <v>5133.3300000000017</v>
      </c>
      <c r="ME76" s="157">
        <f>MD76/MC76</f>
        <v>0.18272415552018936</v>
      </c>
      <c r="MF76" s="439">
        <v>1</v>
      </c>
      <c r="MG76" s="208">
        <v>24495</v>
      </c>
      <c r="MH76" s="208">
        <v>30386.67</v>
      </c>
      <c r="MI76" s="371">
        <f>MH76-MG76</f>
        <v>5891.6699999999983</v>
      </c>
      <c r="MJ76" s="157">
        <f>MI76/MH76</f>
        <v>0.19388995240347159</v>
      </c>
      <c r="MK76" s="354">
        <v>1</v>
      </c>
      <c r="ML76" s="208">
        <v>17383.548387096773</v>
      </c>
      <c r="MM76" s="208">
        <v>28093.33</v>
      </c>
      <c r="MN76" s="371">
        <f>MM76-ML76</f>
        <v>10709.781612903229</v>
      </c>
      <c r="MO76" s="157">
        <f>MN76/MM76</f>
        <v>0.38122150748605554</v>
      </c>
      <c r="MP76" s="1579">
        <v>1</v>
      </c>
      <c r="MQ76" s="264">
        <v>25000</v>
      </c>
      <c r="MR76" s="264">
        <v>28093.33</v>
      </c>
      <c r="MS76" s="264">
        <f>MR76-MQ76</f>
        <v>3093.3300000000017</v>
      </c>
      <c r="MT76" s="597">
        <f>MS76/MR76</f>
        <v>0.11010905435560689</v>
      </c>
      <c r="MU76" s="209">
        <v>1</v>
      </c>
      <c r="MV76" s="208">
        <v>25000</v>
      </c>
      <c r="MW76" s="208">
        <v>28093.33</v>
      </c>
      <c r="MX76" s="208">
        <f>MW76-MV76</f>
        <v>3093.3300000000017</v>
      </c>
      <c r="MY76" s="597">
        <f>MX76/MW76</f>
        <v>0.11010905435560689</v>
      </c>
      <c r="MZ76" s="209">
        <v>1</v>
      </c>
      <c r="NA76" s="208">
        <v>25000</v>
      </c>
      <c r="NB76" s="208">
        <v>30386.67</v>
      </c>
      <c r="NC76" s="208">
        <f>NB76-NA76</f>
        <v>5386.6699999999983</v>
      </c>
      <c r="ND76" s="1313">
        <f>NC76/NB76</f>
        <v>0.17727082302865035</v>
      </c>
      <c r="NE76" s="209">
        <v>1</v>
      </c>
      <c r="NF76" s="208">
        <v>25000</v>
      </c>
      <c r="NG76" s="208">
        <v>30386.67</v>
      </c>
      <c r="NH76" s="208">
        <f>NG76-NF76</f>
        <v>5386.6699999999983</v>
      </c>
      <c r="NI76" s="1313">
        <f>NH76/NG76</f>
        <v>0.17727082302865035</v>
      </c>
      <c r="NJ76" s="209">
        <v>1</v>
      </c>
      <c r="NK76" s="208">
        <v>25000</v>
      </c>
      <c r="NL76" s="208">
        <v>28065.24</v>
      </c>
      <c r="NM76" s="208">
        <f>NL76-NK76</f>
        <v>3065.2400000000016</v>
      </c>
      <c r="NN76" s="1313">
        <f>NM76/NL76</f>
        <v>0.10921837832136841</v>
      </c>
      <c r="NO76" s="402">
        <v>1</v>
      </c>
      <c r="NP76" s="358">
        <v>25000</v>
      </c>
      <c r="NQ76" s="359">
        <v>28065.23</v>
      </c>
      <c r="NR76" s="208">
        <f>NQ76-NP76</f>
        <v>3065.2299999999996</v>
      </c>
      <c r="NS76" s="1313">
        <f>NR76/NQ76</f>
        <v>0.10921806092449624</v>
      </c>
      <c r="NT76" s="402">
        <v>1</v>
      </c>
      <c r="NU76" s="149">
        <v>25000</v>
      </c>
      <c r="NV76" s="358">
        <v>28065.23</v>
      </c>
      <c r="NW76" s="208">
        <f>NV76-NU76</f>
        <v>3065.2299999999996</v>
      </c>
      <c r="NX76" s="1313">
        <f>NW76/NV76</f>
        <v>0.10921806092449624</v>
      </c>
      <c r="NY76" s="402">
        <v>1</v>
      </c>
      <c r="NZ76" s="358">
        <v>25000</v>
      </c>
      <c r="OA76" s="358">
        <v>28065.4</v>
      </c>
      <c r="OB76" s="622">
        <f>OA76-NZ76</f>
        <v>3065.4000000000015</v>
      </c>
      <c r="OC76" s="116">
        <f>OB76/OA76</f>
        <v>0.10922345664056102</v>
      </c>
      <c r="OD76" s="191">
        <v>1</v>
      </c>
      <c r="OE76" s="358">
        <f>NZ76+NU76+NP76+NK76+NF76+NA76+MV76+MQ76+ML76+MG76+MB76+LW76</f>
        <v>290168.54838709679</v>
      </c>
      <c r="OF76" s="358">
        <f>OA76+NV76+NQ76+NL76+NG76+NB76+MW76+MR76+MM76+MH76+MC76+LX76</f>
        <v>343887.76000000007</v>
      </c>
      <c r="OG76" s="358">
        <f>OB76+NW76+NR76+NM76+NH76+NC76+MX76+MS76+MN76+MI76+MD76+LY76</f>
        <v>53719.211612903237</v>
      </c>
      <c r="OH76" s="220">
        <f>OG76/OF76</f>
        <v>0.15621146740699124</v>
      </c>
      <c r="OI76" s="1863">
        <f>(LV76+MA76+MF76)/3</f>
        <v>1</v>
      </c>
      <c r="OJ76" s="105">
        <f t="shared" si="333"/>
        <v>72785</v>
      </c>
      <c r="OK76" s="105">
        <f t="shared" si="333"/>
        <v>86573.33</v>
      </c>
      <c r="OL76" s="105">
        <f t="shared" si="333"/>
        <v>13788.330000000002</v>
      </c>
      <c r="OM76" s="106">
        <f>OL76/OK76</f>
        <v>0.15926764050776379</v>
      </c>
      <c r="ON76" s="358">
        <f>(MK76+MP76+MU76)/3</f>
        <v>1</v>
      </c>
      <c r="OO76" s="358">
        <f t="shared" si="334"/>
        <v>67383.548387096773</v>
      </c>
      <c r="OP76" s="358">
        <f t="shared" si="334"/>
        <v>84279.99</v>
      </c>
      <c r="OQ76" s="359">
        <f t="shared" si="334"/>
        <v>16896.441612903232</v>
      </c>
      <c r="OR76" s="169">
        <f>OQ76/OP76</f>
        <v>0.20047987206575643</v>
      </c>
      <c r="OS76" s="686">
        <f>(NJ76+NE76+MZ76)/3</f>
        <v>1</v>
      </c>
      <c r="OT76" s="146">
        <f t="shared" si="242"/>
        <v>75000</v>
      </c>
      <c r="OU76" s="146">
        <f t="shared" si="242"/>
        <v>88838.58</v>
      </c>
      <c r="OV76" s="1864">
        <f t="shared" si="242"/>
        <v>13838.579999999998</v>
      </c>
      <c r="OW76" s="203">
        <f t="shared" si="266"/>
        <v>0.15577218816419622</v>
      </c>
      <c r="OX76" s="357">
        <v>1</v>
      </c>
      <c r="OY76" s="358">
        <f t="shared" si="335"/>
        <v>75000</v>
      </c>
      <c r="OZ76" s="358">
        <f t="shared" si="335"/>
        <v>84195.86</v>
      </c>
      <c r="PA76" s="359">
        <f t="shared" si="335"/>
        <v>9195.86</v>
      </c>
      <c r="PB76" s="114">
        <f>PA76/OZ76</f>
        <v>0.10921985950378084</v>
      </c>
      <c r="PC76" s="79"/>
      <c r="PD76" s="439">
        <v>1</v>
      </c>
      <c r="PE76" s="208">
        <v>25000</v>
      </c>
      <c r="PF76" s="208">
        <v>28065.24</v>
      </c>
      <c r="PG76" s="96">
        <f t="shared" si="263"/>
        <v>3065.2400000000016</v>
      </c>
      <c r="PH76" s="78">
        <f>PG76/PF76</f>
        <v>0.10921837832136841</v>
      </c>
      <c r="PI76" s="439">
        <v>1</v>
      </c>
      <c r="PJ76" s="208">
        <v>25000</v>
      </c>
      <c r="PK76" s="208">
        <v>28065.237959999999</v>
      </c>
      <c r="PL76" s="96">
        <f>PK76-PJ76</f>
        <v>3065.2379599999986</v>
      </c>
      <c r="PM76" s="78">
        <f>PL76/PK76</f>
        <v>0.10921831357242477</v>
      </c>
      <c r="PN76" s="439">
        <v>1</v>
      </c>
      <c r="PO76" s="208">
        <v>25000</v>
      </c>
      <c r="PP76" s="208">
        <v>28065</v>
      </c>
      <c r="PQ76" s="371">
        <f>PP76-PO76</f>
        <v>3065</v>
      </c>
      <c r="PR76" s="157">
        <f>PQ76/PP76</f>
        <v>0.10921076073401033</v>
      </c>
      <c r="PS76" s="354">
        <v>1</v>
      </c>
      <c r="PT76" s="208">
        <v>25000</v>
      </c>
      <c r="PU76" s="208">
        <v>28065</v>
      </c>
      <c r="PV76" s="371">
        <f>PU76-PT76</f>
        <v>3065</v>
      </c>
      <c r="PW76" s="157">
        <f>PV76/PU76</f>
        <v>0.10921076073401033</v>
      </c>
      <c r="PX76" s="1579">
        <v>1</v>
      </c>
      <c r="PY76" s="264">
        <v>25000</v>
      </c>
      <c r="PZ76" s="264">
        <v>28065</v>
      </c>
      <c r="QA76" s="264">
        <f>PZ76-PY76</f>
        <v>3065</v>
      </c>
      <c r="QB76" s="597">
        <f>QA76/PZ76</f>
        <v>0.10921076073401033</v>
      </c>
      <c r="QC76" s="209">
        <v>1</v>
      </c>
      <c r="QD76" s="208">
        <v>25000</v>
      </c>
      <c r="QE76" s="208">
        <v>28065</v>
      </c>
      <c r="QF76" s="208">
        <f t="shared" si="289"/>
        <v>3065</v>
      </c>
      <c r="QG76" s="597">
        <f t="shared" si="336"/>
        <v>0.10921076073401033</v>
      </c>
      <c r="QH76" s="439">
        <v>1</v>
      </c>
      <c r="QI76" s="208">
        <v>25000</v>
      </c>
      <c r="QJ76" s="208">
        <v>28065</v>
      </c>
      <c r="QK76" s="208">
        <f t="shared" si="337"/>
        <v>3065</v>
      </c>
      <c r="QL76" s="1313">
        <f t="shared" si="338"/>
        <v>0.10921076073401033</v>
      </c>
      <c r="QM76" s="2084">
        <v>1</v>
      </c>
      <c r="QN76" s="2085">
        <v>25000</v>
      </c>
      <c r="QO76" s="2085">
        <v>28666.657999999999</v>
      </c>
      <c r="QP76" s="208">
        <f t="shared" si="339"/>
        <v>3666.6579999999994</v>
      </c>
      <c r="QQ76" s="1313">
        <f t="shared" si="340"/>
        <v>0.12790671308807602</v>
      </c>
      <c r="QR76" s="209">
        <v>1</v>
      </c>
      <c r="QS76" s="208">
        <v>25000</v>
      </c>
      <c r="QT76" s="208">
        <v>29527</v>
      </c>
      <c r="QU76" s="208">
        <f t="shared" si="341"/>
        <v>4527</v>
      </c>
      <c r="QV76" s="157">
        <f t="shared" si="317"/>
        <v>0.15331730280759984</v>
      </c>
      <c r="QW76" s="156">
        <v>1</v>
      </c>
      <c r="QX76" s="208">
        <v>25000</v>
      </c>
      <c r="QY76" s="208">
        <v>29526.66</v>
      </c>
      <c r="QZ76" s="208">
        <f t="shared" si="318"/>
        <v>4526.66</v>
      </c>
      <c r="RA76" s="2083">
        <f t="shared" si="342"/>
        <v>0.15330755324171444</v>
      </c>
      <c r="RB76" s="156">
        <v>1</v>
      </c>
      <c r="RC76" s="111">
        <v>25000</v>
      </c>
      <c r="RD76" s="208">
        <v>29526.66</v>
      </c>
      <c r="RE76" s="208">
        <f t="shared" si="343"/>
        <v>4526.66</v>
      </c>
      <c r="RF76" s="114">
        <f t="shared" si="344"/>
        <v>0.15330755324171444</v>
      </c>
      <c r="RG76" s="1857">
        <v>1</v>
      </c>
      <c r="RH76" s="208">
        <v>25000</v>
      </c>
      <c r="RI76" s="208">
        <v>29526.66</v>
      </c>
      <c r="RJ76" s="772">
        <f>RI76-RH76</f>
        <v>4526.66</v>
      </c>
      <c r="RK76" s="116">
        <f t="shared" si="345"/>
        <v>0.15330755324171444</v>
      </c>
      <c r="RL76" s="1567">
        <v>1</v>
      </c>
      <c r="RM76" s="1568">
        <f t="shared" si="346"/>
        <v>300000</v>
      </c>
      <c r="RN76" s="1568">
        <f t="shared" si="346"/>
        <v>343229.11596000002</v>
      </c>
      <c r="RO76" s="1568">
        <f t="shared" si="346"/>
        <v>43229.115959999996</v>
      </c>
      <c r="RP76" s="220">
        <f t="shared" si="347"/>
        <v>0.12594827754950114</v>
      </c>
      <c r="RQ76" s="1863">
        <f>(PD76+PI76+PN76)/3</f>
        <v>1</v>
      </c>
      <c r="RR76" s="105">
        <f t="shared" si="348"/>
        <v>75000</v>
      </c>
      <c r="RS76" s="105">
        <f t="shared" si="348"/>
        <v>84195.477960000004</v>
      </c>
      <c r="RT76" s="105">
        <f t="shared" si="348"/>
        <v>9195.4779600000002</v>
      </c>
      <c r="RU76" s="106">
        <f>RT76/RS76</f>
        <v>0.10921581755695517</v>
      </c>
      <c r="RV76" s="358">
        <v>1</v>
      </c>
      <c r="RW76" s="358">
        <f t="shared" si="349"/>
        <v>75000</v>
      </c>
      <c r="RX76" s="358">
        <f t="shared" si="349"/>
        <v>84195</v>
      </c>
      <c r="RY76" s="359">
        <f t="shared" si="349"/>
        <v>9195</v>
      </c>
      <c r="RZ76" s="169">
        <f t="shared" ref="RZ76:RZ105" si="362">RY76/RX76</f>
        <v>0.10921076073401033</v>
      </c>
      <c r="SA76" s="686">
        <v>1</v>
      </c>
      <c r="SB76" s="146">
        <f t="shared" si="250"/>
        <v>75000</v>
      </c>
      <c r="SC76" s="146">
        <f t="shared" si="250"/>
        <v>86258.657999999996</v>
      </c>
      <c r="SD76" s="1864">
        <f t="shared" si="250"/>
        <v>11258.657999999999</v>
      </c>
      <c r="SE76" s="203">
        <f>SD76/SC76</f>
        <v>0.13052206307220779</v>
      </c>
      <c r="SF76" s="1567">
        <v>1</v>
      </c>
      <c r="SG76" s="358">
        <f t="shared" si="319"/>
        <v>75000</v>
      </c>
      <c r="SH76" s="358">
        <f t="shared" si="319"/>
        <v>88579.98</v>
      </c>
      <c r="SI76" s="359">
        <f t="shared" si="319"/>
        <v>13579.98</v>
      </c>
      <c r="SJ76" s="114">
        <f t="shared" si="294"/>
        <v>0.15330755324171444</v>
      </c>
      <c r="SL76" s="439">
        <v>1</v>
      </c>
      <c r="SM76" s="208">
        <v>25000</v>
      </c>
      <c r="SN76" s="208">
        <v>29526.66</v>
      </c>
      <c r="SO76" s="96">
        <f t="shared" si="264"/>
        <v>4526.66</v>
      </c>
      <c r="SP76" s="78">
        <f>SO76/SN76</f>
        <v>0.15330755324171444</v>
      </c>
      <c r="SQ76" s="439">
        <v>1</v>
      </c>
      <c r="SR76" s="208">
        <v>22580.645161290322</v>
      </c>
      <c r="SS76" s="208">
        <v>26669.241290322581</v>
      </c>
      <c r="ST76" s="96">
        <f t="shared" si="320"/>
        <v>4088.5961290322593</v>
      </c>
      <c r="SU76" s="222">
        <f>ST76/SS76</f>
        <v>0.15330755324171449</v>
      </c>
      <c r="SV76" s="439">
        <v>1</v>
      </c>
      <c r="SW76" s="208">
        <v>28000</v>
      </c>
      <c r="SX76" s="208">
        <v>29526.66</v>
      </c>
      <c r="SY76" s="371">
        <f t="shared" si="321"/>
        <v>1526.6599999999999</v>
      </c>
      <c r="SZ76" s="157">
        <f t="shared" ref="SZ76:SZ92" si="363">SY76/SX76</f>
        <v>5.1704459630720165E-2</v>
      </c>
      <c r="TA76" s="354">
        <v>1</v>
      </c>
      <c r="TB76" s="208">
        <v>28000</v>
      </c>
      <c r="TC76" s="994">
        <v>29526.66</v>
      </c>
      <c r="TD76" s="96">
        <f t="shared" si="280"/>
        <v>1526.6599999999999</v>
      </c>
      <c r="TE76" s="94">
        <f t="shared" si="295"/>
        <v>5.1704459630720165E-2</v>
      </c>
      <c r="TF76" s="1574">
        <v>1</v>
      </c>
      <c r="TG76" s="208">
        <v>28000</v>
      </c>
      <c r="TH76" s="208">
        <v>29526.66</v>
      </c>
      <c r="TI76" s="208">
        <f t="shared" si="350"/>
        <v>1526.6599999999999</v>
      </c>
      <c r="TJ76" s="114">
        <f t="shared" si="296"/>
        <v>5.1704459630720165E-2</v>
      </c>
      <c r="TK76" s="209">
        <v>1</v>
      </c>
      <c r="TL76" s="208">
        <v>28000</v>
      </c>
      <c r="TM76" s="208">
        <v>29526.66</v>
      </c>
      <c r="TN76" s="4101">
        <f t="shared" si="351"/>
        <v>1526.6599999999999</v>
      </c>
      <c r="TO76" s="114">
        <f t="shared" ref="TO76:TO95" si="364">TN76/TM76</f>
        <v>5.1704459630720165E-2</v>
      </c>
      <c r="TP76" s="4432">
        <v>1</v>
      </c>
      <c r="TQ76" s="208">
        <v>28000</v>
      </c>
      <c r="TR76" s="208">
        <v>29526.66</v>
      </c>
      <c r="TS76" s="994">
        <f t="shared" si="352"/>
        <v>1526.6599999999999</v>
      </c>
      <c r="TT76" s="114">
        <f t="shared" ref="TT76:TT119" si="365">TS76/TR76</f>
        <v>5.1704459630720165E-2</v>
      </c>
      <c r="TU76" s="6140">
        <v>1</v>
      </c>
      <c r="TV76" s="2085">
        <v>28000</v>
      </c>
      <c r="TW76" s="2085">
        <v>29880.995999999999</v>
      </c>
      <c r="TX76" s="208">
        <f t="shared" si="353"/>
        <v>1880.9959999999992</v>
      </c>
      <c r="TY76" s="1313">
        <f t="shared" ref="TY76:TY119" si="366">TX76/TW76</f>
        <v>6.2949575040939038E-2</v>
      </c>
      <c r="TZ76" s="209">
        <v>1</v>
      </c>
      <c r="UA76" s="208">
        <v>28000</v>
      </c>
      <c r="UB76" s="208">
        <v>30412.5</v>
      </c>
      <c r="UC76" s="994">
        <f t="shared" si="354"/>
        <v>2412.5</v>
      </c>
      <c r="UD76" s="114">
        <f>UC76/UB76</f>
        <v>7.9325935059597202E-2</v>
      </c>
      <c r="UE76" s="6498">
        <v>1</v>
      </c>
      <c r="UF76" s="1575">
        <v>27160</v>
      </c>
      <c r="UG76" s="1575">
        <v>30412.5</v>
      </c>
      <c r="UH76" s="1575">
        <f t="shared" si="322"/>
        <v>3252.5</v>
      </c>
      <c r="UI76" s="6495">
        <f t="shared" ref="UI76:UI125" si="367">UH76/UG76</f>
        <v>0.10694615700780929</v>
      </c>
      <c r="UJ76" s="156"/>
      <c r="UK76" s="111"/>
      <c r="UL76" s="208"/>
      <c r="UM76" s="208">
        <f t="shared" si="355"/>
        <v>0</v>
      </c>
      <c r="UN76" s="114" t="e">
        <f t="shared" si="356"/>
        <v>#DIV/0!</v>
      </c>
      <c r="UO76" s="1567"/>
      <c r="UP76" s="1568"/>
      <c r="UQ76" s="1568"/>
      <c r="UR76" s="1873">
        <f t="shared" si="323"/>
        <v>0</v>
      </c>
      <c r="US76" s="116" t="e">
        <f t="shared" si="357"/>
        <v>#DIV/0!</v>
      </c>
      <c r="UT76" s="1567"/>
      <c r="UU76" s="358">
        <f t="shared" si="78"/>
        <v>270740.6451612903</v>
      </c>
      <c r="UV76" s="358">
        <f t="shared" si="78"/>
        <v>294535.19729032257</v>
      </c>
      <c r="UW76" s="358">
        <f t="shared" si="78"/>
        <v>23794.552129032258</v>
      </c>
      <c r="UX76" s="220">
        <f t="shared" si="358"/>
        <v>8.078678659779337E-2</v>
      </c>
      <c r="UY76" s="1863">
        <f t="shared" si="324"/>
        <v>1</v>
      </c>
      <c r="UZ76" s="105">
        <f t="shared" si="359"/>
        <v>75580.645161290318</v>
      </c>
      <c r="VA76" s="105">
        <f t="shared" si="359"/>
        <v>85722.561290322585</v>
      </c>
      <c r="VB76" s="105">
        <f t="shared" si="359"/>
        <v>10141.916129032259</v>
      </c>
      <c r="VC76" s="106">
        <f t="shared" si="325"/>
        <v>0.11831093210903863</v>
      </c>
      <c r="VD76" s="358"/>
      <c r="VE76" s="358">
        <f t="shared" si="326"/>
        <v>84000</v>
      </c>
      <c r="VF76" s="358">
        <f t="shared" si="326"/>
        <v>88579.98</v>
      </c>
      <c r="VG76" s="359">
        <f t="shared" si="326"/>
        <v>4579.9799999999996</v>
      </c>
      <c r="VH76" s="169">
        <f>VG76/VF76</f>
        <v>5.1704459630720165E-2</v>
      </c>
      <c r="VI76" s="686"/>
      <c r="VJ76" s="146">
        <f>UA76+TV76+TQ76</f>
        <v>84000</v>
      </c>
      <c r="VK76" s="146">
        <f t="shared" si="360"/>
        <v>89820.156000000003</v>
      </c>
      <c r="VL76" s="1864">
        <f t="shared" si="360"/>
        <v>5820.155999999999</v>
      </c>
      <c r="VM76" s="203">
        <f t="shared" si="268"/>
        <v>6.4797883450569818E-2</v>
      </c>
      <c r="VN76" s="1567"/>
      <c r="VO76" s="358">
        <f t="shared" ref="VO76:VO126" si="368">UF76+UK76+UP76</f>
        <v>27160</v>
      </c>
      <c r="VP76" s="358">
        <f t="shared" si="361"/>
        <v>30412.5</v>
      </c>
      <c r="VQ76" s="359">
        <f t="shared" si="361"/>
        <v>3252.5</v>
      </c>
      <c r="VR76" s="114">
        <f t="shared" si="300"/>
        <v>0.10694615700780929</v>
      </c>
    </row>
    <row r="77" spans="1:590" s="1193" customFormat="1" ht="13.45" x14ac:dyDescent="0.3">
      <c r="A77" s="1297"/>
      <c r="B77" s="1773" t="s">
        <v>53</v>
      </c>
      <c r="C77" s="3769" t="s">
        <v>69</v>
      </c>
      <c r="D77" s="3770" t="s">
        <v>263</v>
      </c>
      <c r="E77" s="3771">
        <v>45017</v>
      </c>
      <c r="F77" s="3771">
        <v>45382</v>
      </c>
      <c r="G77" s="3772">
        <v>195000</v>
      </c>
      <c r="H77" s="1874"/>
      <c r="I77" s="1875"/>
      <c r="J77" s="1875"/>
      <c r="K77" s="1875"/>
      <c r="L77" s="1876"/>
      <c r="M77" s="1874"/>
      <c r="N77" s="1875"/>
      <c r="O77" s="1875"/>
      <c r="P77" s="1875"/>
      <c r="Q77" s="1876"/>
      <c r="R77" s="1874"/>
      <c r="S77" s="1875"/>
      <c r="T77" s="1875"/>
      <c r="U77" s="1875"/>
      <c r="V77" s="1876"/>
      <c r="W77" s="1874"/>
      <c r="X77" s="1875"/>
      <c r="Y77" s="1875"/>
      <c r="Z77" s="1875"/>
      <c r="AA77" s="1877"/>
      <c r="AB77" s="1874"/>
      <c r="AC77" s="1875"/>
      <c r="AD77" s="1875"/>
      <c r="AE77" s="1875"/>
      <c r="AF77" s="1877"/>
      <c r="AG77" s="1875"/>
      <c r="AH77" s="1875"/>
      <c r="AI77" s="1875"/>
      <c r="AJ77" s="1875"/>
      <c r="AK77" s="1876"/>
      <c r="AL77" s="1875"/>
      <c r="AM77" s="1875"/>
      <c r="AN77" s="1875"/>
      <c r="AO77" s="1875"/>
      <c r="AP77" s="1876"/>
      <c r="AQ77" s="1875"/>
      <c r="AR77" s="1875"/>
      <c r="AS77" s="1875"/>
      <c r="AT77" s="1875"/>
      <c r="AU77" s="1876"/>
      <c r="AV77" s="1878"/>
      <c r="AW77" s="1875"/>
      <c r="AX77" s="1875"/>
      <c r="AY77" s="1875"/>
      <c r="AZ77" s="1877"/>
      <c r="BA77" s="1878"/>
      <c r="BB77" s="1875"/>
      <c r="BC77" s="1875"/>
      <c r="BD77" s="1875"/>
      <c r="BE77" s="1877"/>
      <c r="BF77" s="1878"/>
      <c r="BG77" s="1875"/>
      <c r="BH77" s="1875"/>
      <c r="BI77" s="1875"/>
      <c r="BJ77" s="1877"/>
      <c r="BK77" s="1878"/>
      <c r="BL77" s="1875"/>
      <c r="BM77" s="1875"/>
      <c r="BN77" s="1875"/>
      <c r="BO77" s="1877"/>
      <c r="BP77" s="1879"/>
      <c r="BQ77" s="1875"/>
      <c r="BR77" s="1875"/>
      <c r="BS77" s="1875"/>
      <c r="BT77" s="1880"/>
      <c r="BU77" s="1875"/>
      <c r="BV77" s="1875"/>
      <c r="BW77" s="1881"/>
      <c r="BX77" s="1880"/>
      <c r="BY77" s="1875"/>
      <c r="BZ77" s="1875"/>
      <c r="CA77" s="1882"/>
      <c r="CB77" s="1875"/>
      <c r="CC77" s="1875"/>
      <c r="CD77" s="1875"/>
      <c r="CE77" s="1875"/>
      <c r="CF77" s="1880"/>
      <c r="CG77" s="1875"/>
      <c r="CH77" s="1875"/>
      <c r="CI77" s="1882"/>
      <c r="CJ77" s="1883"/>
      <c r="CK77" s="1875"/>
      <c r="CL77" s="1875"/>
      <c r="CM77" s="1875"/>
      <c r="CN77" s="1881"/>
      <c r="CO77" s="1883"/>
      <c r="CP77" s="1874"/>
      <c r="CQ77" s="1874"/>
      <c r="CR77" s="1874"/>
      <c r="CS77" s="1881"/>
      <c r="CT77" s="1883"/>
      <c r="CU77" s="1875"/>
      <c r="CV77" s="1875"/>
      <c r="CW77" s="1875"/>
      <c r="CX77" s="1881"/>
      <c r="CY77" s="1883"/>
      <c r="CZ77" s="1875"/>
      <c r="DA77" s="1875"/>
      <c r="DB77" s="1875"/>
      <c r="DC77" s="1881"/>
      <c r="DD77" s="1883"/>
      <c r="DE77" s="1875"/>
      <c r="DF77" s="1875"/>
      <c r="DG77" s="1875"/>
      <c r="DH77" s="1884"/>
      <c r="DI77" s="1883"/>
      <c r="DJ77" s="1875"/>
      <c r="DK77" s="1875"/>
      <c r="DL77" s="1875"/>
      <c r="DM77" s="1884"/>
      <c r="DN77" s="1883"/>
      <c r="DO77" s="1875"/>
      <c r="DP77" s="1875"/>
      <c r="DQ77" s="1875"/>
      <c r="DR77" s="1884"/>
      <c r="DS77" s="1883"/>
      <c r="DT77" s="1875"/>
      <c r="DU77" s="1875"/>
      <c r="DV77" s="1875"/>
      <c r="DW77" s="1884"/>
      <c r="DX77" s="1883"/>
      <c r="DY77" s="1875"/>
      <c r="DZ77" s="1875"/>
      <c r="EA77" s="1875"/>
      <c r="EB77" s="1884"/>
      <c r="EC77" s="1883"/>
      <c r="ED77" s="1875"/>
      <c r="EE77" s="1875"/>
      <c r="EF77" s="1875"/>
      <c r="EG77" s="1884"/>
      <c r="EH77" s="1885"/>
      <c r="EI77" s="1886"/>
      <c r="EJ77" s="1886"/>
      <c r="EK77" s="1886"/>
      <c r="EL77" s="1887"/>
      <c r="EM77" s="1888"/>
      <c r="EN77" s="1889"/>
      <c r="EO77" s="1889"/>
      <c r="EP77" s="1889"/>
      <c r="EQ77" s="166"/>
      <c r="ER77" s="1713">
        <f t="shared" si="327"/>
        <v>0</v>
      </c>
      <c r="ES77" s="1714">
        <f t="shared" si="146"/>
        <v>0</v>
      </c>
      <c r="ET77" s="1714">
        <f t="shared" si="146"/>
        <v>0</v>
      </c>
      <c r="EU77" s="1714">
        <f t="shared" si="146"/>
        <v>0</v>
      </c>
      <c r="EV77" s="1715" t="e">
        <f t="shared" si="328"/>
        <v>#DIV/0!</v>
      </c>
      <c r="EW77" s="1890"/>
      <c r="EX77" s="1890"/>
      <c r="EY77" s="1890"/>
      <c r="EZ77" s="1891"/>
      <c r="FA77" s="1885"/>
      <c r="FB77" s="1890"/>
      <c r="FC77" s="1890"/>
      <c r="FD77" s="1892"/>
      <c r="FE77" s="1890"/>
      <c r="FF77" s="1890"/>
      <c r="FG77" s="1890"/>
      <c r="FH77" s="1891"/>
      <c r="FI77" s="1893"/>
      <c r="FJ77" s="1894"/>
      <c r="FK77" s="1895"/>
      <c r="FL77" s="1895"/>
      <c r="FM77" s="1896"/>
      <c r="FN77" s="1890"/>
      <c r="FO77" s="1886"/>
      <c r="FP77" s="1886"/>
      <c r="FQ77" s="1886"/>
      <c r="FR77" s="1897"/>
      <c r="FS77" s="1888"/>
      <c r="FT77" s="1889"/>
      <c r="FU77" s="1889"/>
      <c r="FV77" s="1889"/>
      <c r="FW77" s="1898"/>
      <c r="FX77" s="1885"/>
      <c r="FY77" s="1886"/>
      <c r="FZ77" s="1886"/>
      <c r="GA77" s="1889"/>
      <c r="GB77" s="1898"/>
      <c r="GC77" s="1899"/>
      <c r="GD77" s="1900"/>
      <c r="GE77" s="1900"/>
      <c r="GF77" s="1889"/>
      <c r="GG77" s="166"/>
      <c r="GH77" s="1901"/>
      <c r="GI77" s="1824"/>
      <c r="GJ77" s="1824"/>
      <c r="GK77" s="1902"/>
      <c r="GL77" s="1898"/>
      <c r="GM77" s="1901"/>
      <c r="GN77" s="1824"/>
      <c r="GO77" s="1824"/>
      <c r="GP77" s="1902"/>
      <c r="GQ77" s="1898"/>
      <c r="GR77" s="1903"/>
      <c r="GS77" s="1904"/>
      <c r="GT77" s="1904"/>
      <c r="GU77" s="1902"/>
      <c r="GV77" s="1898"/>
      <c r="GW77" s="1903"/>
      <c r="GX77" s="1904"/>
      <c r="GY77" s="1904"/>
      <c r="GZ77" s="1902"/>
      <c r="HA77" s="1898"/>
      <c r="HB77" s="1903"/>
      <c r="HC77" s="1904"/>
      <c r="HD77" s="1904"/>
      <c r="HE77" s="1902"/>
      <c r="HF77" s="1898"/>
      <c r="HG77" s="1903"/>
      <c r="HH77" s="1904"/>
      <c r="HI77" s="1904"/>
      <c r="HJ77" s="1818"/>
      <c r="HK77" s="1898"/>
      <c r="HL77" s="1903"/>
      <c r="HM77" s="1904"/>
      <c r="HN77" s="1904"/>
      <c r="HO77" s="715"/>
      <c r="HP77" s="166"/>
      <c r="HQ77" s="1905"/>
      <c r="HR77" s="1248"/>
      <c r="HS77" s="1248"/>
      <c r="HT77" s="1248"/>
      <c r="HU77" s="1826"/>
      <c r="HV77" s="1827">
        <f t="shared" si="155"/>
        <v>0</v>
      </c>
      <c r="HW77" s="1089">
        <f t="shared" si="156"/>
        <v>0</v>
      </c>
      <c r="HX77" s="1089">
        <f t="shared" si="156"/>
        <v>0</v>
      </c>
      <c r="HY77" s="1089">
        <f t="shared" si="156"/>
        <v>0</v>
      </c>
      <c r="HZ77" s="1906"/>
      <c r="IA77" s="1907"/>
      <c r="IB77" s="1908"/>
      <c r="IC77" s="1908"/>
      <c r="ID77" s="1909"/>
      <c r="IE77" s="1910"/>
      <c r="IF77" s="1911"/>
      <c r="IG77" s="1912"/>
      <c r="IH77" s="1909"/>
      <c r="II77" s="1835"/>
      <c r="IJ77" s="1836"/>
      <c r="IK77" s="1836"/>
      <c r="IL77" s="693"/>
      <c r="IM77" s="1913"/>
      <c r="IN77" s="1836"/>
      <c r="IO77" s="1836"/>
      <c r="IP77" s="1838"/>
      <c r="IQ77" s="1914"/>
      <c r="IR77" s="1915"/>
      <c r="IS77" s="1916">
        <v>0</v>
      </c>
      <c r="IT77" s="1916">
        <v>0</v>
      </c>
      <c r="IU77" s="1917">
        <v>0</v>
      </c>
      <c r="IV77" s="1918">
        <v>0</v>
      </c>
      <c r="IW77" s="1919">
        <v>5</v>
      </c>
      <c r="IX77" s="1920">
        <v>134080</v>
      </c>
      <c r="IY77" s="1921">
        <v>156000</v>
      </c>
      <c r="IZ77" s="1719">
        <f>IY77-IX77</f>
        <v>21920</v>
      </c>
      <c r="JA77" s="1721">
        <f>IZ77/IY77</f>
        <v>0.14051282051282052</v>
      </c>
      <c r="JB77" s="1922">
        <v>5</v>
      </c>
      <c r="JC77" s="1923">
        <v>151500</v>
      </c>
      <c r="JD77" s="1924">
        <v>156000</v>
      </c>
      <c r="JE77" s="1719">
        <f>JD77-JC77</f>
        <v>4500</v>
      </c>
      <c r="JF77" s="1721">
        <f>JE77/JD77</f>
        <v>2.8846153846153848E-2</v>
      </c>
      <c r="JG77" s="1847">
        <v>5</v>
      </c>
      <c r="JH77" s="1096">
        <v>151500</v>
      </c>
      <c r="JI77" s="1096">
        <v>156000</v>
      </c>
      <c r="JJ77" s="1756">
        <f>JI77-JH77</f>
        <v>4500</v>
      </c>
      <c r="JK77" s="1721">
        <f>JJ77/JI77</f>
        <v>2.8846153846153848E-2</v>
      </c>
      <c r="JL77" s="1927">
        <v>5</v>
      </c>
      <c r="JM77" s="1096">
        <v>148596</v>
      </c>
      <c r="JN77" s="1096">
        <v>195000</v>
      </c>
      <c r="JO77" s="1843">
        <f>JN77-JM77</f>
        <v>46404</v>
      </c>
      <c r="JP77" s="1721">
        <f>JO77/JN77</f>
        <v>0.23796923076923077</v>
      </c>
      <c r="JQ77" s="1927">
        <v>5</v>
      </c>
      <c r="JR77" s="972">
        <v>150500</v>
      </c>
      <c r="JS77" s="264">
        <v>195000</v>
      </c>
      <c r="JT77" s="1845">
        <f>JS77-JR77</f>
        <v>44500</v>
      </c>
      <c r="JU77" s="1721">
        <f>JT77/JS77</f>
        <v>0.2282051282051282</v>
      </c>
      <c r="JV77" s="1849">
        <v>5</v>
      </c>
      <c r="JW77" s="1119">
        <v>145694</v>
      </c>
      <c r="JX77" s="1850">
        <v>195000</v>
      </c>
      <c r="JY77" s="1845">
        <f>JX77-JW77</f>
        <v>49306</v>
      </c>
      <c r="JZ77" s="1721">
        <f>JY77/JX77</f>
        <v>0.25285128205128204</v>
      </c>
      <c r="KA77" s="1846">
        <v>4</v>
      </c>
      <c r="KB77" s="264">
        <v>121500</v>
      </c>
      <c r="KC77" s="264">
        <v>195000</v>
      </c>
      <c r="KD77" s="964">
        <f>KC77-KB77</f>
        <v>73500</v>
      </c>
      <c r="KE77" s="1848">
        <f>KD77/KC77</f>
        <v>0.37692307692307692</v>
      </c>
      <c r="KF77" s="1849">
        <v>4</v>
      </c>
      <c r="KG77" s="1850">
        <v>143911</v>
      </c>
      <c r="KH77" s="1850">
        <v>195000</v>
      </c>
      <c r="KI77" s="1719">
        <f>KH77-KG77</f>
        <v>51089</v>
      </c>
      <c r="KJ77" s="1721">
        <f>KI77/KH77</f>
        <v>0.2619948717948718</v>
      </c>
      <c r="KK77" s="1849">
        <v>5</v>
      </c>
      <c r="KL77" s="1850">
        <v>148220</v>
      </c>
      <c r="KM77" s="1850">
        <v>195000</v>
      </c>
      <c r="KN77" s="1851">
        <f>KM77-KL77</f>
        <v>46780</v>
      </c>
      <c r="KO77" s="1852">
        <f>KN77/KM77</f>
        <v>0.2398974358974359</v>
      </c>
      <c r="KP77" s="1722">
        <v>5</v>
      </c>
      <c r="KQ77" s="972">
        <v>159834</v>
      </c>
      <c r="KR77" s="264">
        <v>195000</v>
      </c>
      <c r="KS77" s="1845">
        <f>KR77-KQ77</f>
        <v>35166</v>
      </c>
      <c r="KT77" s="1720">
        <f>KS77/KR77</f>
        <v>0.18033846153846153</v>
      </c>
      <c r="KU77" s="1853">
        <v>5</v>
      </c>
      <c r="KV77" s="264">
        <v>162333</v>
      </c>
      <c r="KW77" s="264">
        <v>195000</v>
      </c>
      <c r="KX77" s="264">
        <f>KW77-KV77</f>
        <v>32667</v>
      </c>
      <c r="KY77" s="75">
        <f>KX77/KW77</f>
        <v>0.16752307692307691</v>
      </c>
      <c r="KZ77" s="1857">
        <v>5</v>
      </c>
      <c r="LA77" s="358">
        <f t="shared" si="316"/>
        <v>1617668</v>
      </c>
      <c r="LB77" s="358">
        <f t="shared" si="316"/>
        <v>2028000</v>
      </c>
      <c r="LC77" s="358">
        <f t="shared" si="316"/>
        <v>410332</v>
      </c>
      <c r="LD77" s="151">
        <f>LC77/LB77</f>
        <v>0.20233333333333334</v>
      </c>
      <c r="LE77" s="1854">
        <f>(IR77+IW77+JB77)/3</f>
        <v>3.3333333333333335</v>
      </c>
      <c r="LF77" s="1855">
        <f t="shared" si="329"/>
        <v>312000</v>
      </c>
      <c r="LG77" s="1855">
        <f t="shared" si="329"/>
        <v>26420</v>
      </c>
      <c r="LH77" s="1856">
        <f>LG77/LF77</f>
        <v>8.4679487179487173E-2</v>
      </c>
      <c r="LI77" s="1857">
        <f>(JG77+JL77+JQ77)/3</f>
        <v>5</v>
      </c>
      <c r="LJ77" s="1858">
        <f t="shared" si="330"/>
        <v>546000</v>
      </c>
      <c r="LK77" s="1854">
        <f t="shared" si="330"/>
        <v>95404</v>
      </c>
      <c r="LL77" s="1856">
        <f>LK77/LJ77</f>
        <v>0.17473260073260075</v>
      </c>
      <c r="LM77" s="1859">
        <f>(JV77+KA77+KF77)/3</f>
        <v>4.333333333333333</v>
      </c>
      <c r="LN77" s="1727">
        <f t="shared" si="331"/>
        <v>585000</v>
      </c>
      <c r="LO77" s="1727">
        <f t="shared" si="331"/>
        <v>173895</v>
      </c>
      <c r="LP77" s="151">
        <f>LO77/LN77</f>
        <v>0.29725641025641025</v>
      </c>
      <c r="LQ77" s="1860">
        <f>(KK77+KP77+KU77)/3</f>
        <v>5</v>
      </c>
      <c r="LR77" s="1727">
        <f t="shared" si="332"/>
        <v>585000</v>
      </c>
      <c r="LS77" s="1727">
        <f t="shared" si="332"/>
        <v>114613</v>
      </c>
      <c r="LT77" s="1861">
        <f>LS77/LR77</f>
        <v>0.19591965811965811</v>
      </c>
      <c r="LV77" s="439">
        <v>5</v>
      </c>
      <c r="LW77" s="208">
        <v>162333</v>
      </c>
      <c r="LX77" s="208">
        <v>195000</v>
      </c>
      <c r="LY77" s="96">
        <f>LX77-LW77</f>
        <v>32667</v>
      </c>
      <c r="LZ77" s="78">
        <f>LY77/LX77</f>
        <v>0.16752307692307691</v>
      </c>
      <c r="MA77" s="1862">
        <v>5</v>
      </c>
      <c r="MB77" s="265">
        <v>162333</v>
      </c>
      <c r="MC77" s="265">
        <v>195000</v>
      </c>
      <c r="MD77" s="371">
        <f>MC77-MB77</f>
        <v>32667</v>
      </c>
      <c r="ME77" s="157">
        <f>MD77/MC77</f>
        <v>0.16752307692307691</v>
      </c>
      <c r="MF77" s="439">
        <v>5</v>
      </c>
      <c r="MG77" s="208">
        <v>145555</v>
      </c>
      <c r="MH77" s="208">
        <v>170430</v>
      </c>
      <c r="MI77" s="371">
        <f>MH77-MG77</f>
        <v>24875</v>
      </c>
      <c r="MJ77" s="157">
        <f>MI77/MH77</f>
        <v>0.14595435075984275</v>
      </c>
      <c r="MK77" s="354">
        <v>5</v>
      </c>
      <c r="ML77" s="208">
        <v>166667</v>
      </c>
      <c r="MM77" s="208">
        <v>195000</v>
      </c>
      <c r="MN77" s="371">
        <f>MM77-ML77</f>
        <v>28333</v>
      </c>
      <c r="MO77" s="157">
        <f>MN77/MM77</f>
        <v>0.14529743589743591</v>
      </c>
      <c r="MP77" s="1579">
        <v>5</v>
      </c>
      <c r="MQ77" s="264">
        <v>166667</v>
      </c>
      <c r="MR77" s="264">
        <v>195000</v>
      </c>
      <c r="MS77" s="264">
        <f>MR77-MQ77</f>
        <v>28333</v>
      </c>
      <c r="MT77" s="597">
        <f>MS77/MR77</f>
        <v>0.14529743589743591</v>
      </c>
      <c r="MU77" s="1318">
        <v>5</v>
      </c>
      <c r="MV77" s="395">
        <v>183333</v>
      </c>
      <c r="MW77" s="395">
        <v>195000</v>
      </c>
      <c r="MX77" s="395">
        <f>MW77-MV77</f>
        <v>11667</v>
      </c>
      <c r="MY77" s="655">
        <f>MX77/MW77</f>
        <v>5.9830769230769229E-2</v>
      </c>
      <c r="MZ77" s="1318">
        <v>5</v>
      </c>
      <c r="NA77" s="395">
        <v>174841</v>
      </c>
      <c r="NB77" s="395">
        <v>195000</v>
      </c>
      <c r="NC77" s="395">
        <f>NB77-NA77</f>
        <v>20159</v>
      </c>
      <c r="ND77" s="801">
        <f>NC77/NB77</f>
        <v>0.10337948717948718</v>
      </c>
      <c r="NE77" s="209">
        <v>5</v>
      </c>
      <c r="NF77" s="208">
        <v>174841</v>
      </c>
      <c r="NG77" s="208">
        <v>195000</v>
      </c>
      <c r="NH77" s="395">
        <f>NG77-NF77</f>
        <v>20159</v>
      </c>
      <c r="NI77" s="801">
        <f>NH77/NG77</f>
        <v>0.10337948717948718</v>
      </c>
      <c r="NJ77" s="209">
        <v>5</v>
      </c>
      <c r="NK77" s="208">
        <v>170002</v>
      </c>
      <c r="NL77" s="208">
        <v>195000</v>
      </c>
      <c r="NM77" s="395">
        <f>NL77-NK77</f>
        <v>24998</v>
      </c>
      <c r="NN77" s="801">
        <f>NM77/NL77</f>
        <v>0.1281948717948718</v>
      </c>
      <c r="NO77" s="357">
        <v>5</v>
      </c>
      <c r="NP77" s="358">
        <v>170002</v>
      </c>
      <c r="NQ77" s="359">
        <v>195000</v>
      </c>
      <c r="NR77" s="395">
        <f>NQ77-NP77</f>
        <v>24998</v>
      </c>
      <c r="NS77" s="801">
        <f>NR77/NQ77</f>
        <v>0.1281948717948718</v>
      </c>
      <c r="NT77" s="357">
        <v>5</v>
      </c>
      <c r="NU77" s="358">
        <v>170002</v>
      </c>
      <c r="NV77" s="358">
        <v>195000</v>
      </c>
      <c r="NW77" s="395">
        <f>NV77-NU77</f>
        <v>24998</v>
      </c>
      <c r="NX77" s="801">
        <f>NW77/NV77</f>
        <v>0.1281948717948718</v>
      </c>
      <c r="NY77" s="357">
        <v>5</v>
      </c>
      <c r="NZ77" s="358">
        <v>170002</v>
      </c>
      <c r="OA77" s="358">
        <v>195000</v>
      </c>
      <c r="OB77" s="622">
        <f>OA77-NZ77</f>
        <v>24998</v>
      </c>
      <c r="OC77" s="116">
        <f>OB77/OA77</f>
        <v>0.1281948717948718</v>
      </c>
      <c r="OD77" s="191">
        <v>5</v>
      </c>
      <c r="OE77" s="358">
        <f>NZ77+NU77+NP77+NK77+NF77+NA77+MV77+MQ77+ML77+MG77+MB77+LW77</f>
        <v>2016578</v>
      </c>
      <c r="OF77" s="358">
        <f>OA77+NV77+NQ77+NL77+NG77+NB77+MW77+MR77+MM77+MH77+MC77+LX77</f>
        <v>2315430</v>
      </c>
      <c r="OG77" s="358">
        <f>OB77+NW77+NR77+NM77+NH77+NC77+MX77+MS77+MN77+MI77+MD77+LY77</f>
        <v>298852</v>
      </c>
      <c r="OH77" s="220">
        <f>OG77/OF77</f>
        <v>0.12906976241993928</v>
      </c>
      <c r="OI77" s="1863">
        <f>(LV77+MA77+MF77)/3</f>
        <v>5</v>
      </c>
      <c r="OJ77" s="105">
        <f t="shared" si="333"/>
        <v>470221</v>
      </c>
      <c r="OK77" s="105">
        <f t="shared" si="333"/>
        <v>560430</v>
      </c>
      <c r="OL77" s="105">
        <f t="shared" si="333"/>
        <v>90209</v>
      </c>
      <c r="OM77" s="106">
        <f>OL77/OK77</f>
        <v>0.16096390271755617</v>
      </c>
      <c r="ON77" s="358">
        <f>(MK77+MP77+MU77)/3</f>
        <v>5</v>
      </c>
      <c r="OO77" s="358">
        <f t="shared" si="334"/>
        <v>516667</v>
      </c>
      <c r="OP77" s="358">
        <f t="shared" si="334"/>
        <v>585000</v>
      </c>
      <c r="OQ77" s="359">
        <f t="shared" si="334"/>
        <v>68333</v>
      </c>
      <c r="OR77" s="169">
        <f>OQ77/OP77</f>
        <v>0.11680854700854701</v>
      </c>
      <c r="OS77" s="686">
        <f>(NJ77+NE77+MZ77)/3</f>
        <v>5</v>
      </c>
      <c r="OT77" s="146">
        <f t="shared" si="242"/>
        <v>519684</v>
      </c>
      <c r="OU77" s="146">
        <f t="shared" si="242"/>
        <v>585000</v>
      </c>
      <c r="OV77" s="1864">
        <f t="shared" si="242"/>
        <v>65316</v>
      </c>
      <c r="OW77" s="203">
        <f t="shared" si="266"/>
        <v>0.11165128205128205</v>
      </c>
      <c r="OX77" s="357">
        <v>5</v>
      </c>
      <c r="OY77" s="358">
        <f t="shared" si="335"/>
        <v>510006</v>
      </c>
      <c r="OZ77" s="358">
        <f t="shared" si="335"/>
        <v>585000</v>
      </c>
      <c r="PA77" s="359">
        <f t="shared" si="335"/>
        <v>74994</v>
      </c>
      <c r="PB77" s="114">
        <f>PA77/OZ77</f>
        <v>0.1281948717948718</v>
      </c>
      <c r="PC77" s="79"/>
      <c r="PD77" s="439">
        <v>5</v>
      </c>
      <c r="PE77" s="208">
        <v>170002</v>
      </c>
      <c r="PF77" s="208">
        <v>195000</v>
      </c>
      <c r="PG77" s="96">
        <f t="shared" si="263"/>
        <v>24998</v>
      </c>
      <c r="PH77" s="78">
        <f>PG77/PF77</f>
        <v>0.1281948717948718</v>
      </c>
      <c r="PI77" s="439">
        <v>5</v>
      </c>
      <c r="PJ77" s="208">
        <v>158646</v>
      </c>
      <c r="PK77" s="208">
        <v>195000</v>
      </c>
      <c r="PL77" s="96">
        <f>PK77-PJ77</f>
        <v>36354</v>
      </c>
      <c r="PM77" s="78">
        <f>PL77/PK77</f>
        <v>0.18643076923076923</v>
      </c>
      <c r="PN77" s="439">
        <v>5</v>
      </c>
      <c r="PO77" s="208">
        <v>166669</v>
      </c>
      <c r="PP77" s="208">
        <v>195000</v>
      </c>
      <c r="PQ77" s="371">
        <f>PP77-PO77</f>
        <v>28331</v>
      </c>
      <c r="PR77" s="157">
        <f>PQ77/PP77</f>
        <v>0.14528717948717948</v>
      </c>
      <c r="PS77" s="1574">
        <v>5</v>
      </c>
      <c r="PT77" s="208">
        <v>166669</v>
      </c>
      <c r="PU77" s="208">
        <v>195000</v>
      </c>
      <c r="PV77" s="371">
        <f>PU77-PT77</f>
        <v>28331</v>
      </c>
      <c r="PW77" s="157">
        <f>PV77/PU77</f>
        <v>0.14528717948717948</v>
      </c>
      <c r="PX77" s="2080">
        <v>5</v>
      </c>
      <c r="PY77" s="264">
        <v>166669</v>
      </c>
      <c r="PZ77" s="264">
        <v>195000</v>
      </c>
      <c r="QA77" s="264">
        <f>PZ77-PY77</f>
        <v>28331</v>
      </c>
      <c r="QB77" s="597">
        <f>QA77/PZ77</f>
        <v>0.14528717948717948</v>
      </c>
      <c r="QC77" s="1318">
        <v>5</v>
      </c>
      <c r="QD77" s="395">
        <v>166669</v>
      </c>
      <c r="QE77" s="395">
        <v>195000</v>
      </c>
      <c r="QF77" s="395">
        <f t="shared" si="289"/>
        <v>28331</v>
      </c>
      <c r="QG77" s="655">
        <f t="shared" si="336"/>
        <v>0.14528717948717948</v>
      </c>
      <c r="QH77" s="401">
        <v>5</v>
      </c>
      <c r="QI77" s="395">
        <v>166669</v>
      </c>
      <c r="QJ77" s="395">
        <v>195000</v>
      </c>
      <c r="QK77" s="395">
        <f t="shared" si="337"/>
        <v>28331</v>
      </c>
      <c r="QL77" s="801">
        <f t="shared" si="338"/>
        <v>0.14528717948717948</v>
      </c>
      <c r="QM77" s="2084">
        <v>5</v>
      </c>
      <c r="QN77" s="2085">
        <v>166669</v>
      </c>
      <c r="QO77" s="2085">
        <v>195000</v>
      </c>
      <c r="QP77" s="395">
        <f t="shared" si="339"/>
        <v>28331</v>
      </c>
      <c r="QQ77" s="801">
        <f t="shared" si="340"/>
        <v>0.14528717948717948</v>
      </c>
      <c r="QR77" s="209">
        <v>5</v>
      </c>
      <c r="QS77" s="208">
        <v>141937</v>
      </c>
      <c r="QT77" s="208">
        <v>166062</v>
      </c>
      <c r="QU77" s="395">
        <f t="shared" si="341"/>
        <v>24125</v>
      </c>
      <c r="QV77" s="157">
        <f t="shared" si="317"/>
        <v>0.14527706519251846</v>
      </c>
      <c r="QW77" s="209">
        <v>5</v>
      </c>
      <c r="QX77" s="208">
        <v>143496</v>
      </c>
      <c r="QY77" s="208">
        <v>174806</v>
      </c>
      <c r="QZ77" s="395">
        <f t="shared" si="318"/>
        <v>31310</v>
      </c>
      <c r="RA77" s="2083">
        <f t="shared" si="342"/>
        <v>0.17911284509685022</v>
      </c>
      <c r="RB77" s="209">
        <v>5</v>
      </c>
      <c r="RC77" s="208">
        <v>165002</v>
      </c>
      <c r="RD77" s="208">
        <v>205000</v>
      </c>
      <c r="RE77" s="208">
        <f t="shared" si="343"/>
        <v>39998</v>
      </c>
      <c r="RF77" s="116">
        <f t="shared" si="344"/>
        <v>0.19511219512195122</v>
      </c>
      <c r="RG77" s="1857">
        <v>5</v>
      </c>
      <c r="RH77" s="208">
        <v>165002</v>
      </c>
      <c r="RI77" s="208">
        <v>210000</v>
      </c>
      <c r="RJ77" s="772">
        <f t="shared" ref="RJ77:RJ125" si="369">RI77-RH77</f>
        <v>44998</v>
      </c>
      <c r="RK77" s="116">
        <f t="shared" si="345"/>
        <v>0.21427619047619048</v>
      </c>
      <c r="RL77" s="1567">
        <v>5</v>
      </c>
      <c r="RM77" s="1568">
        <f t="shared" si="346"/>
        <v>1944099</v>
      </c>
      <c r="RN77" s="1568">
        <f t="shared" si="346"/>
        <v>2315868</v>
      </c>
      <c r="RO77" s="1568">
        <f t="shared" si="346"/>
        <v>371769</v>
      </c>
      <c r="RP77" s="220">
        <f t="shared" si="347"/>
        <v>0.16053117017032059</v>
      </c>
      <c r="RQ77" s="1863">
        <f>(PD77+PI77+PN77)/3</f>
        <v>5</v>
      </c>
      <c r="RR77" s="105">
        <f t="shared" si="348"/>
        <v>495317</v>
      </c>
      <c r="RS77" s="105">
        <f t="shared" si="348"/>
        <v>585000</v>
      </c>
      <c r="RT77" s="105">
        <f t="shared" si="348"/>
        <v>89683</v>
      </c>
      <c r="RU77" s="106">
        <f>RT77/RS77</f>
        <v>0.1533042735042735</v>
      </c>
      <c r="RV77" s="358">
        <v>5</v>
      </c>
      <c r="RW77" s="358">
        <f t="shared" si="349"/>
        <v>500007</v>
      </c>
      <c r="RX77" s="358">
        <f t="shared" si="349"/>
        <v>585000</v>
      </c>
      <c r="RY77" s="359">
        <f t="shared" si="349"/>
        <v>84993</v>
      </c>
      <c r="RZ77" s="169">
        <f t="shared" si="362"/>
        <v>0.14528717948717948</v>
      </c>
      <c r="SA77" s="686">
        <v>5</v>
      </c>
      <c r="SB77" s="146">
        <f t="shared" si="250"/>
        <v>475275</v>
      </c>
      <c r="SC77" s="146">
        <f t="shared" si="250"/>
        <v>556062</v>
      </c>
      <c r="SD77" s="1864">
        <f t="shared" si="250"/>
        <v>80787</v>
      </c>
      <c r="SE77" s="203">
        <f t="shared" ref="SE77:SE105" si="370">SD77/SC77</f>
        <v>0.14528415896069144</v>
      </c>
      <c r="SF77" s="1567">
        <v>5</v>
      </c>
      <c r="SG77" s="358">
        <f t="shared" si="319"/>
        <v>473500</v>
      </c>
      <c r="SH77" s="358">
        <f t="shared" si="319"/>
        <v>589806</v>
      </c>
      <c r="SI77" s="359">
        <f t="shared" si="319"/>
        <v>116306</v>
      </c>
      <c r="SJ77" s="114">
        <f t="shared" si="294"/>
        <v>0.19719365350640719</v>
      </c>
      <c r="SL77" s="439">
        <v>5</v>
      </c>
      <c r="SM77" s="208">
        <v>163336</v>
      </c>
      <c r="SN77" s="208">
        <v>220000</v>
      </c>
      <c r="SO77" s="96">
        <f t="shared" si="264"/>
        <v>56664</v>
      </c>
      <c r="SP77" s="78">
        <f>SO77/SN77</f>
        <v>0.25756363636363638</v>
      </c>
      <c r="SQ77" s="439">
        <v>5</v>
      </c>
      <c r="SR77" s="208">
        <v>165002</v>
      </c>
      <c r="SS77" s="208">
        <v>205000</v>
      </c>
      <c r="ST77" s="96">
        <f t="shared" si="320"/>
        <v>39998</v>
      </c>
      <c r="SU77" s="222">
        <f>ST77/SS77</f>
        <v>0.19511219512195122</v>
      </c>
      <c r="SV77" s="439">
        <v>5</v>
      </c>
      <c r="SW77" s="208">
        <v>165002</v>
      </c>
      <c r="SX77" s="208">
        <v>205000</v>
      </c>
      <c r="SY77" s="371">
        <f t="shared" si="321"/>
        <v>39998</v>
      </c>
      <c r="SZ77" s="157">
        <f t="shared" si="363"/>
        <v>0.19511219512195122</v>
      </c>
      <c r="TA77" s="1574">
        <v>5</v>
      </c>
      <c r="TB77" s="208">
        <v>165002</v>
      </c>
      <c r="TC77" s="994">
        <v>205000</v>
      </c>
      <c r="TD77" s="96">
        <f t="shared" si="280"/>
        <v>39998</v>
      </c>
      <c r="TE77" s="94">
        <f t="shared" si="295"/>
        <v>0.19511219512195122</v>
      </c>
      <c r="TF77" s="1574">
        <v>5</v>
      </c>
      <c r="TG77" s="208">
        <v>165002</v>
      </c>
      <c r="TH77" s="208">
        <v>205000</v>
      </c>
      <c r="TI77" s="208">
        <f t="shared" si="350"/>
        <v>39998</v>
      </c>
      <c r="TJ77" s="114">
        <f t="shared" si="296"/>
        <v>0.19511219512195122</v>
      </c>
      <c r="TK77" s="1318">
        <v>5</v>
      </c>
      <c r="TL77" s="395">
        <v>165002</v>
      </c>
      <c r="TM77" s="395">
        <v>205000</v>
      </c>
      <c r="TN77" s="4101">
        <f t="shared" si="351"/>
        <v>39998</v>
      </c>
      <c r="TO77" s="114">
        <f t="shared" si="364"/>
        <v>0.19511219512195122</v>
      </c>
      <c r="TP77" s="4434">
        <v>4</v>
      </c>
      <c r="TQ77" s="395">
        <v>135001</v>
      </c>
      <c r="TR77" s="395">
        <v>156000</v>
      </c>
      <c r="TS77" s="772">
        <f t="shared" si="352"/>
        <v>20999</v>
      </c>
      <c r="TT77" s="116">
        <f t="shared" si="365"/>
        <v>0.13460897435897437</v>
      </c>
      <c r="TU77" s="6140">
        <v>5</v>
      </c>
      <c r="TV77" s="2085">
        <v>162290</v>
      </c>
      <c r="TW77" s="2085">
        <v>185874</v>
      </c>
      <c r="TX77" s="395">
        <f t="shared" si="353"/>
        <v>23584</v>
      </c>
      <c r="TY77" s="801">
        <f t="shared" si="366"/>
        <v>0.12688165101089985</v>
      </c>
      <c r="TZ77" s="209">
        <v>5</v>
      </c>
      <c r="UA77" s="208">
        <v>170001</v>
      </c>
      <c r="UB77" s="208">
        <v>195000</v>
      </c>
      <c r="UC77" s="772">
        <f t="shared" si="354"/>
        <v>24999</v>
      </c>
      <c r="UD77" s="116">
        <f>UC77/UB77</f>
        <v>0.12820000000000001</v>
      </c>
      <c r="UE77" s="1868">
        <v>5</v>
      </c>
      <c r="UF77" s="1575">
        <v>170001</v>
      </c>
      <c r="UG77" s="1575">
        <v>195000</v>
      </c>
      <c r="UH77" s="2001">
        <f t="shared" si="322"/>
        <v>24999</v>
      </c>
      <c r="UI77" s="6495">
        <f t="shared" si="367"/>
        <v>0.12820000000000001</v>
      </c>
      <c r="UJ77" s="209"/>
      <c r="UK77" s="208"/>
      <c r="UL77" s="208"/>
      <c r="UM77" s="208">
        <f t="shared" si="355"/>
        <v>0</v>
      </c>
      <c r="UN77" s="116" t="e">
        <f t="shared" si="356"/>
        <v>#DIV/0!</v>
      </c>
      <c r="UO77" s="1567"/>
      <c r="UP77" s="1568"/>
      <c r="UQ77" s="1568"/>
      <c r="UR77" s="1873">
        <f t="shared" si="323"/>
        <v>0</v>
      </c>
      <c r="US77" s="116" t="e">
        <f t="shared" si="357"/>
        <v>#DIV/0!</v>
      </c>
      <c r="UT77" s="1567"/>
      <c r="UU77" s="358">
        <f t="shared" ref="UU77:UW123" si="371">UP77+UK77+UF77+UA77+TV77+TQ77+TL77+TG77+TB77+SW77+SR77+SM77</f>
        <v>1625639</v>
      </c>
      <c r="UV77" s="358">
        <f t="shared" si="371"/>
        <v>1976874</v>
      </c>
      <c r="UW77" s="358">
        <f t="shared" si="371"/>
        <v>351235</v>
      </c>
      <c r="UX77" s="220">
        <f t="shared" si="358"/>
        <v>0.17767192041576751</v>
      </c>
      <c r="UY77" s="1863">
        <f t="shared" si="324"/>
        <v>5</v>
      </c>
      <c r="UZ77" s="105">
        <f t="shared" si="359"/>
        <v>493340</v>
      </c>
      <c r="VA77" s="105">
        <f t="shared" si="359"/>
        <v>630000</v>
      </c>
      <c r="VB77" s="105">
        <f t="shared" si="359"/>
        <v>136660</v>
      </c>
      <c r="VC77" s="106">
        <f t="shared" si="325"/>
        <v>0.21692063492063493</v>
      </c>
      <c r="VD77" s="358"/>
      <c r="VE77" s="358">
        <f t="shared" si="326"/>
        <v>495006</v>
      </c>
      <c r="VF77" s="358">
        <f t="shared" si="326"/>
        <v>615000</v>
      </c>
      <c r="VG77" s="359">
        <f t="shared" si="326"/>
        <v>119994</v>
      </c>
      <c r="VH77" s="169">
        <f t="shared" ref="VH77:VH125" si="372">VG77/VF77</f>
        <v>0.19511219512195122</v>
      </c>
      <c r="VI77" s="686"/>
      <c r="VJ77" s="146">
        <f t="shared" ref="VJ77:VL125" si="373">UA77+TV77+TQ77</f>
        <v>467292</v>
      </c>
      <c r="VK77" s="146">
        <f t="shared" si="360"/>
        <v>536874</v>
      </c>
      <c r="VL77" s="1864">
        <f t="shared" si="360"/>
        <v>69582</v>
      </c>
      <c r="VM77" s="203">
        <f t="shared" si="268"/>
        <v>0.12960582930072978</v>
      </c>
      <c r="VN77" s="1567"/>
      <c r="VO77" s="358">
        <f t="shared" si="368"/>
        <v>170001</v>
      </c>
      <c r="VP77" s="358">
        <f t="shared" si="361"/>
        <v>195000</v>
      </c>
      <c r="VQ77" s="359">
        <f t="shared" si="361"/>
        <v>24999</v>
      </c>
      <c r="VR77" s="114">
        <f t="shared" si="300"/>
        <v>0.12820000000000001</v>
      </c>
    </row>
    <row r="78" spans="1:590" s="1193" customFormat="1" ht="13.45" x14ac:dyDescent="0.3">
      <c r="A78" s="1297"/>
      <c r="B78" s="1773" t="s">
        <v>53</v>
      </c>
      <c r="C78" s="1991" t="s">
        <v>69</v>
      </c>
      <c r="D78" s="1992" t="s">
        <v>299</v>
      </c>
      <c r="E78" s="2086">
        <v>45170</v>
      </c>
      <c r="F78" s="2086">
        <v>45535</v>
      </c>
      <c r="G78" s="1994">
        <v>44000</v>
      </c>
      <c r="H78" s="1874"/>
      <c r="I78" s="1875"/>
      <c r="J78" s="1875"/>
      <c r="K78" s="1875"/>
      <c r="L78" s="1876"/>
      <c r="M78" s="1874"/>
      <c r="N78" s="1875"/>
      <c r="O78" s="1875"/>
      <c r="P78" s="1875"/>
      <c r="Q78" s="1876"/>
      <c r="R78" s="1874"/>
      <c r="S78" s="1875"/>
      <c r="T78" s="1875"/>
      <c r="U78" s="1875"/>
      <c r="V78" s="1876"/>
      <c r="W78" s="1874"/>
      <c r="X78" s="1875"/>
      <c r="Y78" s="1875"/>
      <c r="Z78" s="1875"/>
      <c r="AA78" s="1877"/>
      <c r="AB78" s="1874"/>
      <c r="AC78" s="1875"/>
      <c r="AD78" s="1875"/>
      <c r="AE78" s="1875"/>
      <c r="AF78" s="1877"/>
      <c r="AG78" s="1875"/>
      <c r="AH78" s="1875"/>
      <c r="AI78" s="1875"/>
      <c r="AJ78" s="1875"/>
      <c r="AK78" s="1876"/>
      <c r="AL78" s="1875"/>
      <c r="AM78" s="1875"/>
      <c r="AN78" s="1875"/>
      <c r="AO78" s="1875"/>
      <c r="AP78" s="1876"/>
      <c r="AQ78" s="1875"/>
      <c r="AR78" s="1875"/>
      <c r="AS78" s="1875"/>
      <c r="AT78" s="1875"/>
      <c r="AU78" s="1876"/>
      <c r="AV78" s="1878"/>
      <c r="AW78" s="1875"/>
      <c r="AX78" s="1875"/>
      <c r="AY78" s="1875"/>
      <c r="AZ78" s="1877"/>
      <c r="BA78" s="1878"/>
      <c r="BB78" s="1875"/>
      <c r="BC78" s="1875"/>
      <c r="BD78" s="1875"/>
      <c r="BE78" s="1877"/>
      <c r="BF78" s="1878"/>
      <c r="BG78" s="1875"/>
      <c r="BH78" s="1875"/>
      <c r="BI78" s="1875"/>
      <c r="BJ78" s="1877"/>
      <c r="BK78" s="1878"/>
      <c r="BL78" s="1875"/>
      <c r="BM78" s="1875"/>
      <c r="BN78" s="1875"/>
      <c r="BO78" s="1877"/>
      <c r="BP78" s="1879"/>
      <c r="BQ78" s="1875"/>
      <c r="BR78" s="1875"/>
      <c r="BS78" s="1875"/>
      <c r="BT78" s="1880"/>
      <c r="BU78" s="1875"/>
      <c r="BV78" s="1875"/>
      <c r="BW78" s="1881"/>
      <c r="BX78" s="1880"/>
      <c r="BY78" s="1875"/>
      <c r="BZ78" s="1875"/>
      <c r="CA78" s="1882"/>
      <c r="CB78" s="1875"/>
      <c r="CC78" s="1875"/>
      <c r="CD78" s="1875"/>
      <c r="CE78" s="1875"/>
      <c r="CF78" s="1880"/>
      <c r="CG78" s="1875"/>
      <c r="CH78" s="1875"/>
      <c r="CI78" s="1882"/>
      <c r="CJ78" s="1883"/>
      <c r="CK78" s="1875"/>
      <c r="CL78" s="1875"/>
      <c r="CM78" s="1875"/>
      <c r="CN78" s="1881"/>
      <c r="CO78" s="1883"/>
      <c r="CP78" s="1874"/>
      <c r="CQ78" s="1874"/>
      <c r="CR78" s="1874"/>
      <c r="CS78" s="1881"/>
      <c r="CT78" s="1883"/>
      <c r="CU78" s="1875"/>
      <c r="CV78" s="1875"/>
      <c r="CW78" s="1875"/>
      <c r="CX78" s="1881"/>
      <c r="CY78" s="1883"/>
      <c r="CZ78" s="1875"/>
      <c r="DA78" s="1875"/>
      <c r="DB78" s="1875"/>
      <c r="DC78" s="1881"/>
      <c r="DD78" s="1883"/>
      <c r="DE78" s="1875"/>
      <c r="DF78" s="1875"/>
      <c r="DG78" s="1875"/>
      <c r="DH78" s="1884"/>
      <c r="DI78" s="1883"/>
      <c r="DJ78" s="1875"/>
      <c r="DK78" s="1875"/>
      <c r="DL78" s="1875"/>
      <c r="DM78" s="1884"/>
      <c r="DN78" s="1883"/>
      <c r="DO78" s="1875"/>
      <c r="DP78" s="1875"/>
      <c r="DQ78" s="1875"/>
      <c r="DR78" s="1884"/>
      <c r="DS78" s="1883"/>
      <c r="DT78" s="1875"/>
      <c r="DU78" s="1875"/>
      <c r="DV78" s="1875"/>
      <c r="DW78" s="1884"/>
      <c r="DX78" s="1883"/>
      <c r="DY78" s="1875"/>
      <c r="DZ78" s="1875"/>
      <c r="EA78" s="1875"/>
      <c r="EB78" s="1884"/>
      <c r="EC78" s="1883"/>
      <c r="ED78" s="1875"/>
      <c r="EE78" s="1875"/>
      <c r="EF78" s="1875"/>
      <c r="EG78" s="1884"/>
      <c r="EH78" s="1885"/>
      <c r="EI78" s="1886"/>
      <c r="EJ78" s="1886"/>
      <c r="EK78" s="1886"/>
      <c r="EL78" s="1887"/>
      <c r="EM78" s="1888"/>
      <c r="EN78" s="1889"/>
      <c r="EO78" s="1889"/>
      <c r="EP78" s="1889"/>
      <c r="EQ78" s="166"/>
      <c r="ER78" s="1713"/>
      <c r="ES78" s="1714"/>
      <c r="ET78" s="1714"/>
      <c r="EU78" s="1714"/>
      <c r="EV78" s="1715"/>
      <c r="EW78" s="1890"/>
      <c r="EX78" s="1890"/>
      <c r="EY78" s="1890"/>
      <c r="EZ78" s="1891"/>
      <c r="FA78" s="1885"/>
      <c r="FB78" s="1890"/>
      <c r="FC78" s="1890"/>
      <c r="FD78" s="1892"/>
      <c r="FE78" s="1890"/>
      <c r="FF78" s="1890"/>
      <c r="FG78" s="1890"/>
      <c r="FH78" s="1891"/>
      <c r="FI78" s="1893"/>
      <c r="FJ78" s="1894"/>
      <c r="FK78" s="1895"/>
      <c r="FL78" s="1895"/>
      <c r="FM78" s="1896"/>
      <c r="FN78" s="1890"/>
      <c r="FO78" s="1886"/>
      <c r="FP78" s="1886"/>
      <c r="FQ78" s="1886"/>
      <c r="FR78" s="1897"/>
      <c r="FS78" s="1888"/>
      <c r="FT78" s="1889"/>
      <c r="FU78" s="1889"/>
      <c r="FV78" s="1889"/>
      <c r="FW78" s="1898"/>
      <c r="FX78" s="1885"/>
      <c r="FY78" s="1886"/>
      <c r="FZ78" s="1886"/>
      <c r="GA78" s="1889"/>
      <c r="GB78" s="1898"/>
      <c r="GC78" s="1899"/>
      <c r="GD78" s="1900"/>
      <c r="GE78" s="1900"/>
      <c r="GF78" s="1889"/>
      <c r="GG78" s="166"/>
      <c r="GH78" s="1901"/>
      <c r="GI78" s="1824"/>
      <c r="GJ78" s="1824"/>
      <c r="GK78" s="1902"/>
      <c r="GL78" s="1898"/>
      <c r="GM78" s="1901"/>
      <c r="GN78" s="1824"/>
      <c r="GO78" s="1824"/>
      <c r="GP78" s="1902"/>
      <c r="GQ78" s="1898"/>
      <c r="GR78" s="1903"/>
      <c r="GS78" s="1904"/>
      <c r="GT78" s="1904"/>
      <c r="GU78" s="1902"/>
      <c r="GV78" s="1898"/>
      <c r="GW78" s="1903"/>
      <c r="GX78" s="1904"/>
      <c r="GY78" s="1904"/>
      <c r="GZ78" s="1902"/>
      <c r="HA78" s="1898"/>
      <c r="HB78" s="1903"/>
      <c r="HC78" s="1904"/>
      <c r="HD78" s="1904"/>
      <c r="HE78" s="1902"/>
      <c r="HF78" s="1898"/>
      <c r="HG78" s="1903"/>
      <c r="HH78" s="1904"/>
      <c r="HI78" s="1904"/>
      <c r="HJ78" s="1818"/>
      <c r="HK78" s="1898"/>
      <c r="HL78" s="1903"/>
      <c r="HM78" s="1904"/>
      <c r="HN78" s="1904"/>
      <c r="HO78" s="715"/>
      <c r="HP78" s="166"/>
      <c r="HQ78" s="1905"/>
      <c r="HR78" s="1248"/>
      <c r="HS78" s="1248"/>
      <c r="HT78" s="1248"/>
      <c r="HU78" s="1826"/>
      <c r="HV78" s="1827"/>
      <c r="HW78" s="1089"/>
      <c r="HX78" s="1089"/>
      <c r="HY78" s="1089"/>
      <c r="HZ78" s="1906"/>
      <c r="IA78" s="1907"/>
      <c r="IB78" s="1908"/>
      <c r="IC78" s="1908"/>
      <c r="ID78" s="1909"/>
      <c r="IE78" s="1910"/>
      <c r="IF78" s="1911"/>
      <c r="IG78" s="1912"/>
      <c r="IH78" s="1909"/>
      <c r="II78" s="1835"/>
      <c r="IJ78" s="1836"/>
      <c r="IK78" s="1836"/>
      <c r="IL78" s="693"/>
      <c r="IM78" s="1913"/>
      <c r="IN78" s="1836"/>
      <c r="IO78" s="1836"/>
      <c r="IP78" s="1838"/>
      <c r="IQ78" s="1914"/>
      <c r="IR78" s="1915"/>
      <c r="IS78" s="1916"/>
      <c r="IT78" s="1916"/>
      <c r="IU78" s="1917"/>
      <c r="IV78" s="1918"/>
      <c r="IW78" s="1919"/>
      <c r="IX78" s="1920"/>
      <c r="IY78" s="1921"/>
      <c r="IZ78" s="1719"/>
      <c r="JA78" s="1721"/>
      <c r="JB78" s="1922"/>
      <c r="JC78" s="1923"/>
      <c r="JD78" s="1924"/>
      <c r="JE78" s="1719"/>
      <c r="JF78" s="1721"/>
      <c r="JG78" s="1847"/>
      <c r="JH78" s="1096"/>
      <c r="JI78" s="1096"/>
      <c r="JJ78" s="1756"/>
      <c r="JK78" s="1721"/>
      <c r="JL78" s="1927"/>
      <c r="JM78" s="1096"/>
      <c r="JN78" s="1096"/>
      <c r="JO78" s="1843"/>
      <c r="JP78" s="1721"/>
      <c r="JQ78" s="1927"/>
      <c r="JR78" s="972"/>
      <c r="JS78" s="264"/>
      <c r="JT78" s="1845"/>
      <c r="JU78" s="1721"/>
      <c r="JV78" s="1849"/>
      <c r="JW78" s="1119"/>
      <c r="JX78" s="1850"/>
      <c r="JY78" s="1845"/>
      <c r="JZ78" s="1721"/>
      <c r="KA78" s="1846"/>
      <c r="KB78" s="264"/>
      <c r="KC78" s="264"/>
      <c r="KD78" s="964"/>
      <c r="KE78" s="1848"/>
      <c r="KF78" s="1849"/>
      <c r="KG78" s="1850"/>
      <c r="KH78" s="1850"/>
      <c r="KI78" s="1719"/>
      <c r="KJ78" s="1721"/>
      <c r="KK78" s="1849"/>
      <c r="KL78" s="1850"/>
      <c r="KM78" s="1850"/>
      <c r="KN78" s="1851"/>
      <c r="KO78" s="1852"/>
      <c r="KP78" s="1722"/>
      <c r="KQ78" s="972"/>
      <c r="KR78" s="264"/>
      <c r="KS78" s="1845"/>
      <c r="KT78" s="1720"/>
      <c r="KU78" s="1853"/>
      <c r="KV78" s="264"/>
      <c r="KW78" s="264"/>
      <c r="KX78" s="264"/>
      <c r="KY78" s="75"/>
      <c r="KZ78" s="1857"/>
      <c r="LA78" s="358"/>
      <c r="LB78" s="358"/>
      <c r="LC78" s="358"/>
      <c r="LD78" s="151"/>
      <c r="LE78" s="1854"/>
      <c r="LF78" s="1855"/>
      <c r="LG78" s="1855"/>
      <c r="LH78" s="1856"/>
      <c r="LI78" s="1857"/>
      <c r="LJ78" s="1858"/>
      <c r="LK78" s="1854"/>
      <c r="LL78" s="1856"/>
      <c r="LM78" s="1859"/>
      <c r="LN78" s="1727"/>
      <c r="LO78" s="1727"/>
      <c r="LP78" s="151"/>
      <c r="LQ78" s="1860"/>
      <c r="LR78" s="1727"/>
      <c r="LS78" s="1727"/>
      <c r="LT78" s="1861"/>
      <c r="LV78" s="439"/>
      <c r="LW78" s="208"/>
      <c r="LX78" s="208"/>
      <c r="LY78" s="96"/>
      <c r="LZ78" s="78"/>
      <c r="MA78" s="1862"/>
      <c r="MB78" s="265"/>
      <c r="MC78" s="265"/>
      <c r="MD78" s="371"/>
      <c r="ME78" s="157"/>
      <c r="MF78" s="439"/>
      <c r="MG78" s="208"/>
      <c r="MH78" s="208"/>
      <c r="MI78" s="371"/>
      <c r="MJ78" s="157"/>
      <c r="MK78" s="354"/>
      <c r="ML78" s="208"/>
      <c r="MM78" s="208"/>
      <c r="MN78" s="371"/>
      <c r="MO78" s="157"/>
      <c r="MP78" s="1579"/>
      <c r="MQ78" s="264"/>
      <c r="MR78" s="264"/>
      <c r="MS78" s="264"/>
      <c r="MT78" s="597"/>
      <c r="MU78" s="1318"/>
      <c r="MV78" s="395"/>
      <c r="MW78" s="395"/>
      <c r="MX78" s="395"/>
      <c r="MY78" s="655"/>
      <c r="MZ78" s="1318"/>
      <c r="NA78" s="395"/>
      <c r="NB78" s="395"/>
      <c r="NC78" s="395"/>
      <c r="ND78" s="801"/>
      <c r="NE78" s="209"/>
      <c r="NF78" s="208"/>
      <c r="NG78" s="208"/>
      <c r="NH78" s="395"/>
      <c r="NI78" s="801"/>
      <c r="NJ78" s="209"/>
      <c r="NK78" s="208"/>
      <c r="NL78" s="208"/>
      <c r="NM78" s="395"/>
      <c r="NN78" s="801"/>
      <c r="NO78" s="357"/>
      <c r="NP78" s="358"/>
      <c r="NQ78" s="359"/>
      <c r="NR78" s="395"/>
      <c r="NS78" s="801"/>
      <c r="NT78" s="357"/>
      <c r="NU78" s="358"/>
      <c r="NV78" s="358"/>
      <c r="NW78" s="395"/>
      <c r="NX78" s="801"/>
      <c r="NY78" s="357"/>
      <c r="NZ78" s="358"/>
      <c r="OA78" s="358"/>
      <c r="OB78" s="622"/>
      <c r="OC78" s="116"/>
      <c r="OD78" s="191"/>
      <c r="OE78" s="358"/>
      <c r="OF78" s="358"/>
      <c r="OG78" s="358"/>
      <c r="OH78" s="220"/>
      <c r="OI78" s="1863"/>
      <c r="OJ78" s="105"/>
      <c r="OK78" s="105"/>
      <c r="OL78" s="105"/>
      <c r="OM78" s="106"/>
      <c r="ON78" s="358"/>
      <c r="OO78" s="358"/>
      <c r="OP78" s="358"/>
      <c r="OQ78" s="359"/>
      <c r="OR78" s="169"/>
      <c r="OS78" s="686"/>
      <c r="OT78" s="146"/>
      <c r="OU78" s="146"/>
      <c r="OV78" s="1864"/>
      <c r="OW78" s="203"/>
      <c r="OX78" s="357"/>
      <c r="OY78" s="358"/>
      <c r="OZ78" s="358"/>
      <c r="PA78" s="359"/>
      <c r="PB78" s="114"/>
      <c r="PC78" s="79"/>
      <c r="PD78" s="439"/>
      <c r="PE78" s="208"/>
      <c r="PF78" s="208"/>
      <c r="PG78" s="96"/>
      <c r="PH78" s="78"/>
      <c r="PI78" s="439"/>
      <c r="PJ78" s="208"/>
      <c r="PK78" s="208"/>
      <c r="PL78" s="96"/>
      <c r="PM78" s="78"/>
      <c r="PN78" s="439"/>
      <c r="PO78" s="208"/>
      <c r="PP78" s="208"/>
      <c r="PQ78" s="371"/>
      <c r="PR78" s="157"/>
      <c r="PS78" s="1574"/>
      <c r="PT78" s="208"/>
      <c r="PU78" s="208"/>
      <c r="PV78" s="371"/>
      <c r="PW78" s="157"/>
      <c r="PX78" s="2080"/>
      <c r="PY78" s="264">
        <v>0</v>
      </c>
      <c r="PZ78" s="264">
        <v>0</v>
      </c>
      <c r="QA78" s="264">
        <v>0</v>
      </c>
      <c r="QB78" s="597"/>
      <c r="QC78" s="1318">
        <v>4</v>
      </c>
      <c r="QD78" s="395">
        <v>55484</v>
      </c>
      <c r="QE78" s="395">
        <v>73216</v>
      </c>
      <c r="QF78" s="395">
        <f t="shared" si="289"/>
        <v>17732</v>
      </c>
      <c r="QG78" s="655">
        <f t="shared" si="336"/>
        <v>0.2421875</v>
      </c>
      <c r="QH78" s="401">
        <v>4</v>
      </c>
      <c r="QI78" s="395">
        <v>130002</v>
      </c>
      <c r="QJ78" s="395">
        <v>176000</v>
      </c>
      <c r="QK78" s="395">
        <f t="shared" si="337"/>
        <v>45998</v>
      </c>
      <c r="QL78" s="801">
        <f t="shared" si="338"/>
        <v>0.26135227272727274</v>
      </c>
      <c r="QM78" s="2084">
        <v>4</v>
      </c>
      <c r="QN78" s="2085">
        <v>130002</v>
      </c>
      <c r="QO78" s="2085">
        <v>176000</v>
      </c>
      <c r="QP78" s="395">
        <f t="shared" si="339"/>
        <v>45998</v>
      </c>
      <c r="QQ78" s="801">
        <f t="shared" si="340"/>
        <v>0.26135227272727274</v>
      </c>
      <c r="QR78" s="209">
        <v>4</v>
      </c>
      <c r="QS78" s="208">
        <v>130002</v>
      </c>
      <c r="QT78" s="208">
        <v>176000</v>
      </c>
      <c r="QU78" s="395">
        <f t="shared" si="341"/>
        <v>45998</v>
      </c>
      <c r="QV78" s="157">
        <f t="shared" si="317"/>
        <v>0.26135227272727274</v>
      </c>
      <c r="QW78" s="209">
        <v>6</v>
      </c>
      <c r="QX78" s="208">
        <v>189880</v>
      </c>
      <c r="QY78" s="208">
        <v>241303</v>
      </c>
      <c r="QZ78" s="395">
        <f t="shared" si="318"/>
        <v>51423</v>
      </c>
      <c r="RA78" s="2083">
        <f t="shared" si="342"/>
        <v>0.21310551464341512</v>
      </c>
      <c r="RB78" s="209">
        <v>5</v>
      </c>
      <c r="RC78" s="208">
        <v>166669</v>
      </c>
      <c r="RD78" s="208">
        <v>210000</v>
      </c>
      <c r="RE78" s="208">
        <f t="shared" si="343"/>
        <v>43331</v>
      </c>
      <c r="RF78" s="116">
        <f t="shared" si="344"/>
        <v>0.20633809523809524</v>
      </c>
      <c r="RG78" s="1857">
        <v>4</v>
      </c>
      <c r="RH78" s="208">
        <v>133335</v>
      </c>
      <c r="RI78" s="208">
        <v>166000</v>
      </c>
      <c r="RJ78" s="772">
        <f t="shared" si="369"/>
        <v>32665</v>
      </c>
      <c r="RK78" s="116">
        <f t="shared" si="345"/>
        <v>0.19677710843373494</v>
      </c>
      <c r="RL78" s="1567">
        <v>4</v>
      </c>
      <c r="RM78" s="1568">
        <f t="shared" si="346"/>
        <v>935374</v>
      </c>
      <c r="RN78" s="1568">
        <f t="shared" si="346"/>
        <v>1218519</v>
      </c>
      <c r="RO78" s="1568">
        <f t="shared" si="346"/>
        <v>283145</v>
      </c>
      <c r="RP78" s="220">
        <f t="shared" si="347"/>
        <v>0.2323681452648666</v>
      </c>
      <c r="RQ78" s="1863"/>
      <c r="RR78" s="105"/>
      <c r="RS78" s="105"/>
      <c r="RT78" s="105"/>
      <c r="RU78" s="106"/>
      <c r="RV78" s="358">
        <v>4</v>
      </c>
      <c r="RW78" s="358">
        <f t="shared" si="349"/>
        <v>55484</v>
      </c>
      <c r="RX78" s="358">
        <f t="shared" si="349"/>
        <v>73216</v>
      </c>
      <c r="RY78" s="359">
        <f t="shared" si="349"/>
        <v>17732</v>
      </c>
      <c r="RZ78" s="169">
        <f t="shared" si="362"/>
        <v>0.2421875</v>
      </c>
      <c r="SA78" s="686">
        <v>4</v>
      </c>
      <c r="SB78" s="146">
        <f t="shared" ref="SB78:SD105" si="374">QS78+QN78+QI78</f>
        <v>390006</v>
      </c>
      <c r="SC78" s="146">
        <f t="shared" si="374"/>
        <v>528000</v>
      </c>
      <c r="SD78" s="1864">
        <f t="shared" si="374"/>
        <v>137994</v>
      </c>
      <c r="SE78" s="203">
        <f t="shared" si="370"/>
        <v>0.26135227272727274</v>
      </c>
      <c r="SF78" s="1567">
        <v>4</v>
      </c>
      <c r="SG78" s="358">
        <f t="shared" si="319"/>
        <v>489884</v>
      </c>
      <c r="SH78" s="358">
        <f t="shared" si="319"/>
        <v>617303</v>
      </c>
      <c r="SI78" s="359">
        <f t="shared" si="319"/>
        <v>127419</v>
      </c>
      <c r="SJ78" s="114">
        <f t="shared" si="294"/>
        <v>0.20641241011302391</v>
      </c>
      <c r="SL78" s="439">
        <v>5</v>
      </c>
      <c r="SM78" s="208">
        <v>168335</v>
      </c>
      <c r="SN78" s="208">
        <v>195000</v>
      </c>
      <c r="SO78" s="96">
        <f t="shared" si="264"/>
        <v>26665</v>
      </c>
      <c r="SP78" s="78">
        <f t="shared" ref="SP78:SP106" si="375">SO78/SN78</f>
        <v>0.13674358974358974</v>
      </c>
      <c r="SQ78" s="439">
        <v>5</v>
      </c>
      <c r="SR78" s="208">
        <v>166669</v>
      </c>
      <c r="SS78" s="208">
        <v>210000</v>
      </c>
      <c r="ST78" s="96">
        <f t="shared" si="320"/>
        <v>43331</v>
      </c>
      <c r="SU78" s="222">
        <f>ST78/SS78</f>
        <v>0.20633809523809524</v>
      </c>
      <c r="SV78" s="439">
        <v>5</v>
      </c>
      <c r="SW78" s="208">
        <v>166669</v>
      </c>
      <c r="SX78" s="208">
        <v>210000</v>
      </c>
      <c r="SY78" s="371">
        <f t="shared" si="321"/>
        <v>43331</v>
      </c>
      <c r="SZ78" s="157">
        <f t="shared" si="363"/>
        <v>0.20633809523809524</v>
      </c>
      <c r="TA78" s="1574">
        <v>5</v>
      </c>
      <c r="TB78" s="208">
        <v>166669</v>
      </c>
      <c r="TC78" s="994">
        <v>210000</v>
      </c>
      <c r="TD78" s="96">
        <f t="shared" si="280"/>
        <v>43331</v>
      </c>
      <c r="TE78" s="94">
        <f t="shared" si="295"/>
        <v>0.20633809523809524</v>
      </c>
      <c r="TF78" s="1574">
        <v>5</v>
      </c>
      <c r="TG78" s="208">
        <v>166669</v>
      </c>
      <c r="TH78" s="208">
        <v>210000</v>
      </c>
      <c r="TI78" s="208">
        <f t="shared" si="350"/>
        <v>43331</v>
      </c>
      <c r="TJ78" s="114">
        <f t="shared" si="296"/>
        <v>0.20633809523809524</v>
      </c>
      <c r="TK78" s="1318">
        <v>5</v>
      </c>
      <c r="TL78" s="208">
        <v>166669</v>
      </c>
      <c r="TM78" s="208">
        <v>210000</v>
      </c>
      <c r="TN78" s="4101">
        <f t="shared" si="351"/>
        <v>43331</v>
      </c>
      <c r="TO78" s="114">
        <f t="shared" si="364"/>
        <v>0.20633809523809524</v>
      </c>
      <c r="TP78" s="4434">
        <v>5</v>
      </c>
      <c r="TQ78" s="395">
        <v>135378</v>
      </c>
      <c r="TR78" s="395">
        <v>183084</v>
      </c>
      <c r="TS78" s="772">
        <f t="shared" si="352"/>
        <v>47706</v>
      </c>
      <c r="TT78" s="116">
        <f t="shared" si="365"/>
        <v>0.26056891918463654</v>
      </c>
      <c r="TU78" s="6140">
        <v>5</v>
      </c>
      <c r="TV78" s="2085">
        <v>154736</v>
      </c>
      <c r="TW78" s="2085">
        <v>209704</v>
      </c>
      <c r="TX78" s="395">
        <f t="shared" si="353"/>
        <v>54968</v>
      </c>
      <c r="TY78" s="801">
        <f t="shared" si="366"/>
        <v>0.26212184793804599</v>
      </c>
      <c r="TZ78" s="209">
        <v>5</v>
      </c>
      <c r="UA78" s="208">
        <v>161669</v>
      </c>
      <c r="UB78" s="208">
        <v>220000</v>
      </c>
      <c r="UC78" s="772">
        <f t="shared" si="354"/>
        <v>58331</v>
      </c>
      <c r="UD78" s="116">
        <f>UC78/UB78</f>
        <v>0.26514090909090909</v>
      </c>
      <c r="UE78" s="1868">
        <v>5</v>
      </c>
      <c r="UF78" s="1575">
        <v>161669</v>
      </c>
      <c r="UG78" s="1575">
        <v>220000</v>
      </c>
      <c r="UH78" s="2001">
        <f t="shared" si="322"/>
        <v>58331</v>
      </c>
      <c r="UI78" s="6495">
        <f t="shared" si="367"/>
        <v>0.26514090909090909</v>
      </c>
      <c r="UJ78" s="209"/>
      <c r="UK78" s="208"/>
      <c r="UL78" s="208"/>
      <c r="UM78" s="208">
        <f t="shared" si="355"/>
        <v>0</v>
      </c>
      <c r="UN78" s="116" t="e">
        <f t="shared" si="356"/>
        <v>#DIV/0!</v>
      </c>
      <c r="UO78" s="1567"/>
      <c r="UP78" s="1568"/>
      <c r="UQ78" s="1568"/>
      <c r="UR78" s="1873">
        <f t="shared" si="323"/>
        <v>0</v>
      </c>
      <c r="US78" s="116" t="e">
        <f t="shared" si="357"/>
        <v>#DIV/0!</v>
      </c>
      <c r="UT78" s="1567"/>
      <c r="UU78" s="358">
        <f t="shared" si="371"/>
        <v>1615132</v>
      </c>
      <c r="UV78" s="358">
        <f t="shared" si="371"/>
        <v>2077788</v>
      </c>
      <c r="UW78" s="358">
        <f t="shared" si="371"/>
        <v>462656</v>
      </c>
      <c r="UX78" s="220">
        <f t="shared" si="358"/>
        <v>0.222667567624801</v>
      </c>
      <c r="UY78" s="1863">
        <f t="shared" si="324"/>
        <v>5</v>
      </c>
      <c r="UZ78" s="105">
        <f t="shared" si="359"/>
        <v>501673</v>
      </c>
      <c r="VA78" s="105">
        <f t="shared" si="359"/>
        <v>615000</v>
      </c>
      <c r="VB78" s="105">
        <f t="shared" si="359"/>
        <v>113327</v>
      </c>
      <c r="VC78" s="106">
        <f t="shared" si="325"/>
        <v>0.18427154471544716</v>
      </c>
      <c r="VD78" s="358"/>
      <c r="VE78" s="358">
        <f t="shared" si="326"/>
        <v>500007</v>
      </c>
      <c r="VF78" s="358">
        <f t="shared" si="326"/>
        <v>630000</v>
      </c>
      <c r="VG78" s="359">
        <f t="shared" si="326"/>
        <v>129993</v>
      </c>
      <c r="VH78" s="169">
        <f t="shared" si="372"/>
        <v>0.20633809523809524</v>
      </c>
      <c r="VI78" s="686"/>
      <c r="VJ78" s="146">
        <f t="shared" si="373"/>
        <v>451783</v>
      </c>
      <c r="VK78" s="146">
        <f t="shared" si="360"/>
        <v>612788</v>
      </c>
      <c r="VL78" s="1864">
        <f t="shared" si="360"/>
        <v>161005</v>
      </c>
      <c r="VM78" s="203">
        <f t="shared" si="268"/>
        <v>0.26274176387266068</v>
      </c>
      <c r="VN78" s="1567"/>
      <c r="VO78" s="358">
        <f t="shared" si="368"/>
        <v>161669</v>
      </c>
      <c r="VP78" s="358">
        <f t="shared" si="361"/>
        <v>220000</v>
      </c>
      <c r="VQ78" s="359">
        <f t="shared" si="361"/>
        <v>58331</v>
      </c>
      <c r="VR78" s="114">
        <f t="shared" si="300"/>
        <v>0.26514090909090909</v>
      </c>
    </row>
    <row r="79" spans="1:590" s="1193" customFormat="1" ht="15.05" customHeight="1" x14ac:dyDescent="0.3">
      <c r="A79" s="1297"/>
      <c r="B79" s="1773" t="s">
        <v>53</v>
      </c>
      <c r="C79" s="1991" t="s">
        <v>825</v>
      </c>
      <c r="D79" s="1992" t="s">
        <v>70</v>
      </c>
      <c r="E79" s="2086">
        <v>45383</v>
      </c>
      <c r="F79" s="2086">
        <v>45768</v>
      </c>
      <c r="G79" s="1994">
        <v>236000</v>
      </c>
      <c r="H79" s="1874"/>
      <c r="I79" s="1875"/>
      <c r="J79" s="1875"/>
      <c r="K79" s="1875"/>
      <c r="L79" s="1876"/>
      <c r="M79" s="1874"/>
      <c r="N79" s="1875"/>
      <c r="O79" s="1875"/>
      <c r="P79" s="1875"/>
      <c r="Q79" s="1876"/>
      <c r="R79" s="1874"/>
      <c r="S79" s="1875"/>
      <c r="T79" s="1875"/>
      <c r="U79" s="1875"/>
      <c r="V79" s="1876"/>
      <c r="W79" s="1874"/>
      <c r="X79" s="1875"/>
      <c r="Y79" s="1875"/>
      <c r="Z79" s="1875"/>
      <c r="AA79" s="1877"/>
      <c r="AB79" s="1874"/>
      <c r="AC79" s="1875"/>
      <c r="AD79" s="1875"/>
      <c r="AE79" s="1875"/>
      <c r="AF79" s="1877"/>
      <c r="AG79" s="1875"/>
      <c r="AH79" s="1875"/>
      <c r="AI79" s="1875"/>
      <c r="AJ79" s="1875"/>
      <c r="AK79" s="1876"/>
      <c r="AL79" s="1875"/>
      <c r="AM79" s="1875"/>
      <c r="AN79" s="1875"/>
      <c r="AO79" s="1875"/>
      <c r="AP79" s="1876"/>
      <c r="AQ79" s="1875"/>
      <c r="AR79" s="1875"/>
      <c r="AS79" s="1875"/>
      <c r="AT79" s="1875"/>
      <c r="AU79" s="1876"/>
      <c r="AV79" s="1878"/>
      <c r="AW79" s="1875"/>
      <c r="AX79" s="1875"/>
      <c r="AY79" s="1875"/>
      <c r="AZ79" s="1877"/>
      <c r="BA79" s="1878"/>
      <c r="BB79" s="1875"/>
      <c r="BC79" s="1875"/>
      <c r="BD79" s="1875"/>
      <c r="BE79" s="1877"/>
      <c r="BF79" s="1878"/>
      <c r="BG79" s="1875"/>
      <c r="BH79" s="1875"/>
      <c r="BI79" s="1875"/>
      <c r="BJ79" s="1877"/>
      <c r="BK79" s="1878"/>
      <c r="BL79" s="1875"/>
      <c r="BM79" s="1875"/>
      <c r="BN79" s="1875"/>
      <c r="BO79" s="1877"/>
      <c r="BP79" s="1879"/>
      <c r="BQ79" s="1875"/>
      <c r="BR79" s="1875"/>
      <c r="BS79" s="1875"/>
      <c r="BT79" s="1880"/>
      <c r="BU79" s="1875"/>
      <c r="BV79" s="1875"/>
      <c r="BW79" s="1881"/>
      <c r="BX79" s="1880"/>
      <c r="BY79" s="1875"/>
      <c r="BZ79" s="1875"/>
      <c r="CA79" s="1882"/>
      <c r="CB79" s="1875"/>
      <c r="CC79" s="1875"/>
      <c r="CD79" s="1875"/>
      <c r="CE79" s="1875"/>
      <c r="CF79" s="1880"/>
      <c r="CG79" s="1875"/>
      <c r="CH79" s="1875"/>
      <c r="CI79" s="1882"/>
      <c r="CJ79" s="1883"/>
      <c r="CK79" s="1875"/>
      <c r="CL79" s="1875"/>
      <c r="CM79" s="1875"/>
      <c r="CN79" s="1881"/>
      <c r="CO79" s="1883"/>
      <c r="CP79" s="1874"/>
      <c r="CQ79" s="1874"/>
      <c r="CR79" s="1874"/>
      <c r="CS79" s="1881"/>
      <c r="CT79" s="1883"/>
      <c r="CU79" s="1875"/>
      <c r="CV79" s="1875"/>
      <c r="CW79" s="1875"/>
      <c r="CX79" s="1881"/>
      <c r="CY79" s="1883"/>
      <c r="CZ79" s="1875"/>
      <c r="DA79" s="1875"/>
      <c r="DB79" s="1875"/>
      <c r="DC79" s="1881"/>
      <c r="DD79" s="1883"/>
      <c r="DE79" s="1875"/>
      <c r="DF79" s="1875"/>
      <c r="DG79" s="1875"/>
      <c r="DH79" s="1884"/>
      <c r="DI79" s="1883"/>
      <c r="DJ79" s="1875"/>
      <c r="DK79" s="1875"/>
      <c r="DL79" s="1875"/>
      <c r="DM79" s="1884"/>
      <c r="DN79" s="1883"/>
      <c r="DO79" s="1875"/>
      <c r="DP79" s="1875"/>
      <c r="DQ79" s="1875"/>
      <c r="DR79" s="1884"/>
      <c r="DS79" s="1883"/>
      <c r="DT79" s="1875"/>
      <c r="DU79" s="1875"/>
      <c r="DV79" s="1875"/>
      <c r="DW79" s="1884"/>
      <c r="DX79" s="1883"/>
      <c r="DY79" s="1875"/>
      <c r="DZ79" s="1875"/>
      <c r="EA79" s="1875"/>
      <c r="EB79" s="1884"/>
      <c r="EC79" s="1883"/>
      <c r="ED79" s="1875"/>
      <c r="EE79" s="1875"/>
      <c r="EF79" s="1875"/>
      <c r="EG79" s="1884"/>
      <c r="EH79" s="1885"/>
      <c r="EI79" s="1886"/>
      <c r="EJ79" s="1886"/>
      <c r="EK79" s="1886"/>
      <c r="EL79" s="1887"/>
      <c r="EM79" s="1888"/>
      <c r="EN79" s="1889"/>
      <c r="EO79" s="1889"/>
      <c r="EP79" s="1889"/>
      <c r="EQ79" s="166"/>
      <c r="ER79" s="1713">
        <f>(CJ79+CO79+CT79+CY79+DD79+DI79+DN79+DS79+DX79+EC79+EH79+EM79)/12</f>
        <v>0</v>
      </c>
      <c r="ES79" s="1714">
        <f t="shared" ref="ES79:EU82" si="376">CK79+CP79+CU79+CZ79+DE79+DJ79+DO79+DT79+DY79+ED79+EI79+EN79</f>
        <v>0</v>
      </c>
      <c r="ET79" s="1714">
        <f t="shared" si="376"/>
        <v>0</v>
      </c>
      <c r="EU79" s="1714">
        <f t="shared" si="376"/>
        <v>0</v>
      </c>
      <c r="EV79" s="1715" t="e">
        <f>EU79/ET79</f>
        <v>#DIV/0!</v>
      </c>
      <c r="EW79" s="1890"/>
      <c r="EX79" s="1890"/>
      <c r="EY79" s="1890"/>
      <c r="EZ79" s="1891"/>
      <c r="FA79" s="1885"/>
      <c r="FB79" s="1890"/>
      <c r="FC79" s="1890"/>
      <c r="FD79" s="1892"/>
      <c r="FE79" s="1890"/>
      <c r="FF79" s="1890"/>
      <c r="FG79" s="1890"/>
      <c r="FH79" s="1891"/>
      <c r="FI79" s="1893"/>
      <c r="FJ79" s="1894"/>
      <c r="FK79" s="1895"/>
      <c r="FL79" s="1895"/>
      <c r="FM79" s="1896"/>
      <c r="FN79" s="1890"/>
      <c r="FO79" s="1886"/>
      <c r="FP79" s="1886"/>
      <c r="FQ79" s="1886"/>
      <c r="FR79" s="1897"/>
      <c r="FS79" s="1888"/>
      <c r="FT79" s="1889"/>
      <c r="FU79" s="1889"/>
      <c r="FV79" s="1889"/>
      <c r="FW79" s="1898"/>
      <c r="FX79" s="1885"/>
      <c r="FY79" s="1886"/>
      <c r="FZ79" s="1886"/>
      <c r="GA79" s="1889"/>
      <c r="GB79" s="1898"/>
      <c r="GC79" s="1899"/>
      <c r="GD79" s="1900"/>
      <c r="GE79" s="1900"/>
      <c r="GF79" s="1889"/>
      <c r="GG79" s="166"/>
      <c r="GH79" s="1901"/>
      <c r="GI79" s="1824"/>
      <c r="GJ79" s="1824"/>
      <c r="GK79" s="1902"/>
      <c r="GL79" s="1898"/>
      <c r="GM79" s="1901"/>
      <c r="GN79" s="1824"/>
      <c r="GO79" s="1824"/>
      <c r="GP79" s="1902"/>
      <c r="GQ79" s="1898"/>
      <c r="GR79" s="1903"/>
      <c r="GS79" s="1904"/>
      <c r="GT79" s="1904"/>
      <c r="GU79" s="1902"/>
      <c r="GV79" s="1898"/>
      <c r="GW79" s="1903"/>
      <c r="GX79" s="1904"/>
      <c r="GY79" s="1904"/>
      <c r="GZ79" s="1902"/>
      <c r="HA79" s="1898"/>
      <c r="HB79" s="1903"/>
      <c r="HC79" s="1904"/>
      <c r="HD79" s="1904"/>
      <c r="HE79" s="1902"/>
      <c r="HF79" s="1898"/>
      <c r="HG79" s="1903"/>
      <c r="HH79" s="1904"/>
      <c r="HI79" s="1904"/>
      <c r="HJ79" s="1818"/>
      <c r="HK79" s="1898"/>
      <c r="HL79" s="1903"/>
      <c r="HM79" s="1904"/>
      <c r="HN79" s="1904"/>
      <c r="HO79" s="715"/>
      <c r="HP79" s="166"/>
      <c r="HQ79" s="1905"/>
      <c r="HR79" s="1248"/>
      <c r="HS79" s="1248"/>
      <c r="HT79" s="1248"/>
      <c r="HU79" s="1826"/>
      <c r="HV79" s="1827">
        <f>(FN79+FS79+FX79+GC79+GH79+GM79+GR79+GW79+HB79+HG79+HL79+HQ79)/12</f>
        <v>0</v>
      </c>
      <c r="HW79" s="1089">
        <f t="shared" ref="HW79:HY82" si="377">FO79+FT79+FY79+GD79+GI79+GN79+GS79+GX79+HC79+HH79+HM79+HR79</f>
        <v>0</v>
      </c>
      <c r="HX79" s="1089">
        <f t="shared" si="377"/>
        <v>0</v>
      </c>
      <c r="HY79" s="1089">
        <f t="shared" si="377"/>
        <v>0</v>
      </c>
      <c r="HZ79" s="1906"/>
      <c r="IA79" s="1907"/>
      <c r="IB79" s="1908"/>
      <c r="IC79" s="1908"/>
      <c r="ID79" s="1909"/>
      <c r="IE79" s="1910"/>
      <c r="IF79" s="1911"/>
      <c r="IG79" s="1912"/>
      <c r="IH79" s="1909"/>
      <c r="II79" s="1835"/>
      <c r="IJ79" s="1836"/>
      <c r="IK79" s="1836"/>
      <c r="IL79" s="693"/>
      <c r="IM79" s="1913"/>
      <c r="IN79" s="1836"/>
      <c r="IO79" s="1836"/>
      <c r="IP79" s="1838"/>
      <c r="IQ79" s="1914"/>
      <c r="IR79" s="1915"/>
      <c r="IS79" s="1916"/>
      <c r="IT79" s="1916"/>
      <c r="IU79" s="1917"/>
      <c r="IV79" s="1918"/>
      <c r="IW79" s="1919"/>
      <c r="IX79" s="1920"/>
      <c r="IY79" s="1921"/>
      <c r="IZ79" s="1719"/>
      <c r="JA79" s="1721"/>
      <c r="JB79" s="1922"/>
      <c r="JC79" s="1923"/>
      <c r="JD79" s="1924"/>
      <c r="JE79" s="1719"/>
      <c r="JF79" s="1721"/>
      <c r="JG79" s="1925">
        <v>5</v>
      </c>
      <c r="JH79" s="1096">
        <v>53875</v>
      </c>
      <c r="JI79" s="1096">
        <v>200000</v>
      </c>
      <c r="JJ79" s="1756">
        <f>JI79-JH79</f>
        <v>146125</v>
      </c>
      <c r="JK79" s="1821">
        <f>JJ79/JI79</f>
        <v>0.73062499999999997</v>
      </c>
      <c r="JL79" s="1926">
        <v>5</v>
      </c>
      <c r="JM79" s="1096">
        <v>136012</v>
      </c>
      <c r="JN79" s="1096">
        <v>200000</v>
      </c>
      <c r="JO79" s="1843">
        <f>JN79-JM79</f>
        <v>63988</v>
      </c>
      <c r="JP79" s="1821">
        <f>JO79/JN79</f>
        <v>0.31994</v>
      </c>
      <c r="JQ79" s="1926">
        <v>5</v>
      </c>
      <c r="JR79" s="1982">
        <v>136568</v>
      </c>
      <c r="JS79" s="1248">
        <v>200000</v>
      </c>
      <c r="JT79" s="1996">
        <f>JS79-JR79</f>
        <v>63432</v>
      </c>
      <c r="JU79" s="1821">
        <f>JT79/JS79</f>
        <v>0.31716</v>
      </c>
      <c r="JV79" s="1849">
        <v>5</v>
      </c>
      <c r="JW79" s="1119">
        <v>136900</v>
      </c>
      <c r="JX79" s="1850">
        <v>200000</v>
      </c>
      <c r="JY79" s="1845">
        <f>JX79-JW79</f>
        <v>63100</v>
      </c>
      <c r="JZ79" s="1721">
        <f>JY79/JX79</f>
        <v>0.3155</v>
      </c>
      <c r="KA79" s="1846">
        <v>5</v>
      </c>
      <c r="KB79" s="264">
        <v>136545</v>
      </c>
      <c r="KC79" s="264">
        <v>200000</v>
      </c>
      <c r="KD79" s="964">
        <f>KC79-KB79</f>
        <v>63455</v>
      </c>
      <c r="KE79" s="1848">
        <f>KD79/KC79</f>
        <v>0.31727499999999997</v>
      </c>
      <c r="KF79" s="1849">
        <v>4</v>
      </c>
      <c r="KG79" s="1850">
        <v>109187</v>
      </c>
      <c r="KH79" s="1850">
        <v>200000</v>
      </c>
      <c r="KI79" s="1719">
        <f>KH79-KG79</f>
        <v>90813</v>
      </c>
      <c r="KJ79" s="1721">
        <f>KI79/KH79</f>
        <v>0.454065</v>
      </c>
      <c r="KK79" s="1849">
        <v>4</v>
      </c>
      <c r="KL79" s="1850">
        <v>109445</v>
      </c>
      <c r="KM79" s="1850">
        <v>200000</v>
      </c>
      <c r="KN79" s="1851">
        <f>KM79-KL79</f>
        <v>90555</v>
      </c>
      <c r="KO79" s="1852">
        <f>KN79/KM79</f>
        <v>0.45277499999999998</v>
      </c>
      <c r="KP79" s="1722">
        <v>5</v>
      </c>
      <c r="KQ79" s="972">
        <v>127302</v>
      </c>
      <c r="KR79" s="264">
        <v>200000</v>
      </c>
      <c r="KS79" s="1845">
        <f>KR79-KQ79</f>
        <v>72698</v>
      </c>
      <c r="KT79" s="1720">
        <f>KS79/KR79</f>
        <v>0.36348999999999998</v>
      </c>
      <c r="KU79" s="1853">
        <v>5</v>
      </c>
      <c r="KV79" s="264">
        <v>130548</v>
      </c>
      <c r="KW79" s="264">
        <v>200000</v>
      </c>
      <c r="KX79" s="264">
        <f>KW79-KV79</f>
        <v>69452</v>
      </c>
      <c r="KY79" s="75">
        <f>KX79/KW79</f>
        <v>0.34726000000000001</v>
      </c>
      <c r="KZ79" s="1857">
        <v>5</v>
      </c>
      <c r="LA79" s="358">
        <f t="shared" ref="LA79:LC80" si="378">IS79+IX79+JC79+JH79+JM79+JR79+JW79+KB79+KG79+KL79+KQ79+KV79</f>
        <v>1076382</v>
      </c>
      <c r="LB79" s="358">
        <f t="shared" si="378"/>
        <v>1800000</v>
      </c>
      <c r="LC79" s="358">
        <f t="shared" si="378"/>
        <v>723618</v>
      </c>
      <c r="LD79" s="151">
        <f>LC79/LB79</f>
        <v>0.40200999999999998</v>
      </c>
      <c r="LE79" s="1854">
        <f>(IR79+IW79+JB79)/3</f>
        <v>0</v>
      </c>
      <c r="LF79" s="1855">
        <f t="shared" ref="LF79:LG81" si="379">IT79+IY79+JD79</f>
        <v>0</v>
      </c>
      <c r="LG79" s="1855">
        <f t="shared" si="379"/>
        <v>0</v>
      </c>
      <c r="LH79" s="1856"/>
      <c r="LI79" s="1857">
        <f>(JG79+JL79+JQ79)/3</f>
        <v>5</v>
      </c>
      <c r="LJ79" s="1858">
        <f t="shared" ref="LJ79:LK81" si="380">(JI79+JN79+JS79)</f>
        <v>600000</v>
      </c>
      <c r="LK79" s="1854">
        <f t="shared" si="380"/>
        <v>273545</v>
      </c>
      <c r="LL79" s="1856">
        <f>LK79/LJ79</f>
        <v>0.45590833333333336</v>
      </c>
      <c r="LM79" s="1859">
        <f>(JV79+KA79+KF79)/3</f>
        <v>4.666666666666667</v>
      </c>
      <c r="LN79" s="1727">
        <f t="shared" ref="LN79:LO81" si="381">(JX79+KC79+KH79)</f>
        <v>600000</v>
      </c>
      <c r="LO79" s="1727">
        <f t="shared" si="381"/>
        <v>217368</v>
      </c>
      <c r="LP79" s="151">
        <f>LO79/LN79</f>
        <v>0.36227999999999999</v>
      </c>
      <c r="LQ79" s="1860">
        <f>(KK79+KP79+KU79)/3</f>
        <v>4.666666666666667</v>
      </c>
      <c r="LR79" s="1727">
        <f t="shared" ref="LR79:LS81" si="382">(KM79+KR79+KW79)</f>
        <v>600000</v>
      </c>
      <c r="LS79" s="1727">
        <f t="shared" si="382"/>
        <v>232705</v>
      </c>
      <c r="LT79" s="1861">
        <f>LS79/LR79</f>
        <v>0.38784166666666664</v>
      </c>
      <c r="LV79" s="439">
        <v>5</v>
      </c>
      <c r="LW79" s="208">
        <v>148617</v>
      </c>
      <c r="LX79" s="208">
        <v>200000</v>
      </c>
      <c r="LY79" s="96">
        <f>LX79-LW79</f>
        <v>51383</v>
      </c>
      <c r="LZ79" s="78">
        <f>LY79/LX79</f>
        <v>0.256915</v>
      </c>
      <c r="MA79" s="1862">
        <v>5</v>
      </c>
      <c r="MB79" s="265">
        <v>148617</v>
      </c>
      <c r="MC79" s="265">
        <v>200000</v>
      </c>
      <c r="MD79" s="371">
        <f>MC79-MB79</f>
        <v>51383</v>
      </c>
      <c r="ME79" s="157">
        <f>MD79/MC79</f>
        <v>0.256915</v>
      </c>
      <c r="MF79" s="439">
        <v>5</v>
      </c>
      <c r="MG79" s="208">
        <v>148617</v>
      </c>
      <c r="MH79" s="208">
        <v>200000</v>
      </c>
      <c r="MI79" s="371">
        <f>MH79-MG79</f>
        <v>51383</v>
      </c>
      <c r="MJ79" s="157">
        <f>MI79/MH79</f>
        <v>0.256915</v>
      </c>
      <c r="MK79" s="354">
        <v>5</v>
      </c>
      <c r="ML79" s="208">
        <v>148617</v>
      </c>
      <c r="MM79" s="208">
        <v>200000</v>
      </c>
      <c r="MN79" s="371">
        <f>MM79-ML79</f>
        <v>51383</v>
      </c>
      <c r="MO79" s="157">
        <f>MN79/MM79</f>
        <v>0.256915</v>
      </c>
      <c r="MP79" s="1579">
        <v>5</v>
      </c>
      <c r="MQ79" s="264">
        <v>143913</v>
      </c>
      <c r="MR79" s="264">
        <v>200000</v>
      </c>
      <c r="MS79" s="264">
        <f>MR79-MQ79</f>
        <v>56087</v>
      </c>
      <c r="MT79" s="597">
        <f>MS79/MR79</f>
        <v>0.28043499999999999</v>
      </c>
      <c r="MU79" s="209">
        <v>5</v>
      </c>
      <c r="MV79" s="208">
        <v>153617</v>
      </c>
      <c r="MW79" s="208">
        <v>200000</v>
      </c>
      <c r="MX79" s="208">
        <f>MW79-MV79</f>
        <v>46383</v>
      </c>
      <c r="MY79" s="597">
        <f>MX79/MW79</f>
        <v>0.23191500000000001</v>
      </c>
      <c r="MZ79" s="209">
        <v>5</v>
      </c>
      <c r="NA79" s="208">
        <v>153617</v>
      </c>
      <c r="NB79" s="208">
        <v>200000</v>
      </c>
      <c r="NC79" s="208">
        <f>NB79-NA79</f>
        <v>46383</v>
      </c>
      <c r="ND79" s="1313">
        <f>NC79/NB79</f>
        <v>0.23191500000000001</v>
      </c>
      <c r="NE79" s="209">
        <v>5</v>
      </c>
      <c r="NF79" s="208">
        <v>153617</v>
      </c>
      <c r="NG79" s="208">
        <v>200000</v>
      </c>
      <c r="NH79" s="208">
        <f>NG79-NF79</f>
        <v>46383</v>
      </c>
      <c r="NI79" s="1313">
        <f>NH79/NG79</f>
        <v>0.23191500000000001</v>
      </c>
      <c r="NJ79" s="209">
        <v>5</v>
      </c>
      <c r="NK79" s="208">
        <v>149041</v>
      </c>
      <c r="NL79" s="208">
        <v>200000</v>
      </c>
      <c r="NM79" s="208">
        <f>NL79-NK79</f>
        <v>50959</v>
      </c>
      <c r="NN79" s="1313">
        <f>NM79/NL79</f>
        <v>0.25479499999999999</v>
      </c>
      <c r="NO79" s="357">
        <v>5</v>
      </c>
      <c r="NP79" s="358">
        <v>167833</v>
      </c>
      <c r="NQ79" s="359">
        <v>200000</v>
      </c>
      <c r="NR79" s="208">
        <f>NQ79-NP79</f>
        <v>32167</v>
      </c>
      <c r="NS79" s="1313">
        <f>NR79/NQ79</f>
        <v>0.16083500000000001</v>
      </c>
      <c r="NT79" s="357">
        <v>5</v>
      </c>
      <c r="NU79" s="358">
        <v>167833</v>
      </c>
      <c r="NV79" s="358">
        <v>200000</v>
      </c>
      <c r="NW79" s="208">
        <f>NV79-NU79</f>
        <v>32167</v>
      </c>
      <c r="NX79" s="1313">
        <f>NW79/NV79</f>
        <v>0.16083500000000001</v>
      </c>
      <c r="NY79" s="357">
        <v>6</v>
      </c>
      <c r="NZ79" s="358">
        <v>180898</v>
      </c>
      <c r="OA79" s="358">
        <v>200000</v>
      </c>
      <c r="OB79" s="622">
        <f>OA79-NZ79</f>
        <v>19102</v>
      </c>
      <c r="OC79" s="116">
        <f>OB79/OA79</f>
        <v>9.5509999999999998E-2</v>
      </c>
      <c r="OD79" s="191">
        <v>6</v>
      </c>
      <c r="OE79" s="358">
        <f t="shared" ref="OE79:OG84" si="383">NZ79+NU79+NP79+NK79+NF79+NA79+MV79+MQ79+ML79+MG79+MB79+LW79</f>
        <v>1864837</v>
      </c>
      <c r="OF79" s="358">
        <f t="shared" si="383"/>
        <v>2400000</v>
      </c>
      <c r="OG79" s="358">
        <f t="shared" si="383"/>
        <v>535163</v>
      </c>
      <c r="OH79" s="220">
        <f>OG79/OF79</f>
        <v>0.22298458333333335</v>
      </c>
      <c r="OI79" s="1863">
        <f>(LV79+MA79+MF79)/3</f>
        <v>5</v>
      </c>
      <c r="OJ79" s="105">
        <f t="shared" ref="OJ79:OL84" si="384">LW79+MB79+MG79</f>
        <v>445851</v>
      </c>
      <c r="OK79" s="105">
        <f t="shared" si="384"/>
        <v>600000</v>
      </c>
      <c r="OL79" s="105">
        <f t="shared" si="384"/>
        <v>154149</v>
      </c>
      <c r="OM79" s="106">
        <f>OL79/OK79</f>
        <v>0.256915</v>
      </c>
      <c r="ON79" s="358">
        <f>(MK79+MP79+MU79)/3</f>
        <v>5</v>
      </c>
      <c r="OO79" s="358">
        <f t="shared" ref="OO79:OQ82" si="385">ML79+MQ79+MV79</f>
        <v>446147</v>
      </c>
      <c r="OP79" s="358">
        <f t="shared" si="385"/>
        <v>600000</v>
      </c>
      <c r="OQ79" s="359">
        <f t="shared" si="385"/>
        <v>153853</v>
      </c>
      <c r="OR79" s="169">
        <f>OQ79/OP79</f>
        <v>0.25642166666666666</v>
      </c>
      <c r="OS79" s="686">
        <f>(NJ79+NE79+MZ79)/3</f>
        <v>5</v>
      </c>
      <c r="OT79" s="146">
        <f t="shared" ref="OT79:OV82" si="386">NK79+NF79+NA79</f>
        <v>456275</v>
      </c>
      <c r="OU79" s="146">
        <f t="shared" si="386"/>
        <v>600000</v>
      </c>
      <c r="OV79" s="1864">
        <f t="shared" si="386"/>
        <v>143725</v>
      </c>
      <c r="OW79" s="203">
        <f>OV79/OU79</f>
        <v>0.23954166666666668</v>
      </c>
      <c r="OX79" s="357">
        <v>6</v>
      </c>
      <c r="OY79" s="358">
        <f t="shared" ref="OY79:PA89" si="387">NP79+NU79+NZ79</f>
        <v>516564</v>
      </c>
      <c r="OZ79" s="358">
        <f t="shared" si="387"/>
        <v>600000</v>
      </c>
      <c r="PA79" s="359">
        <f t="shared" si="387"/>
        <v>83436</v>
      </c>
      <c r="PB79" s="114">
        <f>PA79/OZ79</f>
        <v>0.13905999999999999</v>
      </c>
      <c r="PC79" s="79"/>
      <c r="PD79" s="439">
        <v>6</v>
      </c>
      <c r="PE79" s="208">
        <v>177976.8</v>
      </c>
      <c r="PF79" s="208">
        <v>200000</v>
      </c>
      <c r="PG79" s="96">
        <f>PF79-PE79</f>
        <v>22023.200000000012</v>
      </c>
      <c r="PH79" s="78">
        <f>PG79/PF79</f>
        <v>0.11011600000000006</v>
      </c>
      <c r="PI79" s="439">
        <v>5</v>
      </c>
      <c r="PJ79" s="208">
        <v>162001</v>
      </c>
      <c r="PK79" s="208">
        <v>200000</v>
      </c>
      <c r="PL79" s="96">
        <f>PK79-PJ79</f>
        <v>37999</v>
      </c>
      <c r="PM79" s="78">
        <f>PL79/PK79</f>
        <v>0.189995</v>
      </c>
      <c r="PN79" s="439">
        <v>6</v>
      </c>
      <c r="PO79" s="208">
        <v>155128</v>
      </c>
      <c r="PP79" s="208">
        <v>200000</v>
      </c>
      <c r="PQ79" s="371">
        <f>PP79-PO79</f>
        <v>44872</v>
      </c>
      <c r="PR79" s="157">
        <f>PQ79/PP79</f>
        <v>0.22436</v>
      </c>
      <c r="PS79" s="354">
        <v>5</v>
      </c>
      <c r="PT79" s="208">
        <v>159168</v>
      </c>
      <c r="PU79" s="208">
        <v>206000</v>
      </c>
      <c r="PV79" s="371">
        <f>PU79-PT79</f>
        <v>46832</v>
      </c>
      <c r="PW79" s="157">
        <f>PV79/PU79</f>
        <v>0.22733980582524271</v>
      </c>
      <c r="PX79" s="1579">
        <v>5</v>
      </c>
      <c r="PY79" s="264">
        <v>159168</v>
      </c>
      <c r="PZ79" s="264">
        <v>206000</v>
      </c>
      <c r="QA79" s="264">
        <f>PZ79-PY79</f>
        <v>46832</v>
      </c>
      <c r="QB79" s="597">
        <f>QA79/PZ79</f>
        <v>0.22733980582524271</v>
      </c>
      <c r="QC79" s="209">
        <v>5</v>
      </c>
      <c r="QD79" s="208">
        <v>159168</v>
      </c>
      <c r="QE79" s="208">
        <v>206000</v>
      </c>
      <c r="QF79" s="208">
        <f t="shared" si="289"/>
        <v>46832</v>
      </c>
      <c r="QG79" s="597">
        <f t="shared" si="336"/>
        <v>0.22733980582524271</v>
      </c>
      <c r="QH79" s="439">
        <v>5</v>
      </c>
      <c r="QI79" s="208">
        <v>159168</v>
      </c>
      <c r="QJ79" s="208">
        <v>206000</v>
      </c>
      <c r="QK79" s="208">
        <f t="shared" si="337"/>
        <v>46832</v>
      </c>
      <c r="QL79" s="1313">
        <f t="shared" si="338"/>
        <v>0.22733980582524271</v>
      </c>
      <c r="QM79" s="2084">
        <v>5</v>
      </c>
      <c r="QN79" s="2085">
        <v>158658</v>
      </c>
      <c r="QO79" s="2085">
        <v>206000</v>
      </c>
      <c r="QP79" s="208">
        <f t="shared" si="339"/>
        <v>47342</v>
      </c>
      <c r="QQ79" s="801">
        <f t="shared" si="340"/>
        <v>0.22981553398058252</v>
      </c>
      <c r="QR79" s="209">
        <v>6</v>
      </c>
      <c r="QS79" s="208">
        <v>159331</v>
      </c>
      <c r="QT79" s="208">
        <v>206000</v>
      </c>
      <c r="QU79" s="208">
        <f t="shared" si="341"/>
        <v>46669</v>
      </c>
      <c r="QV79" s="157">
        <f t="shared" si="317"/>
        <v>0.2265485436893204</v>
      </c>
      <c r="QW79" s="209">
        <v>5</v>
      </c>
      <c r="QX79" s="208">
        <v>157502</v>
      </c>
      <c r="QY79" s="208">
        <v>206000</v>
      </c>
      <c r="QZ79" s="208">
        <f t="shared" si="318"/>
        <v>48498</v>
      </c>
      <c r="RA79" s="2083">
        <f t="shared" si="342"/>
        <v>0.23542718446601943</v>
      </c>
      <c r="RB79" s="209">
        <v>5</v>
      </c>
      <c r="RC79" s="208">
        <v>157031</v>
      </c>
      <c r="RD79" s="208">
        <v>206000</v>
      </c>
      <c r="RE79" s="208">
        <f t="shared" si="343"/>
        <v>48969</v>
      </c>
      <c r="RF79" s="114">
        <f t="shared" si="344"/>
        <v>0.2377135922330097</v>
      </c>
      <c r="RG79" s="1857">
        <v>5</v>
      </c>
      <c r="RH79" s="208">
        <v>157502</v>
      </c>
      <c r="RI79" s="208">
        <v>206000</v>
      </c>
      <c r="RJ79" s="772">
        <f t="shared" si="369"/>
        <v>48498</v>
      </c>
      <c r="RK79" s="116">
        <f t="shared" si="345"/>
        <v>0.23542718446601943</v>
      </c>
      <c r="RL79" s="1567">
        <v>5</v>
      </c>
      <c r="RM79" s="1568">
        <f t="shared" si="346"/>
        <v>1921801.8</v>
      </c>
      <c r="RN79" s="1568">
        <f t="shared" si="346"/>
        <v>2454000</v>
      </c>
      <c r="RO79" s="1568">
        <f t="shared" si="346"/>
        <v>532198.19999999995</v>
      </c>
      <c r="RP79" s="220">
        <f t="shared" si="347"/>
        <v>0.21686968215158922</v>
      </c>
      <c r="RQ79" s="1863">
        <f>(PD79+PI79+PN79)/3</f>
        <v>5.666666666666667</v>
      </c>
      <c r="RR79" s="105">
        <f t="shared" ref="RR79:RT89" si="388">PE79+PJ79+PO79</f>
        <v>495105.8</v>
      </c>
      <c r="RS79" s="105">
        <f t="shared" si="388"/>
        <v>600000</v>
      </c>
      <c r="RT79" s="105">
        <f t="shared" si="388"/>
        <v>104894.20000000001</v>
      </c>
      <c r="RU79" s="106">
        <f>RT79/RS79</f>
        <v>0.17482366666666668</v>
      </c>
      <c r="RV79" s="358">
        <v>5</v>
      </c>
      <c r="RW79" s="358">
        <f t="shared" si="349"/>
        <v>477504</v>
      </c>
      <c r="RX79" s="358">
        <f t="shared" si="349"/>
        <v>618000</v>
      </c>
      <c r="RY79" s="359">
        <f t="shared" si="349"/>
        <v>140496</v>
      </c>
      <c r="RZ79" s="169">
        <f t="shared" si="362"/>
        <v>0.22733980582524271</v>
      </c>
      <c r="SA79" s="686">
        <v>6</v>
      </c>
      <c r="SB79" s="146">
        <f t="shared" si="374"/>
        <v>477157</v>
      </c>
      <c r="SC79" s="146">
        <f t="shared" si="374"/>
        <v>618000</v>
      </c>
      <c r="SD79" s="1864">
        <f t="shared" si="374"/>
        <v>140843</v>
      </c>
      <c r="SE79" s="203">
        <f t="shared" si="370"/>
        <v>0.22790129449838187</v>
      </c>
      <c r="SF79" s="1567">
        <v>5</v>
      </c>
      <c r="SG79" s="358">
        <f t="shared" si="319"/>
        <v>472035</v>
      </c>
      <c r="SH79" s="358">
        <f t="shared" si="319"/>
        <v>618000</v>
      </c>
      <c r="SI79" s="359">
        <f t="shared" si="319"/>
        <v>145965</v>
      </c>
      <c r="SJ79" s="114">
        <f t="shared" si="294"/>
        <v>0.23618932038834953</v>
      </c>
      <c r="SL79" s="439">
        <v>5</v>
      </c>
      <c r="SM79" s="208">
        <v>157502</v>
      </c>
      <c r="SN79" s="208">
        <v>206000</v>
      </c>
      <c r="SO79" s="96">
        <f t="shared" si="264"/>
        <v>48498</v>
      </c>
      <c r="SP79" s="78">
        <f t="shared" si="375"/>
        <v>0.23542718446601943</v>
      </c>
      <c r="SQ79" s="439">
        <v>6</v>
      </c>
      <c r="SR79" s="208">
        <v>189823</v>
      </c>
      <c r="SS79" s="208">
        <v>235697</v>
      </c>
      <c r="ST79" s="96">
        <f t="shared" si="320"/>
        <v>45874</v>
      </c>
      <c r="SU79" s="222">
        <f t="shared" ref="SU79:SU92" si="389">ST79/SS79</f>
        <v>0.19463124265476439</v>
      </c>
      <c r="SV79" s="439">
        <v>6</v>
      </c>
      <c r="SW79" s="208">
        <v>190836</v>
      </c>
      <c r="SX79" s="208">
        <v>237000</v>
      </c>
      <c r="SY79" s="371">
        <f t="shared" si="321"/>
        <v>46164</v>
      </c>
      <c r="SZ79" s="157">
        <f t="shared" si="363"/>
        <v>0.19478481012658228</v>
      </c>
      <c r="TA79" s="354" t="s">
        <v>974</v>
      </c>
      <c r="TB79" s="208">
        <v>190836</v>
      </c>
      <c r="TC79" s="994">
        <v>237000</v>
      </c>
      <c r="TD79" s="96">
        <f t="shared" si="280"/>
        <v>46164</v>
      </c>
      <c r="TE79" s="94">
        <f t="shared" si="295"/>
        <v>0.19478481012658228</v>
      </c>
      <c r="TF79" s="1574">
        <v>6</v>
      </c>
      <c r="TG79" s="208">
        <v>190836</v>
      </c>
      <c r="TH79" s="208">
        <v>237000</v>
      </c>
      <c r="TI79" s="208">
        <f t="shared" si="350"/>
        <v>46164</v>
      </c>
      <c r="TJ79" s="114">
        <f t="shared" si="296"/>
        <v>0.19478481012658228</v>
      </c>
      <c r="TK79" s="209">
        <v>6</v>
      </c>
      <c r="TL79" s="208">
        <v>190836</v>
      </c>
      <c r="TM79" s="208">
        <v>237000</v>
      </c>
      <c r="TN79" s="4101">
        <f t="shared" si="351"/>
        <v>46164</v>
      </c>
      <c r="TO79" s="114">
        <f t="shared" si="364"/>
        <v>0.19478481012658228</v>
      </c>
      <c r="TP79" s="4432">
        <v>6</v>
      </c>
      <c r="TQ79" s="208">
        <v>190836</v>
      </c>
      <c r="TR79" s="208">
        <v>237000</v>
      </c>
      <c r="TS79" s="994">
        <f t="shared" si="352"/>
        <v>46164</v>
      </c>
      <c r="TT79" s="114">
        <f t="shared" si="365"/>
        <v>0.19478481012658228</v>
      </c>
      <c r="TU79" s="6140">
        <v>6</v>
      </c>
      <c r="TV79" s="2085">
        <v>190836</v>
      </c>
      <c r="TW79" s="2085">
        <v>237000</v>
      </c>
      <c r="TX79" s="208">
        <f t="shared" si="353"/>
        <v>46164</v>
      </c>
      <c r="TY79" s="801">
        <f t="shared" si="366"/>
        <v>0.19478481012658228</v>
      </c>
      <c r="TZ79" s="209">
        <v>6</v>
      </c>
      <c r="UA79" s="208">
        <v>190836</v>
      </c>
      <c r="UB79" s="208">
        <v>237000</v>
      </c>
      <c r="UC79" s="994">
        <f t="shared" si="354"/>
        <v>46164</v>
      </c>
      <c r="UD79" s="116">
        <f>UC79/UB79</f>
        <v>0.19478481012658228</v>
      </c>
      <c r="UE79" s="1868">
        <v>6</v>
      </c>
      <c r="UF79" s="1575">
        <v>190836</v>
      </c>
      <c r="UG79" s="1575">
        <v>237000</v>
      </c>
      <c r="UH79" s="1575">
        <f t="shared" si="322"/>
        <v>46164</v>
      </c>
      <c r="UI79" s="6495">
        <f t="shared" si="367"/>
        <v>0.19478481012658228</v>
      </c>
      <c r="UJ79" s="209"/>
      <c r="UK79" s="208"/>
      <c r="UL79" s="208"/>
      <c r="UM79" s="208">
        <f t="shared" si="355"/>
        <v>0</v>
      </c>
      <c r="UN79" s="114" t="e">
        <f t="shared" si="356"/>
        <v>#DIV/0!</v>
      </c>
      <c r="UO79" s="1567"/>
      <c r="UP79" s="1568"/>
      <c r="UQ79" s="1568"/>
      <c r="UR79" s="1873">
        <f t="shared" si="323"/>
        <v>0</v>
      </c>
      <c r="US79" s="116" t="e">
        <f t="shared" si="357"/>
        <v>#DIV/0!</v>
      </c>
      <c r="UT79" s="1567"/>
      <c r="UU79" s="358">
        <f t="shared" si="371"/>
        <v>1874013</v>
      </c>
      <c r="UV79" s="358">
        <f t="shared" si="371"/>
        <v>2337697</v>
      </c>
      <c r="UW79" s="358">
        <f t="shared" si="371"/>
        <v>463684</v>
      </c>
      <c r="UX79" s="220">
        <f t="shared" si="358"/>
        <v>0.19835077000997134</v>
      </c>
      <c r="UY79" s="1863">
        <f t="shared" si="324"/>
        <v>5.666666666666667</v>
      </c>
      <c r="UZ79" s="105">
        <f t="shared" si="359"/>
        <v>538161</v>
      </c>
      <c r="VA79" s="105">
        <f t="shared" si="359"/>
        <v>678697</v>
      </c>
      <c r="VB79" s="105">
        <f t="shared" si="359"/>
        <v>140536</v>
      </c>
      <c r="VC79" s="106">
        <f t="shared" si="325"/>
        <v>0.20706736584956173</v>
      </c>
      <c r="VD79" s="358"/>
      <c r="VE79" s="358">
        <f t="shared" si="326"/>
        <v>572508</v>
      </c>
      <c r="VF79" s="358">
        <f t="shared" si="326"/>
        <v>711000</v>
      </c>
      <c r="VG79" s="359">
        <f t="shared" si="326"/>
        <v>138492</v>
      </c>
      <c r="VH79" s="169">
        <f t="shared" si="372"/>
        <v>0.19478481012658228</v>
      </c>
      <c r="VI79" s="686"/>
      <c r="VJ79" s="146">
        <f t="shared" si="373"/>
        <v>572508</v>
      </c>
      <c r="VK79" s="146">
        <f t="shared" si="360"/>
        <v>711000</v>
      </c>
      <c r="VL79" s="1864">
        <f t="shared" si="360"/>
        <v>138492</v>
      </c>
      <c r="VM79" s="203">
        <f t="shared" si="268"/>
        <v>0.19478481012658228</v>
      </c>
      <c r="VN79" s="1567"/>
      <c r="VO79" s="358">
        <f t="shared" si="368"/>
        <v>190836</v>
      </c>
      <c r="VP79" s="358">
        <f t="shared" si="361"/>
        <v>237000</v>
      </c>
      <c r="VQ79" s="359">
        <f t="shared" si="361"/>
        <v>46164</v>
      </c>
      <c r="VR79" s="114">
        <f t="shared" si="300"/>
        <v>0.19478481012658228</v>
      </c>
    </row>
    <row r="80" spans="1:590" s="1193" customFormat="1" ht="13.45" x14ac:dyDescent="0.3">
      <c r="A80" s="1297"/>
      <c r="B80" s="1773" t="s">
        <v>53</v>
      </c>
      <c r="C80" s="2636" t="s">
        <v>291</v>
      </c>
      <c r="D80" s="1992" t="s">
        <v>264</v>
      </c>
      <c r="E80" s="2086">
        <v>45292</v>
      </c>
      <c r="F80" s="2086">
        <v>45657</v>
      </c>
      <c r="G80" s="1994">
        <v>240000</v>
      </c>
      <c r="H80" s="1874"/>
      <c r="I80" s="1875"/>
      <c r="J80" s="1875"/>
      <c r="K80" s="1875"/>
      <c r="L80" s="1876"/>
      <c r="M80" s="1874"/>
      <c r="N80" s="1875"/>
      <c r="O80" s="1875"/>
      <c r="P80" s="1875"/>
      <c r="Q80" s="1876"/>
      <c r="R80" s="1874"/>
      <c r="S80" s="1875"/>
      <c r="T80" s="1875"/>
      <c r="U80" s="1875"/>
      <c r="V80" s="1876"/>
      <c r="W80" s="1874"/>
      <c r="X80" s="1875"/>
      <c r="Y80" s="1875"/>
      <c r="Z80" s="1875"/>
      <c r="AA80" s="1877"/>
      <c r="AB80" s="1874"/>
      <c r="AC80" s="1875"/>
      <c r="AD80" s="1875"/>
      <c r="AE80" s="1875"/>
      <c r="AF80" s="1877"/>
      <c r="AG80" s="1875"/>
      <c r="AH80" s="1875"/>
      <c r="AI80" s="1875"/>
      <c r="AJ80" s="1875"/>
      <c r="AK80" s="1876"/>
      <c r="AL80" s="1875"/>
      <c r="AM80" s="1875"/>
      <c r="AN80" s="1875"/>
      <c r="AO80" s="1875"/>
      <c r="AP80" s="1876"/>
      <c r="AQ80" s="1875"/>
      <c r="AR80" s="1875"/>
      <c r="AS80" s="1875"/>
      <c r="AT80" s="1875"/>
      <c r="AU80" s="1876"/>
      <c r="AV80" s="1878"/>
      <c r="AW80" s="1875"/>
      <c r="AX80" s="1875"/>
      <c r="AY80" s="1875"/>
      <c r="AZ80" s="1877"/>
      <c r="BA80" s="1878"/>
      <c r="BB80" s="1875"/>
      <c r="BC80" s="1875"/>
      <c r="BD80" s="1875"/>
      <c r="BE80" s="1877"/>
      <c r="BF80" s="1878"/>
      <c r="BG80" s="1875"/>
      <c r="BH80" s="1875"/>
      <c r="BI80" s="1875"/>
      <c r="BJ80" s="1877"/>
      <c r="BK80" s="1878"/>
      <c r="BL80" s="1875"/>
      <c r="BM80" s="1875"/>
      <c r="BN80" s="1875"/>
      <c r="BO80" s="1877"/>
      <c r="BP80" s="1879"/>
      <c r="BQ80" s="1875"/>
      <c r="BR80" s="1875"/>
      <c r="BS80" s="1875"/>
      <c r="BT80" s="1880"/>
      <c r="BU80" s="1875"/>
      <c r="BV80" s="1875"/>
      <c r="BW80" s="1881"/>
      <c r="BX80" s="1880"/>
      <c r="BY80" s="1875"/>
      <c r="BZ80" s="1875"/>
      <c r="CA80" s="1882"/>
      <c r="CB80" s="1875"/>
      <c r="CC80" s="1875"/>
      <c r="CD80" s="1875"/>
      <c r="CE80" s="1875"/>
      <c r="CF80" s="1880"/>
      <c r="CG80" s="1875"/>
      <c r="CH80" s="1875"/>
      <c r="CI80" s="1882"/>
      <c r="CJ80" s="1883"/>
      <c r="CK80" s="1875"/>
      <c r="CL80" s="1875"/>
      <c r="CM80" s="1875"/>
      <c r="CN80" s="1881"/>
      <c r="CO80" s="1883"/>
      <c r="CP80" s="1874"/>
      <c r="CQ80" s="1874"/>
      <c r="CR80" s="1874"/>
      <c r="CS80" s="1881"/>
      <c r="CT80" s="1883"/>
      <c r="CU80" s="1875"/>
      <c r="CV80" s="1875"/>
      <c r="CW80" s="1875"/>
      <c r="CX80" s="1881"/>
      <c r="CY80" s="1883"/>
      <c r="CZ80" s="1875"/>
      <c r="DA80" s="1875"/>
      <c r="DB80" s="1875"/>
      <c r="DC80" s="1881"/>
      <c r="DD80" s="1883"/>
      <c r="DE80" s="1875"/>
      <c r="DF80" s="1875"/>
      <c r="DG80" s="1875"/>
      <c r="DH80" s="1884"/>
      <c r="DI80" s="1883"/>
      <c r="DJ80" s="1875"/>
      <c r="DK80" s="1875"/>
      <c r="DL80" s="1875"/>
      <c r="DM80" s="1884"/>
      <c r="DN80" s="1883"/>
      <c r="DO80" s="1875"/>
      <c r="DP80" s="1875"/>
      <c r="DQ80" s="1875"/>
      <c r="DR80" s="1884"/>
      <c r="DS80" s="1883"/>
      <c r="DT80" s="1875"/>
      <c r="DU80" s="1875"/>
      <c r="DV80" s="1875"/>
      <c r="DW80" s="1884"/>
      <c r="DX80" s="1883"/>
      <c r="DY80" s="1875"/>
      <c r="DZ80" s="1875"/>
      <c r="EA80" s="1875"/>
      <c r="EB80" s="1884"/>
      <c r="EC80" s="1883"/>
      <c r="ED80" s="1875"/>
      <c r="EE80" s="1875"/>
      <c r="EF80" s="1875"/>
      <c r="EG80" s="1884"/>
      <c r="EH80" s="1885"/>
      <c r="EI80" s="1886"/>
      <c r="EJ80" s="1886"/>
      <c r="EK80" s="1886"/>
      <c r="EL80" s="1887"/>
      <c r="EM80" s="1888"/>
      <c r="EN80" s="1889"/>
      <c r="EO80" s="1889"/>
      <c r="EP80" s="1889"/>
      <c r="EQ80" s="166"/>
      <c r="ER80" s="1713">
        <f>(CJ80+CO80+CT80+CY80+DD80+DI80+DN80+DS80+DX80+EC80+EH80+EM80)/12</f>
        <v>0</v>
      </c>
      <c r="ES80" s="1714">
        <f t="shared" si="376"/>
        <v>0</v>
      </c>
      <c r="ET80" s="1714">
        <f t="shared" si="376"/>
        <v>0</v>
      </c>
      <c r="EU80" s="1714">
        <f t="shared" si="376"/>
        <v>0</v>
      </c>
      <c r="EV80" s="1715" t="e">
        <f>EU80/ET80</f>
        <v>#DIV/0!</v>
      </c>
      <c r="EW80" s="1890"/>
      <c r="EX80" s="1890"/>
      <c r="EY80" s="1890"/>
      <c r="EZ80" s="1891"/>
      <c r="FA80" s="1885"/>
      <c r="FB80" s="1890"/>
      <c r="FC80" s="1890"/>
      <c r="FD80" s="1892"/>
      <c r="FE80" s="1890"/>
      <c r="FF80" s="1890"/>
      <c r="FG80" s="1890"/>
      <c r="FH80" s="1891"/>
      <c r="FI80" s="1893"/>
      <c r="FJ80" s="1894"/>
      <c r="FK80" s="1895"/>
      <c r="FL80" s="1895"/>
      <c r="FM80" s="1896"/>
      <c r="FN80" s="1890"/>
      <c r="FO80" s="1886"/>
      <c r="FP80" s="1886"/>
      <c r="FQ80" s="1886"/>
      <c r="FR80" s="1897"/>
      <c r="FS80" s="1888"/>
      <c r="FT80" s="1889"/>
      <c r="FU80" s="1889"/>
      <c r="FV80" s="1889"/>
      <c r="FW80" s="1898"/>
      <c r="FX80" s="1885"/>
      <c r="FY80" s="1886"/>
      <c r="FZ80" s="1886"/>
      <c r="GA80" s="1889"/>
      <c r="GB80" s="1898"/>
      <c r="GC80" s="1899"/>
      <c r="GD80" s="1900"/>
      <c r="GE80" s="1900"/>
      <c r="GF80" s="1889"/>
      <c r="GG80" s="166"/>
      <c r="GH80" s="1901"/>
      <c r="GI80" s="1824"/>
      <c r="GJ80" s="1824"/>
      <c r="GK80" s="1902"/>
      <c r="GL80" s="1898"/>
      <c r="GM80" s="1901"/>
      <c r="GN80" s="1824"/>
      <c r="GO80" s="1824"/>
      <c r="GP80" s="1902"/>
      <c r="GQ80" s="1898"/>
      <c r="GR80" s="1903"/>
      <c r="GS80" s="1904"/>
      <c r="GT80" s="1904"/>
      <c r="GU80" s="1902"/>
      <c r="GV80" s="1898"/>
      <c r="GW80" s="1903"/>
      <c r="GX80" s="1904"/>
      <c r="GY80" s="1904"/>
      <c r="GZ80" s="1902"/>
      <c r="HA80" s="1898"/>
      <c r="HB80" s="1903"/>
      <c r="HC80" s="1904"/>
      <c r="HD80" s="1904"/>
      <c r="HE80" s="1902"/>
      <c r="HF80" s="1898"/>
      <c r="HG80" s="1903"/>
      <c r="HH80" s="1904"/>
      <c r="HI80" s="1904"/>
      <c r="HJ80" s="1818"/>
      <c r="HK80" s="1898"/>
      <c r="HL80" s="1903"/>
      <c r="HM80" s="1904"/>
      <c r="HN80" s="1904"/>
      <c r="HO80" s="715"/>
      <c r="HP80" s="166"/>
      <c r="HQ80" s="1905"/>
      <c r="HR80" s="1248"/>
      <c r="HS80" s="1248"/>
      <c r="HT80" s="1248"/>
      <c r="HU80" s="1826"/>
      <c r="HV80" s="1827">
        <f>(FN80+FS80+FX80+GC80+GH80+GM80+GR80+GW80+HB80+HG80+HL80+HQ80)/12</f>
        <v>0</v>
      </c>
      <c r="HW80" s="1089">
        <f t="shared" si="377"/>
        <v>0</v>
      </c>
      <c r="HX80" s="1089">
        <f t="shared" si="377"/>
        <v>0</v>
      </c>
      <c r="HY80" s="1089">
        <f t="shared" si="377"/>
        <v>0</v>
      </c>
      <c r="HZ80" s="1906"/>
      <c r="IA80" s="1907"/>
      <c r="IB80" s="1908"/>
      <c r="IC80" s="1908"/>
      <c r="ID80" s="1909"/>
      <c r="IE80" s="1910"/>
      <c r="IF80" s="1911"/>
      <c r="IG80" s="1912"/>
      <c r="IH80" s="1909"/>
      <c r="II80" s="1835"/>
      <c r="IJ80" s="1836"/>
      <c r="IK80" s="1836"/>
      <c r="IL80" s="693"/>
      <c r="IM80" s="1913"/>
      <c r="IN80" s="1836"/>
      <c r="IO80" s="1836"/>
      <c r="IP80" s="1838"/>
      <c r="IQ80" s="1914"/>
      <c r="IR80" s="1915"/>
      <c r="IS80" s="1916"/>
      <c r="IT80" s="1916"/>
      <c r="IU80" s="1917"/>
      <c r="IV80" s="1918"/>
      <c r="IW80" s="1919"/>
      <c r="IX80" s="1920"/>
      <c r="IY80" s="1921"/>
      <c r="IZ80" s="1719"/>
      <c r="JA80" s="1721"/>
      <c r="JB80" s="1922"/>
      <c r="JC80" s="1923"/>
      <c r="JD80" s="1924"/>
      <c r="JE80" s="1719"/>
      <c r="JF80" s="1721"/>
      <c r="JG80" s="1847"/>
      <c r="JH80" s="1096"/>
      <c r="JI80" s="1096"/>
      <c r="JJ80" s="1756"/>
      <c r="JK80" s="1721"/>
      <c r="JL80" s="1927"/>
      <c r="JM80" s="1096"/>
      <c r="JN80" s="1096"/>
      <c r="JO80" s="1843"/>
      <c r="JP80" s="1721"/>
      <c r="JQ80" s="1926"/>
      <c r="JR80" s="1982"/>
      <c r="JS80" s="1248"/>
      <c r="JT80" s="1995"/>
      <c r="JU80" s="1821"/>
      <c r="JV80" s="1849"/>
      <c r="JW80" s="1119"/>
      <c r="JX80" s="1850"/>
      <c r="JY80" s="1850"/>
      <c r="JZ80" s="1721"/>
      <c r="KA80" s="1846"/>
      <c r="KB80" s="264"/>
      <c r="KC80" s="264"/>
      <c r="KD80" s="964"/>
      <c r="KE80" s="1848"/>
      <c r="KF80" s="1849"/>
      <c r="KG80" s="1850"/>
      <c r="KH80" s="1850"/>
      <c r="KI80" s="1719"/>
      <c r="KJ80" s="1721"/>
      <c r="KK80" s="1849"/>
      <c r="KL80" s="1850"/>
      <c r="KM80" s="1850"/>
      <c r="KN80" s="1851">
        <f>KM80-KL80</f>
        <v>0</v>
      </c>
      <c r="KO80" s="1852"/>
      <c r="KP80" s="1722">
        <v>6</v>
      </c>
      <c r="KQ80" s="972">
        <v>164225</v>
      </c>
      <c r="KR80" s="264">
        <v>200000</v>
      </c>
      <c r="KS80" s="1845">
        <f>KR80-KQ80</f>
        <v>35775</v>
      </c>
      <c r="KT80" s="1720">
        <f>KS80/KR80</f>
        <v>0.17887500000000001</v>
      </c>
      <c r="KU80" s="1853">
        <v>6</v>
      </c>
      <c r="KV80" s="264">
        <v>194998</v>
      </c>
      <c r="KW80" s="264">
        <v>240000</v>
      </c>
      <c r="KX80" s="264">
        <f>KW80-KV80</f>
        <v>45002</v>
      </c>
      <c r="KY80" s="75">
        <f>KX80/KW80</f>
        <v>0.18750833333333333</v>
      </c>
      <c r="KZ80" s="1857">
        <v>6</v>
      </c>
      <c r="LA80" s="358">
        <f t="shared" si="378"/>
        <v>359223</v>
      </c>
      <c r="LB80" s="358">
        <f t="shared" si="378"/>
        <v>440000</v>
      </c>
      <c r="LC80" s="358">
        <f t="shared" si="378"/>
        <v>80777</v>
      </c>
      <c r="LD80" s="151">
        <f>LC80/LB80</f>
        <v>0.18358409090909092</v>
      </c>
      <c r="LE80" s="1854">
        <f>(IR80+IW80+JB80)/3</f>
        <v>0</v>
      </c>
      <c r="LF80" s="1855">
        <f t="shared" si="379"/>
        <v>0</v>
      </c>
      <c r="LG80" s="1855">
        <f t="shared" si="379"/>
        <v>0</v>
      </c>
      <c r="LH80" s="1856"/>
      <c r="LI80" s="1857">
        <f>(JG80+JL80+JQ80)/3</f>
        <v>0</v>
      </c>
      <c r="LJ80" s="1858">
        <f t="shared" si="380"/>
        <v>0</v>
      </c>
      <c r="LK80" s="1854">
        <f t="shared" si="380"/>
        <v>0</v>
      </c>
      <c r="LL80" s="1856"/>
      <c r="LM80" s="1859">
        <f>(JV80+KA80+KF80)/3</f>
        <v>0</v>
      </c>
      <c r="LN80" s="1727">
        <f t="shared" si="381"/>
        <v>0</v>
      </c>
      <c r="LO80" s="1727">
        <f t="shared" si="381"/>
        <v>0</v>
      </c>
      <c r="LP80" s="151"/>
      <c r="LQ80" s="1860">
        <f>(KK80+KP80+KU80)/3</f>
        <v>4</v>
      </c>
      <c r="LR80" s="1727">
        <f t="shared" si="382"/>
        <v>440000</v>
      </c>
      <c r="LS80" s="1727">
        <f t="shared" si="382"/>
        <v>80777</v>
      </c>
      <c r="LT80" s="1861">
        <f>LS80/LR80</f>
        <v>0.18358409090909092</v>
      </c>
      <c r="LV80" s="439">
        <v>5</v>
      </c>
      <c r="LW80" s="208">
        <v>188693</v>
      </c>
      <c r="LX80" s="208">
        <v>240000</v>
      </c>
      <c r="LY80" s="96">
        <f>LX80-LW80</f>
        <v>51307</v>
      </c>
      <c r="LZ80" s="78">
        <f>LY80/LX80</f>
        <v>0.21377916666666666</v>
      </c>
      <c r="MA80" s="1862">
        <v>6</v>
      </c>
      <c r="MB80" s="265">
        <v>194988</v>
      </c>
      <c r="MC80" s="265">
        <v>240000</v>
      </c>
      <c r="MD80" s="371">
        <f>MC80-MB80</f>
        <v>45012</v>
      </c>
      <c r="ME80" s="157">
        <f>MD80/MC80</f>
        <v>0.18754999999999999</v>
      </c>
      <c r="MF80" s="439">
        <v>6</v>
      </c>
      <c r="MG80" s="208">
        <v>194998</v>
      </c>
      <c r="MH80" s="265">
        <v>240000</v>
      </c>
      <c r="MI80" s="371">
        <f>MH80-MG80</f>
        <v>45002</v>
      </c>
      <c r="MJ80" s="157">
        <f>MI80/MH80</f>
        <v>0.18750833333333333</v>
      </c>
      <c r="MK80" s="354">
        <v>6</v>
      </c>
      <c r="ML80" s="208">
        <v>194998</v>
      </c>
      <c r="MM80" s="265">
        <v>240000</v>
      </c>
      <c r="MN80" s="371">
        <f>MM80-ML80</f>
        <v>45002</v>
      </c>
      <c r="MO80" s="157">
        <f>MN80/MM80</f>
        <v>0.18750833333333333</v>
      </c>
      <c r="MP80" s="1579">
        <v>6</v>
      </c>
      <c r="MQ80" s="264">
        <v>191771</v>
      </c>
      <c r="MR80" s="264">
        <v>240000</v>
      </c>
      <c r="MS80" s="264">
        <f>MR80-MQ80</f>
        <v>48229</v>
      </c>
      <c r="MT80" s="597">
        <f>MS80/MR80</f>
        <v>0.20095416666666666</v>
      </c>
      <c r="MU80" s="209">
        <v>6</v>
      </c>
      <c r="MV80" s="208">
        <v>188776</v>
      </c>
      <c r="MW80" s="208">
        <v>240000</v>
      </c>
      <c r="MX80" s="208">
        <f>MW80-MV80</f>
        <v>51224</v>
      </c>
      <c r="MY80" s="597">
        <f>MX80/MW80</f>
        <v>0.21343333333333334</v>
      </c>
      <c r="MZ80" s="209">
        <v>6</v>
      </c>
      <c r="NA80" s="208">
        <v>194998</v>
      </c>
      <c r="NB80" s="208">
        <v>240000</v>
      </c>
      <c r="NC80" s="208">
        <f>NB80-NA80</f>
        <v>45002</v>
      </c>
      <c r="ND80" s="1313">
        <f>NC80/NB80</f>
        <v>0.18750833333333333</v>
      </c>
      <c r="NE80" s="209">
        <v>6</v>
      </c>
      <c r="NF80" s="208">
        <v>194998</v>
      </c>
      <c r="NG80" s="208">
        <v>240000</v>
      </c>
      <c r="NH80" s="208">
        <f>NG80-NF80</f>
        <v>45002</v>
      </c>
      <c r="NI80" s="1313">
        <f>NH80/NG80</f>
        <v>0.18750833333333333</v>
      </c>
      <c r="NJ80" s="209">
        <v>6</v>
      </c>
      <c r="NK80" s="208">
        <v>199332</v>
      </c>
      <c r="NL80" s="208">
        <v>240000</v>
      </c>
      <c r="NM80" s="208">
        <f>NL80-NK80</f>
        <v>40668</v>
      </c>
      <c r="NN80" s="1313">
        <f>NM80/NL80</f>
        <v>0.16944999999999999</v>
      </c>
      <c r="NO80" s="357">
        <v>6</v>
      </c>
      <c r="NP80" s="358">
        <v>199332</v>
      </c>
      <c r="NQ80" s="359">
        <v>240000</v>
      </c>
      <c r="NR80" s="208">
        <f>NQ80-NP80</f>
        <v>40668</v>
      </c>
      <c r="NS80" s="1313">
        <f>NR80/NQ80</f>
        <v>0.16944999999999999</v>
      </c>
      <c r="NT80" s="357">
        <v>6</v>
      </c>
      <c r="NU80" s="358">
        <v>199332</v>
      </c>
      <c r="NV80" s="358">
        <v>240000</v>
      </c>
      <c r="NW80" s="208">
        <f>NV80-NU80</f>
        <v>40668</v>
      </c>
      <c r="NX80" s="1313">
        <f>NW80/NV80</f>
        <v>0.16944999999999999</v>
      </c>
      <c r="NY80" s="357">
        <v>6</v>
      </c>
      <c r="NZ80" s="358">
        <v>199332</v>
      </c>
      <c r="OA80" s="358">
        <v>240000</v>
      </c>
      <c r="OB80" s="622">
        <f>OA80-NZ80</f>
        <v>40668</v>
      </c>
      <c r="OC80" s="116">
        <f>OB80/OA80</f>
        <v>0.16944999999999999</v>
      </c>
      <c r="OD80" s="191">
        <v>6</v>
      </c>
      <c r="OE80" s="358">
        <f t="shared" si="383"/>
        <v>2341548</v>
      </c>
      <c r="OF80" s="358">
        <f t="shared" si="383"/>
        <v>2880000</v>
      </c>
      <c r="OG80" s="358">
        <f t="shared" si="383"/>
        <v>538452</v>
      </c>
      <c r="OH80" s="220">
        <f>OG80/OF80</f>
        <v>0.1869625</v>
      </c>
      <c r="OI80" s="1863">
        <f>(LV80+MA80+MF80)/3</f>
        <v>5.666666666666667</v>
      </c>
      <c r="OJ80" s="105">
        <f t="shared" si="384"/>
        <v>578679</v>
      </c>
      <c r="OK80" s="105">
        <f t="shared" si="384"/>
        <v>720000</v>
      </c>
      <c r="OL80" s="105">
        <f t="shared" si="384"/>
        <v>141321</v>
      </c>
      <c r="OM80" s="106">
        <f>OL80/OK80</f>
        <v>0.19627916666666667</v>
      </c>
      <c r="ON80" s="358">
        <f>(MK80+MP80+MU80)/3</f>
        <v>6</v>
      </c>
      <c r="OO80" s="358">
        <f t="shared" si="385"/>
        <v>575545</v>
      </c>
      <c r="OP80" s="358">
        <f t="shared" si="385"/>
        <v>720000</v>
      </c>
      <c r="OQ80" s="359">
        <f t="shared" si="385"/>
        <v>144455</v>
      </c>
      <c r="OR80" s="169">
        <f>OQ80/OP80</f>
        <v>0.20063194444444443</v>
      </c>
      <c r="OS80" s="686">
        <f>(NJ80+NE80+MZ80)/3</f>
        <v>6</v>
      </c>
      <c r="OT80" s="146">
        <f t="shared" si="386"/>
        <v>589328</v>
      </c>
      <c r="OU80" s="146">
        <f t="shared" si="386"/>
        <v>720000</v>
      </c>
      <c r="OV80" s="1864">
        <f t="shared" si="386"/>
        <v>130672</v>
      </c>
      <c r="OW80" s="203">
        <f>OV80/OU80</f>
        <v>0.18148888888888889</v>
      </c>
      <c r="OX80" s="357">
        <v>6</v>
      </c>
      <c r="OY80" s="358">
        <f t="shared" si="387"/>
        <v>597996</v>
      </c>
      <c r="OZ80" s="358">
        <f t="shared" si="387"/>
        <v>720000</v>
      </c>
      <c r="PA80" s="359">
        <f t="shared" si="387"/>
        <v>122004</v>
      </c>
      <c r="PB80" s="114">
        <f>PA80/OZ80</f>
        <v>0.16944999999999999</v>
      </c>
      <c r="PC80" s="79"/>
      <c r="PD80" s="439">
        <v>6</v>
      </c>
      <c r="PE80" s="208">
        <v>199332</v>
      </c>
      <c r="PF80" s="208">
        <v>240000</v>
      </c>
      <c r="PG80" s="96">
        <f>PF80-PE80</f>
        <v>40668</v>
      </c>
      <c r="PH80" s="78">
        <f>PG80/PF80</f>
        <v>0.16944999999999999</v>
      </c>
      <c r="PI80" s="439">
        <v>6</v>
      </c>
      <c r="PJ80" s="208">
        <v>199332</v>
      </c>
      <c r="PK80" s="208">
        <v>240000</v>
      </c>
      <c r="PL80" s="96">
        <f>PK80-PJ80</f>
        <v>40668</v>
      </c>
      <c r="PM80" s="78">
        <f>PL80/PK80</f>
        <v>0.16944999999999999</v>
      </c>
      <c r="PN80" s="439">
        <v>6</v>
      </c>
      <c r="PO80" s="208">
        <v>199332</v>
      </c>
      <c r="PP80" s="265">
        <v>240000</v>
      </c>
      <c r="PQ80" s="371">
        <f>PP80-PO80</f>
        <v>40668</v>
      </c>
      <c r="PR80" s="157">
        <f>PQ80/PP80</f>
        <v>0.16944999999999999</v>
      </c>
      <c r="PS80" s="1574">
        <v>6</v>
      </c>
      <c r="PT80" s="208">
        <v>199332</v>
      </c>
      <c r="PU80" s="265">
        <v>240000</v>
      </c>
      <c r="PV80" s="371">
        <f>PU80-PT80</f>
        <v>40668</v>
      </c>
      <c r="PW80" s="157">
        <f>PV80/PU80</f>
        <v>0.16944999999999999</v>
      </c>
      <c r="PX80" s="2080">
        <v>6</v>
      </c>
      <c r="PY80" s="264">
        <v>199332</v>
      </c>
      <c r="PZ80" s="264">
        <v>240000</v>
      </c>
      <c r="QA80" s="264">
        <f>PZ80-PY80</f>
        <v>40668</v>
      </c>
      <c r="QB80" s="597">
        <f>QA80/PZ80</f>
        <v>0.16944999999999999</v>
      </c>
      <c r="QC80" s="1318">
        <v>6</v>
      </c>
      <c r="QD80" s="395">
        <v>173499</v>
      </c>
      <c r="QE80" s="395">
        <v>209333</v>
      </c>
      <c r="QF80" s="208">
        <f t="shared" si="289"/>
        <v>35834</v>
      </c>
      <c r="QG80" s="597">
        <f t="shared" si="336"/>
        <v>0.17118180124490645</v>
      </c>
      <c r="QH80" s="401">
        <v>4</v>
      </c>
      <c r="QI80" s="395">
        <v>130989</v>
      </c>
      <c r="QJ80" s="395">
        <v>160000</v>
      </c>
      <c r="QK80" s="395">
        <f t="shared" si="337"/>
        <v>29011</v>
      </c>
      <c r="QL80" s="801">
        <f t="shared" si="338"/>
        <v>0.18131875</v>
      </c>
      <c r="QM80" s="2084">
        <v>4</v>
      </c>
      <c r="QN80" s="2085">
        <v>133333</v>
      </c>
      <c r="QO80" s="2085">
        <v>160000</v>
      </c>
      <c r="QP80" s="208">
        <f t="shared" si="339"/>
        <v>26667</v>
      </c>
      <c r="QQ80" s="801">
        <f t="shared" si="340"/>
        <v>0.16666875</v>
      </c>
      <c r="QR80" s="209">
        <v>4</v>
      </c>
      <c r="QS80" s="208">
        <v>130803</v>
      </c>
      <c r="QT80" s="208">
        <v>160000</v>
      </c>
      <c r="QU80" s="208">
        <f t="shared" si="341"/>
        <v>29197</v>
      </c>
      <c r="QV80" s="157">
        <f t="shared" si="317"/>
        <v>0.18248125000000001</v>
      </c>
      <c r="QW80" s="209">
        <v>5</v>
      </c>
      <c r="QX80" s="208">
        <v>132827</v>
      </c>
      <c r="QY80" s="208">
        <v>200000</v>
      </c>
      <c r="QZ80" s="208">
        <f t="shared" si="318"/>
        <v>67173</v>
      </c>
      <c r="RA80" s="2083">
        <f t="shared" si="342"/>
        <v>0.33586500000000002</v>
      </c>
      <c r="RB80" s="209">
        <v>5</v>
      </c>
      <c r="RC80" s="208">
        <v>164333</v>
      </c>
      <c r="RD80" s="208">
        <v>200000</v>
      </c>
      <c r="RE80" s="208">
        <f t="shared" si="343"/>
        <v>35667</v>
      </c>
      <c r="RF80" s="114">
        <f t="shared" si="344"/>
        <v>0.17833499999999999</v>
      </c>
      <c r="RG80" s="1857">
        <v>4</v>
      </c>
      <c r="RH80" s="208">
        <v>142322</v>
      </c>
      <c r="RI80" s="208">
        <v>174160</v>
      </c>
      <c r="RJ80" s="772">
        <f t="shared" si="369"/>
        <v>31838</v>
      </c>
      <c r="RK80" s="116">
        <f t="shared" si="345"/>
        <v>0.18280891134588884</v>
      </c>
      <c r="RL80" s="1567">
        <v>4</v>
      </c>
      <c r="RM80" s="1568">
        <f t="shared" si="346"/>
        <v>2004766</v>
      </c>
      <c r="RN80" s="1568">
        <f t="shared" si="346"/>
        <v>2463493</v>
      </c>
      <c r="RO80" s="1568">
        <f t="shared" si="346"/>
        <v>458727</v>
      </c>
      <c r="RP80" s="220">
        <f t="shared" si="347"/>
        <v>0.18620998720110021</v>
      </c>
      <c r="RQ80" s="1863">
        <f>(PD80+PI80+PN80)/3</f>
        <v>6</v>
      </c>
      <c r="RR80" s="105">
        <f t="shared" si="388"/>
        <v>597996</v>
      </c>
      <c r="RS80" s="105">
        <f t="shared" si="388"/>
        <v>720000</v>
      </c>
      <c r="RT80" s="105">
        <f t="shared" si="388"/>
        <v>122004</v>
      </c>
      <c r="RU80" s="106">
        <f>RT80/RS80</f>
        <v>0.16944999999999999</v>
      </c>
      <c r="RV80" s="358">
        <v>6</v>
      </c>
      <c r="RW80" s="358">
        <f t="shared" si="349"/>
        <v>572163</v>
      </c>
      <c r="RX80" s="358">
        <f t="shared" si="349"/>
        <v>689333</v>
      </c>
      <c r="RY80" s="359">
        <f t="shared" si="349"/>
        <v>117170</v>
      </c>
      <c r="RZ80" s="169">
        <f t="shared" si="362"/>
        <v>0.16997590424366743</v>
      </c>
      <c r="SA80" s="686">
        <v>4</v>
      </c>
      <c r="SB80" s="146">
        <f t="shared" si="374"/>
        <v>395125</v>
      </c>
      <c r="SC80" s="146">
        <f t="shared" si="374"/>
        <v>480000</v>
      </c>
      <c r="SD80" s="1864">
        <f t="shared" si="374"/>
        <v>84875</v>
      </c>
      <c r="SE80" s="203">
        <f t="shared" si="370"/>
        <v>0.17682291666666666</v>
      </c>
      <c r="SF80" s="1567">
        <v>4</v>
      </c>
      <c r="SG80" s="358">
        <f t="shared" si="319"/>
        <v>439482</v>
      </c>
      <c r="SH80" s="358">
        <f t="shared" si="319"/>
        <v>574160</v>
      </c>
      <c r="SI80" s="359">
        <f t="shared" si="319"/>
        <v>134678</v>
      </c>
      <c r="SJ80" s="114">
        <f t="shared" si="294"/>
        <v>0.2345652779712972</v>
      </c>
      <c r="SL80" s="439">
        <v>6</v>
      </c>
      <c r="SM80" s="208">
        <f>98432+66668</f>
        <v>165100</v>
      </c>
      <c r="SN80" s="208">
        <f>120000+80000</f>
        <v>200000</v>
      </c>
      <c r="SO80" s="96">
        <f t="shared" si="264"/>
        <v>34900</v>
      </c>
      <c r="SP80" s="78">
        <f t="shared" si="375"/>
        <v>0.17449999999999999</v>
      </c>
      <c r="SQ80" s="439">
        <v>6</v>
      </c>
      <c r="SR80" s="208">
        <v>193423</v>
      </c>
      <c r="SS80" s="208">
        <v>233520</v>
      </c>
      <c r="ST80" s="96">
        <f t="shared" si="320"/>
        <v>40097</v>
      </c>
      <c r="SU80" s="222">
        <f t="shared" si="389"/>
        <v>0.17170692017814321</v>
      </c>
      <c r="SV80" s="439">
        <v>6</v>
      </c>
      <c r="SW80" s="208">
        <v>200003</v>
      </c>
      <c r="SX80" s="265">
        <v>240000</v>
      </c>
      <c r="SY80" s="371">
        <f t="shared" si="321"/>
        <v>39997</v>
      </c>
      <c r="SZ80" s="157">
        <f t="shared" si="363"/>
        <v>0.16665416666666666</v>
      </c>
      <c r="TA80" s="1573">
        <v>5</v>
      </c>
      <c r="TB80" s="395">
        <v>164139</v>
      </c>
      <c r="TC80" s="3905">
        <v>200000</v>
      </c>
      <c r="TD80" s="96">
        <f t="shared" si="280"/>
        <v>35861</v>
      </c>
      <c r="TE80" s="94">
        <f t="shared" si="295"/>
        <v>0.17930499999999999</v>
      </c>
      <c r="TF80" s="1574">
        <v>6</v>
      </c>
      <c r="TG80" s="208">
        <v>199497</v>
      </c>
      <c r="TH80" s="208">
        <v>240000</v>
      </c>
      <c r="TI80" s="208">
        <f t="shared" si="350"/>
        <v>40503</v>
      </c>
      <c r="TJ80" s="114">
        <f t="shared" si="296"/>
        <v>0.16876250000000001</v>
      </c>
      <c r="TK80" s="1318">
        <v>6</v>
      </c>
      <c r="TL80" s="395">
        <v>196342</v>
      </c>
      <c r="TM80" s="395">
        <v>240000</v>
      </c>
      <c r="TN80" s="395">
        <f t="shared" si="351"/>
        <v>43658</v>
      </c>
      <c r="TO80" s="114">
        <f t="shared" si="364"/>
        <v>0.18190833333333334</v>
      </c>
      <c r="TP80" s="4434">
        <v>6</v>
      </c>
      <c r="TQ80" s="395">
        <v>200003</v>
      </c>
      <c r="TR80" s="395">
        <v>240000</v>
      </c>
      <c r="TS80" s="772">
        <f t="shared" si="352"/>
        <v>39997</v>
      </c>
      <c r="TT80" s="116">
        <f t="shared" si="365"/>
        <v>0.16665416666666666</v>
      </c>
      <c r="TU80" s="6140">
        <v>6</v>
      </c>
      <c r="TV80" s="2085">
        <v>189542</v>
      </c>
      <c r="TW80" s="2085">
        <v>240000</v>
      </c>
      <c r="TX80" s="994">
        <f t="shared" si="353"/>
        <v>50458</v>
      </c>
      <c r="TY80" s="116">
        <f t="shared" si="366"/>
        <v>0.21024166666666666</v>
      </c>
      <c r="TZ80" s="209">
        <v>6</v>
      </c>
      <c r="UA80" s="208">
        <v>200003</v>
      </c>
      <c r="UB80" s="208">
        <v>240000</v>
      </c>
      <c r="UC80" s="994">
        <f t="shared" si="354"/>
        <v>39997</v>
      </c>
      <c r="UD80" s="116">
        <f>UC80/UB80</f>
        <v>0.16665416666666666</v>
      </c>
      <c r="UE80" s="1868">
        <v>6</v>
      </c>
      <c r="UF80" s="1575">
        <v>200335</v>
      </c>
      <c r="UG80" s="1575">
        <v>240000</v>
      </c>
      <c r="UH80" s="1575">
        <f t="shared" si="322"/>
        <v>39665</v>
      </c>
      <c r="UI80" s="6495">
        <f t="shared" si="367"/>
        <v>0.16527083333333334</v>
      </c>
      <c r="UJ80" s="209"/>
      <c r="UK80" s="208"/>
      <c r="UL80" s="208"/>
      <c r="UM80" s="208">
        <f t="shared" si="355"/>
        <v>0</v>
      </c>
      <c r="UN80" s="114" t="e">
        <f t="shared" si="356"/>
        <v>#DIV/0!</v>
      </c>
      <c r="UO80" s="1567"/>
      <c r="UP80" s="1568"/>
      <c r="UQ80" s="1568"/>
      <c r="UR80" s="1873">
        <f t="shared" si="323"/>
        <v>0</v>
      </c>
      <c r="US80" s="116" t="e">
        <f t="shared" si="357"/>
        <v>#DIV/0!</v>
      </c>
      <c r="UT80" s="1567"/>
      <c r="UU80" s="358">
        <f t="shared" si="371"/>
        <v>1908387</v>
      </c>
      <c r="UV80" s="358">
        <f t="shared" si="371"/>
        <v>2313520</v>
      </c>
      <c r="UW80" s="358">
        <f t="shared" si="371"/>
        <v>405133</v>
      </c>
      <c r="UX80" s="220">
        <f t="shared" si="358"/>
        <v>0.1751154085549293</v>
      </c>
      <c r="UY80" s="1863">
        <f t="shared" si="324"/>
        <v>6</v>
      </c>
      <c r="UZ80" s="105">
        <f t="shared" si="359"/>
        <v>558526</v>
      </c>
      <c r="VA80" s="105">
        <f t="shared" si="359"/>
        <v>673520</v>
      </c>
      <c r="VB80" s="105">
        <f t="shared" si="359"/>
        <v>114994</v>
      </c>
      <c r="VC80" s="106">
        <f t="shared" si="325"/>
        <v>0.17073583560992991</v>
      </c>
      <c r="VD80" s="358"/>
      <c r="VE80" s="358">
        <f t="shared" si="326"/>
        <v>559978</v>
      </c>
      <c r="VF80" s="358">
        <f t="shared" si="326"/>
        <v>680000</v>
      </c>
      <c r="VG80" s="359">
        <f t="shared" si="326"/>
        <v>120022</v>
      </c>
      <c r="VH80" s="169">
        <f t="shared" si="372"/>
        <v>0.17650294117647058</v>
      </c>
      <c r="VI80" s="686"/>
      <c r="VJ80" s="146">
        <f t="shared" si="373"/>
        <v>589548</v>
      </c>
      <c r="VK80" s="146">
        <f t="shared" si="360"/>
        <v>720000</v>
      </c>
      <c r="VL80" s="1864">
        <f t="shared" si="360"/>
        <v>130452</v>
      </c>
      <c r="VM80" s="203">
        <f t="shared" si="268"/>
        <v>0.18118333333333334</v>
      </c>
      <c r="VN80" s="1567"/>
      <c r="VO80" s="358">
        <f t="shared" si="368"/>
        <v>200335</v>
      </c>
      <c r="VP80" s="358">
        <f t="shared" si="361"/>
        <v>240000</v>
      </c>
      <c r="VQ80" s="359">
        <f t="shared" si="361"/>
        <v>39665</v>
      </c>
      <c r="VR80" s="114">
        <f t="shared" si="300"/>
        <v>0.16527083333333334</v>
      </c>
    </row>
    <row r="81" spans="1:590" ht="13.45" x14ac:dyDescent="0.3">
      <c r="B81" s="1773" t="s">
        <v>53</v>
      </c>
      <c r="C81" s="2104" t="s">
        <v>73</v>
      </c>
      <c r="D81" s="2105" t="s">
        <v>265</v>
      </c>
      <c r="E81" s="2086">
        <v>45256</v>
      </c>
      <c r="F81" s="2086">
        <v>45621</v>
      </c>
      <c r="G81" s="2007">
        <v>200000</v>
      </c>
      <c r="H81" s="1775"/>
      <c r="I81" s="1776"/>
      <c r="J81" s="1776"/>
      <c r="K81" s="1776"/>
      <c r="L81" s="1777"/>
      <c r="M81" s="1778"/>
      <c r="N81" s="1779"/>
      <c r="O81" s="1779"/>
      <c r="P81" s="1779"/>
      <c r="Q81" s="1780"/>
      <c r="R81" s="1780"/>
      <c r="S81" s="1776"/>
      <c r="T81" s="1776"/>
      <c r="U81" s="1776"/>
      <c r="V81" s="1777"/>
      <c r="W81" s="1776"/>
      <c r="X81" s="1776"/>
      <c r="Y81" s="1781"/>
      <c r="Z81" s="1776"/>
      <c r="AA81" s="1782"/>
      <c r="AB81" s="1781"/>
      <c r="AC81" s="1783"/>
      <c r="AD81" s="1784"/>
      <c r="AE81" s="1776"/>
      <c r="AF81" s="1777"/>
      <c r="AG81" s="1785"/>
      <c r="AH81" s="1776"/>
      <c r="AI81" s="1776"/>
      <c r="AJ81" s="1786"/>
      <c r="AK81" s="1777"/>
      <c r="AL81" s="1785"/>
      <c r="AM81" s="1776"/>
      <c r="AN81" s="1776"/>
      <c r="AO81" s="1781"/>
      <c r="AP81" s="1777"/>
      <c r="AQ81" s="1787"/>
      <c r="AR81" s="1788"/>
      <c r="AS81" s="1788"/>
      <c r="AT81" s="1789"/>
      <c r="AU81" s="1777"/>
      <c r="AV81" s="1790"/>
      <c r="AW81" s="1781"/>
      <c r="AX81" s="1781"/>
      <c r="AY81" s="1781"/>
      <c r="AZ81" s="1777"/>
      <c r="BA81" s="1791"/>
      <c r="BB81" s="1792"/>
      <c r="BC81" s="1783"/>
      <c r="BD81" s="1781"/>
      <c r="BE81" s="1780"/>
      <c r="BF81" s="1790"/>
      <c r="BG81" s="1781"/>
      <c r="BH81" s="1776"/>
      <c r="BI81" s="1781"/>
      <c r="BJ81" s="1793"/>
      <c r="BK81" s="1790"/>
      <c r="BL81" s="1781"/>
      <c r="BM81" s="1776"/>
      <c r="BN81" s="1781"/>
      <c r="BO81" s="1794"/>
      <c r="BP81" s="1795"/>
      <c r="BQ81" s="1796"/>
      <c r="BR81" s="1786"/>
      <c r="BS81" s="1797"/>
      <c r="BT81" s="1798"/>
      <c r="BU81" s="1786"/>
      <c r="BV81" s="1786"/>
      <c r="BW81" s="1799"/>
      <c r="BX81" s="1800"/>
      <c r="BY81" s="1786"/>
      <c r="BZ81" s="1786"/>
      <c r="CA81" s="1801"/>
      <c r="CB81" s="1802"/>
      <c r="CC81" s="1786"/>
      <c r="CD81" s="1786"/>
      <c r="CE81" s="1803"/>
      <c r="CF81" s="1800"/>
      <c r="CG81" s="1776"/>
      <c r="CH81" s="1776"/>
      <c r="CI81" s="1801"/>
      <c r="CJ81" s="1804"/>
      <c r="CK81" s="1776"/>
      <c r="CL81" s="1776"/>
      <c r="CM81" s="1776"/>
      <c r="CN81" s="1799"/>
      <c r="CO81" s="1804"/>
      <c r="CP81" s="1776"/>
      <c r="CQ81" s="1776"/>
      <c r="CR81" s="1776"/>
      <c r="CS81" s="1799"/>
      <c r="CT81" s="1804"/>
      <c r="CU81" s="1776"/>
      <c r="CV81" s="1776"/>
      <c r="CW81" s="1776"/>
      <c r="CX81" s="1799"/>
      <c r="CY81" s="1804"/>
      <c r="CZ81" s="1776"/>
      <c r="DA81" s="1776"/>
      <c r="DB81" s="1776"/>
      <c r="DC81" s="1799"/>
      <c r="DD81" s="1805"/>
      <c r="DE81" s="1806"/>
      <c r="DF81" s="1806"/>
      <c r="DG81" s="1783"/>
      <c r="DH81" s="1807"/>
      <c r="DI81" s="1804"/>
      <c r="DJ81" s="1806"/>
      <c r="DK81" s="1806"/>
      <c r="DL81" s="1776"/>
      <c r="DM81" s="1807"/>
      <c r="DN81" s="1804"/>
      <c r="DO81" s="1776"/>
      <c r="DP81" s="1776"/>
      <c r="DQ81" s="1776"/>
      <c r="DR81" s="1807"/>
      <c r="DS81" s="1808"/>
      <c r="DT81" s="1783"/>
      <c r="DU81" s="1783"/>
      <c r="DV81" s="1776"/>
      <c r="DW81" s="1799"/>
      <c r="DX81" s="1804"/>
      <c r="DY81" s="1776"/>
      <c r="DZ81" s="1776"/>
      <c r="EA81" s="1776"/>
      <c r="EB81" s="1807"/>
      <c r="EC81" s="1804"/>
      <c r="ED81" s="1776"/>
      <c r="EE81" s="1776"/>
      <c r="EF81" s="1786"/>
      <c r="EG81" s="1807"/>
      <c r="EH81" s="1804"/>
      <c r="EI81" s="1776"/>
      <c r="EJ81" s="1776"/>
      <c r="EK81" s="1776"/>
      <c r="EL81" s="1807"/>
      <c r="EM81" s="1804"/>
      <c r="EN81" s="1776"/>
      <c r="EO81" s="1776"/>
      <c r="EP81" s="1776"/>
      <c r="EQ81" s="1807"/>
      <c r="ER81" s="1713">
        <f>(CJ81+CO81+CT81+CY81+DD81+DI81+DN81+DS81+DX81+EC81+EH81+EM81)/12</f>
        <v>0</v>
      </c>
      <c r="ES81" s="1714">
        <f t="shared" si="376"/>
        <v>0</v>
      </c>
      <c r="ET81" s="1714">
        <f t="shared" si="376"/>
        <v>0</v>
      </c>
      <c r="EU81" s="1714">
        <f t="shared" si="376"/>
        <v>0</v>
      </c>
      <c r="EV81" s="1715" t="e">
        <f>EU81/ET81</f>
        <v>#DIV/0!</v>
      </c>
      <c r="EW81" s="1809"/>
      <c r="EX81" s="1810"/>
      <c r="EY81" s="1810"/>
      <c r="EZ81" s="1811"/>
      <c r="FA81" s="1812"/>
      <c r="FB81" s="1810"/>
      <c r="FC81" s="1810"/>
      <c r="FD81" s="1813"/>
      <c r="FE81" s="1814"/>
      <c r="FF81" s="1786"/>
      <c r="FG81" s="1786"/>
      <c r="FH81" s="1815"/>
      <c r="FI81" s="1816"/>
      <c r="FJ81" s="1814"/>
      <c r="FK81" s="1786"/>
      <c r="FL81" s="1786"/>
      <c r="FM81" s="1799"/>
      <c r="FN81" s="1817"/>
      <c r="FO81" s="1818"/>
      <c r="FP81" s="1818"/>
      <c r="FQ81" s="1818"/>
      <c r="FR81" s="1819"/>
      <c r="FS81" s="1820"/>
      <c r="FT81" s="1818"/>
      <c r="FU81" s="1818"/>
      <c r="FV81" s="1818"/>
      <c r="FW81" s="1821"/>
      <c r="FX81" s="1820"/>
      <c r="FY81" s="1822"/>
      <c r="FZ81" s="1822"/>
      <c r="GA81" s="1818"/>
      <c r="GB81" s="1821"/>
      <c r="GC81" s="1823"/>
      <c r="GD81" s="1824"/>
      <c r="GE81" s="1824"/>
      <c r="GF81" s="1825"/>
      <c r="GG81" s="1821"/>
      <c r="GH81" s="1823"/>
      <c r="GI81" s="1824"/>
      <c r="GJ81" s="1824"/>
      <c r="GK81" s="1818"/>
      <c r="GL81" s="1821"/>
      <c r="GM81" s="1823"/>
      <c r="GN81" s="1824"/>
      <c r="GO81" s="1824"/>
      <c r="GP81" s="1818"/>
      <c r="GQ81" s="1821"/>
      <c r="GR81" s="1823"/>
      <c r="GS81" s="1824"/>
      <c r="GT81" s="1824"/>
      <c r="GU81" s="1818"/>
      <c r="GV81" s="1821"/>
      <c r="GW81" s="1823"/>
      <c r="GX81" s="1824"/>
      <c r="GY81" s="1824"/>
      <c r="GZ81" s="1818"/>
      <c r="HA81" s="1821"/>
      <c r="HB81" s="1823"/>
      <c r="HC81" s="1824"/>
      <c r="HD81" s="1824"/>
      <c r="HE81" s="1818"/>
      <c r="HF81" s="1821"/>
      <c r="HG81" s="1823">
        <v>5</v>
      </c>
      <c r="HH81" s="1824">
        <v>143000</v>
      </c>
      <c r="HI81" s="1824">
        <v>200000</v>
      </c>
      <c r="HJ81" s="1818">
        <f>HI81-HH81</f>
        <v>57000</v>
      </c>
      <c r="HK81" s="1821">
        <f>HJ81/HI81</f>
        <v>0.28499999999999998</v>
      </c>
      <c r="HL81" s="1823">
        <v>5</v>
      </c>
      <c r="HM81" s="1824">
        <v>142766</v>
      </c>
      <c r="HN81" s="1824">
        <v>200000</v>
      </c>
      <c r="HO81" s="1818">
        <f>HN81-HM81</f>
        <v>57234</v>
      </c>
      <c r="HP81" s="1821">
        <f>HO81/HN81</f>
        <v>0.28616999999999998</v>
      </c>
      <c r="HQ81" s="654">
        <v>5</v>
      </c>
      <c r="HR81" s="1248">
        <v>142766</v>
      </c>
      <c r="HS81" s="1248">
        <v>200000</v>
      </c>
      <c r="HT81" s="1248">
        <f>HS81-HR81</f>
        <v>57234</v>
      </c>
      <c r="HU81" s="1826">
        <f>HT81/HS81</f>
        <v>0.28616999999999998</v>
      </c>
      <c r="HV81" s="1827">
        <f>(FN81+FS81+FX81+GC81+GH81+GM81+GR81+GW81+HB81+HG81+HL81+HQ81)/12</f>
        <v>1.25</v>
      </c>
      <c r="HW81" s="1089">
        <f t="shared" si="377"/>
        <v>428532</v>
      </c>
      <c r="HX81" s="1089">
        <f t="shared" si="377"/>
        <v>600000</v>
      </c>
      <c r="HY81" s="1089">
        <f t="shared" si="377"/>
        <v>171468</v>
      </c>
      <c r="HZ81" s="1828"/>
      <c r="IA81" s="1829"/>
      <c r="IB81" s="1830"/>
      <c r="IC81" s="1830"/>
      <c r="ID81" s="1831"/>
      <c r="IE81" s="1832"/>
      <c r="IF81" s="1833"/>
      <c r="IG81" s="1834"/>
      <c r="IH81" s="1831"/>
      <c r="II81" s="1835"/>
      <c r="IJ81" s="1836"/>
      <c r="IK81" s="1836"/>
      <c r="IL81" s="239"/>
      <c r="IM81" s="1837">
        <f>(HB81+HG81+HL81)/3</f>
        <v>3.3333333333333335</v>
      </c>
      <c r="IN81" s="1836">
        <f>(HI81+HN81+HS81)</f>
        <v>600000</v>
      </c>
      <c r="IO81" s="1836">
        <f>(HJ81+HO81+HT81)</f>
        <v>171468</v>
      </c>
      <c r="IP81" s="1838">
        <f>IO81/IN81</f>
        <v>0.28577999999999998</v>
      </c>
      <c r="IQ81" s="1839"/>
      <c r="IR81" s="1840">
        <v>5</v>
      </c>
      <c r="IS81" s="1818">
        <v>140833</v>
      </c>
      <c r="IT81" s="1818">
        <v>200000</v>
      </c>
      <c r="IU81" s="1818">
        <f>IT81-IS81</f>
        <v>59167</v>
      </c>
      <c r="IV81" s="1819">
        <f>IU81/IT81</f>
        <v>0.29583500000000001</v>
      </c>
      <c r="IW81" s="1820">
        <v>5</v>
      </c>
      <c r="IX81" s="1818">
        <v>143000</v>
      </c>
      <c r="IY81" s="1719">
        <v>200000</v>
      </c>
      <c r="IZ81" s="1719">
        <f>IY81-IX81</f>
        <v>57000</v>
      </c>
      <c r="JA81" s="1721">
        <f>IZ81/IY81</f>
        <v>0.28499999999999998</v>
      </c>
      <c r="JB81" s="1757">
        <v>5</v>
      </c>
      <c r="JC81" s="1841">
        <v>142766</v>
      </c>
      <c r="JD81" s="1842">
        <v>200000</v>
      </c>
      <c r="JE81" s="1719">
        <f>JD81-JC81</f>
        <v>57234</v>
      </c>
      <c r="JF81" s="1721">
        <f>JE81/JD81</f>
        <v>0.28616999999999998</v>
      </c>
      <c r="JG81" s="1758">
        <v>5</v>
      </c>
      <c r="JH81" s="1096">
        <v>126670</v>
      </c>
      <c r="JI81" s="1096">
        <v>200000</v>
      </c>
      <c r="JJ81" s="1756">
        <f>JI81-JH81</f>
        <v>73330</v>
      </c>
      <c r="JK81" s="1721">
        <f>JJ81/JI81</f>
        <v>0.36664999999999998</v>
      </c>
      <c r="JL81" s="1722">
        <v>5</v>
      </c>
      <c r="JM81" s="1096">
        <v>147099</v>
      </c>
      <c r="JN81" s="1096">
        <v>200000</v>
      </c>
      <c r="JO81" s="1843">
        <f>JN81-JM81</f>
        <v>52901</v>
      </c>
      <c r="JP81" s="1721">
        <f>JO81/JN81</f>
        <v>0.26450499999999999</v>
      </c>
      <c r="JQ81" s="1844">
        <v>5</v>
      </c>
      <c r="JR81" s="972">
        <v>147177</v>
      </c>
      <c r="JS81" s="264">
        <v>200000</v>
      </c>
      <c r="JT81" s="1845">
        <f>JS81-JR81</f>
        <v>52823</v>
      </c>
      <c r="JU81" s="1721">
        <f>JT81/JS81</f>
        <v>0.26411499999999999</v>
      </c>
      <c r="JV81" s="1758">
        <v>5</v>
      </c>
      <c r="JW81" s="1096">
        <v>147177</v>
      </c>
      <c r="JX81" s="264">
        <v>200000</v>
      </c>
      <c r="JY81" s="1845">
        <f>JX81-JW81</f>
        <v>52823</v>
      </c>
      <c r="JZ81" s="1721">
        <f>JY81/JX81</f>
        <v>0.26411499999999999</v>
      </c>
      <c r="KA81" s="1758">
        <v>5</v>
      </c>
      <c r="KB81" s="264">
        <v>147333</v>
      </c>
      <c r="KC81" s="972">
        <v>200000</v>
      </c>
      <c r="KD81" s="964">
        <f>KC81-KB81</f>
        <v>52667</v>
      </c>
      <c r="KE81" s="1848">
        <f>KD81/KC81</f>
        <v>0.26333499999999999</v>
      </c>
      <c r="KF81" s="1849">
        <v>5</v>
      </c>
      <c r="KG81" s="1850">
        <v>147333</v>
      </c>
      <c r="KH81" s="1850">
        <v>200000</v>
      </c>
      <c r="KI81" s="1719">
        <f>KH81-KG81</f>
        <v>52667</v>
      </c>
      <c r="KJ81" s="1721">
        <f>KI81/KH81</f>
        <v>0.26333499999999999</v>
      </c>
      <c r="KK81" s="1990">
        <v>5</v>
      </c>
      <c r="KL81" s="1904">
        <v>146865</v>
      </c>
      <c r="KM81" s="1904">
        <v>200000</v>
      </c>
      <c r="KN81" s="2023">
        <f>KM81-KL81</f>
        <v>53135</v>
      </c>
      <c r="KO81" s="2024">
        <f>KN81/KM81</f>
        <v>0.26567499999999999</v>
      </c>
      <c r="KP81" s="1722">
        <v>5</v>
      </c>
      <c r="KQ81" s="972">
        <v>147333</v>
      </c>
      <c r="KR81" s="264">
        <v>200000</v>
      </c>
      <c r="KS81" s="1845">
        <f>KR81-KQ81</f>
        <v>52667</v>
      </c>
      <c r="KT81" s="1720">
        <f>KS81/KR81</f>
        <v>0.26333499999999999</v>
      </c>
      <c r="KU81" s="1853">
        <v>5</v>
      </c>
      <c r="KV81" s="264">
        <v>142322</v>
      </c>
      <c r="KW81" s="264">
        <v>200000</v>
      </c>
      <c r="KX81" s="264">
        <f>KW81-KV81</f>
        <v>57678</v>
      </c>
      <c r="KY81" s="75">
        <f>KX81/KW81</f>
        <v>0.28838999999999998</v>
      </c>
      <c r="KZ81" s="1857">
        <v>5</v>
      </c>
      <c r="LA81" s="358">
        <f>IS81+IX81+JC81+JH81+JM81+JR81+JW81+KB81+KG81+KL81+KQ81+KV81</f>
        <v>1725908</v>
      </c>
      <c r="LB81" s="358">
        <f>IT81+IY81+JD81+JI81+JN81+JS81+JX81+KC81+KH81+KM81+KR81+KW81</f>
        <v>2400000</v>
      </c>
      <c r="LC81" s="358">
        <f>IU81+IZ81+JE81+JJ81+JO81+JT81+JY81+KD81+KI81+KN81+KS81+KX81</f>
        <v>674092</v>
      </c>
      <c r="LD81" s="151">
        <f>LC81/LB81</f>
        <v>0.28087166666666669</v>
      </c>
      <c r="LE81" s="1854">
        <f>(IR81+IW81+JB81)/3</f>
        <v>5</v>
      </c>
      <c r="LF81" s="1855">
        <f t="shared" si="379"/>
        <v>600000</v>
      </c>
      <c r="LG81" s="1855">
        <f t="shared" si="379"/>
        <v>173401</v>
      </c>
      <c r="LH81" s="1856">
        <f>LG81/LF81</f>
        <v>0.28900166666666666</v>
      </c>
      <c r="LI81" s="1857">
        <f>(JG81+JL81+JQ81)/3</f>
        <v>5</v>
      </c>
      <c r="LJ81" s="1858">
        <f t="shared" si="380"/>
        <v>600000</v>
      </c>
      <c r="LK81" s="1854">
        <f t="shared" si="380"/>
        <v>179054</v>
      </c>
      <c r="LL81" s="1856">
        <f>LK81/LJ81</f>
        <v>0.29842333333333332</v>
      </c>
      <c r="LM81" s="1859">
        <f>(JV81+KA81+KF81)/3</f>
        <v>5</v>
      </c>
      <c r="LN81" s="1727">
        <f t="shared" si="381"/>
        <v>600000</v>
      </c>
      <c r="LO81" s="1727">
        <f t="shared" si="381"/>
        <v>158157</v>
      </c>
      <c r="LP81" s="151">
        <f>LO81/LN81</f>
        <v>0.26359500000000002</v>
      </c>
      <c r="LQ81" s="1860">
        <f>(KK81+KP81+KU81)/3</f>
        <v>5</v>
      </c>
      <c r="LR81" s="1727">
        <f t="shared" si="382"/>
        <v>600000</v>
      </c>
      <c r="LS81" s="1727">
        <f t="shared" si="382"/>
        <v>163480</v>
      </c>
      <c r="LT81" s="1861">
        <f>LS81/LR81</f>
        <v>0.27246666666666669</v>
      </c>
      <c r="LV81" s="439">
        <v>5</v>
      </c>
      <c r="LW81" s="208">
        <v>146833</v>
      </c>
      <c r="LX81" s="208">
        <v>200000</v>
      </c>
      <c r="LY81" s="96">
        <f>LX81-LW81</f>
        <v>53167</v>
      </c>
      <c r="LZ81" s="78">
        <f>LY81/LX81</f>
        <v>0.26583499999999999</v>
      </c>
      <c r="MA81" s="1862">
        <v>5</v>
      </c>
      <c r="MB81" s="265">
        <v>149999</v>
      </c>
      <c r="MC81" s="265">
        <v>200000</v>
      </c>
      <c r="MD81" s="371">
        <f>MC81-MB81</f>
        <v>50001</v>
      </c>
      <c r="ME81" s="157">
        <f>MD81/MC81</f>
        <v>0.25000499999999998</v>
      </c>
      <c r="MF81" s="439">
        <v>5</v>
      </c>
      <c r="MG81" s="265">
        <v>149999</v>
      </c>
      <c r="MH81" s="265">
        <v>200000</v>
      </c>
      <c r="MI81" s="371">
        <f>MH81-MG81</f>
        <v>50001</v>
      </c>
      <c r="MJ81" s="157">
        <f>MI81/MH81</f>
        <v>0.25000499999999998</v>
      </c>
      <c r="MK81" s="354">
        <v>5</v>
      </c>
      <c r="ML81" s="265">
        <v>149999</v>
      </c>
      <c r="MM81" s="265">
        <v>200000</v>
      </c>
      <c r="MN81" s="371">
        <f>MM81-ML81</f>
        <v>50001</v>
      </c>
      <c r="MO81" s="157">
        <f>MN81/MM81</f>
        <v>0.25000499999999998</v>
      </c>
      <c r="MP81" s="1579">
        <v>5</v>
      </c>
      <c r="MQ81" s="265">
        <v>149999</v>
      </c>
      <c r="MR81" s="265">
        <v>200000</v>
      </c>
      <c r="MS81" s="264">
        <f>MR81-MQ81</f>
        <v>50001</v>
      </c>
      <c r="MT81" s="597">
        <f>MS81/MR81</f>
        <v>0.25000499999999998</v>
      </c>
      <c r="MU81" s="209">
        <v>5</v>
      </c>
      <c r="MV81" s="208">
        <v>149999</v>
      </c>
      <c r="MW81" s="208">
        <v>200000</v>
      </c>
      <c r="MX81" s="208">
        <f>MW81-MV81</f>
        <v>50001</v>
      </c>
      <c r="MY81" s="597">
        <f>MX81/MW81</f>
        <v>0.25000499999999998</v>
      </c>
      <c r="MZ81" s="209">
        <v>5</v>
      </c>
      <c r="NA81" s="208">
        <v>149999</v>
      </c>
      <c r="NB81" s="208">
        <v>200000</v>
      </c>
      <c r="NC81" s="208">
        <f>NB81-NA81</f>
        <v>50001</v>
      </c>
      <c r="ND81" s="1313">
        <f>NC81/NB81</f>
        <v>0.25000499999999998</v>
      </c>
      <c r="NE81" s="209">
        <v>5</v>
      </c>
      <c r="NF81" s="208">
        <v>149999</v>
      </c>
      <c r="NG81" s="208">
        <v>200000</v>
      </c>
      <c r="NH81" s="208">
        <f>NG81-NF81</f>
        <v>50001</v>
      </c>
      <c r="NI81" s="1313">
        <f>NH81/NG81</f>
        <v>0.25000499999999998</v>
      </c>
      <c r="NJ81" s="209">
        <v>5</v>
      </c>
      <c r="NK81" s="208">
        <v>149999</v>
      </c>
      <c r="NL81" s="208">
        <v>200000</v>
      </c>
      <c r="NM81" s="208">
        <f>NL81-NK81</f>
        <v>50001</v>
      </c>
      <c r="NN81" s="1313">
        <f>NM81/NL81</f>
        <v>0.25000499999999998</v>
      </c>
      <c r="NO81" s="402">
        <v>5</v>
      </c>
      <c r="NP81" s="358">
        <v>149999</v>
      </c>
      <c r="NQ81" s="359">
        <v>200000</v>
      </c>
      <c r="NR81" s="208">
        <f>NQ81-NP81</f>
        <v>50001</v>
      </c>
      <c r="NS81" s="1313">
        <f>NR81/NQ81</f>
        <v>0.25000499999999998</v>
      </c>
      <c r="NT81" s="357">
        <v>5</v>
      </c>
      <c r="NU81" s="358">
        <v>149999</v>
      </c>
      <c r="NV81" s="358">
        <v>200000</v>
      </c>
      <c r="NW81" s="208">
        <f>NV81-NU81</f>
        <v>50001</v>
      </c>
      <c r="NX81" s="1313">
        <f>NW81/NV81</f>
        <v>0.25000499999999998</v>
      </c>
      <c r="NY81" s="402">
        <v>5</v>
      </c>
      <c r="NZ81" s="358">
        <v>149999</v>
      </c>
      <c r="OA81" s="358">
        <v>200000</v>
      </c>
      <c r="OB81" s="622">
        <f>OA81-NZ81</f>
        <v>50001</v>
      </c>
      <c r="OC81" s="116">
        <f>OB81/OA81</f>
        <v>0.25000499999999998</v>
      </c>
      <c r="OD81" s="191">
        <v>5</v>
      </c>
      <c r="OE81" s="358">
        <f t="shared" si="383"/>
        <v>1796822</v>
      </c>
      <c r="OF81" s="358">
        <f t="shared" si="383"/>
        <v>2400000</v>
      </c>
      <c r="OG81" s="358">
        <f t="shared" si="383"/>
        <v>603178</v>
      </c>
      <c r="OH81" s="220">
        <f>OG81/OF81</f>
        <v>0.25132416666666668</v>
      </c>
      <c r="OI81" s="1863">
        <f>(LV81+MA81+MF81)/3</f>
        <v>5</v>
      </c>
      <c r="OJ81" s="105">
        <f t="shared" si="384"/>
        <v>446831</v>
      </c>
      <c r="OK81" s="105">
        <f t="shared" si="384"/>
        <v>600000</v>
      </c>
      <c r="OL81" s="105">
        <f t="shared" si="384"/>
        <v>153169</v>
      </c>
      <c r="OM81" s="106">
        <f>OL81/OK81</f>
        <v>0.25528166666666668</v>
      </c>
      <c r="ON81" s="358">
        <f>(MK81+MP81+MU81)/3</f>
        <v>5</v>
      </c>
      <c r="OO81" s="358">
        <f t="shared" si="385"/>
        <v>449997</v>
      </c>
      <c r="OP81" s="358">
        <f t="shared" si="385"/>
        <v>600000</v>
      </c>
      <c r="OQ81" s="359">
        <f t="shared" si="385"/>
        <v>150003</v>
      </c>
      <c r="OR81" s="169">
        <f>OQ81/OP81</f>
        <v>0.25000499999999998</v>
      </c>
      <c r="OS81" s="686">
        <f>(NJ81+NE81+MZ81)/3</f>
        <v>5</v>
      </c>
      <c r="OT81" s="146">
        <f t="shared" si="386"/>
        <v>449997</v>
      </c>
      <c r="OU81" s="146">
        <f t="shared" si="386"/>
        <v>600000</v>
      </c>
      <c r="OV81" s="1864">
        <f t="shared" si="386"/>
        <v>150003</v>
      </c>
      <c r="OW81" s="203">
        <f>OV81/OU81</f>
        <v>0.25000499999999998</v>
      </c>
      <c r="OX81" s="357">
        <v>5</v>
      </c>
      <c r="OY81" s="358">
        <f t="shared" si="387"/>
        <v>449997</v>
      </c>
      <c r="OZ81" s="358">
        <f t="shared" si="387"/>
        <v>600000</v>
      </c>
      <c r="PA81" s="359">
        <f t="shared" si="387"/>
        <v>150003</v>
      </c>
      <c r="PB81" s="114">
        <f>PA81/OZ81</f>
        <v>0.25000499999999998</v>
      </c>
      <c r="PC81" s="79"/>
      <c r="PD81" s="439">
        <v>5</v>
      </c>
      <c r="PE81" s="358">
        <v>149999</v>
      </c>
      <c r="PF81" s="358">
        <v>200000</v>
      </c>
      <c r="PG81" s="96">
        <f t="shared" ref="PG81:PG86" si="390">PF81-PE81</f>
        <v>50001</v>
      </c>
      <c r="PH81" s="78">
        <f t="shared" ref="PH81:PH86" si="391">PG81/PF81</f>
        <v>0.25000499999999998</v>
      </c>
      <c r="PI81" s="439">
        <v>5</v>
      </c>
      <c r="PJ81" s="208">
        <v>149999</v>
      </c>
      <c r="PK81" s="208">
        <v>200000</v>
      </c>
      <c r="PL81" s="96">
        <f t="shared" ref="PL81:PL86" si="392">PK81-PJ81</f>
        <v>50001</v>
      </c>
      <c r="PM81" s="78">
        <f>PL81/PK81</f>
        <v>0.25000499999999998</v>
      </c>
      <c r="PN81" s="439">
        <v>5</v>
      </c>
      <c r="PO81" s="208">
        <v>149999</v>
      </c>
      <c r="PP81" s="208">
        <v>200000</v>
      </c>
      <c r="PQ81" s="371">
        <f t="shared" ref="PQ81:PQ86" si="393">PP81-PO81</f>
        <v>50001</v>
      </c>
      <c r="PR81" s="157">
        <f>PQ81/PP81</f>
        <v>0.25000499999999998</v>
      </c>
      <c r="PS81" s="1574">
        <v>5</v>
      </c>
      <c r="PT81" s="208">
        <v>149999</v>
      </c>
      <c r="PU81" s="208">
        <v>200000</v>
      </c>
      <c r="PV81" s="371">
        <f>PU81-PT81</f>
        <v>50001</v>
      </c>
      <c r="PW81" s="157">
        <f>PV81/PU81</f>
        <v>0.25000499999999998</v>
      </c>
      <c r="PX81" s="2080">
        <v>5</v>
      </c>
      <c r="PY81" s="264">
        <v>149999</v>
      </c>
      <c r="PZ81" s="264">
        <v>200000</v>
      </c>
      <c r="QA81" s="264">
        <f>PZ81-PY81</f>
        <v>50001</v>
      </c>
      <c r="QB81" s="597">
        <f>QA81/PZ81</f>
        <v>0.25000499999999998</v>
      </c>
      <c r="QC81" s="209">
        <v>5</v>
      </c>
      <c r="QD81" s="264">
        <v>149999</v>
      </c>
      <c r="QE81" s="264">
        <v>200000</v>
      </c>
      <c r="QF81" s="208">
        <f t="shared" si="289"/>
        <v>50001</v>
      </c>
      <c r="QG81" s="597">
        <f t="shared" si="336"/>
        <v>0.25000499999999998</v>
      </c>
      <c r="QH81" s="439">
        <v>5</v>
      </c>
      <c r="QI81" s="208">
        <v>149999</v>
      </c>
      <c r="QJ81" s="208">
        <v>200000</v>
      </c>
      <c r="QK81" s="208">
        <f t="shared" si="337"/>
        <v>50001</v>
      </c>
      <c r="QL81" s="1313">
        <f t="shared" si="338"/>
        <v>0.25000499999999998</v>
      </c>
      <c r="QM81" s="2084">
        <v>5</v>
      </c>
      <c r="QN81" s="2085">
        <v>149999</v>
      </c>
      <c r="QO81" s="2085">
        <v>200000</v>
      </c>
      <c r="QP81" s="208">
        <f t="shared" si="339"/>
        <v>50001</v>
      </c>
      <c r="QQ81" s="801">
        <f t="shared" si="340"/>
        <v>0.25000499999999998</v>
      </c>
      <c r="QR81" s="209">
        <v>5</v>
      </c>
      <c r="QS81" s="208">
        <v>149999</v>
      </c>
      <c r="QT81" s="208">
        <v>200000</v>
      </c>
      <c r="QU81" s="208">
        <f t="shared" si="341"/>
        <v>50001</v>
      </c>
      <c r="QV81" s="157">
        <f t="shared" si="317"/>
        <v>0.25000499999999998</v>
      </c>
      <c r="QW81" s="2106">
        <v>5</v>
      </c>
      <c r="QX81" s="1865">
        <v>149999</v>
      </c>
      <c r="QY81" s="1865">
        <v>200000</v>
      </c>
      <c r="QZ81" s="1865">
        <f t="shared" si="318"/>
        <v>50001</v>
      </c>
      <c r="RA81" s="2107">
        <f t="shared" si="342"/>
        <v>0.25000499999999998</v>
      </c>
      <c r="RB81" s="1318">
        <v>5</v>
      </c>
      <c r="RC81" s="395">
        <v>149999</v>
      </c>
      <c r="RD81" s="395">
        <v>200000</v>
      </c>
      <c r="RE81" s="395">
        <f t="shared" si="343"/>
        <v>50001</v>
      </c>
      <c r="RF81" s="116">
        <f t="shared" si="344"/>
        <v>0.25000499999999998</v>
      </c>
      <c r="RG81" s="1832">
        <v>5</v>
      </c>
      <c r="RH81" s="208">
        <v>149999</v>
      </c>
      <c r="RI81" s="395">
        <v>200000</v>
      </c>
      <c r="RJ81" s="772">
        <f t="shared" si="369"/>
        <v>50001</v>
      </c>
      <c r="RK81" s="116">
        <f t="shared" si="345"/>
        <v>0.25000499999999998</v>
      </c>
      <c r="RL81" s="2108">
        <v>5</v>
      </c>
      <c r="RM81" s="1568">
        <f t="shared" si="346"/>
        <v>1799988</v>
      </c>
      <c r="RN81" s="1568">
        <f t="shared" si="346"/>
        <v>2400000</v>
      </c>
      <c r="RO81" s="1568">
        <f t="shared" si="346"/>
        <v>600012</v>
      </c>
      <c r="RP81" s="220">
        <f t="shared" si="347"/>
        <v>0.25000499999999998</v>
      </c>
      <c r="RQ81" s="1863">
        <f t="shared" ref="RQ81:RQ86" si="394">(PD81+PI81+PN81)/3</f>
        <v>5</v>
      </c>
      <c r="RR81" s="105">
        <f t="shared" si="388"/>
        <v>449997</v>
      </c>
      <c r="RS81" s="105">
        <f t="shared" si="388"/>
        <v>600000</v>
      </c>
      <c r="RT81" s="105">
        <f t="shared" si="388"/>
        <v>150003</v>
      </c>
      <c r="RU81" s="106">
        <f>RT81/RS81</f>
        <v>0.25000499999999998</v>
      </c>
      <c r="RV81" s="358">
        <v>5</v>
      </c>
      <c r="RW81" s="358">
        <f t="shared" si="349"/>
        <v>449997</v>
      </c>
      <c r="RX81" s="358">
        <f t="shared" si="349"/>
        <v>600000</v>
      </c>
      <c r="RY81" s="359">
        <f t="shared" si="349"/>
        <v>150003</v>
      </c>
      <c r="RZ81" s="169">
        <f t="shared" si="362"/>
        <v>0.25000499999999998</v>
      </c>
      <c r="SA81" s="686">
        <v>5</v>
      </c>
      <c r="SB81" s="146">
        <f t="shared" si="374"/>
        <v>449997</v>
      </c>
      <c r="SC81" s="146">
        <f t="shared" si="374"/>
        <v>600000</v>
      </c>
      <c r="SD81" s="1864">
        <f t="shared" si="374"/>
        <v>150003</v>
      </c>
      <c r="SE81" s="203">
        <f t="shared" si="370"/>
        <v>0.25000499999999998</v>
      </c>
      <c r="SF81" s="2108">
        <v>5</v>
      </c>
      <c r="SG81" s="358">
        <f t="shared" si="319"/>
        <v>449997</v>
      </c>
      <c r="SH81" s="358">
        <f t="shared" si="319"/>
        <v>600000</v>
      </c>
      <c r="SI81" s="359">
        <f t="shared" si="319"/>
        <v>150003</v>
      </c>
      <c r="SJ81" s="114">
        <f t="shared" si="294"/>
        <v>0.25000499999999998</v>
      </c>
      <c r="SL81" s="439">
        <v>5</v>
      </c>
      <c r="SM81" s="358">
        <v>149999</v>
      </c>
      <c r="SN81" s="208">
        <v>200000</v>
      </c>
      <c r="SO81" s="96">
        <f t="shared" si="264"/>
        <v>50001</v>
      </c>
      <c r="SP81" s="78">
        <f t="shared" si="375"/>
        <v>0.25000499999999998</v>
      </c>
      <c r="SQ81" s="439">
        <v>5</v>
      </c>
      <c r="SR81" s="208">
        <v>170513</v>
      </c>
      <c r="SS81" s="208">
        <v>200000</v>
      </c>
      <c r="ST81" s="96">
        <f t="shared" si="320"/>
        <v>29487</v>
      </c>
      <c r="SU81" s="222">
        <f t="shared" si="389"/>
        <v>0.14743500000000001</v>
      </c>
      <c r="SV81" s="401">
        <v>5</v>
      </c>
      <c r="SW81" s="395">
        <v>187666</v>
      </c>
      <c r="SX81" s="395">
        <v>200000</v>
      </c>
      <c r="SY81" s="372">
        <f t="shared" si="321"/>
        <v>12334</v>
      </c>
      <c r="SZ81" s="157">
        <f t="shared" si="363"/>
        <v>6.1670000000000003E-2</v>
      </c>
      <c r="TA81" s="1574">
        <v>5</v>
      </c>
      <c r="TB81" s="208">
        <v>145999</v>
      </c>
      <c r="TC81" s="772">
        <v>200000</v>
      </c>
      <c r="TD81" s="96">
        <f t="shared" si="280"/>
        <v>54001</v>
      </c>
      <c r="TE81" s="94">
        <f t="shared" si="295"/>
        <v>0.270005</v>
      </c>
      <c r="TF81" s="1574">
        <v>5</v>
      </c>
      <c r="TG81" s="208">
        <v>145999</v>
      </c>
      <c r="TH81" s="208">
        <v>200000</v>
      </c>
      <c r="TI81" s="208">
        <f t="shared" si="350"/>
        <v>54001</v>
      </c>
      <c r="TJ81" s="114">
        <f t="shared" si="296"/>
        <v>0.270005</v>
      </c>
      <c r="TK81" s="209">
        <v>5</v>
      </c>
      <c r="TL81" s="208">
        <v>145999</v>
      </c>
      <c r="TM81" s="208">
        <v>200000</v>
      </c>
      <c r="TN81" s="395">
        <f t="shared" si="351"/>
        <v>54001</v>
      </c>
      <c r="TO81" s="114">
        <f t="shared" si="364"/>
        <v>0.270005</v>
      </c>
      <c r="TP81" s="4432">
        <v>5</v>
      </c>
      <c r="TQ81" s="208">
        <v>145999</v>
      </c>
      <c r="TR81" s="208">
        <v>200000</v>
      </c>
      <c r="TS81" s="994">
        <f t="shared" si="352"/>
        <v>54001</v>
      </c>
      <c r="TT81" s="114">
        <f t="shared" si="365"/>
        <v>0.270005</v>
      </c>
      <c r="TU81" s="6140">
        <v>5</v>
      </c>
      <c r="TV81" s="2085">
        <v>145999</v>
      </c>
      <c r="TW81" s="2085">
        <v>199800</v>
      </c>
      <c r="TX81" s="994">
        <f t="shared" si="353"/>
        <v>53801</v>
      </c>
      <c r="TY81" s="116">
        <f t="shared" si="366"/>
        <v>0.26927427427427425</v>
      </c>
      <c r="TZ81" s="209">
        <v>5</v>
      </c>
      <c r="UA81" s="208">
        <v>145999</v>
      </c>
      <c r="UB81" s="208">
        <v>200000</v>
      </c>
      <c r="UC81" s="994">
        <f t="shared" si="354"/>
        <v>54001</v>
      </c>
      <c r="UD81" s="116">
        <f t="shared" ref="UD81:UD102" si="395">UC81/UB81</f>
        <v>0.270005</v>
      </c>
      <c r="UE81" s="1868">
        <v>5</v>
      </c>
      <c r="UF81" s="1575">
        <v>145999</v>
      </c>
      <c r="UG81" s="1575">
        <v>200000</v>
      </c>
      <c r="UH81" s="1575">
        <f t="shared" si="322"/>
        <v>54001</v>
      </c>
      <c r="UI81" s="6495">
        <f t="shared" si="367"/>
        <v>0.270005</v>
      </c>
      <c r="UJ81" s="1318"/>
      <c r="UK81" s="395"/>
      <c r="UL81" s="395"/>
      <c r="UM81" s="395">
        <f t="shared" si="355"/>
        <v>0</v>
      </c>
      <c r="UN81" s="116" t="e">
        <f>UM81/UL81</f>
        <v>#DIV/0!</v>
      </c>
      <c r="UO81" s="2108"/>
      <c r="UP81" s="1575"/>
      <c r="UQ81" s="2001"/>
      <c r="UR81" s="1873">
        <f t="shared" si="323"/>
        <v>0</v>
      </c>
      <c r="US81" s="116" t="e">
        <f>UR81/UQ81</f>
        <v>#DIV/0!</v>
      </c>
      <c r="UT81" s="2108"/>
      <c r="UU81" s="358">
        <f t="shared" si="371"/>
        <v>1530171</v>
      </c>
      <c r="UV81" s="358">
        <f t="shared" si="371"/>
        <v>1999800</v>
      </c>
      <c r="UW81" s="358">
        <f t="shared" si="371"/>
        <v>469629</v>
      </c>
      <c r="UX81" s="220">
        <f t="shared" si="358"/>
        <v>0.23483798379837983</v>
      </c>
      <c r="UY81" s="1863">
        <f t="shared" si="324"/>
        <v>5</v>
      </c>
      <c r="UZ81" s="105">
        <f t="shared" si="359"/>
        <v>508178</v>
      </c>
      <c r="VA81" s="105">
        <f t="shared" si="359"/>
        <v>600000</v>
      </c>
      <c r="VB81" s="105">
        <f t="shared" si="359"/>
        <v>91822</v>
      </c>
      <c r="VC81" s="106">
        <f t="shared" si="325"/>
        <v>0.15303666666666665</v>
      </c>
      <c r="VD81" s="358"/>
      <c r="VE81" s="358">
        <f t="shared" si="326"/>
        <v>437997</v>
      </c>
      <c r="VF81" s="358">
        <f t="shared" si="326"/>
        <v>600000</v>
      </c>
      <c r="VG81" s="359">
        <f t="shared" si="326"/>
        <v>162003</v>
      </c>
      <c r="VH81" s="169">
        <f t="shared" si="372"/>
        <v>0.270005</v>
      </c>
      <c r="VI81" s="686"/>
      <c r="VJ81" s="146">
        <f t="shared" si="373"/>
        <v>437997</v>
      </c>
      <c r="VK81" s="146">
        <f t="shared" si="360"/>
        <v>599800</v>
      </c>
      <c r="VL81" s="1864">
        <f t="shared" si="360"/>
        <v>161803</v>
      </c>
      <c r="VM81" s="203">
        <f t="shared" si="268"/>
        <v>0.2697615871957319</v>
      </c>
      <c r="VN81" s="2108"/>
      <c r="VO81" s="358">
        <f t="shared" si="368"/>
        <v>145999</v>
      </c>
      <c r="VP81" s="358">
        <f t="shared" si="361"/>
        <v>200000</v>
      </c>
      <c r="VQ81" s="359">
        <f t="shared" si="361"/>
        <v>54001</v>
      </c>
      <c r="VR81" s="114">
        <f t="shared" si="300"/>
        <v>0.270005</v>
      </c>
    </row>
    <row r="82" spans="1:590" s="1193" customFormat="1" ht="14.55" customHeight="1" x14ac:dyDescent="0.3">
      <c r="A82" s="1297"/>
      <c r="B82" s="1773" t="s">
        <v>53</v>
      </c>
      <c r="C82" s="1991" t="s">
        <v>74</v>
      </c>
      <c r="D82" s="1992" t="s">
        <v>75</v>
      </c>
      <c r="E82" s="2086">
        <v>45076</v>
      </c>
      <c r="F82" s="2086">
        <v>45442</v>
      </c>
      <c r="G82" s="1994">
        <f>170000*2</f>
        <v>340000</v>
      </c>
      <c r="H82" s="1874"/>
      <c r="I82" s="1875"/>
      <c r="J82" s="1875"/>
      <c r="K82" s="1875"/>
      <c r="L82" s="1876"/>
      <c r="M82" s="1874"/>
      <c r="N82" s="1875"/>
      <c r="O82" s="1875"/>
      <c r="P82" s="1875"/>
      <c r="Q82" s="1876"/>
      <c r="R82" s="1874"/>
      <c r="S82" s="1875"/>
      <c r="T82" s="1875"/>
      <c r="U82" s="1875"/>
      <c r="V82" s="1876"/>
      <c r="W82" s="1874"/>
      <c r="X82" s="1875"/>
      <c r="Y82" s="1875"/>
      <c r="Z82" s="1875"/>
      <c r="AA82" s="1877"/>
      <c r="AB82" s="1874"/>
      <c r="AC82" s="1875"/>
      <c r="AD82" s="1875"/>
      <c r="AE82" s="1875"/>
      <c r="AF82" s="1877"/>
      <c r="AG82" s="1875"/>
      <c r="AH82" s="1875"/>
      <c r="AI82" s="1875"/>
      <c r="AJ82" s="1875"/>
      <c r="AK82" s="1876"/>
      <c r="AL82" s="1875"/>
      <c r="AM82" s="1875"/>
      <c r="AN82" s="1875"/>
      <c r="AO82" s="1875"/>
      <c r="AP82" s="1876"/>
      <c r="AQ82" s="1875"/>
      <c r="AR82" s="1875"/>
      <c r="AS82" s="1875"/>
      <c r="AT82" s="1875"/>
      <c r="AU82" s="1876"/>
      <c r="AV82" s="1878"/>
      <c r="AW82" s="1875"/>
      <c r="AX82" s="1875"/>
      <c r="AY82" s="1875"/>
      <c r="AZ82" s="1877"/>
      <c r="BA82" s="1878"/>
      <c r="BB82" s="1875"/>
      <c r="BC82" s="1875"/>
      <c r="BD82" s="1875"/>
      <c r="BE82" s="1877"/>
      <c r="BF82" s="1878"/>
      <c r="BG82" s="1875"/>
      <c r="BH82" s="1875"/>
      <c r="BI82" s="1875"/>
      <c r="BJ82" s="1877"/>
      <c r="BK82" s="1878"/>
      <c r="BL82" s="1875"/>
      <c r="BM82" s="1875"/>
      <c r="BN82" s="1875"/>
      <c r="BO82" s="1877"/>
      <c r="BP82" s="1879"/>
      <c r="BQ82" s="1875"/>
      <c r="BR82" s="1875"/>
      <c r="BS82" s="1875"/>
      <c r="BT82" s="1880"/>
      <c r="BU82" s="1875"/>
      <c r="BV82" s="1875"/>
      <c r="BW82" s="1881"/>
      <c r="BX82" s="1880"/>
      <c r="BY82" s="1875"/>
      <c r="BZ82" s="1875"/>
      <c r="CA82" s="1882"/>
      <c r="CB82" s="1875"/>
      <c r="CC82" s="1875"/>
      <c r="CD82" s="1875"/>
      <c r="CE82" s="1875"/>
      <c r="CF82" s="1880"/>
      <c r="CG82" s="1875"/>
      <c r="CH82" s="1875"/>
      <c r="CI82" s="1882"/>
      <c r="CJ82" s="1883"/>
      <c r="CK82" s="1875"/>
      <c r="CL82" s="1875"/>
      <c r="CM82" s="1875"/>
      <c r="CN82" s="1881"/>
      <c r="CO82" s="1883"/>
      <c r="CP82" s="1874"/>
      <c r="CQ82" s="1874"/>
      <c r="CR82" s="1874"/>
      <c r="CS82" s="1881"/>
      <c r="CT82" s="1883"/>
      <c r="CU82" s="1875"/>
      <c r="CV82" s="1875"/>
      <c r="CW82" s="1875"/>
      <c r="CX82" s="1881"/>
      <c r="CY82" s="1883"/>
      <c r="CZ82" s="1875"/>
      <c r="DA82" s="1875"/>
      <c r="DB82" s="1875"/>
      <c r="DC82" s="1881"/>
      <c r="DD82" s="1883"/>
      <c r="DE82" s="1875"/>
      <c r="DF82" s="1875"/>
      <c r="DG82" s="1875"/>
      <c r="DH82" s="1884"/>
      <c r="DI82" s="1883"/>
      <c r="DJ82" s="1875"/>
      <c r="DK82" s="1875"/>
      <c r="DL82" s="1875"/>
      <c r="DM82" s="1884"/>
      <c r="DN82" s="1883"/>
      <c r="DO82" s="1875"/>
      <c r="DP82" s="1875"/>
      <c r="DQ82" s="1875"/>
      <c r="DR82" s="1884"/>
      <c r="DS82" s="1883"/>
      <c r="DT82" s="1875"/>
      <c r="DU82" s="1875"/>
      <c r="DV82" s="1875"/>
      <c r="DW82" s="1884"/>
      <c r="DX82" s="1883"/>
      <c r="DY82" s="1875"/>
      <c r="DZ82" s="1875"/>
      <c r="EA82" s="1875"/>
      <c r="EB82" s="1884"/>
      <c r="EC82" s="1883"/>
      <c r="ED82" s="1875"/>
      <c r="EE82" s="1875"/>
      <c r="EF82" s="1875"/>
      <c r="EG82" s="1884"/>
      <c r="EH82" s="1885"/>
      <c r="EI82" s="1886"/>
      <c r="EJ82" s="1886"/>
      <c r="EK82" s="1886"/>
      <c r="EL82" s="1887"/>
      <c r="EM82" s="1888"/>
      <c r="EN82" s="1889"/>
      <c r="EO82" s="1889"/>
      <c r="EP82" s="1889"/>
      <c r="EQ82" s="166"/>
      <c r="ER82" s="1713">
        <f>(CJ82+CO82+CT82+CY82+DD82+DI82+DN82+DS82+DX82+EC82+EH82+EM82)/12</f>
        <v>0</v>
      </c>
      <c r="ES82" s="1714">
        <f t="shared" si="376"/>
        <v>0</v>
      </c>
      <c r="ET82" s="1714">
        <f t="shared" si="376"/>
        <v>0</v>
      </c>
      <c r="EU82" s="1714">
        <f t="shared" si="376"/>
        <v>0</v>
      </c>
      <c r="EV82" s="1715" t="e">
        <f>EU82/ET82</f>
        <v>#DIV/0!</v>
      </c>
      <c r="EW82" s="1890"/>
      <c r="EX82" s="1890"/>
      <c r="EY82" s="1890"/>
      <c r="EZ82" s="1891"/>
      <c r="FA82" s="1885"/>
      <c r="FB82" s="1890"/>
      <c r="FC82" s="1890"/>
      <c r="FD82" s="1892"/>
      <c r="FE82" s="1890"/>
      <c r="FF82" s="1890"/>
      <c r="FG82" s="1890"/>
      <c r="FH82" s="1891"/>
      <c r="FI82" s="1893"/>
      <c r="FJ82" s="1894"/>
      <c r="FK82" s="1895"/>
      <c r="FL82" s="1895"/>
      <c r="FM82" s="1896"/>
      <c r="FN82" s="1890"/>
      <c r="FO82" s="1886"/>
      <c r="FP82" s="1886"/>
      <c r="FQ82" s="1886"/>
      <c r="FR82" s="1897"/>
      <c r="FS82" s="1888"/>
      <c r="FT82" s="1889"/>
      <c r="FU82" s="1889"/>
      <c r="FV82" s="1889"/>
      <c r="FW82" s="1898"/>
      <c r="FX82" s="1885"/>
      <c r="FY82" s="1886"/>
      <c r="FZ82" s="1886"/>
      <c r="GA82" s="1889"/>
      <c r="GB82" s="1898"/>
      <c r="GC82" s="1899"/>
      <c r="GD82" s="1900"/>
      <c r="GE82" s="1900"/>
      <c r="GF82" s="1889"/>
      <c r="GG82" s="166"/>
      <c r="GH82" s="1901"/>
      <c r="GI82" s="1824"/>
      <c r="GJ82" s="1824"/>
      <c r="GK82" s="1902"/>
      <c r="GL82" s="1898"/>
      <c r="GM82" s="1901"/>
      <c r="GN82" s="1824"/>
      <c r="GO82" s="1824"/>
      <c r="GP82" s="1902"/>
      <c r="GQ82" s="1898"/>
      <c r="GR82" s="1903"/>
      <c r="GS82" s="1904"/>
      <c r="GT82" s="1904"/>
      <c r="GU82" s="1902"/>
      <c r="GV82" s="1898"/>
      <c r="GW82" s="1903"/>
      <c r="GX82" s="1904"/>
      <c r="GY82" s="1904"/>
      <c r="GZ82" s="1902"/>
      <c r="HA82" s="1898"/>
      <c r="HB82" s="1903"/>
      <c r="HC82" s="1904"/>
      <c r="HD82" s="1904"/>
      <c r="HE82" s="1902"/>
      <c r="HF82" s="1898"/>
      <c r="HG82" s="1903"/>
      <c r="HH82" s="1904"/>
      <c r="HI82" s="1904"/>
      <c r="HJ82" s="1818"/>
      <c r="HK82" s="1898"/>
      <c r="HL82" s="1903"/>
      <c r="HM82" s="1904"/>
      <c r="HN82" s="1904"/>
      <c r="HO82" s="715"/>
      <c r="HP82" s="166"/>
      <c r="HQ82" s="1905"/>
      <c r="HR82" s="1248"/>
      <c r="HS82" s="1248"/>
      <c r="HT82" s="1248"/>
      <c r="HU82" s="1826"/>
      <c r="HV82" s="1827">
        <f>(FN82+FS82+FX82+GC82+GH82+GM82+GR82+GW82+HB82+HG82+HL82+HQ82)/12</f>
        <v>0</v>
      </c>
      <c r="HW82" s="1089">
        <f t="shared" si="377"/>
        <v>0</v>
      </c>
      <c r="HX82" s="1089">
        <f t="shared" si="377"/>
        <v>0</v>
      </c>
      <c r="HY82" s="1089">
        <f t="shared" si="377"/>
        <v>0</v>
      </c>
      <c r="HZ82" s="1906"/>
      <c r="IA82" s="1907"/>
      <c r="IB82" s="1908"/>
      <c r="IC82" s="1908"/>
      <c r="ID82" s="1909"/>
      <c r="IE82" s="1910"/>
      <c r="IF82" s="1911"/>
      <c r="IG82" s="1912"/>
      <c r="IH82" s="1909"/>
      <c r="II82" s="1835"/>
      <c r="IJ82" s="1836"/>
      <c r="IK82" s="1836"/>
      <c r="IL82" s="693"/>
      <c r="IM82" s="1913"/>
      <c r="IN82" s="1836"/>
      <c r="IO82" s="1836"/>
      <c r="IP82" s="1838"/>
      <c r="IQ82" s="1914"/>
      <c r="IR82" s="1915"/>
      <c r="IS82" s="1916"/>
      <c r="IT82" s="1916"/>
      <c r="IU82" s="1917"/>
      <c r="IV82" s="1918"/>
      <c r="IW82" s="1919"/>
      <c r="IX82" s="1920"/>
      <c r="IY82" s="1921"/>
      <c r="IZ82" s="1719"/>
      <c r="JA82" s="1721"/>
      <c r="JB82" s="1922"/>
      <c r="JC82" s="1923"/>
      <c r="JD82" s="1924"/>
      <c r="JE82" s="1719"/>
      <c r="JF82" s="1721"/>
      <c r="JG82" s="1847"/>
      <c r="JH82" s="1096"/>
      <c r="JI82" s="1096"/>
      <c r="JJ82" s="1756"/>
      <c r="JK82" s="1721"/>
      <c r="JL82" s="1927"/>
      <c r="JM82" s="1096"/>
      <c r="JN82" s="1096"/>
      <c r="JO82" s="1843"/>
      <c r="JP82" s="1721"/>
      <c r="JQ82" s="1926"/>
      <c r="JR82" s="1982"/>
      <c r="JS82" s="1248"/>
      <c r="JT82" s="1995"/>
      <c r="JU82" s="1821"/>
      <c r="JV82" s="1849"/>
      <c r="JW82" s="1119"/>
      <c r="JX82" s="1850"/>
      <c r="JY82" s="1850"/>
      <c r="JZ82" s="1721"/>
      <c r="KA82" s="1846"/>
      <c r="KB82" s="264"/>
      <c r="KC82" s="264"/>
      <c r="KD82" s="964"/>
      <c r="KE82" s="1848"/>
      <c r="KF82" s="1849"/>
      <c r="KG82" s="1850"/>
      <c r="KH82" s="1850"/>
      <c r="KI82" s="1719"/>
      <c r="KJ82" s="1721"/>
      <c r="KK82" s="1849"/>
      <c r="KL82" s="1850"/>
      <c r="KM82" s="1850"/>
      <c r="KN82" s="1851"/>
      <c r="KO82" s="1852"/>
      <c r="KP82" s="1823"/>
      <c r="KQ82" s="1982"/>
      <c r="KR82" s="1248"/>
      <c r="KS82" s="1996"/>
      <c r="KT82" s="1819"/>
      <c r="KU82" s="1853"/>
      <c r="KV82" s="264"/>
      <c r="KW82" s="264"/>
      <c r="KX82" s="264"/>
      <c r="KY82" s="75"/>
      <c r="KZ82" s="1857"/>
      <c r="LA82" s="358"/>
      <c r="LB82" s="358"/>
      <c r="LC82" s="358"/>
      <c r="LD82" s="151"/>
      <c r="LE82" s="1854"/>
      <c r="LF82" s="1855"/>
      <c r="LG82" s="1855"/>
      <c r="LH82" s="1856"/>
      <c r="LI82" s="1857"/>
      <c r="LJ82" s="1858"/>
      <c r="LK82" s="1854"/>
      <c r="LL82" s="1856"/>
      <c r="LM82" s="1859"/>
      <c r="LN82" s="1727"/>
      <c r="LO82" s="1727"/>
      <c r="LP82" s="151"/>
      <c r="LQ82" s="1860">
        <f>(KK82+KP82+KU82)/3</f>
        <v>0</v>
      </c>
      <c r="LR82" s="1727"/>
      <c r="LS82" s="1727"/>
      <c r="LT82" s="1861"/>
      <c r="LV82" s="439"/>
      <c r="LW82" s="208"/>
      <c r="LX82" s="208"/>
      <c r="LY82" s="96"/>
      <c r="LZ82" s="78"/>
      <c r="MA82" s="2000"/>
      <c r="MB82" s="1317"/>
      <c r="MC82" s="1317"/>
      <c r="MD82" s="372"/>
      <c r="ME82" s="207"/>
      <c r="MF82" s="405"/>
      <c r="MG82" s="1575"/>
      <c r="MH82" s="1575"/>
      <c r="MI82" s="371"/>
      <c r="MJ82" s="157"/>
      <c r="MK82" s="354">
        <v>2</v>
      </c>
      <c r="ML82" s="208">
        <v>143333</v>
      </c>
      <c r="MM82" s="208">
        <v>163200</v>
      </c>
      <c r="MN82" s="371">
        <f>MM82-ML82</f>
        <v>19867</v>
      </c>
      <c r="MO82" s="157">
        <f>MN82/MM82</f>
        <v>0.12173406862745098</v>
      </c>
      <c r="MP82" s="1579">
        <v>2</v>
      </c>
      <c r="MQ82" s="264">
        <v>154370</v>
      </c>
      <c r="MR82" s="264">
        <v>163200</v>
      </c>
      <c r="MS82" s="264">
        <f>MR82-MQ82</f>
        <v>8830</v>
      </c>
      <c r="MT82" s="597">
        <f>MS82/MR82</f>
        <v>5.4105392156862747E-2</v>
      </c>
      <c r="MU82" s="209">
        <v>3</v>
      </c>
      <c r="MV82" s="208">
        <v>196362</v>
      </c>
      <c r="MW82" s="208">
        <v>224400</v>
      </c>
      <c r="MX82" s="208">
        <f>MW82-MV82</f>
        <v>28038</v>
      </c>
      <c r="MY82" s="597">
        <f>MX82/MW82</f>
        <v>0.12494652406417112</v>
      </c>
      <c r="MZ82" s="209">
        <v>3</v>
      </c>
      <c r="NA82" s="208">
        <v>189060</v>
      </c>
      <c r="NB82" s="208">
        <v>204000</v>
      </c>
      <c r="NC82" s="208">
        <f>NB82-NA82</f>
        <v>14940</v>
      </c>
      <c r="ND82" s="1313">
        <f>NC82/NB82</f>
        <v>7.3235294117647065E-2</v>
      </c>
      <c r="NE82" s="209">
        <v>3</v>
      </c>
      <c r="NF82" s="208">
        <v>189060</v>
      </c>
      <c r="NG82" s="208">
        <v>204000</v>
      </c>
      <c r="NH82" s="208">
        <f>NG82-NF82</f>
        <v>14940</v>
      </c>
      <c r="NI82" s="1313">
        <f>NH82/NG82</f>
        <v>7.3235294117647065E-2</v>
      </c>
      <c r="NJ82" s="209">
        <v>3</v>
      </c>
      <c r="NK82" s="208">
        <v>212704</v>
      </c>
      <c r="NL82" s="208">
        <v>232560</v>
      </c>
      <c r="NM82" s="208">
        <f>NL82-NK82</f>
        <v>19856</v>
      </c>
      <c r="NN82" s="1313">
        <f>NM82/NL82</f>
        <v>8.5380116959064334E-2</v>
      </c>
      <c r="NO82" s="357">
        <v>3</v>
      </c>
      <c r="NP82" s="358">
        <v>212704</v>
      </c>
      <c r="NQ82" s="359">
        <v>232560</v>
      </c>
      <c r="NR82" s="208">
        <f>NQ82-NP82</f>
        <v>19856</v>
      </c>
      <c r="NS82" s="1313">
        <f>NR82/NQ82</f>
        <v>8.5380116959064334E-2</v>
      </c>
      <c r="NT82" s="357">
        <v>3</v>
      </c>
      <c r="NU82" s="358">
        <v>216667</v>
      </c>
      <c r="NV82" s="358">
        <v>232560</v>
      </c>
      <c r="NW82" s="208">
        <f>NV82-NU82</f>
        <v>15893</v>
      </c>
      <c r="NX82" s="1313">
        <f>NW82/NV82</f>
        <v>6.8339353285173723E-2</v>
      </c>
      <c r="NY82" s="357">
        <v>3</v>
      </c>
      <c r="NZ82" s="358">
        <v>216667</v>
      </c>
      <c r="OA82" s="358">
        <v>232560</v>
      </c>
      <c r="OB82" s="622">
        <f>OA82-NZ82</f>
        <v>15893</v>
      </c>
      <c r="OC82" s="116">
        <f>OB82/OA82</f>
        <v>6.8339353285173723E-2</v>
      </c>
      <c r="OD82" s="191">
        <v>3</v>
      </c>
      <c r="OE82" s="358">
        <f t="shared" si="383"/>
        <v>1730927</v>
      </c>
      <c r="OF82" s="358">
        <f t="shared" si="383"/>
        <v>1889040</v>
      </c>
      <c r="OG82" s="358">
        <f t="shared" si="383"/>
        <v>158113</v>
      </c>
      <c r="OH82" s="220">
        <f>OG82/OF82</f>
        <v>8.3700186338034138E-2</v>
      </c>
      <c r="OI82" s="1863">
        <f>(LV82+MA82+MF82)/3</f>
        <v>0</v>
      </c>
      <c r="OJ82" s="105">
        <f t="shared" si="384"/>
        <v>0</v>
      </c>
      <c r="OK82" s="105">
        <f t="shared" si="384"/>
        <v>0</v>
      </c>
      <c r="OL82" s="105">
        <f t="shared" si="384"/>
        <v>0</v>
      </c>
      <c r="OM82" s="106"/>
      <c r="ON82" s="358">
        <f>(MK82+MP82+MU82)/3</f>
        <v>2.3333333333333335</v>
      </c>
      <c r="OO82" s="358">
        <f t="shared" si="385"/>
        <v>494065</v>
      </c>
      <c r="OP82" s="358">
        <f t="shared" si="385"/>
        <v>550800</v>
      </c>
      <c r="OQ82" s="359">
        <f t="shared" si="385"/>
        <v>56735</v>
      </c>
      <c r="OR82" s="169">
        <f>OQ82/OP82</f>
        <v>0.1030047204066812</v>
      </c>
      <c r="OS82" s="686">
        <f>(NJ82+NE82+MZ82)/3</f>
        <v>3</v>
      </c>
      <c r="OT82" s="146">
        <f t="shared" si="386"/>
        <v>590824</v>
      </c>
      <c r="OU82" s="146">
        <f t="shared" si="386"/>
        <v>640560</v>
      </c>
      <c r="OV82" s="1864">
        <f t="shared" si="386"/>
        <v>49736</v>
      </c>
      <c r="OW82" s="203">
        <f>OV82/OU82</f>
        <v>7.7644561009117027E-2</v>
      </c>
      <c r="OX82" s="357">
        <v>3</v>
      </c>
      <c r="OY82" s="358">
        <f t="shared" si="387"/>
        <v>646038</v>
      </c>
      <c r="OZ82" s="358">
        <f t="shared" si="387"/>
        <v>697680</v>
      </c>
      <c r="PA82" s="359">
        <f t="shared" si="387"/>
        <v>51642</v>
      </c>
      <c r="PB82" s="114">
        <f>PA82/OZ82</f>
        <v>7.4019607843137256E-2</v>
      </c>
      <c r="PC82" s="79"/>
      <c r="PD82" s="439">
        <v>3</v>
      </c>
      <c r="PE82" s="208">
        <v>216667</v>
      </c>
      <c r="PF82" s="208">
        <v>232560</v>
      </c>
      <c r="PG82" s="96">
        <f t="shared" si="390"/>
        <v>15893</v>
      </c>
      <c r="PH82" s="78">
        <f t="shared" si="391"/>
        <v>6.8339353285173723E-2</v>
      </c>
      <c r="PI82" s="439">
        <v>3</v>
      </c>
      <c r="PJ82" s="208">
        <v>216667</v>
      </c>
      <c r="PK82" s="208">
        <v>232560</v>
      </c>
      <c r="PL82" s="96">
        <f t="shared" si="392"/>
        <v>15893</v>
      </c>
      <c r="PM82" s="78">
        <f>PL82/PK82</f>
        <v>6.8339353285173723E-2</v>
      </c>
      <c r="PN82" s="439">
        <v>4</v>
      </c>
      <c r="PO82" s="208">
        <f>259309-15000</f>
        <v>244309</v>
      </c>
      <c r="PP82" s="208">
        <v>285000</v>
      </c>
      <c r="PQ82" s="372">
        <f t="shared" si="393"/>
        <v>40691</v>
      </c>
      <c r="PR82" s="207">
        <f>PQ82/PP82</f>
        <v>0.14277543859649122</v>
      </c>
      <c r="PS82" s="354">
        <v>3</v>
      </c>
      <c r="PT82" s="208">
        <v>285001</v>
      </c>
      <c r="PU82" s="208">
        <v>338640</v>
      </c>
      <c r="PV82" s="371">
        <f>PU82-PT82</f>
        <v>53639</v>
      </c>
      <c r="PW82" s="157">
        <f>PV82/PU82</f>
        <v>0.15839534609024333</v>
      </c>
      <c r="PX82" s="1579">
        <v>4</v>
      </c>
      <c r="PY82" s="264">
        <v>285001</v>
      </c>
      <c r="PZ82" s="264">
        <v>338640</v>
      </c>
      <c r="QA82" s="264">
        <f>PZ82-PY82</f>
        <v>53639</v>
      </c>
      <c r="QB82" s="597">
        <f>QA82/PZ82</f>
        <v>0.15839534609024333</v>
      </c>
      <c r="QC82" s="209">
        <v>4</v>
      </c>
      <c r="QD82" s="208">
        <v>285001</v>
      </c>
      <c r="QE82" s="208">
        <v>338640</v>
      </c>
      <c r="QF82" s="208">
        <f t="shared" si="289"/>
        <v>53639</v>
      </c>
      <c r="QG82" s="597">
        <f t="shared" si="336"/>
        <v>0.15839534609024333</v>
      </c>
      <c r="QH82" s="439">
        <v>4</v>
      </c>
      <c r="QI82" s="208">
        <v>281646</v>
      </c>
      <c r="QJ82" s="208">
        <v>338640</v>
      </c>
      <c r="QK82" s="208">
        <f t="shared" si="337"/>
        <v>56994</v>
      </c>
      <c r="QL82" s="1313">
        <f t="shared" si="338"/>
        <v>0.16830262225372075</v>
      </c>
      <c r="QM82" s="2084">
        <v>3</v>
      </c>
      <c r="QN82" s="2085">
        <v>205834</v>
      </c>
      <c r="QO82" s="2085">
        <v>338640</v>
      </c>
      <c r="QP82" s="208">
        <f t="shared" si="339"/>
        <v>132806</v>
      </c>
      <c r="QQ82" s="801">
        <f t="shared" si="340"/>
        <v>0.39217458067564376</v>
      </c>
      <c r="QR82" s="209">
        <v>4</v>
      </c>
      <c r="QS82" s="208">
        <v>230749</v>
      </c>
      <c r="QT82" s="208">
        <v>338640</v>
      </c>
      <c r="QU82" s="208">
        <f t="shared" si="341"/>
        <v>107891</v>
      </c>
      <c r="QV82" s="157">
        <f t="shared" si="317"/>
        <v>0.3186008740845736</v>
      </c>
      <c r="QW82" s="209">
        <v>4</v>
      </c>
      <c r="QX82" s="208">
        <v>272501</v>
      </c>
      <c r="QY82" s="208">
        <v>340000</v>
      </c>
      <c r="QZ82" s="208">
        <f t="shared" si="318"/>
        <v>67499</v>
      </c>
      <c r="RA82" s="2083">
        <f t="shared" si="342"/>
        <v>0.1985264705882353</v>
      </c>
      <c r="RB82" s="209">
        <v>4</v>
      </c>
      <c r="RC82" s="208">
        <v>272501</v>
      </c>
      <c r="RD82" s="208">
        <v>340000</v>
      </c>
      <c r="RE82" s="208">
        <f t="shared" si="343"/>
        <v>67499</v>
      </c>
      <c r="RF82" s="114">
        <f t="shared" si="344"/>
        <v>0.1985264705882353</v>
      </c>
      <c r="RG82" s="1857">
        <v>4</v>
      </c>
      <c r="RH82" s="208">
        <v>272501</v>
      </c>
      <c r="RI82" s="208">
        <v>340000</v>
      </c>
      <c r="RJ82" s="772">
        <f t="shared" si="369"/>
        <v>67499</v>
      </c>
      <c r="RK82" s="116">
        <f t="shared" si="345"/>
        <v>0.1985264705882353</v>
      </c>
      <c r="RL82" s="1567">
        <v>4</v>
      </c>
      <c r="RM82" s="1568">
        <f t="shared" si="346"/>
        <v>3068378</v>
      </c>
      <c r="RN82" s="1568">
        <f t="shared" si="346"/>
        <v>3801960</v>
      </c>
      <c r="RO82" s="1568">
        <f t="shared" si="346"/>
        <v>733582</v>
      </c>
      <c r="RP82" s="220">
        <f t="shared" si="347"/>
        <v>0.19294837399657019</v>
      </c>
      <c r="RQ82" s="1863">
        <f t="shared" si="394"/>
        <v>3.3333333333333335</v>
      </c>
      <c r="RR82" s="105">
        <f t="shared" si="388"/>
        <v>677643</v>
      </c>
      <c r="RS82" s="105">
        <f t="shared" si="388"/>
        <v>750120</v>
      </c>
      <c r="RT82" s="105">
        <f t="shared" si="388"/>
        <v>72477</v>
      </c>
      <c r="RU82" s="106">
        <f>RT82/RS82</f>
        <v>9.6620540713485845E-2</v>
      </c>
      <c r="RV82" s="358">
        <v>4</v>
      </c>
      <c r="RW82" s="358">
        <f t="shared" si="349"/>
        <v>855003</v>
      </c>
      <c r="RX82" s="358">
        <f t="shared" si="349"/>
        <v>1015920</v>
      </c>
      <c r="RY82" s="359">
        <f t="shared" si="349"/>
        <v>160917</v>
      </c>
      <c r="RZ82" s="169">
        <f t="shared" si="362"/>
        <v>0.15839534609024333</v>
      </c>
      <c r="SA82" s="686">
        <v>4</v>
      </c>
      <c r="SB82" s="146">
        <f t="shared" si="374"/>
        <v>718229</v>
      </c>
      <c r="SC82" s="146">
        <f t="shared" si="374"/>
        <v>1015920</v>
      </c>
      <c r="SD82" s="1864">
        <f t="shared" si="374"/>
        <v>297691</v>
      </c>
      <c r="SE82" s="203">
        <f t="shared" si="370"/>
        <v>0.2930260256713127</v>
      </c>
      <c r="SF82" s="1567">
        <v>4</v>
      </c>
      <c r="SG82" s="358">
        <f t="shared" si="319"/>
        <v>817503</v>
      </c>
      <c r="SH82" s="358">
        <f t="shared" si="319"/>
        <v>1020000</v>
      </c>
      <c r="SI82" s="359">
        <f t="shared" si="319"/>
        <v>202497</v>
      </c>
      <c r="SJ82" s="114">
        <f t="shared" si="294"/>
        <v>0.1985264705882353</v>
      </c>
      <c r="SL82" s="439">
        <v>4</v>
      </c>
      <c r="SM82" s="208">
        <v>281251</v>
      </c>
      <c r="SN82" s="208">
        <v>340000</v>
      </c>
      <c r="SO82" s="96">
        <f t="shared" si="264"/>
        <v>58749</v>
      </c>
      <c r="SP82" s="78">
        <f t="shared" si="375"/>
        <v>0.17279117647058823</v>
      </c>
      <c r="SQ82" s="439">
        <v>4</v>
      </c>
      <c r="SR82" s="208">
        <v>280207</v>
      </c>
      <c r="SS82" s="208">
        <v>340000</v>
      </c>
      <c r="ST82" s="96">
        <f t="shared" si="320"/>
        <v>59793</v>
      </c>
      <c r="SU82" s="222">
        <f t="shared" si="389"/>
        <v>0.17586176470588236</v>
      </c>
      <c r="SV82" s="439">
        <v>4</v>
      </c>
      <c r="SW82" s="208">
        <v>280172</v>
      </c>
      <c r="SX82" s="208">
        <v>350200</v>
      </c>
      <c r="SY82" s="372">
        <f t="shared" si="321"/>
        <v>70028</v>
      </c>
      <c r="SZ82" s="207">
        <f t="shared" si="363"/>
        <v>0.19996573386636207</v>
      </c>
      <c r="TA82" s="1574">
        <v>4</v>
      </c>
      <c r="TB82" s="208">
        <v>281251</v>
      </c>
      <c r="TC82" s="772">
        <v>350200</v>
      </c>
      <c r="TD82" s="96">
        <f t="shared" si="280"/>
        <v>68949</v>
      </c>
      <c r="TE82" s="94">
        <f t="shared" si="295"/>
        <v>0.19688463735008566</v>
      </c>
      <c r="TF82" s="354">
        <v>4</v>
      </c>
      <c r="TG82" s="208">
        <v>281251</v>
      </c>
      <c r="TH82" s="208">
        <v>350200</v>
      </c>
      <c r="TI82" s="208">
        <f t="shared" si="350"/>
        <v>68949</v>
      </c>
      <c r="TJ82" s="114">
        <f t="shared" si="296"/>
        <v>0.19688463735008566</v>
      </c>
      <c r="TK82" s="209">
        <v>4</v>
      </c>
      <c r="TL82" s="208">
        <v>281251</v>
      </c>
      <c r="TM82" s="208">
        <v>350200</v>
      </c>
      <c r="TN82" s="395">
        <f t="shared" si="351"/>
        <v>68949</v>
      </c>
      <c r="TO82" s="114">
        <f t="shared" si="364"/>
        <v>0.19688463735008566</v>
      </c>
      <c r="TP82" s="1574">
        <v>4</v>
      </c>
      <c r="TQ82" s="208">
        <v>287667</v>
      </c>
      <c r="TR82" s="208">
        <v>350200</v>
      </c>
      <c r="TS82" s="994">
        <f t="shared" si="352"/>
        <v>62533</v>
      </c>
      <c r="TT82" s="114">
        <f t="shared" si="365"/>
        <v>0.17856367789834379</v>
      </c>
      <c r="TU82" s="6140">
        <v>4</v>
      </c>
      <c r="TV82" s="2085">
        <v>287667</v>
      </c>
      <c r="TW82" s="2085">
        <v>350200</v>
      </c>
      <c r="TX82" s="994">
        <f t="shared" si="353"/>
        <v>62533</v>
      </c>
      <c r="TY82" s="116">
        <f t="shared" si="366"/>
        <v>0.17856367789834379</v>
      </c>
      <c r="TZ82" s="209">
        <v>4</v>
      </c>
      <c r="UA82" s="208">
        <v>287667</v>
      </c>
      <c r="UB82" s="208">
        <v>350200</v>
      </c>
      <c r="UC82" s="994">
        <f t="shared" si="354"/>
        <v>62533</v>
      </c>
      <c r="UD82" s="116">
        <f t="shared" si="395"/>
        <v>0.17856367789834379</v>
      </c>
      <c r="UE82" s="1868">
        <v>4</v>
      </c>
      <c r="UF82" s="1575">
        <v>287085</v>
      </c>
      <c r="UG82" s="1575">
        <v>350200</v>
      </c>
      <c r="UH82" s="1575">
        <f t="shared" si="322"/>
        <v>63115</v>
      </c>
      <c r="UI82" s="6495">
        <f t="shared" si="367"/>
        <v>0.18022558537978298</v>
      </c>
      <c r="UJ82" s="209"/>
      <c r="UK82" s="208"/>
      <c r="UL82" s="208"/>
      <c r="UM82" s="208">
        <f t="shared" si="355"/>
        <v>0</v>
      </c>
      <c r="UN82" s="114" t="e">
        <f>UM82/UL82</f>
        <v>#DIV/0!</v>
      </c>
      <c r="UO82" s="1567"/>
      <c r="UP82" s="1568"/>
      <c r="UQ82" s="1568"/>
      <c r="UR82" s="1873">
        <f t="shared" si="323"/>
        <v>0</v>
      </c>
      <c r="US82" s="116" t="e">
        <f>UR82/UQ82</f>
        <v>#DIV/0!</v>
      </c>
      <c r="UT82" s="1567"/>
      <c r="UU82" s="358">
        <f t="shared" si="371"/>
        <v>2835469</v>
      </c>
      <c r="UV82" s="358">
        <f t="shared" si="371"/>
        <v>3481600</v>
      </c>
      <c r="UW82" s="358">
        <f t="shared" si="371"/>
        <v>646131</v>
      </c>
      <c r="UX82" s="220">
        <f t="shared" si="358"/>
        <v>0.18558450137867646</v>
      </c>
      <c r="UY82" s="1863">
        <f t="shared" si="324"/>
        <v>4</v>
      </c>
      <c r="UZ82" s="105">
        <f t="shared" si="359"/>
        <v>841630</v>
      </c>
      <c r="VA82" s="105">
        <f t="shared" si="359"/>
        <v>1030200</v>
      </c>
      <c r="VB82" s="105">
        <f t="shared" si="359"/>
        <v>188570</v>
      </c>
      <c r="VC82" s="106">
        <f t="shared" si="325"/>
        <v>0.18304212774218598</v>
      </c>
      <c r="VD82" s="358"/>
      <c r="VE82" s="358">
        <f t="shared" si="326"/>
        <v>843753</v>
      </c>
      <c r="VF82" s="358">
        <f t="shared" si="326"/>
        <v>1050600</v>
      </c>
      <c r="VG82" s="359">
        <f t="shared" si="326"/>
        <v>206847</v>
      </c>
      <c r="VH82" s="169">
        <f t="shared" si="372"/>
        <v>0.19688463735008566</v>
      </c>
      <c r="VI82" s="686"/>
      <c r="VJ82" s="146">
        <f t="shared" si="373"/>
        <v>863001</v>
      </c>
      <c r="VK82" s="146">
        <f t="shared" si="360"/>
        <v>1050600</v>
      </c>
      <c r="VL82" s="1864">
        <f t="shared" si="360"/>
        <v>187599</v>
      </c>
      <c r="VM82" s="203">
        <f t="shared" si="268"/>
        <v>0.17856367789834379</v>
      </c>
      <c r="VN82" s="1567"/>
      <c r="VO82" s="358">
        <f t="shared" si="368"/>
        <v>287085</v>
      </c>
      <c r="VP82" s="358">
        <f t="shared" si="361"/>
        <v>350200</v>
      </c>
      <c r="VQ82" s="359">
        <f t="shared" si="361"/>
        <v>63115</v>
      </c>
      <c r="VR82" s="114">
        <f t="shared" si="300"/>
        <v>0.18022558537978298</v>
      </c>
    </row>
    <row r="83" spans="1:590" s="1193" customFormat="1" ht="14.55" customHeight="1" x14ac:dyDescent="0.3">
      <c r="A83" s="1297"/>
      <c r="B83" s="1773" t="s">
        <v>53</v>
      </c>
      <c r="C83" s="1991" t="s">
        <v>74</v>
      </c>
      <c r="D83" s="1992"/>
      <c r="E83" s="2086"/>
      <c r="F83" s="2086"/>
      <c r="G83" s="1994">
        <v>165000</v>
      </c>
      <c r="H83" s="2093"/>
      <c r="I83" s="2094"/>
      <c r="J83" s="2094"/>
      <c r="K83" s="2094"/>
      <c r="L83" s="2095"/>
      <c r="M83" s="2093"/>
      <c r="N83" s="2094"/>
      <c r="O83" s="2094"/>
      <c r="P83" s="2094"/>
      <c r="Q83" s="2095"/>
      <c r="R83" s="2093"/>
      <c r="S83" s="2094"/>
      <c r="T83" s="2094"/>
      <c r="U83" s="2094"/>
      <c r="V83" s="2095"/>
      <c r="W83" s="2093"/>
      <c r="X83" s="2094"/>
      <c r="Y83" s="2094"/>
      <c r="Z83" s="2094"/>
      <c r="AA83" s="2096"/>
      <c r="AB83" s="2093"/>
      <c r="AC83" s="2094"/>
      <c r="AD83" s="2094"/>
      <c r="AE83" s="2094"/>
      <c r="AF83" s="2096"/>
      <c r="AG83" s="2094"/>
      <c r="AH83" s="2094"/>
      <c r="AI83" s="2094"/>
      <c r="AJ83" s="2094"/>
      <c r="AK83" s="2095"/>
      <c r="AL83" s="2094"/>
      <c r="AM83" s="2094"/>
      <c r="AN83" s="2094"/>
      <c r="AO83" s="2094"/>
      <c r="AP83" s="2095"/>
      <c r="AQ83" s="2094"/>
      <c r="AR83" s="2094"/>
      <c r="AS83" s="2094"/>
      <c r="AT83" s="2094"/>
      <c r="AU83" s="2095"/>
      <c r="AV83" s="2097"/>
      <c r="AW83" s="2094"/>
      <c r="AX83" s="2094"/>
      <c r="AY83" s="2094"/>
      <c r="AZ83" s="2096"/>
      <c r="BA83" s="2097"/>
      <c r="BB83" s="2094"/>
      <c r="BC83" s="2094"/>
      <c r="BD83" s="2094"/>
      <c r="BE83" s="2096"/>
      <c r="BF83" s="2097"/>
      <c r="BG83" s="2094"/>
      <c r="BH83" s="2094"/>
      <c r="BI83" s="2094"/>
      <c r="BJ83" s="2096"/>
      <c r="BK83" s="2097"/>
      <c r="BL83" s="2094"/>
      <c r="BM83" s="2094"/>
      <c r="BN83" s="2094"/>
      <c r="BO83" s="2096"/>
      <c r="BP83" s="2098"/>
      <c r="BQ83" s="2094"/>
      <c r="BR83" s="2094"/>
      <c r="BS83" s="2094"/>
      <c r="BT83" s="2099"/>
      <c r="BU83" s="2094"/>
      <c r="BV83" s="2094"/>
      <c r="BW83" s="2100"/>
      <c r="BX83" s="2099"/>
      <c r="BY83" s="2094"/>
      <c r="BZ83" s="2094"/>
      <c r="CA83" s="2101"/>
      <c r="CB83" s="2094"/>
      <c r="CC83" s="2094"/>
      <c r="CD83" s="2094"/>
      <c r="CE83" s="2094"/>
      <c r="CF83" s="2099"/>
      <c r="CG83" s="2094"/>
      <c r="CH83" s="2094"/>
      <c r="CI83" s="2101"/>
      <c r="CJ83" s="2102"/>
      <c r="CK83" s="2094"/>
      <c r="CL83" s="2094"/>
      <c r="CM83" s="2094"/>
      <c r="CN83" s="2100"/>
      <c r="CO83" s="2102"/>
      <c r="CP83" s="2093"/>
      <c r="CQ83" s="2093"/>
      <c r="CR83" s="2093"/>
      <c r="CS83" s="2100"/>
      <c r="CT83" s="2102"/>
      <c r="CU83" s="2094"/>
      <c r="CV83" s="2094"/>
      <c r="CW83" s="2094"/>
      <c r="CX83" s="2100"/>
      <c r="CY83" s="2102"/>
      <c r="CZ83" s="2094"/>
      <c r="DA83" s="2094"/>
      <c r="DB83" s="2094"/>
      <c r="DC83" s="2100"/>
      <c r="DD83" s="2102"/>
      <c r="DE83" s="2094"/>
      <c r="DF83" s="2094"/>
      <c r="DG83" s="2094"/>
      <c r="DH83" s="2103"/>
      <c r="DI83" s="2102"/>
      <c r="DJ83" s="2094"/>
      <c r="DK83" s="2094"/>
      <c r="DL83" s="2094"/>
      <c r="DM83" s="2103"/>
      <c r="DN83" s="2102"/>
      <c r="DO83" s="2094"/>
      <c r="DP83" s="2094"/>
      <c r="DQ83" s="2094"/>
      <c r="DR83" s="2103"/>
      <c r="DS83" s="2102"/>
      <c r="DT83" s="2094"/>
      <c r="DU83" s="2094"/>
      <c r="DV83" s="2094"/>
      <c r="DW83" s="2103"/>
      <c r="DX83" s="2102"/>
      <c r="DY83" s="2094"/>
      <c r="DZ83" s="2094"/>
      <c r="EA83" s="2094"/>
      <c r="EB83" s="2103"/>
      <c r="EC83" s="2102"/>
      <c r="ED83" s="2094"/>
      <c r="EE83" s="2094"/>
      <c r="EF83" s="2094"/>
      <c r="EG83" s="2103"/>
      <c r="EH83" s="2037"/>
      <c r="EI83" s="1914"/>
      <c r="EJ83" s="1914"/>
      <c r="EK83" s="1914"/>
      <c r="EL83" s="2038"/>
      <c r="EM83" s="1910"/>
      <c r="EN83" s="715"/>
      <c r="EO83" s="715"/>
      <c r="EP83" s="715"/>
      <c r="EQ83" s="366"/>
      <c r="ER83" s="1713"/>
      <c r="ES83" s="1714"/>
      <c r="ET83" s="1714"/>
      <c r="EU83" s="1714"/>
      <c r="EV83" s="1715"/>
      <c r="EW83" s="2031"/>
      <c r="EX83" s="2031"/>
      <c r="EY83" s="2031"/>
      <c r="EZ83" s="593"/>
      <c r="FA83" s="2037"/>
      <c r="FB83" s="2031"/>
      <c r="FC83" s="2031"/>
      <c r="FD83" s="2036"/>
      <c r="FE83" s="2031"/>
      <c r="FF83" s="2031"/>
      <c r="FG83" s="2031"/>
      <c r="FH83" s="593"/>
      <c r="FI83" s="2039"/>
      <c r="FJ83" s="2040"/>
      <c r="FK83" s="2041"/>
      <c r="FL83" s="2041"/>
      <c r="FM83" s="693"/>
      <c r="FN83" s="2031"/>
      <c r="FO83" s="1914"/>
      <c r="FP83" s="1914"/>
      <c r="FQ83" s="1914"/>
      <c r="FR83" s="2032"/>
      <c r="FS83" s="1910"/>
      <c r="FT83" s="715"/>
      <c r="FU83" s="715"/>
      <c r="FV83" s="715"/>
      <c r="FW83" s="366"/>
      <c r="FX83" s="2037"/>
      <c r="FY83" s="1914"/>
      <c r="FZ83" s="1914"/>
      <c r="GA83" s="715"/>
      <c r="GB83" s="366"/>
      <c r="GC83" s="1899"/>
      <c r="GD83" s="1900"/>
      <c r="GE83" s="1900"/>
      <c r="GF83" s="715"/>
      <c r="GG83" s="366"/>
      <c r="GH83" s="1901"/>
      <c r="GI83" s="1824"/>
      <c r="GJ83" s="1824"/>
      <c r="GK83" s="715"/>
      <c r="GL83" s="366"/>
      <c r="GM83" s="1901"/>
      <c r="GN83" s="1824"/>
      <c r="GO83" s="1824"/>
      <c r="GP83" s="715"/>
      <c r="GQ83" s="366"/>
      <c r="GR83" s="2042"/>
      <c r="GS83" s="2043"/>
      <c r="GT83" s="2043"/>
      <c r="GU83" s="715"/>
      <c r="GV83" s="366"/>
      <c r="GW83" s="2042"/>
      <c r="GX83" s="2043"/>
      <c r="GY83" s="2043"/>
      <c r="GZ83" s="715"/>
      <c r="HA83" s="366"/>
      <c r="HB83" s="2042"/>
      <c r="HC83" s="2043"/>
      <c r="HD83" s="2043"/>
      <c r="HE83" s="715"/>
      <c r="HF83" s="366"/>
      <c r="HG83" s="2042"/>
      <c r="HH83" s="2043"/>
      <c r="HI83" s="2043"/>
      <c r="HJ83" s="1818"/>
      <c r="HK83" s="366"/>
      <c r="HL83" s="2042"/>
      <c r="HM83" s="2043"/>
      <c r="HN83" s="2043"/>
      <c r="HO83" s="715"/>
      <c r="HP83" s="366"/>
      <c r="HQ83" s="1905"/>
      <c r="HR83" s="1248"/>
      <c r="HS83" s="1248"/>
      <c r="HT83" s="1248"/>
      <c r="HU83" s="1826"/>
      <c r="HV83" s="1827"/>
      <c r="HW83" s="1089"/>
      <c r="HX83" s="1089"/>
      <c r="HY83" s="1089"/>
      <c r="HZ83" s="1906"/>
      <c r="IA83" s="1907"/>
      <c r="IB83" s="1908"/>
      <c r="IC83" s="1908"/>
      <c r="ID83" s="1909"/>
      <c r="IE83" s="1910"/>
      <c r="IF83" s="1911"/>
      <c r="IG83" s="1912"/>
      <c r="IH83" s="1909"/>
      <c r="II83" s="1835"/>
      <c r="IJ83" s="1836"/>
      <c r="IK83" s="1836"/>
      <c r="IL83" s="693"/>
      <c r="IM83" s="1913"/>
      <c r="IN83" s="1836"/>
      <c r="IO83" s="1836"/>
      <c r="IP83" s="1838"/>
      <c r="IQ83" s="1914"/>
      <c r="IR83" s="2044"/>
      <c r="IS83" s="715"/>
      <c r="IT83" s="715"/>
      <c r="IU83" s="1996"/>
      <c r="IV83" s="2045"/>
      <c r="IW83" s="1910"/>
      <c r="IX83" s="715"/>
      <c r="IY83" s="823"/>
      <c r="IZ83" s="1719"/>
      <c r="JA83" s="1721"/>
      <c r="JB83" s="2046"/>
      <c r="JC83" s="2047"/>
      <c r="JD83" s="2048"/>
      <c r="JE83" s="1719"/>
      <c r="JF83" s="1721"/>
      <c r="JG83" s="1847"/>
      <c r="JH83" s="1096"/>
      <c r="JI83" s="1096"/>
      <c r="JJ83" s="1756"/>
      <c r="JK83" s="1721"/>
      <c r="JL83" s="1927"/>
      <c r="JM83" s="1096"/>
      <c r="JN83" s="1096"/>
      <c r="JO83" s="823"/>
      <c r="JP83" s="1721"/>
      <c r="JQ83" s="1926"/>
      <c r="JR83" s="1982"/>
      <c r="JS83" s="1248"/>
      <c r="JT83" s="1995"/>
      <c r="JU83" s="1821"/>
      <c r="JV83" s="1988"/>
      <c r="JW83" s="2049"/>
      <c r="JX83" s="1850"/>
      <c r="JY83" s="823"/>
      <c r="JZ83" s="1721"/>
      <c r="KA83" s="1847"/>
      <c r="KB83" s="264"/>
      <c r="KC83" s="972"/>
      <c r="KD83" s="964"/>
      <c r="KE83" s="1848"/>
      <c r="KF83" s="1988"/>
      <c r="KG83" s="1850"/>
      <c r="KH83" s="2049"/>
      <c r="KI83" s="1719"/>
      <c r="KJ83" s="1721"/>
      <c r="KK83" s="1988"/>
      <c r="KL83" s="1850"/>
      <c r="KM83" s="2049"/>
      <c r="KN83" s="1851"/>
      <c r="KO83" s="1852"/>
      <c r="KP83" s="1823"/>
      <c r="KQ83" s="1982"/>
      <c r="KR83" s="1248"/>
      <c r="KS83" s="1996"/>
      <c r="KT83" s="1819"/>
      <c r="KU83" s="1853"/>
      <c r="KV83" s="264"/>
      <c r="KW83" s="264"/>
      <c r="KX83" s="264"/>
      <c r="KY83" s="75"/>
      <c r="KZ83" s="1857"/>
      <c r="LA83" s="358"/>
      <c r="LB83" s="358"/>
      <c r="LC83" s="358"/>
      <c r="LD83" s="151"/>
      <c r="LE83" s="1854"/>
      <c r="LF83" s="1855"/>
      <c r="LG83" s="1855"/>
      <c r="LH83" s="1856"/>
      <c r="LI83" s="1857"/>
      <c r="LJ83" s="1858"/>
      <c r="LK83" s="1854"/>
      <c r="LL83" s="1856"/>
      <c r="LM83" s="1859"/>
      <c r="LN83" s="1727"/>
      <c r="LO83" s="1727"/>
      <c r="LP83" s="151"/>
      <c r="LQ83" s="1860"/>
      <c r="LR83" s="1727"/>
      <c r="LS83" s="1727"/>
      <c r="LT83" s="1861"/>
      <c r="LV83" s="439"/>
      <c r="LW83" s="208"/>
      <c r="LX83" s="208"/>
      <c r="LY83" s="96"/>
      <c r="LZ83" s="78"/>
      <c r="MA83" s="1832"/>
      <c r="MB83" s="622"/>
      <c r="MC83" s="622"/>
      <c r="MD83" s="372"/>
      <c r="ME83" s="207"/>
      <c r="MF83" s="405"/>
      <c r="MG83" s="1575"/>
      <c r="MH83" s="1568"/>
      <c r="MI83" s="371"/>
      <c r="MJ83" s="157"/>
      <c r="MK83" s="354"/>
      <c r="ML83" s="208"/>
      <c r="MM83" s="358"/>
      <c r="MN83" s="371"/>
      <c r="MO83" s="157"/>
      <c r="MP83" s="1579"/>
      <c r="MQ83" s="264"/>
      <c r="MR83" s="264"/>
      <c r="MS83" s="264"/>
      <c r="MT83" s="597"/>
      <c r="MU83" s="209"/>
      <c r="MV83" s="208"/>
      <c r="MW83" s="208"/>
      <c r="MX83" s="208"/>
      <c r="MY83" s="597"/>
      <c r="MZ83" s="209"/>
      <c r="NA83" s="208"/>
      <c r="NB83" s="208"/>
      <c r="NC83" s="208"/>
      <c r="ND83" s="1313"/>
      <c r="NE83" s="209"/>
      <c r="NF83" s="208"/>
      <c r="NG83" s="208"/>
      <c r="NH83" s="208"/>
      <c r="NI83" s="1313"/>
      <c r="NJ83" s="209"/>
      <c r="NK83" s="208"/>
      <c r="NL83" s="208"/>
      <c r="NM83" s="208"/>
      <c r="NN83" s="1313"/>
      <c r="NO83" s="357"/>
      <c r="NP83" s="358"/>
      <c r="NQ83" s="359"/>
      <c r="NR83" s="208"/>
      <c r="NS83" s="1313"/>
      <c r="NT83" s="357"/>
      <c r="NU83" s="358"/>
      <c r="NV83" s="358"/>
      <c r="NW83" s="208"/>
      <c r="NX83" s="1313"/>
      <c r="NY83" s="357"/>
      <c r="NZ83" s="358"/>
      <c r="OA83" s="358"/>
      <c r="OB83" s="622"/>
      <c r="OC83" s="116"/>
      <c r="OD83" s="191"/>
      <c r="OE83" s="358"/>
      <c r="OF83" s="358"/>
      <c r="OG83" s="358"/>
      <c r="OH83" s="220"/>
      <c r="OI83" s="1863"/>
      <c r="OJ83" s="105"/>
      <c r="OK83" s="105"/>
      <c r="OL83" s="105"/>
      <c r="OM83" s="106"/>
      <c r="ON83" s="358"/>
      <c r="OO83" s="358"/>
      <c r="OP83" s="358"/>
      <c r="OQ83" s="359"/>
      <c r="OR83" s="169"/>
      <c r="OS83" s="686"/>
      <c r="OT83" s="146"/>
      <c r="OU83" s="146"/>
      <c r="OV83" s="1864"/>
      <c r="OW83" s="203"/>
      <c r="OX83" s="357"/>
      <c r="OY83" s="358"/>
      <c r="OZ83" s="358"/>
      <c r="PA83" s="359"/>
      <c r="PB83" s="114"/>
      <c r="PC83" s="79"/>
      <c r="PD83" s="439"/>
      <c r="PE83" s="208"/>
      <c r="PF83" s="208"/>
      <c r="PG83" s="96"/>
      <c r="PH83" s="78"/>
      <c r="PI83" s="439"/>
      <c r="PJ83" s="208"/>
      <c r="PK83" s="208"/>
      <c r="PL83" s="96"/>
      <c r="PM83" s="78"/>
      <c r="PN83" s="439"/>
      <c r="PO83" s="208"/>
      <c r="PP83" s="358"/>
      <c r="PQ83" s="372"/>
      <c r="PR83" s="207"/>
      <c r="PS83" s="354"/>
      <c r="PT83" s="208"/>
      <c r="PU83" s="358"/>
      <c r="PV83" s="371"/>
      <c r="PW83" s="157"/>
      <c r="PX83" s="1579"/>
      <c r="PY83" s="264"/>
      <c r="PZ83" s="264"/>
      <c r="QA83" s="264"/>
      <c r="QB83" s="597"/>
      <c r="QC83" s="209"/>
      <c r="QD83" s="208"/>
      <c r="QE83" s="208"/>
      <c r="QF83" s="208"/>
      <c r="QG83" s="597"/>
      <c r="QH83" s="439"/>
      <c r="QI83" s="208"/>
      <c r="QJ83" s="208"/>
      <c r="QK83" s="208"/>
      <c r="QL83" s="1313"/>
      <c r="QM83" s="2084"/>
      <c r="QN83" s="2085"/>
      <c r="QO83" s="2085"/>
      <c r="QP83" s="208"/>
      <c r="QQ83" s="801"/>
      <c r="QR83" s="209"/>
      <c r="QS83" s="208"/>
      <c r="QT83" s="208"/>
      <c r="QU83" s="208"/>
      <c r="QV83" s="157"/>
      <c r="QW83" s="209"/>
      <c r="QX83" s="208"/>
      <c r="QY83" s="208"/>
      <c r="QZ83" s="208"/>
      <c r="RA83" s="2083"/>
      <c r="RB83" s="209"/>
      <c r="RC83" s="208"/>
      <c r="RD83" s="208"/>
      <c r="RE83" s="208"/>
      <c r="RF83" s="114"/>
      <c r="RG83" s="1857"/>
      <c r="RH83" s="208"/>
      <c r="RI83" s="208"/>
      <c r="RJ83" s="772"/>
      <c r="RK83" s="116"/>
      <c r="RL83" s="1567"/>
      <c r="RM83" s="1568"/>
      <c r="RN83" s="1568"/>
      <c r="RO83" s="1568"/>
      <c r="RP83" s="220"/>
      <c r="RQ83" s="1863"/>
      <c r="RR83" s="105"/>
      <c r="RS83" s="105"/>
      <c r="RT83" s="105"/>
      <c r="RU83" s="106"/>
      <c r="RV83" s="358"/>
      <c r="RW83" s="358"/>
      <c r="RX83" s="358"/>
      <c r="RY83" s="359"/>
      <c r="RZ83" s="169"/>
      <c r="SA83" s="686"/>
      <c r="SB83" s="146"/>
      <c r="SC83" s="146"/>
      <c r="SD83" s="1864"/>
      <c r="SE83" s="203"/>
      <c r="SF83" s="1567"/>
      <c r="SG83" s="358"/>
      <c r="SH83" s="358"/>
      <c r="SI83" s="359"/>
      <c r="SJ83" s="114"/>
      <c r="SL83" s="439"/>
      <c r="SM83" s="208"/>
      <c r="SN83" s="208"/>
      <c r="SO83" s="96"/>
      <c r="SP83" s="78"/>
      <c r="SQ83" s="439"/>
      <c r="SR83" s="208"/>
      <c r="SS83" s="208"/>
      <c r="ST83" s="96"/>
      <c r="SU83" s="222"/>
      <c r="SV83" s="439">
        <v>2</v>
      </c>
      <c r="SW83" s="208">
        <v>17954</v>
      </c>
      <c r="SX83" s="358">
        <v>27473</v>
      </c>
      <c r="SY83" s="372">
        <f t="shared" si="321"/>
        <v>9519</v>
      </c>
      <c r="SZ83" s="207">
        <f t="shared" si="363"/>
        <v>0.34648564044698432</v>
      </c>
      <c r="TA83" s="354">
        <v>2</v>
      </c>
      <c r="TB83" s="208">
        <v>112501</v>
      </c>
      <c r="TC83" s="994">
        <v>165000</v>
      </c>
      <c r="TD83" s="96">
        <f t="shared" si="280"/>
        <v>52499</v>
      </c>
      <c r="TE83" s="94">
        <f t="shared" si="295"/>
        <v>0.31817575757575756</v>
      </c>
      <c r="TF83" s="354">
        <v>1</v>
      </c>
      <c r="TG83" s="208">
        <v>58334</v>
      </c>
      <c r="TH83" s="208">
        <v>80000</v>
      </c>
      <c r="TI83" s="208">
        <f t="shared" si="350"/>
        <v>21666</v>
      </c>
      <c r="TJ83" s="114">
        <f t="shared" si="296"/>
        <v>0.27082499999999998</v>
      </c>
      <c r="TK83" s="209">
        <v>3</v>
      </c>
      <c r="TL83" s="208">
        <v>144930</v>
      </c>
      <c r="TM83" s="208">
        <v>256575</v>
      </c>
      <c r="TN83" s="395">
        <f t="shared" si="351"/>
        <v>111645</v>
      </c>
      <c r="TO83" s="114">
        <f t="shared" si="364"/>
        <v>0.43513592516807953</v>
      </c>
      <c r="TP83" s="1574">
        <v>3</v>
      </c>
      <c r="TQ83" s="208">
        <v>171364</v>
      </c>
      <c r="TR83" s="208">
        <v>302500</v>
      </c>
      <c r="TS83" s="994">
        <f t="shared" si="352"/>
        <v>131136</v>
      </c>
      <c r="TT83" s="114">
        <f t="shared" si="365"/>
        <v>0.43350743801652891</v>
      </c>
      <c r="TU83" s="6140">
        <v>4</v>
      </c>
      <c r="TV83" s="2085">
        <v>181390</v>
      </c>
      <c r="TW83" s="2085">
        <v>311575</v>
      </c>
      <c r="TX83" s="994">
        <f t="shared" si="353"/>
        <v>130185</v>
      </c>
      <c r="TY83" s="116">
        <f t="shared" si="366"/>
        <v>0.41782877316857897</v>
      </c>
      <c r="TZ83" s="209">
        <v>4</v>
      </c>
      <c r="UA83" s="208">
        <v>269057</v>
      </c>
      <c r="UB83" s="208">
        <v>440000</v>
      </c>
      <c r="UC83" s="994">
        <f t="shared" si="354"/>
        <v>170943</v>
      </c>
      <c r="UD83" s="116">
        <f t="shared" si="395"/>
        <v>0.3885068181818182</v>
      </c>
      <c r="UE83" s="1868">
        <v>4</v>
      </c>
      <c r="UF83" s="1575">
        <v>265419</v>
      </c>
      <c r="UG83" s="1575">
        <v>440000</v>
      </c>
      <c r="UH83" s="1575">
        <f t="shared" si="322"/>
        <v>174581</v>
      </c>
      <c r="UI83" s="6495">
        <f t="shared" si="367"/>
        <v>0.39677499999999999</v>
      </c>
      <c r="UJ83" s="209"/>
      <c r="UK83" s="208"/>
      <c r="UL83" s="208"/>
      <c r="UM83" s="208"/>
      <c r="UN83" s="114"/>
      <c r="UO83" s="1567"/>
      <c r="UP83" s="1568"/>
      <c r="UQ83" s="1568"/>
      <c r="UR83" s="1873"/>
      <c r="US83" s="116"/>
      <c r="UT83" s="1567"/>
      <c r="UU83" s="358">
        <f t="shared" si="371"/>
        <v>1220949</v>
      </c>
      <c r="UV83" s="358">
        <f t="shared" si="371"/>
        <v>2023123</v>
      </c>
      <c r="UW83" s="358">
        <f t="shared" si="371"/>
        <v>802174</v>
      </c>
      <c r="UX83" s="220">
        <f t="shared" si="358"/>
        <v>0.39650283250202778</v>
      </c>
      <c r="UY83" s="1863">
        <f t="shared" si="324"/>
        <v>0.66666666666666663</v>
      </c>
      <c r="UZ83" s="105">
        <f t="shared" si="359"/>
        <v>17954</v>
      </c>
      <c r="VA83" s="105">
        <f t="shared" si="359"/>
        <v>27473</v>
      </c>
      <c r="VB83" s="105">
        <f t="shared" si="359"/>
        <v>9519</v>
      </c>
      <c r="VC83" s="106">
        <f t="shared" si="325"/>
        <v>0.34648564044698432</v>
      </c>
      <c r="VD83" s="358"/>
      <c r="VE83" s="358">
        <f t="shared" si="326"/>
        <v>315765</v>
      </c>
      <c r="VF83" s="358">
        <f t="shared" si="326"/>
        <v>501575</v>
      </c>
      <c r="VG83" s="359">
        <f t="shared" si="326"/>
        <v>185810</v>
      </c>
      <c r="VH83" s="169">
        <f t="shared" si="372"/>
        <v>0.37045307282061507</v>
      </c>
      <c r="VI83" s="686"/>
      <c r="VJ83" s="146">
        <f t="shared" si="373"/>
        <v>621811</v>
      </c>
      <c r="VK83" s="146">
        <f t="shared" si="360"/>
        <v>1054075</v>
      </c>
      <c r="VL83" s="1864">
        <f t="shared" si="360"/>
        <v>432264</v>
      </c>
      <c r="VM83" s="203"/>
      <c r="VN83" s="1567"/>
      <c r="VO83" s="358"/>
      <c r="VP83" s="358"/>
      <c r="VQ83" s="359"/>
      <c r="VR83" s="114"/>
    </row>
    <row r="84" spans="1:590" s="1193" customFormat="1" ht="13.45" x14ac:dyDescent="0.3">
      <c r="A84" s="1297"/>
      <c r="B84" s="1773" t="s">
        <v>53</v>
      </c>
      <c r="C84" s="2156" t="s">
        <v>239</v>
      </c>
      <c r="D84" s="2157" t="s">
        <v>240</v>
      </c>
      <c r="E84" s="382">
        <v>45008</v>
      </c>
      <c r="F84" s="382">
        <v>45373</v>
      </c>
      <c r="G84" s="1994">
        <v>618000</v>
      </c>
      <c r="H84" s="2031"/>
      <c r="I84" s="1914"/>
      <c r="J84" s="1914"/>
      <c r="K84" s="1914"/>
      <c r="L84" s="593"/>
      <c r="M84" s="2031"/>
      <c r="N84" s="1914"/>
      <c r="O84" s="1914"/>
      <c r="P84" s="1914"/>
      <c r="Q84" s="593"/>
      <c r="R84" s="2031"/>
      <c r="S84" s="1914"/>
      <c r="T84" s="1914"/>
      <c r="U84" s="1914"/>
      <c r="V84" s="593"/>
      <c r="W84" s="2031"/>
      <c r="X84" s="1914"/>
      <c r="Y84" s="1914"/>
      <c r="Z84" s="1914"/>
      <c r="AA84" s="2032"/>
      <c r="AB84" s="2031"/>
      <c r="AC84" s="1914"/>
      <c r="AD84" s="1914"/>
      <c r="AE84" s="1914"/>
      <c r="AF84" s="2032"/>
      <c r="AG84" s="1914"/>
      <c r="AH84" s="1914"/>
      <c r="AI84" s="1914"/>
      <c r="AJ84" s="1914"/>
      <c r="AK84" s="593"/>
      <c r="AL84" s="1914"/>
      <c r="AM84" s="1914"/>
      <c r="AN84" s="1914"/>
      <c r="AO84" s="1914"/>
      <c r="AP84" s="593"/>
      <c r="AQ84" s="1914"/>
      <c r="AR84" s="1914"/>
      <c r="AS84" s="1914"/>
      <c r="AT84" s="1914"/>
      <c r="AU84" s="593"/>
      <c r="AV84" s="2033"/>
      <c r="AW84" s="1914"/>
      <c r="AX84" s="1914"/>
      <c r="AY84" s="1914"/>
      <c r="AZ84" s="2032"/>
      <c r="BA84" s="2033"/>
      <c r="BB84" s="1914"/>
      <c r="BC84" s="1914"/>
      <c r="BD84" s="1914"/>
      <c r="BE84" s="2032"/>
      <c r="BF84" s="2033"/>
      <c r="BG84" s="1914"/>
      <c r="BH84" s="1914"/>
      <c r="BI84" s="1914"/>
      <c r="BJ84" s="2032"/>
      <c r="BK84" s="2033"/>
      <c r="BL84" s="1914"/>
      <c r="BM84" s="1914"/>
      <c r="BN84" s="1914"/>
      <c r="BO84" s="2032"/>
      <c r="BP84" s="2034"/>
      <c r="BQ84" s="1914"/>
      <c r="BR84" s="1914"/>
      <c r="BS84" s="1914"/>
      <c r="BT84" s="2035"/>
      <c r="BU84" s="1914"/>
      <c r="BV84" s="1914"/>
      <c r="BW84" s="2036"/>
      <c r="BX84" s="2035"/>
      <c r="BY84" s="1914"/>
      <c r="BZ84" s="1914"/>
      <c r="CA84" s="2010"/>
      <c r="CB84" s="1914"/>
      <c r="CC84" s="1914"/>
      <c r="CD84" s="1914"/>
      <c r="CE84" s="1914"/>
      <c r="CF84" s="2035"/>
      <c r="CG84" s="1914"/>
      <c r="CH84" s="1914"/>
      <c r="CI84" s="2010"/>
      <c r="CJ84" s="2037"/>
      <c r="CK84" s="1914"/>
      <c r="CL84" s="1914"/>
      <c r="CM84" s="1914"/>
      <c r="CN84" s="2036"/>
      <c r="CO84" s="2037"/>
      <c r="CP84" s="2031"/>
      <c r="CQ84" s="2031"/>
      <c r="CR84" s="2031"/>
      <c r="CS84" s="2036"/>
      <c r="CT84" s="2037"/>
      <c r="CU84" s="1914"/>
      <c r="CV84" s="1914"/>
      <c r="CW84" s="1914"/>
      <c r="CX84" s="2036"/>
      <c r="CY84" s="2037"/>
      <c r="CZ84" s="1914"/>
      <c r="DA84" s="1914"/>
      <c r="DB84" s="1914"/>
      <c r="DC84" s="2036"/>
      <c r="DD84" s="2037"/>
      <c r="DE84" s="1914"/>
      <c r="DF84" s="1914"/>
      <c r="DG84" s="1914"/>
      <c r="DH84" s="2038"/>
      <c r="DI84" s="2037"/>
      <c r="DJ84" s="1914"/>
      <c r="DK84" s="1914"/>
      <c r="DL84" s="1914"/>
      <c r="DM84" s="2038"/>
      <c r="DN84" s="2037"/>
      <c r="DO84" s="1914"/>
      <c r="DP84" s="1914"/>
      <c r="DQ84" s="1914"/>
      <c r="DR84" s="2038"/>
      <c r="DS84" s="2037"/>
      <c r="DT84" s="1914"/>
      <c r="DU84" s="1914"/>
      <c r="DV84" s="1914"/>
      <c r="DW84" s="2038"/>
      <c r="DX84" s="2037"/>
      <c r="DY84" s="1914"/>
      <c r="DZ84" s="1914"/>
      <c r="EA84" s="1914"/>
      <c r="EB84" s="2038"/>
      <c r="EC84" s="2037"/>
      <c r="ED84" s="1914"/>
      <c r="EE84" s="1914"/>
      <c r="EF84" s="1914"/>
      <c r="EG84" s="2038"/>
      <c r="EH84" s="2037"/>
      <c r="EI84" s="1914"/>
      <c r="EJ84" s="1914"/>
      <c r="EK84" s="1914"/>
      <c r="EL84" s="2038"/>
      <c r="EM84" s="1910"/>
      <c r="EN84" s="715"/>
      <c r="EO84" s="715"/>
      <c r="EP84" s="715"/>
      <c r="EQ84" s="366"/>
      <c r="ER84" s="1713"/>
      <c r="ES84" s="1714"/>
      <c r="ET84" s="1714"/>
      <c r="EU84" s="1714"/>
      <c r="EV84" s="1715"/>
      <c r="EW84" s="2031"/>
      <c r="EX84" s="2031"/>
      <c r="EY84" s="2031"/>
      <c r="EZ84" s="593"/>
      <c r="FA84" s="2037"/>
      <c r="FB84" s="2031"/>
      <c r="FC84" s="2031"/>
      <c r="FD84" s="2036"/>
      <c r="FE84" s="2031"/>
      <c r="FF84" s="2031"/>
      <c r="FG84" s="2031"/>
      <c r="FH84" s="593"/>
      <c r="FI84" s="2039"/>
      <c r="FJ84" s="2040"/>
      <c r="FK84" s="2041"/>
      <c r="FL84" s="2041"/>
      <c r="FM84" s="693"/>
      <c r="FN84" s="2031"/>
      <c r="FO84" s="1914"/>
      <c r="FP84" s="1914"/>
      <c r="FQ84" s="1914"/>
      <c r="FR84" s="2032"/>
      <c r="FS84" s="1910"/>
      <c r="FT84" s="715"/>
      <c r="FU84" s="715"/>
      <c r="FV84" s="715"/>
      <c r="FW84" s="366"/>
      <c r="FX84" s="2037"/>
      <c r="FY84" s="1914"/>
      <c r="FZ84" s="1914"/>
      <c r="GA84" s="715"/>
      <c r="GB84" s="366"/>
      <c r="GC84" s="1899"/>
      <c r="GD84" s="1900"/>
      <c r="GE84" s="1900"/>
      <c r="GF84" s="715"/>
      <c r="GG84" s="366"/>
      <c r="GH84" s="1901"/>
      <c r="GI84" s="1824"/>
      <c r="GJ84" s="1824"/>
      <c r="GK84" s="715"/>
      <c r="GL84" s="366"/>
      <c r="GM84" s="1901"/>
      <c r="GN84" s="1824"/>
      <c r="GO84" s="1824"/>
      <c r="GP84" s="715"/>
      <c r="GQ84" s="366"/>
      <c r="GR84" s="2042"/>
      <c r="GS84" s="2043"/>
      <c r="GT84" s="2043"/>
      <c r="GU84" s="715"/>
      <c r="GV84" s="366"/>
      <c r="GW84" s="2042"/>
      <c r="GX84" s="2043"/>
      <c r="GY84" s="2043"/>
      <c r="GZ84" s="715"/>
      <c r="HA84" s="366"/>
      <c r="HB84" s="2042"/>
      <c r="HC84" s="2043"/>
      <c r="HD84" s="2043"/>
      <c r="HE84" s="715"/>
      <c r="HF84" s="366"/>
      <c r="HG84" s="2042"/>
      <c r="HH84" s="2043"/>
      <c r="HI84" s="2043"/>
      <c r="HJ84" s="1818"/>
      <c r="HK84" s="366"/>
      <c r="HL84" s="2042"/>
      <c r="HM84" s="2043"/>
      <c r="HN84" s="2043"/>
      <c r="HO84" s="715"/>
      <c r="HP84" s="366"/>
      <c r="HQ84" s="1905"/>
      <c r="HR84" s="1248"/>
      <c r="HS84" s="1248"/>
      <c r="HT84" s="1248"/>
      <c r="HU84" s="1826"/>
      <c r="HV84" s="1827"/>
      <c r="HW84" s="1089"/>
      <c r="HX84" s="1089"/>
      <c r="HY84" s="1089"/>
      <c r="HZ84" s="1906"/>
      <c r="IA84" s="1907"/>
      <c r="IB84" s="1908"/>
      <c r="IC84" s="1908"/>
      <c r="ID84" s="1909"/>
      <c r="IE84" s="1910"/>
      <c r="IF84" s="1911"/>
      <c r="IG84" s="1912"/>
      <c r="IH84" s="1909"/>
      <c r="II84" s="1835"/>
      <c r="IJ84" s="1836"/>
      <c r="IK84" s="1836"/>
      <c r="IL84" s="693"/>
      <c r="IM84" s="1913"/>
      <c r="IN84" s="1836"/>
      <c r="IO84" s="1836"/>
      <c r="IP84" s="1838"/>
      <c r="IQ84" s="1914"/>
      <c r="IR84" s="2044"/>
      <c r="IS84" s="715"/>
      <c r="IT84" s="715"/>
      <c r="IU84" s="1996"/>
      <c r="IV84" s="2045"/>
      <c r="IW84" s="1910"/>
      <c r="IX84" s="715"/>
      <c r="IY84" s="823"/>
      <c r="IZ84" s="1719"/>
      <c r="JA84" s="1721"/>
      <c r="JB84" s="2046"/>
      <c r="JC84" s="2047"/>
      <c r="JD84" s="2048"/>
      <c r="JE84" s="1719"/>
      <c r="JF84" s="1721"/>
      <c r="JG84" s="1847"/>
      <c r="JH84" s="1096"/>
      <c r="JI84" s="1096"/>
      <c r="JJ84" s="1756"/>
      <c r="JK84" s="1721"/>
      <c r="JL84" s="1927"/>
      <c r="JM84" s="1096"/>
      <c r="JN84" s="1096"/>
      <c r="JO84" s="823"/>
      <c r="JP84" s="1721"/>
      <c r="JQ84" s="1926"/>
      <c r="JR84" s="1982"/>
      <c r="JS84" s="1248"/>
      <c r="JT84" s="1996"/>
      <c r="JU84" s="1821"/>
      <c r="JV84" s="1988"/>
      <c r="JW84" s="2049"/>
      <c r="JX84" s="1850"/>
      <c r="JY84" s="823"/>
      <c r="JZ84" s="1721"/>
      <c r="KA84" s="1847"/>
      <c r="KB84" s="264"/>
      <c r="KC84" s="972"/>
      <c r="KD84" s="964"/>
      <c r="KE84" s="1848"/>
      <c r="KF84" s="1988"/>
      <c r="KG84" s="1850"/>
      <c r="KH84" s="2049"/>
      <c r="KI84" s="1719"/>
      <c r="KJ84" s="1721"/>
      <c r="KK84" s="1988"/>
      <c r="KL84" s="1850"/>
      <c r="KM84" s="2049"/>
      <c r="KN84" s="1851"/>
      <c r="KO84" s="1852"/>
      <c r="KP84" s="1823"/>
      <c r="KQ84" s="1982"/>
      <c r="KR84" s="1248"/>
      <c r="KS84" s="1996"/>
      <c r="KT84" s="1819"/>
      <c r="KU84" s="1853"/>
      <c r="KV84" s="264"/>
      <c r="KW84" s="264"/>
      <c r="KX84" s="264"/>
      <c r="KY84" s="75"/>
      <c r="KZ84" s="1857">
        <f>(IR84+IW84+JB84+JG84+JL84+JQ84+JV84+KA84+KF84+KK84+KP84+KU84)/12</f>
        <v>0</v>
      </c>
      <c r="LA84" s="358">
        <f>IS84+IX84+JC84+JH84+JM84+JR84+JW84+KB84+KG84+KL84+KQ84+KV84</f>
        <v>0</v>
      </c>
      <c r="LB84" s="358">
        <f>IT84+IY84+JD84+JI84+JN84+JS84+JX84+KC84+KH84+KM84+KR84+KW84</f>
        <v>0</v>
      </c>
      <c r="LC84" s="358">
        <f>IU84+IZ84+JE84+JJ84+JO84+JT84+JY84+KD84+KI84+KN84+KS84+KX84</f>
        <v>0</v>
      </c>
      <c r="LD84" s="151"/>
      <c r="LE84" s="1854"/>
      <c r="LF84" s="1855"/>
      <c r="LG84" s="1855"/>
      <c r="LH84" s="1856"/>
      <c r="LI84" s="1857"/>
      <c r="LJ84" s="1858"/>
      <c r="LK84" s="1854"/>
      <c r="LL84" s="1856"/>
      <c r="LM84" s="1859"/>
      <c r="LN84" s="1727"/>
      <c r="LO84" s="1727"/>
      <c r="LP84" s="151"/>
      <c r="LQ84" s="1860"/>
      <c r="LR84" s="1727"/>
      <c r="LS84" s="1727"/>
      <c r="LT84" s="1861"/>
      <c r="LV84" s="439"/>
      <c r="LW84" s="208"/>
      <c r="LX84" s="208"/>
      <c r="LY84" s="96"/>
      <c r="LZ84" s="78"/>
      <c r="MA84" s="1832"/>
      <c r="MB84" s="622"/>
      <c r="MC84" s="622"/>
      <c r="MD84" s="372"/>
      <c r="ME84" s="207"/>
      <c r="MF84" s="405"/>
      <c r="MG84" s="1575"/>
      <c r="MH84" s="1568"/>
      <c r="MI84" s="371"/>
      <c r="MJ84" s="157"/>
      <c r="MK84" s="354"/>
      <c r="ML84" s="208"/>
      <c r="MM84" s="358"/>
      <c r="MN84" s="371"/>
      <c r="MO84" s="157"/>
      <c r="MP84" s="1579"/>
      <c r="MQ84" s="264"/>
      <c r="MR84" s="264"/>
      <c r="MS84" s="264"/>
      <c r="MT84" s="597"/>
      <c r="MU84" s="209"/>
      <c r="MV84" s="208"/>
      <c r="MW84" s="208"/>
      <c r="MX84" s="208"/>
      <c r="MY84" s="655"/>
      <c r="MZ84" s="209"/>
      <c r="NA84" s="208"/>
      <c r="NB84" s="208"/>
      <c r="NC84" s="208"/>
      <c r="ND84" s="1313"/>
      <c r="NE84" s="209"/>
      <c r="NF84" s="208"/>
      <c r="NG84" s="208"/>
      <c r="NH84" s="208"/>
      <c r="NI84" s="1313"/>
      <c r="NJ84" s="209"/>
      <c r="NK84" s="208"/>
      <c r="NL84" s="208"/>
      <c r="NM84" s="208"/>
      <c r="NN84" s="1313"/>
      <c r="NO84" s="357"/>
      <c r="NP84" s="358"/>
      <c r="NQ84" s="359"/>
      <c r="NR84" s="208"/>
      <c r="NS84" s="1313"/>
      <c r="NT84" s="357"/>
      <c r="NU84" s="358"/>
      <c r="NV84" s="358"/>
      <c r="NW84" s="208"/>
      <c r="NX84" s="1313"/>
      <c r="NY84" s="357"/>
      <c r="NZ84" s="358"/>
      <c r="OA84" s="358"/>
      <c r="OB84" s="622"/>
      <c r="OC84" s="116"/>
      <c r="OD84" s="191"/>
      <c r="OE84" s="358">
        <f t="shared" si="383"/>
        <v>0</v>
      </c>
      <c r="OF84" s="358">
        <f t="shared" si="383"/>
        <v>0</v>
      </c>
      <c r="OG84" s="358">
        <f t="shared" si="383"/>
        <v>0</v>
      </c>
      <c r="OH84" s="220"/>
      <c r="OI84" s="1863">
        <f>(LV84+MA84+MF84)/3</f>
        <v>0</v>
      </c>
      <c r="OJ84" s="105">
        <f t="shared" si="384"/>
        <v>0</v>
      </c>
      <c r="OK84" s="105">
        <f t="shared" si="384"/>
        <v>0</v>
      </c>
      <c r="OL84" s="105">
        <f t="shared" si="384"/>
        <v>0</v>
      </c>
      <c r="OM84" s="106"/>
      <c r="ON84" s="358"/>
      <c r="OO84" s="358"/>
      <c r="OP84" s="358"/>
      <c r="OQ84" s="359"/>
      <c r="OR84" s="169"/>
      <c r="OS84" s="686">
        <f>(NJ84+NE84+MZ84)/3</f>
        <v>0</v>
      </c>
      <c r="OT84" s="146"/>
      <c r="OU84" s="146"/>
      <c r="OV84" s="1864"/>
      <c r="OW84" s="203"/>
      <c r="OX84" s="357">
        <f>(NO84+NT84+NY84)/3</f>
        <v>0</v>
      </c>
      <c r="OY84" s="358">
        <f t="shared" si="387"/>
        <v>0</v>
      </c>
      <c r="OZ84" s="358">
        <f t="shared" si="387"/>
        <v>0</v>
      </c>
      <c r="PA84" s="359">
        <f t="shared" si="387"/>
        <v>0</v>
      </c>
      <c r="PB84" s="114"/>
      <c r="PC84" s="79"/>
      <c r="PD84" s="439">
        <v>11</v>
      </c>
      <c r="PE84" s="208">
        <f>376605+77500</f>
        <v>454105</v>
      </c>
      <c r="PF84" s="208">
        <f>540750+70000</f>
        <v>610750</v>
      </c>
      <c r="PG84" s="96">
        <f t="shared" si="390"/>
        <v>156645</v>
      </c>
      <c r="PH84" s="78">
        <f t="shared" si="391"/>
        <v>0.25647973802701596</v>
      </c>
      <c r="PI84" s="401">
        <v>13</v>
      </c>
      <c r="PJ84" s="395">
        <v>420174</v>
      </c>
      <c r="PK84" s="395">
        <v>540750</v>
      </c>
      <c r="PL84" s="96">
        <f t="shared" si="392"/>
        <v>120576</v>
      </c>
      <c r="PM84" s="78">
        <f t="shared" ref="PM84:PM89" si="396">PL84/PK84</f>
        <v>0.22297919556171983</v>
      </c>
      <c r="PN84" s="439">
        <v>16</v>
      </c>
      <c r="PO84" s="208">
        <v>470832.66666666669</v>
      </c>
      <c r="PP84" s="358">
        <v>494400</v>
      </c>
      <c r="PQ84" s="371">
        <f t="shared" si="393"/>
        <v>23567.333333333314</v>
      </c>
      <c r="PR84" s="157">
        <f t="shared" ref="PR84:PR89" si="397">PQ84/PP84</f>
        <v>4.7668554476806867E-2</v>
      </c>
      <c r="PS84" s="354">
        <v>15</v>
      </c>
      <c r="PT84" s="208">
        <v>506156</v>
      </c>
      <c r="PU84" s="358">
        <v>525000</v>
      </c>
      <c r="PV84" s="371">
        <f t="shared" ref="PV84:PV89" si="398">PU84-PT84</f>
        <v>18844</v>
      </c>
      <c r="PW84" s="157">
        <f t="shared" ref="PW84:PW89" si="399">PV84/PU84</f>
        <v>3.5893333333333333E-2</v>
      </c>
      <c r="PX84" s="1579">
        <v>16</v>
      </c>
      <c r="PY84" s="264">
        <v>504802</v>
      </c>
      <c r="PZ84" s="264">
        <v>525000</v>
      </c>
      <c r="QA84" s="264">
        <f t="shared" ref="QA84:QA89" si="400">PZ84-PY84</f>
        <v>20198</v>
      </c>
      <c r="QB84" s="597">
        <f t="shared" ref="QB84:QB89" si="401">QA84/PZ84</f>
        <v>3.8472380952380952E-2</v>
      </c>
      <c r="QC84" s="209">
        <v>18</v>
      </c>
      <c r="QD84" s="208">
        <v>485217</v>
      </c>
      <c r="QE84" s="208">
        <v>525000</v>
      </c>
      <c r="QF84" s="208">
        <f t="shared" ref="QF84:QF89" si="402">QE84-QD84</f>
        <v>39783</v>
      </c>
      <c r="QG84" s="655">
        <f t="shared" ref="QG84:QG89" si="403">QF84/QE84</f>
        <v>7.5777142857142862E-2</v>
      </c>
      <c r="QH84" s="439">
        <v>20</v>
      </c>
      <c r="QI84" s="208">
        <v>559215</v>
      </c>
      <c r="QJ84" s="208">
        <v>615528</v>
      </c>
      <c r="QK84" s="208">
        <f t="shared" ref="QK84:QK105" si="404">QJ84-QI84</f>
        <v>56313</v>
      </c>
      <c r="QL84" s="1313">
        <f t="shared" ref="QL84:QL89" si="405">QK84/QJ84</f>
        <v>9.148730845712949E-2</v>
      </c>
      <c r="QM84" s="2158">
        <v>19</v>
      </c>
      <c r="QN84" s="2085">
        <v>587687</v>
      </c>
      <c r="QO84" s="2085">
        <v>541368</v>
      </c>
      <c r="QP84" s="2159">
        <f>QO84-QN84</f>
        <v>-46319</v>
      </c>
      <c r="QQ84" s="801">
        <f>QP84/QO84</f>
        <v>-8.5559176013358745E-2</v>
      </c>
      <c r="QR84" s="209">
        <v>18</v>
      </c>
      <c r="QS84" s="208">
        <v>563744</v>
      </c>
      <c r="QT84" s="208">
        <v>556200</v>
      </c>
      <c r="QU84" s="2160">
        <f t="shared" si="341"/>
        <v>-7544</v>
      </c>
      <c r="QV84" s="157">
        <f t="shared" ref="QV84:QV89" si="406">QU84/QT84</f>
        <v>-1.356346637900036E-2</v>
      </c>
      <c r="QW84" s="209">
        <v>18</v>
      </c>
      <c r="QX84" s="208">
        <v>558925</v>
      </c>
      <c r="QY84" s="208">
        <v>556200</v>
      </c>
      <c r="QZ84" s="2160">
        <f t="shared" si="318"/>
        <v>-2725</v>
      </c>
      <c r="RA84" s="2083">
        <f t="shared" ref="RA84:RA89" si="407">QZ84/QY84</f>
        <v>-4.8993167925206757E-3</v>
      </c>
      <c r="RB84" s="209">
        <v>21</v>
      </c>
      <c r="RC84" s="208">
        <v>628884</v>
      </c>
      <c r="RD84" s="208">
        <v>615528</v>
      </c>
      <c r="RE84" s="2160">
        <f t="shared" si="343"/>
        <v>-13356</v>
      </c>
      <c r="RF84" s="114">
        <f t="shared" si="344"/>
        <v>-2.1698444262486842E-2</v>
      </c>
      <c r="RG84" s="1857">
        <v>21</v>
      </c>
      <c r="RH84" s="208">
        <v>650052</v>
      </c>
      <c r="RI84" s="208">
        <v>615528</v>
      </c>
      <c r="RJ84" s="3526">
        <f t="shared" si="369"/>
        <v>-34524</v>
      </c>
      <c r="RK84" s="116">
        <f t="shared" si="345"/>
        <v>-5.6088431395484854E-2</v>
      </c>
      <c r="RL84" s="1567">
        <v>21</v>
      </c>
      <c r="RM84" s="1568">
        <f t="shared" ref="RM84:RO90" si="408">RH84+RC84+QX84+QS84+QN84+QI84+QD84+PY84+PT84+PO84+PJ84+PE84</f>
        <v>6389793.666666667</v>
      </c>
      <c r="RN84" s="1568">
        <f t="shared" si="408"/>
        <v>6721252</v>
      </c>
      <c r="RO84" s="1568">
        <f t="shared" si="346"/>
        <v>331458.33333333331</v>
      </c>
      <c r="RP84" s="220">
        <f t="shared" si="347"/>
        <v>4.9314968897659739E-2</v>
      </c>
      <c r="RQ84" s="1863">
        <f t="shared" si="394"/>
        <v>13.333333333333334</v>
      </c>
      <c r="RR84" s="105">
        <f t="shared" si="388"/>
        <v>1345111.6666666667</v>
      </c>
      <c r="RS84" s="105">
        <f t="shared" si="388"/>
        <v>1645900</v>
      </c>
      <c r="RT84" s="105">
        <f t="shared" si="388"/>
        <v>300788.33333333331</v>
      </c>
      <c r="RU84" s="106">
        <f t="shared" ref="RU84:RU89" si="409">RT84/RS84</f>
        <v>0.18275006582011866</v>
      </c>
      <c r="RV84" s="358">
        <v>18</v>
      </c>
      <c r="RW84" s="358">
        <f t="shared" ref="RW84:RY89" si="410">PT84+PY84+QD84</f>
        <v>1496175</v>
      </c>
      <c r="RX84" s="358">
        <f t="shared" si="410"/>
        <v>1575000</v>
      </c>
      <c r="RY84" s="359">
        <f t="shared" si="410"/>
        <v>78825</v>
      </c>
      <c r="RZ84" s="169">
        <f t="shared" si="362"/>
        <v>5.0047619047619049E-2</v>
      </c>
      <c r="SA84" s="686">
        <v>18</v>
      </c>
      <c r="SB84" s="146">
        <f t="shared" si="374"/>
        <v>1710646</v>
      </c>
      <c r="SC84" s="146">
        <f t="shared" si="374"/>
        <v>1713096</v>
      </c>
      <c r="SD84" s="1864">
        <f t="shared" si="374"/>
        <v>2450</v>
      </c>
      <c r="SE84" s="203">
        <f t="shared" si="370"/>
        <v>1.4301591971494884E-3</v>
      </c>
      <c r="SF84" s="1567">
        <v>21</v>
      </c>
      <c r="SG84" s="358">
        <f t="shared" si="319"/>
        <v>1837861</v>
      </c>
      <c r="SH84" s="358">
        <f t="shared" si="319"/>
        <v>1787256</v>
      </c>
      <c r="SI84" s="359">
        <f t="shared" si="319"/>
        <v>-50605</v>
      </c>
      <c r="SJ84" s="114">
        <f t="shared" si="294"/>
        <v>-2.8314354518882579E-2</v>
      </c>
      <c r="SL84" s="4934">
        <v>21</v>
      </c>
      <c r="SM84" s="1338">
        <v>645724</v>
      </c>
      <c r="SN84" s="1338">
        <v>615528</v>
      </c>
      <c r="SO84" s="4935">
        <f t="shared" si="264"/>
        <v>-30196</v>
      </c>
      <c r="SP84" s="4936">
        <f t="shared" si="375"/>
        <v>-4.9057069702759255E-2</v>
      </c>
      <c r="SQ84" s="4937">
        <v>21</v>
      </c>
      <c r="SR84" s="4460">
        <v>652558</v>
      </c>
      <c r="SS84" s="4460">
        <v>615528</v>
      </c>
      <c r="ST84" s="3659">
        <f t="shared" si="320"/>
        <v>-37030</v>
      </c>
      <c r="SU84" s="4936">
        <f t="shared" si="389"/>
        <v>-6.0159732782261735E-2</v>
      </c>
      <c r="SV84" s="4934">
        <v>21</v>
      </c>
      <c r="SW84" s="1338">
        <v>650208</v>
      </c>
      <c r="SX84" s="1333">
        <v>615528</v>
      </c>
      <c r="SY84" s="4938">
        <f t="shared" si="321"/>
        <v>-34680</v>
      </c>
      <c r="SZ84" s="4939">
        <f t="shared" si="363"/>
        <v>-5.634187234374391E-2</v>
      </c>
      <c r="TA84" s="4940">
        <v>22</v>
      </c>
      <c r="TB84" s="1338">
        <v>658658</v>
      </c>
      <c r="TC84" s="1333">
        <v>597062</v>
      </c>
      <c r="TD84" s="3659">
        <f t="shared" si="280"/>
        <v>-61596</v>
      </c>
      <c r="TE84" s="4941">
        <f t="shared" si="295"/>
        <v>-0.1031651654267061</v>
      </c>
      <c r="TF84" s="4940">
        <v>21</v>
      </c>
      <c r="TG84" s="1338">
        <v>640418</v>
      </c>
      <c r="TH84" s="1338">
        <v>615528</v>
      </c>
      <c r="TI84" s="1338">
        <f t="shared" si="350"/>
        <v>-24890</v>
      </c>
      <c r="TJ84" s="4514">
        <f t="shared" si="296"/>
        <v>-4.0436828219024966E-2</v>
      </c>
      <c r="TK84" s="4942">
        <v>22</v>
      </c>
      <c r="TL84" s="1338">
        <v>654311</v>
      </c>
      <c r="TM84" s="1338">
        <v>615528</v>
      </c>
      <c r="TN84" s="4460">
        <f t="shared" si="351"/>
        <v>-38783</v>
      </c>
      <c r="TO84" s="4514">
        <f t="shared" si="364"/>
        <v>-6.3007694207249706E-2</v>
      </c>
      <c r="TP84" s="4943">
        <v>22</v>
      </c>
      <c r="TQ84" s="1338">
        <v>653908</v>
      </c>
      <c r="TR84" s="1338">
        <v>597062.16</v>
      </c>
      <c r="TS84" s="4513">
        <f t="shared" si="352"/>
        <v>-56845.839999999967</v>
      </c>
      <c r="TT84" s="4514">
        <f t="shared" si="365"/>
        <v>-9.5209249234619001E-2</v>
      </c>
      <c r="TU84" s="6141">
        <v>22</v>
      </c>
      <c r="TV84" s="6142">
        <v>645960</v>
      </c>
      <c r="TW84" s="6142">
        <v>615528</v>
      </c>
      <c r="TX84" s="4513">
        <f t="shared" si="353"/>
        <v>-30432</v>
      </c>
      <c r="TY84" s="4947">
        <f t="shared" si="366"/>
        <v>-4.944048036807424E-2</v>
      </c>
      <c r="TZ84" s="4942">
        <v>21</v>
      </c>
      <c r="UA84" s="1338">
        <v>623797</v>
      </c>
      <c r="UB84" s="1338">
        <v>615528</v>
      </c>
      <c r="UC84" s="4513">
        <f t="shared" si="354"/>
        <v>-8269</v>
      </c>
      <c r="UD84" s="4947">
        <f t="shared" si="395"/>
        <v>-1.3433994879193148E-2</v>
      </c>
      <c r="UE84" s="6143">
        <v>21</v>
      </c>
      <c r="UF84" s="5249">
        <v>632994</v>
      </c>
      <c r="UG84" s="5249">
        <v>615528</v>
      </c>
      <c r="UH84" s="5249">
        <f t="shared" si="322"/>
        <v>-17466</v>
      </c>
      <c r="UI84" s="6500">
        <f t="shared" si="367"/>
        <v>-2.8375638476235036E-2</v>
      </c>
      <c r="UJ84" s="4942"/>
      <c r="UK84" s="1338"/>
      <c r="UL84" s="1338"/>
      <c r="UM84" s="1338">
        <f t="shared" si="355"/>
        <v>0</v>
      </c>
      <c r="UN84" s="4514" t="e">
        <f t="shared" ref="UN84:UN89" si="411">UM84/UL84</f>
        <v>#DIV/0!</v>
      </c>
      <c r="UO84" s="4944"/>
      <c r="UP84" s="4945"/>
      <c r="UQ84" s="4945"/>
      <c r="UR84" s="4946">
        <f t="shared" si="323"/>
        <v>0</v>
      </c>
      <c r="US84" s="4947" t="e">
        <f t="shared" ref="US84:US89" si="412">UR84/UQ84</f>
        <v>#DIV/0!</v>
      </c>
      <c r="UT84" s="4944"/>
      <c r="UU84" s="1333">
        <f t="shared" si="371"/>
        <v>6458536</v>
      </c>
      <c r="UV84" s="1333">
        <f t="shared" si="371"/>
        <v>6118348.1600000001</v>
      </c>
      <c r="UW84" s="1333">
        <f t="shared" si="371"/>
        <v>-340187.83999999997</v>
      </c>
      <c r="UX84" s="4948">
        <f t="shared" si="358"/>
        <v>-5.5601255617333152E-2</v>
      </c>
      <c r="UY84" s="1863">
        <f t="shared" si="324"/>
        <v>21</v>
      </c>
      <c r="UZ84" s="105">
        <f t="shared" si="359"/>
        <v>1948490</v>
      </c>
      <c r="VA84" s="105">
        <f t="shared" si="359"/>
        <v>1846584</v>
      </c>
      <c r="VB84" s="105">
        <f t="shared" si="359"/>
        <v>-101906</v>
      </c>
      <c r="VC84" s="106">
        <f t="shared" si="325"/>
        <v>-5.5186224942921636E-2</v>
      </c>
      <c r="VD84" s="358"/>
      <c r="VE84" s="358">
        <f t="shared" si="326"/>
        <v>1953387</v>
      </c>
      <c r="VF84" s="358">
        <f t="shared" si="326"/>
        <v>1828118</v>
      </c>
      <c r="VG84" s="359">
        <f t="shared" si="326"/>
        <v>-125269</v>
      </c>
      <c r="VH84" s="169">
        <f t="shared" si="372"/>
        <v>-6.8523476055703192E-2</v>
      </c>
      <c r="VI84" s="686"/>
      <c r="VJ84" s="146">
        <f t="shared" si="373"/>
        <v>1923665</v>
      </c>
      <c r="VK84" s="146">
        <f t="shared" si="360"/>
        <v>1828118.1600000001</v>
      </c>
      <c r="VL84" s="1864">
        <f t="shared" si="360"/>
        <v>-95546.839999999967</v>
      </c>
      <c r="VM84" s="203">
        <f t="shared" ref="VM84:VM89" si="413">VL84/VK84</f>
        <v>-5.226513367166593E-2</v>
      </c>
      <c r="VN84" s="1567"/>
      <c r="VO84" s="358">
        <f t="shared" si="368"/>
        <v>632994</v>
      </c>
      <c r="VP84" s="358">
        <f t="shared" si="361"/>
        <v>615528</v>
      </c>
      <c r="VQ84" s="359">
        <f t="shared" si="361"/>
        <v>-17466</v>
      </c>
      <c r="VR84" s="114">
        <f t="shared" ref="VR84:VR90" si="414">VQ84/VP84</f>
        <v>-2.8375638476235036E-2</v>
      </c>
    </row>
    <row r="85" spans="1:590" s="1193" customFormat="1" ht="13.45" x14ac:dyDescent="0.3">
      <c r="A85" s="1297"/>
      <c r="B85" s="2020" t="s">
        <v>53</v>
      </c>
      <c r="C85" s="2642" t="s">
        <v>91</v>
      </c>
      <c r="D85" s="2157" t="s">
        <v>303</v>
      </c>
      <c r="E85" s="384">
        <v>45358</v>
      </c>
      <c r="F85" s="384">
        <v>45657</v>
      </c>
      <c r="G85" s="2161">
        <v>525000</v>
      </c>
      <c r="H85" s="2162"/>
      <c r="I85" s="2163"/>
      <c r="J85" s="2163"/>
      <c r="K85" s="2163"/>
      <c r="L85" s="2164"/>
      <c r="M85" s="2162"/>
      <c r="N85" s="2163"/>
      <c r="O85" s="2163"/>
      <c r="P85" s="2163"/>
      <c r="Q85" s="2164"/>
      <c r="R85" s="2162"/>
      <c r="S85" s="2163"/>
      <c r="T85" s="2163"/>
      <c r="U85" s="2163"/>
      <c r="V85" s="2164"/>
      <c r="W85" s="2162"/>
      <c r="X85" s="2163"/>
      <c r="Y85" s="2163"/>
      <c r="Z85" s="2163"/>
      <c r="AA85" s="2165"/>
      <c r="AB85" s="2162"/>
      <c r="AC85" s="2163"/>
      <c r="AD85" s="2163"/>
      <c r="AE85" s="2163"/>
      <c r="AF85" s="2165"/>
      <c r="AG85" s="2163"/>
      <c r="AH85" s="2163"/>
      <c r="AI85" s="2163"/>
      <c r="AJ85" s="2163"/>
      <c r="AK85" s="2164"/>
      <c r="AL85" s="2163"/>
      <c r="AM85" s="2163"/>
      <c r="AN85" s="2163"/>
      <c r="AO85" s="2163"/>
      <c r="AP85" s="2164"/>
      <c r="AQ85" s="2163"/>
      <c r="AR85" s="2163"/>
      <c r="AS85" s="2163"/>
      <c r="AT85" s="2163"/>
      <c r="AU85" s="2164"/>
      <c r="AV85" s="2166"/>
      <c r="AW85" s="2163"/>
      <c r="AX85" s="2163"/>
      <c r="AY85" s="2163"/>
      <c r="AZ85" s="2165"/>
      <c r="BA85" s="2166"/>
      <c r="BB85" s="2163"/>
      <c r="BC85" s="2163"/>
      <c r="BD85" s="2163"/>
      <c r="BE85" s="2165"/>
      <c r="BF85" s="2166"/>
      <c r="BG85" s="2163"/>
      <c r="BH85" s="2163"/>
      <c r="BI85" s="2163"/>
      <c r="BJ85" s="2165"/>
      <c r="BK85" s="2166"/>
      <c r="BL85" s="2163"/>
      <c r="BM85" s="2163"/>
      <c r="BN85" s="2163"/>
      <c r="BO85" s="2165"/>
      <c r="BP85" s="2167"/>
      <c r="BQ85" s="2163"/>
      <c r="BR85" s="2163"/>
      <c r="BS85" s="2163"/>
      <c r="BT85" s="2168"/>
      <c r="BU85" s="2163"/>
      <c r="BV85" s="2163"/>
      <c r="BW85" s="2169"/>
      <c r="BX85" s="2168"/>
      <c r="BY85" s="2163"/>
      <c r="BZ85" s="2163"/>
      <c r="CA85" s="2170"/>
      <c r="CB85" s="2163"/>
      <c r="CC85" s="2163"/>
      <c r="CD85" s="2163"/>
      <c r="CE85" s="2163"/>
      <c r="CF85" s="2168"/>
      <c r="CG85" s="2163"/>
      <c r="CH85" s="2163"/>
      <c r="CI85" s="2170"/>
      <c r="CJ85" s="2171"/>
      <c r="CK85" s="2163"/>
      <c r="CL85" s="2163"/>
      <c r="CM85" s="2163"/>
      <c r="CN85" s="2169"/>
      <c r="CO85" s="2171"/>
      <c r="CP85" s="2162"/>
      <c r="CQ85" s="2162"/>
      <c r="CR85" s="2162"/>
      <c r="CS85" s="2169"/>
      <c r="CT85" s="2171"/>
      <c r="CU85" s="2163"/>
      <c r="CV85" s="2163"/>
      <c r="CW85" s="2163"/>
      <c r="CX85" s="2169"/>
      <c r="CY85" s="2171"/>
      <c r="CZ85" s="2163"/>
      <c r="DA85" s="2163"/>
      <c r="DB85" s="2163"/>
      <c r="DC85" s="2169"/>
      <c r="DD85" s="2171"/>
      <c r="DE85" s="2163"/>
      <c r="DF85" s="2163"/>
      <c r="DG85" s="2163"/>
      <c r="DH85" s="2172"/>
      <c r="DI85" s="2171"/>
      <c r="DJ85" s="2163"/>
      <c r="DK85" s="2163"/>
      <c r="DL85" s="2163"/>
      <c r="DM85" s="2172"/>
      <c r="DN85" s="2171"/>
      <c r="DO85" s="2163"/>
      <c r="DP85" s="2163"/>
      <c r="DQ85" s="2163"/>
      <c r="DR85" s="2172"/>
      <c r="DS85" s="2171"/>
      <c r="DT85" s="2163"/>
      <c r="DU85" s="2163"/>
      <c r="DV85" s="2163"/>
      <c r="DW85" s="2172"/>
      <c r="DX85" s="2171"/>
      <c r="DY85" s="2163"/>
      <c r="DZ85" s="2163"/>
      <c r="EA85" s="2163"/>
      <c r="EB85" s="2172"/>
      <c r="EC85" s="2171"/>
      <c r="ED85" s="2163"/>
      <c r="EE85" s="2163"/>
      <c r="EF85" s="2163"/>
      <c r="EG85" s="2172"/>
      <c r="EH85" s="2173"/>
      <c r="EI85" s="2174"/>
      <c r="EJ85" s="2174"/>
      <c r="EK85" s="2174"/>
      <c r="EL85" s="2175"/>
      <c r="EM85" s="2176"/>
      <c r="EN85" s="1142"/>
      <c r="EO85" s="1142"/>
      <c r="EP85" s="1142"/>
      <c r="EQ85" s="159"/>
      <c r="ER85" s="1713"/>
      <c r="ES85" s="1714"/>
      <c r="ET85" s="1714"/>
      <c r="EU85" s="1714"/>
      <c r="EV85" s="1715"/>
      <c r="EW85" s="2177"/>
      <c r="EX85" s="2177"/>
      <c r="EY85" s="2177"/>
      <c r="EZ85" s="2178"/>
      <c r="FA85" s="2173"/>
      <c r="FB85" s="2177"/>
      <c r="FC85" s="2177"/>
      <c r="FD85" s="2179"/>
      <c r="FE85" s="2177"/>
      <c r="FF85" s="2177"/>
      <c r="FG85" s="2177"/>
      <c r="FH85" s="2178"/>
      <c r="FI85" s="2180"/>
      <c r="FJ85" s="2181"/>
      <c r="FK85" s="2182"/>
      <c r="FL85" s="2182"/>
      <c r="FM85" s="2183"/>
      <c r="FN85" s="2177"/>
      <c r="FO85" s="2174"/>
      <c r="FP85" s="2174"/>
      <c r="FQ85" s="2174"/>
      <c r="FR85" s="431"/>
      <c r="FS85" s="2176"/>
      <c r="FT85" s="1142"/>
      <c r="FU85" s="1142"/>
      <c r="FV85" s="1142"/>
      <c r="FW85" s="2184"/>
      <c r="FX85" s="2173"/>
      <c r="FY85" s="2174"/>
      <c r="FZ85" s="2174"/>
      <c r="GA85" s="1142"/>
      <c r="GB85" s="2184"/>
      <c r="GC85" s="2185"/>
      <c r="GD85" s="2186"/>
      <c r="GE85" s="2186"/>
      <c r="GF85" s="1142"/>
      <c r="GG85" s="159"/>
      <c r="GH85" s="2011"/>
      <c r="GI85" s="1096"/>
      <c r="GJ85" s="1096"/>
      <c r="GK85" s="2187"/>
      <c r="GL85" s="2184"/>
      <c r="GM85" s="2011"/>
      <c r="GN85" s="1096"/>
      <c r="GO85" s="1096"/>
      <c r="GP85" s="2187"/>
      <c r="GQ85" s="2184"/>
      <c r="GR85" s="2188"/>
      <c r="GS85" s="1850"/>
      <c r="GT85" s="1850"/>
      <c r="GU85" s="2187"/>
      <c r="GV85" s="2184"/>
      <c r="GW85" s="2188"/>
      <c r="GX85" s="1850"/>
      <c r="GY85" s="1850"/>
      <c r="GZ85" s="2187"/>
      <c r="HA85" s="2184"/>
      <c r="HB85" s="2188"/>
      <c r="HC85" s="1850"/>
      <c r="HD85" s="1850"/>
      <c r="HE85" s="2187"/>
      <c r="HF85" s="2184"/>
      <c r="HG85" s="2188"/>
      <c r="HH85" s="1850"/>
      <c r="HI85" s="1850"/>
      <c r="HJ85" s="1719"/>
      <c r="HK85" s="2184"/>
      <c r="HL85" s="2188"/>
      <c r="HM85" s="1850"/>
      <c r="HN85" s="1850"/>
      <c r="HO85" s="823"/>
      <c r="HP85" s="159"/>
      <c r="HQ85" s="2138"/>
      <c r="HR85" s="1850"/>
      <c r="HS85" s="1850"/>
      <c r="HT85" s="1850"/>
      <c r="HU85" s="2189"/>
      <c r="HV85" s="2008"/>
      <c r="HW85" s="208"/>
      <c r="HX85" s="208"/>
      <c r="HY85" s="208"/>
      <c r="HZ85" s="2009"/>
      <c r="IA85" s="1705"/>
      <c r="IB85" s="1703"/>
      <c r="IC85" s="1703"/>
      <c r="ID85" s="1704"/>
      <c r="IE85" s="1637"/>
      <c r="IF85" s="1693"/>
      <c r="IG85" s="1702"/>
      <c r="IH85" s="1704"/>
      <c r="II85" s="1859"/>
      <c r="IJ85" s="1727"/>
      <c r="IK85" s="1727"/>
      <c r="IL85" s="73"/>
      <c r="IM85" s="1979"/>
      <c r="IN85" s="1727"/>
      <c r="IO85" s="1727"/>
      <c r="IP85" s="1861"/>
      <c r="IQ85" s="453"/>
      <c r="IR85" s="2190"/>
      <c r="IS85" s="946"/>
      <c r="IT85" s="946"/>
      <c r="IU85" s="2191"/>
      <c r="IV85" s="2192"/>
      <c r="IW85" s="2193"/>
      <c r="IX85" s="1921"/>
      <c r="IY85" s="1921"/>
      <c r="IZ85" s="1719"/>
      <c r="JA85" s="1721"/>
      <c r="JB85" s="1922"/>
      <c r="JC85" s="1923"/>
      <c r="JD85" s="1924"/>
      <c r="JE85" s="1719"/>
      <c r="JF85" s="1721"/>
      <c r="JG85" s="1847"/>
      <c r="JH85" s="1096"/>
      <c r="JI85" s="1096"/>
      <c r="JJ85" s="1756"/>
      <c r="JK85" s="1721"/>
      <c r="JL85" s="1927"/>
      <c r="JM85" s="1096"/>
      <c r="JN85" s="1096"/>
      <c r="JO85" s="1843"/>
      <c r="JP85" s="1721"/>
      <c r="JQ85" s="1927"/>
      <c r="JR85" s="972"/>
      <c r="JS85" s="264"/>
      <c r="JT85" s="1845"/>
      <c r="JU85" s="1721"/>
      <c r="JV85" s="1849"/>
      <c r="JW85" s="1119"/>
      <c r="JX85" s="1850"/>
      <c r="JY85" s="823"/>
      <c r="JZ85" s="1721"/>
      <c r="KA85" s="1846"/>
      <c r="KB85" s="264"/>
      <c r="KC85" s="264"/>
      <c r="KD85" s="964"/>
      <c r="KE85" s="1848"/>
      <c r="KF85" s="1849"/>
      <c r="KG85" s="1850"/>
      <c r="KH85" s="1850"/>
      <c r="KI85" s="1719"/>
      <c r="KJ85" s="1721"/>
      <c r="KK85" s="1849"/>
      <c r="KL85" s="1850"/>
      <c r="KM85" s="1850"/>
      <c r="KN85" s="1851"/>
      <c r="KO85" s="1852"/>
      <c r="KP85" s="1722"/>
      <c r="KQ85" s="972"/>
      <c r="KR85" s="264"/>
      <c r="KS85" s="1845"/>
      <c r="KT85" s="1720"/>
      <c r="KU85" s="1853"/>
      <c r="KV85" s="264"/>
      <c r="KW85" s="264"/>
      <c r="KX85" s="264"/>
      <c r="KY85" s="75"/>
      <c r="KZ85" s="1857"/>
      <c r="LA85" s="358"/>
      <c r="LB85" s="358"/>
      <c r="LC85" s="358"/>
      <c r="LD85" s="151"/>
      <c r="LE85" s="1854"/>
      <c r="LF85" s="1855"/>
      <c r="LG85" s="1855"/>
      <c r="LH85" s="1856"/>
      <c r="LI85" s="1857"/>
      <c r="LJ85" s="1858"/>
      <c r="LK85" s="1854"/>
      <c r="LL85" s="1856"/>
      <c r="LM85" s="1859"/>
      <c r="LN85" s="1727"/>
      <c r="LO85" s="1727"/>
      <c r="LP85" s="151"/>
      <c r="LQ85" s="1860"/>
      <c r="LR85" s="1727"/>
      <c r="LS85" s="1727"/>
      <c r="LT85" s="1861"/>
      <c r="LV85" s="440"/>
      <c r="LW85" s="435"/>
      <c r="LX85" s="435"/>
      <c r="LY85" s="2146"/>
      <c r="LZ85" s="461"/>
      <c r="MA85" s="2194"/>
      <c r="MB85" s="1626"/>
      <c r="MC85" s="1626"/>
      <c r="MD85" s="2151"/>
      <c r="ME85" s="1595"/>
      <c r="MF85" s="440"/>
      <c r="MG85" s="435"/>
      <c r="MH85" s="435"/>
      <c r="MI85" s="371"/>
      <c r="MJ85" s="157"/>
      <c r="MK85" s="2152"/>
      <c r="ML85" s="435"/>
      <c r="MM85" s="435"/>
      <c r="MN85" s="371"/>
      <c r="MO85" s="157"/>
      <c r="MP85" s="1579"/>
      <c r="MQ85" s="264"/>
      <c r="MR85" s="264"/>
      <c r="MS85" s="264"/>
      <c r="MT85" s="597"/>
      <c r="MU85" s="209"/>
      <c r="MV85" s="208"/>
      <c r="MW85" s="208"/>
      <c r="MX85" s="208"/>
      <c r="MY85" s="597"/>
      <c r="MZ85" s="209"/>
      <c r="NA85" s="208"/>
      <c r="NB85" s="208"/>
      <c r="NC85" s="208"/>
      <c r="ND85" s="597"/>
      <c r="NE85" s="209"/>
      <c r="NF85" s="208"/>
      <c r="NG85" s="208"/>
      <c r="NH85" s="208"/>
      <c r="NI85" s="597"/>
      <c r="NJ85" s="209"/>
      <c r="NK85" s="208"/>
      <c r="NL85" s="208"/>
      <c r="NM85" s="208"/>
      <c r="NN85" s="597"/>
      <c r="NO85" s="357"/>
      <c r="NP85" s="358"/>
      <c r="NQ85" s="358"/>
      <c r="NR85" s="208"/>
      <c r="NS85" s="597"/>
      <c r="NT85" s="357"/>
      <c r="NU85" s="358"/>
      <c r="NV85" s="358"/>
      <c r="NW85" s="208"/>
      <c r="NX85" s="597"/>
      <c r="NY85" s="357"/>
      <c r="NZ85" s="358"/>
      <c r="OA85" s="358"/>
      <c r="OB85" s="994"/>
      <c r="OC85" s="602"/>
      <c r="OD85" s="191"/>
      <c r="OE85" s="358">
        <v>0</v>
      </c>
      <c r="OF85" s="358">
        <v>0</v>
      </c>
      <c r="OG85" s="358">
        <v>0</v>
      </c>
      <c r="OH85" s="220"/>
      <c r="OI85" s="1863"/>
      <c r="OJ85" s="105"/>
      <c r="OK85" s="105"/>
      <c r="OL85" s="105"/>
      <c r="OM85" s="106"/>
      <c r="ON85" s="358"/>
      <c r="OO85" s="358"/>
      <c r="OP85" s="358"/>
      <c r="OQ85" s="359"/>
      <c r="OR85" s="169"/>
      <c r="OS85" s="686"/>
      <c r="OT85" s="146"/>
      <c r="OU85" s="146"/>
      <c r="OV85" s="1864"/>
      <c r="OW85" s="203"/>
      <c r="OX85" s="357">
        <f>(NO85+NT85+NY85)/3</f>
        <v>0</v>
      </c>
      <c r="OY85" s="358">
        <f t="shared" si="387"/>
        <v>0</v>
      </c>
      <c r="OZ85" s="358">
        <f t="shared" si="387"/>
        <v>0</v>
      </c>
      <c r="PA85" s="359">
        <f t="shared" si="387"/>
        <v>0</v>
      </c>
      <c r="PB85" s="114"/>
      <c r="PC85" s="79"/>
      <c r="PD85" s="440">
        <v>3</v>
      </c>
      <c r="PE85" s="1585">
        <v>170050</v>
      </c>
      <c r="PF85" s="1585">
        <v>215000</v>
      </c>
      <c r="PG85" s="96">
        <f t="shared" si="390"/>
        <v>44950</v>
      </c>
      <c r="PH85" s="224">
        <f t="shared" si="391"/>
        <v>0.20906976744186045</v>
      </c>
      <c r="PI85" s="439">
        <v>4</v>
      </c>
      <c r="PJ85" s="208">
        <v>279437</v>
      </c>
      <c r="PK85" s="208">
        <v>367500</v>
      </c>
      <c r="PL85" s="96">
        <f t="shared" si="392"/>
        <v>88063</v>
      </c>
      <c r="PM85" s="78">
        <f t="shared" si="396"/>
        <v>0.23962721088435374</v>
      </c>
      <c r="PN85" s="440">
        <v>4</v>
      </c>
      <c r="PO85" s="435">
        <v>320835</v>
      </c>
      <c r="PP85" s="435">
        <v>429975</v>
      </c>
      <c r="PQ85" s="371">
        <f t="shared" si="393"/>
        <v>109140</v>
      </c>
      <c r="PR85" s="157">
        <f t="shared" si="397"/>
        <v>0.25382871097156812</v>
      </c>
      <c r="PS85" s="2152">
        <v>4</v>
      </c>
      <c r="PT85" s="435">
        <v>320060</v>
      </c>
      <c r="PU85" s="435">
        <v>429975</v>
      </c>
      <c r="PV85" s="371">
        <f t="shared" si="398"/>
        <v>109915</v>
      </c>
      <c r="PW85" s="157">
        <f t="shared" si="399"/>
        <v>0.25563114134542708</v>
      </c>
      <c r="PX85" s="1579">
        <v>5</v>
      </c>
      <c r="PY85" s="264">
        <v>371615</v>
      </c>
      <c r="PZ85" s="264">
        <v>506100</v>
      </c>
      <c r="QA85" s="264">
        <f t="shared" si="400"/>
        <v>134485</v>
      </c>
      <c r="QB85" s="597">
        <f t="shared" si="401"/>
        <v>0.26572811697293025</v>
      </c>
      <c r="QC85" s="209">
        <v>5</v>
      </c>
      <c r="QD85" s="208">
        <v>383335</v>
      </c>
      <c r="QE85" s="208">
        <v>525000</v>
      </c>
      <c r="QF85" s="208">
        <f t="shared" si="402"/>
        <v>141665</v>
      </c>
      <c r="QG85" s="655">
        <f t="shared" si="403"/>
        <v>0.26983809523809527</v>
      </c>
      <c r="QH85" s="439">
        <v>5</v>
      </c>
      <c r="QI85" s="208">
        <v>383335</v>
      </c>
      <c r="QJ85" s="208">
        <v>525000</v>
      </c>
      <c r="QK85" s="208">
        <f t="shared" si="404"/>
        <v>141665</v>
      </c>
      <c r="QL85" s="1313">
        <f t="shared" si="405"/>
        <v>0.26983809523809527</v>
      </c>
      <c r="QM85" s="2158">
        <v>5</v>
      </c>
      <c r="QN85" s="2085">
        <v>375298</v>
      </c>
      <c r="QO85" s="2085">
        <v>525000</v>
      </c>
      <c r="QP85" s="208">
        <f t="shared" si="339"/>
        <v>149702</v>
      </c>
      <c r="QQ85" s="801">
        <f t="shared" si="340"/>
        <v>0.28514666666666666</v>
      </c>
      <c r="QR85" s="209">
        <v>5</v>
      </c>
      <c r="QS85" s="208">
        <v>383335</v>
      </c>
      <c r="QT85" s="208">
        <v>525000</v>
      </c>
      <c r="QU85" s="208">
        <f t="shared" si="341"/>
        <v>141665</v>
      </c>
      <c r="QV85" s="157">
        <f t="shared" si="406"/>
        <v>0.26983809523809527</v>
      </c>
      <c r="QW85" s="209">
        <v>5</v>
      </c>
      <c r="QX85" s="208">
        <v>383335</v>
      </c>
      <c r="QY85" s="994">
        <v>525000</v>
      </c>
      <c r="QZ85" s="208">
        <f t="shared" si="318"/>
        <v>141665</v>
      </c>
      <c r="RA85" s="2083">
        <f t="shared" si="407"/>
        <v>0.26983809523809527</v>
      </c>
      <c r="RB85" s="209">
        <v>5</v>
      </c>
      <c r="RC85" s="208">
        <v>383335</v>
      </c>
      <c r="RD85" s="208">
        <v>525000</v>
      </c>
      <c r="RE85" s="208">
        <f t="shared" si="343"/>
        <v>141665</v>
      </c>
      <c r="RF85" s="114">
        <f t="shared" si="344"/>
        <v>0.26983809523809527</v>
      </c>
      <c r="RG85" s="1857">
        <v>6</v>
      </c>
      <c r="RH85" s="208">
        <v>389114</v>
      </c>
      <c r="RI85" s="208">
        <v>525000</v>
      </c>
      <c r="RJ85" s="772">
        <f t="shared" si="369"/>
        <v>135886</v>
      </c>
      <c r="RK85" s="116">
        <f t="shared" si="345"/>
        <v>0.25883047619047617</v>
      </c>
      <c r="RL85" s="1567">
        <v>6</v>
      </c>
      <c r="RM85" s="1568">
        <f t="shared" si="408"/>
        <v>4143084</v>
      </c>
      <c r="RN85" s="1568">
        <f t="shared" si="408"/>
        <v>5623550</v>
      </c>
      <c r="RO85" s="1568">
        <f t="shared" si="346"/>
        <v>1480466</v>
      </c>
      <c r="RP85" s="220">
        <f t="shared" si="347"/>
        <v>0.26326181860212855</v>
      </c>
      <c r="RQ85" s="1863">
        <f t="shared" si="394"/>
        <v>3.6666666666666665</v>
      </c>
      <c r="RR85" s="105">
        <f t="shared" si="388"/>
        <v>770322</v>
      </c>
      <c r="RS85" s="105">
        <f t="shared" si="388"/>
        <v>1012475</v>
      </c>
      <c r="RT85" s="105">
        <f t="shared" si="388"/>
        <v>242153</v>
      </c>
      <c r="RU85" s="106">
        <f t="shared" si="409"/>
        <v>0.23916936220647422</v>
      </c>
      <c r="RV85" s="358">
        <v>5</v>
      </c>
      <c r="RW85" s="358">
        <f t="shared" si="410"/>
        <v>1075010</v>
      </c>
      <c r="RX85" s="358">
        <f t="shared" si="410"/>
        <v>1461075</v>
      </c>
      <c r="RY85" s="359">
        <f t="shared" si="410"/>
        <v>386065</v>
      </c>
      <c r="RZ85" s="169">
        <f t="shared" si="362"/>
        <v>0.26423352668411959</v>
      </c>
      <c r="SA85" s="686">
        <v>5</v>
      </c>
      <c r="SB85" s="146">
        <f t="shared" si="374"/>
        <v>1141968</v>
      </c>
      <c r="SC85" s="146">
        <f t="shared" si="374"/>
        <v>1575000</v>
      </c>
      <c r="SD85" s="1864">
        <f t="shared" si="374"/>
        <v>433032</v>
      </c>
      <c r="SE85" s="203">
        <f t="shared" si="370"/>
        <v>0.2749409523809524</v>
      </c>
      <c r="SF85" s="1567">
        <v>6</v>
      </c>
      <c r="SG85" s="358">
        <f t="shared" si="319"/>
        <v>1155784</v>
      </c>
      <c r="SH85" s="358">
        <f t="shared" si="319"/>
        <v>1575000</v>
      </c>
      <c r="SI85" s="359">
        <f t="shared" si="319"/>
        <v>419216</v>
      </c>
      <c r="SJ85" s="114">
        <f t="shared" si="294"/>
        <v>0.2661688888888889</v>
      </c>
      <c r="SL85" s="440">
        <v>5</v>
      </c>
      <c r="SM85" s="1585">
        <v>370835</v>
      </c>
      <c r="SN85" s="208">
        <v>525000</v>
      </c>
      <c r="SO85" s="96">
        <f t="shared" si="264"/>
        <v>154165</v>
      </c>
      <c r="SP85" s="78">
        <f t="shared" si="375"/>
        <v>0.29364761904761905</v>
      </c>
      <c r="SQ85" s="439">
        <v>5</v>
      </c>
      <c r="SR85" s="208">
        <v>370835</v>
      </c>
      <c r="SS85" s="208">
        <v>525000</v>
      </c>
      <c r="ST85" s="96">
        <f t="shared" si="320"/>
        <v>154165</v>
      </c>
      <c r="SU85" s="222">
        <f t="shared" si="389"/>
        <v>0.29364761904761905</v>
      </c>
      <c r="SV85" s="440">
        <v>5</v>
      </c>
      <c r="SW85" s="435">
        <v>370835</v>
      </c>
      <c r="SX85" s="435">
        <v>525000</v>
      </c>
      <c r="SY85" s="372">
        <f t="shared" si="321"/>
        <v>154165</v>
      </c>
      <c r="SZ85" s="207">
        <f t="shared" si="363"/>
        <v>0.29364761904761905</v>
      </c>
      <c r="TA85" s="2152">
        <v>5</v>
      </c>
      <c r="TB85" s="435">
        <v>370835</v>
      </c>
      <c r="TC85" s="1584">
        <v>525000</v>
      </c>
      <c r="TD85" s="96">
        <f t="shared" si="280"/>
        <v>154165</v>
      </c>
      <c r="TE85" s="94">
        <f t="shared" si="295"/>
        <v>0.29364761904761905</v>
      </c>
      <c r="TF85" s="354">
        <v>5</v>
      </c>
      <c r="TG85" s="208">
        <v>370835</v>
      </c>
      <c r="TH85" s="208">
        <v>525000</v>
      </c>
      <c r="TI85" s="208">
        <f t="shared" si="350"/>
        <v>154165</v>
      </c>
      <c r="TJ85" s="114">
        <f t="shared" si="296"/>
        <v>0.29364761904761905</v>
      </c>
      <c r="TK85" s="209">
        <v>5</v>
      </c>
      <c r="TL85" s="208">
        <v>370835</v>
      </c>
      <c r="TM85" s="208">
        <v>525000</v>
      </c>
      <c r="TN85" s="395">
        <f t="shared" si="351"/>
        <v>154165</v>
      </c>
      <c r="TO85" s="114">
        <f t="shared" si="364"/>
        <v>0.29364761904761905</v>
      </c>
      <c r="TP85" s="1574">
        <v>5</v>
      </c>
      <c r="TQ85" s="208">
        <v>347585</v>
      </c>
      <c r="TR85" s="208">
        <v>487725</v>
      </c>
      <c r="TS85" s="994">
        <f t="shared" si="352"/>
        <v>140140</v>
      </c>
      <c r="TT85" s="114">
        <f t="shared" si="365"/>
        <v>0.28733405095084319</v>
      </c>
      <c r="TU85" s="6140">
        <v>4</v>
      </c>
      <c r="TV85" s="2085">
        <v>320835</v>
      </c>
      <c r="TW85" s="2085">
        <v>447825</v>
      </c>
      <c r="TX85" s="994">
        <f t="shared" si="353"/>
        <v>126990</v>
      </c>
      <c r="TY85" s="116">
        <f t="shared" si="366"/>
        <v>0.28357059119075534</v>
      </c>
      <c r="TZ85" s="209">
        <v>4</v>
      </c>
      <c r="UA85" s="208">
        <v>320835</v>
      </c>
      <c r="UB85" s="208">
        <v>447825</v>
      </c>
      <c r="UC85" s="994">
        <f t="shared" si="354"/>
        <v>126990</v>
      </c>
      <c r="UD85" s="116">
        <f t="shared" si="395"/>
        <v>0.28357059119075534</v>
      </c>
      <c r="UE85" s="1868">
        <v>4</v>
      </c>
      <c r="UF85" s="1575">
        <v>320835</v>
      </c>
      <c r="UG85" s="1575">
        <v>461260</v>
      </c>
      <c r="UH85" s="1575">
        <f t="shared" si="322"/>
        <v>140425</v>
      </c>
      <c r="UI85" s="6495">
        <f t="shared" si="367"/>
        <v>0.30443784416598013</v>
      </c>
      <c r="UJ85" s="209"/>
      <c r="UK85" s="208"/>
      <c r="UL85" s="208"/>
      <c r="UM85" s="208">
        <f t="shared" si="355"/>
        <v>0</v>
      </c>
      <c r="UN85" s="114" t="e">
        <f t="shared" si="411"/>
        <v>#DIV/0!</v>
      </c>
      <c r="UO85" s="1567"/>
      <c r="UP85" s="1568"/>
      <c r="UQ85" s="1568"/>
      <c r="UR85" s="1873">
        <f t="shared" si="323"/>
        <v>0</v>
      </c>
      <c r="US85" s="116" t="e">
        <f t="shared" si="412"/>
        <v>#DIV/0!</v>
      </c>
      <c r="UT85" s="1567"/>
      <c r="UU85" s="358">
        <f t="shared" si="371"/>
        <v>3535100</v>
      </c>
      <c r="UV85" s="358">
        <f t="shared" si="371"/>
        <v>4994635</v>
      </c>
      <c r="UW85" s="358">
        <f t="shared" si="371"/>
        <v>1459535</v>
      </c>
      <c r="UX85" s="220">
        <f t="shared" si="358"/>
        <v>0.29222055265299668</v>
      </c>
      <c r="UY85" s="1863">
        <f t="shared" si="324"/>
        <v>5</v>
      </c>
      <c r="UZ85" s="105">
        <f t="shared" si="359"/>
        <v>1112505</v>
      </c>
      <c r="VA85" s="105">
        <f t="shared" si="359"/>
        <v>1575000</v>
      </c>
      <c r="VB85" s="105">
        <f t="shared" si="359"/>
        <v>462495</v>
      </c>
      <c r="VC85" s="106">
        <f t="shared" si="325"/>
        <v>0.29364761904761905</v>
      </c>
      <c r="VD85" s="358"/>
      <c r="VE85" s="358">
        <f t="shared" si="326"/>
        <v>1112505</v>
      </c>
      <c r="VF85" s="358">
        <f t="shared" si="326"/>
        <v>1575000</v>
      </c>
      <c r="VG85" s="359">
        <f t="shared" si="326"/>
        <v>462495</v>
      </c>
      <c r="VH85" s="169">
        <f t="shared" si="372"/>
        <v>0.29364761904761905</v>
      </c>
      <c r="VI85" s="686"/>
      <c r="VJ85" s="146">
        <f t="shared" si="373"/>
        <v>989255</v>
      </c>
      <c r="VK85" s="146">
        <f t="shared" si="360"/>
        <v>1383375</v>
      </c>
      <c r="VL85" s="1864">
        <f t="shared" si="360"/>
        <v>394120</v>
      </c>
      <c r="VM85" s="203">
        <f t="shared" si="413"/>
        <v>0.28489744284810697</v>
      </c>
      <c r="VN85" s="1567"/>
      <c r="VO85" s="358">
        <f t="shared" si="368"/>
        <v>320835</v>
      </c>
      <c r="VP85" s="358">
        <f t="shared" si="361"/>
        <v>461260</v>
      </c>
      <c r="VQ85" s="359">
        <f t="shared" si="361"/>
        <v>140425</v>
      </c>
      <c r="VR85" s="114">
        <f t="shared" si="414"/>
        <v>0.30443784416598013</v>
      </c>
    </row>
    <row r="86" spans="1:590" s="1193" customFormat="1" ht="13.45" x14ac:dyDescent="0.3">
      <c r="A86" s="1297"/>
      <c r="B86" s="2020" t="s">
        <v>53</v>
      </c>
      <c r="C86" s="2642" t="s">
        <v>91</v>
      </c>
      <c r="D86" s="2157" t="s">
        <v>304</v>
      </c>
      <c r="E86" s="384">
        <v>45130</v>
      </c>
      <c r="F86" s="384">
        <v>45495</v>
      </c>
      <c r="G86" s="2161">
        <v>216300</v>
      </c>
      <c r="H86" s="2162"/>
      <c r="I86" s="2163"/>
      <c r="J86" s="2163"/>
      <c r="K86" s="2163"/>
      <c r="L86" s="2164"/>
      <c r="M86" s="2162"/>
      <c r="N86" s="2163"/>
      <c r="O86" s="2163"/>
      <c r="P86" s="2163"/>
      <c r="Q86" s="2164"/>
      <c r="R86" s="2162"/>
      <c r="S86" s="2163"/>
      <c r="T86" s="2163"/>
      <c r="U86" s="2163"/>
      <c r="V86" s="2164"/>
      <c r="W86" s="2162"/>
      <c r="X86" s="2163"/>
      <c r="Y86" s="2163"/>
      <c r="Z86" s="2163"/>
      <c r="AA86" s="2165"/>
      <c r="AB86" s="2162"/>
      <c r="AC86" s="2163"/>
      <c r="AD86" s="2163"/>
      <c r="AE86" s="2163"/>
      <c r="AF86" s="2165"/>
      <c r="AG86" s="2163"/>
      <c r="AH86" s="2163"/>
      <c r="AI86" s="2163"/>
      <c r="AJ86" s="2163"/>
      <c r="AK86" s="2164"/>
      <c r="AL86" s="2163"/>
      <c r="AM86" s="2163"/>
      <c r="AN86" s="2163"/>
      <c r="AO86" s="2163"/>
      <c r="AP86" s="2164"/>
      <c r="AQ86" s="2163"/>
      <c r="AR86" s="2163"/>
      <c r="AS86" s="2163"/>
      <c r="AT86" s="2163"/>
      <c r="AU86" s="2164"/>
      <c r="AV86" s="2166"/>
      <c r="AW86" s="2163"/>
      <c r="AX86" s="2163"/>
      <c r="AY86" s="2163"/>
      <c r="AZ86" s="2165"/>
      <c r="BA86" s="2166"/>
      <c r="BB86" s="2163"/>
      <c r="BC86" s="2163"/>
      <c r="BD86" s="2163"/>
      <c r="BE86" s="2165"/>
      <c r="BF86" s="2166"/>
      <c r="BG86" s="2163"/>
      <c r="BH86" s="2163"/>
      <c r="BI86" s="2163"/>
      <c r="BJ86" s="2165"/>
      <c r="BK86" s="2166"/>
      <c r="BL86" s="2163"/>
      <c r="BM86" s="2163"/>
      <c r="BN86" s="2163"/>
      <c r="BO86" s="2165"/>
      <c r="BP86" s="2167"/>
      <c r="BQ86" s="2163"/>
      <c r="BR86" s="2163"/>
      <c r="BS86" s="2163"/>
      <c r="BT86" s="2168"/>
      <c r="BU86" s="2163"/>
      <c r="BV86" s="2163"/>
      <c r="BW86" s="2169"/>
      <c r="BX86" s="2168"/>
      <c r="BY86" s="2163"/>
      <c r="BZ86" s="2163"/>
      <c r="CA86" s="2170"/>
      <c r="CB86" s="2163"/>
      <c r="CC86" s="2163"/>
      <c r="CD86" s="2163"/>
      <c r="CE86" s="2163"/>
      <c r="CF86" s="2168"/>
      <c r="CG86" s="2163"/>
      <c r="CH86" s="2163"/>
      <c r="CI86" s="2170"/>
      <c r="CJ86" s="2171"/>
      <c r="CK86" s="2163"/>
      <c r="CL86" s="2163"/>
      <c r="CM86" s="2163"/>
      <c r="CN86" s="2169"/>
      <c r="CO86" s="2171"/>
      <c r="CP86" s="2162"/>
      <c r="CQ86" s="2162"/>
      <c r="CR86" s="2162"/>
      <c r="CS86" s="2169"/>
      <c r="CT86" s="2171"/>
      <c r="CU86" s="2163"/>
      <c r="CV86" s="2163"/>
      <c r="CW86" s="2163"/>
      <c r="CX86" s="2169"/>
      <c r="CY86" s="2171"/>
      <c r="CZ86" s="2163"/>
      <c r="DA86" s="2163"/>
      <c r="DB86" s="2163"/>
      <c r="DC86" s="2169"/>
      <c r="DD86" s="2171"/>
      <c r="DE86" s="2163"/>
      <c r="DF86" s="2163"/>
      <c r="DG86" s="2163"/>
      <c r="DH86" s="2172"/>
      <c r="DI86" s="2171"/>
      <c r="DJ86" s="2163"/>
      <c r="DK86" s="2163"/>
      <c r="DL86" s="2163"/>
      <c r="DM86" s="2172"/>
      <c r="DN86" s="2171"/>
      <c r="DO86" s="2163"/>
      <c r="DP86" s="2163"/>
      <c r="DQ86" s="2163"/>
      <c r="DR86" s="2172"/>
      <c r="DS86" s="2171"/>
      <c r="DT86" s="2163"/>
      <c r="DU86" s="2163"/>
      <c r="DV86" s="2163"/>
      <c r="DW86" s="2172"/>
      <c r="DX86" s="2171"/>
      <c r="DY86" s="2163"/>
      <c r="DZ86" s="2163"/>
      <c r="EA86" s="2163"/>
      <c r="EB86" s="2172"/>
      <c r="EC86" s="2171"/>
      <c r="ED86" s="2163"/>
      <c r="EE86" s="2163"/>
      <c r="EF86" s="2163"/>
      <c r="EG86" s="2172"/>
      <c r="EH86" s="2173"/>
      <c r="EI86" s="2174"/>
      <c r="EJ86" s="2174"/>
      <c r="EK86" s="2174"/>
      <c r="EL86" s="2175"/>
      <c r="EM86" s="2176"/>
      <c r="EN86" s="1142"/>
      <c r="EO86" s="1142"/>
      <c r="EP86" s="1142"/>
      <c r="EQ86" s="159"/>
      <c r="ER86" s="1713">
        <f>(CJ86+CO86+CT86+CY86+DD86+DI86+DN86+DS86+DX86+EC86+EH86+EM86)/12</f>
        <v>0</v>
      </c>
      <c r="ES86" s="1714">
        <f t="shared" ref="ES86:EU87" si="415">CK86+CP86+CU86+CZ86+DE86+DJ86+DO86+DT86+DY86+ED86+EI86+EN86</f>
        <v>0</v>
      </c>
      <c r="ET86" s="1714">
        <f t="shared" si="415"/>
        <v>0</v>
      </c>
      <c r="EU86" s="1714">
        <f t="shared" si="415"/>
        <v>0</v>
      </c>
      <c r="EV86" s="1715" t="e">
        <f>EU86/ET86</f>
        <v>#DIV/0!</v>
      </c>
      <c r="EW86" s="2177"/>
      <c r="EX86" s="2177"/>
      <c r="EY86" s="2177"/>
      <c r="EZ86" s="2178"/>
      <c r="FA86" s="2173"/>
      <c r="FB86" s="2177"/>
      <c r="FC86" s="2177"/>
      <c r="FD86" s="2179"/>
      <c r="FE86" s="2177"/>
      <c r="FF86" s="2177"/>
      <c r="FG86" s="2177"/>
      <c r="FH86" s="2178"/>
      <c r="FI86" s="2180"/>
      <c r="FJ86" s="2181"/>
      <c r="FK86" s="2182"/>
      <c r="FL86" s="2182"/>
      <c r="FM86" s="2183"/>
      <c r="FN86" s="2177"/>
      <c r="FO86" s="2174"/>
      <c r="FP86" s="2174"/>
      <c r="FQ86" s="2174"/>
      <c r="FR86" s="431"/>
      <c r="FS86" s="2176"/>
      <c r="FT86" s="1142"/>
      <c r="FU86" s="1142"/>
      <c r="FV86" s="1142"/>
      <c r="FW86" s="2184"/>
      <c r="FX86" s="2173"/>
      <c r="FY86" s="2174"/>
      <c r="FZ86" s="2174"/>
      <c r="GA86" s="1142"/>
      <c r="GB86" s="2184"/>
      <c r="GC86" s="2185"/>
      <c r="GD86" s="2186"/>
      <c r="GE86" s="2186"/>
      <c r="GF86" s="1142"/>
      <c r="GG86" s="159"/>
      <c r="GH86" s="2011"/>
      <c r="GI86" s="1096"/>
      <c r="GJ86" s="1096"/>
      <c r="GK86" s="2187"/>
      <c r="GL86" s="2184"/>
      <c r="GM86" s="2011"/>
      <c r="GN86" s="1096"/>
      <c r="GO86" s="1096"/>
      <c r="GP86" s="2187"/>
      <c r="GQ86" s="2184"/>
      <c r="GR86" s="2188"/>
      <c r="GS86" s="1850"/>
      <c r="GT86" s="1850"/>
      <c r="GU86" s="2187"/>
      <c r="GV86" s="2184"/>
      <c r="GW86" s="2188"/>
      <c r="GX86" s="1850"/>
      <c r="GY86" s="1850"/>
      <c r="GZ86" s="2187"/>
      <c r="HA86" s="2184"/>
      <c r="HB86" s="2188"/>
      <c r="HC86" s="1850"/>
      <c r="HD86" s="1850"/>
      <c r="HE86" s="2187"/>
      <c r="HF86" s="2184"/>
      <c r="HG86" s="2188"/>
      <c r="HH86" s="1850"/>
      <c r="HI86" s="1850"/>
      <c r="HJ86" s="1719"/>
      <c r="HK86" s="2184"/>
      <c r="HL86" s="2188"/>
      <c r="HM86" s="1850"/>
      <c r="HN86" s="1850"/>
      <c r="HO86" s="823"/>
      <c r="HP86" s="159"/>
      <c r="HQ86" s="1853"/>
      <c r="HR86" s="264">
        <v>0</v>
      </c>
      <c r="HS86" s="264">
        <v>0</v>
      </c>
      <c r="HT86" s="264">
        <v>0</v>
      </c>
      <c r="HU86" s="1933"/>
      <c r="HV86" s="2008">
        <f>(FN86+FS86+FX86+GC86+GH86+GM86+GR86+GW86+HB86+HG86+HL86+HQ86)/12</f>
        <v>0</v>
      </c>
      <c r="HW86" s="208">
        <f t="shared" ref="HW86:HY87" si="416">FO86+FT86+FY86+GD86+GI86+GN86+GS86+GX86+HC86+HH86+HM86+HR86</f>
        <v>0</v>
      </c>
      <c r="HX86" s="208">
        <f t="shared" si="416"/>
        <v>0</v>
      </c>
      <c r="HY86" s="208">
        <f t="shared" si="416"/>
        <v>0</v>
      </c>
      <c r="HZ86" s="2009"/>
      <c r="IA86" s="1705"/>
      <c r="IB86" s="1703"/>
      <c r="IC86" s="1703"/>
      <c r="ID86" s="1704"/>
      <c r="IE86" s="1637"/>
      <c r="IF86" s="1693"/>
      <c r="IG86" s="1702"/>
      <c r="IH86" s="1704"/>
      <c r="II86" s="1859"/>
      <c r="IJ86" s="1727"/>
      <c r="IK86" s="1727"/>
      <c r="IL86" s="73"/>
      <c r="IM86" s="1979"/>
      <c r="IN86" s="1727"/>
      <c r="IO86" s="1727"/>
      <c r="IP86" s="1861"/>
      <c r="IQ86" s="453"/>
      <c r="IR86" s="2190"/>
      <c r="IS86" s="946"/>
      <c r="IT86" s="946"/>
      <c r="IU86" s="2191"/>
      <c r="IV86" s="2192"/>
      <c r="IW86" s="2193"/>
      <c r="IX86" s="1921"/>
      <c r="IY86" s="1921"/>
      <c r="IZ86" s="1719"/>
      <c r="JA86" s="1721"/>
      <c r="JB86" s="1922"/>
      <c r="JC86" s="1923"/>
      <c r="JD86" s="1924"/>
      <c r="JE86" s="1719"/>
      <c r="JF86" s="1721"/>
      <c r="JG86" s="1847"/>
      <c r="JH86" s="1096"/>
      <c r="JI86" s="1096"/>
      <c r="JJ86" s="1756"/>
      <c r="JK86" s="1721"/>
      <c r="JL86" s="1927"/>
      <c r="JM86" s="1096"/>
      <c r="JN86" s="1096"/>
      <c r="JO86" s="1843"/>
      <c r="JP86" s="1721"/>
      <c r="JQ86" s="1927">
        <v>2</v>
      </c>
      <c r="JR86" s="972">
        <v>96445</v>
      </c>
      <c r="JS86" s="264">
        <v>150000</v>
      </c>
      <c r="JT86" s="1845">
        <f>JS86-JR86</f>
        <v>53555</v>
      </c>
      <c r="JU86" s="1721">
        <f>JT86/JS86</f>
        <v>0.35703333333333331</v>
      </c>
      <c r="JV86" s="1849">
        <v>2</v>
      </c>
      <c r="JW86" s="1119">
        <f>41666+56666</f>
        <v>98332</v>
      </c>
      <c r="JX86" s="1850">
        <v>150000</v>
      </c>
      <c r="JY86" s="1845">
        <f>JX86-JW86</f>
        <v>51668</v>
      </c>
      <c r="JZ86" s="1721">
        <f>JY86/JX86</f>
        <v>0.34445333333333333</v>
      </c>
      <c r="KA86" s="1846">
        <v>2</v>
      </c>
      <c r="KB86" s="264">
        <v>123334</v>
      </c>
      <c r="KC86" s="264">
        <v>150000</v>
      </c>
      <c r="KD86" s="964">
        <f>KC86-KB86</f>
        <v>26666</v>
      </c>
      <c r="KE86" s="1848">
        <f>KD86/KC86</f>
        <v>0.17777333333333334</v>
      </c>
      <c r="KF86" s="1849">
        <v>2</v>
      </c>
      <c r="KG86" s="1850">
        <v>123334</v>
      </c>
      <c r="KH86" s="1850">
        <v>150000</v>
      </c>
      <c r="KI86" s="1719">
        <f>KH86-KG86</f>
        <v>26666</v>
      </c>
      <c r="KJ86" s="1721">
        <f>KI86/KH86</f>
        <v>0.17777333333333334</v>
      </c>
      <c r="KK86" s="1849">
        <v>2</v>
      </c>
      <c r="KL86" s="1850">
        <v>123334</v>
      </c>
      <c r="KM86" s="1850">
        <v>150000</v>
      </c>
      <c r="KN86" s="1851">
        <f>KM86-KL86</f>
        <v>26666</v>
      </c>
      <c r="KO86" s="1852">
        <f>KN86/KM86</f>
        <v>0.17777333333333334</v>
      </c>
      <c r="KP86" s="1722">
        <v>2</v>
      </c>
      <c r="KQ86" s="972">
        <v>123334</v>
      </c>
      <c r="KR86" s="264">
        <v>150000</v>
      </c>
      <c r="KS86" s="1845">
        <f>KR86-KQ86</f>
        <v>26666</v>
      </c>
      <c r="KT86" s="1720">
        <f>KS86/KR86</f>
        <v>0.17777333333333334</v>
      </c>
      <c r="KU86" s="1853">
        <v>2</v>
      </c>
      <c r="KV86" s="264">
        <v>123334</v>
      </c>
      <c r="KW86" s="264">
        <v>150000</v>
      </c>
      <c r="KX86" s="264">
        <f>KW86-KV86</f>
        <v>26666</v>
      </c>
      <c r="KY86" s="75">
        <f>KX86/KW86</f>
        <v>0.17777333333333334</v>
      </c>
      <c r="KZ86" s="1857">
        <v>2</v>
      </c>
      <c r="LA86" s="358">
        <f t="shared" ref="LA86:LC87" si="417">IS86+IX86+JC86+JH86+JM86+JR86+JW86+KB86+KG86+KL86+KQ86+KV86</f>
        <v>811447</v>
      </c>
      <c r="LB86" s="358">
        <f t="shared" si="417"/>
        <v>1050000</v>
      </c>
      <c r="LC86" s="358">
        <f t="shared" si="417"/>
        <v>238553</v>
      </c>
      <c r="LD86" s="151">
        <f>LC86/LB86</f>
        <v>0.22719333333333333</v>
      </c>
      <c r="LE86" s="1854">
        <f>(IR86+IW86+JB86)/3</f>
        <v>0</v>
      </c>
      <c r="LF86" s="1855">
        <f>IT86+IY86+JD86</f>
        <v>0</v>
      </c>
      <c r="LG86" s="1855">
        <f>IU86+IZ86+JE86</f>
        <v>0</v>
      </c>
      <c r="LH86" s="1856" t="e">
        <f>LG86/LF86</f>
        <v>#DIV/0!</v>
      </c>
      <c r="LI86" s="1857">
        <f>(JG86+JL86+JQ86)/3</f>
        <v>0.66666666666666663</v>
      </c>
      <c r="LJ86" s="1858">
        <f>(JI86+JN86+JS86)</f>
        <v>150000</v>
      </c>
      <c r="LK86" s="1854">
        <f>(JJ86+JO86+JT86)</f>
        <v>53555</v>
      </c>
      <c r="LL86" s="1856">
        <f>LK86/LJ86</f>
        <v>0.35703333333333331</v>
      </c>
      <c r="LM86" s="1859">
        <f>(JV86+KA86+KF86)/3</f>
        <v>2</v>
      </c>
      <c r="LN86" s="1727">
        <f>(JX86+KC86+KH86)</f>
        <v>450000</v>
      </c>
      <c r="LO86" s="1727">
        <f>(JY86+KD86+KI86)</f>
        <v>105000</v>
      </c>
      <c r="LP86" s="151">
        <f>LO86/LN86</f>
        <v>0.23333333333333334</v>
      </c>
      <c r="LQ86" s="1860">
        <f>(KK86+KP86+KU86)/3</f>
        <v>2</v>
      </c>
      <c r="LR86" s="1727">
        <f>(KM86+KR86+KW86)</f>
        <v>450000</v>
      </c>
      <c r="LS86" s="1727">
        <f>(KN86+KS86+KX86)</f>
        <v>79998</v>
      </c>
      <c r="LT86" s="1861">
        <f>LS86/LR86</f>
        <v>0.17777333333333334</v>
      </c>
      <c r="LV86" s="439">
        <v>2</v>
      </c>
      <c r="LW86" s="208">
        <v>123334</v>
      </c>
      <c r="LX86" s="208">
        <v>150000</v>
      </c>
      <c r="LY86" s="96">
        <f>LX86-LW86</f>
        <v>26666</v>
      </c>
      <c r="LZ86" s="78">
        <f>LY86/LX86</f>
        <v>0.17777333333333334</v>
      </c>
      <c r="MA86" s="1862">
        <v>2</v>
      </c>
      <c r="MB86" s="265">
        <v>123334</v>
      </c>
      <c r="MC86" s="265">
        <v>150000</v>
      </c>
      <c r="MD86" s="371">
        <f>MC86-MB86</f>
        <v>26666</v>
      </c>
      <c r="ME86" s="157">
        <f>MD86/MC86</f>
        <v>0.17777333333333334</v>
      </c>
      <c r="MF86" s="439">
        <v>2</v>
      </c>
      <c r="MG86" s="208">
        <v>123334</v>
      </c>
      <c r="MH86" s="208">
        <v>150000</v>
      </c>
      <c r="MI86" s="371">
        <f>MH86-MG86</f>
        <v>26666</v>
      </c>
      <c r="MJ86" s="157">
        <f>MI86/MH86</f>
        <v>0.17777333333333334</v>
      </c>
      <c r="MK86" s="354">
        <v>2</v>
      </c>
      <c r="ML86" s="208">
        <v>123334</v>
      </c>
      <c r="MM86" s="208">
        <v>150000</v>
      </c>
      <c r="MN86" s="371">
        <f>MM86-ML86</f>
        <v>26666</v>
      </c>
      <c r="MO86" s="157">
        <f>MN86/MM86</f>
        <v>0.17777333333333334</v>
      </c>
      <c r="MP86" s="1579">
        <v>2</v>
      </c>
      <c r="MQ86" s="264">
        <v>126534</v>
      </c>
      <c r="MR86" s="264">
        <v>150000</v>
      </c>
      <c r="MS86" s="264">
        <f>MR86-MQ86</f>
        <v>23466</v>
      </c>
      <c r="MT86" s="597">
        <f>MS86/MR86</f>
        <v>0.15644</v>
      </c>
      <c r="MU86" s="209">
        <v>1</v>
      </c>
      <c r="MV86" s="208">
        <v>56667</v>
      </c>
      <c r="MW86" s="208">
        <v>75000</v>
      </c>
      <c r="MX86" s="208">
        <f>MW86-MV86</f>
        <v>18333</v>
      </c>
      <c r="MY86" s="597">
        <f>MX86/MW86</f>
        <v>0.24443999999999999</v>
      </c>
      <c r="MZ86" s="209">
        <v>1</v>
      </c>
      <c r="NA86" s="208">
        <v>56667</v>
      </c>
      <c r="NB86" s="208">
        <v>75000</v>
      </c>
      <c r="NC86" s="208">
        <f>NB86-NA86</f>
        <v>18333</v>
      </c>
      <c r="ND86" s="597">
        <f>NC86/NB86</f>
        <v>0.24443999999999999</v>
      </c>
      <c r="NE86" s="209">
        <v>2</v>
      </c>
      <c r="NF86" s="208">
        <v>120129</v>
      </c>
      <c r="NG86" s="208">
        <v>145500</v>
      </c>
      <c r="NH86" s="208">
        <f>NG86-NF86</f>
        <v>25371</v>
      </c>
      <c r="NI86" s="597">
        <f>NH86/NG86</f>
        <v>0.17437113402061855</v>
      </c>
      <c r="NJ86" s="209">
        <v>2</v>
      </c>
      <c r="NK86" s="208">
        <v>124166</v>
      </c>
      <c r="NL86" s="208">
        <v>150000</v>
      </c>
      <c r="NM86" s="208">
        <f>NL86-NK86</f>
        <v>25834</v>
      </c>
      <c r="NN86" s="597">
        <f>NM86/NL86</f>
        <v>0.17222666666666667</v>
      </c>
      <c r="NO86" s="357">
        <v>2</v>
      </c>
      <c r="NP86" s="358">
        <v>124166</v>
      </c>
      <c r="NQ86" s="358">
        <v>150000</v>
      </c>
      <c r="NR86" s="208">
        <f>NQ86-NP86</f>
        <v>25834</v>
      </c>
      <c r="NS86" s="597">
        <f>NR86/NQ86</f>
        <v>0.17222666666666667</v>
      </c>
      <c r="NT86" s="357">
        <v>2</v>
      </c>
      <c r="NU86" s="358">
        <v>124166</v>
      </c>
      <c r="NV86" s="358">
        <v>150000</v>
      </c>
      <c r="NW86" s="208">
        <f>NV86-NU86</f>
        <v>25834</v>
      </c>
      <c r="NX86" s="597">
        <f>NW86/NV86</f>
        <v>0.17222666666666667</v>
      </c>
      <c r="NY86" s="357">
        <v>2</v>
      </c>
      <c r="NZ86" s="358">
        <v>124166</v>
      </c>
      <c r="OA86" s="358">
        <v>150000</v>
      </c>
      <c r="OB86" s="994">
        <f>OA86-NZ86</f>
        <v>25834</v>
      </c>
      <c r="OC86" s="602">
        <f>OB86/OA86</f>
        <v>0.17222666666666667</v>
      </c>
      <c r="OD86" s="191">
        <v>2</v>
      </c>
      <c r="OE86" s="358">
        <f>NZ86+NU86+NP86+NK86+NF86+NA86+MV86+MQ86+ML86+MG86+MB86+LW86</f>
        <v>1349997</v>
      </c>
      <c r="OF86" s="358">
        <f>OA86+NV86+NQ86+NL86+NG86+NB86+MW86+MR86+MM86+MH86+MC86+LX86</f>
        <v>1645500</v>
      </c>
      <c r="OG86" s="358">
        <f>OB86+NW86+NR86+NM86+NH86+NC86+MX86+MS86+MN86+MI86+MD86+LY86</f>
        <v>295503</v>
      </c>
      <c r="OH86" s="220">
        <f>OG86/OF86</f>
        <v>0.17958249772105742</v>
      </c>
      <c r="OI86" s="1863">
        <f>(LV86+MA86+MF86)/3</f>
        <v>2</v>
      </c>
      <c r="OJ86" s="105">
        <f t="shared" ref="OJ86:OL87" si="418">LW86+MB86+MG86</f>
        <v>370002</v>
      </c>
      <c r="OK86" s="105">
        <f t="shared" si="418"/>
        <v>450000</v>
      </c>
      <c r="OL86" s="105">
        <f t="shared" si="418"/>
        <v>79998</v>
      </c>
      <c r="OM86" s="106">
        <f>OL86/OK86</f>
        <v>0.17777333333333334</v>
      </c>
      <c r="ON86" s="358">
        <f>(MK86+MP86+MU86)/3</f>
        <v>1.6666666666666667</v>
      </c>
      <c r="OO86" s="358">
        <f t="shared" ref="OO86:OQ87" si="419">ML86+MQ86+MV86</f>
        <v>306535</v>
      </c>
      <c r="OP86" s="358">
        <f t="shared" si="419"/>
        <v>375000</v>
      </c>
      <c r="OQ86" s="359">
        <f t="shared" si="419"/>
        <v>68465</v>
      </c>
      <c r="OR86" s="169">
        <f>OQ86/OP86</f>
        <v>0.18257333333333334</v>
      </c>
      <c r="OS86" s="686">
        <f>(NJ86+NE86+MZ86)/3</f>
        <v>1.6666666666666667</v>
      </c>
      <c r="OT86" s="146">
        <f t="shared" ref="OT86:OV87" si="420">NK86+NF86+NA86</f>
        <v>300962</v>
      </c>
      <c r="OU86" s="146">
        <f t="shared" si="420"/>
        <v>370500</v>
      </c>
      <c r="OV86" s="1864">
        <f t="shared" si="420"/>
        <v>69538</v>
      </c>
      <c r="OW86" s="203">
        <f>OV86/OU86</f>
        <v>0.18768690958164641</v>
      </c>
      <c r="OX86" s="357">
        <v>2</v>
      </c>
      <c r="OY86" s="358">
        <f t="shared" si="387"/>
        <v>372498</v>
      </c>
      <c r="OZ86" s="358">
        <f t="shared" si="387"/>
        <v>450000</v>
      </c>
      <c r="PA86" s="359">
        <f t="shared" si="387"/>
        <v>77502</v>
      </c>
      <c r="PB86" s="114">
        <f>PA86/OZ86</f>
        <v>0.17222666666666667</v>
      </c>
      <c r="PC86" s="79"/>
      <c r="PD86" s="439">
        <v>2</v>
      </c>
      <c r="PE86" s="208">
        <v>124166</v>
      </c>
      <c r="PF86" s="208">
        <v>150000</v>
      </c>
      <c r="PG86" s="96">
        <f t="shared" si="390"/>
        <v>25834</v>
      </c>
      <c r="PH86" s="224">
        <f t="shared" si="391"/>
        <v>0.17222666666666667</v>
      </c>
      <c r="PI86" s="1862">
        <v>2</v>
      </c>
      <c r="PJ86" s="265">
        <v>154167</v>
      </c>
      <c r="PK86" s="265">
        <v>210000</v>
      </c>
      <c r="PL86" s="371">
        <f t="shared" si="392"/>
        <v>55833</v>
      </c>
      <c r="PM86" s="157">
        <f t="shared" si="396"/>
        <v>0.26587142857142859</v>
      </c>
      <c r="PN86" s="439">
        <v>2</v>
      </c>
      <c r="PO86" s="208">
        <v>154167</v>
      </c>
      <c r="PP86" s="208">
        <v>210000</v>
      </c>
      <c r="PQ86" s="371">
        <f t="shared" si="393"/>
        <v>55833</v>
      </c>
      <c r="PR86" s="157">
        <f t="shared" si="397"/>
        <v>0.26587142857142859</v>
      </c>
      <c r="PS86" s="354">
        <v>2</v>
      </c>
      <c r="PT86" s="208">
        <v>154167</v>
      </c>
      <c r="PU86" s="208">
        <v>211827</v>
      </c>
      <c r="PV86" s="371">
        <f t="shared" si="398"/>
        <v>57660</v>
      </c>
      <c r="PW86" s="157">
        <f t="shared" si="399"/>
        <v>0.27220326020762226</v>
      </c>
      <c r="PX86" s="1579">
        <v>2</v>
      </c>
      <c r="PY86" s="264">
        <v>154167</v>
      </c>
      <c r="PZ86" s="264">
        <v>216300</v>
      </c>
      <c r="QA86" s="264">
        <f t="shared" si="400"/>
        <v>62133</v>
      </c>
      <c r="QB86" s="597">
        <f t="shared" si="401"/>
        <v>0.28725381414701801</v>
      </c>
      <c r="QC86" s="209">
        <v>2</v>
      </c>
      <c r="QD86" s="435">
        <v>154167</v>
      </c>
      <c r="QE86" s="208">
        <v>216300</v>
      </c>
      <c r="QF86" s="208">
        <f t="shared" si="402"/>
        <v>62133</v>
      </c>
      <c r="QG86" s="655">
        <f t="shared" si="403"/>
        <v>0.28725381414701801</v>
      </c>
      <c r="QH86" s="439">
        <v>2</v>
      </c>
      <c r="QI86" s="208">
        <v>154167</v>
      </c>
      <c r="QJ86" s="208">
        <v>216300</v>
      </c>
      <c r="QK86" s="208">
        <f t="shared" si="404"/>
        <v>62133</v>
      </c>
      <c r="QL86" s="1313">
        <f t="shared" si="405"/>
        <v>0.28725381414701801</v>
      </c>
      <c r="QM86" s="2158">
        <v>2</v>
      </c>
      <c r="QN86" s="2085">
        <v>154167</v>
      </c>
      <c r="QO86" s="2085">
        <v>216300</v>
      </c>
      <c r="QP86" s="208">
        <f t="shared" si="339"/>
        <v>62133</v>
      </c>
      <c r="QQ86" s="801">
        <f t="shared" si="340"/>
        <v>0.28725381414701801</v>
      </c>
      <c r="QR86" s="209">
        <v>2</v>
      </c>
      <c r="QS86" s="208">
        <v>154167</v>
      </c>
      <c r="QT86" s="208">
        <v>216300</v>
      </c>
      <c r="QU86" s="208">
        <f t="shared" si="341"/>
        <v>62133</v>
      </c>
      <c r="QV86" s="157">
        <f t="shared" si="406"/>
        <v>0.28725381414701801</v>
      </c>
      <c r="QW86" s="209">
        <v>2</v>
      </c>
      <c r="QX86" s="208">
        <v>154167</v>
      </c>
      <c r="QY86" s="994">
        <v>216300</v>
      </c>
      <c r="QZ86" s="208">
        <f t="shared" si="318"/>
        <v>62133</v>
      </c>
      <c r="RA86" s="2083">
        <f t="shared" si="407"/>
        <v>0.28725381414701801</v>
      </c>
      <c r="RB86" s="209">
        <v>2</v>
      </c>
      <c r="RC86" s="208">
        <v>154167</v>
      </c>
      <c r="RD86" s="208">
        <v>216300</v>
      </c>
      <c r="RE86" s="208">
        <f t="shared" si="343"/>
        <v>62133</v>
      </c>
      <c r="RF86" s="114">
        <f t="shared" si="344"/>
        <v>0.28725381414701801</v>
      </c>
      <c r="RG86" s="1857">
        <v>2</v>
      </c>
      <c r="RH86" s="208">
        <v>154167</v>
      </c>
      <c r="RI86" s="208">
        <v>216300</v>
      </c>
      <c r="RJ86" s="772">
        <f t="shared" si="369"/>
        <v>62133</v>
      </c>
      <c r="RK86" s="116">
        <f t="shared" si="345"/>
        <v>0.28725381414701801</v>
      </c>
      <c r="RL86" s="1567">
        <v>2</v>
      </c>
      <c r="RM86" s="1568">
        <f t="shared" si="408"/>
        <v>1820003</v>
      </c>
      <c r="RN86" s="1568">
        <f t="shared" si="408"/>
        <v>2512227</v>
      </c>
      <c r="RO86" s="1568">
        <f>RJ86+RE86+QZ86+QU86+QP86+QK86+QF86+QA86+PV86+PQ86+PL86+PG86</f>
        <v>692224</v>
      </c>
      <c r="RP86" s="220">
        <f t="shared" si="347"/>
        <v>0.27554197928769975</v>
      </c>
      <c r="RQ86" s="1863">
        <f t="shared" si="394"/>
        <v>2</v>
      </c>
      <c r="RR86" s="105">
        <f t="shared" si="388"/>
        <v>432500</v>
      </c>
      <c r="RS86" s="105">
        <f t="shared" si="388"/>
        <v>570000</v>
      </c>
      <c r="RT86" s="105">
        <f t="shared" si="388"/>
        <v>137500</v>
      </c>
      <c r="RU86" s="106">
        <f t="shared" si="409"/>
        <v>0.2412280701754386</v>
      </c>
      <c r="RV86" s="358">
        <v>2</v>
      </c>
      <c r="RW86" s="358">
        <f t="shared" si="410"/>
        <v>462501</v>
      </c>
      <c r="RX86" s="358">
        <f t="shared" si="410"/>
        <v>644427</v>
      </c>
      <c r="RY86" s="359">
        <f t="shared" si="410"/>
        <v>181926</v>
      </c>
      <c r="RZ86" s="169">
        <f t="shared" si="362"/>
        <v>0.28230660726505874</v>
      </c>
      <c r="SA86" s="686">
        <v>2</v>
      </c>
      <c r="SB86" s="146">
        <f t="shared" si="374"/>
        <v>462501</v>
      </c>
      <c r="SC86" s="146">
        <f t="shared" si="374"/>
        <v>648900</v>
      </c>
      <c r="SD86" s="1864">
        <f t="shared" si="374"/>
        <v>186399</v>
      </c>
      <c r="SE86" s="203">
        <f t="shared" si="370"/>
        <v>0.28725381414701801</v>
      </c>
      <c r="SF86" s="1567">
        <v>2</v>
      </c>
      <c r="SG86" s="358">
        <f t="shared" si="319"/>
        <v>462501</v>
      </c>
      <c r="SH86" s="358">
        <f t="shared" si="319"/>
        <v>648900</v>
      </c>
      <c r="SI86" s="359">
        <f t="shared" si="319"/>
        <v>186399</v>
      </c>
      <c r="SJ86" s="114">
        <f t="shared" si="294"/>
        <v>0.28725381414701801</v>
      </c>
      <c r="SL86" s="439">
        <v>2</v>
      </c>
      <c r="SM86" s="208">
        <v>154167</v>
      </c>
      <c r="SN86" s="208">
        <v>216300</v>
      </c>
      <c r="SO86" s="96">
        <f t="shared" si="264"/>
        <v>62133</v>
      </c>
      <c r="SP86" s="78">
        <f t="shared" si="375"/>
        <v>0.28725381414701801</v>
      </c>
      <c r="SQ86" s="1862">
        <v>2</v>
      </c>
      <c r="SR86" s="265">
        <v>154167</v>
      </c>
      <c r="SS86" s="265">
        <v>216300</v>
      </c>
      <c r="ST86" s="371">
        <f t="shared" si="320"/>
        <v>62133</v>
      </c>
      <c r="SU86" s="1867">
        <f t="shared" si="389"/>
        <v>0.28725381414701801</v>
      </c>
      <c r="SV86" s="439">
        <v>2</v>
      </c>
      <c r="SW86" s="208">
        <v>154167</v>
      </c>
      <c r="SX86" s="208">
        <v>216300</v>
      </c>
      <c r="SY86" s="372">
        <f t="shared" si="321"/>
        <v>62133</v>
      </c>
      <c r="SZ86" s="207">
        <f t="shared" si="363"/>
        <v>0.28725381414701801</v>
      </c>
      <c r="TA86" s="354">
        <v>2</v>
      </c>
      <c r="TB86" s="208">
        <v>154167</v>
      </c>
      <c r="TC86" s="994">
        <v>216300</v>
      </c>
      <c r="TD86" s="96">
        <f t="shared" si="280"/>
        <v>62133</v>
      </c>
      <c r="TE86" s="94">
        <f t="shared" si="295"/>
        <v>0.28725381414701801</v>
      </c>
      <c r="TF86" s="354">
        <v>2</v>
      </c>
      <c r="TG86" s="208">
        <v>154167</v>
      </c>
      <c r="TH86" s="208">
        <v>216300</v>
      </c>
      <c r="TI86" s="208">
        <f t="shared" si="350"/>
        <v>62133</v>
      </c>
      <c r="TJ86" s="114">
        <f t="shared" si="296"/>
        <v>0.28725381414701801</v>
      </c>
      <c r="TK86" s="209">
        <v>2</v>
      </c>
      <c r="TL86" s="208">
        <v>154167</v>
      </c>
      <c r="TM86" s="208">
        <v>216300</v>
      </c>
      <c r="TN86" s="395">
        <f t="shared" si="351"/>
        <v>62133</v>
      </c>
      <c r="TO86" s="114">
        <f t="shared" si="364"/>
        <v>0.28725381414701801</v>
      </c>
      <c r="TP86" s="1574">
        <v>2</v>
      </c>
      <c r="TQ86" s="208">
        <v>154167</v>
      </c>
      <c r="TR86" s="208">
        <v>216300</v>
      </c>
      <c r="TS86" s="994">
        <f t="shared" si="352"/>
        <v>62133</v>
      </c>
      <c r="TT86" s="114">
        <f t="shared" si="365"/>
        <v>0.28725381414701801</v>
      </c>
      <c r="TU86" s="6140">
        <v>2</v>
      </c>
      <c r="TV86" s="2085">
        <v>154167</v>
      </c>
      <c r="TW86" s="2085">
        <v>216300</v>
      </c>
      <c r="TX86" s="994">
        <f t="shared" si="353"/>
        <v>62133</v>
      </c>
      <c r="TY86" s="116">
        <f t="shared" si="366"/>
        <v>0.28725381414701801</v>
      </c>
      <c r="TZ86" s="209">
        <v>2</v>
      </c>
      <c r="UA86" s="208">
        <v>154167</v>
      </c>
      <c r="UB86" s="208">
        <v>216300</v>
      </c>
      <c r="UC86" s="994">
        <f t="shared" si="354"/>
        <v>62133</v>
      </c>
      <c r="UD86" s="116">
        <f t="shared" si="395"/>
        <v>0.28725381414701801</v>
      </c>
      <c r="UE86" s="1868">
        <v>2</v>
      </c>
      <c r="UF86" s="1575">
        <v>154167</v>
      </c>
      <c r="UG86" s="1575">
        <v>216300</v>
      </c>
      <c r="UH86" s="1575">
        <f t="shared" si="322"/>
        <v>62133</v>
      </c>
      <c r="UI86" s="6495">
        <f t="shared" si="367"/>
        <v>0.28725381414701801</v>
      </c>
      <c r="UJ86" s="209"/>
      <c r="UK86" s="208"/>
      <c r="UL86" s="208"/>
      <c r="UM86" s="208">
        <f t="shared" si="355"/>
        <v>0</v>
      </c>
      <c r="UN86" s="114" t="e">
        <f t="shared" si="411"/>
        <v>#DIV/0!</v>
      </c>
      <c r="UO86" s="1567"/>
      <c r="UP86" s="1568"/>
      <c r="UQ86" s="1568"/>
      <c r="UR86" s="1873">
        <f t="shared" si="323"/>
        <v>0</v>
      </c>
      <c r="US86" s="116" t="e">
        <f t="shared" si="412"/>
        <v>#DIV/0!</v>
      </c>
      <c r="UT86" s="1567"/>
      <c r="UU86" s="358">
        <f t="shared" si="371"/>
        <v>1541670</v>
      </c>
      <c r="UV86" s="358">
        <f t="shared" si="371"/>
        <v>2163000</v>
      </c>
      <c r="UW86" s="358">
        <f t="shared" si="371"/>
        <v>621330</v>
      </c>
      <c r="UX86" s="220">
        <f t="shared" si="358"/>
        <v>0.28725381414701801</v>
      </c>
      <c r="UY86" s="1863">
        <f t="shared" si="324"/>
        <v>2</v>
      </c>
      <c r="UZ86" s="105">
        <f t="shared" si="359"/>
        <v>462501</v>
      </c>
      <c r="VA86" s="105">
        <f t="shared" si="359"/>
        <v>648900</v>
      </c>
      <c r="VB86" s="105">
        <f t="shared" si="359"/>
        <v>186399</v>
      </c>
      <c r="VC86" s="106">
        <f t="shared" si="325"/>
        <v>0.28725381414701801</v>
      </c>
      <c r="VD86" s="358"/>
      <c r="VE86" s="358">
        <f t="shared" si="326"/>
        <v>462501</v>
      </c>
      <c r="VF86" s="358">
        <f t="shared" si="326"/>
        <v>648900</v>
      </c>
      <c r="VG86" s="359">
        <f t="shared" si="326"/>
        <v>186399</v>
      </c>
      <c r="VH86" s="169">
        <f t="shared" si="372"/>
        <v>0.28725381414701801</v>
      </c>
      <c r="VI86" s="686"/>
      <c r="VJ86" s="146">
        <f t="shared" si="373"/>
        <v>462501</v>
      </c>
      <c r="VK86" s="146">
        <f t="shared" si="360"/>
        <v>648900</v>
      </c>
      <c r="VL86" s="1864">
        <f t="shared" si="360"/>
        <v>186399</v>
      </c>
      <c r="VM86" s="203">
        <f t="shared" si="413"/>
        <v>0.28725381414701801</v>
      </c>
      <c r="VN86" s="1567"/>
      <c r="VO86" s="358">
        <f t="shared" si="368"/>
        <v>154167</v>
      </c>
      <c r="VP86" s="358">
        <f t="shared" si="361"/>
        <v>216300</v>
      </c>
      <c r="VQ86" s="359">
        <f t="shared" si="361"/>
        <v>62133</v>
      </c>
      <c r="VR86" s="114">
        <f t="shared" si="414"/>
        <v>0.28725381414701801</v>
      </c>
    </row>
    <row r="87" spans="1:590" s="2264" customFormat="1" ht="13.45" x14ac:dyDescent="0.3">
      <c r="A87" s="2201"/>
      <c r="B87" s="1773" t="s">
        <v>53</v>
      </c>
      <c r="C87" s="1991" t="s">
        <v>829</v>
      </c>
      <c r="D87" s="1992" t="s">
        <v>267</v>
      </c>
      <c r="E87" s="1993">
        <v>45170</v>
      </c>
      <c r="F87" s="1993">
        <v>45535</v>
      </c>
      <c r="G87" s="1994">
        <v>6624533</v>
      </c>
      <c r="H87" s="2202"/>
      <c r="I87" s="2203"/>
      <c r="J87" s="2203"/>
      <c r="K87" s="2203"/>
      <c r="L87" s="2204"/>
      <c r="M87" s="2202"/>
      <c r="N87" s="2203"/>
      <c r="O87" s="2203"/>
      <c r="P87" s="2203"/>
      <c r="Q87" s="2204"/>
      <c r="R87" s="2202"/>
      <c r="S87" s="2203"/>
      <c r="T87" s="2203"/>
      <c r="U87" s="2203"/>
      <c r="V87" s="2204"/>
      <c r="W87" s="2202"/>
      <c r="X87" s="2203"/>
      <c r="Y87" s="2203"/>
      <c r="Z87" s="2203"/>
      <c r="AA87" s="2205"/>
      <c r="AB87" s="2202"/>
      <c r="AC87" s="2203"/>
      <c r="AD87" s="2203"/>
      <c r="AE87" s="2203"/>
      <c r="AF87" s="2205"/>
      <c r="AG87" s="2203"/>
      <c r="AH87" s="2203"/>
      <c r="AI87" s="2203"/>
      <c r="AJ87" s="2203"/>
      <c r="AK87" s="2204"/>
      <c r="AL87" s="2203"/>
      <c r="AM87" s="2203"/>
      <c r="AN87" s="2203"/>
      <c r="AO87" s="2203"/>
      <c r="AP87" s="2204"/>
      <c r="AQ87" s="2203"/>
      <c r="AR87" s="2203"/>
      <c r="AS87" s="2203"/>
      <c r="AT87" s="2203"/>
      <c r="AU87" s="2204"/>
      <c r="AV87" s="2206"/>
      <c r="AW87" s="2203"/>
      <c r="AX87" s="2203"/>
      <c r="AY87" s="2203"/>
      <c r="AZ87" s="2205"/>
      <c r="BA87" s="2206"/>
      <c r="BB87" s="2203"/>
      <c r="BC87" s="2203"/>
      <c r="BD87" s="2203"/>
      <c r="BE87" s="2205"/>
      <c r="BF87" s="2206"/>
      <c r="BG87" s="2203"/>
      <c r="BH87" s="2203"/>
      <c r="BI87" s="2203"/>
      <c r="BJ87" s="2205"/>
      <c r="BK87" s="2206"/>
      <c r="BL87" s="2203"/>
      <c r="BM87" s="2203"/>
      <c r="BN87" s="2203"/>
      <c r="BO87" s="2205"/>
      <c r="BP87" s="2207"/>
      <c r="BQ87" s="2203"/>
      <c r="BR87" s="2203"/>
      <c r="BS87" s="2203"/>
      <c r="BT87" s="2208"/>
      <c r="BU87" s="2203"/>
      <c r="BV87" s="2203"/>
      <c r="BW87" s="2209"/>
      <c r="BX87" s="2208"/>
      <c r="BY87" s="2203"/>
      <c r="BZ87" s="2203"/>
      <c r="CA87" s="2210"/>
      <c r="CB87" s="2203"/>
      <c r="CC87" s="2203"/>
      <c r="CD87" s="2203"/>
      <c r="CE87" s="2203"/>
      <c r="CF87" s="2208"/>
      <c r="CG87" s="2203"/>
      <c r="CH87" s="2203"/>
      <c r="CI87" s="2210"/>
      <c r="CJ87" s="2211"/>
      <c r="CK87" s="2203"/>
      <c r="CL87" s="2203"/>
      <c r="CM87" s="2203"/>
      <c r="CN87" s="2209"/>
      <c r="CO87" s="2211"/>
      <c r="CP87" s="2202"/>
      <c r="CQ87" s="2202"/>
      <c r="CR87" s="2202"/>
      <c r="CS87" s="2209"/>
      <c r="CT87" s="2211"/>
      <c r="CU87" s="2203"/>
      <c r="CV87" s="2203"/>
      <c r="CW87" s="2203"/>
      <c r="CX87" s="2209"/>
      <c r="CY87" s="2211"/>
      <c r="CZ87" s="2203"/>
      <c r="DA87" s="2203"/>
      <c r="DB87" s="2203"/>
      <c r="DC87" s="2209"/>
      <c r="DD87" s="2211"/>
      <c r="DE87" s="2203"/>
      <c r="DF87" s="2203"/>
      <c r="DG87" s="2203"/>
      <c r="DH87" s="2212"/>
      <c r="DI87" s="2211"/>
      <c r="DJ87" s="2203"/>
      <c r="DK87" s="2203"/>
      <c r="DL87" s="2203"/>
      <c r="DM87" s="2212"/>
      <c r="DN87" s="2211"/>
      <c r="DO87" s="2203"/>
      <c r="DP87" s="2203"/>
      <c r="DQ87" s="2203"/>
      <c r="DR87" s="2212"/>
      <c r="DS87" s="2211"/>
      <c r="DT87" s="2203"/>
      <c r="DU87" s="2203"/>
      <c r="DV87" s="2203"/>
      <c r="DW87" s="2212"/>
      <c r="DX87" s="2211"/>
      <c r="DY87" s="2203"/>
      <c r="DZ87" s="2203"/>
      <c r="EA87" s="2203"/>
      <c r="EB87" s="2212"/>
      <c r="EC87" s="2211"/>
      <c r="ED87" s="2203"/>
      <c r="EE87" s="2203"/>
      <c r="EF87" s="2203"/>
      <c r="EG87" s="2212"/>
      <c r="EH87" s="2211"/>
      <c r="EI87" s="2203"/>
      <c r="EJ87" s="2203"/>
      <c r="EK87" s="2203"/>
      <c r="EL87" s="2212"/>
      <c r="EM87" s="2213"/>
      <c r="EN87" s="2214"/>
      <c r="EO87" s="2214"/>
      <c r="EP87" s="2214"/>
      <c r="EQ87" s="2215"/>
      <c r="ER87" s="1713">
        <f>(CJ87+CO87+CT87+CY87+DD87+DI87+DN87+DS87+DX87+EC87+EH87+EM87)/12</f>
        <v>0</v>
      </c>
      <c r="ES87" s="1714">
        <f t="shared" si="415"/>
        <v>0</v>
      </c>
      <c r="ET87" s="1714">
        <f t="shared" si="415"/>
        <v>0</v>
      </c>
      <c r="EU87" s="1714">
        <f t="shared" si="415"/>
        <v>0</v>
      </c>
      <c r="EV87" s="1715" t="e">
        <f>EU87/ET87</f>
        <v>#DIV/0!</v>
      </c>
      <c r="EW87" s="2202"/>
      <c r="EX87" s="2202"/>
      <c r="EY87" s="2202"/>
      <c r="EZ87" s="2204"/>
      <c r="FA87" s="2211"/>
      <c r="FB87" s="2202"/>
      <c r="FC87" s="2202"/>
      <c r="FD87" s="2209"/>
      <c r="FE87" s="2202"/>
      <c r="FF87" s="2202"/>
      <c r="FG87" s="2202"/>
      <c r="FH87" s="2204"/>
      <c r="FI87" s="2216"/>
      <c r="FJ87" s="2217"/>
      <c r="FK87" s="2218"/>
      <c r="FL87" s="2218"/>
      <c r="FM87" s="2219"/>
      <c r="FN87" s="2202"/>
      <c r="FO87" s="2203"/>
      <c r="FP87" s="2203"/>
      <c r="FQ87" s="2203"/>
      <c r="FR87" s="2205"/>
      <c r="FS87" s="2213"/>
      <c r="FT87" s="2214"/>
      <c r="FU87" s="2214"/>
      <c r="FV87" s="2214"/>
      <c r="FW87" s="2220"/>
      <c r="FX87" s="2211"/>
      <c r="FY87" s="2203"/>
      <c r="FZ87" s="2203"/>
      <c r="GA87" s="2214"/>
      <c r="GB87" s="2220"/>
      <c r="GC87" s="2221"/>
      <c r="GD87" s="2222"/>
      <c r="GE87" s="2222"/>
      <c r="GF87" s="2214"/>
      <c r="GG87" s="2215"/>
      <c r="GH87" s="2223"/>
      <c r="GI87" s="2224"/>
      <c r="GJ87" s="2224"/>
      <c r="GK87" s="2225"/>
      <c r="GL87" s="2220"/>
      <c r="GM87" s="2223"/>
      <c r="GN87" s="2224"/>
      <c r="GO87" s="2224"/>
      <c r="GP87" s="2225"/>
      <c r="GQ87" s="2220"/>
      <c r="GR87" s="2226"/>
      <c r="GS87" s="2227"/>
      <c r="GT87" s="2227"/>
      <c r="GU87" s="2225"/>
      <c r="GV87" s="2220"/>
      <c r="GW87" s="2226"/>
      <c r="GX87" s="2227"/>
      <c r="GY87" s="2227"/>
      <c r="GZ87" s="2225"/>
      <c r="HA87" s="2220"/>
      <c r="HB87" s="2226"/>
      <c r="HC87" s="2227"/>
      <c r="HD87" s="2227"/>
      <c r="HE87" s="2225"/>
      <c r="HF87" s="2220"/>
      <c r="HG87" s="2226"/>
      <c r="HH87" s="2227"/>
      <c r="HI87" s="2227"/>
      <c r="HJ87" s="2228"/>
      <c r="HK87" s="2220"/>
      <c r="HL87" s="2226"/>
      <c r="HM87" s="2227"/>
      <c r="HN87" s="2227"/>
      <c r="HO87" s="2229"/>
      <c r="HP87" s="2215"/>
      <c r="HQ87" s="2230"/>
      <c r="HR87" s="2231"/>
      <c r="HS87" s="2231"/>
      <c r="HT87" s="2231"/>
      <c r="HU87" s="2232"/>
      <c r="HV87" s="1827">
        <f>(FN87+FS87+FX87+GC87+GH87+GM87+GR87+GW87+HB87+HG87+HL87+HQ87)/12</f>
        <v>0</v>
      </c>
      <c r="HW87" s="1089">
        <f t="shared" si="416"/>
        <v>0</v>
      </c>
      <c r="HX87" s="1089">
        <f t="shared" si="416"/>
        <v>0</v>
      </c>
      <c r="HY87" s="1089">
        <f t="shared" si="416"/>
        <v>0</v>
      </c>
      <c r="HZ87" s="2233"/>
      <c r="IA87" s="2234"/>
      <c r="IB87" s="2235"/>
      <c r="IC87" s="2235"/>
      <c r="ID87" s="2236"/>
      <c r="IE87" s="2237"/>
      <c r="IF87" s="2238"/>
      <c r="IG87" s="2239"/>
      <c r="IH87" s="2236"/>
      <c r="II87" s="2240">
        <f>(GR87+GW87+HB87)/3</f>
        <v>0</v>
      </c>
      <c r="IJ87" s="2241">
        <f>(GT87+GY87+HD87)</f>
        <v>0</v>
      </c>
      <c r="IK87" s="2241">
        <f>(GU87+GZ87+HE87)</f>
        <v>0</v>
      </c>
      <c r="IL87" s="2242"/>
      <c r="IM87" s="2243"/>
      <c r="IN87" s="2241"/>
      <c r="IO87" s="2241"/>
      <c r="IP87" s="2244"/>
      <c r="IQ87" s="2245"/>
      <c r="IR87" s="2246"/>
      <c r="IS87" s="2247">
        <v>0</v>
      </c>
      <c r="IT87" s="2247">
        <v>0</v>
      </c>
      <c r="IU87" s="2248">
        <v>0</v>
      </c>
      <c r="IV87" s="2249">
        <v>0</v>
      </c>
      <c r="IW87" s="2250">
        <v>5</v>
      </c>
      <c r="IX87" s="2251">
        <f>240689+133831+218991</f>
        <v>593511</v>
      </c>
      <c r="IY87" s="2251">
        <v>1104088.8333333333</v>
      </c>
      <c r="IZ87" s="2228">
        <f>IY87-IX87</f>
        <v>510577.83333333326</v>
      </c>
      <c r="JA87" s="2252">
        <f>IZ87/IY87</f>
        <v>0.46244271105600948</v>
      </c>
      <c r="JB87" s="2253"/>
      <c r="JC87" s="2254">
        <v>0</v>
      </c>
      <c r="JD87" s="2255">
        <v>0</v>
      </c>
      <c r="JE87" s="2051">
        <f>JD87-JC87</f>
        <v>0</v>
      </c>
      <c r="JF87" s="2256"/>
      <c r="JG87" s="2257"/>
      <c r="JH87" s="2258"/>
      <c r="JI87" s="2258"/>
      <c r="JJ87" s="2259">
        <f>JI87-JH87</f>
        <v>0</v>
      </c>
      <c r="JK87" s="2256"/>
      <c r="JL87" s="2260">
        <v>6</v>
      </c>
      <c r="JM87" s="1096">
        <v>753279</v>
      </c>
      <c r="JN87" s="1096">
        <v>1104088.83</v>
      </c>
      <c r="JO87" s="1843">
        <f>JN87-JM87</f>
        <v>350809.83000000007</v>
      </c>
      <c r="JP87" s="1721">
        <f>JO87/JN87</f>
        <v>0.31773696143633667</v>
      </c>
      <c r="JQ87" s="1927"/>
      <c r="JR87" s="972">
        <v>0</v>
      </c>
      <c r="JS87" s="264">
        <v>0</v>
      </c>
      <c r="JT87" s="1845">
        <f>JS87-JR87</f>
        <v>0</v>
      </c>
      <c r="JU87" s="1721"/>
      <c r="JV87" s="2261"/>
      <c r="JW87" s="2262"/>
      <c r="JX87" s="2263"/>
      <c r="JY87" s="1845">
        <f>JX87-JW87</f>
        <v>0</v>
      </c>
      <c r="JZ87" s="1721"/>
      <c r="KA87" s="1846">
        <v>6</v>
      </c>
      <c r="KB87" s="264">
        <f>278189*3</f>
        <v>834567</v>
      </c>
      <c r="KC87" s="264">
        <v>1104088.83</v>
      </c>
      <c r="KD87" s="964">
        <f>KC87-KB87</f>
        <v>269521.83000000007</v>
      </c>
      <c r="KE87" s="1848">
        <f>KD87/KC87</f>
        <v>0.24411245062591572</v>
      </c>
      <c r="KF87" s="2261"/>
      <c r="KG87" s="2263">
        <v>0</v>
      </c>
      <c r="KH87" s="2263">
        <v>0</v>
      </c>
      <c r="KI87" s="1719">
        <f>KH87-KG87</f>
        <v>0</v>
      </c>
      <c r="KJ87" s="1721"/>
      <c r="KK87" s="1849"/>
      <c r="KL87" s="1850"/>
      <c r="KM87" s="1850"/>
      <c r="KN87" s="1851">
        <f>KM87-KL87</f>
        <v>0</v>
      </c>
      <c r="KO87" s="1852"/>
      <c r="KP87" s="1823">
        <v>7</v>
      </c>
      <c r="KQ87" s="1982">
        <v>797760</v>
      </c>
      <c r="KR87" s="1248">
        <v>1104088.83</v>
      </c>
      <c r="KS87" s="1996">
        <f>KR87-KQ87</f>
        <v>306328.83000000007</v>
      </c>
      <c r="KT87" s="1819">
        <f>KS87/KR87</f>
        <v>0.27744944217939427</v>
      </c>
      <c r="KU87" s="1853">
        <v>7</v>
      </c>
      <c r="KV87" s="1224">
        <f>KQ87/3</f>
        <v>265920</v>
      </c>
      <c r="KW87" s="264">
        <f>KR87/3</f>
        <v>368029.61000000004</v>
      </c>
      <c r="KX87" s="264">
        <f>KW87-KV87</f>
        <v>102109.61000000004</v>
      </c>
      <c r="KY87" s="77">
        <f>KX87/KW87</f>
        <v>0.27744944217939427</v>
      </c>
      <c r="KZ87" s="1857">
        <v>7</v>
      </c>
      <c r="LA87" s="358">
        <f t="shared" si="417"/>
        <v>3245037</v>
      </c>
      <c r="LB87" s="358">
        <f t="shared" si="417"/>
        <v>4784384.9333333336</v>
      </c>
      <c r="LC87" s="358">
        <f t="shared" si="417"/>
        <v>1539347.9333333336</v>
      </c>
      <c r="LD87" s="151">
        <f>LC87/LB87</f>
        <v>0.32174416456513105</v>
      </c>
      <c r="LE87" s="1854">
        <f>(IR87+IW87+JB87)/3</f>
        <v>1.6666666666666667</v>
      </c>
      <c r="LF87" s="1855">
        <f>IT87+IY87+JD87</f>
        <v>1104088.8333333333</v>
      </c>
      <c r="LG87" s="1855">
        <f>IU87+IZ87+JE87</f>
        <v>510577.83333333326</v>
      </c>
      <c r="LH87" s="1856">
        <f>LG87/LF87</f>
        <v>0.46244271105600948</v>
      </c>
      <c r="LI87" s="1857">
        <f>(JG87+JL87+JQ87)/3</f>
        <v>2</v>
      </c>
      <c r="LJ87" s="1858">
        <f>(JI87+JN87+JS87)</f>
        <v>1104088.83</v>
      </c>
      <c r="LK87" s="1854">
        <f>(JJ87+JO87+JT87)</f>
        <v>350809.83000000007</v>
      </c>
      <c r="LL87" s="1856">
        <f>LK87/LJ87</f>
        <v>0.31773696143633667</v>
      </c>
      <c r="LM87" s="1859">
        <f>(JV87+KA87+KF87)/3</f>
        <v>2</v>
      </c>
      <c r="LN87" s="1727">
        <f>(JX87+KC87+KH87)</f>
        <v>1104088.83</v>
      </c>
      <c r="LO87" s="1727">
        <f>(JY87+KD87+KI87)</f>
        <v>269521.83000000007</v>
      </c>
      <c r="LP87" s="151">
        <f>LO87/LN87</f>
        <v>0.24411245062591572</v>
      </c>
      <c r="LQ87" s="1997">
        <f>(KK87+KP87+KU87)/3</f>
        <v>4.666666666666667</v>
      </c>
      <c r="LR87" s="1998">
        <f>(KM87+KR87+KW87)</f>
        <v>1472118.4400000002</v>
      </c>
      <c r="LS87" s="1998">
        <f>(KN87+KS87+KX87)</f>
        <v>408438.44000000012</v>
      </c>
      <c r="LT87" s="1999">
        <f>LS87/LR87</f>
        <v>0.27744944217939427</v>
      </c>
      <c r="LV87" s="2026">
        <v>10</v>
      </c>
      <c r="LW87" s="437">
        <v>507859</v>
      </c>
      <c r="LX87" s="2025">
        <v>829613</v>
      </c>
      <c r="LY87" s="96">
        <f>LX87-LW87</f>
        <v>321754</v>
      </c>
      <c r="LZ87" s="186">
        <f>LY87/LX87</f>
        <v>0.38783625618209938</v>
      </c>
      <c r="MA87" s="2026">
        <v>10</v>
      </c>
      <c r="MB87" s="437">
        <v>581455</v>
      </c>
      <c r="MC87" s="2025">
        <v>829613</v>
      </c>
      <c r="MD87" s="372">
        <f>MC87-MB87</f>
        <v>248158</v>
      </c>
      <c r="ME87" s="157">
        <f>MD87/MC87</f>
        <v>0.29912501371121236</v>
      </c>
      <c r="MF87" s="2026">
        <v>11</v>
      </c>
      <c r="MG87" s="437">
        <v>663348</v>
      </c>
      <c r="MH87" s="2025">
        <v>829613</v>
      </c>
      <c r="MI87" s="371">
        <f>MH87-MG87</f>
        <v>166265</v>
      </c>
      <c r="MJ87" s="157">
        <f>MI87/MH87</f>
        <v>0.20041272255859058</v>
      </c>
      <c r="MK87" s="2027">
        <v>11</v>
      </c>
      <c r="ML87" s="2028">
        <v>660348</v>
      </c>
      <c r="MM87" s="2028">
        <v>829613</v>
      </c>
      <c r="MN87" s="371">
        <f>MM87-ML87</f>
        <v>169265</v>
      </c>
      <c r="MO87" s="157">
        <f>MN87/MM87</f>
        <v>0.20402886647147525</v>
      </c>
      <c r="MP87" s="2029">
        <v>11</v>
      </c>
      <c r="MQ87" s="2030">
        <v>661348</v>
      </c>
      <c r="MR87" s="2030">
        <v>829612.94333333336</v>
      </c>
      <c r="MS87" s="1248">
        <f>MR87-MQ87</f>
        <v>168264.94333333336</v>
      </c>
      <c r="MT87" s="597">
        <f>MS87/MR87</f>
        <v>0.20282343071608219</v>
      </c>
      <c r="MU87" s="2029">
        <v>10</v>
      </c>
      <c r="MV87" s="208">
        <v>644793</v>
      </c>
      <c r="MW87" s="2030">
        <v>829612.94333333336</v>
      </c>
      <c r="MX87" s="208">
        <f>MW87-MV87</f>
        <v>184819.94333333336</v>
      </c>
      <c r="MY87" s="597">
        <f>MX87/MW87</f>
        <v>0.22277851957171532</v>
      </c>
      <c r="MZ87" s="2029">
        <v>10</v>
      </c>
      <c r="NA87" s="2030">
        <v>627015</v>
      </c>
      <c r="NB87" s="2030">
        <v>829163</v>
      </c>
      <c r="NC87" s="395">
        <f>NB87-NA87</f>
        <v>202148</v>
      </c>
      <c r="ND87" s="801"/>
      <c r="NE87" s="2029">
        <v>10</v>
      </c>
      <c r="NF87" s="208">
        <f>627015+1449</f>
        <v>628464</v>
      </c>
      <c r="NG87" s="2030">
        <v>829163</v>
      </c>
      <c r="NH87" s="395">
        <f>NG87-NF87</f>
        <v>200699</v>
      </c>
      <c r="NI87" s="801"/>
      <c r="NJ87" s="2265">
        <v>11</v>
      </c>
      <c r="NK87" s="446">
        <v>731661.41935483867</v>
      </c>
      <c r="NL87" s="446">
        <v>829613</v>
      </c>
      <c r="NM87" s="395">
        <f>NL87-NK87</f>
        <v>97951.580645161332</v>
      </c>
      <c r="NN87" s="597">
        <f>NM87/NL87</f>
        <v>0.11806900403581107</v>
      </c>
      <c r="NO87" s="2265">
        <v>9</v>
      </c>
      <c r="NP87" s="446">
        <v>590935</v>
      </c>
      <c r="NQ87" s="446">
        <v>829613</v>
      </c>
      <c r="NR87" s="2001">
        <f>NQ87-NP87</f>
        <v>238678</v>
      </c>
      <c r="NS87" s="801"/>
      <c r="NT87" s="2265">
        <v>9</v>
      </c>
      <c r="NU87" s="446">
        <v>574135</v>
      </c>
      <c r="NV87" s="446">
        <v>829613</v>
      </c>
      <c r="NW87" s="96">
        <f>NV87-NU87</f>
        <v>255478</v>
      </c>
      <c r="NX87" s="1313">
        <f>NW87/NV87</f>
        <v>0.30794840485865094</v>
      </c>
      <c r="NY87" s="2266">
        <v>8</v>
      </c>
      <c r="NZ87" s="2267">
        <v>535215</v>
      </c>
      <c r="OA87" s="2267">
        <v>829613</v>
      </c>
      <c r="OB87" s="622">
        <f>OA87-NZ87</f>
        <v>294398</v>
      </c>
      <c r="OC87" s="116">
        <f>OB87/OA87</f>
        <v>0.35486184522180825</v>
      </c>
      <c r="OD87" s="191">
        <v>8</v>
      </c>
      <c r="OE87" s="358">
        <v>7388349.4193548393</v>
      </c>
      <c r="OF87" s="358">
        <v>9954455.8866666667</v>
      </c>
      <c r="OG87" s="358">
        <f>OB87+NW87+NR87+NM87+NH87+NC87+MX87+MS87+MN87+MI87+MD87+LY87</f>
        <v>2547879.4673118279</v>
      </c>
      <c r="OH87" s="220">
        <f>OG87/OF87</f>
        <v>0.25595366500388467</v>
      </c>
      <c r="OI87" s="1863">
        <f>(LV87+MA87+MF87)/3</f>
        <v>10.333333333333334</v>
      </c>
      <c r="OJ87" s="105">
        <f t="shared" si="418"/>
        <v>1752662</v>
      </c>
      <c r="OK87" s="105">
        <f t="shared" si="418"/>
        <v>2488839</v>
      </c>
      <c r="OL87" s="105">
        <f t="shared" si="418"/>
        <v>736177</v>
      </c>
      <c r="OM87" s="106">
        <f>OL87/OK87</f>
        <v>0.29579133081730075</v>
      </c>
      <c r="ON87" s="358">
        <f>(MK87+MP87+MU87)/3</f>
        <v>10.666666666666666</v>
      </c>
      <c r="OO87" s="358">
        <f t="shared" si="419"/>
        <v>1966489</v>
      </c>
      <c r="OP87" s="358">
        <f t="shared" si="419"/>
        <v>2488838.8866666667</v>
      </c>
      <c r="OQ87" s="359">
        <f t="shared" si="419"/>
        <v>522349.88666666672</v>
      </c>
      <c r="OR87" s="169">
        <f>OQ87/OP87</f>
        <v>0.20987693878660685</v>
      </c>
      <c r="OS87" s="686">
        <f>(NJ87+NE87+MZ87)/3</f>
        <v>10.333333333333334</v>
      </c>
      <c r="OT87" s="146">
        <f t="shared" si="420"/>
        <v>1987140.4193548388</v>
      </c>
      <c r="OU87" s="146">
        <f t="shared" si="420"/>
        <v>2487939</v>
      </c>
      <c r="OV87" s="1864">
        <f t="shared" si="420"/>
        <v>500798.58064516133</v>
      </c>
      <c r="OW87" s="203"/>
      <c r="OX87" s="357">
        <v>8</v>
      </c>
      <c r="OY87" s="358">
        <f t="shared" si="387"/>
        <v>1700285</v>
      </c>
      <c r="OZ87" s="358">
        <f t="shared" si="387"/>
        <v>2488839</v>
      </c>
      <c r="PA87" s="359">
        <f t="shared" si="387"/>
        <v>788554</v>
      </c>
      <c r="PB87" s="114">
        <f>PA87/OZ87</f>
        <v>0.3168360830089853</v>
      </c>
      <c r="PC87" s="79"/>
      <c r="PD87" s="439">
        <v>8</v>
      </c>
      <c r="PE87" s="208">
        <v>535215</v>
      </c>
      <c r="PF87" s="208">
        <v>829613</v>
      </c>
      <c r="PG87" s="96">
        <f>PF87-PE87</f>
        <v>294398</v>
      </c>
      <c r="PH87" s="78">
        <f>PG87/PF87</f>
        <v>0.35486184522180825</v>
      </c>
      <c r="PI87" s="2268">
        <v>8</v>
      </c>
      <c r="PJ87" s="2269">
        <v>535215</v>
      </c>
      <c r="PK87" s="2269">
        <v>829613</v>
      </c>
      <c r="PL87" s="96">
        <f>PK87-PJ87</f>
        <v>294398</v>
      </c>
      <c r="PM87" s="78">
        <f t="shared" si="396"/>
        <v>0.35486184522180825</v>
      </c>
      <c r="PN87" s="2026">
        <v>8</v>
      </c>
      <c r="PO87" s="437">
        <v>579132</v>
      </c>
      <c r="PP87" s="2025">
        <v>829613</v>
      </c>
      <c r="PQ87" s="371">
        <f>PP87-PO87</f>
        <v>250481</v>
      </c>
      <c r="PR87" s="157">
        <f t="shared" si="397"/>
        <v>0.30192511448108938</v>
      </c>
      <c r="PS87" s="2027">
        <v>13</v>
      </c>
      <c r="PT87" s="2028">
        <v>922883</v>
      </c>
      <c r="PU87" s="2028">
        <v>829613</v>
      </c>
      <c r="PV87" s="371">
        <f t="shared" si="398"/>
        <v>-93270</v>
      </c>
      <c r="PW87" s="157">
        <f t="shared" si="399"/>
        <v>-0.11242591425158477</v>
      </c>
      <c r="PX87" s="2029">
        <v>13</v>
      </c>
      <c r="PY87" s="2030">
        <v>922883</v>
      </c>
      <c r="PZ87" s="2030">
        <v>829613</v>
      </c>
      <c r="QA87" s="2270">
        <f t="shared" si="400"/>
        <v>-93270</v>
      </c>
      <c r="QB87" s="2271">
        <f t="shared" si="401"/>
        <v>-0.11242591425158477</v>
      </c>
      <c r="QC87" s="2272">
        <v>14</v>
      </c>
      <c r="QD87" s="395">
        <f>873050+44792</f>
        <v>917842</v>
      </c>
      <c r="QE87" s="2273">
        <v>829163</v>
      </c>
      <c r="QF87" s="2160">
        <f t="shared" si="402"/>
        <v>-88679</v>
      </c>
      <c r="QG87" s="2274">
        <f t="shared" si="403"/>
        <v>-0.10695002068350855</v>
      </c>
      <c r="QH87" s="439">
        <v>11</v>
      </c>
      <c r="QI87" s="446">
        <v>780416</v>
      </c>
      <c r="QJ87" s="446">
        <v>829163</v>
      </c>
      <c r="QK87" s="208">
        <f t="shared" si="404"/>
        <v>48747</v>
      </c>
      <c r="QL87" s="1313">
        <f t="shared" si="405"/>
        <v>5.879061173737854E-2</v>
      </c>
      <c r="QM87" s="2158">
        <v>11</v>
      </c>
      <c r="QN87" s="2085">
        <v>780416</v>
      </c>
      <c r="QO87" s="2085">
        <v>829163</v>
      </c>
      <c r="QP87" s="208">
        <f t="shared" si="339"/>
        <v>48747</v>
      </c>
      <c r="QQ87" s="801">
        <f t="shared" si="340"/>
        <v>5.879061173737854E-2</v>
      </c>
      <c r="QR87" s="2265">
        <v>11</v>
      </c>
      <c r="QS87" s="446">
        <v>779654</v>
      </c>
      <c r="QT87" s="446">
        <v>829163</v>
      </c>
      <c r="QU87" s="208">
        <f t="shared" si="341"/>
        <v>49509</v>
      </c>
      <c r="QV87" s="157">
        <f t="shared" si="406"/>
        <v>5.9709610776168258E-2</v>
      </c>
      <c r="QW87" s="2265">
        <v>11</v>
      </c>
      <c r="QX87" s="446">
        <v>780416</v>
      </c>
      <c r="QY87" s="446">
        <v>829163</v>
      </c>
      <c r="QZ87" s="208">
        <f t="shared" si="318"/>
        <v>48747</v>
      </c>
      <c r="RA87" s="2083">
        <f t="shared" si="407"/>
        <v>5.879061173737854E-2</v>
      </c>
      <c r="RB87" s="2265">
        <v>11</v>
      </c>
      <c r="RC87" s="446">
        <v>780416</v>
      </c>
      <c r="RD87" s="446">
        <v>829613</v>
      </c>
      <c r="RE87" s="208">
        <f t="shared" si="343"/>
        <v>49197</v>
      </c>
      <c r="RF87" s="114">
        <f t="shared" si="344"/>
        <v>5.9301144027395905E-2</v>
      </c>
      <c r="RG87" s="1858">
        <v>11</v>
      </c>
      <c r="RH87" s="446">
        <v>780416</v>
      </c>
      <c r="RI87" s="446">
        <v>829613</v>
      </c>
      <c r="RJ87" s="772">
        <f t="shared" si="369"/>
        <v>49197</v>
      </c>
      <c r="RK87" s="116">
        <f t="shared" si="345"/>
        <v>5.9301144027395905E-2</v>
      </c>
      <c r="RL87" s="1569">
        <v>11</v>
      </c>
      <c r="RM87" s="1568">
        <f t="shared" si="408"/>
        <v>9094904</v>
      </c>
      <c r="RN87" s="1568">
        <f t="shared" si="408"/>
        <v>9953106</v>
      </c>
      <c r="RO87" s="1568">
        <f>RJ87+RE87+QZ87+QU87+QP87+QK87+QF87+QA87+PV87+PQ87+PL87+PG87</f>
        <v>858202</v>
      </c>
      <c r="RP87" s="220">
        <f t="shared" si="347"/>
        <v>8.6224541364273627E-2</v>
      </c>
      <c r="RQ87" s="1863">
        <f>(PD87+PI87+PN87)/3</f>
        <v>8</v>
      </c>
      <c r="RR87" s="105">
        <f t="shared" si="388"/>
        <v>1649562</v>
      </c>
      <c r="RS87" s="105">
        <f t="shared" si="388"/>
        <v>2488839</v>
      </c>
      <c r="RT87" s="105">
        <f t="shared" si="388"/>
        <v>839277</v>
      </c>
      <c r="RU87" s="106">
        <f t="shared" si="409"/>
        <v>0.33721626830823531</v>
      </c>
      <c r="RV87" s="358">
        <v>14</v>
      </c>
      <c r="RW87" s="358">
        <f t="shared" si="410"/>
        <v>2763608</v>
      </c>
      <c r="RX87" s="358">
        <f t="shared" si="410"/>
        <v>2488389</v>
      </c>
      <c r="RY87" s="359">
        <f t="shared" si="410"/>
        <v>-275219</v>
      </c>
      <c r="RZ87" s="169">
        <f t="shared" si="362"/>
        <v>-0.11060127656889658</v>
      </c>
      <c r="SA87" s="686">
        <v>11</v>
      </c>
      <c r="SB87" s="146">
        <f t="shared" si="374"/>
        <v>2340486</v>
      </c>
      <c r="SC87" s="146">
        <f t="shared" si="374"/>
        <v>2487489</v>
      </c>
      <c r="SD87" s="1864">
        <f t="shared" si="374"/>
        <v>147003</v>
      </c>
      <c r="SE87" s="203">
        <f t="shared" si="370"/>
        <v>5.9096944750308446E-2</v>
      </c>
      <c r="SF87" s="1567">
        <v>11</v>
      </c>
      <c r="SG87" s="358">
        <f t="shared" si="319"/>
        <v>2341248</v>
      </c>
      <c r="SH87" s="358">
        <f t="shared" si="319"/>
        <v>2488389</v>
      </c>
      <c r="SI87" s="359">
        <f t="shared" si="319"/>
        <v>147141</v>
      </c>
      <c r="SJ87" s="114">
        <f t="shared" si="294"/>
        <v>5.9131028147126515E-2</v>
      </c>
      <c r="SL87" s="439">
        <v>11</v>
      </c>
      <c r="SM87" s="208">
        <v>780416</v>
      </c>
      <c r="SN87" s="208">
        <v>829613</v>
      </c>
      <c r="SO87" s="96">
        <f t="shared" si="264"/>
        <v>49197</v>
      </c>
      <c r="SP87" s="78">
        <f t="shared" si="375"/>
        <v>5.9301144027395905E-2</v>
      </c>
      <c r="SQ87" s="1862">
        <v>12</v>
      </c>
      <c r="SR87" s="265">
        <v>779843</v>
      </c>
      <c r="SS87" s="265">
        <v>829613</v>
      </c>
      <c r="ST87" s="371">
        <f t="shared" si="320"/>
        <v>49770</v>
      </c>
      <c r="SU87" s="222">
        <f t="shared" si="389"/>
        <v>5.9991827514756881E-2</v>
      </c>
      <c r="SV87" s="439">
        <v>12</v>
      </c>
      <c r="SW87" s="208">
        <v>788469</v>
      </c>
      <c r="SX87" s="208">
        <v>829613</v>
      </c>
      <c r="SY87" s="372">
        <f t="shared" si="321"/>
        <v>41144</v>
      </c>
      <c r="SZ87" s="207">
        <f t="shared" si="363"/>
        <v>4.9594208383909121E-2</v>
      </c>
      <c r="TA87" s="354">
        <v>12</v>
      </c>
      <c r="TB87" s="208">
        <v>813750</v>
      </c>
      <c r="TC87" s="994">
        <v>912574</v>
      </c>
      <c r="TD87" s="96">
        <f t="shared" si="280"/>
        <v>98824</v>
      </c>
      <c r="TE87" s="94">
        <f t="shared" si="295"/>
        <v>0.10829149197763688</v>
      </c>
      <c r="TF87" s="4100">
        <v>12</v>
      </c>
      <c r="TG87" s="446">
        <v>813177</v>
      </c>
      <c r="TH87" s="446">
        <v>912574</v>
      </c>
      <c r="TI87" s="208">
        <f t="shared" si="350"/>
        <v>99397</v>
      </c>
      <c r="TJ87" s="114">
        <f t="shared" si="296"/>
        <v>0.10891938626347014</v>
      </c>
      <c r="TK87" s="1633">
        <v>12</v>
      </c>
      <c r="TL87" s="208">
        <v>810789</v>
      </c>
      <c r="TM87" s="208">
        <v>912574</v>
      </c>
      <c r="TN87" s="395">
        <f t="shared" si="351"/>
        <v>101785</v>
      </c>
      <c r="TO87" s="114">
        <f t="shared" si="364"/>
        <v>0.11153616035521503</v>
      </c>
      <c r="TP87" s="4432">
        <v>12</v>
      </c>
      <c r="TQ87" s="446">
        <v>812738</v>
      </c>
      <c r="TR87" s="446">
        <v>912574</v>
      </c>
      <c r="TS87" s="994">
        <f t="shared" si="352"/>
        <v>99836</v>
      </c>
      <c r="TT87" s="114">
        <f t="shared" si="365"/>
        <v>0.10940044314214518</v>
      </c>
      <c r="TU87" s="6140">
        <v>13</v>
      </c>
      <c r="TV87" s="2085">
        <v>787306</v>
      </c>
      <c r="TW87" s="2085">
        <v>912574</v>
      </c>
      <c r="TX87" s="994">
        <f t="shared" si="353"/>
        <v>125268</v>
      </c>
      <c r="TY87" s="116">
        <f t="shared" si="366"/>
        <v>0.13726886805891905</v>
      </c>
      <c r="TZ87" s="2265">
        <v>13</v>
      </c>
      <c r="UA87" s="446">
        <v>759659</v>
      </c>
      <c r="UB87" s="446">
        <v>912574</v>
      </c>
      <c r="UC87" s="994">
        <f t="shared" si="354"/>
        <v>152915</v>
      </c>
      <c r="UD87" s="116">
        <f t="shared" si="395"/>
        <v>0.1675644933999873</v>
      </c>
      <c r="UE87" s="1868">
        <v>11</v>
      </c>
      <c r="UF87" s="1575">
        <v>730126</v>
      </c>
      <c r="UG87" s="1575">
        <v>912574</v>
      </c>
      <c r="UH87" s="1575">
        <f t="shared" si="322"/>
        <v>182448</v>
      </c>
      <c r="UI87" s="6495">
        <f t="shared" si="367"/>
        <v>0.19992680045673009</v>
      </c>
      <c r="UJ87" s="2265"/>
      <c r="UK87" s="446"/>
      <c r="UL87" s="446"/>
      <c r="UM87" s="208">
        <f t="shared" si="355"/>
        <v>0</v>
      </c>
      <c r="UN87" s="114" t="e">
        <f t="shared" si="411"/>
        <v>#DIV/0!</v>
      </c>
      <c r="UO87" s="1569"/>
      <c r="UP87" s="1570"/>
      <c r="UQ87" s="1570"/>
      <c r="UR87" s="1873">
        <f t="shared" si="323"/>
        <v>0</v>
      </c>
      <c r="US87" s="116" t="e">
        <f t="shared" si="412"/>
        <v>#DIV/0!</v>
      </c>
      <c r="UT87" s="1569"/>
      <c r="UU87" s="358">
        <f t="shared" si="371"/>
        <v>7876273</v>
      </c>
      <c r="UV87" s="358">
        <f t="shared" si="371"/>
        <v>8876857</v>
      </c>
      <c r="UW87" s="358">
        <f t="shared" si="371"/>
        <v>1000584</v>
      </c>
      <c r="UX87" s="220">
        <f t="shared" si="358"/>
        <v>0.11271827404677129</v>
      </c>
      <c r="UY87" s="1863">
        <f t="shared" si="324"/>
        <v>11.666666666666666</v>
      </c>
      <c r="UZ87" s="105">
        <f t="shared" si="359"/>
        <v>2348728</v>
      </c>
      <c r="VA87" s="105">
        <f t="shared" si="359"/>
        <v>2488839</v>
      </c>
      <c r="VB87" s="105">
        <f t="shared" si="359"/>
        <v>140111</v>
      </c>
      <c r="VC87" s="106">
        <f t="shared" si="325"/>
        <v>5.6295726642020635E-2</v>
      </c>
      <c r="VD87" s="358"/>
      <c r="VE87" s="358">
        <f t="shared" si="326"/>
        <v>2437716</v>
      </c>
      <c r="VF87" s="358">
        <f t="shared" si="326"/>
        <v>2737722</v>
      </c>
      <c r="VG87" s="359">
        <f t="shared" si="326"/>
        <v>300006</v>
      </c>
      <c r="VH87" s="169">
        <f t="shared" si="372"/>
        <v>0.10958234619877402</v>
      </c>
      <c r="VI87" s="686"/>
      <c r="VJ87" s="146">
        <f t="shared" si="373"/>
        <v>2359703</v>
      </c>
      <c r="VK87" s="146">
        <f t="shared" si="360"/>
        <v>2737722</v>
      </c>
      <c r="VL87" s="1864">
        <f t="shared" si="360"/>
        <v>378019</v>
      </c>
      <c r="VM87" s="203">
        <f t="shared" si="413"/>
        <v>0.13807793486701717</v>
      </c>
      <c r="VN87" s="1567"/>
      <c r="VO87" s="358">
        <f t="shared" si="368"/>
        <v>730126</v>
      </c>
      <c r="VP87" s="358">
        <f t="shared" si="361"/>
        <v>912574</v>
      </c>
      <c r="VQ87" s="359">
        <f t="shared" si="361"/>
        <v>182448</v>
      </c>
      <c r="VR87" s="114">
        <f t="shared" si="414"/>
        <v>0.19992680045673009</v>
      </c>
    </row>
    <row r="88" spans="1:590" s="1193" customFormat="1" ht="13.45" x14ac:dyDescent="0.3">
      <c r="A88" s="1297"/>
      <c r="B88" s="1773" t="s">
        <v>53</v>
      </c>
      <c r="C88" s="2275" t="s">
        <v>244</v>
      </c>
      <c r="D88" s="2276" t="s">
        <v>268</v>
      </c>
      <c r="E88" s="1993">
        <v>45005</v>
      </c>
      <c r="F88" s="1993">
        <v>45370</v>
      </c>
      <c r="G88" s="1994">
        <v>42000</v>
      </c>
      <c r="H88" s="2031"/>
      <c r="I88" s="1914"/>
      <c r="J88" s="1914"/>
      <c r="K88" s="1914"/>
      <c r="L88" s="593"/>
      <c r="M88" s="2031"/>
      <c r="N88" s="1914"/>
      <c r="O88" s="1914"/>
      <c r="P88" s="1914"/>
      <c r="Q88" s="593"/>
      <c r="R88" s="2031"/>
      <c r="S88" s="1914"/>
      <c r="T88" s="1914"/>
      <c r="U88" s="1914"/>
      <c r="V88" s="593"/>
      <c r="W88" s="2031"/>
      <c r="X88" s="1914"/>
      <c r="Y88" s="1914"/>
      <c r="Z88" s="1914"/>
      <c r="AA88" s="2032"/>
      <c r="AB88" s="2031"/>
      <c r="AC88" s="1914"/>
      <c r="AD88" s="1914"/>
      <c r="AE88" s="1914"/>
      <c r="AF88" s="2032"/>
      <c r="AG88" s="1914"/>
      <c r="AH88" s="1914"/>
      <c r="AI88" s="1914"/>
      <c r="AJ88" s="1914"/>
      <c r="AK88" s="593"/>
      <c r="AL88" s="1914"/>
      <c r="AM88" s="1914"/>
      <c r="AN88" s="1914"/>
      <c r="AO88" s="1914"/>
      <c r="AP88" s="593"/>
      <c r="AQ88" s="1914"/>
      <c r="AR88" s="1914"/>
      <c r="AS88" s="1914"/>
      <c r="AT88" s="1914"/>
      <c r="AU88" s="593"/>
      <c r="AV88" s="2033"/>
      <c r="AW88" s="1914"/>
      <c r="AX88" s="1914"/>
      <c r="AY88" s="1914"/>
      <c r="AZ88" s="2032"/>
      <c r="BA88" s="2033"/>
      <c r="BB88" s="1914"/>
      <c r="BC88" s="1914"/>
      <c r="BD88" s="1914"/>
      <c r="BE88" s="2032"/>
      <c r="BF88" s="2033"/>
      <c r="BG88" s="1914"/>
      <c r="BH88" s="1914"/>
      <c r="BI88" s="1914"/>
      <c r="BJ88" s="2032"/>
      <c r="BK88" s="2033"/>
      <c r="BL88" s="1914"/>
      <c r="BM88" s="1914"/>
      <c r="BN88" s="1914"/>
      <c r="BO88" s="2032"/>
      <c r="BP88" s="2034"/>
      <c r="BQ88" s="1914"/>
      <c r="BR88" s="1914"/>
      <c r="BS88" s="1914"/>
      <c r="BT88" s="2035"/>
      <c r="BU88" s="1914"/>
      <c r="BV88" s="1914"/>
      <c r="BW88" s="2036"/>
      <c r="BX88" s="2035"/>
      <c r="BY88" s="1914"/>
      <c r="BZ88" s="1914"/>
      <c r="CA88" s="2010"/>
      <c r="CB88" s="1914"/>
      <c r="CC88" s="1914"/>
      <c r="CD88" s="1914"/>
      <c r="CE88" s="1914"/>
      <c r="CF88" s="2035"/>
      <c r="CG88" s="1914"/>
      <c r="CH88" s="1914"/>
      <c r="CI88" s="2010"/>
      <c r="CJ88" s="2037"/>
      <c r="CK88" s="1914"/>
      <c r="CL88" s="1914"/>
      <c r="CM88" s="1914"/>
      <c r="CN88" s="2036"/>
      <c r="CO88" s="2037"/>
      <c r="CP88" s="2031"/>
      <c r="CQ88" s="2031"/>
      <c r="CR88" s="2031"/>
      <c r="CS88" s="2036"/>
      <c r="CT88" s="2037"/>
      <c r="CU88" s="1914"/>
      <c r="CV88" s="1914"/>
      <c r="CW88" s="1914"/>
      <c r="CX88" s="2036"/>
      <c r="CY88" s="2037"/>
      <c r="CZ88" s="1914"/>
      <c r="DA88" s="1914"/>
      <c r="DB88" s="1914"/>
      <c r="DC88" s="2036"/>
      <c r="DD88" s="2037"/>
      <c r="DE88" s="1914"/>
      <c r="DF88" s="1914"/>
      <c r="DG88" s="1914"/>
      <c r="DH88" s="2038"/>
      <c r="DI88" s="2037"/>
      <c r="DJ88" s="1914"/>
      <c r="DK88" s="1914"/>
      <c r="DL88" s="1914"/>
      <c r="DM88" s="2038"/>
      <c r="DN88" s="2037"/>
      <c r="DO88" s="1914"/>
      <c r="DP88" s="1914"/>
      <c r="DQ88" s="1914"/>
      <c r="DR88" s="2038"/>
      <c r="DS88" s="2037"/>
      <c r="DT88" s="1914"/>
      <c r="DU88" s="1914"/>
      <c r="DV88" s="1914"/>
      <c r="DW88" s="2038"/>
      <c r="DX88" s="2037"/>
      <c r="DY88" s="1914"/>
      <c r="DZ88" s="1914"/>
      <c r="EA88" s="1914"/>
      <c r="EB88" s="2038"/>
      <c r="EC88" s="2037"/>
      <c r="ED88" s="1914"/>
      <c r="EE88" s="1914"/>
      <c r="EF88" s="1914"/>
      <c r="EG88" s="2038"/>
      <c r="EH88" s="2037"/>
      <c r="EI88" s="1914"/>
      <c r="EJ88" s="1914"/>
      <c r="EK88" s="1914"/>
      <c r="EL88" s="2038"/>
      <c r="EM88" s="1910"/>
      <c r="EN88" s="715"/>
      <c r="EO88" s="715"/>
      <c r="EP88" s="715"/>
      <c r="EQ88" s="366"/>
      <c r="ER88" s="1713"/>
      <c r="ES88" s="1714"/>
      <c r="ET88" s="1714"/>
      <c r="EU88" s="1714"/>
      <c r="EV88" s="1715"/>
      <c r="EW88" s="2031"/>
      <c r="EX88" s="2031"/>
      <c r="EY88" s="2031"/>
      <c r="EZ88" s="593"/>
      <c r="FA88" s="2037"/>
      <c r="FB88" s="2031"/>
      <c r="FC88" s="2031"/>
      <c r="FD88" s="2036"/>
      <c r="FE88" s="2031"/>
      <c r="FF88" s="2031"/>
      <c r="FG88" s="2031"/>
      <c r="FH88" s="593"/>
      <c r="FI88" s="2039"/>
      <c r="FJ88" s="2040"/>
      <c r="FK88" s="2041"/>
      <c r="FL88" s="2041"/>
      <c r="FM88" s="693"/>
      <c r="FN88" s="2031"/>
      <c r="FO88" s="1914"/>
      <c r="FP88" s="1914"/>
      <c r="FQ88" s="1914"/>
      <c r="FR88" s="2032"/>
      <c r="FS88" s="1910"/>
      <c r="FT88" s="715"/>
      <c r="FU88" s="715"/>
      <c r="FV88" s="715"/>
      <c r="FW88" s="366"/>
      <c r="FX88" s="2037"/>
      <c r="FY88" s="1914"/>
      <c r="FZ88" s="1914"/>
      <c r="GA88" s="715"/>
      <c r="GB88" s="366"/>
      <c r="GC88" s="1899"/>
      <c r="GD88" s="1900"/>
      <c r="GE88" s="1900"/>
      <c r="GF88" s="715"/>
      <c r="GG88" s="366"/>
      <c r="GH88" s="1901"/>
      <c r="GI88" s="1824"/>
      <c r="GJ88" s="1824"/>
      <c r="GK88" s="715"/>
      <c r="GL88" s="366"/>
      <c r="GM88" s="1901"/>
      <c r="GN88" s="1824"/>
      <c r="GO88" s="1824"/>
      <c r="GP88" s="715"/>
      <c r="GQ88" s="366"/>
      <c r="GR88" s="2042"/>
      <c r="GS88" s="2043"/>
      <c r="GT88" s="2043"/>
      <c r="GU88" s="715"/>
      <c r="GV88" s="366"/>
      <c r="GW88" s="2042"/>
      <c r="GX88" s="2043"/>
      <c r="GY88" s="2043"/>
      <c r="GZ88" s="715"/>
      <c r="HA88" s="366"/>
      <c r="HB88" s="2042"/>
      <c r="HC88" s="2043"/>
      <c r="HD88" s="2043"/>
      <c r="HE88" s="715"/>
      <c r="HF88" s="366"/>
      <c r="HG88" s="2042"/>
      <c r="HH88" s="2043"/>
      <c r="HI88" s="2043"/>
      <c r="HJ88" s="1818"/>
      <c r="HK88" s="366"/>
      <c r="HL88" s="2042"/>
      <c r="HM88" s="2043"/>
      <c r="HN88" s="2043"/>
      <c r="HO88" s="715"/>
      <c r="HP88" s="366"/>
      <c r="HQ88" s="1905"/>
      <c r="HR88" s="1248"/>
      <c r="HS88" s="1248"/>
      <c r="HT88" s="1248"/>
      <c r="HU88" s="1826"/>
      <c r="HV88" s="1827"/>
      <c r="HW88" s="1089"/>
      <c r="HX88" s="1089"/>
      <c r="HY88" s="1089"/>
      <c r="HZ88" s="1906"/>
      <c r="IA88" s="1907"/>
      <c r="IB88" s="1908"/>
      <c r="IC88" s="1908"/>
      <c r="ID88" s="1909"/>
      <c r="IE88" s="1910"/>
      <c r="IF88" s="1911"/>
      <c r="IG88" s="1912"/>
      <c r="IH88" s="1909"/>
      <c r="II88" s="1835"/>
      <c r="IJ88" s="1836"/>
      <c r="IK88" s="1836"/>
      <c r="IL88" s="693"/>
      <c r="IM88" s="1913"/>
      <c r="IN88" s="1836"/>
      <c r="IO88" s="1836"/>
      <c r="IP88" s="1838"/>
      <c r="IQ88" s="1914"/>
      <c r="IR88" s="2044"/>
      <c r="IS88" s="715"/>
      <c r="IT88" s="715"/>
      <c r="IU88" s="1996"/>
      <c r="IV88" s="2045"/>
      <c r="IW88" s="1910"/>
      <c r="IX88" s="715"/>
      <c r="IY88" s="823"/>
      <c r="IZ88" s="1719"/>
      <c r="JA88" s="1721"/>
      <c r="JB88" s="2046"/>
      <c r="JC88" s="2047"/>
      <c r="JD88" s="2048"/>
      <c r="JE88" s="1719"/>
      <c r="JF88" s="1721"/>
      <c r="JG88" s="1847"/>
      <c r="JH88" s="1096"/>
      <c r="JI88" s="1096"/>
      <c r="JJ88" s="1756"/>
      <c r="JK88" s="1721"/>
      <c r="JL88" s="1927"/>
      <c r="JM88" s="1096"/>
      <c r="JN88" s="1096"/>
      <c r="JO88" s="823"/>
      <c r="JP88" s="1721"/>
      <c r="JQ88" s="1926"/>
      <c r="JR88" s="1982"/>
      <c r="JS88" s="1248"/>
      <c r="JT88" s="1996"/>
      <c r="JU88" s="1821"/>
      <c r="JV88" s="1988"/>
      <c r="JW88" s="2049"/>
      <c r="JX88" s="1850"/>
      <c r="JY88" s="823"/>
      <c r="JZ88" s="1721"/>
      <c r="KA88" s="1847"/>
      <c r="KB88" s="264"/>
      <c r="KC88" s="972"/>
      <c r="KD88" s="964"/>
      <c r="KE88" s="1848"/>
      <c r="KF88" s="1988"/>
      <c r="KG88" s="1850"/>
      <c r="KH88" s="2049"/>
      <c r="KI88" s="1719"/>
      <c r="KJ88" s="1721"/>
      <c r="KK88" s="1988"/>
      <c r="KL88" s="1850"/>
      <c r="KM88" s="2049"/>
      <c r="KN88" s="1851"/>
      <c r="KO88" s="1852"/>
      <c r="KP88" s="1823"/>
      <c r="KQ88" s="1982"/>
      <c r="KR88" s="1248"/>
      <c r="KS88" s="1996"/>
      <c r="KT88" s="1819"/>
      <c r="KU88" s="1853"/>
      <c r="KV88" s="264"/>
      <c r="KW88" s="264"/>
      <c r="KX88" s="264"/>
      <c r="KY88" s="75"/>
      <c r="KZ88" s="1857"/>
      <c r="LA88" s="358"/>
      <c r="LB88" s="358"/>
      <c r="LC88" s="358"/>
      <c r="LD88" s="151"/>
      <c r="LE88" s="1854"/>
      <c r="LF88" s="1855"/>
      <c r="LG88" s="1855"/>
      <c r="LH88" s="1856"/>
      <c r="LI88" s="1857"/>
      <c r="LJ88" s="1858"/>
      <c r="LK88" s="1854"/>
      <c r="LL88" s="1856"/>
      <c r="LM88" s="1859"/>
      <c r="LN88" s="1727"/>
      <c r="LO88" s="1727"/>
      <c r="LP88" s="151"/>
      <c r="LQ88" s="1860"/>
      <c r="LR88" s="1727"/>
      <c r="LS88" s="1727"/>
      <c r="LT88" s="1861"/>
      <c r="LV88" s="439"/>
      <c r="LW88" s="208"/>
      <c r="LX88" s="208"/>
      <c r="LY88" s="96"/>
      <c r="LZ88" s="78"/>
      <c r="MA88" s="1832"/>
      <c r="MB88" s="622"/>
      <c r="MC88" s="622"/>
      <c r="MD88" s="372"/>
      <c r="ME88" s="207"/>
      <c r="MF88" s="405"/>
      <c r="MG88" s="1575"/>
      <c r="MH88" s="1568"/>
      <c r="MI88" s="371"/>
      <c r="MJ88" s="157"/>
      <c r="MK88" s="354"/>
      <c r="ML88" s="208"/>
      <c r="MM88" s="358"/>
      <c r="MN88" s="371"/>
      <c r="MO88" s="157"/>
      <c r="MP88" s="1579"/>
      <c r="MQ88" s="264"/>
      <c r="MR88" s="264"/>
      <c r="MS88" s="264"/>
      <c r="MT88" s="597"/>
      <c r="MU88" s="209"/>
      <c r="MV88" s="208"/>
      <c r="MW88" s="208"/>
      <c r="MX88" s="208"/>
      <c r="MY88" s="655"/>
      <c r="MZ88" s="209"/>
      <c r="NA88" s="208"/>
      <c r="NB88" s="208"/>
      <c r="NC88" s="208"/>
      <c r="ND88" s="1313"/>
      <c r="NE88" s="209"/>
      <c r="NF88" s="208"/>
      <c r="NG88" s="208"/>
      <c r="NH88" s="208"/>
      <c r="NI88" s="1313"/>
      <c r="NJ88" s="209"/>
      <c r="NK88" s="208"/>
      <c r="NL88" s="208"/>
      <c r="NM88" s="208"/>
      <c r="NN88" s="1313"/>
      <c r="NO88" s="357"/>
      <c r="NP88" s="358"/>
      <c r="NQ88" s="359"/>
      <c r="NR88" s="208"/>
      <c r="NS88" s="1313"/>
      <c r="NT88" s="357"/>
      <c r="NU88" s="358"/>
      <c r="NV88" s="358"/>
      <c r="NW88" s="208"/>
      <c r="NX88" s="1313"/>
      <c r="NY88" s="357"/>
      <c r="NZ88" s="358"/>
      <c r="OA88" s="358"/>
      <c r="OB88" s="622"/>
      <c r="OC88" s="116"/>
      <c r="OD88" s="191"/>
      <c r="OE88" s="358"/>
      <c r="OF88" s="358"/>
      <c r="OG88" s="358"/>
      <c r="OH88" s="220"/>
      <c r="OI88" s="1863"/>
      <c r="OJ88" s="105"/>
      <c r="OK88" s="105"/>
      <c r="OL88" s="105"/>
      <c r="OM88" s="106"/>
      <c r="ON88" s="358"/>
      <c r="OO88" s="358"/>
      <c r="OP88" s="358"/>
      <c r="OQ88" s="359"/>
      <c r="OR88" s="169"/>
      <c r="OS88" s="686"/>
      <c r="OT88" s="146"/>
      <c r="OU88" s="146"/>
      <c r="OV88" s="1864"/>
      <c r="OW88" s="203"/>
      <c r="OX88" s="357">
        <f>(NO88+NT88+NY88)/3</f>
        <v>0</v>
      </c>
      <c r="OY88" s="358">
        <f t="shared" si="387"/>
        <v>0</v>
      </c>
      <c r="OZ88" s="358">
        <f t="shared" si="387"/>
        <v>0</v>
      </c>
      <c r="PA88" s="359">
        <f t="shared" si="387"/>
        <v>0</v>
      </c>
      <c r="PB88" s="114"/>
      <c r="PC88" s="79"/>
      <c r="PD88" s="439">
        <v>1</v>
      </c>
      <c r="PE88" s="208">
        <v>35000</v>
      </c>
      <c r="PF88" s="208">
        <v>42000</v>
      </c>
      <c r="PG88" s="96">
        <f>PF88-PE88</f>
        <v>7000</v>
      </c>
      <c r="PH88" s="78">
        <f>PG88/PF88</f>
        <v>0.16666666666666666</v>
      </c>
      <c r="PI88" s="401">
        <v>1</v>
      </c>
      <c r="PJ88" s="395">
        <v>35000</v>
      </c>
      <c r="PK88" s="395">
        <v>42000</v>
      </c>
      <c r="PL88" s="96">
        <f>PK88-PJ88</f>
        <v>7000</v>
      </c>
      <c r="PM88" s="78">
        <f t="shared" si="396"/>
        <v>0.16666666666666666</v>
      </c>
      <c r="PN88" s="439">
        <v>1</v>
      </c>
      <c r="PO88" s="208">
        <v>35000</v>
      </c>
      <c r="PP88" s="358">
        <v>42000</v>
      </c>
      <c r="PQ88" s="371">
        <f>PP88-PO88</f>
        <v>7000</v>
      </c>
      <c r="PR88" s="157">
        <f t="shared" si="397"/>
        <v>0.16666666666666666</v>
      </c>
      <c r="PS88" s="354">
        <v>1</v>
      </c>
      <c r="PT88" s="208">
        <v>35000</v>
      </c>
      <c r="PU88" s="358">
        <v>42000</v>
      </c>
      <c r="PV88" s="371">
        <f t="shared" si="398"/>
        <v>7000</v>
      </c>
      <c r="PW88" s="157">
        <f t="shared" si="399"/>
        <v>0.16666666666666666</v>
      </c>
      <c r="PX88" s="1579">
        <v>1</v>
      </c>
      <c r="PY88" s="264">
        <v>35000</v>
      </c>
      <c r="PZ88" s="264">
        <v>42000</v>
      </c>
      <c r="QA88" s="1248">
        <f t="shared" si="400"/>
        <v>7000</v>
      </c>
      <c r="QB88" s="597">
        <f t="shared" si="401"/>
        <v>0.16666666666666666</v>
      </c>
      <c r="QC88" s="209">
        <v>1</v>
      </c>
      <c r="QD88" s="208">
        <v>35000</v>
      </c>
      <c r="QE88" s="208">
        <v>42000</v>
      </c>
      <c r="QF88" s="208">
        <f t="shared" si="402"/>
        <v>7000</v>
      </c>
      <c r="QG88" s="655">
        <f t="shared" si="403"/>
        <v>0.16666666666666666</v>
      </c>
      <c r="QH88" s="439">
        <v>1</v>
      </c>
      <c r="QI88" s="208">
        <v>35000</v>
      </c>
      <c r="QJ88" s="208">
        <v>42000</v>
      </c>
      <c r="QK88" s="208">
        <f t="shared" si="404"/>
        <v>7000</v>
      </c>
      <c r="QL88" s="1313">
        <f t="shared" si="405"/>
        <v>0.16666666666666666</v>
      </c>
      <c r="QM88" s="439">
        <v>1</v>
      </c>
      <c r="QN88" s="208">
        <v>28942</v>
      </c>
      <c r="QO88" s="208">
        <v>42000</v>
      </c>
      <c r="QP88" s="208">
        <f t="shared" si="339"/>
        <v>13058</v>
      </c>
      <c r="QQ88" s="801">
        <f t="shared" si="340"/>
        <v>0.31090476190476191</v>
      </c>
      <c r="QR88" s="209">
        <v>1</v>
      </c>
      <c r="QS88" s="208">
        <v>33402</v>
      </c>
      <c r="QT88" s="208">
        <v>42000</v>
      </c>
      <c r="QU88" s="208">
        <f t="shared" si="341"/>
        <v>8598</v>
      </c>
      <c r="QV88" s="157">
        <f t="shared" si="406"/>
        <v>0.20471428571428571</v>
      </c>
      <c r="QW88" s="209">
        <v>1</v>
      </c>
      <c r="QX88" s="208">
        <v>35000</v>
      </c>
      <c r="QY88" s="208">
        <v>42000</v>
      </c>
      <c r="QZ88" s="208">
        <f t="shared" si="318"/>
        <v>7000</v>
      </c>
      <c r="RA88" s="2083">
        <f t="shared" si="407"/>
        <v>0.16666666666666666</v>
      </c>
      <c r="RB88" s="209">
        <v>1</v>
      </c>
      <c r="RC88" s="208">
        <v>35000</v>
      </c>
      <c r="RD88" s="208">
        <v>42000</v>
      </c>
      <c r="RE88" s="208">
        <f t="shared" si="343"/>
        <v>7000</v>
      </c>
      <c r="RF88" s="114">
        <f>RE88/RD88</f>
        <v>0.16666666666666666</v>
      </c>
      <c r="RG88" s="1857">
        <v>1</v>
      </c>
      <c r="RH88" s="208">
        <v>36750</v>
      </c>
      <c r="RI88" s="208">
        <v>41958</v>
      </c>
      <c r="RJ88" s="772">
        <f t="shared" si="369"/>
        <v>5208</v>
      </c>
      <c r="RK88" s="116">
        <f t="shared" si="345"/>
        <v>0.12412412412412413</v>
      </c>
      <c r="RL88" s="1567">
        <v>1</v>
      </c>
      <c r="RM88" s="1568">
        <f t="shared" si="408"/>
        <v>414094</v>
      </c>
      <c r="RN88" s="1568">
        <f t="shared" si="408"/>
        <v>503958</v>
      </c>
      <c r="RO88" s="1568">
        <f>RJ88+RE88+QZ88+QU88+QP88+QK88+QF88+QA88+PV88+PQ88+PL88+PG88</f>
        <v>89864</v>
      </c>
      <c r="RP88" s="220">
        <f t="shared" si="347"/>
        <v>0.17831644700550442</v>
      </c>
      <c r="RQ88" s="1863">
        <f>(PD88+PI88+PN88)/3</f>
        <v>1</v>
      </c>
      <c r="RR88" s="105">
        <f t="shared" si="388"/>
        <v>105000</v>
      </c>
      <c r="RS88" s="105">
        <f t="shared" si="388"/>
        <v>126000</v>
      </c>
      <c r="RT88" s="105">
        <f t="shared" si="388"/>
        <v>21000</v>
      </c>
      <c r="RU88" s="106">
        <f t="shared" si="409"/>
        <v>0.16666666666666666</v>
      </c>
      <c r="RV88" s="358">
        <v>1</v>
      </c>
      <c r="RW88" s="358">
        <f t="shared" si="410"/>
        <v>105000</v>
      </c>
      <c r="RX88" s="358">
        <f t="shared" si="410"/>
        <v>126000</v>
      </c>
      <c r="RY88" s="359">
        <f t="shared" si="410"/>
        <v>21000</v>
      </c>
      <c r="RZ88" s="169">
        <f t="shared" si="362"/>
        <v>0.16666666666666666</v>
      </c>
      <c r="SA88" s="686">
        <v>1</v>
      </c>
      <c r="SB88" s="146">
        <f t="shared" si="374"/>
        <v>97344</v>
      </c>
      <c r="SC88" s="146">
        <f t="shared" si="374"/>
        <v>126000</v>
      </c>
      <c r="SD88" s="1864">
        <f t="shared" si="374"/>
        <v>28656</v>
      </c>
      <c r="SE88" s="203">
        <f t="shared" si="370"/>
        <v>0.22742857142857142</v>
      </c>
      <c r="SF88" s="1567">
        <v>1</v>
      </c>
      <c r="SG88" s="358">
        <f t="shared" si="319"/>
        <v>106750</v>
      </c>
      <c r="SH88" s="358">
        <f t="shared" si="319"/>
        <v>125958</v>
      </c>
      <c r="SI88" s="359">
        <f t="shared" si="319"/>
        <v>19208</v>
      </c>
      <c r="SJ88" s="114">
        <f t="shared" si="294"/>
        <v>0.15249527620317885</v>
      </c>
      <c r="SL88" s="439">
        <v>1</v>
      </c>
      <c r="SM88" s="208">
        <v>36750</v>
      </c>
      <c r="SN88" s="208">
        <v>42000</v>
      </c>
      <c r="SO88" s="96">
        <f t="shared" si="264"/>
        <v>5250</v>
      </c>
      <c r="SP88" s="78">
        <f t="shared" si="375"/>
        <v>0.125</v>
      </c>
      <c r="SQ88" s="401">
        <v>1</v>
      </c>
      <c r="SR88" s="395">
        <v>36750</v>
      </c>
      <c r="SS88" s="395">
        <v>42000</v>
      </c>
      <c r="ST88" s="96">
        <f t="shared" si="320"/>
        <v>5250</v>
      </c>
      <c r="SU88" s="222">
        <f t="shared" si="389"/>
        <v>0.125</v>
      </c>
      <c r="SV88" s="439">
        <v>1</v>
      </c>
      <c r="SW88" s="208">
        <v>36750</v>
      </c>
      <c r="SX88" s="208">
        <v>42000</v>
      </c>
      <c r="SY88" s="372">
        <f t="shared" si="321"/>
        <v>5250</v>
      </c>
      <c r="SZ88" s="207">
        <f t="shared" si="363"/>
        <v>0.125</v>
      </c>
      <c r="TA88" s="354">
        <v>1</v>
      </c>
      <c r="TB88" s="208">
        <v>36750</v>
      </c>
      <c r="TC88" s="994">
        <v>42000</v>
      </c>
      <c r="TD88" s="96">
        <f t="shared" si="280"/>
        <v>5250</v>
      </c>
      <c r="TE88" s="94">
        <f t="shared" si="295"/>
        <v>0.125</v>
      </c>
      <c r="TF88" s="354">
        <v>1</v>
      </c>
      <c r="TG88" s="208">
        <v>36750</v>
      </c>
      <c r="TH88" s="208">
        <v>42000</v>
      </c>
      <c r="TI88" s="208">
        <f t="shared" si="350"/>
        <v>5250</v>
      </c>
      <c r="TJ88" s="114">
        <f t="shared" si="296"/>
        <v>0.125</v>
      </c>
      <c r="TK88" s="1633">
        <v>1</v>
      </c>
      <c r="TL88" s="208">
        <v>36750</v>
      </c>
      <c r="TM88" s="208">
        <v>42000</v>
      </c>
      <c r="TN88" s="395">
        <f t="shared" si="351"/>
        <v>5250</v>
      </c>
      <c r="TO88" s="114">
        <f t="shared" si="364"/>
        <v>0.125</v>
      </c>
      <c r="TP88" s="1574">
        <v>1</v>
      </c>
      <c r="TQ88" s="208">
        <v>36750</v>
      </c>
      <c r="TR88" s="208">
        <v>42000</v>
      </c>
      <c r="TS88" s="994">
        <f t="shared" si="352"/>
        <v>5250</v>
      </c>
      <c r="TT88" s="114">
        <f t="shared" si="365"/>
        <v>0.125</v>
      </c>
      <c r="TU88" s="4432">
        <v>1</v>
      </c>
      <c r="TV88" s="208">
        <v>36750</v>
      </c>
      <c r="TW88" s="208">
        <v>42000</v>
      </c>
      <c r="TX88" s="994">
        <f t="shared" si="353"/>
        <v>5250</v>
      </c>
      <c r="TY88" s="116">
        <f t="shared" si="366"/>
        <v>0.125</v>
      </c>
      <c r="TZ88" s="209">
        <v>1</v>
      </c>
      <c r="UA88" s="208">
        <v>36750</v>
      </c>
      <c r="UB88" s="208">
        <v>42000</v>
      </c>
      <c r="UC88" s="994">
        <f t="shared" si="354"/>
        <v>5250</v>
      </c>
      <c r="UD88" s="116">
        <f t="shared" si="395"/>
        <v>0.125</v>
      </c>
      <c r="UE88" s="1868">
        <v>1</v>
      </c>
      <c r="UF88" s="1575">
        <v>36750</v>
      </c>
      <c r="UG88" s="1575">
        <v>42000</v>
      </c>
      <c r="UH88" s="1575">
        <f t="shared" si="322"/>
        <v>5250</v>
      </c>
      <c r="UI88" s="6495">
        <f t="shared" si="367"/>
        <v>0.125</v>
      </c>
      <c r="UJ88" s="209"/>
      <c r="UK88" s="208"/>
      <c r="UL88" s="208"/>
      <c r="UM88" s="208">
        <f t="shared" si="355"/>
        <v>0</v>
      </c>
      <c r="UN88" s="114" t="e">
        <f t="shared" si="411"/>
        <v>#DIV/0!</v>
      </c>
      <c r="UO88" s="1567"/>
      <c r="UP88" s="1568"/>
      <c r="UQ88" s="1568"/>
      <c r="UR88" s="1873">
        <f t="shared" si="323"/>
        <v>0</v>
      </c>
      <c r="US88" s="116" t="e">
        <f t="shared" si="412"/>
        <v>#DIV/0!</v>
      </c>
      <c r="UT88" s="1567"/>
      <c r="UU88" s="358">
        <f t="shared" si="371"/>
        <v>367500</v>
      </c>
      <c r="UV88" s="358">
        <f t="shared" si="371"/>
        <v>420000</v>
      </c>
      <c r="UW88" s="358">
        <f t="shared" si="371"/>
        <v>52500</v>
      </c>
      <c r="UX88" s="220">
        <f t="shared" si="358"/>
        <v>0.125</v>
      </c>
      <c r="UY88" s="1863">
        <f t="shared" si="324"/>
        <v>1</v>
      </c>
      <c r="UZ88" s="105">
        <f t="shared" si="359"/>
        <v>110250</v>
      </c>
      <c r="VA88" s="105">
        <f t="shared" si="359"/>
        <v>126000</v>
      </c>
      <c r="VB88" s="105">
        <f t="shared" si="359"/>
        <v>15750</v>
      </c>
      <c r="VC88" s="106">
        <f t="shared" si="325"/>
        <v>0.125</v>
      </c>
      <c r="VD88" s="358"/>
      <c r="VE88" s="358">
        <f t="shared" si="326"/>
        <v>110250</v>
      </c>
      <c r="VF88" s="358">
        <f t="shared" si="326"/>
        <v>126000</v>
      </c>
      <c r="VG88" s="359">
        <f t="shared" si="326"/>
        <v>15750</v>
      </c>
      <c r="VH88" s="169">
        <f t="shared" si="372"/>
        <v>0.125</v>
      </c>
      <c r="VI88" s="686"/>
      <c r="VJ88" s="146">
        <f t="shared" si="373"/>
        <v>110250</v>
      </c>
      <c r="VK88" s="146">
        <f t="shared" si="360"/>
        <v>126000</v>
      </c>
      <c r="VL88" s="1864">
        <f t="shared" si="360"/>
        <v>15750</v>
      </c>
      <c r="VM88" s="203">
        <f t="shared" si="413"/>
        <v>0.125</v>
      </c>
      <c r="VN88" s="1567"/>
      <c r="VO88" s="358">
        <f t="shared" si="368"/>
        <v>36750</v>
      </c>
      <c r="VP88" s="358">
        <f t="shared" si="361"/>
        <v>42000</v>
      </c>
      <c r="VQ88" s="359">
        <f t="shared" si="361"/>
        <v>5250</v>
      </c>
      <c r="VR88" s="114">
        <f t="shared" si="414"/>
        <v>0.125</v>
      </c>
    </row>
    <row r="89" spans="1:590" s="1193" customFormat="1" ht="13.45" x14ac:dyDescent="0.3">
      <c r="A89" s="1297"/>
      <c r="B89" s="1773" t="s">
        <v>53</v>
      </c>
      <c r="C89" s="2275" t="s">
        <v>244</v>
      </c>
      <c r="D89" s="2276" t="s">
        <v>269</v>
      </c>
      <c r="E89" s="1993">
        <v>45041</v>
      </c>
      <c r="F89" s="1993">
        <v>45406</v>
      </c>
      <c r="G89" s="1994">
        <v>42000</v>
      </c>
      <c r="H89" s="2031"/>
      <c r="I89" s="1914"/>
      <c r="J89" s="1914"/>
      <c r="K89" s="1914"/>
      <c r="L89" s="593"/>
      <c r="M89" s="2031"/>
      <c r="N89" s="1914"/>
      <c r="O89" s="1914"/>
      <c r="P89" s="1914"/>
      <c r="Q89" s="593"/>
      <c r="R89" s="2031"/>
      <c r="S89" s="1914"/>
      <c r="T89" s="1914"/>
      <c r="U89" s="1914"/>
      <c r="V89" s="593"/>
      <c r="W89" s="2031"/>
      <c r="X89" s="1914"/>
      <c r="Y89" s="1914"/>
      <c r="Z89" s="1914"/>
      <c r="AA89" s="2032"/>
      <c r="AB89" s="2031"/>
      <c r="AC89" s="1914"/>
      <c r="AD89" s="1914"/>
      <c r="AE89" s="1914"/>
      <c r="AF89" s="2032"/>
      <c r="AG89" s="1914"/>
      <c r="AH89" s="1914"/>
      <c r="AI89" s="1914"/>
      <c r="AJ89" s="1914"/>
      <c r="AK89" s="593"/>
      <c r="AL89" s="1914"/>
      <c r="AM89" s="1914"/>
      <c r="AN89" s="1914"/>
      <c r="AO89" s="1914"/>
      <c r="AP89" s="593"/>
      <c r="AQ89" s="1914"/>
      <c r="AR89" s="1914"/>
      <c r="AS89" s="1914"/>
      <c r="AT89" s="1914"/>
      <c r="AU89" s="593"/>
      <c r="AV89" s="2033"/>
      <c r="AW89" s="1914"/>
      <c r="AX89" s="1914"/>
      <c r="AY89" s="1914"/>
      <c r="AZ89" s="2032"/>
      <c r="BA89" s="2033"/>
      <c r="BB89" s="1914"/>
      <c r="BC89" s="1914"/>
      <c r="BD89" s="1914"/>
      <c r="BE89" s="2032"/>
      <c r="BF89" s="2033"/>
      <c r="BG89" s="1914"/>
      <c r="BH89" s="1914"/>
      <c r="BI89" s="1914"/>
      <c r="BJ89" s="2032"/>
      <c r="BK89" s="2033"/>
      <c r="BL89" s="1914"/>
      <c r="BM89" s="1914"/>
      <c r="BN89" s="1914"/>
      <c r="BO89" s="2032"/>
      <c r="BP89" s="2034"/>
      <c r="BQ89" s="1914"/>
      <c r="BR89" s="1914"/>
      <c r="BS89" s="1914"/>
      <c r="BT89" s="2035"/>
      <c r="BU89" s="1914"/>
      <c r="BV89" s="1914"/>
      <c r="BW89" s="2036"/>
      <c r="BX89" s="2035"/>
      <c r="BY89" s="1914"/>
      <c r="BZ89" s="1914"/>
      <c r="CA89" s="2010"/>
      <c r="CB89" s="1914"/>
      <c r="CC89" s="1914"/>
      <c r="CD89" s="1914"/>
      <c r="CE89" s="1914"/>
      <c r="CF89" s="2035"/>
      <c r="CG89" s="1914"/>
      <c r="CH89" s="1914"/>
      <c r="CI89" s="2010"/>
      <c r="CJ89" s="2037"/>
      <c r="CK89" s="1914"/>
      <c r="CL89" s="1914"/>
      <c r="CM89" s="1914"/>
      <c r="CN89" s="2036"/>
      <c r="CO89" s="2037"/>
      <c r="CP89" s="2031"/>
      <c r="CQ89" s="2031"/>
      <c r="CR89" s="2031"/>
      <c r="CS89" s="2036"/>
      <c r="CT89" s="2037"/>
      <c r="CU89" s="1914"/>
      <c r="CV89" s="1914"/>
      <c r="CW89" s="1914"/>
      <c r="CX89" s="2036"/>
      <c r="CY89" s="2037"/>
      <c r="CZ89" s="1914"/>
      <c r="DA89" s="1914"/>
      <c r="DB89" s="1914"/>
      <c r="DC89" s="2036"/>
      <c r="DD89" s="2037"/>
      <c r="DE89" s="1914"/>
      <c r="DF89" s="1914"/>
      <c r="DG89" s="1914"/>
      <c r="DH89" s="2038"/>
      <c r="DI89" s="2037"/>
      <c r="DJ89" s="1914"/>
      <c r="DK89" s="1914"/>
      <c r="DL89" s="1914"/>
      <c r="DM89" s="2038"/>
      <c r="DN89" s="2037"/>
      <c r="DO89" s="1914"/>
      <c r="DP89" s="1914"/>
      <c r="DQ89" s="1914"/>
      <c r="DR89" s="2038"/>
      <c r="DS89" s="2037"/>
      <c r="DT89" s="1914"/>
      <c r="DU89" s="1914"/>
      <c r="DV89" s="1914"/>
      <c r="DW89" s="2038"/>
      <c r="DX89" s="2037"/>
      <c r="DY89" s="1914"/>
      <c r="DZ89" s="1914"/>
      <c r="EA89" s="1914"/>
      <c r="EB89" s="2038"/>
      <c r="EC89" s="2037"/>
      <c r="ED89" s="1914"/>
      <c r="EE89" s="1914"/>
      <c r="EF89" s="1914"/>
      <c r="EG89" s="2038"/>
      <c r="EH89" s="2037"/>
      <c r="EI89" s="1914"/>
      <c r="EJ89" s="1914"/>
      <c r="EK89" s="1914"/>
      <c r="EL89" s="2038"/>
      <c r="EM89" s="1910"/>
      <c r="EN89" s="715"/>
      <c r="EO89" s="715"/>
      <c r="EP89" s="715"/>
      <c r="EQ89" s="366"/>
      <c r="ER89" s="1713"/>
      <c r="ES89" s="1714"/>
      <c r="ET89" s="1714"/>
      <c r="EU89" s="1714"/>
      <c r="EV89" s="1715"/>
      <c r="EW89" s="2031"/>
      <c r="EX89" s="2031"/>
      <c r="EY89" s="2031"/>
      <c r="EZ89" s="593"/>
      <c r="FA89" s="2037"/>
      <c r="FB89" s="2031"/>
      <c r="FC89" s="2031"/>
      <c r="FD89" s="2036"/>
      <c r="FE89" s="2031"/>
      <c r="FF89" s="2031"/>
      <c r="FG89" s="2031"/>
      <c r="FH89" s="593"/>
      <c r="FI89" s="2039"/>
      <c r="FJ89" s="2040"/>
      <c r="FK89" s="2041"/>
      <c r="FL89" s="2041"/>
      <c r="FM89" s="693"/>
      <c r="FN89" s="2031"/>
      <c r="FO89" s="1914"/>
      <c r="FP89" s="1914"/>
      <c r="FQ89" s="1914"/>
      <c r="FR89" s="2032"/>
      <c r="FS89" s="1910"/>
      <c r="FT89" s="715"/>
      <c r="FU89" s="715"/>
      <c r="FV89" s="715"/>
      <c r="FW89" s="366"/>
      <c r="FX89" s="2037"/>
      <c r="FY89" s="1914"/>
      <c r="FZ89" s="1914"/>
      <c r="GA89" s="715"/>
      <c r="GB89" s="366"/>
      <c r="GC89" s="1899"/>
      <c r="GD89" s="1900"/>
      <c r="GE89" s="1900"/>
      <c r="GF89" s="715"/>
      <c r="GG89" s="366"/>
      <c r="GH89" s="1901"/>
      <c r="GI89" s="1824"/>
      <c r="GJ89" s="1824"/>
      <c r="GK89" s="715"/>
      <c r="GL89" s="366"/>
      <c r="GM89" s="1901"/>
      <c r="GN89" s="1824"/>
      <c r="GO89" s="1824"/>
      <c r="GP89" s="715"/>
      <c r="GQ89" s="366"/>
      <c r="GR89" s="2042"/>
      <c r="GS89" s="2043"/>
      <c r="GT89" s="2043"/>
      <c r="GU89" s="715"/>
      <c r="GV89" s="366"/>
      <c r="GW89" s="2042"/>
      <c r="GX89" s="2043"/>
      <c r="GY89" s="2043"/>
      <c r="GZ89" s="715"/>
      <c r="HA89" s="366"/>
      <c r="HB89" s="2042"/>
      <c r="HC89" s="2043"/>
      <c r="HD89" s="2043"/>
      <c r="HE89" s="715"/>
      <c r="HF89" s="366"/>
      <c r="HG89" s="2042"/>
      <c r="HH89" s="2043"/>
      <c r="HI89" s="2043"/>
      <c r="HJ89" s="1818"/>
      <c r="HK89" s="366"/>
      <c r="HL89" s="2042"/>
      <c r="HM89" s="2043"/>
      <c r="HN89" s="2043"/>
      <c r="HO89" s="715"/>
      <c r="HP89" s="366"/>
      <c r="HQ89" s="1905"/>
      <c r="HR89" s="1248"/>
      <c r="HS89" s="1248"/>
      <c r="HT89" s="1248"/>
      <c r="HU89" s="1826"/>
      <c r="HV89" s="1827"/>
      <c r="HW89" s="1089"/>
      <c r="HX89" s="1089"/>
      <c r="HY89" s="1089"/>
      <c r="HZ89" s="1906"/>
      <c r="IA89" s="1907"/>
      <c r="IB89" s="1908"/>
      <c r="IC89" s="1908"/>
      <c r="ID89" s="1909"/>
      <c r="IE89" s="1910"/>
      <c r="IF89" s="1911"/>
      <c r="IG89" s="1912"/>
      <c r="IH89" s="1909"/>
      <c r="II89" s="1835"/>
      <c r="IJ89" s="1836"/>
      <c r="IK89" s="1836"/>
      <c r="IL89" s="693"/>
      <c r="IM89" s="1913"/>
      <c r="IN89" s="1836"/>
      <c r="IO89" s="1836"/>
      <c r="IP89" s="1838"/>
      <c r="IQ89" s="1914"/>
      <c r="IR89" s="2044"/>
      <c r="IS89" s="715"/>
      <c r="IT89" s="715"/>
      <c r="IU89" s="1996"/>
      <c r="IV89" s="2045"/>
      <c r="IW89" s="1910"/>
      <c r="IX89" s="715"/>
      <c r="IY89" s="823"/>
      <c r="IZ89" s="1719"/>
      <c r="JA89" s="1721"/>
      <c r="JB89" s="2046"/>
      <c r="JC89" s="2047"/>
      <c r="JD89" s="2048"/>
      <c r="JE89" s="1719"/>
      <c r="JF89" s="1721"/>
      <c r="JG89" s="1847"/>
      <c r="JH89" s="1096"/>
      <c r="JI89" s="1096"/>
      <c r="JJ89" s="1756"/>
      <c r="JK89" s="1721"/>
      <c r="JL89" s="1927"/>
      <c r="JM89" s="1096"/>
      <c r="JN89" s="1096"/>
      <c r="JO89" s="823"/>
      <c r="JP89" s="1721"/>
      <c r="JQ89" s="1926"/>
      <c r="JR89" s="1982"/>
      <c r="JS89" s="1248"/>
      <c r="JT89" s="1996"/>
      <c r="JU89" s="1821"/>
      <c r="JV89" s="1988"/>
      <c r="JW89" s="2049"/>
      <c r="JX89" s="1850"/>
      <c r="JY89" s="823"/>
      <c r="JZ89" s="1721"/>
      <c r="KA89" s="1847"/>
      <c r="KB89" s="264"/>
      <c r="KC89" s="972"/>
      <c r="KD89" s="964"/>
      <c r="KE89" s="1848"/>
      <c r="KF89" s="1988"/>
      <c r="KG89" s="1850"/>
      <c r="KH89" s="2049"/>
      <c r="KI89" s="1719"/>
      <c r="KJ89" s="1721"/>
      <c r="KK89" s="1988"/>
      <c r="KL89" s="1850"/>
      <c r="KM89" s="2049"/>
      <c r="KN89" s="1851"/>
      <c r="KO89" s="1852"/>
      <c r="KP89" s="1823"/>
      <c r="KQ89" s="1982"/>
      <c r="KR89" s="1248"/>
      <c r="KS89" s="1996"/>
      <c r="KT89" s="1819"/>
      <c r="KU89" s="1853"/>
      <c r="KV89" s="264"/>
      <c r="KW89" s="264"/>
      <c r="KX89" s="264"/>
      <c r="KY89" s="75"/>
      <c r="KZ89" s="1857"/>
      <c r="LA89" s="358"/>
      <c r="LB89" s="358"/>
      <c r="LC89" s="358"/>
      <c r="LD89" s="151"/>
      <c r="LE89" s="1854"/>
      <c r="LF89" s="1855"/>
      <c r="LG89" s="1855"/>
      <c r="LH89" s="1856"/>
      <c r="LI89" s="1857"/>
      <c r="LJ89" s="1858"/>
      <c r="LK89" s="1854"/>
      <c r="LL89" s="1856"/>
      <c r="LM89" s="1859"/>
      <c r="LN89" s="1727"/>
      <c r="LO89" s="1727"/>
      <c r="LP89" s="151"/>
      <c r="LQ89" s="1860"/>
      <c r="LR89" s="1727"/>
      <c r="LS89" s="1727"/>
      <c r="LT89" s="1861"/>
      <c r="LV89" s="439"/>
      <c r="LW89" s="208"/>
      <c r="LX89" s="208"/>
      <c r="LY89" s="96"/>
      <c r="LZ89" s="78"/>
      <c r="MA89" s="1832"/>
      <c r="MB89" s="622"/>
      <c r="MC89" s="622"/>
      <c r="MD89" s="372"/>
      <c r="ME89" s="207"/>
      <c r="MF89" s="405"/>
      <c r="MG89" s="1575"/>
      <c r="MH89" s="1568"/>
      <c r="MI89" s="371"/>
      <c r="MJ89" s="157"/>
      <c r="MK89" s="354"/>
      <c r="ML89" s="208"/>
      <c r="MM89" s="358"/>
      <c r="MN89" s="371"/>
      <c r="MO89" s="157"/>
      <c r="MP89" s="1579"/>
      <c r="MQ89" s="264"/>
      <c r="MR89" s="264"/>
      <c r="MS89" s="264"/>
      <c r="MT89" s="597"/>
      <c r="MU89" s="209"/>
      <c r="MV89" s="208"/>
      <c r="MW89" s="208"/>
      <c r="MX89" s="208"/>
      <c r="MY89" s="655"/>
      <c r="MZ89" s="209"/>
      <c r="NA89" s="208"/>
      <c r="NB89" s="208"/>
      <c r="NC89" s="208"/>
      <c r="ND89" s="1313"/>
      <c r="NE89" s="209"/>
      <c r="NF89" s="208"/>
      <c r="NG89" s="208"/>
      <c r="NH89" s="208"/>
      <c r="NI89" s="1313"/>
      <c r="NJ89" s="209"/>
      <c r="NK89" s="208"/>
      <c r="NL89" s="208"/>
      <c r="NM89" s="208"/>
      <c r="NN89" s="1313"/>
      <c r="NO89" s="357"/>
      <c r="NP89" s="358"/>
      <c r="NQ89" s="359"/>
      <c r="NR89" s="208"/>
      <c r="NS89" s="1313"/>
      <c r="NT89" s="357"/>
      <c r="NU89" s="358"/>
      <c r="NV89" s="358"/>
      <c r="NW89" s="208"/>
      <c r="NX89" s="1313"/>
      <c r="NY89" s="357"/>
      <c r="NZ89" s="358"/>
      <c r="OA89" s="358"/>
      <c r="OB89" s="622"/>
      <c r="OC89" s="116"/>
      <c r="OD89" s="191"/>
      <c r="OE89" s="358"/>
      <c r="OF89" s="358"/>
      <c r="OG89" s="358"/>
      <c r="OH89" s="220"/>
      <c r="OI89" s="1863"/>
      <c r="OJ89" s="105"/>
      <c r="OK89" s="105"/>
      <c r="OL89" s="105"/>
      <c r="OM89" s="106"/>
      <c r="ON89" s="358"/>
      <c r="OO89" s="358"/>
      <c r="OP89" s="358"/>
      <c r="OQ89" s="359"/>
      <c r="OR89" s="169"/>
      <c r="OS89" s="686"/>
      <c r="OT89" s="146"/>
      <c r="OU89" s="146"/>
      <c r="OV89" s="1864"/>
      <c r="OW89" s="203"/>
      <c r="OX89" s="357">
        <f>(NO89+NT89+NY89)/3</f>
        <v>0</v>
      </c>
      <c r="OY89" s="358">
        <f t="shared" si="387"/>
        <v>0</v>
      </c>
      <c r="OZ89" s="358">
        <f t="shared" si="387"/>
        <v>0</v>
      </c>
      <c r="PA89" s="359">
        <f t="shared" si="387"/>
        <v>0</v>
      </c>
      <c r="PB89" s="114"/>
      <c r="PC89" s="79"/>
      <c r="PD89" s="439">
        <v>1</v>
      </c>
      <c r="PE89" s="208">
        <v>1683</v>
      </c>
      <c r="PF89" s="208">
        <v>2772</v>
      </c>
      <c r="PG89" s="96">
        <f>PF89-PE89</f>
        <v>1089</v>
      </c>
      <c r="PH89" s="78">
        <f>PG89/PF89</f>
        <v>0.39285714285714285</v>
      </c>
      <c r="PI89" s="401">
        <v>1</v>
      </c>
      <c r="PJ89" s="395">
        <v>25000</v>
      </c>
      <c r="PK89" s="395">
        <v>42000</v>
      </c>
      <c r="PL89" s="96">
        <f>PK89-PJ89</f>
        <v>17000</v>
      </c>
      <c r="PM89" s="78">
        <f t="shared" si="396"/>
        <v>0.40476190476190477</v>
      </c>
      <c r="PN89" s="439">
        <v>1</v>
      </c>
      <c r="PO89" s="208">
        <v>25000</v>
      </c>
      <c r="PP89" s="358">
        <v>42000</v>
      </c>
      <c r="PQ89" s="371">
        <f>PP89-PO89</f>
        <v>17000</v>
      </c>
      <c r="PR89" s="157">
        <f t="shared" si="397"/>
        <v>0.40476190476190477</v>
      </c>
      <c r="PS89" s="354">
        <v>1</v>
      </c>
      <c r="PT89" s="208">
        <v>25000</v>
      </c>
      <c r="PU89" s="358">
        <v>42000</v>
      </c>
      <c r="PV89" s="371">
        <f t="shared" si="398"/>
        <v>17000</v>
      </c>
      <c r="PW89" s="157">
        <f t="shared" si="399"/>
        <v>0.40476190476190477</v>
      </c>
      <c r="PX89" s="1579">
        <v>1</v>
      </c>
      <c r="PY89" s="264">
        <v>25000</v>
      </c>
      <c r="PZ89" s="264">
        <v>42000</v>
      </c>
      <c r="QA89" s="1248">
        <f t="shared" si="400"/>
        <v>17000</v>
      </c>
      <c r="QB89" s="597">
        <f t="shared" si="401"/>
        <v>0.40476190476190477</v>
      </c>
      <c r="QC89" s="209">
        <v>1</v>
      </c>
      <c r="QD89" s="208">
        <v>25000</v>
      </c>
      <c r="QE89" s="208">
        <v>42000</v>
      </c>
      <c r="QF89" s="208">
        <f t="shared" si="402"/>
        <v>17000</v>
      </c>
      <c r="QG89" s="655">
        <f t="shared" si="403"/>
        <v>0.40476190476190477</v>
      </c>
      <c r="QH89" s="439">
        <v>1</v>
      </c>
      <c r="QI89" s="208">
        <v>25000</v>
      </c>
      <c r="QJ89" s="208">
        <v>42000</v>
      </c>
      <c r="QK89" s="208">
        <f t="shared" si="404"/>
        <v>17000</v>
      </c>
      <c r="QL89" s="1313">
        <f t="shared" si="405"/>
        <v>0.40476190476190477</v>
      </c>
      <c r="QM89" s="439">
        <v>1</v>
      </c>
      <c r="QN89" s="208">
        <v>25000</v>
      </c>
      <c r="QO89" s="208">
        <v>42000</v>
      </c>
      <c r="QP89" s="208">
        <f t="shared" si="339"/>
        <v>17000</v>
      </c>
      <c r="QQ89" s="801">
        <f t="shared" si="340"/>
        <v>0.40476190476190477</v>
      </c>
      <c r="QR89" s="209">
        <v>1</v>
      </c>
      <c r="QS89" s="208">
        <v>25000</v>
      </c>
      <c r="QT89" s="208">
        <v>42000</v>
      </c>
      <c r="QU89" s="208">
        <f t="shared" si="341"/>
        <v>17000</v>
      </c>
      <c r="QV89" s="157">
        <f t="shared" si="406"/>
        <v>0.40476190476190477</v>
      </c>
      <c r="QW89" s="209">
        <v>1</v>
      </c>
      <c r="QX89" s="208">
        <v>25000</v>
      </c>
      <c r="QY89" s="208">
        <v>42000</v>
      </c>
      <c r="QZ89" s="208">
        <f t="shared" si="318"/>
        <v>17000</v>
      </c>
      <c r="RA89" s="2083">
        <f t="shared" si="407"/>
        <v>0.40476190476190477</v>
      </c>
      <c r="RB89" s="209">
        <v>1</v>
      </c>
      <c r="RC89" s="208">
        <v>25000</v>
      </c>
      <c r="RD89" s="208">
        <v>42000</v>
      </c>
      <c r="RE89" s="208">
        <f t="shared" si="343"/>
        <v>17000</v>
      </c>
      <c r="RF89" s="114">
        <f>RE89/RD89</f>
        <v>0.40476190476190477</v>
      </c>
      <c r="RG89" s="1857">
        <v>1</v>
      </c>
      <c r="RH89" s="208">
        <v>25000</v>
      </c>
      <c r="RI89" s="208">
        <v>42000</v>
      </c>
      <c r="RJ89" s="772">
        <f t="shared" si="369"/>
        <v>17000</v>
      </c>
      <c r="RK89" s="116">
        <f t="shared" si="345"/>
        <v>0.40476190476190477</v>
      </c>
      <c r="RL89" s="1567">
        <v>1</v>
      </c>
      <c r="RM89" s="1568">
        <f t="shared" si="408"/>
        <v>276683</v>
      </c>
      <c r="RN89" s="1568">
        <f t="shared" si="408"/>
        <v>464772</v>
      </c>
      <c r="RO89" s="1568">
        <f>RJ89+RE89+QZ89+QU89+QP89+QK89+QF89+QA89+PV89+PQ89+PL89+PG89</f>
        <v>188089</v>
      </c>
      <c r="RP89" s="220">
        <f t="shared" si="347"/>
        <v>0.40469090220581272</v>
      </c>
      <c r="RQ89" s="1863">
        <f>(PD89+PI89+PN89)/3</f>
        <v>1</v>
      </c>
      <c r="RR89" s="105">
        <f t="shared" si="388"/>
        <v>51683</v>
      </c>
      <c r="RS89" s="105">
        <f t="shared" si="388"/>
        <v>86772</v>
      </c>
      <c r="RT89" s="105">
        <f t="shared" si="388"/>
        <v>35089</v>
      </c>
      <c r="RU89" s="106">
        <f t="shared" si="409"/>
        <v>0.40438159775042642</v>
      </c>
      <c r="RV89" s="358">
        <v>1</v>
      </c>
      <c r="RW89" s="358">
        <f t="shared" si="410"/>
        <v>75000</v>
      </c>
      <c r="RX89" s="358">
        <f t="shared" si="410"/>
        <v>126000</v>
      </c>
      <c r="RY89" s="359">
        <f t="shared" si="410"/>
        <v>51000</v>
      </c>
      <c r="RZ89" s="169">
        <f t="shared" si="362"/>
        <v>0.40476190476190477</v>
      </c>
      <c r="SA89" s="686">
        <v>1</v>
      </c>
      <c r="SB89" s="146">
        <f t="shared" si="374"/>
        <v>75000</v>
      </c>
      <c r="SC89" s="146">
        <f t="shared" si="374"/>
        <v>126000</v>
      </c>
      <c r="SD89" s="1864">
        <f t="shared" si="374"/>
        <v>51000</v>
      </c>
      <c r="SE89" s="203">
        <f t="shared" si="370"/>
        <v>0.40476190476190477</v>
      </c>
      <c r="SF89" s="1567">
        <v>1</v>
      </c>
      <c r="SG89" s="358">
        <f t="shared" si="319"/>
        <v>75000</v>
      </c>
      <c r="SH89" s="358">
        <f t="shared" si="319"/>
        <v>126000</v>
      </c>
      <c r="SI89" s="359">
        <f t="shared" si="319"/>
        <v>51000</v>
      </c>
      <c r="SJ89" s="114">
        <f t="shared" si="294"/>
        <v>0.40476190476190477</v>
      </c>
      <c r="SL89" s="439">
        <v>1</v>
      </c>
      <c r="SM89" s="208">
        <v>25000</v>
      </c>
      <c r="SN89" s="208">
        <v>42000</v>
      </c>
      <c r="SO89" s="96">
        <f t="shared" si="264"/>
        <v>17000</v>
      </c>
      <c r="SP89" s="78">
        <f t="shared" si="375"/>
        <v>0.40476190476190477</v>
      </c>
      <c r="SQ89" s="401">
        <v>1</v>
      </c>
      <c r="SR89" s="395">
        <v>25000</v>
      </c>
      <c r="SS89" s="395">
        <v>42000</v>
      </c>
      <c r="ST89" s="96">
        <f t="shared" si="320"/>
        <v>17000</v>
      </c>
      <c r="SU89" s="222">
        <f t="shared" si="389"/>
        <v>0.40476190476190477</v>
      </c>
      <c r="SV89" s="439">
        <v>1</v>
      </c>
      <c r="SW89" s="208">
        <v>25000</v>
      </c>
      <c r="SX89" s="208">
        <v>42000</v>
      </c>
      <c r="SY89" s="372">
        <f t="shared" si="321"/>
        <v>17000</v>
      </c>
      <c r="SZ89" s="207">
        <f t="shared" si="363"/>
        <v>0.40476190476190477</v>
      </c>
      <c r="TA89" s="354">
        <v>1</v>
      </c>
      <c r="TB89" s="208">
        <v>32500</v>
      </c>
      <c r="TC89" s="994">
        <v>42000</v>
      </c>
      <c r="TD89" s="96">
        <f t="shared" si="280"/>
        <v>9500</v>
      </c>
      <c r="TE89" s="94">
        <f t="shared" si="295"/>
        <v>0.22619047619047619</v>
      </c>
      <c r="TF89" s="354">
        <v>1</v>
      </c>
      <c r="TG89" s="208">
        <v>32500</v>
      </c>
      <c r="TH89" s="208">
        <v>42000</v>
      </c>
      <c r="TI89" s="395">
        <f>TH89-TG89</f>
        <v>9500</v>
      </c>
      <c r="TJ89" s="114">
        <f t="shared" si="296"/>
        <v>0.22619047619047619</v>
      </c>
      <c r="TK89" s="209">
        <v>1</v>
      </c>
      <c r="TL89" s="208">
        <v>32500</v>
      </c>
      <c r="TM89" s="208">
        <v>42000</v>
      </c>
      <c r="TN89" s="395">
        <f t="shared" si="351"/>
        <v>9500</v>
      </c>
      <c r="TO89" s="114">
        <f t="shared" si="364"/>
        <v>0.22619047619047619</v>
      </c>
      <c r="TP89" s="1574">
        <v>1</v>
      </c>
      <c r="TQ89" s="208">
        <v>32500</v>
      </c>
      <c r="TR89" s="208">
        <v>42000</v>
      </c>
      <c r="TS89" s="994">
        <f t="shared" si="352"/>
        <v>9500</v>
      </c>
      <c r="TT89" s="114">
        <f t="shared" si="365"/>
        <v>0.22619047619047619</v>
      </c>
      <c r="TU89" s="4432">
        <v>1</v>
      </c>
      <c r="TV89" s="208">
        <v>32500</v>
      </c>
      <c r="TW89" s="208">
        <v>42000</v>
      </c>
      <c r="TX89" s="994">
        <f t="shared" si="353"/>
        <v>9500</v>
      </c>
      <c r="TY89" s="116">
        <f t="shared" si="366"/>
        <v>0.22619047619047619</v>
      </c>
      <c r="TZ89" s="209">
        <v>1</v>
      </c>
      <c r="UA89" s="208">
        <v>32500</v>
      </c>
      <c r="UB89" s="208">
        <v>42000</v>
      </c>
      <c r="UC89" s="994">
        <f t="shared" si="354"/>
        <v>9500</v>
      </c>
      <c r="UD89" s="116">
        <f t="shared" si="395"/>
        <v>0.22619047619047619</v>
      </c>
      <c r="UE89" s="1868">
        <v>1</v>
      </c>
      <c r="UF89" s="1575">
        <v>32500</v>
      </c>
      <c r="UG89" s="1575">
        <v>42000</v>
      </c>
      <c r="UH89" s="1575">
        <f t="shared" si="322"/>
        <v>9500</v>
      </c>
      <c r="UI89" s="6495">
        <f t="shared" si="367"/>
        <v>0.22619047619047619</v>
      </c>
      <c r="UJ89" s="209"/>
      <c r="UK89" s="208"/>
      <c r="UL89" s="208"/>
      <c r="UM89" s="208">
        <f t="shared" si="355"/>
        <v>0</v>
      </c>
      <c r="UN89" s="114" t="e">
        <f t="shared" si="411"/>
        <v>#DIV/0!</v>
      </c>
      <c r="UO89" s="1567"/>
      <c r="UP89" s="1568"/>
      <c r="UQ89" s="1568"/>
      <c r="UR89" s="1873">
        <f t="shared" si="323"/>
        <v>0</v>
      </c>
      <c r="US89" s="116" t="e">
        <f t="shared" si="412"/>
        <v>#DIV/0!</v>
      </c>
      <c r="UT89" s="1567"/>
      <c r="UU89" s="358">
        <f t="shared" si="371"/>
        <v>302500</v>
      </c>
      <c r="UV89" s="358">
        <f t="shared" si="371"/>
        <v>420000</v>
      </c>
      <c r="UW89" s="358">
        <f t="shared" si="371"/>
        <v>117500</v>
      </c>
      <c r="UX89" s="220">
        <f t="shared" si="358"/>
        <v>0.27976190476190477</v>
      </c>
      <c r="UY89" s="1863">
        <f t="shared" si="324"/>
        <v>1</v>
      </c>
      <c r="UZ89" s="105">
        <f t="shared" si="359"/>
        <v>75000</v>
      </c>
      <c r="VA89" s="105">
        <f t="shared" si="359"/>
        <v>126000</v>
      </c>
      <c r="VB89" s="105">
        <f t="shared" si="359"/>
        <v>51000</v>
      </c>
      <c r="VC89" s="106">
        <f t="shared" si="325"/>
        <v>0.40476190476190477</v>
      </c>
      <c r="VD89" s="358"/>
      <c r="VE89" s="358">
        <f t="shared" si="326"/>
        <v>97500</v>
      </c>
      <c r="VF89" s="358">
        <f t="shared" si="326"/>
        <v>126000</v>
      </c>
      <c r="VG89" s="359">
        <f t="shared" si="326"/>
        <v>28500</v>
      </c>
      <c r="VH89" s="169">
        <f t="shared" si="372"/>
        <v>0.22619047619047619</v>
      </c>
      <c r="VI89" s="686"/>
      <c r="VJ89" s="146">
        <f t="shared" si="373"/>
        <v>97500</v>
      </c>
      <c r="VK89" s="146">
        <f t="shared" si="360"/>
        <v>126000</v>
      </c>
      <c r="VL89" s="1864">
        <f t="shared" si="360"/>
        <v>28500</v>
      </c>
      <c r="VM89" s="203">
        <f t="shared" si="413"/>
        <v>0.22619047619047619</v>
      </c>
      <c r="VN89" s="1567"/>
      <c r="VO89" s="358">
        <f t="shared" si="368"/>
        <v>32500</v>
      </c>
      <c r="VP89" s="358">
        <f t="shared" si="361"/>
        <v>42000</v>
      </c>
      <c r="VQ89" s="359">
        <f t="shared" si="361"/>
        <v>9500</v>
      </c>
      <c r="VR89" s="114">
        <f t="shared" si="414"/>
        <v>0.22619047619047619</v>
      </c>
    </row>
    <row r="90" spans="1:590" s="1193" customFormat="1" ht="13.45" x14ac:dyDescent="0.3">
      <c r="A90" s="1297"/>
      <c r="B90" s="1773" t="s">
        <v>53</v>
      </c>
      <c r="C90" s="2636" t="s">
        <v>644</v>
      </c>
      <c r="D90" s="2277" t="s">
        <v>313</v>
      </c>
      <c r="E90" s="1993">
        <v>45292</v>
      </c>
      <c r="F90" s="1993">
        <v>45747</v>
      </c>
      <c r="G90" s="1994" t="s">
        <v>959</v>
      </c>
      <c r="H90" s="2031"/>
      <c r="I90" s="1914"/>
      <c r="J90" s="1914"/>
      <c r="K90" s="1914"/>
      <c r="L90" s="593"/>
      <c r="M90" s="2031"/>
      <c r="N90" s="1914"/>
      <c r="O90" s="1914"/>
      <c r="P90" s="1914"/>
      <c r="Q90" s="593"/>
      <c r="R90" s="2031"/>
      <c r="S90" s="1914"/>
      <c r="T90" s="1914"/>
      <c r="U90" s="1914"/>
      <c r="V90" s="593"/>
      <c r="W90" s="2031"/>
      <c r="X90" s="1914"/>
      <c r="Y90" s="1914"/>
      <c r="Z90" s="1914"/>
      <c r="AA90" s="2032"/>
      <c r="AB90" s="2031"/>
      <c r="AC90" s="1914"/>
      <c r="AD90" s="1914"/>
      <c r="AE90" s="1914"/>
      <c r="AF90" s="2032"/>
      <c r="AG90" s="1914"/>
      <c r="AH90" s="1914"/>
      <c r="AI90" s="1914"/>
      <c r="AJ90" s="1914"/>
      <c r="AK90" s="593"/>
      <c r="AL90" s="1914"/>
      <c r="AM90" s="1914"/>
      <c r="AN90" s="1914"/>
      <c r="AO90" s="1914"/>
      <c r="AP90" s="593"/>
      <c r="AQ90" s="1914"/>
      <c r="AR90" s="1914"/>
      <c r="AS90" s="1914"/>
      <c r="AT90" s="1914"/>
      <c r="AU90" s="593"/>
      <c r="AV90" s="2033"/>
      <c r="AW90" s="1914"/>
      <c r="AX90" s="1914"/>
      <c r="AY90" s="1914"/>
      <c r="AZ90" s="2032"/>
      <c r="BA90" s="2033"/>
      <c r="BB90" s="1914"/>
      <c r="BC90" s="1914"/>
      <c r="BD90" s="1914"/>
      <c r="BE90" s="2032"/>
      <c r="BF90" s="2033"/>
      <c r="BG90" s="1914"/>
      <c r="BH90" s="1914"/>
      <c r="BI90" s="1914"/>
      <c r="BJ90" s="2032"/>
      <c r="BK90" s="2033"/>
      <c r="BL90" s="1914"/>
      <c r="BM90" s="1914"/>
      <c r="BN90" s="1914"/>
      <c r="BO90" s="2032"/>
      <c r="BP90" s="2034"/>
      <c r="BQ90" s="1914"/>
      <c r="BR90" s="1914"/>
      <c r="BS90" s="1914"/>
      <c r="BT90" s="2035"/>
      <c r="BU90" s="1914"/>
      <c r="BV90" s="1914"/>
      <c r="BW90" s="2036"/>
      <c r="BX90" s="2035"/>
      <c r="BY90" s="1914"/>
      <c r="BZ90" s="1914"/>
      <c r="CA90" s="2010"/>
      <c r="CB90" s="1914"/>
      <c r="CC90" s="1914"/>
      <c r="CD90" s="1914"/>
      <c r="CE90" s="1914"/>
      <c r="CF90" s="2035"/>
      <c r="CG90" s="1914"/>
      <c r="CH90" s="1914"/>
      <c r="CI90" s="2010"/>
      <c r="CJ90" s="2037"/>
      <c r="CK90" s="1914"/>
      <c r="CL90" s="1914"/>
      <c r="CM90" s="1914"/>
      <c r="CN90" s="2036"/>
      <c r="CO90" s="2037"/>
      <c r="CP90" s="2031"/>
      <c r="CQ90" s="2031"/>
      <c r="CR90" s="2031"/>
      <c r="CS90" s="2036"/>
      <c r="CT90" s="2037"/>
      <c r="CU90" s="1914"/>
      <c r="CV90" s="1914"/>
      <c r="CW90" s="1914"/>
      <c r="CX90" s="2036"/>
      <c r="CY90" s="2037"/>
      <c r="CZ90" s="1914"/>
      <c r="DA90" s="1914"/>
      <c r="DB90" s="1914"/>
      <c r="DC90" s="2036"/>
      <c r="DD90" s="2037"/>
      <c r="DE90" s="1914"/>
      <c r="DF90" s="1914"/>
      <c r="DG90" s="1914"/>
      <c r="DH90" s="2038"/>
      <c r="DI90" s="2037"/>
      <c r="DJ90" s="1914"/>
      <c r="DK90" s="1914"/>
      <c r="DL90" s="1914"/>
      <c r="DM90" s="2038"/>
      <c r="DN90" s="2037"/>
      <c r="DO90" s="1914"/>
      <c r="DP90" s="1914"/>
      <c r="DQ90" s="1914"/>
      <c r="DR90" s="2038"/>
      <c r="DS90" s="2037"/>
      <c r="DT90" s="1914"/>
      <c r="DU90" s="1914"/>
      <c r="DV90" s="1914"/>
      <c r="DW90" s="2038"/>
      <c r="DX90" s="2037"/>
      <c r="DY90" s="1914"/>
      <c r="DZ90" s="1914"/>
      <c r="EA90" s="1914"/>
      <c r="EB90" s="2038"/>
      <c r="EC90" s="2037"/>
      <c r="ED90" s="1914"/>
      <c r="EE90" s="1914"/>
      <c r="EF90" s="1914"/>
      <c r="EG90" s="2038"/>
      <c r="EH90" s="2037"/>
      <c r="EI90" s="1914"/>
      <c r="EJ90" s="1914"/>
      <c r="EK90" s="1914"/>
      <c r="EL90" s="2038"/>
      <c r="EM90" s="1910"/>
      <c r="EN90" s="715"/>
      <c r="EO90" s="715"/>
      <c r="EP90" s="715"/>
      <c r="EQ90" s="366"/>
      <c r="ER90" s="1713"/>
      <c r="ES90" s="1714"/>
      <c r="ET90" s="1714"/>
      <c r="EU90" s="1714"/>
      <c r="EV90" s="1715"/>
      <c r="EW90" s="2031"/>
      <c r="EX90" s="2031"/>
      <c r="EY90" s="2031"/>
      <c r="EZ90" s="593"/>
      <c r="FA90" s="2037"/>
      <c r="FB90" s="2031"/>
      <c r="FC90" s="2031"/>
      <c r="FD90" s="2036"/>
      <c r="FE90" s="2031"/>
      <c r="FF90" s="2031"/>
      <c r="FG90" s="2031"/>
      <c r="FH90" s="593"/>
      <c r="FI90" s="2039"/>
      <c r="FJ90" s="2040"/>
      <c r="FK90" s="2041"/>
      <c r="FL90" s="2041"/>
      <c r="FM90" s="693"/>
      <c r="FN90" s="2031"/>
      <c r="FO90" s="1914"/>
      <c r="FP90" s="1914"/>
      <c r="FQ90" s="1914"/>
      <c r="FR90" s="2032"/>
      <c r="FS90" s="1910"/>
      <c r="FT90" s="715"/>
      <c r="FU90" s="715"/>
      <c r="FV90" s="715"/>
      <c r="FW90" s="366"/>
      <c r="FX90" s="2037"/>
      <c r="FY90" s="1914"/>
      <c r="FZ90" s="1914"/>
      <c r="GA90" s="715"/>
      <c r="GB90" s="366"/>
      <c r="GC90" s="1899"/>
      <c r="GD90" s="1900"/>
      <c r="GE90" s="1900"/>
      <c r="GF90" s="715"/>
      <c r="GG90" s="366"/>
      <c r="GH90" s="1901"/>
      <c r="GI90" s="1824"/>
      <c r="GJ90" s="1824"/>
      <c r="GK90" s="715"/>
      <c r="GL90" s="366"/>
      <c r="GM90" s="1901"/>
      <c r="GN90" s="1824"/>
      <c r="GO90" s="1824"/>
      <c r="GP90" s="715"/>
      <c r="GQ90" s="366"/>
      <c r="GR90" s="2042"/>
      <c r="GS90" s="2043"/>
      <c r="GT90" s="2043"/>
      <c r="GU90" s="715"/>
      <c r="GV90" s="366"/>
      <c r="GW90" s="2042"/>
      <c r="GX90" s="2043"/>
      <c r="GY90" s="2043"/>
      <c r="GZ90" s="715"/>
      <c r="HA90" s="366"/>
      <c r="HB90" s="2042"/>
      <c r="HC90" s="2043"/>
      <c r="HD90" s="2043"/>
      <c r="HE90" s="715"/>
      <c r="HF90" s="366"/>
      <c r="HG90" s="2042"/>
      <c r="HH90" s="2043"/>
      <c r="HI90" s="2043"/>
      <c r="HJ90" s="1818"/>
      <c r="HK90" s="366"/>
      <c r="HL90" s="2042"/>
      <c r="HM90" s="2043"/>
      <c r="HN90" s="2043"/>
      <c r="HO90" s="715"/>
      <c r="HP90" s="366"/>
      <c r="HQ90" s="1905"/>
      <c r="HR90" s="1248"/>
      <c r="HS90" s="1248"/>
      <c r="HT90" s="1248"/>
      <c r="HU90" s="1826"/>
      <c r="HV90" s="1827"/>
      <c r="HW90" s="1089"/>
      <c r="HX90" s="1089"/>
      <c r="HY90" s="1089"/>
      <c r="HZ90" s="1906"/>
      <c r="IA90" s="1907"/>
      <c r="IB90" s="1908"/>
      <c r="IC90" s="1908"/>
      <c r="ID90" s="1909"/>
      <c r="IE90" s="1910"/>
      <c r="IF90" s="1911"/>
      <c r="IG90" s="1912"/>
      <c r="IH90" s="1909"/>
      <c r="II90" s="1835"/>
      <c r="IJ90" s="1836"/>
      <c r="IK90" s="1836"/>
      <c r="IL90" s="693"/>
      <c r="IM90" s="1913"/>
      <c r="IN90" s="1836"/>
      <c r="IO90" s="1836"/>
      <c r="IP90" s="1838"/>
      <c r="IQ90" s="1914"/>
      <c r="IR90" s="2044"/>
      <c r="IS90" s="715"/>
      <c r="IT90" s="715"/>
      <c r="IU90" s="1996"/>
      <c r="IV90" s="2045"/>
      <c r="IW90" s="1910"/>
      <c r="IX90" s="715"/>
      <c r="IY90" s="823"/>
      <c r="IZ90" s="1719"/>
      <c r="JA90" s="1721"/>
      <c r="JB90" s="2046"/>
      <c r="JC90" s="2047"/>
      <c r="JD90" s="2048"/>
      <c r="JE90" s="1719"/>
      <c r="JF90" s="1721"/>
      <c r="JG90" s="1847"/>
      <c r="JH90" s="1096"/>
      <c r="JI90" s="1096"/>
      <c r="JJ90" s="1756"/>
      <c r="JK90" s="1721"/>
      <c r="JL90" s="1927"/>
      <c r="JM90" s="1096"/>
      <c r="JN90" s="1096"/>
      <c r="JO90" s="823"/>
      <c r="JP90" s="1721"/>
      <c r="JQ90" s="1926"/>
      <c r="JR90" s="1982"/>
      <c r="JS90" s="1248"/>
      <c r="JT90" s="1996"/>
      <c r="JU90" s="1821"/>
      <c r="JV90" s="1988"/>
      <c r="JW90" s="2049"/>
      <c r="JX90" s="1850"/>
      <c r="JY90" s="823"/>
      <c r="JZ90" s="1721"/>
      <c r="KA90" s="1847"/>
      <c r="KB90" s="264"/>
      <c r="KC90" s="972"/>
      <c r="KD90" s="964"/>
      <c r="KE90" s="1848"/>
      <c r="KF90" s="1988"/>
      <c r="KG90" s="1850"/>
      <c r="KH90" s="2049"/>
      <c r="KI90" s="1719"/>
      <c r="KJ90" s="1721"/>
      <c r="KK90" s="1988"/>
      <c r="KL90" s="1850"/>
      <c r="KM90" s="2049"/>
      <c r="KN90" s="1851"/>
      <c r="KO90" s="1852"/>
      <c r="KP90" s="1823"/>
      <c r="KQ90" s="1982"/>
      <c r="KR90" s="1248"/>
      <c r="KS90" s="1996"/>
      <c r="KT90" s="1819"/>
      <c r="KU90" s="1853"/>
      <c r="KV90" s="264"/>
      <c r="KW90" s="264"/>
      <c r="KX90" s="264"/>
      <c r="KY90" s="75"/>
      <c r="KZ90" s="1857"/>
      <c r="LA90" s="358"/>
      <c r="LB90" s="358"/>
      <c r="LC90" s="358"/>
      <c r="LD90" s="151"/>
      <c r="LE90" s="1854"/>
      <c r="LF90" s="1855"/>
      <c r="LG90" s="1855"/>
      <c r="LH90" s="1856"/>
      <c r="LI90" s="1857"/>
      <c r="LJ90" s="1858"/>
      <c r="LK90" s="1854"/>
      <c r="LL90" s="1856"/>
      <c r="LM90" s="1859"/>
      <c r="LN90" s="1727"/>
      <c r="LO90" s="1727"/>
      <c r="LP90" s="151"/>
      <c r="LQ90" s="1860"/>
      <c r="LR90" s="1727"/>
      <c r="LS90" s="1727"/>
      <c r="LT90" s="1861"/>
      <c r="LV90" s="439"/>
      <c r="LW90" s="208"/>
      <c r="LX90" s="208"/>
      <c r="LY90" s="96"/>
      <c r="LZ90" s="78"/>
      <c r="MA90" s="1832"/>
      <c r="MB90" s="622"/>
      <c r="MC90" s="622"/>
      <c r="MD90" s="372"/>
      <c r="ME90" s="207"/>
      <c r="MF90" s="405"/>
      <c r="MG90" s="1575"/>
      <c r="MH90" s="1568"/>
      <c r="MI90" s="371"/>
      <c r="MJ90" s="157"/>
      <c r="MK90" s="354"/>
      <c r="ML90" s="208"/>
      <c r="MM90" s="358"/>
      <c r="MN90" s="371"/>
      <c r="MO90" s="157"/>
      <c r="MP90" s="1579"/>
      <c r="MQ90" s="264"/>
      <c r="MR90" s="264"/>
      <c r="MS90" s="264"/>
      <c r="MT90" s="597"/>
      <c r="MU90" s="209"/>
      <c r="MV90" s="208"/>
      <c r="MW90" s="208"/>
      <c r="MX90" s="208"/>
      <c r="MY90" s="655"/>
      <c r="MZ90" s="209"/>
      <c r="NA90" s="208"/>
      <c r="NB90" s="208"/>
      <c r="NC90" s="208"/>
      <c r="ND90" s="1313"/>
      <c r="NE90" s="209"/>
      <c r="NF90" s="208"/>
      <c r="NG90" s="208"/>
      <c r="NH90" s="208"/>
      <c r="NI90" s="1313"/>
      <c r="NJ90" s="209"/>
      <c r="NK90" s="208"/>
      <c r="NL90" s="208"/>
      <c r="NM90" s="208"/>
      <c r="NN90" s="1313"/>
      <c r="NO90" s="357"/>
      <c r="NP90" s="358"/>
      <c r="NQ90" s="359"/>
      <c r="NR90" s="208"/>
      <c r="NS90" s="1313"/>
      <c r="NT90" s="357"/>
      <c r="NU90" s="358"/>
      <c r="NV90" s="358"/>
      <c r="NW90" s="208"/>
      <c r="NX90" s="1313"/>
      <c r="NY90" s="357"/>
      <c r="NZ90" s="358"/>
      <c r="OA90" s="358"/>
      <c r="OB90" s="622"/>
      <c r="OC90" s="116"/>
      <c r="OD90" s="191"/>
      <c r="OE90" s="358"/>
      <c r="OF90" s="358"/>
      <c r="OG90" s="358"/>
      <c r="OH90" s="220"/>
      <c r="OI90" s="1863"/>
      <c r="OJ90" s="105"/>
      <c r="OK90" s="105"/>
      <c r="OL90" s="105"/>
      <c r="OM90" s="106"/>
      <c r="ON90" s="358"/>
      <c r="OO90" s="358"/>
      <c r="OP90" s="358"/>
      <c r="OQ90" s="359"/>
      <c r="OR90" s="169"/>
      <c r="OS90" s="686"/>
      <c r="OT90" s="146"/>
      <c r="OU90" s="146"/>
      <c r="OV90" s="1864"/>
      <c r="OW90" s="203"/>
      <c r="OX90" s="357"/>
      <c r="OY90" s="358"/>
      <c r="OZ90" s="358"/>
      <c r="PA90" s="359"/>
      <c r="PB90" s="114"/>
      <c r="PC90" s="79"/>
      <c r="PD90" s="439"/>
      <c r="PE90" s="208"/>
      <c r="PF90" s="208"/>
      <c r="PG90" s="96"/>
      <c r="PH90" s="78"/>
      <c r="PI90" s="401"/>
      <c r="PJ90" s="395"/>
      <c r="PK90" s="395"/>
      <c r="PL90" s="96"/>
      <c r="PM90" s="78"/>
      <c r="PN90" s="439"/>
      <c r="PO90" s="208"/>
      <c r="PP90" s="358"/>
      <c r="PQ90" s="371"/>
      <c r="PR90" s="157"/>
      <c r="PS90" s="354"/>
      <c r="PT90" s="208"/>
      <c r="PU90" s="358"/>
      <c r="PV90" s="371"/>
      <c r="PW90" s="157"/>
      <c r="PX90" s="1579"/>
      <c r="PY90" s="264"/>
      <c r="PZ90" s="264"/>
      <c r="QA90" s="1248"/>
      <c r="QB90" s="597"/>
      <c r="QC90" s="209"/>
      <c r="QD90" s="208"/>
      <c r="QE90" s="208"/>
      <c r="QF90" s="208"/>
      <c r="QG90" s="655"/>
      <c r="QH90" s="439"/>
      <c r="QI90" s="208"/>
      <c r="QJ90" s="208"/>
      <c r="QK90" s="208"/>
      <c r="QL90" s="1313"/>
      <c r="QM90" s="439"/>
      <c r="QN90" s="208"/>
      <c r="QO90" s="208"/>
      <c r="QP90" s="208"/>
      <c r="QQ90" s="801"/>
      <c r="QR90" s="209"/>
      <c r="QS90" s="208"/>
      <c r="QT90" s="208"/>
      <c r="QU90" s="208"/>
      <c r="QV90" s="157"/>
      <c r="QW90" s="209"/>
      <c r="QX90" s="208"/>
      <c r="QY90" s="208"/>
      <c r="QZ90" s="208"/>
      <c r="RA90" s="2083"/>
      <c r="RB90" s="209"/>
      <c r="RC90" s="208"/>
      <c r="RD90" s="208"/>
      <c r="RE90" s="208"/>
      <c r="RF90" s="114"/>
      <c r="RG90" s="1857">
        <v>3</v>
      </c>
      <c r="RH90" s="208">
        <v>69812</v>
      </c>
      <c r="RI90" s="208">
        <v>107325</v>
      </c>
      <c r="RJ90" s="772">
        <f t="shared" si="369"/>
        <v>37513</v>
      </c>
      <c r="RK90" s="116"/>
      <c r="RL90" s="1567">
        <v>3</v>
      </c>
      <c r="RM90" s="1568">
        <f t="shared" si="408"/>
        <v>69812</v>
      </c>
      <c r="RN90" s="1568">
        <f t="shared" si="408"/>
        <v>107325</v>
      </c>
      <c r="RO90" s="1568">
        <f t="shared" si="408"/>
        <v>37513</v>
      </c>
      <c r="RP90" s="220">
        <f t="shared" si="347"/>
        <v>0.34952713720009315</v>
      </c>
      <c r="RQ90" s="1863"/>
      <c r="RR90" s="105"/>
      <c r="RS90" s="105"/>
      <c r="RT90" s="105"/>
      <c r="RU90" s="106"/>
      <c r="RV90" s="358"/>
      <c r="RW90" s="358"/>
      <c r="RX90" s="358"/>
      <c r="RY90" s="359"/>
      <c r="RZ90" s="169"/>
      <c r="SA90" s="686"/>
      <c r="SB90" s="146"/>
      <c r="SC90" s="146"/>
      <c r="SD90" s="1864"/>
      <c r="SE90" s="203"/>
      <c r="SF90" s="1567">
        <v>3</v>
      </c>
      <c r="SG90" s="358">
        <f t="shared" ref="SG90:SI125" si="421">QX90+RC90+RH90</f>
        <v>69812</v>
      </c>
      <c r="SH90" s="358">
        <f t="shared" si="421"/>
        <v>107325</v>
      </c>
      <c r="SI90" s="359">
        <f t="shared" si="421"/>
        <v>37513</v>
      </c>
      <c r="SJ90" s="114">
        <f t="shared" si="294"/>
        <v>0.34952713720009315</v>
      </c>
      <c r="SL90" s="439">
        <v>3</v>
      </c>
      <c r="SM90" s="208">
        <v>89167</v>
      </c>
      <c r="SN90" s="208">
        <v>135000</v>
      </c>
      <c r="SO90" s="96">
        <f t="shared" si="264"/>
        <v>45833</v>
      </c>
      <c r="SP90" s="78">
        <f t="shared" si="375"/>
        <v>0.3395037037037037</v>
      </c>
      <c r="SQ90" s="401">
        <v>3</v>
      </c>
      <c r="SR90" s="395">
        <v>89167</v>
      </c>
      <c r="SS90" s="395">
        <v>135000</v>
      </c>
      <c r="ST90" s="115">
        <f t="shared" si="320"/>
        <v>45833</v>
      </c>
      <c r="SU90" s="1498">
        <f t="shared" si="389"/>
        <v>0.3395037037037037</v>
      </c>
      <c r="SV90" s="401">
        <v>4</v>
      </c>
      <c r="SW90" s="395">
        <v>149843</v>
      </c>
      <c r="SX90" s="622">
        <v>244725</v>
      </c>
      <c r="SY90" s="372">
        <f t="shared" si="321"/>
        <v>94882</v>
      </c>
      <c r="SZ90" s="207">
        <f t="shared" si="363"/>
        <v>0.38770865256921033</v>
      </c>
      <c r="TA90" s="354" t="s">
        <v>833</v>
      </c>
      <c r="TB90" s="208">
        <v>148075</v>
      </c>
      <c r="TC90" s="358">
        <v>244725</v>
      </c>
      <c r="TD90" s="96">
        <f t="shared" si="280"/>
        <v>96650</v>
      </c>
      <c r="TE90" s="94">
        <f t="shared" si="295"/>
        <v>0.3949330881601798</v>
      </c>
      <c r="TF90" s="1574">
        <v>4</v>
      </c>
      <c r="TG90" s="208">
        <v>149885</v>
      </c>
      <c r="TH90" s="208">
        <v>244725</v>
      </c>
      <c r="TI90" s="395">
        <f t="shared" ref="TI90:TI95" si="422">TH90-TG90</f>
        <v>94840</v>
      </c>
      <c r="TJ90" s="114">
        <f t="shared" si="296"/>
        <v>0.38753703136173256</v>
      </c>
      <c r="TK90" s="209">
        <v>4</v>
      </c>
      <c r="TL90" s="208">
        <v>150731</v>
      </c>
      <c r="TM90" s="208">
        <v>244725</v>
      </c>
      <c r="TN90" s="395">
        <f t="shared" si="351"/>
        <v>93994</v>
      </c>
      <c r="TO90" s="114">
        <f t="shared" si="364"/>
        <v>0.38408008989682296</v>
      </c>
      <c r="TP90" s="4432">
        <v>4</v>
      </c>
      <c r="TQ90" s="208">
        <v>149885</v>
      </c>
      <c r="TR90" s="208">
        <v>244725</v>
      </c>
      <c r="TS90" s="994">
        <f t="shared" si="352"/>
        <v>94840</v>
      </c>
      <c r="TT90" s="114">
        <f t="shared" si="365"/>
        <v>0.38753703136173256</v>
      </c>
      <c r="TU90" s="4432">
        <v>5</v>
      </c>
      <c r="TV90" s="208">
        <v>205810</v>
      </c>
      <c r="TW90" s="208">
        <v>307140</v>
      </c>
      <c r="TX90" s="994">
        <f t="shared" si="353"/>
        <v>101330</v>
      </c>
      <c r="TY90" s="116">
        <f t="shared" si="366"/>
        <v>0.32991469688090119</v>
      </c>
      <c r="TZ90" s="209">
        <v>5</v>
      </c>
      <c r="UA90" s="208">
        <v>245722</v>
      </c>
      <c r="UB90" s="208">
        <v>354735</v>
      </c>
      <c r="UC90" s="994">
        <f t="shared" si="354"/>
        <v>109013</v>
      </c>
      <c r="UD90" s="116">
        <f t="shared" si="395"/>
        <v>0.30730827237233427</v>
      </c>
      <c r="UE90" s="1868">
        <v>6</v>
      </c>
      <c r="UF90" s="1575">
        <v>268768</v>
      </c>
      <c r="UG90" s="1575">
        <v>370125</v>
      </c>
      <c r="UH90" s="1575">
        <f t="shared" si="322"/>
        <v>101357</v>
      </c>
      <c r="UI90" s="6495">
        <f t="shared" si="367"/>
        <v>0.27384532252617361</v>
      </c>
      <c r="UJ90" s="209"/>
      <c r="UK90" s="208"/>
      <c r="UL90" s="208"/>
      <c r="UM90" s="208"/>
      <c r="UN90" s="114"/>
      <c r="UO90" s="1567"/>
      <c r="UP90" s="1568"/>
      <c r="UQ90" s="1568"/>
      <c r="UR90" s="1873">
        <f t="shared" si="323"/>
        <v>0</v>
      </c>
      <c r="US90" s="116"/>
      <c r="UT90" s="1567"/>
      <c r="UU90" s="358">
        <f t="shared" si="371"/>
        <v>1647053</v>
      </c>
      <c r="UV90" s="358">
        <f t="shared" si="371"/>
        <v>2525625</v>
      </c>
      <c r="UW90" s="358">
        <f t="shared" si="371"/>
        <v>878572</v>
      </c>
      <c r="UX90" s="220">
        <f t="shared" si="358"/>
        <v>0.3478632021776788</v>
      </c>
      <c r="UY90" s="1863">
        <f t="shared" si="324"/>
        <v>3.3333333333333335</v>
      </c>
      <c r="UZ90" s="105">
        <f t="shared" si="359"/>
        <v>328177</v>
      </c>
      <c r="VA90" s="105">
        <f t="shared" si="359"/>
        <v>514725</v>
      </c>
      <c r="VB90" s="105">
        <f t="shared" si="359"/>
        <v>186548</v>
      </c>
      <c r="VC90" s="106">
        <f t="shared" si="325"/>
        <v>0.36242265287289327</v>
      </c>
      <c r="VD90" s="358"/>
      <c r="VE90" s="358">
        <f t="shared" ref="VE90:VG125" si="423">TB90+TG90+TL90</f>
        <v>448691</v>
      </c>
      <c r="VF90" s="358">
        <f t="shared" si="423"/>
        <v>734175</v>
      </c>
      <c r="VG90" s="359">
        <f t="shared" si="423"/>
        <v>285484</v>
      </c>
      <c r="VH90" s="169">
        <f t="shared" si="372"/>
        <v>0.38885006980624509</v>
      </c>
      <c r="VI90" s="686"/>
      <c r="VJ90" s="146">
        <f t="shared" si="373"/>
        <v>601417</v>
      </c>
      <c r="VK90" s="146">
        <f t="shared" si="360"/>
        <v>906600</v>
      </c>
      <c r="VL90" s="1864">
        <f t="shared" si="360"/>
        <v>305183</v>
      </c>
      <c r="VM90" s="203"/>
      <c r="VN90" s="1567"/>
      <c r="VO90" s="358">
        <f t="shared" si="368"/>
        <v>268768</v>
      </c>
      <c r="VP90" s="358">
        <f t="shared" si="361"/>
        <v>370125</v>
      </c>
      <c r="VQ90" s="359">
        <f t="shared" si="361"/>
        <v>101357</v>
      </c>
      <c r="VR90" s="114">
        <f t="shared" si="414"/>
        <v>0.27384532252617361</v>
      </c>
    </row>
    <row r="91" spans="1:590" s="1193" customFormat="1" ht="13.45" x14ac:dyDescent="0.3">
      <c r="A91" s="1297"/>
      <c r="B91" s="1773" t="s">
        <v>53</v>
      </c>
      <c r="C91" s="3710" t="s">
        <v>945</v>
      </c>
      <c r="D91" s="3623" t="s">
        <v>946</v>
      </c>
      <c r="E91" s="1993">
        <v>45394</v>
      </c>
      <c r="F91" s="1993">
        <v>45747</v>
      </c>
      <c r="G91" s="1994">
        <v>100000</v>
      </c>
      <c r="H91" s="2031"/>
      <c r="I91" s="1914"/>
      <c r="J91" s="1914"/>
      <c r="K91" s="1914"/>
      <c r="L91" s="593"/>
      <c r="M91" s="2031"/>
      <c r="N91" s="1914"/>
      <c r="O91" s="1914"/>
      <c r="P91" s="1914"/>
      <c r="Q91" s="593"/>
      <c r="R91" s="2031"/>
      <c r="S91" s="1914"/>
      <c r="T91" s="1914"/>
      <c r="U91" s="1914"/>
      <c r="V91" s="593"/>
      <c r="W91" s="2031"/>
      <c r="X91" s="1914"/>
      <c r="Y91" s="1914"/>
      <c r="Z91" s="1914"/>
      <c r="AA91" s="2032"/>
      <c r="AB91" s="2031"/>
      <c r="AC91" s="1914"/>
      <c r="AD91" s="1914"/>
      <c r="AE91" s="1914"/>
      <c r="AF91" s="2032"/>
      <c r="AG91" s="1914"/>
      <c r="AH91" s="1914"/>
      <c r="AI91" s="1914"/>
      <c r="AJ91" s="1914"/>
      <c r="AK91" s="593"/>
      <c r="AL91" s="1914"/>
      <c r="AM91" s="1914"/>
      <c r="AN91" s="1914"/>
      <c r="AO91" s="1914"/>
      <c r="AP91" s="593"/>
      <c r="AQ91" s="1914"/>
      <c r="AR91" s="1914"/>
      <c r="AS91" s="1914"/>
      <c r="AT91" s="1914"/>
      <c r="AU91" s="593"/>
      <c r="AV91" s="2033"/>
      <c r="AW91" s="1914"/>
      <c r="AX91" s="1914"/>
      <c r="AY91" s="1914"/>
      <c r="AZ91" s="2032"/>
      <c r="BA91" s="2033"/>
      <c r="BB91" s="1914"/>
      <c r="BC91" s="1914"/>
      <c r="BD91" s="1914"/>
      <c r="BE91" s="2032"/>
      <c r="BF91" s="2033"/>
      <c r="BG91" s="1914"/>
      <c r="BH91" s="1914"/>
      <c r="BI91" s="1914"/>
      <c r="BJ91" s="2032"/>
      <c r="BK91" s="2033"/>
      <c r="BL91" s="1914"/>
      <c r="BM91" s="1914"/>
      <c r="BN91" s="1914"/>
      <c r="BO91" s="2032"/>
      <c r="BP91" s="2034"/>
      <c r="BQ91" s="1914"/>
      <c r="BR91" s="1914"/>
      <c r="BS91" s="1914"/>
      <c r="BT91" s="2035"/>
      <c r="BU91" s="1914"/>
      <c r="BV91" s="1914"/>
      <c r="BW91" s="2036"/>
      <c r="BX91" s="2035"/>
      <c r="BY91" s="1914"/>
      <c r="BZ91" s="1914"/>
      <c r="CA91" s="2010"/>
      <c r="CB91" s="1914"/>
      <c r="CC91" s="1914"/>
      <c r="CD91" s="1914"/>
      <c r="CE91" s="1914"/>
      <c r="CF91" s="2035"/>
      <c r="CG91" s="1914"/>
      <c r="CH91" s="1914"/>
      <c r="CI91" s="2010"/>
      <c r="CJ91" s="2037"/>
      <c r="CK91" s="1914"/>
      <c r="CL91" s="1914"/>
      <c r="CM91" s="1914"/>
      <c r="CN91" s="2036"/>
      <c r="CO91" s="2037"/>
      <c r="CP91" s="2031"/>
      <c r="CQ91" s="2031"/>
      <c r="CR91" s="2031"/>
      <c r="CS91" s="2036"/>
      <c r="CT91" s="2037"/>
      <c r="CU91" s="1914"/>
      <c r="CV91" s="1914"/>
      <c r="CW91" s="1914"/>
      <c r="CX91" s="2036"/>
      <c r="CY91" s="2037"/>
      <c r="CZ91" s="1914"/>
      <c r="DA91" s="1914"/>
      <c r="DB91" s="1914"/>
      <c r="DC91" s="2036"/>
      <c r="DD91" s="2037"/>
      <c r="DE91" s="1914"/>
      <c r="DF91" s="1914"/>
      <c r="DG91" s="1914"/>
      <c r="DH91" s="2038"/>
      <c r="DI91" s="2037"/>
      <c r="DJ91" s="1914"/>
      <c r="DK91" s="1914"/>
      <c r="DL91" s="1914"/>
      <c r="DM91" s="2038"/>
      <c r="DN91" s="2037"/>
      <c r="DO91" s="1914"/>
      <c r="DP91" s="1914"/>
      <c r="DQ91" s="1914"/>
      <c r="DR91" s="2038"/>
      <c r="DS91" s="2037"/>
      <c r="DT91" s="1914"/>
      <c r="DU91" s="1914"/>
      <c r="DV91" s="1914"/>
      <c r="DW91" s="2038"/>
      <c r="DX91" s="2037"/>
      <c r="DY91" s="1914"/>
      <c r="DZ91" s="1914"/>
      <c r="EA91" s="1914"/>
      <c r="EB91" s="2038"/>
      <c r="EC91" s="2037"/>
      <c r="ED91" s="1914"/>
      <c r="EE91" s="1914"/>
      <c r="EF91" s="1914"/>
      <c r="EG91" s="2038"/>
      <c r="EH91" s="2037"/>
      <c r="EI91" s="1914"/>
      <c r="EJ91" s="1914"/>
      <c r="EK91" s="1914"/>
      <c r="EL91" s="2038"/>
      <c r="EM91" s="1910"/>
      <c r="EN91" s="715"/>
      <c r="EO91" s="715"/>
      <c r="EP91" s="715"/>
      <c r="EQ91" s="366"/>
      <c r="ER91" s="1713"/>
      <c r="ES91" s="1714"/>
      <c r="ET91" s="1714"/>
      <c r="EU91" s="1714"/>
      <c r="EV91" s="1715"/>
      <c r="EW91" s="2031"/>
      <c r="EX91" s="2031"/>
      <c r="EY91" s="2031"/>
      <c r="EZ91" s="593"/>
      <c r="FA91" s="2037"/>
      <c r="FB91" s="2031"/>
      <c r="FC91" s="2031"/>
      <c r="FD91" s="2036"/>
      <c r="FE91" s="2031"/>
      <c r="FF91" s="2031"/>
      <c r="FG91" s="2031"/>
      <c r="FH91" s="593"/>
      <c r="FI91" s="2039"/>
      <c r="FJ91" s="2040"/>
      <c r="FK91" s="2041"/>
      <c r="FL91" s="2041"/>
      <c r="FM91" s="693"/>
      <c r="FN91" s="2031"/>
      <c r="FO91" s="1914"/>
      <c r="FP91" s="1914"/>
      <c r="FQ91" s="1914"/>
      <c r="FR91" s="2032"/>
      <c r="FS91" s="1910"/>
      <c r="FT91" s="715"/>
      <c r="FU91" s="715"/>
      <c r="FV91" s="715"/>
      <c r="FW91" s="366"/>
      <c r="FX91" s="2037"/>
      <c r="FY91" s="1914"/>
      <c r="FZ91" s="1914"/>
      <c r="GA91" s="715"/>
      <c r="GB91" s="366"/>
      <c r="GC91" s="1899"/>
      <c r="GD91" s="1900"/>
      <c r="GE91" s="1900"/>
      <c r="GF91" s="715"/>
      <c r="GG91" s="366"/>
      <c r="GH91" s="1901"/>
      <c r="GI91" s="1824"/>
      <c r="GJ91" s="1824"/>
      <c r="GK91" s="715"/>
      <c r="GL91" s="366"/>
      <c r="GM91" s="1901"/>
      <c r="GN91" s="1824"/>
      <c r="GO91" s="1824"/>
      <c r="GP91" s="715"/>
      <c r="GQ91" s="366"/>
      <c r="GR91" s="2042"/>
      <c r="GS91" s="2043"/>
      <c r="GT91" s="2043"/>
      <c r="GU91" s="715"/>
      <c r="GV91" s="366"/>
      <c r="GW91" s="2042"/>
      <c r="GX91" s="2043"/>
      <c r="GY91" s="2043"/>
      <c r="GZ91" s="715"/>
      <c r="HA91" s="366"/>
      <c r="HB91" s="2042"/>
      <c r="HC91" s="2043"/>
      <c r="HD91" s="2043"/>
      <c r="HE91" s="715"/>
      <c r="HF91" s="366"/>
      <c r="HG91" s="2042"/>
      <c r="HH91" s="2043"/>
      <c r="HI91" s="2043"/>
      <c r="HJ91" s="1818"/>
      <c r="HK91" s="366"/>
      <c r="HL91" s="2042"/>
      <c r="HM91" s="2043"/>
      <c r="HN91" s="2043"/>
      <c r="HO91" s="715"/>
      <c r="HP91" s="366"/>
      <c r="HQ91" s="1905"/>
      <c r="HR91" s="1248"/>
      <c r="HS91" s="1248"/>
      <c r="HT91" s="1248"/>
      <c r="HU91" s="1826"/>
      <c r="HV91" s="1827"/>
      <c r="HW91" s="1089"/>
      <c r="HX91" s="1089"/>
      <c r="HY91" s="1089"/>
      <c r="HZ91" s="1906"/>
      <c r="IA91" s="1907"/>
      <c r="IB91" s="1908"/>
      <c r="IC91" s="1908"/>
      <c r="ID91" s="1909"/>
      <c r="IE91" s="1910"/>
      <c r="IF91" s="1911"/>
      <c r="IG91" s="1912"/>
      <c r="IH91" s="1909"/>
      <c r="II91" s="1835"/>
      <c r="IJ91" s="1836"/>
      <c r="IK91" s="1836"/>
      <c r="IL91" s="693"/>
      <c r="IM91" s="1913"/>
      <c r="IN91" s="1836"/>
      <c r="IO91" s="1836"/>
      <c r="IP91" s="1838"/>
      <c r="IQ91" s="1914"/>
      <c r="IR91" s="2044"/>
      <c r="IS91" s="715"/>
      <c r="IT91" s="715"/>
      <c r="IU91" s="1996"/>
      <c r="IV91" s="2045"/>
      <c r="IW91" s="1910"/>
      <c r="IX91" s="715"/>
      <c r="IY91" s="823"/>
      <c r="IZ91" s="1719"/>
      <c r="JA91" s="1721"/>
      <c r="JB91" s="2046"/>
      <c r="JC91" s="2047"/>
      <c r="JD91" s="2048"/>
      <c r="JE91" s="1719"/>
      <c r="JF91" s="1721"/>
      <c r="JG91" s="1847"/>
      <c r="JH91" s="1096"/>
      <c r="JI91" s="1096"/>
      <c r="JJ91" s="1756"/>
      <c r="JK91" s="1721"/>
      <c r="JL91" s="1927"/>
      <c r="JM91" s="1096"/>
      <c r="JN91" s="1096"/>
      <c r="JO91" s="823"/>
      <c r="JP91" s="1721"/>
      <c r="JQ91" s="1926"/>
      <c r="JR91" s="1982"/>
      <c r="JS91" s="1248"/>
      <c r="JT91" s="1996"/>
      <c r="JU91" s="1821"/>
      <c r="JV91" s="1988"/>
      <c r="JW91" s="2049"/>
      <c r="JX91" s="1850"/>
      <c r="JY91" s="823"/>
      <c r="JZ91" s="1721"/>
      <c r="KA91" s="1847"/>
      <c r="KB91" s="264"/>
      <c r="KC91" s="972"/>
      <c r="KD91" s="964"/>
      <c r="KE91" s="1848"/>
      <c r="KF91" s="1988"/>
      <c r="KG91" s="1850"/>
      <c r="KH91" s="2049"/>
      <c r="KI91" s="1719"/>
      <c r="KJ91" s="1721"/>
      <c r="KK91" s="1988"/>
      <c r="KL91" s="1850"/>
      <c r="KM91" s="2049"/>
      <c r="KN91" s="1851"/>
      <c r="KO91" s="1852"/>
      <c r="KP91" s="1823"/>
      <c r="KQ91" s="1982"/>
      <c r="KR91" s="1248"/>
      <c r="KS91" s="1996"/>
      <c r="KT91" s="1819"/>
      <c r="KU91" s="1853"/>
      <c r="KV91" s="264"/>
      <c r="KW91" s="264"/>
      <c r="KX91" s="264"/>
      <c r="KY91" s="75"/>
      <c r="KZ91" s="1857"/>
      <c r="LA91" s="358"/>
      <c r="LB91" s="358"/>
      <c r="LC91" s="358"/>
      <c r="LD91" s="151"/>
      <c r="LE91" s="1854"/>
      <c r="LF91" s="1855"/>
      <c r="LG91" s="1855"/>
      <c r="LH91" s="1856"/>
      <c r="LI91" s="1857"/>
      <c r="LJ91" s="1858"/>
      <c r="LK91" s="1854"/>
      <c r="LL91" s="1856"/>
      <c r="LM91" s="1859"/>
      <c r="LN91" s="1727"/>
      <c r="LO91" s="1727"/>
      <c r="LP91" s="151"/>
      <c r="LQ91" s="1860"/>
      <c r="LR91" s="1727"/>
      <c r="LS91" s="1727"/>
      <c r="LT91" s="1861"/>
      <c r="LV91" s="439"/>
      <c r="LW91" s="208"/>
      <c r="LX91" s="208"/>
      <c r="LY91" s="96"/>
      <c r="LZ91" s="78"/>
      <c r="MA91" s="1832"/>
      <c r="MB91" s="622"/>
      <c r="MC91" s="622"/>
      <c r="MD91" s="372"/>
      <c r="ME91" s="207"/>
      <c r="MF91" s="405"/>
      <c r="MG91" s="1575"/>
      <c r="MH91" s="1568"/>
      <c r="MI91" s="371"/>
      <c r="MJ91" s="157"/>
      <c r="MK91" s="354"/>
      <c r="ML91" s="208"/>
      <c r="MM91" s="358"/>
      <c r="MN91" s="371"/>
      <c r="MO91" s="157"/>
      <c r="MP91" s="1579"/>
      <c r="MQ91" s="264"/>
      <c r="MR91" s="264"/>
      <c r="MS91" s="264"/>
      <c r="MT91" s="597"/>
      <c r="MU91" s="209"/>
      <c r="MV91" s="208"/>
      <c r="MW91" s="208"/>
      <c r="MX91" s="208"/>
      <c r="MY91" s="655"/>
      <c r="MZ91" s="209"/>
      <c r="NA91" s="208"/>
      <c r="NB91" s="208"/>
      <c r="NC91" s="208"/>
      <c r="ND91" s="1313"/>
      <c r="NE91" s="209"/>
      <c r="NF91" s="208"/>
      <c r="NG91" s="208"/>
      <c r="NH91" s="208"/>
      <c r="NI91" s="1313"/>
      <c r="NJ91" s="209"/>
      <c r="NK91" s="208"/>
      <c r="NL91" s="208"/>
      <c r="NM91" s="208"/>
      <c r="NN91" s="1313"/>
      <c r="NO91" s="357"/>
      <c r="NP91" s="358"/>
      <c r="NQ91" s="359"/>
      <c r="NR91" s="208"/>
      <c r="NS91" s="1313"/>
      <c r="NT91" s="357"/>
      <c r="NU91" s="358"/>
      <c r="NV91" s="358"/>
      <c r="NW91" s="208"/>
      <c r="NX91" s="1313"/>
      <c r="NY91" s="357"/>
      <c r="NZ91" s="358"/>
      <c r="OA91" s="358"/>
      <c r="OB91" s="622"/>
      <c r="OC91" s="116"/>
      <c r="OD91" s="191"/>
      <c r="OE91" s="358"/>
      <c r="OF91" s="358"/>
      <c r="OG91" s="358"/>
      <c r="OH91" s="220"/>
      <c r="OI91" s="1863"/>
      <c r="OJ91" s="105"/>
      <c r="OK91" s="105"/>
      <c r="OL91" s="105"/>
      <c r="OM91" s="106"/>
      <c r="ON91" s="358"/>
      <c r="OO91" s="358"/>
      <c r="OP91" s="358"/>
      <c r="OQ91" s="359"/>
      <c r="OR91" s="169"/>
      <c r="OS91" s="686"/>
      <c r="OT91" s="146"/>
      <c r="OU91" s="146"/>
      <c r="OV91" s="1864"/>
      <c r="OW91" s="203"/>
      <c r="OX91" s="357"/>
      <c r="OY91" s="358"/>
      <c r="OZ91" s="358"/>
      <c r="PA91" s="359"/>
      <c r="PB91" s="114"/>
      <c r="PC91" s="79"/>
      <c r="PD91" s="439"/>
      <c r="PE91" s="208"/>
      <c r="PF91" s="208"/>
      <c r="PG91" s="96"/>
      <c r="PH91" s="78"/>
      <c r="PI91" s="401"/>
      <c r="PJ91" s="395"/>
      <c r="PK91" s="395"/>
      <c r="PL91" s="96"/>
      <c r="PM91" s="78"/>
      <c r="PN91" s="439"/>
      <c r="PO91" s="208"/>
      <c r="PP91" s="358"/>
      <c r="PQ91" s="371"/>
      <c r="PR91" s="157"/>
      <c r="PS91" s="354"/>
      <c r="PT91" s="208"/>
      <c r="PU91" s="358"/>
      <c r="PV91" s="371"/>
      <c r="PW91" s="157"/>
      <c r="PX91" s="1579"/>
      <c r="PY91" s="264"/>
      <c r="PZ91" s="264"/>
      <c r="QA91" s="1248"/>
      <c r="QB91" s="597"/>
      <c r="QC91" s="209"/>
      <c r="QD91" s="208"/>
      <c r="QE91" s="208"/>
      <c r="QF91" s="208"/>
      <c r="QG91" s="655"/>
      <c r="QH91" s="439"/>
      <c r="QI91" s="208"/>
      <c r="QJ91" s="208"/>
      <c r="QK91" s="208"/>
      <c r="QL91" s="1313"/>
      <c r="QM91" s="439"/>
      <c r="QN91" s="208"/>
      <c r="QO91" s="208"/>
      <c r="QP91" s="208"/>
      <c r="QQ91" s="801"/>
      <c r="QR91" s="209"/>
      <c r="QS91" s="208"/>
      <c r="QT91" s="208"/>
      <c r="QU91" s="208"/>
      <c r="QV91" s="157"/>
      <c r="QW91" s="209"/>
      <c r="QX91" s="208"/>
      <c r="QY91" s="208"/>
      <c r="QZ91" s="208"/>
      <c r="RA91" s="2083"/>
      <c r="RB91" s="209"/>
      <c r="RC91" s="208"/>
      <c r="RD91" s="208"/>
      <c r="RE91" s="208"/>
      <c r="RF91" s="114"/>
      <c r="RG91" s="1857"/>
      <c r="RH91" s="208"/>
      <c r="RI91" s="208"/>
      <c r="RJ91" s="772"/>
      <c r="RK91" s="116"/>
      <c r="RL91" s="1567"/>
      <c r="RM91" s="1568"/>
      <c r="RN91" s="1568"/>
      <c r="RO91" s="1568"/>
      <c r="RP91" s="220"/>
      <c r="RQ91" s="1863"/>
      <c r="RR91" s="105"/>
      <c r="RS91" s="105"/>
      <c r="RT91" s="105"/>
      <c r="RU91" s="106"/>
      <c r="RV91" s="358"/>
      <c r="RW91" s="358"/>
      <c r="RX91" s="358"/>
      <c r="RY91" s="359"/>
      <c r="RZ91" s="169"/>
      <c r="SA91" s="686"/>
      <c r="SB91" s="146"/>
      <c r="SC91" s="146"/>
      <c r="SD91" s="1864"/>
      <c r="SE91" s="203"/>
      <c r="SF91" s="1567"/>
      <c r="SG91" s="358"/>
      <c r="SH91" s="358"/>
      <c r="SI91" s="359"/>
      <c r="SJ91" s="114"/>
      <c r="SL91" s="439"/>
      <c r="SM91" s="208"/>
      <c r="SN91" s="208"/>
      <c r="SO91" s="96"/>
      <c r="SP91" s="78"/>
      <c r="SQ91" s="401">
        <v>2</v>
      </c>
      <c r="SR91" s="395">
        <v>36977</v>
      </c>
      <c r="SS91" s="395">
        <v>42200</v>
      </c>
      <c r="ST91" s="115">
        <f t="shared" si="320"/>
        <v>5223</v>
      </c>
      <c r="SU91" s="1498">
        <f t="shared" si="389"/>
        <v>0.12376777251184834</v>
      </c>
      <c r="SV91" s="401">
        <v>1</v>
      </c>
      <c r="SW91" s="395">
        <v>62500</v>
      </c>
      <c r="SX91" s="622">
        <v>109725</v>
      </c>
      <c r="SY91" s="372">
        <f t="shared" si="321"/>
        <v>47225</v>
      </c>
      <c r="SZ91" s="207">
        <f t="shared" si="363"/>
        <v>0.4303941672362725</v>
      </c>
      <c r="TA91" s="354">
        <v>3</v>
      </c>
      <c r="TB91" s="208">
        <v>77458</v>
      </c>
      <c r="TC91" s="358">
        <v>100000</v>
      </c>
      <c r="TD91" s="96">
        <f t="shared" si="280"/>
        <v>22542</v>
      </c>
      <c r="TE91" s="94">
        <f t="shared" si="295"/>
        <v>0.22542000000000001</v>
      </c>
      <c r="TF91" s="354">
        <v>3</v>
      </c>
      <c r="TG91" s="208">
        <v>82590</v>
      </c>
      <c r="TH91" s="208">
        <v>100000</v>
      </c>
      <c r="TI91" s="395">
        <f t="shared" si="422"/>
        <v>17410</v>
      </c>
      <c r="TJ91" s="114">
        <f t="shared" si="296"/>
        <v>0.1741</v>
      </c>
      <c r="TK91" s="209">
        <v>3</v>
      </c>
      <c r="TL91" s="208">
        <v>79075</v>
      </c>
      <c r="TM91" s="208">
        <v>100000</v>
      </c>
      <c r="TN91" s="395">
        <f t="shared" si="351"/>
        <v>20925</v>
      </c>
      <c r="TO91" s="114">
        <f t="shared" si="364"/>
        <v>0.20924999999999999</v>
      </c>
      <c r="TP91" s="1573">
        <v>3</v>
      </c>
      <c r="TQ91" s="395">
        <v>83334</v>
      </c>
      <c r="TR91" s="395">
        <v>100000</v>
      </c>
      <c r="TS91" s="994">
        <f t="shared" si="352"/>
        <v>16666</v>
      </c>
      <c r="TT91" s="114">
        <f t="shared" si="365"/>
        <v>0.16666</v>
      </c>
      <c r="TU91" s="4432">
        <v>3</v>
      </c>
      <c r="TV91" s="208">
        <v>81520</v>
      </c>
      <c r="TW91" s="208">
        <v>100000</v>
      </c>
      <c r="TX91" s="994">
        <f t="shared" si="353"/>
        <v>18480</v>
      </c>
      <c r="TY91" s="116">
        <f t="shared" si="366"/>
        <v>0.18479999999999999</v>
      </c>
      <c r="TZ91" s="209">
        <v>3</v>
      </c>
      <c r="UA91" s="208">
        <v>80225</v>
      </c>
      <c r="UB91" s="208">
        <v>100000</v>
      </c>
      <c r="UC91" s="994">
        <f>UB91-UA91</f>
        <v>19775</v>
      </c>
      <c r="UD91" s="116">
        <f t="shared" si="395"/>
        <v>0.19775000000000001</v>
      </c>
      <c r="UE91" s="1868">
        <v>3</v>
      </c>
      <c r="UF91" s="1575">
        <v>80834</v>
      </c>
      <c r="UG91" s="1575">
        <v>100000</v>
      </c>
      <c r="UH91" s="1575">
        <f t="shared" si="322"/>
        <v>19166</v>
      </c>
      <c r="UI91" s="6495">
        <f t="shared" si="367"/>
        <v>0.19166</v>
      </c>
      <c r="UJ91" s="209"/>
      <c r="UK91" s="208"/>
      <c r="UL91" s="208"/>
      <c r="UM91" s="208"/>
      <c r="UN91" s="114"/>
      <c r="UO91" s="1567"/>
      <c r="UP91" s="1568"/>
      <c r="UQ91" s="1568"/>
      <c r="UR91" s="1873"/>
      <c r="US91" s="116"/>
      <c r="UT91" s="1567"/>
      <c r="UU91" s="358">
        <f t="shared" si="371"/>
        <v>664513</v>
      </c>
      <c r="UV91" s="358">
        <f t="shared" si="371"/>
        <v>851925</v>
      </c>
      <c r="UW91" s="358">
        <f t="shared" si="371"/>
        <v>187412</v>
      </c>
      <c r="UX91" s="220">
        <f t="shared" si="358"/>
        <v>0.21998650115913959</v>
      </c>
      <c r="UY91" s="1863">
        <f t="shared" si="324"/>
        <v>1</v>
      </c>
      <c r="UZ91" s="105">
        <f t="shared" ref="UZ91:VB123" si="424">SM91+SR91+SW91</f>
        <v>99477</v>
      </c>
      <c r="VA91" s="105">
        <f t="shared" si="424"/>
        <v>151925</v>
      </c>
      <c r="VB91" s="105">
        <f t="shared" si="424"/>
        <v>52448</v>
      </c>
      <c r="VC91" s="106">
        <f t="shared" si="325"/>
        <v>0.34522297186111567</v>
      </c>
      <c r="VD91" s="358"/>
      <c r="VE91" s="358">
        <f t="shared" si="423"/>
        <v>239123</v>
      </c>
      <c r="VF91" s="358">
        <f t="shared" si="423"/>
        <v>300000</v>
      </c>
      <c r="VG91" s="359">
        <f t="shared" si="423"/>
        <v>60877</v>
      </c>
      <c r="VH91" s="169">
        <f t="shared" si="372"/>
        <v>0.20292333333333334</v>
      </c>
      <c r="VI91" s="686"/>
      <c r="VJ91" s="146">
        <f t="shared" si="373"/>
        <v>245079</v>
      </c>
      <c r="VK91" s="146">
        <f t="shared" si="360"/>
        <v>300000</v>
      </c>
      <c r="VL91" s="1864">
        <f t="shared" si="360"/>
        <v>54921</v>
      </c>
      <c r="VM91" s="203"/>
      <c r="VN91" s="1567"/>
      <c r="VO91" s="358"/>
      <c r="VP91" s="358"/>
      <c r="VQ91" s="359"/>
      <c r="VR91" s="114"/>
    </row>
    <row r="92" spans="1:590" s="1193" customFormat="1" ht="13.45" x14ac:dyDescent="0.3">
      <c r="A92" s="1297"/>
      <c r="B92" s="1773" t="s">
        <v>53</v>
      </c>
      <c r="C92" s="3710" t="s">
        <v>947</v>
      </c>
      <c r="D92" s="3623" t="s">
        <v>948</v>
      </c>
      <c r="E92" s="1993">
        <v>45394</v>
      </c>
      <c r="F92" s="1993">
        <v>45747</v>
      </c>
      <c r="G92" s="1994">
        <v>120000</v>
      </c>
      <c r="H92" s="2031"/>
      <c r="I92" s="1914"/>
      <c r="J92" s="1914"/>
      <c r="K92" s="1914"/>
      <c r="L92" s="593"/>
      <c r="M92" s="2031"/>
      <c r="N92" s="1914"/>
      <c r="O92" s="1914"/>
      <c r="P92" s="1914"/>
      <c r="Q92" s="593"/>
      <c r="R92" s="2031"/>
      <c r="S92" s="1914"/>
      <c r="T92" s="1914"/>
      <c r="U92" s="1914"/>
      <c r="V92" s="593"/>
      <c r="W92" s="2031"/>
      <c r="X92" s="1914"/>
      <c r="Y92" s="1914"/>
      <c r="Z92" s="1914"/>
      <c r="AA92" s="2032"/>
      <c r="AB92" s="2031"/>
      <c r="AC92" s="1914"/>
      <c r="AD92" s="1914"/>
      <c r="AE92" s="1914"/>
      <c r="AF92" s="2032"/>
      <c r="AG92" s="1914"/>
      <c r="AH92" s="1914"/>
      <c r="AI92" s="1914"/>
      <c r="AJ92" s="1914"/>
      <c r="AK92" s="593"/>
      <c r="AL92" s="1914"/>
      <c r="AM92" s="1914"/>
      <c r="AN92" s="1914"/>
      <c r="AO92" s="1914"/>
      <c r="AP92" s="593"/>
      <c r="AQ92" s="1914"/>
      <c r="AR92" s="1914"/>
      <c r="AS92" s="1914"/>
      <c r="AT92" s="1914"/>
      <c r="AU92" s="593"/>
      <c r="AV92" s="2033"/>
      <c r="AW92" s="1914"/>
      <c r="AX92" s="1914"/>
      <c r="AY92" s="1914"/>
      <c r="AZ92" s="2032"/>
      <c r="BA92" s="2033"/>
      <c r="BB92" s="1914"/>
      <c r="BC92" s="1914"/>
      <c r="BD92" s="1914"/>
      <c r="BE92" s="2032"/>
      <c r="BF92" s="2033"/>
      <c r="BG92" s="1914"/>
      <c r="BH92" s="1914"/>
      <c r="BI92" s="1914"/>
      <c r="BJ92" s="2032"/>
      <c r="BK92" s="2033"/>
      <c r="BL92" s="1914"/>
      <c r="BM92" s="1914"/>
      <c r="BN92" s="1914"/>
      <c r="BO92" s="2032"/>
      <c r="BP92" s="2034"/>
      <c r="BQ92" s="1914"/>
      <c r="BR92" s="1914"/>
      <c r="BS92" s="1914"/>
      <c r="BT92" s="2035"/>
      <c r="BU92" s="1914"/>
      <c r="BV92" s="1914"/>
      <c r="BW92" s="2036"/>
      <c r="BX92" s="2035"/>
      <c r="BY92" s="1914"/>
      <c r="BZ92" s="1914"/>
      <c r="CA92" s="2010"/>
      <c r="CB92" s="1914"/>
      <c r="CC92" s="1914"/>
      <c r="CD92" s="1914"/>
      <c r="CE92" s="1914"/>
      <c r="CF92" s="2035"/>
      <c r="CG92" s="1914"/>
      <c r="CH92" s="1914"/>
      <c r="CI92" s="2010"/>
      <c r="CJ92" s="2037"/>
      <c r="CK92" s="1914"/>
      <c r="CL92" s="1914"/>
      <c r="CM92" s="1914"/>
      <c r="CN92" s="2036"/>
      <c r="CO92" s="2037"/>
      <c r="CP92" s="2031"/>
      <c r="CQ92" s="2031"/>
      <c r="CR92" s="2031"/>
      <c r="CS92" s="2036"/>
      <c r="CT92" s="2037"/>
      <c r="CU92" s="1914"/>
      <c r="CV92" s="1914"/>
      <c r="CW92" s="1914"/>
      <c r="CX92" s="2036"/>
      <c r="CY92" s="2037"/>
      <c r="CZ92" s="1914"/>
      <c r="DA92" s="1914"/>
      <c r="DB92" s="1914"/>
      <c r="DC92" s="2036"/>
      <c r="DD92" s="2037"/>
      <c r="DE92" s="1914"/>
      <c r="DF92" s="1914"/>
      <c r="DG92" s="1914"/>
      <c r="DH92" s="2038"/>
      <c r="DI92" s="2037"/>
      <c r="DJ92" s="1914"/>
      <c r="DK92" s="1914"/>
      <c r="DL92" s="1914"/>
      <c r="DM92" s="2038"/>
      <c r="DN92" s="2037"/>
      <c r="DO92" s="1914"/>
      <c r="DP92" s="1914"/>
      <c r="DQ92" s="1914"/>
      <c r="DR92" s="2038"/>
      <c r="DS92" s="2037"/>
      <c r="DT92" s="1914"/>
      <c r="DU92" s="1914"/>
      <c r="DV92" s="1914"/>
      <c r="DW92" s="2038"/>
      <c r="DX92" s="2037"/>
      <c r="DY92" s="1914"/>
      <c r="DZ92" s="1914"/>
      <c r="EA92" s="1914"/>
      <c r="EB92" s="2038"/>
      <c r="EC92" s="2037"/>
      <c r="ED92" s="1914"/>
      <c r="EE92" s="1914"/>
      <c r="EF92" s="1914"/>
      <c r="EG92" s="2038"/>
      <c r="EH92" s="2037"/>
      <c r="EI92" s="1914"/>
      <c r="EJ92" s="1914"/>
      <c r="EK92" s="1914"/>
      <c r="EL92" s="2038"/>
      <c r="EM92" s="1910"/>
      <c r="EN92" s="715"/>
      <c r="EO92" s="715"/>
      <c r="EP92" s="715"/>
      <c r="EQ92" s="366"/>
      <c r="ER92" s="1713"/>
      <c r="ES92" s="1714"/>
      <c r="ET92" s="1714"/>
      <c r="EU92" s="1714"/>
      <c r="EV92" s="1715"/>
      <c r="EW92" s="2031"/>
      <c r="EX92" s="2031"/>
      <c r="EY92" s="2031"/>
      <c r="EZ92" s="593"/>
      <c r="FA92" s="2037"/>
      <c r="FB92" s="2031"/>
      <c r="FC92" s="2031"/>
      <c r="FD92" s="2036"/>
      <c r="FE92" s="2031"/>
      <c r="FF92" s="2031"/>
      <c r="FG92" s="2031"/>
      <c r="FH92" s="593"/>
      <c r="FI92" s="2039"/>
      <c r="FJ92" s="2040"/>
      <c r="FK92" s="2041"/>
      <c r="FL92" s="2041"/>
      <c r="FM92" s="693"/>
      <c r="FN92" s="2031"/>
      <c r="FO92" s="1914"/>
      <c r="FP92" s="1914"/>
      <c r="FQ92" s="1914"/>
      <c r="FR92" s="2032"/>
      <c r="FS92" s="1910"/>
      <c r="FT92" s="715"/>
      <c r="FU92" s="715"/>
      <c r="FV92" s="715"/>
      <c r="FW92" s="366"/>
      <c r="FX92" s="2037"/>
      <c r="FY92" s="1914"/>
      <c r="FZ92" s="1914"/>
      <c r="GA92" s="715"/>
      <c r="GB92" s="366"/>
      <c r="GC92" s="1899"/>
      <c r="GD92" s="1900"/>
      <c r="GE92" s="1900"/>
      <c r="GF92" s="715"/>
      <c r="GG92" s="366"/>
      <c r="GH92" s="1901"/>
      <c r="GI92" s="1824"/>
      <c r="GJ92" s="1824"/>
      <c r="GK92" s="715"/>
      <c r="GL92" s="366"/>
      <c r="GM92" s="1901"/>
      <c r="GN92" s="1824"/>
      <c r="GO92" s="1824"/>
      <c r="GP92" s="715"/>
      <c r="GQ92" s="366"/>
      <c r="GR92" s="2042"/>
      <c r="GS92" s="2043"/>
      <c r="GT92" s="2043"/>
      <c r="GU92" s="715"/>
      <c r="GV92" s="366"/>
      <c r="GW92" s="2042"/>
      <c r="GX92" s="2043"/>
      <c r="GY92" s="2043"/>
      <c r="GZ92" s="715"/>
      <c r="HA92" s="366"/>
      <c r="HB92" s="2042"/>
      <c r="HC92" s="2043"/>
      <c r="HD92" s="2043"/>
      <c r="HE92" s="715"/>
      <c r="HF92" s="366"/>
      <c r="HG92" s="2042"/>
      <c r="HH92" s="2043"/>
      <c r="HI92" s="2043"/>
      <c r="HJ92" s="1818"/>
      <c r="HK92" s="366"/>
      <c r="HL92" s="2042"/>
      <c r="HM92" s="2043"/>
      <c r="HN92" s="2043"/>
      <c r="HO92" s="715"/>
      <c r="HP92" s="366"/>
      <c r="HQ92" s="1905"/>
      <c r="HR92" s="1248"/>
      <c r="HS92" s="1248"/>
      <c r="HT92" s="1248"/>
      <c r="HU92" s="1826"/>
      <c r="HV92" s="1827"/>
      <c r="HW92" s="1089"/>
      <c r="HX92" s="1089"/>
      <c r="HY92" s="1089"/>
      <c r="HZ92" s="1906"/>
      <c r="IA92" s="1907"/>
      <c r="IB92" s="1908"/>
      <c r="IC92" s="1908"/>
      <c r="ID92" s="1909"/>
      <c r="IE92" s="1910"/>
      <c r="IF92" s="1911"/>
      <c r="IG92" s="1912"/>
      <c r="IH92" s="1909"/>
      <c r="II92" s="1835"/>
      <c r="IJ92" s="1836"/>
      <c r="IK92" s="1836"/>
      <c r="IL92" s="693"/>
      <c r="IM92" s="1913"/>
      <c r="IN92" s="1836"/>
      <c r="IO92" s="1836"/>
      <c r="IP92" s="1838"/>
      <c r="IQ92" s="1914"/>
      <c r="IR92" s="2044"/>
      <c r="IS92" s="715"/>
      <c r="IT92" s="715"/>
      <c r="IU92" s="1996"/>
      <c r="IV92" s="2045"/>
      <c r="IW92" s="1910"/>
      <c r="IX92" s="715"/>
      <c r="IY92" s="823"/>
      <c r="IZ92" s="1719"/>
      <c r="JA92" s="1721"/>
      <c r="JB92" s="2046"/>
      <c r="JC92" s="2047"/>
      <c r="JD92" s="2048"/>
      <c r="JE92" s="1719"/>
      <c r="JF92" s="1721"/>
      <c r="JG92" s="1847"/>
      <c r="JH92" s="1096"/>
      <c r="JI92" s="1096"/>
      <c r="JJ92" s="1756"/>
      <c r="JK92" s="1721"/>
      <c r="JL92" s="1927"/>
      <c r="JM92" s="1096"/>
      <c r="JN92" s="1096"/>
      <c r="JO92" s="823"/>
      <c r="JP92" s="1721"/>
      <c r="JQ92" s="1926"/>
      <c r="JR92" s="1982"/>
      <c r="JS92" s="1248"/>
      <c r="JT92" s="1996"/>
      <c r="JU92" s="1821"/>
      <c r="JV92" s="1988"/>
      <c r="JW92" s="2049"/>
      <c r="JX92" s="1850"/>
      <c r="JY92" s="823"/>
      <c r="JZ92" s="1721"/>
      <c r="KA92" s="1847"/>
      <c r="KB92" s="264"/>
      <c r="KC92" s="972"/>
      <c r="KD92" s="964"/>
      <c r="KE92" s="1848"/>
      <c r="KF92" s="1988"/>
      <c r="KG92" s="1850"/>
      <c r="KH92" s="2049"/>
      <c r="KI92" s="1719"/>
      <c r="KJ92" s="1721"/>
      <c r="KK92" s="1988"/>
      <c r="KL92" s="1850"/>
      <c r="KM92" s="2049"/>
      <c r="KN92" s="1851"/>
      <c r="KO92" s="1852"/>
      <c r="KP92" s="1823"/>
      <c r="KQ92" s="1982"/>
      <c r="KR92" s="1248"/>
      <c r="KS92" s="1996"/>
      <c r="KT92" s="1819"/>
      <c r="KU92" s="1853"/>
      <c r="KV92" s="264"/>
      <c r="KW92" s="264"/>
      <c r="KX92" s="264"/>
      <c r="KY92" s="75"/>
      <c r="KZ92" s="1857"/>
      <c r="LA92" s="358"/>
      <c r="LB92" s="358"/>
      <c r="LC92" s="358"/>
      <c r="LD92" s="151"/>
      <c r="LE92" s="1854"/>
      <c r="LF92" s="1855"/>
      <c r="LG92" s="1855"/>
      <c r="LH92" s="1856"/>
      <c r="LI92" s="1857"/>
      <c r="LJ92" s="1858"/>
      <c r="LK92" s="1854"/>
      <c r="LL92" s="1856"/>
      <c r="LM92" s="1859"/>
      <c r="LN92" s="1727"/>
      <c r="LO92" s="1727"/>
      <c r="LP92" s="151"/>
      <c r="LQ92" s="1860"/>
      <c r="LR92" s="1727"/>
      <c r="LS92" s="1727"/>
      <c r="LT92" s="1861"/>
      <c r="LV92" s="439"/>
      <c r="LW92" s="208"/>
      <c r="LX92" s="208"/>
      <c r="LY92" s="96"/>
      <c r="LZ92" s="78"/>
      <c r="MA92" s="1832"/>
      <c r="MB92" s="622"/>
      <c r="MC92" s="622"/>
      <c r="MD92" s="372"/>
      <c r="ME92" s="207"/>
      <c r="MF92" s="405"/>
      <c r="MG92" s="1575"/>
      <c r="MH92" s="1568"/>
      <c r="MI92" s="371"/>
      <c r="MJ92" s="157"/>
      <c r="MK92" s="354"/>
      <c r="ML92" s="208"/>
      <c r="MM92" s="358"/>
      <c r="MN92" s="371"/>
      <c r="MO92" s="157"/>
      <c r="MP92" s="1579"/>
      <c r="MQ92" s="264"/>
      <c r="MR92" s="264"/>
      <c r="MS92" s="264"/>
      <c r="MT92" s="597"/>
      <c r="MU92" s="209"/>
      <c r="MV92" s="208"/>
      <c r="MW92" s="208"/>
      <c r="MX92" s="208"/>
      <c r="MY92" s="655"/>
      <c r="MZ92" s="209"/>
      <c r="NA92" s="208"/>
      <c r="NB92" s="208"/>
      <c r="NC92" s="208"/>
      <c r="ND92" s="1313"/>
      <c r="NE92" s="209"/>
      <c r="NF92" s="208"/>
      <c r="NG92" s="208"/>
      <c r="NH92" s="208"/>
      <c r="NI92" s="1313"/>
      <c r="NJ92" s="209"/>
      <c r="NK92" s="208"/>
      <c r="NL92" s="208"/>
      <c r="NM92" s="208"/>
      <c r="NN92" s="1313"/>
      <c r="NO92" s="357"/>
      <c r="NP92" s="358"/>
      <c r="NQ92" s="359"/>
      <c r="NR92" s="208"/>
      <c r="NS92" s="1313"/>
      <c r="NT92" s="357"/>
      <c r="NU92" s="358"/>
      <c r="NV92" s="358"/>
      <c r="NW92" s="208"/>
      <c r="NX92" s="1313"/>
      <c r="NY92" s="357"/>
      <c r="NZ92" s="358"/>
      <c r="OA92" s="358"/>
      <c r="OB92" s="622"/>
      <c r="OC92" s="116"/>
      <c r="OD92" s="191"/>
      <c r="OE92" s="358"/>
      <c r="OF92" s="358"/>
      <c r="OG92" s="358"/>
      <c r="OH92" s="220"/>
      <c r="OI92" s="1863"/>
      <c r="OJ92" s="105"/>
      <c r="OK92" s="105"/>
      <c r="OL92" s="105"/>
      <c r="OM92" s="106"/>
      <c r="ON92" s="358"/>
      <c r="OO92" s="358"/>
      <c r="OP92" s="358"/>
      <c r="OQ92" s="359"/>
      <c r="OR92" s="169"/>
      <c r="OS92" s="686"/>
      <c r="OT92" s="146"/>
      <c r="OU92" s="146"/>
      <c r="OV92" s="1864"/>
      <c r="OW92" s="203"/>
      <c r="OX92" s="357"/>
      <c r="OY92" s="358"/>
      <c r="OZ92" s="358"/>
      <c r="PA92" s="359"/>
      <c r="PB92" s="114"/>
      <c r="PC92" s="79"/>
      <c r="PD92" s="439"/>
      <c r="PE92" s="208"/>
      <c r="PF92" s="208"/>
      <c r="PG92" s="96"/>
      <c r="PH92" s="78"/>
      <c r="PI92" s="401"/>
      <c r="PJ92" s="395"/>
      <c r="PK92" s="395"/>
      <c r="PL92" s="96"/>
      <c r="PM92" s="78"/>
      <c r="PN92" s="439"/>
      <c r="PO92" s="208"/>
      <c r="PP92" s="358"/>
      <c r="PQ92" s="371"/>
      <c r="PR92" s="157"/>
      <c r="PS92" s="354"/>
      <c r="PT92" s="208"/>
      <c r="PU92" s="358"/>
      <c r="PV92" s="371"/>
      <c r="PW92" s="157"/>
      <c r="PX92" s="1579"/>
      <c r="PY92" s="264"/>
      <c r="PZ92" s="264"/>
      <c r="QA92" s="1248"/>
      <c r="QB92" s="597"/>
      <c r="QC92" s="209"/>
      <c r="QD92" s="208"/>
      <c r="QE92" s="208"/>
      <c r="QF92" s="208"/>
      <c r="QG92" s="655"/>
      <c r="QH92" s="439"/>
      <c r="QI92" s="208"/>
      <c r="QJ92" s="208"/>
      <c r="QK92" s="208"/>
      <c r="QL92" s="1313"/>
      <c r="QM92" s="439"/>
      <c r="QN92" s="208"/>
      <c r="QO92" s="208"/>
      <c r="QP92" s="208"/>
      <c r="QQ92" s="801"/>
      <c r="QR92" s="209"/>
      <c r="QS92" s="208"/>
      <c r="QT92" s="208"/>
      <c r="QU92" s="208"/>
      <c r="QV92" s="157"/>
      <c r="QW92" s="209"/>
      <c r="QX92" s="208"/>
      <c r="QY92" s="208"/>
      <c r="QZ92" s="208"/>
      <c r="RA92" s="2083"/>
      <c r="RB92" s="209"/>
      <c r="RC92" s="208"/>
      <c r="RD92" s="208"/>
      <c r="RE92" s="208"/>
      <c r="RF92" s="114"/>
      <c r="RG92" s="1857"/>
      <c r="RH92" s="208"/>
      <c r="RI92" s="208"/>
      <c r="RJ92" s="772"/>
      <c r="RK92" s="116"/>
      <c r="RL92" s="1567"/>
      <c r="RM92" s="1568"/>
      <c r="RN92" s="1568"/>
      <c r="RO92" s="1568"/>
      <c r="RP92" s="220"/>
      <c r="RQ92" s="1863"/>
      <c r="RR92" s="105"/>
      <c r="RS92" s="105"/>
      <c r="RT92" s="105"/>
      <c r="RU92" s="106"/>
      <c r="RV92" s="358"/>
      <c r="RW92" s="358"/>
      <c r="RX92" s="358"/>
      <c r="RY92" s="359"/>
      <c r="RZ92" s="169"/>
      <c r="SA92" s="686"/>
      <c r="SB92" s="146"/>
      <c r="SC92" s="146"/>
      <c r="SD92" s="1864"/>
      <c r="SE92" s="203"/>
      <c r="SF92" s="1567"/>
      <c r="SG92" s="358"/>
      <c r="SH92" s="358"/>
      <c r="SI92" s="359"/>
      <c r="SJ92" s="114"/>
      <c r="SL92" s="439"/>
      <c r="SM92" s="208"/>
      <c r="SN92" s="208"/>
      <c r="SO92" s="96"/>
      <c r="SP92" s="78"/>
      <c r="SQ92" s="401">
        <v>1</v>
      </c>
      <c r="SR92" s="395">
        <v>1626</v>
      </c>
      <c r="SS92" s="395">
        <v>2160</v>
      </c>
      <c r="ST92" s="115">
        <f t="shared" si="320"/>
        <v>534</v>
      </c>
      <c r="SU92" s="186">
        <f t="shared" si="389"/>
        <v>0.24722222222222223</v>
      </c>
      <c r="SV92" s="401">
        <v>2</v>
      </c>
      <c r="SW92" s="395">
        <v>46826</v>
      </c>
      <c r="SX92" s="622">
        <v>57120</v>
      </c>
      <c r="SY92" s="372">
        <f t="shared" si="321"/>
        <v>10294</v>
      </c>
      <c r="SZ92" s="207">
        <f t="shared" si="363"/>
        <v>0.18021708683473389</v>
      </c>
      <c r="TA92" s="354">
        <v>2</v>
      </c>
      <c r="TB92" s="208">
        <v>58334</v>
      </c>
      <c r="TC92" s="358">
        <v>69960</v>
      </c>
      <c r="TD92" s="96">
        <f t="shared" si="280"/>
        <v>11626</v>
      </c>
      <c r="TE92" s="94">
        <f t="shared" si="295"/>
        <v>0.1661806746712407</v>
      </c>
      <c r="TF92" s="354">
        <v>2</v>
      </c>
      <c r="TG92" s="208">
        <v>58334</v>
      </c>
      <c r="TH92" s="208">
        <v>69960</v>
      </c>
      <c r="TI92" s="395">
        <f t="shared" si="422"/>
        <v>11626</v>
      </c>
      <c r="TJ92" s="114">
        <f t="shared" si="296"/>
        <v>0.1661806746712407</v>
      </c>
      <c r="TK92" s="209">
        <v>3</v>
      </c>
      <c r="TL92" s="208">
        <v>101928</v>
      </c>
      <c r="TM92" s="208">
        <v>113280</v>
      </c>
      <c r="TN92" s="395">
        <f t="shared" si="351"/>
        <v>11352</v>
      </c>
      <c r="TO92" s="114">
        <f t="shared" si="364"/>
        <v>0.10021186440677966</v>
      </c>
      <c r="TP92" s="1573">
        <v>3</v>
      </c>
      <c r="TQ92" s="395">
        <v>108334</v>
      </c>
      <c r="TR92" s="395">
        <v>120000</v>
      </c>
      <c r="TS92" s="994">
        <f t="shared" si="352"/>
        <v>11666</v>
      </c>
      <c r="TT92" s="114">
        <f t="shared" si="365"/>
        <v>9.7216666666666673E-2</v>
      </c>
      <c r="TU92" s="6144">
        <v>2</v>
      </c>
      <c r="TV92" s="208">
        <v>58334</v>
      </c>
      <c r="TW92" s="208">
        <v>69960</v>
      </c>
      <c r="TX92" s="994">
        <f t="shared" si="353"/>
        <v>11626</v>
      </c>
      <c r="TY92" s="116">
        <f t="shared" si="366"/>
        <v>0.1661806746712407</v>
      </c>
      <c r="TZ92" s="209">
        <v>2</v>
      </c>
      <c r="UA92" s="208">
        <v>58334</v>
      </c>
      <c r="UB92" s="208">
        <v>69960</v>
      </c>
      <c r="UC92" s="994">
        <f>UB92-UA92</f>
        <v>11626</v>
      </c>
      <c r="UD92" s="116">
        <f t="shared" si="395"/>
        <v>0.1661806746712407</v>
      </c>
      <c r="UE92" s="1868">
        <v>3</v>
      </c>
      <c r="UF92" s="1575">
        <v>81116</v>
      </c>
      <c r="UG92" s="1575">
        <v>94200</v>
      </c>
      <c r="UH92" s="1575">
        <f t="shared" si="322"/>
        <v>13084</v>
      </c>
      <c r="UI92" s="6495">
        <f t="shared" si="367"/>
        <v>0.13889596602972398</v>
      </c>
      <c r="UJ92" s="114"/>
      <c r="UK92" s="114"/>
      <c r="UL92" s="114"/>
      <c r="UM92" s="114"/>
      <c r="UN92" s="114"/>
      <c r="UO92" s="114"/>
      <c r="UP92" s="114"/>
      <c r="UQ92" s="114"/>
      <c r="UR92" s="114"/>
      <c r="US92" s="114"/>
      <c r="UT92" s="1567"/>
      <c r="UU92" s="358">
        <f t="shared" si="371"/>
        <v>573166</v>
      </c>
      <c r="UV92" s="358">
        <f t="shared" si="371"/>
        <v>666600</v>
      </c>
      <c r="UW92" s="358">
        <f t="shared" si="371"/>
        <v>93434</v>
      </c>
      <c r="UX92" s="220">
        <f>UW92/UV92</f>
        <v>0.14016501650165017</v>
      </c>
      <c r="UY92" s="1863">
        <f t="shared" si="324"/>
        <v>1</v>
      </c>
      <c r="UZ92" s="105">
        <f t="shared" si="424"/>
        <v>48452</v>
      </c>
      <c r="VA92" s="105">
        <f t="shared" si="424"/>
        <v>59280</v>
      </c>
      <c r="VB92" s="105">
        <f t="shared" si="424"/>
        <v>10828</v>
      </c>
      <c r="VC92" s="106">
        <f t="shared" si="325"/>
        <v>0.18265856950067477</v>
      </c>
      <c r="VD92" s="358"/>
      <c r="VE92" s="358">
        <f t="shared" si="423"/>
        <v>218596</v>
      </c>
      <c r="VF92" s="358">
        <f t="shared" si="423"/>
        <v>253200</v>
      </c>
      <c r="VG92" s="359">
        <f t="shared" si="423"/>
        <v>34604</v>
      </c>
      <c r="VH92" s="169">
        <f t="shared" si="372"/>
        <v>0.13666666666666666</v>
      </c>
      <c r="VI92" s="686"/>
      <c r="VJ92" s="146">
        <f t="shared" si="373"/>
        <v>225002</v>
      </c>
      <c r="VK92" s="146">
        <f t="shared" si="360"/>
        <v>259920</v>
      </c>
      <c r="VL92" s="1864">
        <f t="shared" si="360"/>
        <v>34918</v>
      </c>
      <c r="VM92" s="203"/>
      <c r="VN92" s="1567"/>
      <c r="VO92" s="358"/>
      <c r="VP92" s="358"/>
      <c r="VQ92" s="359"/>
      <c r="VR92" s="114"/>
    </row>
    <row r="93" spans="1:590" s="1193" customFormat="1" ht="13.45" x14ac:dyDescent="0.3">
      <c r="A93" s="1297"/>
      <c r="B93" s="1773" t="s">
        <v>53</v>
      </c>
      <c r="C93" s="3710" t="s">
        <v>975</v>
      </c>
      <c r="D93" s="3623" t="s">
        <v>976</v>
      </c>
      <c r="E93" s="1993"/>
      <c r="F93" s="1993"/>
      <c r="G93" s="1994"/>
      <c r="H93" s="2031"/>
      <c r="I93" s="1914"/>
      <c r="J93" s="1914"/>
      <c r="K93" s="1914"/>
      <c r="L93" s="593"/>
      <c r="M93" s="2031"/>
      <c r="N93" s="1914"/>
      <c r="O93" s="1914"/>
      <c r="P93" s="1914"/>
      <c r="Q93" s="593"/>
      <c r="R93" s="2031"/>
      <c r="S93" s="1914"/>
      <c r="T93" s="1914"/>
      <c r="U93" s="1914"/>
      <c r="V93" s="593"/>
      <c r="W93" s="2031"/>
      <c r="X93" s="1914"/>
      <c r="Y93" s="1914"/>
      <c r="Z93" s="1914"/>
      <c r="AA93" s="2032"/>
      <c r="AB93" s="2031"/>
      <c r="AC93" s="1914"/>
      <c r="AD93" s="1914"/>
      <c r="AE93" s="1914"/>
      <c r="AF93" s="2032"/>
      <c r="AG93" s="1914"/>
      <c r="AH93" s="1914"/>
      <c r="AI93" s="1914"/>
      <c r="AJ93" s="1914"/>
      <c r="AK93" s="593"/>
      <c r="AL93" s="1914"/>
      <c r="AM93" s="1914"/>
      <c r="AN93" s="1914"/>
      <c r="AO93" s="1914"/>
      <c r="AP93" s="593"/>
      <c r="AQ93" s="1914"/>
      <c r="AR93" s="1914"/>
      <c r="AS93" s="1914"/>
      <c r="AT93" s="1914"/>
      <c r="AU93" s="593"/>
      <c r="AV93" s="2033"/>
      <c r="AW93" s="1914"/>
      <c r="AX93" s="1914"/>
      <c r="AY93" s="1914"/>
      <c r="AZ93" s="2032"/>
      <c r="BA93" s="2033"/>
      <c r="BB93" s="1914"/>
      <c r="BC93" s="1914"/>
      <c r="BD93" s="1914"/>
      <c r="BE93" s="2032"/>
      <c r="BF93" s="2033"/>
      <c r="BG93" s="1914"/>
      <c r="BH93" s="1914"/>
      <c r="BI93" s="1914"/>
      <c r="BJ93" s="2032"/>
      <c r="BK93" s="2033"/>
      <c r="BL93" s="1914"/>
      <c r="BM93" s="1914"/>
      <c r="BN93" s="1914"/>
      <c r="BO93" s="2032"/>
      <c r="BP93" s="2034"/>
      <c r="BQ93" s="1914"/>
      <c r="BR93" s="1914"/>
      <c r="BS93" s="1914"/>
      <c r="BT93" s="2035"/>
      <c r="BU93" s="1914"/>
      <c r="BV93" s="1914"/>
      <c r="BW93" s="2036"/>
      <c r="BX93" s="2035"/>
      <c r="BY93" s="1914"/>
      <c r="BZ93" s="1914"/>
      <c r="CA93" s="2010"/>
      <c r="CB93" s="1914"/>
      <c r="CC93" s="1914"/>
      <c r="CD93" s="1914"/>
      <c r="CE93" s="1914"/>
      <c r="CF93" s="2035"/>
      <c r="CG93" s="1914"/>
      <c r="CH93" s="1914"/>
      <c r="CI93" s="2010"/>
      <c r="CJ93" s="2037"/>
      <c r="CK93" s="1914"/>
      <c r="CL93" s="1914"/>
      <c r="CM93" s="1914"/>
      <c r="CN93" s="2036"/>
      <c r="CO93" s="2037"/>
      <c r="CP93" s="2031"/>
      <c r="CQ93" s="2031"/>
      <c r="CR93" s="2031"/>
      <c r="CS93" s="2036"/>
      <c r="CT93" s="2037"/>
      <c r="CU93" s="1914"/>
      <c r="CV93" s="1914"/>
      <c r="CW93" s="1914"/>
      <c r="CX93" s="2036"/>
      <c r="CY93" s="2037"/>
      <c r="CZ93" s="1914"/>
      <c r="DA93" s="1914"/>
      <c r="DB93" s="1914"/>
      <c r="DC93" s="2036"/>
      <c r="DD93" s="2037"/>
      <c r="DE93" s="1914"/>
      <c r="DF93" s="1914"/>
      <c r="DG93" s="1914"/>
      <c r="DH93" s="2038"/>
      <c r="DI93" s="2037"/>
      <c r="DJ93" s="1914"/>
      <c r="DK93" s="1914"/>
      <c r="DL93" s="1914"/>
      <c r="DM93" s="2038"/>
      <c r="DN93" s="2037"/>
      <c r="DO93" s="1914"/>
      <c r="DP93" s="1914"/>
      <c r="DQ93" s="1914"/>
      <c r="DR93" s="2038"/>
      <c r="DS93" s="2037"/>
      <c r="DT93" s="1914"/>
      <c r="DU93" s="1914"/>
      <c r="DV93" s="1914"/>
      <c r="DW93" s="2038"/>
      <c r="DX93" s="2037"/>
      <c r="DY93" s="1914"/>
      <c r="DZ93" s="1914"/>
      <c r="EA93" s="1914"/>
      <c r="EB93" s="2038"/>
      <c r="EC93" s="2037"/>
      <c r="ED93" s="1914"/>
      <c r="EE93" s="1914"/>
      <c r="EF93" s="1914"/>
      <c r="EG93" s="2038"/>
      <c r="EH93" s="2037"/>
      <c r="EI93" s="1914"/>
      <c r="EJ93" s="1914"/>
      <c r="EK93" s="1914"/>
      <c r="EL93" s="2038"/>
      <c r="EM93" s="1910"/>
      <c r="EN93" s="715"/>
      <c r="EO93" s="715"/>
      <c r="EP93" s="715"/>
      <c r="EQ93" s="366"/>
      <c r="ER93" s="1713"/>
      <c r="ES93" s="1714"/>
      <c r="ET93" s="1714"/>
      <c r="EU93" s="1714"/>
      <c r="EV93" s="1715"/>
      <c r="EW93" s="2031"/>
      <c r="EX93" s="2031"/>
      <c r="EY93" s="2031"/>
      <c r="EZ93" s="593"/>
      <c r="FA93" s="2037"/>
      <c r="FB93" s="2031"/>
      <c r="FC93" s="2031"/>
      <c r="FD93" s="2036"/>
      <c r="FE93" s="2031"/>
      <c r="FF93" s="2031"/>
      <c r="FG93" s="2031"/>
      <c r="FH93" s="593"/>
      <c r="FI93" s="2039"/>
      <c r="FJ93" s="2040"/>
      <c r="FK93" s="2041"/>
      <c r="FL93" s="2041"/>
      <c r="FM93" s="693"/>
      <c r="FN93" s="2031"/>
      <c r="FO93" s="1914"/>
      <c r="FP93" s="1914"/>
      <c r="FQ93" s="1914"/>
      <c r="FR93" s="2032"/>
      <c r="FS93" s="1910"/>
      <c r="FT93" s="715"/>
      <c r="FU93" s="715"/>
      <c r="FV93" s="715"/>
      <c r="FW93" s="366"/>
      <c r="FX93" s="2037"/>
      <c r="FY93" s="1914"/>
      <c r="FZ93" s="1914"/>
      <c r="GA93" s="715"/>
      <c r="GB93" s="366"/>
      <c r="GC93" s="1899"/>
      <c r="GD93" s="1900"/>
      <c r="GE93" s="1900"/>
      <c r="GF93" s="715"/>
      <c r="GG93" s="366"/>
      <c r="GH93" s="1901"/>
      <c r="GI93" s="1824"/>
      <c r="GJ93" s="1824"/>
      <c r="GK93" s="715"/>
      <c r="GL93" s="366"/>
      <c r="GM93" s="1901"/>
      <c r="GN93" s="1824"/>
      <c r="GO93" s="1824"/>
      <c r="GP93" s="715"/>
      <c r="GQ93" s="366"/>
      <c r="GR93" s="2042"/>
      <c r="GS93" s="2043"/>
      <c r="GT93" s="2043"/>
      <c r="GU93" s="715"/>
      <c r="GV93" s="366"/>
      <c r="GW93" s="2042"/>
      <c r="GX93" s="2043"/>
      <c r="GY93" s="2043"/>
      <c r="GZ93" s="715"/>
      <c r="HA93" s="366"/>
      <c r="HB93" s="2042"/>
      <c r="HC93" s="2043"/>
      <c r="HD93" s="2043"/>
      <c r="HE93" s="715"/>
      <c r="HF93" s="366"/>
      <c r="HG93" s="2042"/>
      <c r="HH93" s="2043"/>
      <c r="HI93" s="2043"/>
      <c r="HJ93" s="1818"/>
      <c r="HK93" s="366"/>
      <c r="HL93" s="2042"/>
      <c r="HM93" s="2043"/>
      <c r="HN93" s="2043"/>
      <c r="HO93" s="715"/>
      <c r="HP93" s="366"/>
      <c r="HQ93" s="1905"/>
      <c r="HR93" s="1248"/>
      <c r="HS93" s="1248"/>
      <c r="HT93" s="1248"/>
      <c r="HU93" s="1826"/>
      <c r="HV93" s="1827"/>
      <c r="HW93" s="1089"/>
      <c r="HX93" s="1089"/>
      <c r="HY93" s="1089"/>
      <c r="HZ93" s="1906"/>
      <c r="IA93" s="1907"/>
      <c r="IB93" s="1908"/>
      <c r="IC93" s="1908"/>
      <c r="ID93" s="1909"/>
      <c r="IE93" s="1910"/>
      <c r="IF93" s="1911"/>
      <c r="IG93" s="1912"/>
      <c r="IH93" s="1909"/>
      <c r="II93" s="1835"/>
      <c r="IJ93" s="1836"/>
      <c r="IK93" s="1836"/>
      <c r="IL93" s="693"/>
      <c r="IM93" s="1913"/>
      <c r="IN93" s="1836"/>
      <c r="IO93" s="1836"/>
      <c r="IP93" s="1838"/>
      <c r="IQ93" s="1914"/>
      <c r="IR93" s="2044"/>
      <c r="IS93" s="715"/>
      <c r="IT93" s="715"/>
      <c r="IU93" s="1996"/>
      <c r="IV93" s="2045"/>
      <c r="IW93" s="1910"/>
      <c r="IX93" s="715"/>
      <c r="IY93" s="823"/>
      <c r="IZ93" s="1719"/>
      <c r="JA93" s="1721"/>
      <c r="JB93" s="2046"/>
      <c r="JC93" s="2047"/>
      <c r="JD93" s="2048"/>
      <c r="JE93" s="1719"/>
      <c r="JF93" s="1721"/>
      <c r="JG93" s="1847"/>
      <c r="JH93" s="1096"/>
      <c r="JI93" s="1096"/>
      <c r="JJ93" s="1756"/>
      <c r="JK93" s="1721"/>
      <c r="JL93" s="1927"/>
      <c r="JM93" s="1096"/>
      <c r="JN93" s="1096"/>
      <c r="JO93" s="823"/>
      <c r="JP93" s="1721"/>
      <c r="JQ93" s="1926"/>
      <c r="JR93" s="1982"/>
      <c r="JS93" s="1248"/>
      <c r="JT93" s="1996"/>
      <c r="JU93" s="1821"/>
      <c r="JV93" s="1988"/>
      <c r="JW93" s="2049"/>
      <c r="JX93" s="1850"/>
      <c r="JY93" s="823"/>
      <c r="JZ93" s="1721"/>
      <c r="KA93" s="1847"/>
      <c r="KB93" s="264"/>
      <c r="KC93" s="972"/>
      <c r="KD93" s="964"/>
      <c r="KE93" s="1848"/>
      <c r="KF93" s="1988"/>
      <c r="KG93" s="1850"/>
      <c r="KH93" s="2049"/>
      <c r="KI93" s="1719"/>
      <c r="KJ93" s="1721"/>
      <c r="KK93" s="1988"/>
      <c r="KL93" s="1850"/>
      <c r="KM93" s="2049"/>
      <c r="KN93" s="1851"/>
      <c r="KO93" s="1852"/>
      <c r="KP93" s="1823"/>
      <c r="KQ93" s="1982"/>
      <c r="KR93" s="1248"/>
      <c r="KS93" s="1996"/>
      <c r="KT93" s="1819"/>
      <c r="KU93" s="1853"/>
      <c r="KV93" s="264"/>
      <c r="KW93" s="264"/>
      <c r="KX93" s="264"/>
      <c r="KY93" s="75"/>
      <c r="KZ93" s="1857"/>
      <c r="LA93" s="358"/>
      <c r="LB93" s="358"/>
      <c r="LC93" s="358"/>
      <c r="LD93" s="151"/>
      <c r="LE93" s="1854"/>
      <c r="LF93" s="1855"/>
      <c r="LG93" s="1855"/>
      <c r="LH93" s="1856"/>
      <c r="LI93" s="1857"/>
      <c r="LJ93" s="1858"/>
      <c r="LK93" s="1854"/>
      <c r="LL93" s="1856"/>
      <c r="LM93" s="1859"/>
      <c r="LN93" s="1727"/>
      <c r="LO93" s="1727"/>
      <c r="LP93" s="151"/>
      <c r="LQ93" s="1860"/>
      <c r="LR93" s="1727"/>
      <c r="LS93" s="1727"/>
      <c r="LT93" s="1861"/>
      <c r="LV93" s="439"/>
      <c r="LW93" s="208"/>
      <c r="LX93" s="208"/>
      <c r="LY93" s="96"/>
      <c r="LZ93" s="78"/>
      <c r="MA93" s="1832"/>
      <c r="MB93" s="622"/>
      <c r="MC93" s="622"/>
      <c r="MD93" s="372"/>
      <c r="ME93" s="207"/>
      <c r="MF93" s="405"/>
      <c r="MG93" s="1575"/>
      <c r="MH93" s="1568"/>
      <c r="MI93" s="371"/>
      <c r="MJ93" s="157"/>
      <c r="MK93" s="354"/>
      <c r="ML93" s="208"/>
      <c r="MM93" s="358"/>
      <c r="MN93" s="371"/>
      <c r="MO93" s="157"/>
      <c r="MP93" s="1579"/>
      <c r="MQ93" s="264"/>
      <c r="MR93" s="264"/>
      <c r="MS93" s="264"/>
      <c r="MT93" s="597"/>
      <c r="MU93" s="209"/>
      <c r="MV93" s="208"/>
      <c r="MW93" s="208"/>
      <c r="MX93" s="208"/>
      <c r="MY93" s="655"/>
      <c r="MZ93" s="209"/>
      <c r="NA93" s="208"/>
      <c r="NB93" s="208"/>
      <c r="NC93" s="208"/>
      <c r="ND93" s="1313"/>
      <c r="NE93" s="209"/>
      <c r="NF93" s="208"/>
      <c r="NG93" s="208"/>
      <c r="NH93" s="208"/>
      <c r="NI93" s="1313"/>
      <c r="NJ93" s="209"/>
      <c r="NK93" s="208"/>
      <c r="NL93" s="208"/>
      <c r="NM93" s="208"/>
      <c r="NN93" s="1313"/>
      <c r="NO93" s="357"/>
      <c r="NP93" s="358"/>
      <c r="NQ93" s="359"/>
      <c r="NR93" s="208"/>
      <c r="NS93" s="1313"/>
      <c r="NT93" s="357"/>
      <c r="NU93" s="358"/>
      <c r="NV93" s="358"/>
      <c r="NW93" s="208"/>
      <c r="NX93" s="1313"/>
      <c r="NY93" s="357"/>
      <c r="NZ93" s="358"/>
      <c r="OA93" s="358"/>
      <c r="OB93" s="622"/>
      <c r="OC93" s="116"/>
      <c r="OD93" s="191"/>
      <c r="OE93" s="358"/>
      <c r="OF93" s="358"/>
      <c r="OG93" s="358"/>
      <c r="OH93" s="220"/>
      <c r="OI93" s="1863"/>
      <c r="OJ93" s="105"/>
      <c r="OK93" s="105"/>
      <c r="OL93" s="105"/>
      <c r="OM93" s="106"/>
      <c r="ON93" s="358"/>
      <c r="OO93" s="358"/>
      <c r="OP93" s="358"/>
      <c r="OQ93" s="359"/>
      <c r="OR93" s="169"/>
      <c r="OS93" s="686"/>
      <c r="OT93" s="146"/>
      <c r="OU93" s="146"/>
      <c r="OV93" s="1864"/>
      <c r="OW93" s="203"/>
      <c r="OX93" s="357"/>
      <c r="OY93" s="358"/>
      <c r="OZ93" s="358"/>
      <c r="PA93" s="359"/>
      <c r="PB93" s="114"/>
      <c r="PC93" s="79"/>
      <c r="PD93" s="439"/>
      <c r="PE93" s="208"/>
      <c r="PF93" s="208"/>
      <c r="PG93" s="96"/>
      <c r="PH93" s="78"/>
      <c r="PI93" s="401"/>
      <c r="PJ93" s="395"/>
      <c r="PK93" s="395"/>
      <c r="PL93" s="96"/>
      <c r="PM93" s="78"/>
      <c r="PN93" s="439"/>
      <c r="PO93" s="208"/>
      <c r="PP93" s="358"/>
      <c r="PQ93" s="371"/>
      <c r="PR93" s="157"/>
      <c r="PS93" s="354"/>
      <c r="PT93" s="208"/>
      <c r="PU93" s="358"/>
      <c r="PV93" s="371"/>
      <c r="PW93" s="157"/>
      <c r="PX93" s="1579"/>
      <c r="PY93" s="264"/>
      <c r="PZ93" s="264"/>
      <c r="QA93" s="1248"/>
      <c r="QB93" s="597"/>
      <c r="QC93" s="209"/>
      <c r="QD93" s="208"/>
      <c r="QE93" s="208"/>
      <c r="QF93" s="208"/>
      <c r="QG93" s="655"/>
      <c r="QH93" s="439"/>
      <c r="QI93" s="208"/>
      <c r="QJ93" s="208"/>
      <c r="QK93" s="208"/>
      <c r="QL93" s="1313"/>
      <c r="QM93" s="439"/>
      <c r="QN93" s="208"/>
      <c r="QO93" s="208"/>
      <c r="QP93" s="208"/>
      <c r="QQ93" s="801"/>
      <c r="QR93" s="209"/>
      <c r="QS93" s="208"/>
      <c r="QT93" s="208"/>
      <c r="QU93" s="208"/>
      <c r="QV93" s="157"/>
      <c r="QW93" s="209"/>
      <c r="QX93" s="208"/>
      <c r="QY93" s="208"/>
      <c r="QZ93" s="208"/>
      <c r="RA93" s="2083"/>
      <c r="RB93" s="209"/>
      <c r="RC93" s="208"/>
      <c r="RD93" s="208"/>
      <c r="RE93" s="208"/>
      <c r="RF93" s="114"/>
      <c r="RG93" s="1857"/>
      <c r="RH93" s="208"/>
      <c r="RI93" s="208"/>
      <c r="RJ93" s="772"/>
      <c r="RK93" s="116"/>
      <c r="RL93" s="1567"/>
      <c r="RM93" s="1568"/>
      <c r="RN93" s="1568"/>
      <c r="RO93" s="1568"/>
      <c r="RP93" s="220"/>
      <c r="RQ93" s="1863"/>
      <c r="RR93" s="105"/>
      <c r="RS93" s="105"/>
      <c r="RT93" s="105"/>
      <c r="RU93" s="106"/>
      <c r="RV93" s="358"/>
      <c r="RW93" s="358"/>
      <c r="RX93" s="358"/>
      <c r="RY93" s="359"/>
      <c r="RZ93" s="169"/>
      <c r="SA93" s="686"/>
      <c r="SB93" s="146"/>
      <c r="SC93" s="146"/>
      <c r="SD93" s="1864"/>
      <c r="SE93" s="203"/>
      <c r="SF93" s="1567"/>
      <c r="SG93" s="358"/>
      <c r="SH93" s="358"/>
      <c r="SI93" s="359"/>
      <c r="SJ93" s="114"/>
      <c r="SL93" s="439"/>
      <c r="SM93" s="208"/>
      <c r="SN93" s="208"/>
      <c r="SO93" s="96"/>
      <c r="SP93" s="78"/>
      <c r="SQ93" s="439"/>
      <c r="SR93" s="208"/>
      <c r="SS93" s="208"/>
      <c r="ST93" s="115"/>
      <c r="SU93" s="1498"/>
      <c r="SV93" s="401"/>
      <c r="SW93" s="395"/>
      <c r="SX93" s="622"/>
      <c r="SY93" s="372"/>
      <c r="SZ93" s="207"/>
      <c r="TA93" s="2573">
        <v>1</v>
      </c>
      <c r="TB93" s="395">
        <v>16935.677419354837</v>
      </c>
      <c r="TC93" s="622">
        <v>23225.806451612902</v>
      </c>
      <c r="TD93" s="115">
        <f>TC93-TB93</f>
        <v>6290.1290322580644</v>
      </c>
      <c r="TE93" s="362">
        <f>TD93/TC93</f>
        <v>0.27082500000000004</v>
      </c>
      <c r="TF93" s="354">
        <v>5</v>
      </c>
      <c r="TG93" s="208">
        <v>200559</v>
      </c>
      <c r="TH93" s="208">
        <v>335000</v>
      </c>
      <c r="TI93" s="395">
        <f t="shared" si="422"/>
        <v>134441</v>
      </c>
      <c r="TJ93" s="114">
        <f t="shared" si="296"/>
        <v>0.40131641791044775</v>
      </c>
      <c r="TK93" s="1318">
        <v>5</v>
      </c>
      <c r="TL93" s="395">
        <v>282501</v>
      </c>
      <c r="TM93" s="395">
        <v>380000</v>
      </c>
      <c r="TN93" s="395">
        <f t="shared" si="351"/>
        <v>97499</v>
      </c>
      <c r="TO93" s="116">
        <f t="shared" si="364"/>
        <v>0.25657631578947371</v>
      </c>
      <c r="TP93" s="1574">
        <v>7</v>
      </c>
      <c r="TQ93" s="208">
        <v>410951</v>
      </c>
      <c r="TR93" s="208">
        <v>628000</v>
      </c>
      <c r="TS93" s="994">
        <f t="shared" si="352"/>
        <v>217049</v>
      </c>
      <c r="TT93" s="114">
        <f t="shared" si="365"/>
        <v>0.34561942675159235</v>
      </c>
      <c r="TU93" s="4432">
        <v>8</v>
      </c>
      <c r="TV93" s="208">
        <v>438490</v>
      </c>
      <c r="TW93" s="208">
        <v>681300</v>
      </c>
      <c r="TX93" s="994">
        <f t="shared" si="353"/>
        <v>242810</v>
      </c>
      <c r="TY93" s="116">
        <f t="shared" si="366"/>
        <v>0.35639219139879641</v>
      </c>
      <c r="TZ93" s="209">
        <v>8</v>
      </c>
      <c r="UA93" s="208">
        <v>453033</v>
      </c>
      <c r="UB93" s="208">
        <v>728000</v>
      </c>
      <c r="UC93" s="994">
        <f>UB93-UA93</f>
        <v>274967</v>
      </c>
      <c r="UD93" s="116">
        <f t="shared" si="395"/>
        <v>0.37770192307692307</v>
      </c>
      <c r="UE93" s="1868">
        <v>8</v>
      </c>
      <c r="UF93" s="1575">
        <v>459069</v>
      </c>
      <c r="UG93" s="1575">
        <v>728000</v>
      </c>
      <c r="UH93" s="1575">
        <f t="shared" si="322"/>
        <v>268931</v>
      </c>
      <c r="UI93" s="6495">
        <f t="shared" si="367"/>
        <v>0.36941071428571426</v>
      </c>
      <c r="UJ93" s="209"/>
      <c r="UK93" s="208"/>
      <c r="UL93" s="208"/>
      <c r="UM93" s="208"/>
      <c r="UN93" s="114"/>
      <c r="UO93" s="1567"/>
      <c r="UP93" s="1568"/>
      <c r="UQ93" s="1568"/>
      <c r="UR93" s="1873"/>
      <c r="US93" s="116"/>
      <c r="UT93" s="1567"/>
      <c r="UU93" s="358">
        <f t="shared" si="371"/>
        <v>2261538.6774193547</v>
      </c>
      <c r="UV93" s="358">
        <f t="shared" si="371"/>
        <v>3503525.8064516131</v>
      </c>
      <c r="UW93" s="358">
        <f t="shared" si="371"/>
        <v>1241987.1290322582</v>
      </c>
      <c r="UX93" s="220">
        <f t="shared" si="358"/>
        <v>0.35449635528449225</v>
      </c>
      <c r="UY93" s="1863">
        <f t="shared" si="324"/>
        <v>0</v>
      </c>
      <c r="UZ93" s="105">
        <f t="shared" si="424"/>
        <v>0</v>
      </c>
      <c r="VA93" s="105">
        <f t="shared" si="424"/>
        <v>0</v>
      </c>
      <c r="VB93" s="105">
        <f t="shared" si="424"/>
        <v>0</v>
      </c>
      <c r="VC93" s="106" t="e">
        <f t="shared" si="325"/>
        <v>#DIV/0!</v>
      </c>
      <c r="VD93" s="358"/>
      <c r="VE93" s="358">
        <f t="shared" si="423"/>
        <v>499995.67741935485</v>
      </c>
      <c r="VF93" s="358">
        <f t="shared" si="423"/>
        <v>738225.80645161285</v>
      </c>
      <c r="VG93" s="359">
        <f t="shared" si="423"/>
        <v>238230.12903225806</v>
      </c>
      <c r="VH93" s="169">
        <f t="shared" si="372"/>
        <v>0.32270631417959361</v>
      </c>
      <c r="VI93" s="686"/>
      <c r="VJ93" s="146">
        <f t="shared" si="373"/>
        <v>1302474</v>
      </c>
      <c r="VK93" s="146">
        <f t="shared" si="360"/>
        <v>2037300</v>
      </c>
      <c r="VL93" s="1864">
        <f t="shared" si="360"/>
        <v>734826</v>
      </c>
      <c r="VM93" s="203"/>
      <c r="VN93" s="1567"/>
      <c r="VO93" s="358"/>
      <c r="VP93" s="358"/>
      <c r="VQ93" s="359"/>
      <c r="VR93" s="114"/>
    </row>
    <row r="94" spans="1:590" s="1193" customFormat="1" ht="13.45" x14ac:dyDescent="0.3">
      <c r="A94" s="1297"/>
      <c r="B94" s="1773" t="s">
        <v>53</v>
      </c>
      <c r="C94" s="3710" t="s">
        <v>977</v>
      </c>
      <c r="D94" s="3623"/>
      <c r="E94" s="1993"/>
      <c r="F94" s="1993"/>
      <c r="G94" s="1994"/>
      <c r="H94" s="2031"/>
      <c r="I94" s="1914"/>
      <c r="J94" s="1914"/>
      <c r="K94" s="1914"/>
      <c r="L94" s="593"/>
      <c r="M94" s="2031"/>
      <c r="N94" s="1914"/>
      <c r="O94" s="1914"/>
      <c r="P94" s="1914"/>
      <c r="Q94" s="593"/>
      <c r="R94" s="2031"/>
      <c r="S94" s="1914"/>
      <c r="T94" s="1914"/>
      <c r="U94" s="1914"/>
      <c r="V94" s="593"/>
      <c r="W94" s="2031"/>
      <c r="X94" s="1914"/>
      <c r="Y94" s="1914"/>
      <c r="Z94" s="1914"/>
      <c r="AA94" s="2032"/>
      <c r="AB94" s="2031"/>
      <c r="AC94" s="1914"/>
      <c r="AD94" s="1914"/>
      <c r="AE94" s="1914"/>
      <c r="AF94" s="2032"/>
      <c r="AG94" s="1914"/>
      <c r="AH94" s="1914"/>
      <c r="AI94" s="1914"/>
      <c r="AJ94" s="1914"/>
      <c r="AK94" s="593"/>
      <c r="AL94" s="1914"/>
      <c r="AM94" s="1914"/>
      <c r="AN94" s="1914"/>
      <c r="AO94" s="1914"/>
      <c r="AP94" s="593"/>
      <c r="AQ94" s="1914"/>
      <c r="AR94" s="1914"/>
      <c r="AS94" s="1914"/>
      <c r="AT94" s="1914"/>
      <c r="AU94" s="593"/>
      <c r="AV94" s="2033"/>
      <c r="AW94" s="1914"/>
      <c r="AX94" s="1914"/>
      <c r="AY94" s="1914"/>
      <c r="AZ94" s="2032"/>
      <c r="BA94" s="2033"/>
      <c r="BB94" s="1914"/>
      <c r="BC94" s="1914"/>
      <c r="BD94" s="1914"/>
      <c r="BE94" s="2032"/>
      <c r="BF94" s="2033"/>
      <c r="BG94" s="1914"/>
      <c r="BH94" s="1914"/>
      <c r="BI94" s="1914"/>
      <c r="BJ94" s="2032"/>
      <c r="BK94" s="2033"/>
      <c r="BL94" s="1914"/>
      <c r="BM94" s="1914"/>
      <c r="BN94" s="1914"/>
      <c r="BO94" s="2032"/>
      <c r="BP94" s="2034"/>
      <c r="BQ94" s="1914"/>
      <c r="BR94" s="1914"/>
      <c r="BS94" s="1914"/>
      <c r="BT94" s="2035"/>
      <c r="BU94" s="1914"/>
      <c r="BV94" s="1914"/>
      <c r="BW94" s="2036"/>
      <c r="BX94" s="2035"/>
      <c r="BY94" s="1914"/>
      <c r="BZ94" s="1914"/>
      <c r="CA94" s="2010"/>
      <c r="CB94" s="1914"/>
      <c r="CC94" s="1914"/>
      <c r="CD94" s="1914"/>
      <c r="CE94" s="1914"/>
      <c r="CF94" s="2035"/>
      <c r="CG94" s="1914"/>
      <c r="CH94" s="1914"/>
      <c r="CI94" s="2010"/>
      <c r="CJ94" s="2037"/>
      <c r="CK94" s="1914"/>
      <c r="CL94" s="1914"/>
      <c r="CM94" s="1914"/>
      <c r="CN94" s="2036"/>
      <c r="CO94" s="2037"/>
      <c r="CP94" s="2031"/>
      <c r="CQ94" s="2031"/>
      <c r="CR94" s="2031"/>
      <c r="CS94" s="2036"/>
      <c r="CT94" s="2037"/>
      <c r="CU94" s="1914"/>
      <c r="CV94" s="1914"/>
      <c r="CW94" s="1914"/>
      <c r="CX94" s="2036"/>
      <c r="CY94" s="2037"/>
      <c r="CZ94" s="1914"/>
      <c r="DA94" s="1914"/>
      <c r="DB94" s="1914"/>
      <c r="DC94" s="2036"/>
      <c r="DD94" s="2037"/>
      <c r="DE94" s="1914"/>
      <c r="DF94" s="1914"/>
      <c r="DG94" s="1914"/>
      <c r="DH94" s="2038"/>
      <c r="DI94" s="2037"/>
      <c r="DJ94" s="1914"/>
      <c r="DK94" s="1914"/>
      <c r="DL94" s="1914"/>
      <c r="DM94" s="2038"/>
      <c r="DN94" s="2037"/>
      <c r="DO94" s="1914"/>
      <c r="DP94" s="1914"/>
      <c r="DQ94" s="1914"/>
      <c r="DR94" s="2038"/>
      <c r="DS94" s="2037"/>
      <c r="DT94" s="1914"/>
      <c r="DU94" s="1914"/>
      <c r="DV94" s="1914"/>
      <c r="DW94" s="2038"/>
      <c r="DX94" s="2037"/>
      <c r="DY94" s="1914"/>
      <c r="DZ94" s="1914"/>
      <c r="EA94" s="1914"/>
      <c r="EB94" s="2038"/>
      <c r="EC94" s="2037"/>
      <c r="ED94" s="1914"/>
      <c r="EE94" s="1914"/>
      <c r="EF94" s="1914"/>
      <c r="EG94" s="2038"/>
      <c r="EH94" s="2037"/>
      <c r="EI94" s="1914"/>
      <c r="EJ94" s="1914"/>
      <c r="EK94" s="1914"/>
      <c r="EL94" s="2038"/>
      <c r="EM94" s="1910"/>
      <c r="EN94" s="715"/>
      <c r="EO94" s="715"/>
      <c r="EP94" s="715"/>
      <c r="EQ94" s="366"/>
      <c r="ER94" s="1713"/>
      <c r="ES94" s="1714"/>
      <c r="ET94" s="1714"/>
      <c r="EU94" s="1714"/>
      <c r="EV94" s="1715"/>
      <c r="EW94" s="2031"/>
      <c r="EX94" s="2031"/>
      <c r="EY94" s="2031"/>
      <c r="EZ94" s="593"/>
      <c r="FA94" s="2037"/>
      <c r="FB94" s="2031"/>
      <c r="FC94" s="2031"/>
      <c r="FD94" s="2036"/>
      <c r="FE94" s="2031"/>
      <c r="FF94" s="2031"/>
      <c r="FG94" s="2031"/>
      <c r="FH94" s="593"/>
      <c r="FI94" s="2039"/>
      <c r="FJ94" s="2040"/>
      <c r="FK94" s="2041"/>
      <c r="FL94" s="2041"/>
      <c r="FM94" s="693"/>
      <c r="FN94" s="2031"/>
      <c r="FO94" s="1914"/>
      <c r="FP94" s="1914"/>
      <c r="FQ94" s="1914"/>
      <c r="FR94" s="2032"/>
      <c r="FS94" s="1910"/>
      <c r="FT94" s="715"/>
      <c r="FU94" s="715"/>
      <c r="FV94" s="715"/>
      <c r="FW94" s="366"/>
      <c r="FX94" s="2037"/>
      <c r="FY94" s="1914"/>
      <c r="FZ94" s="1914"/>
      <c r="GA94" s="715"/>
      <c r="GB94" s="366"/>
      <c r="GC94" s="1899"/>
      <c r="GD94" s="1900"/>
      <c r="GE94" s="1900"/>
      <c r="GF94" s="715"/>
      <c r="GG94" s="366"/>
      <c r="GH94" s="1901"/>
      <c r="GI94" s="1824"/>
      <c r="GJ94" s="1824"/>
      <c r="GK94" s="715"/>
      <c r="GL94" s="366"/>
      <c r="GM94" s="1901"/>
      <c r="GN94" s="1824"/>
      <c r="GO94" s="1824"/>
      <c r="GP94" s="715"/>
      <c r="GQ94" s="366"/>
      <c r="GR94" s="2042"/>
      <c r="GS94" s="2043"/>
      <c r="GT94" s="2043"/>
      <c r="GU94" s="715"/>
      <c r="GV94" s="366"/>
      <c r="GW94" s="2042"/>
      <c r="GX94" s="2043"/>
      <c r="GY94" s="2043"/>
      <c r="GZ94" s="715"/>
      <c r="HA94" s="366"/>
      <c r="HB94" s="2042"/>
      <c r="HC94" s="2043"/>
      <c r="HD94" s="2043"/>
      <c r="HE94" s="715"/>
      <c r="HF94" s="366"/>
      <c r="HG94" s="2042"/>
      <c r="HH94" s="2043"/>
      <c r="HI94" s="2043"/>
      <c r="HJ94" s="1818"/>
      <c r="HK94" s="366"/>
      <c r="HL94" s="2042"/>
      <c r="HM94" s="2043"/>
      <c r="HN94" s="2043"/>
      <c r="HO94" s="715"/>
      <c r="HP94" s="366"/>
      <c r="HQ94" s="1905"/>
      <c r="HR94" s="1248"/>
      <c r="HS94" s="1248"/>
      <c r="HT94" s="1248"/>
      <c r="HU94" s="1826"/>
      <c r="HV94" s="1827"/>
      <c r="HW94" s="1089"/>
      <c r="HX94" s="1089"/>
      <c r="HY94" s="1089"/>
      <c r="HZ94" s="1906"/>
      <c r="IA94" s="1907"/>
      <c r="IB94" s="1908"/>
      <c r="IC94" s="1908"/>
      <c r="ID94" s="1909"/>
      <c r="IE94" s="1910"/>
      <c r="IF94" s="1911"/>
      <c r="IG94" s="1912"/>
      <c r="IH94" s="1909"/>
      <c r="II94" s="1835"/>
      <c r="IJ94" s="1836"/>
      <c r="IK94" s="1836"/>
      <c r="IL94" s="693"/>
      <c r="IM94" s="1913"/>
      <c r="IN94" s="1836"/>
      <c r="IO94" s="1836"/>
      <c r="IP94" s="1838"/>
      <c r="IQ94" s="1914"/>
      <c r="IR94" s="2044"/>
      <c r="IS94" s="715"/>
      <c r="IT94" s="715"/>
      <c r="IU94" s="1996"/>
      <c r="IV94" s="2045"/>
      <c r="IW94" s="1910"/>
      <c r="IX94" s="715"/>
      <c r="IY94" s="823"/>
      <c r="IZ94" s="1719"/>
      <c r="JA94" s="1721"/>
      <c r="JB94" s="2046"/>
      <c r="JC94" s="2047"/>
      <c r="JD94" s="2048"/>
      <c r="JE94" s="1719"/>
      <c r="JF94" s="1721"/>
      <c r="JG94" s="1847"/>
      <c r="JH94" s="1096"/>
      <c r="JI94" s="1096"/>
      <c r="JJ94" s="1756"/>
      <c r="JK94" s="1721"/>
      <c r="JL94" s="1927"/>
      <c r="JM94" s="1096"/>
      <c r="JN94" s="1096"/>
      <c r="JO94" s="823"/>
      <c r="JP94" s="1721"/>
      <c r="JQ94" s="1926"/>
      <c r="JR94" s="1982"/>
      <c r="JS94" s="1248"/>
      <c r="JT94" s="1996"/>
      <c r="JU94" s="1821"/>
      <c r="JV94" s="1988"/>
      <c r="JW94" s="2049"/>
      <c r="JX94" s="1850"/>
      <c r="JY94" s="823"/>
      <c r="JZ94" s="1721"/>
      <c r="KA94" s="1847"/>
      <c r="KB94" s="264"/>
      <c r="KC94" s="972"/>
      <c r="KD94" s="964"/>
      <c r="KE94" s="1848"/>
      <c r="KF94" s="1988"/>
      <c r="KG94" s="1850"/>
      <c r="KH94" s="2049"/>
      <c r="KI94" s="1719"/>
      <c r="KJ94" s="1721"/>
      <c r="KK94" s="1988"/>
      <c r="KL94" s="1850"/>
      <c r="KM94" s="2049"/>
      <c r="KN94" s="1851"/>
      <c r="KO94" s="1852"/>
      <c r="KP94" s="1823"/>
      <c r="KQ94" s="1982"/>
      <c r="KR94" s="1248"/>
      <c r="KS94" s="1996"/>
      <c r="KT94" s="1819"/>
      <c r="KU94" s="1853"/>
      <c r="KV94" s="264"/>
      <c r="KW94" s="264"/>
      <c r="KX94" s="264"/>
      <c r="KY94" s="75"/>
      <c r="KZ94" s="1857"/>
      <c r="LA94" s="358"/>
      <c r="LB94" s="358"/>
      <c r="LC94" s="358"/>
      <c r="LD94" s="151"/>
      <c r="LE94" s="1854"/>
      <c r="LF94" s="1855"/>
      <c r="LG94" s="1855"/>
      <c r="LH94" s="1856"/>
      <c r="LI94" s="1857"/>
      <c r="LJ94" s="1858"/>
      <c r="LK94" s="1854"/>
      <c r="LL94" s="1856"/>
      <c r="LM94" s="1859"/>
      <c r="LN94" s="1727"/>
      <c r="LO94" s="1727"/>
      <c r="LP94" s="151"/>
      <c r="LQ94" s="1860"/>
      <c r="LR94" s="1727"/>
      <c r="LS94" s="1727"/>
      <c r="LT94" s="1861"/>
      <c r="LV94" s="439"/>
      <c r="LW94" s="208"/>
      <c r="LX94" s="208"/>
      <c r="LY94" s="96"/>
      <c r="LZ94" s="78"/>
      <c r="MA94" s="1832"/>
      <c r="MB94" s="622"/>
      <c r="MC94" s="622"/>
      <c r="MD94" s="372"/>
      <c r="ME94" s="207"/>
      <c r="MF94" s="405"/>
      <c r="MG94" s="1575"/>
      <c r="MH94" s="1568"/>
      <c r="MI94" s="371"/>
      <c r="MJ94" s="157"/>
      <c r="MK94" s="354"/>
      <c r="ML94" s="208"/>
      <c r="MM94" s="358"/>
      <c r="MN94" s="371"/>
      <c r="MO94" s="157"/>
      <c r="MP94" s="1579"/>
      <c r="MQ94" s="264"/>
      <c r="MR94" s="264"/>
      <c r="MS94" s="264"/>
      <c r="MT94" s="597"/>
      <c r="MU94" s="209"/>
      <c r="MV94" s="208"/>
      <c r="MW94" s="208"/>
      <c r="MX94" s="208"/>
      <c r="MY94" s="655"/>
      <c r="MZ94" s="209"/>
      <c r="NA94" s="208"/>
      <c r="NB94" s="208"/>
      <c r="NC94" s="208"/>
      <c r="ND94" s="1313"/>
      <c r="NE94" s="209"/>
      <c r="NF94" s="208"/>
      <c r="NG94" s="208"/>
      <c r="NH94" s="208"/>
      <c r="NI94" s="1313"/>
      <c r="NJ94" s="209"/>
      <c r="NK94" s="208"/>
      <c r="NL94" s="208"/>
      <c r="NM94" s="208"/>
      <c r="NN94" s="1313"/>
      <c r="NO94" s="357"/>
      <c r="NP94" s="358"/>
      <c r="NQ94" s="359"/>
      <c r="NR94" s="208"/>
      <c r="NS94" s="1313"/>
      <c r="NT94" s="357"/>
      <c r="NU94" s="358"/>
      <c r="NV94" s="358"/>
      <c r="NW94" s="208"/>
      <c r="NX94" s="1313"/>
      <c r="NY94" s="357"/>
      <c r="NZ94" s="358"/>
      <c r="OA94" s="358"/>
      <c r="OB94" s="622"/>
      <c r="OC94" s="116"/>
      <c r="OD94" s="191"/>
      <c r="OE94" s="358"/>
      <c r="OF94" s="358"/>
      <c r="OG94" s="358"/>
      <c r="OH94" s="220"/>
      <c r="OI94" s="1863"/>
      <c r="OJ94" s="105"/>
      <c r="OK94" s="105"/>
      <c r="OL94" s="105"/>
      <c r="OM94" s="106"/>
      <c r="ON94" s="358"/>
      <c r="OO94" s="358"/>
      <c r="OP94" s="358"/>
      <c r="OQ94" s="359"/>
      <c r="OR94" s="169"/>
      <c r="OS94" s="686"/>
      <c r="OT94" s="146"/>
      <c r="OU94" s="146"/>
      <c r="OV94" s="1864"/>
      <c r="OW94" s="203"/>
      <c r="OX94" s="357"/>
      <c r="OY94" s="358"/>
      <c r="OZ94" s="358"/>
      <c r="PA94" s="359"/>
      <c r="PB94" s="114"/>
      <c r="PC94" s="79"/>
      <c r="PD94" s="439"/>
      <c r="PE94" s="208"/>
      <c r="PF94" s="208"/>
      <c r="PG94" s="96"/>
      <c r="PH94" s="78"/>
      <c r="PI94" s="401"/>
      <c r="PJ94" s="395"/>
      <c r="PK94" s="395"/>
      <c r="PL94" s="96"/>
      <c r="PM94" s="78"/>
      <c r="PN94" s="439"/>
      <c r="PO94" s="208"/>
      <c r="PP94" s="358"/>
      <c r="PQ94" s="371"/>
      <c r="PR94" s="157"/>
      <c r="PS94" s="354"/>
      <c r="PT94" s="208"/>
      <c r="PU94" s="358"/>
      <c r="PV94" s="371"/>
      <c r="PW94" s="157"/>
      <c r="PX94" s="1579"/>
      <c r="PY94" s="264"/>
      <c r="PZ94" s="264"/>
      <c r="QA94" s="1248"/>
      <c r="QB94" s="597"/>
      <c r="QC94" s="209"/>
      <c r="QD94" s="208"/>
      <c r="QE94" s="208"/>
      <c r="QF94" s="208"/>
      <c r="QG94" s="655"/>
      <c r="QH94" s="439"/>
      <c r="QI94" s="208"/>
      <c r="QJ94" s="208"/>
      <c r="QK94" s="208"/>
      <c r="QL94" s="1313"/>
      <c r="QM94" s="439"/>
      <c r="QN94" s="208"/>
      <c r="QO94" s="208"/>
      <c r="QP94" s="208"/>
      <c r="QQ94" s="801"/>
      <c r="QR94" s="209"/>
      <c r="QS94" s="208"/>
      <c r="QT94" s="208"/>
      <c r="QU94" s="208"/>
      <c r="QV94" s="157"/>
      <c r="QW94" s="209"/>
      <c r="QX94" s="208"/>
      <c r="QY94" s="208"/>
      <c r="QZ94" s="208"/>
      <c r="RA94" s="2083"/>
      <c r="RB94" s="209"/>
      <c r="RC94" s="208"/>
      <c r="RD94" s="208"/>
      <c r="RE94" s="208"/>
      <c r="RF94" s="114"/>
      <c r="RG94" s="1857"/>
      <c r="RH94" s="208"/>
      <c r="RI94" s="208"/>
      <c r="RJ94" s="772"/>
      <c r="RK94" s="116"/>
      <c r="RL94" s="1567"/>
      <c r="RM94" s="1568"/>
      <c r="RN94" s="1568"/>
      <c r="RO94" s="1568"/>
      <c r="RP94" s="220"/>
      <c r="RQ94" s="1863"/>
      <c r="RR94" s="105"/>
      <c r="RS94" s="105"/>
      <c r="RT94" s="105"/>
      <c r="RU94" s="106"/>
      <c r="RV94" s="358"/>
      <c r="RW94" s="358"/>
      <c r="RX94" s="358"/>
      <c r="RY94" s="359"/>
      <c r="RZ94" s="169"/>
      <c r="SA94" s="686"/>
      <c r="SB94" s="146"/>
      <c r="SC94" s="146"/>
      <c r="SD94" s="1864"/>
      <c r="SE94" s="203"/>
      <c r="SF94" s="1567"/>
      <c r="SG94" s="358"/>
      <c r="SH94" s="358"/>
      <c r="SI94" s="359"/>
      <c r="SJ94" s="114"/>
      <c r="SL94" s="439"/>
      <c r="SM94" s="208"/>
      <c r="SN94" s="208"/>
      <c r="SO94" s="96"/>
      <c r="SP94" s="78"/>
      <c r="SQ94" s="439"/>
      <c r="SR94" s="208"/>
      <c r="SS94" s="208"/>
      <c r="ST94" s="115"/>
      <c r="SU94" s="1498"/>
      <c r="SV94" s="401"/>
      <c r="SW94" s="395"/>
      <c r="SX94" s="622"/>
      <c r="SY94" s="372"/>
      <c r="SZ94" s="207"/>
      <c r="TA94" s="2573">
        <v>1</v>
      </c>
      <c r="TB94" s="395">
        <v>17643</v>
      </c>
      <c r="TC94" s="622">
        <v>31196</v>
      </c>
      <c r="TD94" s="115">
        <f>TC94-TB94</f>
        <v>13553</v>
      </c>
      <c r="TE94" s="362">
        <f>TD94/TC94</f>
        <v>0.43444672393896655</v>
      </c>
      <c r="TF94" s="1574">
        <v>2</v>
      </c>
      <c r="TG94" s="208">
        <v>52658</v>
      </c>
      <c r="TH94" s="208">
        <v>63432</v>
      </c>
      <c r="TI94" s="395">
        <f t="shared" si="422"/>
        <v>10774</v>
      </c>
      <c r="TJ94" s="114">
        <f t="shared" si="296"/>
        <v>0.16985117921553791</v>
      </c>
      <c r="TK94" s="209">
        <v>4</v>
      </c>
      <c r="TL94" s="208">
        <f>88954+35000</f>
        <v>123954</v>
      </c>
      <c r="TM94" s="208">
        <f>105600+44000</f>
        <v>149600</v>
      </c>
      <c r="TN94" s="395">
        <f t="shared" si="351"/>
        <v>25646</v>
      </c>
      <c r="TO94" s="114">
        <f t="shared" si="364"/>
        <v>0.17143048128342245</v>
      </c>
      <c r="TP94" s="4432">
        <v>4</v>
      </c>
      <c r="TQ94" s="208">
        <v>151666</v>
      </c>
      <c r="TR94" s="208">
        <v>176000</v>
      </c>
      <c r="TS94" s="994">
        <f t="shared" si="352"/>
        <v>24334</v>
      </c>
      <c r="TT94" s="114">
        <f t="shared" si="365"/>
        <v>0.13826136363636363</v>
      </c>
      <c r="TU94" s="4432">
        <v>4</v>
      </c>
      <c r="TV94" s="208">
        <v>146926</v>
      </c>
      <c r="TW94" s="208">
        <v>176000</v>
      </c>
      <c r="TX94" s="994">
        <f t="shared" si="353"/>
        <v>29074</v>
      </c>
      <c r="TY94" s="116">
        <f t="shared" si="366"/>
        <v>0.16519318181818182</v>
      </c>
      <c r="TZ94" s="209">
        <v>4</v>
      </c>
      <c r="UA94" s="208">
        <v>150519</v>
      </c>
      <c r="UB94" s="208">
        <v>176000</v>
      </c>
      <c r="UC94" s="994">
        <f t="shared" si="354"/>
        <v>25481</v>
      </c>
      <c r="UD94" s="116">
        <f t="shared" si="395"/>
        <v>0.14477840909090908</v>
      </c>
      <c r="UE94" s="1868">
        <v>4</v>
      </c>
      <c r="UF94" s="1575">
        <v>151666</v>
      </c>
      <c r="UG94" s="1575">
        <v>176000</v>
      </c>
      <c r="UH94" s="1575">
        <f t="shared" si="322"/>
        <v>24334</v>
      </c>
      <c r="UI94" s="6495">
        <f t="shared" si="367"/>
        <v>0.13826136363636363</v>
      </c>
      <c r="UJ94" s="209"/>
      <c r="UK94" s="208"/>
      <c r="UL94" s="208"/>
      <c r="UM94" s="208"/>
      <c r="UN94" s="114"/>
      <c r="UO94" s="1567"/>
      <c r="UP94" s="1568"/>
      <c r="UQ94" s="1568"/>
      <c r="UR94" s="1873"/>
      <c r="US94" s="116"/>
      <c r="UT94" s="1567"/>
      <c r="UU94" s="358">
        <f t="shared" si="371"/>
        <v>795032</v>
      </c>
      <c r="UV94" s="358">
        <f t="shared" si="371"/>
        <v>948228</v>
      </c>
      <c r="UW94" s="358">
        <f t="shared" si="371"/>
        <v>153196</v>
      </c>
      <c r="UX94" s="220">
        <f t="shared" si="358"/>
        <v>0.16156029984349757</v>
      </c>
      <c r="UY94" s="1863">
        <f t="shared" si="324"/>
        <v>0</v>
      </c>
      <c r="UZ94" s="105">
        <f t="shared" si="424"/>
        <v>0</v>
      </c>
      <c r="VA94" s="105">
        <f t="shared" si="424"/>
        <v>0</v>
      </c>
      <c r="VB94" s="105">
        <f t="shared" si="424"/>
        <v>0</v>
      </c>
      <c r="VC94" s="106" t="e">
        <f t="shared" si="325"/>
        <v>#DIV/0!</v>
      </c>
      <c r="VD94" s="358"/>
      <c r="VE94" s="358">
        <f t="shared" si="423"/>
        <v>194255</v>
      </c>
      <c r="VF94" s="358">
        <f t="shared" si="423"/>
        <v>244228</v>
      </c>
      <c r="VG94" s="359">
        <f t="shared" si="423"/>
        <v>49973</v>
      </c>
      <c r="VH94" s="169">
        <f t="shared" si="372"/>
        <v>0.20461617832517157</v>
      </c>
      <c r="VI94" s="686"/>
      <c r="VJ94" s="146">
        <f t="shared" si="373"/>
        <v>449111</v>
      </c>
      <c r="VK94" s="146">
        <f t="shared" si="360"/>
        <v>528000</v>
      </c>
      <c r="VL94" s="1864">
        <f t="shared" si="360"/>
        <v>78889</v>
      </c>
      <c r="VM94" s="203"/>
      <c r="VN94" s="1567"/>
      <c r="VO94" s="358"/>
      <c r="VP94" s="358"/>
      <c r="VQ94" s="359"/>
      <c r="VR94" s="114"/>
    </row>
    <row r="95" spans="1:590" s="1193" customFormat="1" ht="13.45" x14ac:dyDescent="0.3">
      <c r="A95" s="1297"/>
      <c r="B95" s="1773" t="s">
        <v>53</v>
      </c>
      <c r="C95" s="3710" t="s">
        <v>978</v>
      </c>
      <c r="D95" s="3623"/>
      <c r="E95" s="1993"/>
      <c r="F95" s="1993"/>
      <c r="G95" s="1994"/>
      <c r="H95" s="2031"/>
      <c r="I95" s="1914"/>
      <c r="J95" s="1914"/>
      <c r="K95" s="1914"/>
      <c r="L95" s="593"/>
      <c r="M95" s="2031"/>
      <c r="N95" s="1914"/>
      <c r="O95" s="1914"/>
      <c r="P95" s="1914"/>
      <c r="Q95" s="593"/>
      <c r="R95" s="2031"/>
      <c r="S95" s="1914"/>
      <c r="T95" s="1914"/>
      <c r="U95" s="1914"/>
      <c r="V95" s="593"/>
      <c r="W95" s="2031"/>
      <c r="X95" s="1914"/>
      <c r="Y95" s="1914"/>
      <c r="Z95" s="1914"/>
      <c r="AA95" s="2032"/>
      <c r="AB95" s="2031"/>
      <c r="AC95" s="1914"/>
      <c r="AD95" s="1914"/>
      <c r="AE95" s="1914"/>
      <c r="AF95" s="2032"/>
      <c r="AG95" s="1914"/>
      <c r="AH95" s="1914"/>
      <c r="AI95" s="1914"/>
      <c r="AJ95" s="1914"/>
      <c r="AK95" s="593"/>
      <c r="AL95" s="1914"/>
      <c r="AM95" s="1914"/>
      <c r="AN95" s="1914"/>
      <c r="AO95" s="1914"/>
      <c r="AP95" s="593"/>
      <c r="AQ95" s="1914"/>
      <c r="AR95" s="1914"/>
      <c r="AS95" s="1914"/>
      <c r="AT95" s="1914"/>
      <c r="AU95" s="593"/>
      <c r="AV95" s="2033"/>
      <c r="AW95" s="1914"/>
      <c r="AX95" s="1914"/>
      <c r="AY95" s="1914"/>
      <c r="AZ95" s="2032"/>
      <c r="BA95" s="2033"/>
      <c r="BB95" s="1914"/>
      <c r="BC95" s="1914"/>
      <c r="BD95" s="1914"/>
      <c r="BE95" s="2032"/>
      <c r="BF95" s="2033"/>
      <c r="BG95" s="1914"/>
      <c r="BH95" s="1914"/>
      <c r="BI95" s="1914"/>
      <c r="BJ95" s="2032"/>
      <c r="BK95" s="2033"/>
      <c r="BL95" s="1914"/>
      <c r="BM95" s="1914"/>
      <c r="BN95" s="1914"/>
      <c r="BO95" s="2032"/>
      <c r="BP95" s="2034"/>
      <c r="BQ95" s="1914"/>
      <c r="BR95" s="1914"/>
      <c r="BS95" s="1914"/>
      <c r="BT95" s="2035"/>
      <c r="BU95" s="1914"/>
      <c r="BV95" s="1914"/>
      <c r="BW95" s="2036"/>
      <c r="BX95" s="2035"/>
      <c r="BY95" s="1914"/>
      <c r="BZ95" s="1914"/>
      <c r="CA95" s="2010"/>
      <c r="CB95" s="1914"/>
      <c r="CC95" s="1914"/>
      <c r="CD95" s="1914"/>
      <c r="CE95" s="1914"/>
      <c r="CF95" s="2035"/>
      <c r="CG95" s="1914"/>
      <c r="CH95" s="1914"/>
      <c r="CI95" s="2010"/>
      <c r="CJ95" s="2037"/>
      <c r="CK95" s="1914"/>
      <c r="CL95" s="1914"/>
      <c r="CM95" s="1914"/>
      <c r="CN95" s="2036"/>
      <c r="CO95" s="2037"/>
      <c r="CP95" s="2031"/>
      <c r="CQ95" s="2031"/>
      <c r="CR95" s="2031"/>
      <c r="CS95" s="2036"/>
      <c r="CT95" s="2037"/>
      <c r="CU95" s="1914"/>
      <c r="CV95" s="1914"/>
      <c r="CW95" s="1914"/>
      <c r="CX95" s="2036"/>
      <c r="CY95" s="2037"/>
      <c r="CZ95" s="1914"/>
      <c r="DA95" s="1914"/>
      <c r="DB95" s="1914"/>
      <c r="DC95" s="2036"/>
      <c r="DD95" s="2037"/>
      <c r="DE95" s="1914"/>
      <c r="DF95" s="1914"/>
      <c r="DG95" s="1914"/>
      <c r="DH95" s="2038"/>
      <c r="DI95" s="2037"/>
      <c r="DJ95" s="1914"/>
      <c r="DK95" s="1914"/>
      <c r="DL95" s="1914"/>
      <c r="DM95" s="2038"/>
      <c r="DN95" s="2037"/>
      <c r="DO95" s="1914"/>
      <c r="DP95" s="1914"/>
      <c r="DQ95" s="1914"/>
      <c r="DR95" s="2038"/>
      <c r="DS95" s="2037"/>
      <c r="DT95" s="1914"/>
      <c r="DU95" s="1914"/>
      <c r="DV95" s="1914"/>
      <c r="DW95" s="2038"/>
      <c r="DX95" s="2037"/>
      <c r="DY95" s="1914"/>
      <c r="DZ95" s="1914"/>
      <c r="EA95" s="1914"/>
      <c r="EB95" s="2038"/>
      <c r="EC95" s="2037"/>
      <c r="ED95" s="1914"/>
      <c r="EE95" s="1914"/>
      <c r="EF95" s="1914"/>
      <c r="EG95" s="2038"/>
      <c r="EH95" s="2037"/>
      <c r="EI95" s="1914"/>
      <c r="EJ95" s="1914"/>
      <c r="EK95" s="1914"/>
      <c r="EL95" s="2038"/>
      <c r="EM95" s="1910"/>
      <c r="EN95" s="715"/>
      <c r="EO95" s="715"/>
      <c r="EP95" s="715"/>
      <c r="EQ95" s="366"/>
      <c r="ER95" s="1713"/>
      <c r="ES95" s="1714"/>
      <c r="ET95" s="1714"/>
      <c r="EU95" s="1714"/>
      <c r="EV95" s="1715"/>
      <c r="EW95" s="2031"/>
      <c r="EX95" s="2031"/>
      <c r="EY95" s="2031"/>
      <c r="EZ95" s="593"/>
      <c r="FA95" s="2037"/>
      <c r="FB95" s="2031"/>
      <c r="FC95" s="2031"/>
      <c r="FD95" s="2036"/>
      <c r="FE95" s="2031"/>
      <c r="FF95" s="2031"/>
      <c r="FG95" s="2031"/>
      <c r="FH95" s="593"/>
      <c r="FI95" s="2039"/>
      <c r="FJ95" s="2040"/>
      <c r="FK95" s="2041"/>
      <c r="FL95" s="2041"/>
      <c r="FM95" s="693"/>
      <c r="FN95" s="2031"/>
      <c r="FO95" s="1914"/>
      <c r="FP95" s="1914"/>
      <c r="FQ95" s="1914"/>
      <c r="FR95" s="2032"/>
      <c r="FS95" s="1910"/>
      <c r="FT95" s="715"/>
      <c r="FU95" s="715"/>
      <c r="FV95" s="715"/>
      <c r="FW95" s="366"/>
      <c r="FX95" s="2037"/>
      <c r="FY95" s="1914"/>
      <c r="FZ95" s="1914"/>
      <c r="GA95" s="715"/>
      <c r="GB95" s="366"/>
      <c r="GC95" s="1899"/>
      <c r="GD95" s="1900"/>
      <c r="GE95" s="1900"/>
      <c r="GF95" s="715"/>
      <c r="GG95" s="366"/>
      <c r="GH95" s="1901"/>
      <c r="GI95" s="1824"/>
      <c r="GJ95" s="1824"/>
      <c r="GK95" s="715"/>
      <c r="GL95" s="366"/>
      <c r="GM95" s="1901"/>
      <c r="GN95" s="1824"/>
      <c r="GO95" s="1824"/>
      <c r="GP95" s="715"/>
      <c r="GQ95" s="366"/>
      <c r="GR95" s="2042"/>
      <c r="GS95" s="2043"/>
      <c r="GT95" s="2043"/>
      <c r="GU95" s="715"/>
      <c r="GV95" s="366"/>
      <c r="GW95" s="2042"/>
      <c r="GX95" s="2043"/>
      <c r="GY95" s="2043"/>
      <c r="GZ95" s="715"/>
      <c r="HA95" s="366"/>
      <c r="HB95" s="2042"/>
      <c r="HC95" s="2043"/>
      <c r="HD95" s="2043"/>
      <c r="HE95" s="715"/>
      <c r="HF95" s="366"/>
      <c r="HG95" s="2042"/>
      <c r="HH95" s="2043"/>
      <c r="HI95" s="2043"/>
      <c r="HJ95" s="1818"/>
      <c r="HK95" s="366"/>
      <c r="HL95" s="2042"/>
      <c r="HM95" s="2043"/>
      <c r="HN95" s="2043"/>
      <c r="HO95" s="715"/>
      <c r="HP95" s="366"/>
      <c r="HQ95" s="1905"/>
      <c r="HR95" s="1248"/>
      <c r="HS95" s="1248"/>
      <c r="HT95" s="1248"/>
      <c r="HU95" s="1826"/>
      <c r="HV95" s="1827"/>
      <c r="HW95" s="1089"/>
      <c r="HX95" s="1089"/>
      <c r="HY95" s="1089"/>
      <c r="HZ95" s="1906"/>
      <c r="IA95" s="1907"/>
      <c r="IB95" s="1908"/>
      <c r="IC95" s="1908"/>
      <c r="ID95" s="1909"/>
      <c r="IE95" s="1910"/>
      <c r="IF95" s="1911"/>
      <c r="IG95" s="1912"/>
      <c r="IH95" s="1909"/>
      <c r="II95" s="1835"/>
      <c r="IJ95" s="1836"/>
      <c r="IK95" s="1836"/>
      <c r="IL95" s="693"/>
      <c r="IM95" s="1913"/>
      <c r="IN95" s="1836"/>
      <c r="IO95" s="1836"/>
      <c r="IP95" s="1838"/>
      <c r="IQ95" s="1914"/>
      <c r="IR95" s="2044"/>
      <c r="IS95" s="715"/>
      <c r="IT95" s="715"/>
      <c r="IU95" s="1996"/>
      <c r="IV95" s="2045"/>
      <c r="IW95" s="1910"/>
      <c r="IX95" s="715"/>
      <c r="IY95" s="823"/>
      <c r="IZ95" s="1719"/>
      <c r="JA95" s="1721"/>
      <c r="JB95" s="2046"/>
      <c r="JC95" s="2047"/>
      <c r="JD95" s="2048"/>
      <c r="JE95" s="1719"/>
      <c r="JF95" s="1721"/>
      <c r="JG95" s="1847"/>
      <c r="JH95" s="1096"/>
      <c r="JI95" s="1096"/>
      <c r="JJ95" s="1756"/>
      <c r="JK95" s="1721"/>
      <c r="JL95" s="1927"/>
      <c r="JM95" s="1096"/>
      <c r="JN95" s="1096"/>
      <c r="JO95" s="823"/>
      <c r="JP95" s="1721"/>
      <c r="JQ95" s="1926"/>
      <c r="JR95" s="1982"/>
      <c r="JS95" s="1248"/>
      <c r="JT95" s="1996"/>
      <c r="JU95" s="1821"/>
      <c r="JV95" s="1988"/>
      <c r="JW95" s="2049"/>
      <c r="JX95" s="1850"/>
      <c r="JY95" s="823"/>
      <c r="JZ95" s="1721"/>
      <c r="KA95" s="1847"/>
      <c r="KB95" s="264"/>
      <c r="KC95" s="972"/>
      <c r="KD95" s="964"/>
      <c r="KE95" s="1848"/>
      <c r="KF95" s="1988"/>
      <c r="KG95" s="1850"/>
      <c r="KH95" s="2049"/>
      <c r="KI95" s="1719"/>
      <c r="KJ95" s="1721"/>
      <c r="KK95" s="1988"/>
      <c r="KL95" s="1850"/>
      <c r="KM95" s="2049"/>
      <c r="KN95" s="1851"/>
      <c r="KO95" s="1852"/>
      <c r="KP95" s="1823"/>
      <c r="KQ95" s="1982"/>
      <c r="KR95" s="1248"/>
      <c r="KS95" s="1996"/>
      <c r="KT95" s="1819"/>
      <c r="KU95" s="1853"/>
      <c r="KV95" s="264"/>
      <c r="KW95" s="264"/>
      <c r="KX95" s="264"/>
      <c r="KY95" s="75"/>
      <c r="KZ95" s="1857"/>
      <c r="LA95" s="358"/>
      <c r="LB95" s="358"/>
      <c r="LC95" s="358"/>
      <c r="LD95" s="151"/>
      <c r="LE95" s="1854"/>
      <c r="LF95" s="1855"/>
      <c r="LG95" s="1855"/>
      <c r="LH95" s="1856"/>
      <c r="LI95" s="1857"/>
      <c r="LJ95" s="1858"/>
      <c r="LK95" s="1854"/>
      <c r="LL95" s="1856"/>
      <c r="LM95" s="1859"/>
      <c r="LN95" s="1727"/>
      <c r="LO95" s="1727"/>
      <c r="LP95" s="151"/>
      <c r="LQ95" s="1860"/>
      <c r="LR95" s="1727"/>
      <c r="LS95" s="1727"/>
      <c r="LT95" s="1861"/>
      <c r="LV95" s="439"/>
      <c r="LW95" s="208"/>
      <c r="LX95" s="208"/>
      <c r="LY95" s="96"/>
      <c r="LZ95" s="78"/>
      <c r="MA95" s="1832"/>
      <c r="MB95" s="622"/>
      <c r="MC95" s="622"/>
      <c r="MD95" s="372"/>
      <c r="ME95" s="207"/>
      <c r="MF95" s="405"/>
      <c r="MG95" s="1575"/>
      <c r="MH95" s="1568"/>
      <c r="MI95" s="371"/>
      <c r="MJ95" s="157"/>
      <c r="MK95" s="354"/>
      <c r="ML95" s="208"/>
      <c r="MM95" s="358"/>
      <c r="MN95" s="371"/>
      <c r="MO95" s="157"/>
      <c r="MP95" s="1579"/>
      <c r="MQ95" s="264"/>
      <c r="MR95" s="264"/>
      <c r="MS95" s="264"/>
      <c r="MT95" s="597"/>
      <c r="MU95" s="209"/>
      <c r="MV95" s="208"/>
      <c r="MW95" s="208"/>
      <c r="MX95" s="208"/>
      <c r="MY95" s="655"/>
      <c r="MZ95" s="209"/>
      <c r="NA95" s="208"/>
      <c r="NB95" s="208"/>
      <c r="NC95" s="208"/>
      <c r="ND95" s="1313"/>
      <c r="NE95" s="209"/>
      <c r="NF95" s="208"/>
      <c r="NG95" s="208"/>
      <c r="NH95" s="208"/>
      <c r="NI95" s="1313"/>
      <c r="NJ95" s="209"/>
      <c r="NK95" s="208"/>
      <c r="NL95" s="208"/>
      <c r="NM95" s="208"/>
      <c r="NN95" s="1313"/>
      <c r="NO95" s="357"/>
      <c r="NP95" s="358"/>
      <c r="NQ95" s="359"/>
      <c r="NR95" s="208"/>
      <c r="NS95" s="1313"/>
      <c r="NT95" s="357"/>
      <c r="NU95" s="358"/>
      <c r="NV95" s="358"/>
      <c r="NW95" s="208"/>
      <c r="NX95" s="1313"/>
      <c r="NY95" s="357"/>
      <c r="NZ95" s="358"/>
      <c r="OA95" s="358"/>
      <c r="OB95" s="622"/>
      <c r="OC95" s="116"/>
      <c r="OD95" s="191"/>
      <c r="OE95" s="358"/>
      <c r="OF95" s="358"/>
      <c r="OG95" s="358"/>
      <c r="OH95" s="220"/>
      <c r="OI95" s="1863"/>
      <c r="OJ95" s="105"/>
      <c r="OK95" s="105"/>
      <c r="OL95" s="105"/>
      <c r="OM95" s="106"/>
      <c r="ON95" s="358"/>
      <c r="OO95" s="358"/>
      <c r="OP95" s="358"/>
      <c r="OQ95" s="359"/>
      <c r="OR95" s="169"/>
      <c r="OS95" s="686"/>
      <c r="OT95" s="146"/>
      <c r="OU95" s="146"/>
      <c r="OV95" s="1864"/>
      <c r="OW95" s="203"/>
      <c r="OX95" s="357"/>
      <c r="OY95" s="358"/>
      <c r="OZ95" s="358"/>
      <c r="PA95" s="359"/>
      <c r="PB95" s="114"/>
      <c r="PC95" s="79"/>
      <c r="PD95" s="439"/>
      <c r="PE95" s="208"/>
      <c r="PF95" s="208"/>
      <c r="PG95" s="96"/>
      <c r="PH95" s="78"/>
      <c r="PI95" s="401"/>
      <c r="PJ95" s="395"/>
      <c r="PK95" s="395"/>
      <c r="PL95" s="96"/>
      <c r="PM95" s="78"/>
      <c r="PN95" s="439"/>
      <c r="PO95" s="208"/>
      <c r="PP95" s="358"/>
      <c r="PQ95" s="371"/>
      <c r="PR95" s="157"/>
      <c r="PS95" s="354"/>
      <c r="PT95" s="208"/>
      <c r="PU95" s="358"/>
      <c r="PV95" s="371"/>
      <c r="PW95" s="157"/>
      <c r="PX95" s="1579"/>
      <c r="PY95" s="264"/>
      <c r="PZ95" s="264"/>
      <c r="QA95" s="1248"/>
      <c r="QB95" s="597"/>
      <c r="QC95" s="209"/>
      <c r="QD95" s="208"/>
      <c r="QE95" s="208"/>
      <c r="QF95" s="208"/>
      <c r="QG95" s="655"/>
      <c r="QH95" s="439"/>
      <c r="QI95" s="208"/>
      <c r="QJ95" s="208"/>
      <c r="QK95" s="208"/>
      <c r="QL95" s="1313"/>
      <c r="QM95" s="439"/>
      <c r="QN95" s="208"/>
      <c r="QO95" s="208"/>
      <c r="QP95" s="208"/>
      <c r="QQ95" s="801"/>
      <c r="QR95" s="209"/>
      <c r="QS95" s="208"/>
      <c r="QT95" s="208"/>
      <c r="QU95" s="208"/>
      <c r="QV95" s="157"/>
      <c r="QW95" s="209"/>
      <c r="QX95" s="208"/>
      <c r="QY95" s="208"/>
      <c r="QZ95" s="208"/>
      <c r="RA95" s="2083"/>
      <c r="RB95" s="209"/>
      <c r="RC95" s="208"/>
      <c r="RD95" s="208"/>
      <c r="RE95" s="208"/>
      <c r="RF95" s="114"/>
      <c r="RG95" s="1857"/>
      <c r="RH95" s="208"/>
      <c r="RI95" s="208"/>
      <c r="RJ95" s="772"/>
      <c r="RK95" s="116"/>
      <c r="RL95" s="1567"/>
      <c r="RM95" s="1568"/>
      <c r="RN95" s="1568"/>
      <c r="RO95" s="1568"/>
      <c r="RP95" s="220"/>
      <c r="RQ95" s="1863"/>
      <c r="RR95" s="105"/>
      <c r="RS95" s="105"/>
      <c r="RT95" s="105"/>
      <c r="RU95" s="106"/>
      <c r="RV95" s="358"/>
      <c r="RW95" s="358"/>
      <c r="RX95" s="358"/>
      <c r="RY95" s="359"/>
      <c r="RZ95" s="169"/>
      <c r="SA95" s="686"/>
      <c r="SB95" s="146"/>
      <c r="SC95" s="146"/>
      <c r="SD95" s="1864"/>
      <c r="SE95" s="203"/>
      <c r="SF95" s="1567"/>
      <c r="SG95" s="358"/>
      <c r="SH95" s="358"/>
      <c r="SI95" s="359"/>
      <c r="SJ95" s="114"/>
      <c r="SL95" s="439"/>
      <c r="SM95" s="208"/>
      <c r="SN95" s="208"/>
      <c r="SO95" s="96"/>
      <c r="SP95" s="78"/>
      <c r="SQ95" s="439"/>
      <c r="SR95" s="208"/>
      <c r="SS95" s="208"/>
      <c r="ST95" s="115"/>
      <c r="SU95" s="1498"/>
      <c r="SV95" s="401"/>
      <c r="SW95" s="395"/>
      <c r="SX95" s="622"/>
      <c r="SY95" s="372"/>
      <c r="SZ95" s="207"/>
      <c r="TA95" s="2573">
        <v>1</v>
      </c>
      <c r="TB95" s="395">
        <v>8182</v>
      </c>
      <c r="TC95" s="622">
        <v>8550</v>
      </c>
      <c r="TD95" s="115">
        <f>TC95-TB95</f>
        <v>368</v>
      </c>
      <c r="TE95" s="362">
        <f>TD95/TC95</f>
        <v>4.3040935672514623E-2</v>
      </c>
      <c r="TF95" s="354">
        <v>1</v>
      </c>
      <c r="TG95" s="208">
        <v>35000</v>
      </c>
      <c r="TH95" s="208">
        <v>38000</v>
      </c>
      <c r="TI95" s="395">
        <f t="shared" si="422"/>
        <v>3000</v>
      </c>
      <c r="TJ95" s="114">
        <f t="shared" si="296"/>
        <v>7.8947368421052627E-2</v>
      </c>
      <c r="TK95" s="209">
        <v>2</v>
      </c>
      <c r="TL95" s="208">
        <v>65195</v>
      </c>
      <c r="TM95" s="208">
        <v>76000</v>
      </c>
      <c r="TN95" s="395">
        <f t="shared" si="351"/>
        <v>10805</v>
      </c>
      <c r="TO95" s="114">
        <f t="shared" si="364"/>
        <v>0.14217105263157895</v>
      </c>
      <c r="TP95" s="1574">
        <v>3</v>
      </c>
      <c r="TQ95" s="208">
        <v>89377</v>
      </c>
      <c r="TR95" s="208">
        <v>98040</v>
      </c>
      <c r="TS95" s="994">
        <f t="shared" si="352"/>
        <v>8663</v>
      </c>
      <c r="TT95" s="114">
        <f t="shared" si="365"/>
        <v>8.8361893104855163E-2</v>
      </c>
      <c r="TU95" s="4432">
        <v>3</v>
      </c>
      <c r="TV95" s="208">
        <v>103334</v>
      </c>
      <c r="TW95" s="208">
        <v>114000</v>
      </c>
      <c r="TX95" s="994">
        <f t="shared" si="353"/>
        <v>10666</v>
      </c>
      <c r="TY95" s="116">
        <f t="shared" si="366"/>
        <v>9.3561403508771929E-2</v>
      </c>
      <c r="TZ95" s="209">
        <v>3</v>
      </c>
      <c r="UA95" s="208">
        <v>101202</v>
      </c>
      <c r="UB95" s="208">
        <v>114000</v>
      </c>
      <c r="UC95" s="994">
        <f t="shared" si="354"/>
        <v>12798</v>
      </c>
      <c r="UD95" s="116">
        <f t="shared" si="395"/>
        <v>0.11226315789473684</v>
      </c>
      <c r="UE95" s="1868">
        <v>4</v>
      </c>
      <c r="UF95" s="1575">
        <v>129174</v>
      </c>
      <c r="UG95" s="1575">
        <v>142158</v>
      </c>
      <c r="UH95" s="1575">
        <f t="shared" si="322"/>
        <v>12984</v>
      </c>
      <c r="UI95" s="6495">
        <f t="shared" si="367"/>
        <v>9.1334993457983377E-2</v>
      </c>
      <c r="UJ95" s="209"/>
      <c r="UK95" s="208"/>
      <c r="UL95" s="208"/>
      <c r="UM95" s="208"/>
      <c r="UN95" s="114"/>
      <c r="UO95" s="1567"/>
      <c r="UP95" s="1568"/>
      <c r="UQ95" s="1568"/>
      <c r="UR95" s="1873"/>
      <c r="US95" s="116"/>
      <c r="UT95" s="1567"/>
      <c r="UU95" s="358">
        <f t="shared" si="371"/>
        <v>531464</v>
      </c>
      <c r="UV95" s="358">
        <f t="shared" si="371"/>
        <v>590748</v>
      </c>
      <c r="UW95" s="358">
        <f t="shared" si="371"/>
        <v>59284</v>
      </c>
      <c r="UX95" s="220">
        <f t="shared" si="358"/>
        <v>0.10035412730978353</v>
      </c>
      <c r="UY95" s="1863">
        <f t="shared" si="324"/>
        <v>0</v>
      </c>
      <c r="UZ95" s="105">
        <f t="shared" si="424"/>
        <v>0</v>
      </c>
      <c r="VA95" s="105">
        <f t="shared" si="424"/>
        <v>0</v>
      </c>
      <c r="VB95" s="105">
        <f t="shared" si="424"/>
        <v>0</v>
      </c>
      <c r="VC95" s="106" t="e">
        <f t="shared" si="325"/>
        <v>#DIV/0!</v>
      </c>
      <c r="VD95" s="358"/>
      <c r="VE95" s="358">
        <f t="shared" si="423"/>
        <v>108377</v>
      </c>
      <c r="VF95" s="358">
        <f t="shared" si="423"/>
        <v>122550</v>
      </c>
      <c r="VG95" s="359">
        <f t="shared" si="423"/>
        <v>14173</v>
      </c>
      <c r="VH95" s="169">
        <f t="shared" si="372"/>
        <v>0.11565075479396165</v>
      </c>
      <c r="VI95" s="686"/>
      <c r="VJ95" s="146">
        <f t="shared" si="373"/>
        <v>293913</v>
      </c>
      <c r="VK95" s="146">
        <f t="shared" si="373"/>
        <v>326040</v>
      </c>
      <c r="VL95" s="1864">
        <f t="shared" si="373"/>
        <v>32127</v>
      </c>
      <c r="VM95" s="203"/>
      <c r="VN95" s="1567"/>
      <c r="VO95" s="358"/>
      <c r="VP95" s="358"/>
      <c r="VQ95" s="359"/>
      <c r="VR95" s="114"/>
    </row>
    <row r="96" spans="1:590" s="1193" customFormat="1" ht="13.45" x14ac:dyDescent="0.3">
      <c r="A96" s="1297"/>
      <c r="B96" s="1773" t="s">
        <v>53</v>
      </c>
      <c r="C96" s="3710" t="s">
        <v>1014</v>
      </c>
      <c r="D96" s="3623" t="s">
        <v>1015</v>
      </c>
      <c r="E96" s="1993">
        <v>45579</v>
      </c>
      <c r="F96" s="1993">
        <v>45641</v>
      </c>
      <c r="G96" s="1994">
        <v>1273666</v>
      </c>
      <c r="H96" s="2031"/>
      <c r="I96" s="1914"/>
      <c r="J96" s="1914"/>
      <c r="K96" s="1914"/>
      <c r="L96" s="593"/>
      <c r="M96" s="2031"/>
      <c r="N96" s="1914"/>
      <c r="O96" s="1914"/>
      <c r="P96" s="1914"/>
      <c r="Q96" s="593"/>
      <c r="R96" s="2031"/>
      <c r="S96" s="1914"/>
      <c r="T96" s="1914"/>
      <c r="U96" s="1914"/>
      <c r="V96" s="593"/>
      <c r="W96" s="2031"/>
      <c r="X96" s="1914"/>
      <c r="Y96" s="1914"/>
      <c r="Z96" s="1914"/>
      <c r="AA96" s="2032"/>
      <c r="AB96" s="2031"/>
      <c r="AC96" s="1914"/>
      <c r="AD96" s="1914"/>
      <c r="AE96" s="1914"/>
      <c r="AF96" s="2032"/>
      <c r="AG96" s="1914"/>
      <c r="AH96" s="1914"/>
      <c r="AI96" s="1914"/>
      <c r="AJ96" s="1914"/>
      <c r="AK96" s="593"/>
      <c r="AL96" s="1914"/>
      <c r="AM96" s="1914"/>
      <c r="AN96" s="1914"/>
      <c r="AO96" s="1914"/>
      <c r="AP96" s="593"/>
      <c r="AQ96" s="1914"/>
      <c r="AR96" s="1914"/>
      <c r="AS96" s="1914"/>
      <c r="AT96" s="1914"/>
      <c r="AU96" s="593"/>
      <c r="AV96" s="2033"/>
      <c r="AW96" s="1914"/>
      <c r="AX96" s="1914"/>
      <c r="AY96" s="1914"/>
      <c r="AZ96" s="2032"/>
      <c r="BA96" s="2033"/>
      <c r="BB96" s="1914"/>
      <c r="BC96" s="1914"/>
      <c r="BD96" s="1914"/>
      <c r="BE96" s="2032"/>
      <c r="BF96" s="2033"/>
      <c r="BG96" s="1914"/>
      <c r="BH96" s="1914"/>
      <c r="BI96" s="1914"/>
      <c r="BJ96" s="2032"/>
      <c r="BK96" s="2033"/>
      <c r="BL96" s="1914"/>
      <c r="BM96" s="1914"/>
      <c r="BN96" s="1914"/>
      <c r="BO96" s="2032"/>
      <c r="BP96" s="2034"/>
      <c r="BQ96" s="1914"/>
      <c r="BR96" s="1914"/>
      <c r="BS96" s="1914"/>
      <c r="BT96" s="2035"/>
      <c r="BU96" s="1914"/>
      <c r="BV96" s="1914"/>
      <c r="BW96" s="2036"/>
      <c r="BX96" s="2035"/>
      <c r="BY96" s="1914"/>
      <c r="BZ96" s="1914"/>
      <c r="CA96" s="2010"/>
      <c r="CB96" s="1914"/>
      <c r="CC96" s="1914"/>
      <c r="CD96" s="1914"/>
      <c r="CE96" s="1914"/>
      <c r="CF96" s="2035"/>
      <c r="CG96" s="1914"/>
      <c r="CH96" s="1914"/>
      <c r="CI96" s="2010"/>
      <c r="CJ96" s="2037"/>
      <c r="CK96" s="1914"/>
      <c r="CL96" s="1914"/>
      <c r="CM96" s="1914"/>
      <c r="CN96" s="2036"/>
      <c r="CO96" s="2037"/>
      <c r="CP96" s="2031"/>
      <c r="CQ96" s="2031"/>
      <c r="CR96" s="2031"/>
      <c r="CS96" s="2036"/>
      <c r="CT96" s="2037"/>
      <c r="CU96" s="1914"/>
      <c r="CV96" s="1914"/>
      <c r="CW96" s="1914"/>
      <c r="CX96" s="2036"/>
      <c r="CY96" s="2037"/>
      <c r="CZ96" s="1914"/>
      <c r="DA96" s="1914"/>
      <c r="DB96" s="1914"/>
      <c r="DC96" s="2036"/>
      <c r="DD96" s="2037"/>
      <c r="DE96" s="1914"/>
      <c r="DF96" s="1914"/>
      <c r="DG96" s="1914"/>
      <c r="DH96" s="2038"/>
      <c r="DI96" s="2037"/>
      <c r="DJ96" s="1914"/>
      <c r="DK96" s="1914"/>
      <c r="DL96" s="1914"/>
      <c r="DM96" s="2038"/>
      <c r="DN96" s="2037"/>
      <c r="DO96" s="1914"/>
      <c r="DP96" s="1914"/>
      <c r="DQ96" s="1914"/>
      <c r="DR96" s="2038"/>
      <c r="DS96" s="2037"/>
      <c r="DT96" s="1914"/>
      <c r="DU96" s="1914"/>
      <c r="DV96" s="1914"/>
      <c r="DW96" s="2038"/>
      <c r="DX96" s="2037"/>
      <c r="DY96" s="1914"/>
      <c r="DZ96" s="1914"/>
      <c r="EA96" s="1914"/>
      <c r="EB96" s="2038"/>
      <c r="EC96" s="2037"/>
      <c r="ED96" s="1914"/>
      <c r="EE96" s="1914"/>
      <c r="EF96" s="1914"/>
      <c r="EG96" s="2038"/>
      <c r="EH96" s="2037"/>
      <c r="EI96" s="1914"/>
      <c r="EJ96" s="1914"/>
      <c r="EK96" s="1914"/>
      <c r="EL96" s="2038"/>
      <c r="EM96" s="1910"/>
      <c r="EN96" s="715"/>
      <c r="EO96" s="715"/>
      <c r="EP96" s="715"/>
      <c r="EQ96" s="366"/>
      <c r="ER96" s="1713"/>
      <c r="ES96" s="1714"/>
      <c r="ET96" s="1714"/>
      <c r="EU96" s="1714"/>
      <c r="EV96" s="1715"/>
      <c r="EW96" s="2031"/>
      <c r="EX96" s="2031"/>
      <c r="EY96" s="2031"/>
      <c r="EZ96" s="593"/>
      <c r="FA96" s="2037"/>
      <c r="FB96" s="2031"/>
      <c r="FC96" s="2031"/>
      <c r="FD96" s="2036"/>
      <c r="FE96" s="2031"/>
      <c r="FF96" s="2031"/>
      <c r="FG96" s="2031"/>
      <c r="FH96" s="593"/>
      <c r="FI96" s="2039"/>
      <c r="FJ96" s="2040"/>
      <c r="FK96" s="2041"/>
      <c r="FL96" s="2041"/>
      <c r="FM96" s="693"/>
      <c r="FN96" s="2031"/>
      <c r="FO96" s="1914"/>
      <c r="FP96" s="1914"/>
      <c r="FQ96" s="1914"/>
      <c r="FR96" s="2032"/>
      <c r="FS96" s="1910"/>
      <c r="FT96" s="715"/>
      <c r="FU96" s="715"/>
      <c r="FV96" s="715"/>
      <c r="FW96" s="366"/>
      <c r="FX96" s="2037"/>
      <c r="FY96" s="1914"/>
      <c r="FZ96" s="1914"/>
      <c r="GA96" s="715"/>
      <c r="GB96" s="366"/>
      <c r="GC96" s="1899"/>
      <c r="GD96" s="1900"/>
      <c r="GE96" s="1900"/>
      <c r="GF96" s="715"/>
      <c r="GG96" s="366"/>
      <c r="GH96" s="1901"/>
      <c r="GI96" s="1824"/>
      <c r="GJ96" s="1824"/>
      <c r="GK96" s="715"/>
      <c r="GL96" s="366"/>
      <c r="GM96" s="1901"/>
      <c r="GN96" s="1824"/>
      <c r="GO96" s="1824"/>
      <c r="GP96" s="715"/>
      <c r="GQ96" s="366"/>
      <c r="GR96" s="2042"/>
      <c r="GS96" s="2043"/>
      <c r="GT96" s="2043"/>
      <c r="GU96" s="715"/>
      <c r="GV96" s="366"/>
      <c r="GW96" s="2042"/>
      <c r="GX96" s="2043"/>
      <c r="GY96" s="2043"/>
      <c r="GZ96" s="715"/>
      <c r="HA96" s="366"/>
      <c r="HB96" s="2042"/>
      <c r="HC96" s="2043"/>
      <c r="HD96" s="2043"/>
      <c r="HE96" s="715"/>
      <c r="HF96" s="366"/>
      <c r="HG96" s="2042"/>
      <c r="HH96" s="2043"/>
      <c r="HI96" s="2043"/>
      <c r="HJ96" s="1818"/>
      <c r="HK96" s="366"/>
      <c r="HL96" s="2042"/>
      <c r="HM96" s="2043"/>
      <c r="HN96" s="2043"/>
      <c r="HO96" s="715"/>
      <c r="HP96" s="366"/>
      <c r="HQ96" s="1905"/>
      <c r="HR96" s="1248"/>
      <c r="HS96" s="1248"/>
      <c r="HT96" s="1248"/>
      <c r="HU96" s="1826"/>
      <c r="HV96" s="1827"/>
      <c r="HW96" s="1089"/>
      <c r="HX96" s="1089"/>
      <c r="HY96" s="1089"/>
      <c r="HZ96" s="1906"/>
      <c r="IA96" s="1907"/>
      <c r="IB96" s="1908"/>
      <c r="IC96" s="1908"/>
      <c r="ID96" s="1909"/>
      <c r="IE96" s="1910"/>
      <c r="IF96" s="1911"/>
      <c r="IG96" s="1912"/>
      <c r="IH96" s="1909"/>
      <c r="II96" s="1835"/>
      <c r="IJ96" s="1836"/>
      <c r="IK96" s="1836"/>
      <c r="IL96" s="693"/>
      <c r="IM96" s="1913"/>
      <c r="IN96" s="1836"/>
      <c r="IO96" s="1836"/>
      <c r="IP96" s="1838"/>
      <c r="IQ96" s="1914"/>
      <c r="IR96" s="2044"/>
      <c r="IS96" s="715"/>
      <c r="IT96" s="715"/>
      <c r="IU96" s="1996"/>
      <c r="IV96" s="2045"/>
      <c r="IW96" s="1910"/>
      <c r="IX96" s="715"/>
      <c r="IY96" s="823"/>
      <c r="IZ96" s="1719"/>
      <c r="JA96" s="1721"/>
      <c r="JB96" s="2046"/>
      <c r="JC96" s="2047"/>
      <c r="JD96" s="2048"/>
      <c r="JE96" s="1719"/>
      <c r="JF96" s="1721"/>
      <c r="JG96" s="1847"/>
      <c r="JH96" s="1096"/>
      <c r="JI96" s="1096"/>
      <c r="JJ96" s="1756"/>
      <c r="JK96" s="1721"/>
      <c r="JL96" s="1927"/>
      <c r="JM96" s="1096"/>
      <c r="JN96" s="1096"/>
      <c r="JO96" s="823"/>
      <c r="JP96" s="1721"/>
      <c r="JQ96" s="1926"/>
      <c r="JR96" s="1982"/>
      <c r="JS96" s="1248"/>
      <c r="JT96" s="1996"/>
      <c r="JU96" s="1821"/>
      <c r="JV96" s="1988"/>
      <c r="JW96" s="2049"/>
      <c r="JX96" s="1850"/>
      <c r="JY96" s="823"/>
      <c r="JZ96" s="1721"/>
      <c r="KA96" s="1847"/>
      <c r="KB96" s="264"/>
      <c r="KC96" s="972"/>
      <c r="KD96" s="964"/>
      <c r="KE96" s="1848"/>
      <c r="KF96" s="1988"/>
      <c r="KG96" s="1850"/>
      <c r="KH96" s="2049"/>
      <c r="KI96" s="1719"/>
      <c r="KJ96" s="1721"/>
      <c r="KK96" s="1988"/>
      <c r="KL96" s="1850"/>
      <c r="KM96" s="2049"/>
      <c r="KN96" s="1851"/>
      <c r="KO96" s="1852"/>
      <c r="KP96" s="1823"/>
      <c r="KQ96" s="1982"/>
      <c r="KR96" s="1248"/>
      <c r="KS96" s="1996"/>
      <c r="KT96" s="1819"/>
      <c r="KU96" s="1853"/>
      <c r="KV96" s="264"/>
      <c r="KW96" s="264"/>
      <c r="KX96" s="264"/>
      <c r="KY96" s="75"/>
      <c r="KZ96" s="1857"/>
      <c r="LA96" s="358"/>
      <c r="LB96" s="358"/>
      <c r="LC96" s="358"/>
      <c r="LD96" s="151"/>
      <c r="LE96" s="1854"/>
      <c r="LF96" s="1855"/>
      <c r="LG96" s="1855"/>
      <c r="LH96" s="1856"/>
      <c r="LI96" s="1857"/>
      <c r="LJ96" s="1858"/>
      <c r="LK96" s="1854"/>
      <c r="LL96" s="1856"/>
      <c r="LM96" s="1859"/>
      <c r="LN96" s="1727"/>
      <c r="LO96" s="1727"/>
      <c r="LP96" s="151"/>
      <c r="LQ96" s="1860"/>
      <c r="LR96" s="1727"/>
      <c r="LS96" s="1727"/>
      <c r="LT96" s="1861"/>
      <c r="LV96" s="439"/>
      <c r="LW96" s="208"/>
      <c r="LX96" s="208"/>
      <c r="LY96" s="96"/>
      <c r="LZ96" s="78"/>
      <c r="MA96" s="1832"/>
      <c r="MB96" s="622"/>
      <c r="MC96" s="622"/>
      <c r="MD96" s="372"/>
      <c r="ME96" s="207"/>
      <c r="MF96" s="405"/>
      <c r="MG96" s="1575"/>
      <c r="MH96" s="1568"/>
      <c r="MI96" s="371"/>
      <c r="MJ96" s="157"/>
      <c r="MK96" s="354"/>
      <c r="ML96" s="208"/>
      <c r="MM96" s="358"/>
      <c r="MN96" s="371"/>
      <c r="MO96" s="157"/>
      <c r="MP96" s="1579"/>
      <c r="MQ96" s="264"/>
      <c r="MR96" s="264"/>
      <c r="MS96" s="264"/>
      <c r="MT96" s="597"/>
      <c r="MU96" s="209"/>
      <c r="MV96" s="208"/>
      <c r="MW96" s="208"/>
      <c r="MX96" s="208"/>
      <c r="MY96" s="655"/>
      <c r="MZ96" s="209"/>
      <c r="NA96" s="208"/>
      <c r="NB96" s="208"/>
      <c r="NC96" s="208"/>
      <c r="ND96" s="1313"/>
      <c r="NE96" s="209"/>
      <c r="NF96" s="208"/>
      <c r="NG96" s="208"/>
      <c r="NH96" s="208"/>
      <c r="NI96" s="1313"/>
      <c r="NJ96" s="209"/>
      <c r="NK96" s="208"/>
      <c r="NL96" s="208"/>
      <c r="NM96" s="208"/>
      <c r="NN96" s="1313"/>
      <c r="NO96" s="357"/>
      <c r="NP96" s="358"/>
      <c r="NQ96" s="359"/>
      <c r="NR96" s="208"/>
      <c r="NS96" s="1313"/>
      <c r="NT96" s="357"/>
      <c r="NU96" s="358"/>
      <c r="NV96" s="358"/>
      <c r="NW96" s="208"/>
      <c r="NX96" s="1313"/>
      <c r="NY96" s="357"/>
      <c r="NZ96" s="358"/>
      <c r="OA96" s="358"/>
      <c r="OB96" s="622"/>
      <c r="OC96" s="116"/>
      <c r="OD96" s="191"/>
      <c r="OE96" s="358"/>
      <c r="OF96" s="358"/>
      <c r="OG96" s="358"/>
      <c r="OH96" s="220"/>
      <c r="OI96" s="1863"/>
      <c r="OJ96" s="105"/>
      <c r="OK96" s="105"/>
      <c r="OL96" s="105"/>
      <c r="OM96" s="106"/>
      <c r="ON96" s="358"/>
      <c r="OO96" s="358"/>
      <c r="OP96" s="358"/>
      <c r="OQ96" s="359"/>
      <c r="OR96" s="169"/>
      <c r="OS96" s="686"/>
      <c r="OT96" s="146"/>
      <c r="OU96" s="146"/>
      <c r="OV96" s="1864"/>
      <c r="OW96" s="203"/>
      <c r="OX96" s="357"/>
      <c r="OY96" s="358"/>
      <c r="OZ96" s="358"/>
      <c r="PA96" s="359"/>
      <c r="PB96" s="114"/>
      <c r="PC96" s="79"/>
      <c r="PD96" s="439"/>
      <c r="PE96" s="208"/>
      <c r="PF96" s="208"/>
      <c r="PG96" s="96"/>
      <c r="PH96" s="78"/>
      <c r="PI96" s="401"/>
      <c r="PJ96" s="395"/>
      <c r="PK96" s="395"/>
      <c r="PL96" s="96"/>
      <c r="PM96" s="78"/>
      <c r="PN96" s="439"/>
      <c r="PO96" s="208"/>
      <c r="PP96" s="358"/>
      <c r="PQ96" s="371"/>
      <c r="PR96" s="157"/>
      <c r="PS96" s="354"/>
      <c r="PT96" s="208"/>
      <c r="PU96" s="358"/>
      <c r="PV96" s="371"/>
      <c r="PW96" s="157"/>
      <c r="PX96" s="1579"/>
      <c r="PY96" s="264"/>
      <c r="PZ96" s="264"/>
      <c r="QA96" s="1248"/>
      <c r="QB96" s="597"/>
      <c r="QC96" s="209"/>
      <c r="QD96" s="208"/>
      <c r="QE96" s="208"/>
      <c r="QF96" s="208"/>
      <c r="QG96" s="655"/>
      <c r="QH96" s="439"/>
      <c r="QI96" s="208"/>
      <c r="QJ96" s="208"/>
      <c r="QK96" s="208"/>
      <c r="QL96" s="1313"/>
      <c r="QM96" s="439"/>
      <c r="QN96" s="208"/>
      <c r="QO96" s="208"/>
      <c r="QP96" s="208"/>
      <c r="QQ96" s="801"/>
      <c r="QR96" s="209"/>
      <c r="QS96" s="208"/>
      <c r="QT96" s="208"/>
      <c r="QU96" s="208"/>
      <c r="QV96" s="157"/>
      <c r="QW96" s="209"/>
      <c r="QX96" s="208"/>
      <c r="QY96" s="208"/>
      <c r="QZ96" s="208"/>
      <c r="RA96" s="2083"/>
      <c r="RB96" s="209"/>
      <c r="RC96" s="208"/>
      <c r="RD96" s="208"/>
      <c r="RE96" s="208"/>
      <c r="RF96" s="114"/>
      <c r="RG96" s="1857"/>
      <c r="RH96" s="208"/>
      <c r="RI96" s="208"/>
      <c r="RJ96" s="772"/>
      <c r="RK96" s="116"/>
      <c r="RL96" s="1567"/>
      <c r="RM96" s="1568"/>
      <c r="RN96" s="1568"/>
      <c r="RO96" s="1568"/>
      <c r="RP96" s="220"/>
      <c r="RQ96" s="1863"/>
      <c r="RR96" s="105"/>
      <c r="RS96" s="105"/>
      <c r="RT96" s="105"/>
      <c r="RU96" s="106"/>
      <c r="RV96" s="358"/>
      <c r="RW96" s="358"/>
      <c r="RX96" s="358"/>
      <c r="RY96" s="359"/>
      <c r="RZ96" s="169"/>
      <c r="SA96" s="686"/>
      <c r="SB96" s="146"/>
      <c r="SC96" s="146"/>
      <c r="SD96" s="1864"/>
      <c r="SE96" s="203"/>
      <c r="SF96" s="1567"/>
      <c r="SG96" s="358"/>
      <c r="SH96" s="358"/>
      <c r="SI96" s="359"/>
      <c r="SJ96" s="114"/>
      <c r="SL96" s="439"/>
      <c r="SM96" s="208"/>
      <c r="SN96" s="208"/>
      <c r="SO96" s="96"/>
      <c r="SP96" s="78"/>
      <c r="SQ96" s="439"/>
      <c r="SR96" s="208"/>
      <c r="SS96" s="208"/>
      <c r="ST96" s="115"/>
      <c r="SU96" s="1498"/>
      <c r="SV96" s="401"/>
      <c r="SW96" s="395"/>
      <c r="SX96" s="622"/>
      <c r="SY96" s="372"/>
      <c r="SZ96" s="207"/>
      <c r="TA96" s="2573"/>
      <c r="TB96" s="395"/>
      <c r="TC96" s="622"/>
      <c r="TD96" s="115"/>
      <c r="TE96" s="362"/>
      <c r="TF96" s="354"/>
      <c r="TG96" s="208"/>
      <c r="TH96" s="208"/>
      <c r="TI96" s="395"/>
      <c r="TJ96" s="114"/>
      <c r="TK96" s="209"/>
      <c r="TL96" s="208"/>
      <c r="TM96" s="208"/>
      <c r="TN96" s="395"/>
      <c r="TO96" s="114"/>
      <c r="TP96" s="1573" t="s">
        <v>1028</v>
      </c>
      <c r="TQ96" s="395">
        <v>28774</v>
      </c>
      <c r="TR96" s="395">
        <v>48685</v>
      </c>
      <c r="TS96" s="994">
        <f>TR96-TQ96</f>
        <v>19911</v>
      </c>
      <c r="TT96" s="114">
        <f>TS96/TR96</f>
        <v>0.40897607065831365</v>
      </c>
      <c r="TU96" s="4434">
        <v>11</v>
      </c>
      <c r="TV96" s="395">
        <f>289178+3000</f>
        <v>292178</v>
      </c>
      <c r="TW96" s="395">
        <v>463427</v>
      </c>
      <c r="TX96" s="772">
        <f t="shared" si="353"/>
        <v>171249</v>
      </c>
      <c r="TY96" s="116">
        <f t="shared" si="366"/>
        <v>0.36952745524106279</v>
      </c>
      <c r="TZ96" s="1318">
        <v>13</v>
      </c>
      <c r="UA96" s="395">
        <f>519005+54637+3000+37760</f>
        <v>614402</v>
      </c>
      <c r="UB96" s="395">
        <f>332622.51036+376000</f>
        <v>708622.51035999996</v>
      </c>
      <c r="UC96" s="772">
        <f t="shared" si="354"/>
        <v>94220.510359999957</v>
      </c>
      <c r="UD96" s="116">
        <f t="shared" si="395"/>
        <v>0.13296290899950852</v>
      </c>
      <c r="UE96" s="2002">
        <v>17</v>
      </c>
      <c r="UF96" s="2001">
        <f>707060+201583</f>
        <v>908643</v>
      </c>
      <c r="UG96" s="2001">
        <v>1010017</v>
      </c>
      <c r="UH96" s="2001">
        <f t="shared" si="322"/>
        <v>101374</v>
      </c>
      <c r="UI96" s="6494">
        <f t="shared" si="367"/>
        <v>0.10036860765709885</v>
      </c>
      <c r="UJ96" s="209"/>
      <c r="UK96" s="208"/>
      <c r="UL96" s="208"/>
      <c r="UM96" s="208"/>
      <c r="UN96" s="114"/>
      <c r="UO96" s="1567"/>
      <c r="UP96" s="1568"/>
      <c r="UQ96" s="1568"/>
      <c r="UR96" s="1873"/>
      <c r="US96" s="116"/>
      <c r="UT96" s="1567"/>
      <c r="UU96" s="358">
        <f t="shared" si="371"/>
        <v>1843997</v>
      </c>
      <c r="UV96" s="358">
        <f t="shared" si="371"/>
        <v>2230751.5103599997</v>
      </c>
      <c r="UW96" s="358">
        <f t="shared" si="371"/>
        <v>386754.51035999996</v>
      </c>
      <c r="UX96" s="220">
        <f t="shared" si="358"/>
        <v>0.17337408876060129</v>
      </c>
      <c r="UY96" s="1863"/>
      <c r="UZ96" s="105"/>
      <c r="VA96" s="105"/>
      <c r="VB96" s="105"/>
      <c r="VC96" s="106"/>
      <c r="VD96" s="358"/>
      <c r="VE96" s="358"/>
      <c r="VF96" s="358"/>
      <c r="VG96" s="359"/>
      <c r="VH96" s="169"/>
      <c r="VI96" s="686"/>
      <c r="VJ96" s="146">
        <f t="shared" si="373"/>
        <v>935354</v>
      </c>
      <c r="VK96" s="146">
        <f t="shared" si="373"/>
        <v>1220734.51036</v>
      </c>
      <c r="VL96" s="1864">
        <f t="shared" si="373"/>
        <v>285380.51035999996</v>
      </c>
      <c r="VM96" s="203"/>
      <c r="VN96" s="1567"/>
      <c r="VO96" s="358"/>
      <c r="VP96" s="358"/>
      <c r="VQ96" s="359"/>
      <c r="VR96" s="114"/>
    </row>
    <row r="97" spans="1:745" s="1193" customFormat="1" ht="13.45" x14ac:dyDescent="0.3">
      <c r="A97" s="1297"/>
      <c r="B97" s="1773" t="s">
        <v>53</v>
      </c>
      <c r="C97" s="3710" t="s">
        <v>1057</v>
      </c>
      <c r="D97" s="3623"/>
      <c r="E97" s="1993"/>
      <c r="F97" s="1993"/>
      <c r="G97" s="1994"/>
      <c r="H97" s="2031"/>
      <c r="I97" s="1914"/>
      <c r="J97" s="1914"/>
      <c r="K97" s="1914"/>
      <c r="L97" s="593"/>
      <c r="M97" s="2031"/>
      <c r="N97" s="1914"/>
      <c r="O97" s="1914"/>
      <c r="P97" s="1914"/>
      <c r="Q97" s="593"/>
      <c r="R97" s="2031"/>
      <c r="S97" s="1914"/>
      <c r="T97" s="1914"/>
      <c r="U97" s="1914"/>
      <c r="V97" s="593"/>
      <c r="W97" s="2031"/>
      <c r="X97" s="1914"/>
      <c r="Y97" s="1914"/>
      <c r="Z97" s="1914"/>
      <c r="AA97" s="2032"/>
      <c r="AB97" s="2031"/>
      <c r="AC97" s="1914"/>
      <c r="AD97" s="1914"/>
      <c r="AE97" s="1914"/>
      <c r="AF97" s="2032"/>
      <c r="AG97" s="1914"/>
      <c r="AH97" s="1914"/>
      <c r="AI97" s="1914"/>
      <c r="AJ97" s="1914"/>
      <c r="AK97" s="593"/>
      <c r="AL97" s="1914"/>
      <c r="AM97" s="1914"/>
      <c r="AN97" s="1914"/>
      <c r="AO97" s="1914"/>
      <c r="AP97" s="593"/>
      <c r="AQ97" s="1914"/>
      <c r="AR97" s="1914"/>
      <c r="AS97" s="1914"/>
      <c r="AT97" s="1914"/>
      <c r="AU97" s="593"/>
      <c r="AV97" s="2033"/>
      <c r="AW97" s="1914"/>
      <c r="AX97" s="1914"/>
      <c r="AY97" s="1914"/>
      <c r="AZ97" s="2032"/>
      <c r="BA97" s="2033"/>
      <c r="BB97" s="1914"/>
      <c r="BC97" s="1914"/>
      <c r="BD97" s="1914"/>
      <c r="BE97" s="2032"/>
      <c r="BF97" s="2033"/>
      <c r="BG97" s="1914"/>
      <c r="BH97" s="1914"/>
      <c r="BI97" s="1914"/>
      <c r="BJ97" s="2032"/>
      <c r="BK97" s="2033"/>
      <c r="BL97" s="1914"/>
      <c r="BM97" s="1914"/>
      <c r="BN97" s="1914"/>
      <c r="BO97" s="2032"/>
      <c r="BP97" s="2034"/>
      <c r="BQ97" s="1914"/>
      <c r="BR97" s="1914"/>
      <c r="BS97" s="1914"/>
      <c r="BT97" s="2035"/>
      <c r="BU97" s="1914"/>
      <c r="BV97" s="1914"/>
      <c r="BW97" s="2036"/>
      <c r="BX97" s="2035"/>
      <c r="BY97" s="1914"/>
      <c r="BZ97" s="1914"/>
      <c r="CA97" s="2010"/>
      <c r="CB97" s="1914"/>
      <c r="CC97" s="1914"/>
      <c r="CD97" s="1914"/>
      <c r="CE97" s="1914"/>
      <c r="CF97" s="2035"/>
      <c r="CG97" s="1914"/>
      <c r="CH97" s="1914"/>
      <c r="CI97" s="2010"/>
      <c r="CJ97" s="2037"/>
      <c r="CK97" s="1914"/>
      <c r="CL97" s="1914"/>
      <c r="CM97" s="1914"/>
      <c r="CN97" s="2036"/>
      <c r="CO97" s="2037"/>
      <c r="CP97" s="2031"/>
      <c r="CQ97" s="2031"/>
      <c r="CR97" s="2031"/>
      <c r="CS97" s="2036"/>
      <c r="CT97" s="2037"/>
      <c r="CU97" s="1914"/>
      <c r="CV97" s="1914"/>
      <c r="CW97" s="1914"/>
      <c r="CX97" s="2036"/>
      <c r="CY97" s="2037"/>
      <c r="CZ97" s="1914"/>
      <c r="DA97" s="1914"/>
      <c r="DB97" s="1914"/>
      <c r="DC97" s="2036"/>
      <c r="DD97" s="2037"/>
      <c r="DE97" s="1914"/>
      <c r="DF97" s="1914"/>
      <c r="DG97" s="1914"/>
      <c r="DH97" s="2038"/>
      <c r="DI97" s="2037"/>
      <c r="DJ97" s="1914"/>
      <c r="DK97" s="1914"/>
      <c r="DL97" s="1914"/>
      <c r="DM97" s="2038"/>
      <c r="DN97" s="2037"/>
      <c r="DO97" s="1914"/>
      <c r="DP97" s="1914"/>
      <c r="DQ97" s="1914"/>
      <c r="DR97" s="2038"/>
      <c r="DS97" s="2037"/>
      <c r="DT97" s="1914"/>
      <c r="DU97" s="1914"/>
      <c r="DV97" s="1914"/>
      <c r="DW97" s="2038"/>
      <c r="DX97" s="2037"/>
      <c r="DY97" s="1914"/>
      <c r="DZ97" s="1914"/>
      <c r="EA97" s="1914"/>
      <c r="EB97" s="2038"/>
      <c r="EC97" s="2037"/>
      <c r="ED97" s="1914"/>
      <c r="EE97" s="1914"/>
      <c r="EF97" s="1914"/>
      <c r="EG97" s="2038"/>
      <c r="EH97" s="2037"/>
      <c r="EI97" s="1914"/>
      <c r="EJ97" s="1914"/>
      <c r="EK97" s="1914"/>
      <c r="EL97" s="2038"/>
      <c r="EM97" s="1910"/>
      <c r="EN97" s="715"/>
      <c r="EO97" s="715"/>
      <c r="EP97" s="715"/>
      <c r="EQ97" s="366"/>
      <c r="ER97" s="1713"/>
      <c r="ES97" s="1714"/>
      <c r="ET97" s="1714"/>
      <c r="EU97" s="1714"/>
      <c r="EV97" s="1715"/>
      <c r="EW97" s="2031"/>
      <c r="EX97" s="2031"/>
      <c r="EY97" s="2031"/>
      <c r="EZ97" s="593"/>
      <c r="FA97" s="2037"/>
      <c r="FB97" s="2031"/>
      <c r="FC97" s="2031"/>
      <c r="FD97" s="2036"/>
      <c r="FE97" s="2031"/>
      <c r="FF97" s="2031"/>
      <c r="FG97" s="2031"/>
      <c r="FH97" s="593"/>
      <c r="FI97" s="2039"/>
      <c r="FJ97" s="2040"/>
      <c r="FK97" s="2041"/>
      <c r="FL97" s="2041"/>
      <c r="FM97" s="693"/>
      <c r="FN97" s="2031"/>
      <c r="FO97" s="1914"/>
      <c r="FP97" s="1914"/>
      <c r="FQ97" s="1914"/>
      <c r="FR97" s="2032"/>
      <c r="FS97" s="1910"/>
      <c r="FT97" s="715"/>
      <c r="FU97" s="715"/>
      <c r="FV97" s="715"/>
      <c r="FW97" s="366"/>
      <c r="FX97" s="2037"/>
      <c r="FY97" s="1914"/>
      <c r="FZ97" s="1914"/>
      <c r="GA97" s="715"/>
      <c r="GB97" s="366"/>
      <c r="GC97" s="1899"/>
      <c r="GD97" s="1900"/>
      <c r="GE97" s="1900"/>
      <c r="GF97" s="715"/>
      <c r="GG97" s="366"/>
      <c r="GH97" s="1901"/>
      <c r="GI97" s="1824"/>
      <c r="GJ97" s="1824"/>
      <c r="GK97" s="715"/>
      <c r="GL97" s="366"/>
      <c r="GM97" s="1901"/>
      <c r="GN97" s="1824"/>
      <c r="GO97" s="1824"/>
      <c r="GP97" s="715"/>
      <c r="GQ97" s="366"/>
      <c r="GR97" s="2042"/>
      <c r="GS97" s="2043"/>
      <c r="GT97" s="2043"/>
      <c r="GU97" s="715"/>
      <c r="GV97" s="366"/>
      <c r="GW97" s="2042"/>
      <c r="GX97" s="2043"/>
      <c r="GY97" s="2043"/>
      <c r="GZ97" s="715"/>
      <c r="HA97" s="366"/>
      <c r="HB97" s="2042"/>
      <c r="HC97" s="2043"/>
      <c r="HD97" s="2043"/>
      <c r="HE97" s="715"/>
      <c r="HF97" s="366"/>
      <c r="HG97" s="2042"/>
      <c r="HH97" s="2043"/>
      <c r="HI97" s="2043"/>
      <c r="HJ97" s="1818"/>
      <c r="HK97" s="366"/>
      <c r="HL97" s="2042"/>
      <c r="HM97" s="2043"/>
      <c r="HN97" s="2043"/>
      <c r="HO97" s="715"/>
      <c r="HP97" s="366"/>
      <c r="HQ97" s="1905"/>
      <c r="HR97" s="1248"/>
      <c r="HS97" s="1248"/>
      <c r="HT97" s="1248"/>
      <c r="HU97" s="1826"/>
      <c r="HV97" s="1827"/>
      <c r="HW97" s="1089"/>
      <c r="HX97" s="1089"/>
      <c r="HY97" s="1089"/>
      <c r="HZ97" s="1906"/>
      <c r="IA97" s="1907"/>
      <c r="IB97" s="1908"/>
      <c r="IC97" s="1908"/>
      <c r="ID97" s="1909"/>
      <c r="IE97" s="1910"/>
      <c r="IF97" s="1911"/>
      <c r="IG97" s="1912"/>
      <c r="IH97" s="1909"/>
      <c r="II97" s="1835"/>
      <c r="IJ97" s="1836"/>
      <c r="IK97" s="1836"/>
      <c r="IL97" s="693"/>
      <c r="IM97" s="1913"/>
      <c r="IN97" s="1836"/>
      <c r="IO97" s="1836"/>
      <c r="IP97" s="1838"/>
      <c r="IQ97" s="1914"/>
      <c r="IR97" s="2044"/>
      <c r="IS97" s="715"/>
      <c r="IT97" s="715"/>
      <c r="IU97" s="1996"/>
      <c r="IV97" s="2045"/>
      <c r="IW97" s="1910"/>
      <c r="IX97" s="715"/>
      <c r="IY97" s="823"/>
      <c r="IZ97" s="1719"/>
      <c r="JA97" s="1721"/>
      <c r="JB97" s="2046"/>
      <c r="JC97" s="2047"/>
      <c r="JD97" s="2048"/>
      <c r="JE97" s="1719"/>
      <c r="JF97" s="1721"/>
      <c r="JG97" s="1847"/>
      <c r="JH97" s="1096"/>
      <c r="JI97" s="1096"/>
      <c r="JJ97" s="1756"/>
      <c r="JK97" s="1721"/>
      <c r="JL97" s="1927"/>
      <c r="JM97" s="1096"/>
      <c r="JN97" s="1096"/>
      <c r="JO97" s="823"/>
      <c r="JP97" s="1721"/>
      <c r="JQ97" s="1926"/>
      <c r="JR97" s="1982"/>
      <c r="JS97" s="1248"/>
      <c r="JT97" s="1996"/>
      <c r="JU97" s="1821"/>
      <c r="JV97" s="1988"/>
      <c r="JW97" s="2049"/>
      <c r="JX97" s="1850"/>
      <c r="JY97" s="823"/>
      <c r="JZ97" s="1721"/>
      <c r="KA97" s="1847"/>
      <c r="KB97" s="264"/>
      <c r="KC97" s="972"/>
      <c r="KD97" s="964"/>
      <c r="KE97" s="1848"/>
      <c r="KF97" s="1988"/>
      <c r="KG97" s="1850"/>
      <c r="KH97" s="2049"/>
      <c r="KI97" s="1719"/>
      <c r="KJ97" s="1721"/>
      <c r="KK97" s="1988"/>
      <c r="KL97" s="1850"/>
      <c r="KM97" s="2049"/>
      <c r="KN97" s="1851"/>
      <c r="KO97" s="1852"/>
      <c r="KP97" s="1823"/>
      <c r="KQ97" s="1982"/>
      <c r="KR97" s="1248"/>
      <c r="KS97" s="1996"/>
      <c r="KT97" s="1819"/>
      <c r="KU97" s="1853"/>
      <c r="KV97" s="264"/>
      <c r="KW97" s="264"/>
      <c r="KX97" s="264"/>
      <c r="KY97" s="75"/>
      <c r="KZ97" s="1857"/>
      <c r="LA97" s="358"/>
      <c r="LB97" s="358"/>
      <c r="LC97" s="358"/>
      <c r="LD97" s="151"/>
      <c r="LE97" s="1854"/>
      <c r="LF97" s="1855"/>
      <c r="LG97" s="1855"/>
      <c r="LH97" s="1856"/>
      <c r="LI97" s="1857"/>
      <c r="LJ97" s="1858"/>
      <c r="LK97" s="1854"/>
      <c r="LL97" s="1856"/>
      <c r="LM97" s="1859"/>
      <c r="LN97" s="1727"/>
      <c r="LO97" s="1727"/>
      <c r="LP97" s="151"/>
      <c r="LQ97" s="1860"/>
      <c r="LR97" s="1727"/>
      <c r="LS97" s="1727"/>
      <c r="LT97" s="1861"/>
      <c r="LV97" s="439"/>
      <c r="LW97" s="208"/>
      <c r="LX97" s="208"/>
      <c r="LY97" s="96"/>
      <c r="LZ97" s="78"/>
      <c r="MA97" s="1832"/>
      <c r="MB97" s="622"/>
      <c r="MC97" s="622"/>
      <c r="MD97" s="372"/>
      <c r="ME97" s="207"/>
      <c r="MF97" s="405"/>
      <c r="MG97" s="1575"/>
      <c r="MH97" s="1568"/>
      <c r="MI97" s="371"/>
      <c r="MJ97" s="157"/>
      <c r="MK97" s="354"/>
      <c r="ML97" s="208"/>
      <c r="MM97" s="358"/>
      <c r="MN97" s="371"/>
      <c r="MO97" s="157"/>
      <c r="MP97" s="1579"/>
      <c r="MQ97" s="264"/>
      <c r="MR97" s="264"/>
      <c r="MS97" s="264"/>
      <c r="MT97" s="597"/>
      <c r="MU97" s="209"/>
      <c r="MV97" s="208"/>
      <c r="MW97" s="208"/>
      <c r="MX97" s="208"/>
      <c r="MY97" s="655"/>
      <c r="MZ97" s="209"/>
      <c r="NA97" s="208"/>
      <c r="NB97" s="208"/>
      <c r="NC97" s="208"/>
      <c r="ND97" s="1313"/>
      <c r="NE97" s="209"/>
      <c r="NF97" s="208"/>
      <c r="NG97" s="208"/>
      <c r="NH97" s="208"/>
      <c r="NI97" s="1313"/>
      <c r="NJ97" s="209"/>
      <c r="NK97" s="208"/>
      <c r="NL97" s="208"/>
      <c r="NM97" s="208"/>
      <c r="NN97" s="1313"/>
      <c r="NO97" s="357"/>
      <c r="NP97" s="358"/>
      <c r="NQ97" s="359"/>
      <c r="NR97" s="208"/>
      <c r="NS97" s="1313"/>
      <c r="NT97" s="357"/>
      <c r="NU97" s="358"/>
      <c r="NV97" s="358"/>
      <c r="NW97" s="208"/>
      <c r="NX97" s="1313"/>
      <c r="NY97" s="357"/>
      <c r="NZ97" s="358"/>
      <c r="OA97" s="358"/>
      <c r="OB97" s="622"/>
      <c r="OC97" s="116"/>
      <c r="OD97" s="191"/>
      <c r="OE97" s="358"/>
      <c r="OF97" s="358"/>
      <c r="OG97" s="358"/>
      <c r="OH97" s="220"/>
      <c r="OI97" s="1863"/>
      <c r="OJ97" s="105"/>
      <c r="OK97" s="105"/>
      <c r="OL97" s="105"/>
      <c r="OM97" s="106"/>
      <c r="ON97" s="358"/>
      <c r="OO97" s="358"/>
      <c r="OP97" s="358"/>
      <c r="OQ97" s="359"/>
      <c r="OR97" s="169"/>
      <c r="OS97" s="686"/>
      <c r="OT97" s="146"/>
      <c r="OU97" s="146"/>
      <c r="OV97" s="1864"/>
      <c r="OW97" s="203"/>
      <c r="OX97" s="357"/>
      <c r="OY97" s="358"/>
      <c r="OZ97" s="358"/>
      <c r="PA97" s="359"/>
      <c r="PB97" s="114"/>
      <c r="PC97" s="79"/>
      <c r="PD97" s="439"/>
      <c r="PE97" s="208"/>
      <c r="PF97" s="208"/>
      <c r="PG97" s="96"/>
      <c r="PH97" s="78"/>
      <c r="PI97" s="401"/>
      <c r="PJ97" s="395"/>
      <c r="PK97" s="395"/>
      <c r="PL97" s="96"/>
      <c r="PM97" s="78"/>
      <c r="PN97" s="439"/>
      <c r="PO97" s="208"/>
      <c r="PP97" s="358"/>
      <c r="PQ97" s="371"/>
      <c r="PR97" s="157"/>
      <c r="PS97" s="354"/>
      <c r="PT97" s="208"/>
      <c r="PU97" s="358"/>
      <c r="PV97" s="371"/>
      <c r="PW97" s="157"/>
      <c r="PX97" s="1579"/>
      <c r="PY97" s="264"/>
      <c r="PZ97" s="264"/>
      <c r="QA97" s="1248"/>
      <c r="QB97" s="597"/>
      <c r="QC97" s="209"/>
      <c r="QD97" s="208"/>
      <c r="QE97" s="208"/>
      <c r="QF97" s="208"/>
      <c r="QG97" s="655"/>
      <c r="QH97" s="439"/>
      <c r="QI97" s="208"/>
      <c r="QJ97" s="208"/>
      <c r="QK97" s="208"/>
      <c r="QL97" s="1313"/>
      <c r="QM97" s="439"/>
      <c r="QN97" s="208"/>
      <c r="QO97" s="208"/>
      <c r="QP97" s="208"/>
      <c r="QQ97" s="801"/>
      <c r="QR97" s="209"/>
      <c r="QS97" s="208"/>
      <c r="QT97" s="208"/>
      <c r="QU97" s="208"/>
      <c r="QV97" s="157"/>
      <c r="QW97" s="209"/>
      <c r="QX97" s="208"/>
      <c r="QY97" s="208"/>
      <c r="QZ97" s="208"/>
      <c r="RA97" s="2083"/>
      <c r="RB97" s="209"/>
      <c r="RC97" s="208"/>
      <c r="RD97" s="208"/>
      <c r="RE97" s="208"/>
      <c r="RF97" s="114"/>
      <c r="RG97" s="1857"/>
      <c r="RH97" s="208"/>
      <c r="RI97" s="208"/>
      <c r="RJ97" s="772"/>
      <c r="RK97" s="116"/>
      <c r="RL97" s="1567"/>
      <c r="RM97" s="1568"/>
      <c r="RN97" s="1568"/>
      <c r="RO97" s="1568"/>
      <c r="RP97" s="220"/>
      <c r="RQ97" s="1863"/>
      <c r="RR97" s="105"/>
      <c r="RS97" s="105"/>
      <c r="RT97" s="105"/>
      <c r="RU97" s="106"/>
      <c r="RV97" s="358"/>
      <c r="RW97" s="358"/>
      <c r="RX97" s="358"/>
      <c r="RY97" s="359"/>
      <c r="RZ97" s="169"/>
      <c r="SA97" s="686"/>
      <c r="SB97" s="146"/>
      <c r="SC97" s="146"/>
      <c r="SD97" s="1864"/>
      <c r="SE97" s="203"/>
      <c r="SF97" s="1567"/>
      <c r="SG97" s="358"/>
      <c r="SH97" s="358"/>
      <c r="SI97" s="359"/>
      <c r="SJ97" s="114"/>
      <c r="SL97" s="439"/>
      <c r="SM97" s="208"/>
      <c r="SN97" s="208"/>
      <c r="SO97" s="96"/>
      <c r="SP97" s="78"/>
      <c r="SQ97" s="439"/>
      <c r="SR97" s="208"/>
      <c r="SS97" s="208"/>
      <c r="ST97" s="115"/>
      <c r="SU97" s="1498"/>
      <c r="SV97" s="401"/>
      <c r="SW97" s="395"/>
      <c r="SX97" s="622"/>
      <c r="SY97" s="372"/>
      <c r="SZ97" s="207"/>
      <c r="TA97" s="2573"/>
      <c r="TB97" s="395"/>
      <c r="TC97" s="622"/>
      <c r="TD97" s="115"/>
      <c r="TE97" s="362"/>
      <c r="TF97" s="354"/>
      <c r="TG97" s="208"/>
      <c r="TH97" s="208"/>
      <c r="TI97" s="395"/>
      <c r="TJ97" s="114"/>
      <c r="TK97" s="209"/>
      <c r="TL97" s="208"/>
      <c r="TM97" s="208"/>
      <c r="TN97" s="395"/>
      <c r="TO97" s="114"/>
      <c r="TP97" s="4432"/>
      <c r="TQ97" s="208"/>
      <c r="TR97" s="208"/>
      <c r="TS97" s="994"/>
      <c r="TT97" s="114"/>
      <c r="TU97" s="4432"/>
      <c r="TV97" s="208"/>
      <c r="TW97" s="208"/>
      <c r="TX97" s="994">
        <f t="shared" si="353"/>
        <v>0</v>
      </c>
      <c r="TY97" s="2050">
        <v>0</v>
      </c>
      <c r="TZ97" s="1868"/>
      <c r="UA97" s="208">
        <v>0</v>
      </c>
      <c r="UB97" s="208">
        <v>0</v>
      </c>
      <c r="UC97" s="994">
        <v>0</v>
      </c>
      <c r="UD97" s="4933"/>
      <c r="UE97" s="2002">
        <v>1</v>
      </c>
      <c r="UF97" s="2001">
        <v>686037</v>
      </c>
      <c r="UG97" s="2001">
        <v>726282</v>
      </c>
      <c r="UH97" s="2001">
        <f t="shared" si="322"/>
        <v>40245</v>
      </c>
      <c r="UI97" s="6494">
        <f t="shared" si="367"/>
        <v>5.541236048807488E-2</v>
      </c>
      <c r="UJ97" s="209"/>
      <c r="UK97" s="208"/>
      <c r="UL97" s="208"/>
      <c r="UM97" s="208"/>
      <c r="UN97" s="114"/>
      <c r="UO97" s="1567"/>
      <c r="UP97" s="1568"/>
      <c r="UQ97" s="1568"/>
      <c r="UR97" s="1873"/>
      <c r="US97" s="116"/>
      <c r="UT97" s="1567"/>
      <c r="UU97" s="358">
        <f t="shared" si="371"/>
        <v>686037</v>
      </c>
      <c r="UV97" s="358">
        <f t="shared" si="371"/>
        <v>726282</v>
      </c>
      <c r="UW97" s="358">
        <f t="shared" si="371"/>
        <v>40245</v>
      </c>
      <c r="UX97" s="220"/>
      <c r="UY97" s="1863"/>
      <c r="UZ97" s="105"/>
      <c r="VA97" s="105"/>
      <c r="VB97" s="105"/>
      <c r="VC97" s="106"/>
      <c r="VD97" s="358"/>
      <c r="VE97" s="358"/>
      <c r="VF97" s="358"/>
      <c r="VG97" s="359"/>
      <c r="VH97" s="169"/>
      <c r="VI97" s="686"/>
      <c r="VJ97" s="146">
        <f t="shared" si="373"/>
        <v>0</v>
      </c>
      <c r="VK97" s="146">
        <f t="shared" si="373"/>
        <v>0</v>
      </c>
      <c r="VL97" s="1864">
        <f t="shared" si="373"/>
        <v>0</v>
      </c>
      <c r="VM97" s="203"/>
      <c r="VN97" s="1567"/>
      <c r="VO97" s="358"/>
      <c r="VP97" s="358"/>
      <c r="VQ97" s="359"/>
      <c r="VR97" s="114"/>
    </row>
    <row r="98" spans="1:745" s="1193" customFormat="1" ht="13.45" hidden="1" x14ac:dyDescent="0.3">
      <c r="A98" s="1297"/>
      <c r="B98" s="1773"/>
      <c r="C98" s="3624"/>
      <c r="D98" s="3623"/>
      <c r="E98" s="1993"/>
      <c r="F98" s="1993"/>
      <c r="G98" s="1994"/>
      <c r="H98" s="2031"/>
      <c r="I98" s="1914"/>
      <c r="J98" s="1914"/>
      <c r="K98" s="1914"/>
      <c r="L98" s="593"/>
      <c r="M98" s="2031"/>
      <c r="N98" s="1914"/>
      <c r="O98" s="1914"/>
      <c r="P98" s="1914"/>
      <c r="Q98" s="593"/>
      <c r="R98" s="2031"/>
      <c r="S98" s="1914"/>
      <c r="T98" s="1914"/>
      <c r="U98" s="1914"/>
      <c r="V98" s="593"/>
      <c r="W98" s="2031"/>
      <c r="X98" s="1914"/>
      <c r="Y98" s="1914"/>
      <c r="Z98" s="1914"/>
      <c r="AA98" s="2032"/>
      <c r="AB98" s="2031"/>
      <c r="AC98" s="1914"/>
      <c r="AD98" s="1914"/>
      <c r="AE98" s="1914"/>
      <c r="AF98" s="2032"/>
      <c r="AG98" s="1914"/>
      <c r="AH98" s="1914"/>
      <c r="AI98" s="1914"/>
      <c r="AJ98" s="1914"/>
      <c r="AK98" s="593"/>
      <c r="AL98" s="1914"/>
      <c r="AM98" s="1914"/>
      <c r="AN98" s="1914"/>
      <c r="AO98" s="1914"/>
      <c r="AP98" s="593"/>
      <c r="AQ98" s="1914"/>
      <c r="AR98" s="1914"/>
      <c r="AS98" s="1914"/>
      <c r="AT98" s="1914"/>
      <c r="AU98" s="593"/>
      <c r="AV98" s="2033"/>
      <c r="AW98" s="1914"/>
      <c r="AX98" s="1914"/>
      <c r="AY98" s="1914"/>
      <c r="AZ98" s="2032"/>
      <c r="BA98" s="2033"/>
      <c r="BB98" s="1914"/>
      <c r="BC98" s="1914"/>
      <c r="BD98" s="1914"/>
      <c r="BE98" s="2032"/>
      <c r="BF98" s="2033"/>
      <c r="BG98" s="1914"/>
      <c r="BH98" s="1914"/>
      <c r="BI98" s="1914"/>
      <c r="BJ98" s="2032"/>
      <c r="BK98" s="2033"/>
      <c r="BL98" s="1914"/>
      <c r="BM98" s="1914"/>
      <c r="BN98" s="1914"/>
      <c r="BO98" s="2032"/>
      <c r="BP98" s="2034"/>
      <c r="BQ98" s="1914"/>
      <c r="BR98" s="1914"/>
      <c r="BS98" s="1914"/>
      <c r="BT98" s="2035"/>
      <c r="BU98" s="1914"/>
      <c r="BV98" s="1914"/>
      <c r="BW98" s="2036"/>
      <c r="BX98" s="2035"/>
      <c r="BY98" s="1914"/>
      <c r="BZ98" s="1914"/>
      <c r="CA98" s="2010"/>
      <c r="CB98" s="1914"/>
      <c r="CC98" s="1914"/>
      <c r="CD98" s="1914"/>
      <c r="CE98" s="1914"/>
      <c r="CF98" s="2035"/>
      <c r="CG98" s="1914"/>
      <c r="CH98" s="1914"/>
      <c r="CI98" s="2010"/>
      <c r="CJ98" s="2037"/>
      <c r="CK98" s="1914"/>
      <c r="CL98" s="1914"/>
      <c r="CM98" s="1914"/>
      <c r="CN98" s="2036"/>
      <c r="CO98" s="2037"/>
      <c r="CP98" s="2031"/>
      <c r="CQ98" s="2031"/>
      <c r="CR98" s="2031"/>
      <c r="CS98" s="2036"/>
      <c r="CT98" s="2037"/>
      <c r="CU98" s="1914"/>
      <c r="CV98" s="1914"/>
      <c r="CW98" s="1914"/>
      <c r="CX98" s="2036"/>
      <c r="CY98" s="2037"/>
      <c r="CZ98" s="1914"/>
      <c r="DA98" s="1914"/>
      <c r="DB98" s="1914"/>
      <c r="DC98" s="2036"/>
      <c r="DD98" s="2037"/>
      <c r="DE98" s="1914"/>
      <c r="DF98" s="1914"/>
      <c r="DG98" s="1914"/>
      <c r="DH98" s="2038"/>
      <c r="DI98" s="2037"/>
      <c r="DJ98" s="1914"/>
      <c r="DK98" s="1914"/>
      <c r="DL98" s="1914"/>
      <c r="DM98" s="2038"/>
      <c r="DN98" s="2037"/>
      <c r="DO98" s="1914"/>
      <c r="DP98" s="1914"/>
      <c r="DQ98" s="1914"/>
      <c r="DR98" s="2038"/>
      <c r="DS98" s="2037"/>
      <c r="DT98" s="1914"/>
      <c r="DU98" s="1914"/>
      <c r="DV98" s="1914"/>
      <c r="DW98" s="2038"/>
      <c r="DX98" s="2037"/>
      <c r="DY98" s="1914"/>
      <c r="DZ98" s="1914"/>
      <c r="EA98" s="1914"/>
      <c r="EB98" s="2038"/>
      <c r="EC98" s="2037"/>
      <c r="ED98" s="1914"/>
      <c r="EE98" s="1914"/>
      <c r="EF98" s="1914"/>
      <c r="EG98" s="2038"/>
      <c r="EH98" s="2037"/>
      <c r="EI98" s="1914"/>
      <c r="EJ98" s="1914"/>
      <c r="EK98" s="1914"/>
      <c r="EL98" s="2038"/>
      <c r="EM98" s="1910"/>
      <c r="EN98" s="715"/>
      <c r="EO98" s="715"/>
      <c r="EP98" s="715"/>
      <c r="EQ98" s="366"/>
      <c r="ER98" s="1713"/>
      <c r="ES98" s="1714"/>
      <c r="ET98" s="1714"/>
      <c r="EU98" s="1714"/>
      <c r="EV98" s="1715"/>
      <c r="EW98" s="2031"/>
      <c r="EX98" s="2031"/>
      <c r="EY98" s="2031"/>
      <c r="EZ98" s="593"/>
      <c r="FA98" s="2037"/>
      <c r="FB98" s="2031"/>
      <c r="FC98" s="2031"/>
      <c r="FD98" s="2036"/>
      <c r="FE98" s="2031"/>
      <c r="FF98" s="2031"/>
      <c r="FG98" s="2031"/>
      <c r="FH98" s="593"/>
      <c r="FI98" s="2039"/>
      <c r="FJ98" s="2040"/>
      <c r="FK98" s="2041"/>
      <c r="FL98" s="2041"/>
      <c r="FM98" s="693"/>
      <c r="FN98" s="2031"/>
      <c r="FO98" s="1914"/>
      <c r="FP98" s="1914"/>
      <c r="FQ98" s="1914"/>
      <c r="FR98" s="2032"/>
      <c r="FS98" s="1910"/>
      <c r="FT98" s="715"/>
      <c r="FU98" s="715"/>
      <c r="FV98" s="715"/>
      <c r="FW98" s="366"/>
      <c r="FX98" s="2037"/>
      <c r="FY98" s="1914"/>
      <c r="FZ98" s="1914"/>
      <c r="GA98" s="715"/>
      <c r="GB98" s="366"/>
      <c r="GC98" s="1899"/>
      <c r="GD98" s="1900"/>
      <c r="GE98" s="1900"/>
      <c r="GF98" s="715"/>
      <c r="GG98" s="366"/>
      <c r="GH98" s="1901"/>
      <c r="GI98" s="1824"/>
      <c r="GJ98" s="1824"/>
      <c r="GK98" s="715"/>
      <c r="GL98" s="366"/>
      <c r="GM98" s="1901"/>
      <c r="GN98" s="1824"/>
      <c r="GO98" s="1824"/>
      <c r="GP98" s="715"/>
      <c r="GQ98" s="366"/>
      <c r="GR98" s="2042"/>
      <c r="GS98" s="2043"/>
      <c r="GT98" s="2043"/>
      <c r="GU98" s="715"/>
      <c r="GV98" s="366"/>
      <c r="GW98" s="2042"/>
      <c r="GX98" s="2043"/>
      <c r="GY98" s="2043"/>
      <c r="GZ98" s="715"/>
      <c r="HA98" s="366"/>
      <c r="HB98" s="2042"/>
      <c r="HC98" s="2043"/>
      <c r="HD98" s="2043"/>
      <c r="HE98" s="715"/>
      <c r="HF98" s="366"/>
      <c r="HG98" s="2042"/>
      <c r="HH98" s="2043"/>
      <c r="HI98" s="2043"/>
      <c r="HJ98" s="1818"/>
      <c r="HK98" s="366"/>
      <c r="HL98" s="2042"/>
      <c r="HM98" s="2043"/>
      <c r="HN98" s="2043"/>
      <c r="HO98" s="715"/>
      <c r="HP98" s="366"/>
      <c r="HQ98" s="1905"/>
      <c r="HR98" s="1248"/>
      <c r="HS98" s="1248"/>
      <c r="HT98" s="1248"/>
      <c r="HU98" s="1826"/>
      <c r="HV98" s="1827"/>
      <c r="HW98" s="1089"/>
      <c r="HX98" s="1089"/>
      <c r="HY98" s="1089"/>
      <c r="HZ98" s="1906"/>
      <c r="IA98" s="1907"/>
      <c r="IB98" s="1908"/>
      <c r="IC98" s="1908"/>
      <c r="ID98" s="1909"/>
      <c r="IE98" s="1910"/>
      <c r="IF98" s="1911"/>
      <c r="IG98" s="1912"/>
      <c r="IH98" s="1909"/>
      <c r="II98" s="1835"/>
      <c r="IJ98" s="1836"/>
      <c r="IK98" s="1836"/>
      <c r="IL98" s="693"/>
      <c r="IM98" s="1913"/>
      <c r="IN98" s="1836"/>
      <c r="IO98" s="1836"/>
      <c r="IP98" s="1838"/>
      <c r="IQ98" s="1914"/>
      <c r="IR98" s="2044"/>
      <c r="IS98" s="715"/>
      <c r="IT98" s="715"/>
      <c r="IU98" s="1996"/>
      <c r="IV98" s="2045"/>
      <c r="IW98" s="1910"/>
      <c r="IX98" s="715"/>
      <c r="IY98" s="823"/>
      <c r="IZ98" s="1719"/>
      <c r="JA98" s="1721"/>
      <c r="JB98" s="2046"/>
      <c r="JC98" s="2047"/>
      <c r="JD98" s="2048"/>
      <c r="JE98" s="1719"/>
      <c r="JF98" s="1721"/>
      <c r="JG98" s="1847"/>
      <c r="JH98" s="1096"/>
      <c r="JI98" s="1096"/>
      <c r="JJ98" s="1756"/>
      <c r="JK98" s="1721"/>
      <c r="JL98" s="1927"/>
      <c r="JM98" s="1096"/>
      <c r="JN98" s="1096"/>
      <c r="JO98" s="823"/>
      <c r="JP98" s="1721"/>
      <c r="JQ98" s="1926"/>
      <c r="JR98" s="1982"/>
      <c r="JS98" s="1248"/>
      <c r="JT98" s="1996"/>
      <c r="JU98" s="1821"/>
      <c r="JV98" s="1988"/>
      <c r="JW98" s="2049"/>
      <c r="JX98" s="1850"/>
      <c r="JY98" s="823"/>
      <c r="JZ98" s="1721"/>
      <c r="KA98" s="1847"/>
      <c r="KB98" s="264"/>
      <c r="KC98" s="972"/>
      <c r="KD98" s="964"/>
      <c r="KE98" s="1848"/>
      <c r="KF98" s="1988"/>
      <c r="KG98" s="1850"/>
      <c r="KH98" s="2049"/>
      <c r="KI98" s="1719"/>
      <c r="KJ98" s="1721"/>
      <c r="KK98" s="1988"/>
      <c r="KL98" s="1850"/>
      <c r="KM98" s="2049"/>
      <c r="KN98" s="1851"/>
      <c r="KO98" s="1852"/>
      <c r="KP98" s="1823"/>
      <c r="KQ98" s="1982"/>
      <c r="KR98" s="1248"/>
      <c r="KS98" s="1996"/>
      <c r="KT98" s="1819"/>
      <c r="KU98" s="1853"/>
      <c r="KV98" s="264"/>
      <c r="KW98" s="264"/>
      <c r="KX98" s="264"/>
      <c r="KY98" s="75"/>
      <c r="KZ98" s="1857"/>
      <c r="LA98" s="358"/>
      <c r="LB98" s="358"/>
      <c r="LC98" s="358"/>
      <c r="LD98" s="151"/>
      <c r="LE98" s="1854"/>
      <c r="LF98" s="1855"/>
      <c r="LG98" s="1855"/>
      <c r="LH98" s="1856"/>
      <c r="LI98" s="1857"/>
      <c r="LJ98" s="1858"/>
      <c r="LK98" s="1854"/>
      <c r="LL98" s="1856"/>
      <c r="LM98" s="1859"/>
      <c r="LN98" s="1727"/>
      <c r="LO98" s="1727"/>
      <c r="LP98" s="151"/>
      <c r="LQ98" s="1860"/>
      <c r="LR98" s="1727"/>
      <c r="LS98" s="1727"/>
      <c r="LT98" s="1861"/>
      <c r="LV98" s="439"/>
      <c r="LW98" s="208"/>
      <c r="LX98" s="208"/>
      <c r="LY98" s="96"/>
      <c r="LZ98" s="78"/>
      <c r="MA98" s="1832"/>
      <c r="MB98" s="622"/>
      <c r="MC98" s="622"/>
      <c r="MD98" s="372"/>
      <c r="ME98" s="207"/>
      <c r="MF98" s="405"/>
      <c r="MG98" s="1575"/>
      <c r="MH98" s="1568"/>
      <c r="MI98" s="371"/>
      <c r="MJ98" s="157"/>
      <c r="MK98" s="354"/>
      <c r="ML98" s="208"/>
      <c r="MM98" s="358"/>
      <c r="MN98" s="371"/>
      <c r="MO98" s="157"/>
      <c r="MP98" s="1579"/>
      <c r="MQ98" s="264"/>
      <c r="MR98" s="264"/>
      <c r="MS98" s="264"/>
      <c r="MT98" s="597"/>
      <c r="MU98" s="209"/>
      <c r="MV98" s="208"/>
      <c r="MW98" s="208"/>
      <c r="MX98" s="208"/>
      <c r="MY98" s="655"/>
      <c r="MZ98" s="209"/>
      <c r="NA98" s="208"/>
      <c r="NB98" s="208"/>
      <c r="NC98" s="208"/>
      <c r="ND98" s="1313"/>
      <c r="NE98" s="209"/>
      <c r="NF98" s="208"/>
      <c r="NG98" s="208"/>
      <c r="NH98" s="208"/>
      <c r="NI98" s="1313"/>
      <c r="NJ98" s="209"/>
      <c r="NK98" s="208"/>
      <c r="NL98" s="208"/>
      <c r="NM98" s="208"/>
      <c r="NN98" s="1313"/>
      <c r="NO98" s="357"/>
      <c r="NP98" s="358"/>
      <c r="NQ98" s="359"/>
      <c r="NR98" s="208"/>
      <c r="NS98" s="1313"/>
      <c r="NT98" s="357"/>
      <c r="NU98" s="358"/>
      <c r="NV98" s="358"/>
      <c r="NW98" s="208"/>
      <c r="NX98" s="1313"/>
      <c r="NY98" s="357"/>
      <c r="NZ98" s="358"/>
      <c r="OA98" s="358"/>
      <c r="OB98" s="622"/>
      <c r="OC98" s="116"/>
      <c r="OD98" s="191"/>
      <c r="OE98" s="358"/>
      <c r="OF98" s="358"/>
      <c r="OG98" s="358"/>
      <c r="OH98" s="220"/>
      <c r="OI98" s="1863"/>
      <c r="OJ98" s="105"/>
      <c r="OK98" s="105"/>
      <c r="OL98" s="105"/>
      <c r="OM98" s="106"/>
      <c r="ON98" s="358"/>
      <c r="OO98" s="358"/>
      <c r="OP98" s="358"/>
      <c r="OQ98" s="359"/>
      <c r="OR98" s="169"/>
      <c r="OS98" s="686"/>
      <c r="OT98" s="146"/>
      <c r="OU98" s="146"/>
      <c r="OV98" s="1864"/>
      <c r="OW98" s="203"/>
      <c r="OX98" s="357"/>
      <c r="OY98" s="358"/>
      <c r="OZ98" s="358"/>
      <c r="PA98" s="359"/>
      <c r="PB98" s="114"/>
      <c r="PC98" s="79"/>
      <c r="PD98" s="439"/>
      <c r="PE98" s="208"/>
      <c r="PF98" s="208"/>
      <c r="PG98" s="96"/>
      <c r="PH98" s="78"/>
      <c r="PI98" s="401"/>
      <c r="PJ98" s="395"/>
      <c r="PK98" s="395"/>
      <c r="PL98" s="96"/>
      <c r="PM98" s="78"/>
      <c r="PN98" s="439"/>
      <c r="PO98" s="208"/>
      <c r="PP98" s="358"/>
      <c r="PQ98" s="371"/>
      <c r="PR98" s="157"/>
      <c r="PS98" s="354"/>
      <c r="PT98" s="208"/>
      <c r="PU98" s="358"/>
      <c r="PV98" s="371"/>
      <c r="PW98" s="157"/>
      <c r="PX98" s="1579"/>
      <c r="PY98" s="264"/>
      <c r="PZ98" s="264"/>
      <c r="QA98" s="1248"/>
      <c r="QB98" s="597"/>
      <c r="QC98" s="209"/>
      <c r="QD98" s="208"/>
      <c r="QE98" s="208"/>
      <c r="QF98" s="208"/>
      <c r="QG98" s="655"/>
      <c r="QH98" s="439"/>
      <c r="QI98" s="208"/>
      <c r="QJ98" s="208"/>
      <c r="QK98" s="208"/>
      <c r="QL98" s="1313"/>
      <c r="QM98" s="439"/>
      <c r="QN98" s="208"/>
      <c r="QO98" s="208"/>
      <c r="QP98" s="208"/>
      <c r="QQ98" s="801"/>
      <c r="QR98" s="209"/>
      <c r="QS98" s="208"/>
      <c r="QT98" s="208"/>
      <c r="QU98" s="208"/>
      <c r="QV98" s="157"/>
      <c r="QW98" s="209"/>
      <c r="QX98" s="208"/>
      <c r="QY98" s="208"/>
      <c r="QZ98" s="208"/>
      <c r="RA98" s="2083"/>
      <c r="RB98" s="209"/>
      <c r="RC98" s="208"/>
      <c r="RD98" s="208"/>
      <c r="RE98" s="208"/>
      <c r="RF98" s="114"/>
      <c r="RG98" s="1857"/>
      <c r="RH98" s="208"/>
      <c r="RI98" s="208"/>
      <c r="RJ98" s="772"/>
      <c r="RK98" s="116"/>
      <c r="RL98" s="1567"/>
      <c r="RM98" s="1568"/>
      <c r="RN98" s="1568"/>
      <c r="RO98" s="1568"/>
      <c r="RP98" s="220"/>
      <c r="RQ98" s="1863"/>
      <c r="RR98" s="105"/>
      <c r="RS98" s="105"/>
      <c r="RT98" s="105"/>
      <c r="RU98" s="106"/>
      <c r="RV98" s="358"/>
      <c r="RW98" s="358"/>
      <c r="RX98" s="358"/>
      <c r="RY98" s="359"/>
      <c r="RZ98" s="169"/>
      <c r="SA98" s="686"/>
      <c r="SB98" s="146"/>
      <c r="SC98" s="146"/>
      <c r="SD98" s="1864"/>
      <c r="SE98" s="203"/>
      <c r="SF98" s="1567"/>
      <c r="SG98" s="358"/>
      <c r="SH98" s="358"/>
      <c r="SI98" s="359"/>
      <c r="SJ98" s="114"/>
      <c r="SL98" s="439"/>
      <c r="SM98" s="208"/>
      <c r="SN98" s="208"/>
      <c r="SO98" s="96"/>
      <c r="SP98" s="78"/>
      <c r="SQ98" s="439"/>
      <c r="SR98" s="208"/>
      <c r="SS98" s="208"/>
      <c r="ST98" s="3523"/>
      <c r="SU98" s="222"/>
      <c r="SV98" s="439"/>
      <c r="SW98" s="208"/>
      <c r="SX98" s="358"/>
      <c r="SY98" s="372"/>
      <c r="SZ98" s="207"/>
      <c r="TA98" s="354"/>
      <c r="TB98" s="208"/>
      <c r="TC98" s="358"/>
      <c r="TD98" s="96"/>
      <c r="TE98" s="94"/>
      <c r="TF98" s="354"/>
      <c r="TG98" s="208"/>
      <c r="TH98" s="208"/>
      <c r="TI98" s="2285"/>
      <c r="TJ98" s="114"/>
      <c r="TK98" s="209"/>
      <c r="TL98" s="208"/>
      <c r="TM98" s="208"/>
      <c r="TN98" s="395"/>
      <c r="TO98" s="114"/>
      <c r="TP98" s="4432"/>
      <c r="TQ98" s="208"/>
      <c r="TR98" s="208"/>
      <c r="TS98" s="994"/>
      <c r="TT98" s="114"/>
      <c r="TU98" s="4432"/>
      <c r="TV98" s="208"/>
      <c r="TW98" s="208"/>
      <c r="TX98" s="994"/>
      <c r="TY98" s="2050"/>
      <c r="TZ98" s="1868"/>
      <c r="UA98" s="1575"/>
      <c r="UB98" s="1575"/>
      <c r="UC98" s="2552"/>
      <c r="UD98" s="441"/>
      <c r="UE98" s="1868"/>
      <c r="UF98" s="1575"/>
      <c r="UG98" s="1575"/>
      <c r="UH98" s="1575"/>
      <c r="UI98" s="6499"/>
      <c r="UJ98" s="209"/>
      <c r="UK98" s="208"/>
      <c r="UL98" s="208"/>
      <c r="UM98" s="208"/>
      <c r="UN98" s="114"/>
      <c r="UO98" s="1567"/>
      <c r="UP98" s="1568"/>
      <c r="UQ98" s="1568"/>
      <c r="UR98" s="1873"/>
      <c r="US98" s="116"/>
      <c r="UT98" s="1567"/>
      <c r="UU98" s="358">
        <f t="shared" si="371"/>
        <v>0</v>
      </c>
      <c r="UV98" s="358">
        <f t="shared" si="371"/>
        <v>0</v>
      </c>
      <c r="UW98" s="358">
        <f t="shared" si="371"/>
        <v>0</v>
      </c>
      <c r="UX98" s="220"/>
      <c r="UY98" s="1863">
        <f t="shared" si="324"/>
        <v>0</v>
      </c>
      <c r="UZ98" s="105">
        <f t="shared" si="424"/>
        <v>0</v>
      </c>
      <c r="VA98" s="105">
        <f t="shared" si="424"/>
        <v>0</v>
      </c>
      <c r="VB98" s="105">
        <f t="shared" si="424"/>
        <v>0</v>
      </c>
      <c r="VC98" s="106" t="e">
        <f t="shared" si="325"/>
        <v>#DIV/0!</v>
      </c>
      <c r="VD98" s="358"/>
      <c r="VE98" s="358">
        <f t="shared" si="423"/>
        <v>0</v>
      </c>
      <c r="VF98" s="358">
        <f t="shared" si="423"/>
        <v>0</v>
      </c>
      <c r="VG98" s="359">
        <f t="shared" si="423"/>
        <v>0</v>
      </c>
      <c r="VH98" s="169" t="e">
        <f t="shared" si="372"/>
        <v>#DIV/0!</v>
      </c>
      <c r="VI98" s="686"/>
      <c r="VJ98" s="146">
        <f t="shared" si="373"/>
        <v>0</v>
      </c>
      <c r="VK98" s="146">
        <f t="shared" si="373"/>
        <v>0</v>
      </c>
      <c r="VL98" s="1864">
        <f t="shared" si="373"/>
        <v>0</v>
      </c>
      <c r="VM98" s="203"/>
      <c r="VN98" s="1567"/>
      <c r="VO98" s="358"/>
      <c r="VP98" s="358"/>
      <c r="VQ98" s="359"/>
      <c r="VR98" s="114"/>
    </row>
    <row r="99" spans="1:745" s="1193" customFormat="1" ht="13.45" hidden="1" x14ac:dyDescent="0.3">
      <c r="A99" s="1297"/>
      <c r="B99" s="1773"/>
      <c r="C99" s="3624"/>
      <c r="D99" s="3623"/>
      <c r="E99" s="1993"/>
      <c r="F99" s="1993"/>
      <c r="G99" s="1994"/>
      <c r="H99" s="2031"/>
      <c r="I99" s="1914"/>
      <c r="J99" s="1914"/>
      <c r="K99" s="1914"/>
      <c r="L99" s="593"/>
      <c r="M99" s="2031"/>
      <c r="N99" s="1914"/>
      <c r="O99" s="1914"/>
      <c r="P99" s="1914"/>
      <c r="Q99" s="593"/>
      <c r="R99" s="2031"/>
      <c r="S99" s="1914"/>
      <c r="T99" s="1914"/>
      <c r="U99" s="1914"/>
      <c r="V99" s="593"/>
      <c r="W99" s="2031"/>
      <c r="X99" s="1914"/>
      <c r="Y99" s="1914"/>
      <c r="Z99" s="1914"/>
      <c r="AA99" s="2032"/>
      <c r="AB99" s="2031"/>
      <c r="AC99" s="1914"/>
      <c r="AD99" s="1914"/>
      <c r="AE99" s="1914"/>
      <c r="AF99" s="2032"/>
      <c r="AG99" s="1914"/>
      <c r="AH99" s="1914"/>
      <c r="AI99" s="1914"/>
      <c r="AJ99" s="1914"/>
      <c r="AK99" s="593"/>
      <c r="AL99" s="1914"/>
      <c r="AM99" s="1914"/>
      <c r="AN99" s="1914"/>
      <c r="AO99" s="1914"/>
      <c r="AP99" s="593"/>
      <c r="AQ99" s="1914"/>
      <c r="AR99" s="1914"/>
      <c r="AS99" s="1914"/>
      <c r="AT99" s="1914"/>
      <c r="AU99" s="593"/>
      <c r="AV99" s="2033"/>
      <c r="AW99" s="1914"/>
      <c r="AX99" s="1914"/>
      <c r="AY99" s="1914"/>
      <c r="AZ99" s="2032"/>
      <c r="BA99" s="2033"/>
      <c r="BB99" s="1914"/>
      <c r="BC99" s="1914"/>
      <c r="BD99" s="1914"/>
      <c r="BE99" s="2032"/>
      <c r="BF99" s="2033"/>
      <c r="BG99" s="1914"/>
      <c r="BH99" s="1914"/>
      <c r="BI99" s="1914"/>
      <c r="BJ99" s="2032"/>
      <c r="BK99" s="2033"/>
      <c r="BL99" s="1914"/>
      <c r="BM99" s="1914"/>
      <c r="BN99" s="1914"/>
      <c r="BO99" s="2032"/>
      <c r="BP99" s="2034"/>
      <c r="BQ99" s="1914"/>
      <c r="BR99" s="1914"/>
      <c r="BS99" s="1914"/>
      <c r="BT99" s="2035"/>
      <c r="BU99" s="1914"/>
      <c r="BV99" s="1914"/>
      <c r="BW99" s="2036"/>
      <c r="BX99" s="2035"/>
      <c r="BY99" s="1914"/>
      <c r="BZ99" s="1914"/>
      <c r="CA99" s="2010"/>
      <c r="CB99" s="1914"/>
      <c r="CC99" s="1914"/>
      <c r="CD99" s="1914"/>
      <c r="CE99" s="1914"/>
      <c r="CF99" s="2035"/>
      <c r="CG99" s="1914"/>
      <c r="CH99" s="1914"/>
      <c r="CI99" s="2010"/>
      <c r="CJ99" s="2037"/>
      <c r="CK99" s="1914"/>
      <c r="CL99" s="1914"/>
      <c r="CM99" s="1914"/>
      <c r="CN99" s="2036"/>
      <c r="CO99" s="2037"/>
      <c r="CP99" s="2031"/>
      <c r="CQ99" s="2031"/>
      <c r="CR99" s="2031"/>
      <c r="CS99" s="2036"/>
      <c r="CT99" s="2037"/>
      <c r="CU99" s="1914"/>
      <c r="CV99" s="1914"/>
      <c r="CW99" s="1914"/>
      <c r="CX99" s="2036"/>
      <c r="CY99" s="2037"/>
      <c r="CZ99" s="1914"/>
      <c r="DA99" s="1914"/>
      <c r="DB99" s="1914"/>
      <c r="DC99" s="2036"/>
      <c r="DD99" s="2037"/>
      <c r="DE99" s="1914"/>
      <c r="DF99" s="1914"/>
      <c r="DG99" s="1914"/>
      <c r="DH99" s="2038"/>
      <c r="DI99" s="2037"/>
      <c r="DJ99" s="1914"/>
      <c r="DK99" s="1914"/>
      <c r="DL99" s="1914"/>
      <c r="DM99" s="2038"/>
      <c r="DN99" s="2037"/>
      <c r="DO99" s="1914"/>
      <c r="DP99" s="1914"/>
      <c r="DQ99" s="1914"/>
      <c r="DR99" s="2038"/>
      <c r="DS99" s="2037"/>
      <c r="DT99" s="1914"/>
      <c r="DU99" s="1914"/>
      <c r="DV99" s="1914"/>
      <c r="DW99" s="2038"/>
      <c r="DX99" s="2037"/>
      <c r="DY99" s="1914"/>
      <c r="DZ99" s="1914"/>
      <c r="EA99" s="1914"/>
      <c r="EB99" s="2038"/>
      <c r="EC99" s="2037"/>
      <c r="ED99" s="1914"/>
      <c r="EE99" s="1914"/>
      <c r="EF99" s="1914"/>
      <c r="EG99" s="2038"/>
      <c r="EH99" s="2037"/>
      <c r="EI99" s="1914"/>
      <c r="EJ99" s="1914"/>
      <c r="EK99" s="1914"/>
      <c r="EL99" s="2038"/>
      <c r="EM99" s="1910"/>
      <c r="EN99" s="715"/>
      <c r="EO99" s="715"/>
      <c r="EP99" s="715"/>
      <c r="EQ99" s="366"/>
      <c r="ER99" s="1713"/>
      <c r="ES99" s="1714"/>
      <c r="ET99" s="1714"/>
      <c r="EU99" s="1714"/>
      <c r="EV99" s="1715"/>
      <c r="EW99" s="2031"/>
      <c r="EX99" s="2031"/>
      <c r="EY99" s="2031"/>
      <c r="EZ99" s="593"/>
      <c r="FA99" s="2037"/>
      <c r="FB99" s="2031"/>
      <c r="FC99" s="2031"/>
      <c r="FD99" s="2036"/>
      <c r="FE99" s="2031"/>
      <c r="FF99" s="2031"/>
      <c r="FG99" s="2031"/>
      <c r="FH99" s="593"/>
      <c r="FI99" s="2039"/>
      <c r="FJ99" s="2040"/>
      <c r="FK99" s="2041"/>
      <c r="FL99" s="2041"/>
      <c r="FM99" s="693"/>
      <c r="FN99" s="2031"/>
      <c r="FO99" s="1914"/>
      <c r="FP99" s="1914"/>
      <c r="FQ99" s="1914"/>
      <c r="FR99" s="2032"/>
      <c r="FS99" s="1910"/>
      <c r="FT99" s="715"/>
      <c r="FU99" s="715"/>
      <c r="FV99" s="715"/>
      <c r="FW99" s="366"/>
      <c r="FX99" s="2037"/>
      <c r="FY99" s="1914"/>
      <c r="FZ99" s="1914"/>
      <c r="GA99" s="715"/>
      <c r="GB99" s="366"/>
      <c r="GC99" s="1899"/>
      <c r="GD99" s="1900"/>
      <c r="GE99" s="1900"/>
      <c r="GF99" s="715"/>
      <c r="GG99" s="366"/>
      <c r="GH99" s="1901"/>
      <c r="GI99" s="1824"/>
      <c r="GJ99" s="1824"/>
      <c r="GK99" s="715"/>
      <c r="GL99" s="366"/>
      <c r="GM99" s="1901"/>
      <c r="GN99" s="1824"/>
      <c r="GO99" s="1824"/>
      <c r="GP99" s="715"/>
      <c r="GQ99" s="366"/>
      <c r="GR99" s="2042"/>
      <c r="GS99" s="2043"/>
      <c r="GT99" s="2043"/>
      <c r="GU99" s="715"/>
      <c r="GV99" s="366"/>
      <c r="GW99" s="2042"/>
      <c r="GX99" s="2043"/>
      <c r="GY99" s="2043"/>
      <c r="GZ99" s="715"/>
      <c r="HA99" s="366"/>
      <c r="HB99" s="2042"/>
      <c r="HC99" s="2043"/>
      <c r="HD99" s="2043"/>
      <c r="HE99" s="715"/>
      <c r="HF99" s="366"/>
      <c r="HG99" s="2042"/>
      <c r="HH99" s="2043"/>
      <c r="HI99" s="2043"/>
      <c r="HJ99" s="1818"/>
      <c r="HK99" s="366"/>
      <c r="HL99" s="2042"/>
      <c r="HM99" s="2043"/>
      <c r="HN99" s="2043"/>
      <c r="HO99" s="715"/>
      <c r="HP99" s="366"/>
      <c r="HQ99" s="1905"/>
      <c r="HR99" s="1248"/>
      <c r="HS99" s="1248"/>
      <c r="HT99" s="1248"/>
      <c r="HU99" s="1826"/>
      <c r="HV99" s="1827"/>
      <c r="HW99" s="1089"/>
      <c r="HX99" s="1089"/>
      <c r="HY99" s="1089"/>
      <c r="HZ99" s="1906"/>
      <c r="IA99" s="1907"/>
      <c r="IB99" s="1908"/>
      <c r="IC99" s="1908"/>
      <c r="ID99" s="1909"/>
      <c r="IE99" s="1910"/>
      <c r="IF99" s="1911"/>
      <c r="IG99" s="1912"/>
      <c r="IH99" s="1909"/>
      <c r="II99" s="1835"/>
      <c r="IJ99" s="1836"/>
      <c r="IK99" s="1836"/>
      <c r="IL99" s="693"/>
      <c r="IM99" s="1913"/>
      <c r="IN99" s="1836"/>
      <c r="IO99" s="1836"/>
      <c r="IP99" s="1838"/>
      <c r="IQ99" s="1914"/>
      <c r="IR99" s="2044"/>
      <c r="IS99" s="715"/>
      <c r="IT99" s="715"/>
      <c r="IU99" s="1996"/>
      <c r="IV99" s="2045"/>
      <c r="IW99" s="1910"/>
      <c r="IX99" s="715"/>
      <c r="IY99" s="823"/>
      <c r="IZ99" s="1719"/>
      <c r="JA99" s="1721"/>
      <c r="JB99" s="2046"/>
      <c r="JC99" s="2047"/>
      <c r="JD99" s="2048"/>
      <c r="JE99" s="1719"/>
      <c r="JF99" s="1721"/>
      <c r="JG99" s="1847"/>
      <c r="JH99" s="1096"/>
      <c r="JI99" s="1096"/>
      <c r="JJ99" s="1756"/>
      <c r="JK99" s="1721"/>
      <c r="JL99" s="1927"/>
      <c r="JM99" s="1096"/>
      <c r="JN99" s="1096"/>
      <c r="JO99" s="823"/>
      <c r="JP99" s="1721"/>
      <c r="JQ99" s="1926"/>
      <c r="JR99" s="1982"/>
      <c r="JS99" s="1248"/>
      <c r="JT99" s="1996"/>
      <c r="JU99" s="1821"/>
      <c r="JV99" s="1988"/>
      <c r="JW99" s="2049"/>
      <c r="JX99" s="1850"/>
      <c r="JY99" s="823"/>
      <c r="JZ99" s="1721"/>
      <c r="KA99" s="1847"/>
      <c r="KB99" s="264"/>
      <c r="KC99" s="972"/>
      <c r="KD99" s="964"/>
      <c r="KE99" s="1848"/>
      <c r="KF99" s="1988"/>
      <c r="KG99" s="1850"/>
      <c r="KH99" s="2049"/>
      <c r="KI99" s="1719"/>
      <c r="KJ99" s="1721"/>
      <c r="KK99" s="1988"/>
      <c r="KL99" s="1850"/>
      <c r="KM99" s="2049"/>
      <c r="KN99" s="1851"/>
      <c r="KO99" s="1852"/>
      <c r="KP99" s="1823"/>
      <c r="KQ99" s="1982"/>
      <c r="KR99" s="1248"/>
      <c r="KS99" s="1996"/>
      <c r="KT99" s="1819"/>
      <c r="KU99" s="1853"/>
      <c r="KV99" s="264"/>
      <c r="KW99" s="264"/>
      <c r="KX99" s="264"/>
      <c r="KY99" s="75"/>
      <c r="KZ99" s="1857"/>
      <c r="LA99" s="358"/>
      <c r="LB99" s="358"/>
      <c r="LC99" s="358"/>
      <c r="LD99" s="151"/>
      <c r="LE99" s="1854"/>
      <c r="LF99" s="1855"/>
      <c r="LG99" s="1855"/>
      <c r="LH99" s="1856"/>
      <c r="LI99" s="1857"/>
      <c r="LJ99" s="1858"/>
      <c r="LK99" s="1854"/>
      <c r="LL99" s="1856"/>
      <c r="LM99" s="1859"/>
      <c r="LN99" s="1727"/>
      <c r="LO99" s="1727"/>
      <c r="LP99" s="151"/>
      <c r="LQ99" s="1860"/>
      <c r="LR99" s="1727"/>
      <c r="LS99" s="1727"/>
      <c r="LT99" s="1861"/>
      <c r="LV99" s="439"/>
      <c r="LW99" s="208"/>
      <c r="LX99" s="208"/>
      <c r="LY99" s="96"/>
      <c r="LZ99" s="78"/>
      <c r="MA99" s="1832"/>
      <c r="MB99" s="622"/>
      <c r="MC99" s="622"/>
      <c r="MD99" s="372"/>
      <c r="ME99" s="207"/>
      <c r="MF99" s="405"/>
      <c r="MG99" s="1575"/>
      <c r="MH99" s="1568"/>
      <c r="MI99" s="371"/>
      <c r="MJ99" s="157"/>
      <c r="MK99" s="354"/>
      <c r="ML99" s="208"/>
      <c r="MM99" s="358"/>
      <c r="MN99" s="371"/>
      <c r="MO99" s="157"/>
      <c r="MP99" s="1579"/>
      <c r="MQ99" s="264"/>
      <c r="MR99" s="264"/>
      <c r="MS99" s="264"/>
      <c r="MT99" s="597"/>
      <c r="MU99" s="209"/>
      <c r="MV99" s="208"/>
      <c r="MW99" s="208"/>
      <c r="MX99" s="208"/>
      <c r="MY99" s="655"/>
      <c r="MZ99" s="209"/>
      <c r="NA99" s="208"/>
      <c r="NB99" s="208"/>
      <c r="NC99" s="208"/>
      <c r="ND99" s="1313"/>
      <c r="NE99" s="209"/>
      <c r="NF99" s="208"/>
      <c r="NG99" s="208"/>
      <c r="NH99" s="208"/>
      <c r="NI99" s="1313"/>
      <c r="NJ99" s="209"/>
      <c r="NK99" s="208"/>
      <c r="NL99" s="208"/>
      <c r="NM99" s="208"/>
      <c r="NN99" s="1313"/>
      <c r="NO99" s="357"/>
      <c r="NP99" s="358"/>
      <c r="NQ99" s="359"/>
      <c r="NR99" s="208"/>
      <c r="NS99" s="1313"/>
      <c r="NT99" s="357"/>
      <c r="NU99" s="358"/>
      <c r="NV99" s="358"/>
      <c r="NW99" s="208"/>
      <c r="NX99" s="1313"/>
      <c r="NY99" s="357"/>
      <c r="NZ99" s="358"/>
      <c r="OA99" s="358"/>
      <c r="OB99" s="622"/>
      <c r="OC99" s="116"/>
      <c r="OD99" s="191"/>
      <c r="OE99" s="358"/>
      <c r="OF99" s="358"/>
      <c r="OG99" s="358"/>
      <c r="OH99" s="220"/>
      <c r="OI99" s="1863"/>
      <c r="OJ99" s="105"/>
      <c r="OK99" s="105"/>
      <c r="OL99" s="105"/>
      <c r="OM99" s="106"/>
      <c r="ON99" s="358"/>
      <c r="OO99" s="358"/>
      <c r="OP99" s="358"/>
      <c r="OQ99" s="359"/>
      <c r="OR99" s="169"/>
      <c r="OS99" s="686"/>
      <c r="OT99" s="146"/>
      <c r="OU99" s="146"/>
      <c r="OV99" s="1864"/>
      <c r="OW99" s="203"/>
      <c r="OX99" s="357"/>
      <c r="OY99" s="358"/>
      <c r="OZ99" s="358"/>
      <c r="PA99" s="359"/>
      <c r="PB99" s="114"/>
      <c r="PC99" s="79"/>
      <c r="PD99" s="439"/>
      <c r="PE99" s="208"/>
      <c r="PF99" s="208"/>
      <c r="PG99" s="96"/>
      <c r="PH99" s="78"/>
      <c r="PI99" s="401"/>
      <c r="PJ99" s="395"/>
      <c r="PK99" s="395"/>
      <c r="PL99" s="96"/>
      <c r="PM99" s="78"/>
      <c r="PN99" s="439"/>
      <c r="PO99" s="208"/>
      <c r="PP99" s="358"/>
      <c r="PQ99" s="371"/>
      <c r="PR99" s="157"/>
      <c r="PS99" s="354"/>
      <c r="PT99" s="208"/>
      <c r="PU99" s="358"/>
      <c r="PV99" s="371"/>
      <c r="PW99" s="157"/>
      <c r="PX99" s="1579"/>
      <c r="PY99" s="264"/>
      <c r="PZ99" s="264"/>
      <c r="QA99" s="1248"/>
      <c r="QB99" s="597"/>
      <c r="QC99" s="209"/>
      <c r="QD99" s="208"/>
      <c r="QE99" s="208"/>
      <c r="QF99" s="208"/>
      <c r="QG99" s="655"/>
      <c r="QH99" s="439"/>
      <c r="QI99" s="208"/>
      <c r="QJ99" s="208"/>
      <c r="QK99" s="208"/>
      <c r="QL99" s="1313"/>
      <c r="QM99" s="439"/>
      <c r="QN99" s="208"/>
      <c r="QO99" s="208"/>
      <c r="QP99" s="208"/>
      <c r="QQ99" s="801"/>
      <c r="QR99" s="209"/>
      <c r="QS99" s="208"/>
      <c r="QT99" s="208"/>
      <c r="QU99" s="208"/>
      <c r="QV99" s="157"/>
      <c r="QW99" s="209"/>
      <c r="QX99" s="208"/>
      <c r="QY99" s="208"/>
      <c r="QZ99" s="208"/>
      <c r="RA99" s="2083"/>
      <c r="RB99" s="209"/>
      <c r="RC99" s="208"/>
      <c r="RD99" s="208"/>
      <c r="RE99" s="208"/>
      <c r="RF99" s="114"/>
      <c r="RG99" s="1857"/>
      <c r="RH99" s="208"/>
      <c r="RI99" s="208"/>
      <c r="RJ99" s="772"/>
      <c r="RK99" s="116"/>
      <c r="RL99" s="1567"/>
      <c r="RM99" s="1568"/>
      <c r="RN99" s="1568"/>
      <c r="RO99" s="1568"/>
      <c r="RP99" s="220"/>
      <c r="RQ99" s="1863"/>
      <c r="RR99" s="105"/>
      <c r="RS99" s="105"/>
      <c r="RT99" s="105"/>
      <c r="RU99" s="106"/>
      <c r="RV99" s="358"/>
      <c r="RW99" s="358"/>
      <c r="RX99" s="358"/>
      <c r="RY99" s="359"/>
      <c r="RZ99" s="169"/>
      <c r="SA99" s="686"/>
      <c r="SB99" s="146"/>
      <c r="SC99" s="146"/>
      <c r="SD99" s="1864"/>
      <c r="SE99" s="203"/>
      <c r="SF99" s="1567"/>
      <c r="SG99" s="358"/>
      <c r="SH99" s="358"/>
      <c r="SI99" s="359"/>
      <c r="SJ99" s="114"/>
      <c r="SL99" s="439"/>
      <c r="SM99" s="208"/>
      <c r="SN99" s="208"/>
      <c r="SO99" s="96"/>
      <c r="SP99" s="78"/>
      <c r="SQ99" s="439"/>
      <c r="SR99" s="208"/>
      <c r="SS99" s="208"/>
      <c r="ST99" s="3523"/>
      <c r="SU99" s="222"/>
      <c r="SV99" s="439"/>
      <c r="SW99" s="208"/>
      <c r="SX99" s="358"/>
      <c r="SY99" s="372"/>
      <c r="SZ99" s="207"/>
      <c r="TA99" s="354"/>
      <c r="TB99" s="208"/>
      <c r="TC99" s="358"/>
      <c r="TD99" s="96"/>
      <c r="TE99" s="94"/>
      <c r="TF99" s="354"/>
      <c r="TG99" s="208"/>
      <c r="TH99" s="208"/>
      <c r="TI99" s="2285"/>
      <c r="TJ99" s="114"/>
      <c r="TK99" s="209"/>
      <c r="TL99" s="208"/>
      <c r="TM99" s="208"/>
      <c r="TN99" s="395"/>
      <c r="TO99" s="114"/>
      <c r="TP99" s="4432"/>
      <c r="TQ99" s="208"/>
      <c r="TR99" s="208"/>
      <c r="TS99" s="994"/>
      <c r="TT99" s="114"/>
      <c r="TU99" s="4432"/>
      <c r="TV99" s="208"/>
      <c r="TW99" s="208"/>
      <c r="TX99" s="994"/>
      <c r="TY99" s="2050"/>
      <c r="TZ99" s="1868"/>
      <c r="UA99" s="1575"/>
      <c r="UB99" s="1575"/>
      <c r="UC99" s="2552"/>
      <c r="UD99" s="441"/>
      <c r="UE99" s="1868"/>
      <c r="UF99" s="1575"/>
      <c r="UG99" s="1575"/>
      <c r="UH99" s="1575"/>
      <c r="UI99" s="6499"/>
      <c r="UJ99" s="209"/>
      <c r="UK99" s="208"/>
      <c r="UL99" s="208"/>
      <c r="UM99" s="208"/>
      <c r="UN99" s="114"/>
      <c r="UO99" s="1567"/>
      <c r="UP99" s="1568"/>
      <c r="UQ99" s="1568"/>
      <c r="UR99" s="1873"/>
      <c r="US99" s="116"/>
      <c r="UT99" s="1567"/>
      <c r="UU99" s="358"/>
      <c r="UV99" s="358"/>
      <c r="UW99" s="358"/>
      <c r="UX99" s="220"/>
      <c r="UY99" s="1863"/>
      <c r="UZ99" s="105"/>
      <c r="VA99" s="105"/>
      <c r="VB99" s="105"/>
      <c r="VC99" s="106"/>
      <c r="VD99" s="358"/>
      <c r="VE99" s="358"/>
      <c r="VF99" s="358"/>
      <c r="VG99" s="359"/>
      <c r="VH99" s="169"/>
      <c r="VI99" s="686"/>
      <c r="VJ99" s="146"/>
      <c r="VK99" s="146"/>
      <c r="VL99" s="1864"/>
      <c r="VM99" s="203"/>
      <c r="VN99" s="1567"/>
      <c r="VO99" s="358"/>
      <c r="VP99" s="358"/>
      <c r="VQ99" s="359"/>
      <c r="VR99" s="114"/>
    </row>
    <row r="100" spans="1:745" s="1193" customFormat="1" ht="13.45" hidden="1" x14ac:dyDescent="0.3">
      <c r="A100" s="1297"/>
      <c r="B100" s="1773"/>
      <c r="C100" s="3624"/>
      <c r="D100" s="3623"/>
      <c r="E100" s="1993"/>
      <c r="F100" s="1993"/>
      <c r="G100" s="1994"/>
      <c r="H100" s="2031"/>
      <c r="I100" s="1914"/>
      <c r="J100" s="1914"/>
      <c r="K100" s="1914"/>
      <c r="L100" s="593"/>
      <c r="M100" s="2031"/>
      <c r="N100" s="1914"/>
      <c r="O100" s="1914"/>
      <c r="P100" s="1914"/>
      <c r="Q100" s="593"/>
      <c r="R100" s="2031"/>
      <c r="S100" s="1914"/>
      <c r="T100" s="1914"/>
      <c r="U100" s="1914"/>
      <c r="V100" s="593"/>
      <c r="W100" s="2031"/>
      <c r="X100" s="1914"/>
      <c r="Y100" s="1914"/>
      <c r="Z100" s="1914"/>
      <c r="AA100" s="2032"/>
      <c r="AB100" s="2031"/>
      <c r="AC100" s="1914"/>
      <c r="AD100" s="1914"/>
      <c r="AE100" s="1914"/>
      <c r="AF100" s="2032"/>
      <c r="AG100" s="1914"/>
      <c r="AH100" s="1914"/>
      <c r="AI100" s="1914"/>
      <c r="AJ100" s="1914"/>
      <c r="AK100" s="593"/>
      <c r="AL100" s="1914"/>
      <c r="AM100" s="1914"/>
      <c r="AN100" s="1914"/>
      <c r="AO100" s="1914"/>
      <c r="AP100" s="593"/>
      <c r="AQ100" s="1914"/>
      <c r="AR100" s="1914"/>
      <c r="AS100" s="1914"/>
      <c r="AT100" s="1914"/>
      <c r="AU100" s="593"/>
      <c r="AV100" s="2033"/>
      <c r="AW100" s="1914"/>
      <c r="AX100" s="1914"/>
      <c r="AY100" s="1914"/>
      <c r="AZ100" s="2032"/>
      <c r="BA100" s="2033"/>
      <c r="BB100" s="1914"/>
      <c r="BC100" s="1914"/>
      <c r="BD100" s="1914"/>
      <c r="BE100" s="2032"/>
      <c r="BF100" s="2033"/>
      <c r="BG100" s="1914"/>
      <c r="BH100" s="1914"/>
      <c r="BI100" s="1914"/>
      <c r="BJ100" s="2032"/>
      <c r="BK100" s="2033"/>
      <c r="BL100" s="1914"/>
      <c r="BM100" s="1914"/>
      <c r="BN100" s="1914"/>
      <c r="BO100" s="2032"/>
      <c r="BP100" s="2034"/>
      <c r="BQ100" s="1914"/>
      <c r="BR100" s="1914"/>
      <c r="BS100" s="1914"/>
      <c r="BT100" s="2035"/>
      <c r="BU100" s="1914"/>
      <c r="BV100" s="1914"/>
      <c r="BW100" s="2036"/>
      <c r="BX100" s="2035"/>
      <c r="BY100" s="1914"/>
      <c r="BZ100" s="1914"/>
      <c r="CA100" s="2010"/>
      <c r="CB100" s="1914"/>
      <c r="CC100" s="1914"/>
      <c r="CD100" s="1914"/>
      <c r="CE100" s="1914"/>
      <c r="CF100" s="2035"/>
      <c r="CG100" s="1914"/>
      <c r="CH100" s="1914"/>
      <c r="CI100" s="2010"/>
      <c r="CJ100" s="2037"/>
      <c r="CK100" s="1914"/>
      <c r="CL100" s="1914"/>
      <c r="CM100" s="1914"/>
      <c r="CN100" s="2036"/>
      <c r="CO100" s="2037"/>
      <c r="CP100" s="2031"/>
      <c r="CQ100" s="2031"/>
      <c r="CR100" s="2031"/>
      <c r="CS100" s="2036"/>
      <c r="CT100" s="2037"/>
      <c r="CU100" s="1914"/>
      <c r="CV100" s="1914"/>
      <c r="CW100" s="1914"/>
      <c r="CX100" s="2036"/>
      <c r="CY100" s="2037"/>
      <c r="CZ100" s="1914"/>
      <c r="DA100" s="1914"/>
      <c r="DB100" s="1914"/>
      <c r="DC100" s="2036"/>
      <c r="DD100" s="2037"/>
      <c r="DE100" s="1914"/>
      <c r="DF100" s="1914"/>
      <c r="DG100" s="1914"/>
      <c r="DH100" s="2038"/>
      <c r="DI100" s="2037"/>
      <c r="DJ100" s="1914"/>
      <c r="DK100" s="1914"/>
      <c r="DL100" s="1914"/>
      <c r="DM100" s="2038"/>
      <c r="DN100" s="2037"/>
      <c r="DO100" s="1914"/>
      <c r="DP100" s="1914"/>
      <c r="DQ100" s="1914"/>
      <c r="DR100" s="2038"/>
      <c r="DS100" s="2037"/>
      <c r="DT100" s="1914"/>
      <c r="DU100" s="1914"/>
      <c r="DV100" s="1914"/>
      <c r="DW100" s="2038"/>
      <c r="DX100" s="2037"/>
      <c r="DY100" s="1914"/>
      <c r="DZ100" s="1914"/>
      <c r="EA100" s="1914"/>
      <c r="EB100" s="2038"/>
      <c r="EC100" s="2037"/>
      <c r="ED100" s="1914"/>
      <c r="EE100" s="1914"/>
      <c r="EF100" s="1914"/>
      <c r="EG100" s="2038"/>
      <c r="EH100" s="2037"/>
      <c r="EI100" s="1914"/>
      <c r="EJ100" s="1914"/>
      <c r="EK100" s="1914"/>
      <c r="EL100" s="2038"/>
      <c r="EM100" s="1910"/>
      <c r="EN100" s="715"/>
      <c r="EO100" s="715"/>
      <c r="EP100" s="715"/>
      <c r="EQ100" s="366"/>
      <c r="ER100" s="1713"/>
      <c r="ES100" s="1714"/>
      <c r="ET100" s="1714"/>
      <c r="EU100" s="1714"/>
      <c r="EV100" s="1715"/>
      <c r="EW100" s="2031"/>
      <c r="EX100" s="2031"/>
      <c r="EY100" s="2031"/>
      <c r="EZ100" s="593"/>
      <c r="FA100" s="2037"/>
      <c r="FB100" s="2031"/>
      <c r="FC100" s="2031"/>
      <c r="FD100" s="2036"/>
      <c r="FE100" s="2031"/>
      <c r="FF100" s="2031"/>
      <c r="FG100" s="2031"/>
      <c r="FH100" s="593"/>
      <c r="FI100" s="2039"/>
      <c r="FJ100" s="2040"/>
      <c r="FK100" s="2041"/>
      <c r="FL100" s="2041"/>
      <c r="FM100" s="693"/>
      <c r="FN100" s="2031"/>
      <c r="FO100" s="1914"/>
      <c r="FP100" s="1914"/>
      <c r="FQ100" s="1914"/>
      <c r="FR100" s="2032"/>
      <c r="FS100" s="1910"/>
      <c r="FT100" s="715"/>
      <c r="FU100" s="715"/>
      <c r="FV100" s="715"/>
      <c r="FW100" s="366"/>
      <c r="FX100" s="2037"/>
      <c r="FY100" s="1914"/>
      <c r="FZ100" s="1914"/>
      <c r="GA100" s="715"/>
      <c r="GB100" s="366"/>
      <c r="GC100" s="1899"/>
      <c r="GD100" s="1900"/>
      <c r="GE100" s="1900"/>
      <c r="GF100" s="715"/>
      <c r="GG100" s="366"/>
      <c r="GH100" s="1901"/>
      <c r="GI100" s="1824"/>
      <c r="GJ100" s="1824"/>
      <c r="GK100" s="715"/>
      <c r="GL100" s="366"/>
      <c r="GM100" s="1901"/>
      <c r="GN100" s="1824"/>
      <c r="GO100" s="1824"/>
      <c r="GP100" s="715"/>
      <c r="GQ100" s="366"/>
      <c r="GR100" s="2042"/>
      <c r="GS100" s="2043"/>
      <c r="GT100" s="2043"/>
      <c r="GU100" s="715"/>
      <c r="GV100" s="366"/>
      <c r="GW100" s="2042"/>
      <c r="GX100" s="2043"/>
      <c r="GY100" s="2043"/>
      <c r="GZ100" s="715"/>
      <c r="HA100" s="366"/>
      <c r="HB100" s="2042"/>
      <c r="HC100" s="2043"/>
      <c r="HD100" s="2043"/>
      <c r="HE100" s="715"/>
      <c r="HF100" s="366"/>
      <c r="HG100" s="2042"/>
      <c r="HH100" s="2043"/>
      <c r="HI100" s="2043"/>
      <c r="HJ100" s="1818"/>
      <c r="HK100" s="366"/>
      <c r="HL100" s="2042"/>
      <c r="HM100" s="2043"/>
      <c r="HN100" s="2043"/>
      <c r="HO100" s="715"/>
      <c r="HP100" s="366"/>
      <c r="HQ100" s="1905"/>
      <c r="HR100" s="1248"/>
      <c r="HS100" s="1248"/>
      <c r="HT100" s="1248"/>
      <c r="HU100" s="1826"/>
      <c r="HV100" s="1827"/>
      <c r="HW100" s="1089"/>
      <c r="HX100" s="1089"/>
      <c r="HY100" s="1089"/>
      <c r="HZ100" s="1906"/>
      <c r="IA100" s="1907"/>
      <c r="IB100" s="1908"/>
      <c r="IC100" s="1908"/>
      <c r="ID100" s="1909"/>
      <c r="IE100" s="1910"/>
      <c r="IF100" s="1911"/>
      <c r="IG100" s="1912"/>
      <c r="IH100" s="1909"/>
      <c r="II100" s="1835"/>
      <c r="IJ100" s="1836"/>
      <c r="IK100" s="1836"/>
      <c r="IL100" s="693"/>
      <c r="IM100" s="1913"/>
      <c r="IN100" s="1836"/>
      <c r="IO100" s="1836"/>
      <c r="IP100" s="1838"/>
      <c r="IQ100" s="1914"/>
      <c r="IR100" s="2044"/>
      <c r="IS100" s="715"/>
      <c r="IT100" s="715"/>
      <c r="IU100" s="1996"/>
      <c r="IV100" s="2045"/>
      <c r="IW100" s="1910"/>
      <c r="IX100" s="715"/>
      <c r="IY100" s="823"/>
      <c r="IZ100" s="1719"/>
      <c r="JA100" s="1721"/>
      <c r="JB100" s="2046"/>
      <c r="JC100" s="2047"/>
      <c r="JD100" s="2048"/>
      <c r="JE100" s="1719"/>
      <c r="JF100" s="1721"/>
      <c r="JG100" s="1847"/>
      <c r="JH100" s="1096"/>
      <c r="JI100" s="1096"/>
      <c r="JJ100" s="1756"/>
      <c r="JK100" s="1721"/>
      <c r="JL100" s="1927"/>
      <c r="JM100" s="1096"/>
      <c r="JN100" s="1096"/>
      <c r="JO100" s="823"/>
      <c r="JP100" s="1721"/>
      <c r="JQ100" s="1926"/>
      <c r="JR100" s="1982"/>
      <c r="JS100" s="1248"/>
      <c r="JT100" s="1996"/>
      <c r="JU100" s="1821"/>
      <c r="JV100" s="1988"/>
      <c r="JW100" s="2049"/>
      <c r="JX100" s="1850"/>
      <c r="JY100" s="823"/>
      <c r="JZ100" s="1721"/>
      <c r="KA100" s="1847"/>
      <c r="KB100" s="264"/>
      <c r="KC100" s="972"/>
      <c r="KD100" s="964"/>
      <c r="KE100" s="1848"/>
      <c r="KF100" s="1988"/>
      <c r="KG100" s="1850"/>
      <c r="KH100" s="2049"/>
      <c r="KI100" s="1719"/>
      <c r="KJ100" s="1721"/>
      <c r="KK100" s="1988"/>
      <c r="KL100" s="1850"/>
      <c r="KM100" s="2049"/>
      <c r="KN100" s="1851"/>
      <c r="KO100" s="1852"/>
      <c r="KP100" s="1823"/>
      <c r="KQ100" s="1982"/>
      <c r="KR100" s="1248"/>
      <c r="KS100" s="1996"/>
      <c r="KT100" s="1819"/>
      <c r="KU100" s="1853"/>
      <c r="KV100" s="264"/>
      <c r="KW100" s="264"/>
      <c r="KX100" s="264"/>
      <c r="KY100" s="75"/>
      <c r="KZ100" s="1857"/>
      <c r="LA100" s="358"/>
      <c r="LB100" s="358"/>
      <c r="LC100" s="358"/>
      <c r="LD100" s="151"/>
      <c r="LE100" s="1854"/>
      <c r="LF100" s="1855"/>
      <c r="LG100" s="1855"/>
      <c r="LH100" s="1856"/>
      <c r="LI100" s="1857"/>
      <c r="LJ100" s="1858"/>
      <c r="LK100" s="1854"/>
      <c r="LL100" s="1856"/>
      <c r="LM100" s="1859"/>
      <c r="LN100" s="1727"/>
      <c r="LO100" s="1727"/>
      <c r="LP100" s="151"/>
      <c r="LQ100" s="1860"/>
      <c r="LR100" s="1727"/>
      <c r="LS100" s="1727"/>
      <c r="LT100" s="1861"/>
      <c r="LV100" s="439"/>
      <c r="LW100" s="208"/>
      <c r="LX100" s="208"/>
      <c r="LY100" s="96"/>
      <c r="LZ100" s="78"/>
      <c r="MA100" s="1832"/>
      <c r="MB100" s="622"/>
      <c r="MC100" s="622"/>
      <c r="MD100" s="372"/>
      <c r="ME100" s="207"/>
      <c r="MF100" s="405"/>
      <c r="MG100" s="1575"/>
      <c r="MH100" s="1568"/>
      <c r="MI100" s="371"/>
      <c r="MJ100" s="157"/>
      <c r="MK100" s="354"/>
      <c r="ML100" s="208"/>
      <c r="MM100" s="358"/>
      <c r="MN100" s="371"/>
      <c r="MO100" s="157"/>
      <c r="MP100" s="1579"/>
      <c r="MQ100" s="264"/>
      <c r="MR100" s="264"/>
      <c r="MS100" s="264"/>
      <c r="MT100" s="597"/>
      <c r="MU100" s="209"/>
      <c r="MV100" s="208"/>
      <c r="MW100" s="208"/>
      <c r="MX100" s="208"/>
      <c r="MY100" s="655"/>
      <c r="MZ100" s="209"/>
      <c r="NA100" s="208"/>
      <c r="NB100" s="208"/>
      <c r="NC100" s="208"/>
      <c r="ND100" s="1313"/>
      <c r="NE100" s="209"/>
      <c r="NF100" s="208"/>
      <c r="NG100" s="208"/>
      <c r="NH100" s="208"/>
      <c r="NI100" s="1313"/>
      <c r="NJ100" s="209"/>
      <c r="NK100" s="208"/>
      <c r="NL100" s="208"/>
      <c r="NM100" s="208"/>
      <c r="NN100" s="1313"/>
      <c r="NO100" s="357"/>
      <c r="NP100" s="358"/>
      <c r="NQ100" s="359"/>
      <c r="NR100" s="208"/>
      <c r="NS100" s="1313"/>
      <c r="NT100" s="357"/>
      <c r="NU100" s="358"/>
      <c r="NV100" s="358"/>
      <c r="NW100" s="208"/>
      <c r="NX100" s="1313"/>
      <c r="NY100" s="357"/>
      <c r="NZ100" s="358"/>
      <c r="OA100" s="358"/>
      <c r="OB100" s="622"/>
      <c r="OC100" s="116"/>
      <c r="OD100" s="191"/>
      <c r="OE100" s="358"/>
      <c r="OF100" s="358"/>
      <c r="OG100" s="358"/>
      <c r="OH100" s="220"/>
      <c r="OI100" s="1863"/>
      <c r="OJ100" s="105"/>
      <c r="OK100" s="105"/>
      <c r="OL100" s="105"/>
      <c r="OM100" s="106"/>
      <c r="ON100" s="358"/>
      <c r="OO100" s="358"/>
      <c r="OP100" s="358"/>
      <c r="OQ100" s="359"/>
      <c r="OR100" s="169"/>
      <c r="OS100" s="686"/>
      <c r="OT100" s="146"/>
      <c r="OU100" s="146"/>
      <c r="OV100" s="1864"/>
      <c r="OW100" s="203"/>
      <c r="OX100" s="357"/>
      <c r="OY100" s="358"/>
      <c r="OZ100" s="358"/>
      <c r="PA100" s="359"/>
      <c r="PB100" s="114"/>
      <c r="PC100" s="79"/>
      <c r="PD100" s="439"/>
      <c r="PE100" s="208"/>
      <c r="PF100" s="208"/>
      <c r="PG100" s="96"/>
      <c r="PH100" s="78"/>
      <c r="PI100" s="401"/>
      <c r="PJ100" s="395"/>
      <c r="PK100" s="395"/>
      <c r="PL100" s="96"/>
      <c r="PM100" s="78"/>
      <c r="PN100" s="439"/>
      <c r="PO100" s="208"/>
      <c r="PP100" s="358"/>
      <c r="PQ100" s="371"/>
      <c r="PR100" s="157"/>
      <c r="PS100" s="354"/>
      <c r="PT100" s="208"/>
      <c r="PU100" s="358"/>
      <c r="PV100" s="371"/>
      <c r="PW100" s="157"/>
      <c r="PX100" s="1579"/>
      <c r="PY100" s="264"/>
      <c r="PZ100" s="264"/>
      <c r="QA100" s="1248"/>
      <c r="QB100" s="597"/>
      <c r="QC100" s="209"/>
      <c r="QD100" s="208"/>
      <c r="QE100" s="208"/>
      <c r="QF100" s="208"/>
      <c r="QG100" s="655"/>
      <c r="QH100" s="439"/>
      <c r="QI100" s="208"/>
      <c r="QJ100" s="208"/>
      <c r="QK100" s="208"/>
      <c r="QL100" s="1313"/>
      <c r="QM100" s="439"/>
      <c r="QN100" s="208"/>
      <c r="QO100" s="208"/>
      <c r="QP100" s="208"/>
      <c r="QQ100" s="801"/>
      <c r="QR100" s="209"/>
      <c r="QS100" s="208"/>
      <c r="QT100" s="208"/>
      <c r="QU100" s="208"/>
      <c r="QV100" s="157"/>
      <c r="QW100" s="209"/>
      <c r="QX100" s="208"/>
      <c r="QY100" s="208"/>
      <c r="QZ100" s="208"/>
      <c r="RA100" s="2083"/>
      <c r="RB100" s="209"/>
      <c r="RC100" s="208"/>
      <c r="RD100" s="208"/>
      <c r="RE100" s="208"/>
      <c r="RF100" s="114"/>
      <c r="RG100" s="1857"/>
      <c r="RH100" s="208"/>
      <c r="RI100" s="208"/>
      <c r="RJ100" s="772"/>
      <c r="RK100" s="116"/>
      <c r="RL100" s="1567"/>
      <c r="RM100" s="1568"/>
      <c r="RN100" s="1568"/>
      <c r="RO100" s="1568"/>
      <c r="RP100" s="220"/>
      <c r="RQ100" s="1863"/>
      <c r="RR100" s="105"/>
      <c r="RS100" s="105"/>
      <c r="RT100" s="105"/>
      <c r="RU100" s="106"/>
      <c r="RV100" s="358"/>
      <c r="RW100" s="358"/>
      <c r="RX100" s="358"/>
      <c r="RY100" s="359"/>
      <c r="RZ100" s="169"/>
      <c r="SA100" s="686"/>
      <c r="SB100" s="146"/>
      <c r="SC100" s="146"/>
      <c r="SD100" s="1864"/>
      <c r="SE100" s="203"/>
      <c r="SF100" s="1567"/>
      <c r="SG100" s="358"/>
      <c r="SH100" s="358"/>
      <c r="SI100" s="359"/>
      <c r="SJ100" s="114"/>
      <c r="SL100" s="439"/>
      <c r="SM100" s="208"/>
      <c r="SN100" s="208"/>
      <c r="SO100" s="96"/>
      <c r="SP100" s="78"/>
      <c r="SQ100" s="439"/>
      <c r="SR100" s="208"/>
      <c r="SS100" s="208"/>
      <c r="ST100" s="3523"/>
      <c r="SU100" s="222"/>
      <c r="SV100" s="439"/>
      <c r="SW100" s="208"/>
      <c r="SX100" s="358"/>
      <c r="SY100" s="372"/>
      <c r="SZ100" s="207"/>
      <c r="TA100" s="354"/>
      <c r="TB100" s="208"/>
      <c r="TC100" s="358"/>
      <c r="TD100" s="96"/>
      <c r="TE100" s="94"/>
      <c r="TF100" s="354"/>
      <c r="TG100" s="208"/>
      <c r="TH100" s="208"/>
      <c r="TI100" s="2285"/>
      <c r="TJ100" s="114"/>
      <c r="TK100" s="209"/>
      <c r="TL100" s="208"/>
      <c r="TM100" s="208"/>
      <c r="TN100" s="395"/>
      <c r="TO100" s="114"/>
      <c r="TP100" s="4432"/>
      <c r="TQ100" s="208"/>
      <c r="TR100" s="208"/>
      <c r="TS100" s="994"/>
      <c r="TT100" s="114"/>
      <c r="TU100" s="4432"/>
      <c r="TV100" s="208"/>
      <c r="TW100" s="208"/>
      <c r="TX100" s="994"/>
      <c r="TY100" s="2050"/>
      <c r="TZ100" s="1868"/>
      <c r="UA100" s="1575"/>
      <c r="UB100" s="1575"/>
      <c r="UC100" s="2552"/>
      <c r="UD100" s="441"/>
      <c r="UE100" s="1868"/>
      <c r="UF100" s="1575"/>
      <c r="UG100" s="1575"/>
      <c r="UH100" s="1575"/>
      <c r="UI100" s="6499"/>
      <c r="UJ100" s="209"/>
      <c r="UK100" s="208"/>
      <c r="UL100" s="208"/>
      <c r="UM100" s="208"/>
      <c r="UN100" s="114"/>
      <c r="UO100" s="1567"/>
      <c r="UP100" s="1568"/>
      <c r="UQ100" s="1568"/>
      <c r="UR100" s="1873"/>
      <c r="US100" s="116"/>
      <c r="UT100" s="1567"/>
      <c r="UU100" s="358"/>
      <c r="UV100" s="358"/>
      <c r="UW100" s="358"/>
      <c r="UX100" s="220"/>
      <c r="UY100" s="1863"/>
      <c r="UZ100" s="105"/>
      <c r="VA100" s="105"/>
      <c r="VB100" s="105"/>
      <c r="VC100" s="106"/>
      <c r="VD100" s="358"/>
      <c r="VE100" s="358"/>
      <c r="VF100" s="358"/>
      <c r="VG100" s="359"/>
      <c r="VH100" s="169"/>
      <c r="VI100" s="686"/>
      <c r="VJ100" s="146"/>
      <c r="VK100" s="146"/>
      <c r="VL100" s="1864"/>
      <c r="VM100" s="203"/>
      <c r="VN100" s="1567"/>
      <c r="VO100" s="358"/>
      <c r="VP100" s="358"/>
      <c r="VQ100" s="359"/>
      <c r="VR100" s="114"/>
    </row>
    <row r="101" spans="1:745" s="1193" customFormat="1" ht="13.45" x14ac:dyDescent="0.3">
      <c r="A101" s="1297"/>
      <c r="B101" s="1773"/>
      <c r="C101" s="2275"/>
      <c r="D101" s="2276"/>
      <c r="E101" s="1993"/>
      <c r="F101" s="1993"/>
      <c r="G101" s="1994"/>
      <c r="H101" s="2031"/>
      <c r="I101" s="1914"/>
      <c r="J101" s="1914"/>
      <c r="K101" s="1914"/>
      <c r="L101" s="593"/>
      <c r="M101" s="2031"/>
      <c r="N101" s="1914"/>
      <c r="O101" s="1914"/>
      <c r="P101" s="1914"/>
      <c r="Q101" s="593"/>
      <c r="R101" s="2031"/>
      <c r="S101" s="1914"/>
      <c r="T101" s="1914"/>
      <c r="U101" s="1914"/>
      <c r="V101" s="593"/>
      <c r="W101" s="2031"/>
      <c r="X101" s="1914"/>
      <c r="Y101" s="1914"/>
      <c r="Z101" s="1914"/>
      <c r="AA101" s="2032"/>
      <c r="AB101" s="2031"/>
      <c r="AC101" s="1914"/>
      <c r="AD101" s="1914"/>
      <c r="AE101" s="1914"/>
      <c r="AF101" s="2032"/>
      <c r="AG101" s="1914"/>
      <c r="AH101" s="1914"/>
      <c r="AI101" s="1914"/>
      <c r="AJ101" s="1914"/>
      <c r="AK101" s="593"/>
      <c r="AL101" s="1914"/>
      <c r="AM101" s="1914"/>
      <c r="AN101" s="1914"/>
      <c r="AO101" s="1914"/>
      <c r="AP101" s="593"/>
      <c r="AQ101" s="1914"/>
      <c r="AR101" s="1914"/>
      <c r="AS101" s="1914"/>
      <c r="AT101" s="1914"/>
      <c r="AU101" s="593"/>
      <c r="AV101" s="2033"/>
      <c r="AW101" s="1914"/>
      <c r="AX101" s="1914"/>
      <c r="AY101" s="1914"/>
      <c r="AZ101" s="2032"/>
      <c r="BA101" s="2033"/>
      <c r="BB101" s="1914"/>
      <c r="BC101" s="1914"/>
      <c r="BD101" s="1914"/>
      <c r="BE101" s="2032"/>
      <c r="BF101" s="2033"/>
      <c r="BG101" s="1914"/>
      <c r="BH101" s="1914"/>
      <c r="BI101" s="1914"/>
      <c r="BJ101" s="2032"/>
      <c r="BK101" s="2033"/>
      <c r="BL101" s="1914"/>
      <c r="BM101" s="1914"/>
      <c r="BN101" s="1914"/>
      <c r="BO101" s="2032"/>
      <c r="BP101" s="2034"/>
      <c r="BQ101" s="1914"/>
      <c r="BR101" s="1914"/>
      <c r="BS101" s="1914"/>
      <c r="BT101" s="2035"/>
      <c r="BU101" s="1914"/>
      <c r="BV101" s="1914"/>
      <c r="BW101" s="2036"/>
      <c r="BX101" s="2035"/>
      <c r="BY101" s="1914"/>
      <c r="BZ101" s="1914"/>
      <c r="CA101" s="2010"/>
      <c r="CB101" s="1914"/>
      <c r="CC101" s="1914"/>
      <c r="CD101" s="1914"/>
      <c r="CE101" s="1914"/>
      <c r="CF101" s="2035"/>
      <c r="CG101" s="1914"/>
      <c r="CH101" s="1914"/>
      <c r="CI101" s="2010"/>
      <c r="CJ101" s="2037"/>
      <c r="CK101" s="1914"/>
      <c r="CL101" s="1914"/>
      <c r="CM101" s="1914"/>
      <c r="CN101" s="2036"/>
      <c r="CO101" s="2037"/>
      <c r="CP101" s="2031"/>
      <c r="CQ101" s="2031"/>
      <c r="CR101" s="2031"/>
      <c r="CS101" s="2036"/>
      <c r="CT101" s="2037"/>
      <c r="CU101" s="1914"/>
      <c r="CV101" s="1914"/>
      <c r="CW101" s="1914"/>
      <c r="CX101" s="2036"/>
      <c r="CY101" s="2037"/>
      <c r="CZ101" s="1914"/>
      <c r="DA101" s="1914"/>
      <c r="DB101" s="1914"/>
      <c r="DC101" s="2036"/>
      <c r="DD101" s="2037"/>
      <c r="DE101" s="1914"/>
      <c r="DF101" s="1914"/>
      <c r="DG101" s="1914"/>
      <c r="DH101" s="2038"/>
      <c r="DI101" s="2037"/>
      <c r="DJ101" s="1914"/>
      <c r="DK101" s="1914"/>
      <c r="DL101" s="1914"/>
      <c r="DM101" s="2038"/>
      <c r="DN101" s="2037"/>
      <c r="DO101" s="1914"/>
      <c r="DP101" s="1914"/>
      <c r="DQ101" s="1914"/>
      <c r="DR101" s="2038"/>
      <c r="DS101" s="2037"/>
      <c r="DT101" s="1914"/>
      <c r="DU101" s="1914"/>
      <c r="DV101" s="1914"/>
      <c r="DW101" s="2038"/>
      <c r="DX101" s="2037"/>
      <c r="DY101" s="1914"/>
      <c r="DZ101" s="1914"/>
      <c r="EA101" s="1914"/>
      <c r="EB101" s="2038"/>
      <c r="EC101" s="2037"/>
      <c r="ED101" s="1914"/>
      <c r="EE101" s="1914"/>
      <c r="EF101" s="1914"/>
      <c r="EG101" s="2038"/>
      <c r="EH101" s="2037"/>
      <c r="EI101" s="1914"/>
      <c r="EJ101" s="1914"/>
      <c r="EK101" s="1914"/>
      <c r="EL101" s="2038"/>
      <c r="EM101" s="1910"/>
      <c r="EN101" s="715"/>
      <c r="EO101" s="715"/>
      <c r="EP101" s="715"/>
      <c r="EQ101" s="366"/>
      <c r="ER101" s="1713"/>
      <c r="ES101" s="1714"/>
      <c r="ET101" s="1714"/>
      <c r="EU101" s="1714"/>
      <c r="EV101" s="1715"/>
      <c r="EW101" s="2031"/>
      <c r="EX101" s="2031"/>
      <c r="EY101" s="2031"/>
      <c r="EZ101" s="593"/>
      <c r="FA101" s="2037"/>
      <c r="FB101" s="2031"/>
      <c r="FC101" s="2031"/>
      <c r="FD101" s="2036"/>
      <c r="FE101" s="2031"/>
      <c r="FF101" s="2031"/>
      <c r="FG101" s="2031"/>
      <c r="FH101" s="593"/>
      <c r="FI101" s="2039"/>
      <c r="FJ101" s="2040"/>
      <c r="FK101" s="2041"/>
      <c r="FL101" s="2041"/>
      <c r="FM101" s="693"/>
      <c r="FN101" s="2031"/>
      <c r="FO101" s="1914"/>
      <c r="FP101" s="1914"/>
      <c r="FQ101" s="1914"/>
      <c r="FR101" s="2032"/>
      <c r="FS101" s="1910"/>
      <c r="FT101" s="715"/>
      <c r="FU101" s="715"/>
      <c r="FV101" s="715"/>
      <c r="FW101" s="366"/>
      <c r="FX101" s="2037"/>
      <c r="FY101" s="1914"/>
      <c r="FZ101" s="1914"/>
      <c r="GA101" s="715"/>
      <c r="GB101" s="366"/>
      <c r="GC101" s="1899"/>
      <c r="GD101" s="1900"/>
      <c r="GE101" s="1900"/>
      <c r="GF101" s="715"/>
      <c r="GG101" s="366"/>
      <c r="GH101" s="1901"/>
      <c r="GI101" s="1824"/>
      <c r="GJ101" s="1824"/>
      <c r="GK101" s="715"/>
      <c r="GL101" s="366"/>
      <c r="GM101" s="1901"/>
      <c r="GN101" s="1824"/>
      <c r="GO101" s="1824"/>
      <c r="GP101" s="715"/>
      <c r="GQ101" s="366"/>
      <c r="GR101" s="2042"/>
      <c r="GS101" s="2043"/>
      <c r="GT101" s="2043"/>
      <c r="GU101" s="715"/>
      <c r="GV101" s="366"/>
      <c r="GW101" s="2042"/>
      <c r="GX101" s="2043"/>
      <c r="GY101" s="2043"/>
      <c r="GZ101" s="715"/>
      <c r="HA101" s="366"/>
      <c r="HB101" s="2042"/>
      <c r="HC101" s="2043"/>
      <c r="HD101" s="2043"/>
      <c r="HE101" s="715"/>
      <c r="HF101" s="366"/>
      <c r="HG101" s="2042"/>
      <c r="HH101" s="2043"/>
      <c r="HI101" s="2043"/>
      <c r="HJ101" s="1818"/>
      <c r="HK101" s="366"/>
      <c r="HL101" s="2042"/>
      <c r="HM101" s="2043"/>
      <c r="HN101" s="2043"/>
      <c r="HO101" s="715"/>
      <c r="HP101" s="366"/>
      <c r="HQ101" s="1905"/>
      <c r="HR101" s="1248"/>
      <c r="HS101" s="1248"/>
      <c r="HT101" s="1248"/>
      <c r="HU101" s="1826"/>
      <c r="HV101" s="1827"/>
      <c r="HW101" s="1089"/>
      <c r="HX101" s="1089"/>
      <c r="HY101" s="1089"/>
      <c r="HZ101" s="1906"/>
      <c r="IA101" s="1907"/>
      <c r="IB101" s="1908"/>
      <c r="IC101" s="1908"/>
      <c r="ID101" s="1909"/>
      <c r="IE101" s="1910"/>
      <c r="IF101" s="1911"/>
      <c r="IG101" s="1912"/>
      <c r="IH101" s="1909"/>
      <c r="II101" s="1835"/>
      <c r="IJ101" s="1836"/>
      <c r="IK101" s="1836"/>
      <c r="IL101" s="693"/>
      <c r="IM101" s="1913"/>
      <c r="IN101" s="1836"/>
      <c r="IO101" s="1836"/>
      <c r="IP101" s="1838"/>
      <c r="IQ101" s="1914"/>
      <c r="IR101" s="2044"/>
      <c r="IS101" s="715"/>
      <c r="IT101" s="715"/>
      <c r="IU101" s="1996"/>
      <c r="IV101" s="2045"/>
      <c r="IW101" s="1910"/>
      <c r="IX101" s="715"/>
      <c r="IY101" s="823"/>
      <c r="IZ101" s="1719"/>
      <c r="JA101" s="1721"/>
      <c r="JB101" s="2046"/>
      <c r="JC101" s="2047"/>
      <c r="JD101" s="2048"/>
      <c r="JE101" s="1719"/>
      <c r="JF101" s="1721"/>
      <c r="JG101" s="1847"/>
      <c r="JH101" s="1096"/>
      <c r="JI101" s="1096"/>
      <c r="JJ101" s="1756"/>
      <c r="JK101" s="1721"/>
      <c r="JL101" s="1927"/>
      <c r="JM101" s="1096"/>
      <c r="JN101" s="1096"/>
      <c r="JO101" s="823"/>
      <c r="JP101" s="1721"/>
      <c r="JQ101" s="1926"/>
      <c r="JR101" s="1982"/>
      <c r="JS101" s="1248"/>
      <c r="JT101" s="1996"/>
      <c r="JU101" s="1821"/>
      <c r="JV101" s="1988"/>
      <c r="JW101" s="2049"/>
      <c r="JX101" s="1850"/>
      <c r="JY101" s="823"/>
      <c r="JZ101" s="1721"/>
      <c r="KA101" s="1847"/>
      <c r="KB101" s="264"/>
      <c r="KC101" s="972"/>
      <c r="KD101" s="964"/>
      <c r="KE101" s="1848"/>
      <c r="KF101" s="1988"/>
      <c r="KG101" s="1850"/>
      <c r="KH101" s="2049"/>
      <c r="KI101" s="1719"/>
      <c r="KJ101" s="1721"/>
      <c r="KK101" s="1988"/>
      <c r="KL101" s="1850"/>
      <c r="KM101" s="2049"/>
      <c r="KN101" s="1851"/>
      <c r="KO101" s="1852"/>
      <c r="KP101" s="1823"/>
      <c r="KQ101" s="1982"/>
      <c r="KR101" s="1248"/>
      <c r="KS101" s="1996"/>
      <c r="KT101" s="1819"/>
      <c r="KU101" s="1853"/>
      <c r="KV101" s="264"/>
      <c r="KW101" s="264"/>
      <c r="KX101" s="264"/>
      <c r="KY101" s="75"/>
      <c r="KZ101" s="1857"/>
      <c r="LA101" s="358"/>
      <c r="LB101" s="358"/>
      <c r="LC101" s="358"/>
      <c r="LD101" s="151"/>
      <c r="LE101" s="1854"/>
      <c r="LF101" s="1855"/>
      <c r="LG101" s="1855"/>
      <c r="LH101" s="1856"/>
      <c r="LI101" s="1857"/>
      <c r="LJ101" s="1858"/>
      <c r="LK101" s="1854"/>
      <c r="LL101" s="1856"/>
      <c r="LM101" s="1859"/>
      <c r="LN101" s="1727"/>
      <c r="LO101" s="1727"/>
      <c r="LP101" s="151"/>
      <c r="LQ101" s="1860"/>
      <c r="LR101" s="1727"/>
      <c r="LS101" s="1727"/>
      <c r="LT101" s="1861"/>
      <c r="LV101" s="439"/>
      <c r="LW101" s="208"/>
      <c r="LX101" s="208"/>
      <c r="LY101" s="96"/>
      <c r="LZ101" s="78"/>
      <c r="MA101" s="1832"/>
      <c r="MB101" s="622"/>
      <c r="MC101" s="622"/>
      <c r="MD101" s="372"/>
      <c r="ME101" s="207"/>
      <c r="MF101" s="405"/>
      <c r="MG101" s="1575"/>
      <c r="MH101" s="1568"/>
      <c r="MI101" s="371"/>
      <c r="MJ101" s="157"/>
      <c r="MK101" s="354"/>
      <c r="ML101" s="208"/>
      <c r="MM101" s="358"/>
      <c r="MN101" s="371"/>
      <c r="MO101" s="157"/>
      <c r="MP101" s="1579"/>
      <c r="MQ101" s="264"/>
      <c r="MR101" s="264"/>
      <c r="MS101" s="264"/>
      <c r="MT101" s="597"/>
      <c r="MU101" s="209"/>
      <c r="MV101" s="208"/>
      <c r="MW101" s="208"/>
      <c r="MX101" s="208"/>
      <c r="MY101" s="655"/>
      <c r="MZ101" s="209"/>
      <c r="NA101" s="208"/>
      <c r="NB101" s="208"/>
      <c r="NC101" s="208"/>
      <c r="ND101" s="1313"/>
      <c r="NE101" s="209"/>
      <c r="NF101" s="208"/>
      <c r="NG101" s="208"/>
      <c r="NH101" s="208"/>
      <c r="NI101" s="1313"/>
      <c r="NJ101" s="209"/>
      <c r="NK101" s="208"/>
      <c r="NL101" s="208"/>
      <c r="NM101" s="208"/>
      <c r="NN101" s="1313"/>
      <c r="NO101" s="357"/>
      <c r="NP101" s="358"/>
      <c r="NQ101" s="359"/>
      <c r="NR101" s="208"/>
      <c r="NS101" s="1313"/>
      <c r="NT101" s="357"/>
      <c r="NU101" s="358"/>
      <c r="NV101" s="358"/>
      <c r="NW101" s="208"/>
      <c r="NX101" s="1313"/>
      <c r="NY101" s="357"/>
      <c r="NZ101" s="358"/>
      <c r="OA101" s="358"/>
      <c r="OB101" s="622"/>
      <c r="OC101" s="116"/>
      <c r="OD101" s="191"/>
      <c r="OE101" s="358"/>
      <c r="OF101" s="358"/>
      <c r="OG101" s="358"/>
      <c r="OH101" s="220"/>
      <c r="OI101" s="1863"/>
      <c r="OJ101" s="105"/>
      <c r="OK101" s="105"/>
      <c r="OL101" s="105"/>
      <c r="OM101" s="106"/>
      <c r="ON101" s="358"/>
      <c r="OO101" s="358"/>
      <c r="OP101" s="358"/>
      <c r="OQ101" s="359"/>
      <c r="OR101" s="169"/>
      <c r="OS101" s="686"/>
      <c r="OT101" s="146"/>
      <c r="OU101" s="146"/>
      <c r="OV101" s="1864"/>
      <c r="OW101" s="203"/>
      <c r="OX101" s="357">
        <f>(NO101+NT101+NY101)/3</f>
        <v>0</v>
      </c>
      <c r="OY101" s="358">
        <f t="shared" ref="OY101:PA105" si="425">NP101+NU101+NZ101</f>
        <v>0</v>
      </c>
      <c r="OZ101" s="358">
        <f t="shared" si="425"/>
        <v>0</v>
      </c>
      <c r="PA101" s="359">
        <f t="shared" si="425"/>
        <v>0</v>
      </c>
      <c r="PB101" s="114"/>
      <c r="PC101" s="79"/>
      <c r="PD101" s="439"/>
      <c r="PE101" s="208"/>
      <c r="PF101" s="208"/>
      <c r="PG101" s="96"/>
      <c r="PH101" s="78"/>
      <c r="PI101" s="401"/>
      <c r="PJ101" s="395">
        <v>0</v>
      </c>
      <c r="PK101" s="395">
        <v>0</v>
      </c>
      <c r="PL101" s="96">
        <f>PK101-PJ101</f>
        <v>0</v>
      </c>
      <c r="PM101" s="78"/>
      <c r="PN101" s="405"/>
      <c r="PO101" s="1575"/>
      <c r="PP101" s="1568"/>
      <c r="PQ101" s="1707"/>
      <c r="PR101" s="157"/>
      <c r="PS101" s="354"/>
      <c r="PT101" s="208"/>
      <c r="PU101" s="358"/>
      <c r="PV101" s="371"/>
      <c r="PW101" s="157"/>
      <c r="PX101" s="1579"/>
      <c r="PY101" s="264"/>
      <c r="PZ101" s="264"/>
      <c r="QA101" s="1248"/>
      <c r="QB101" s="597"/>
      <c r="QC101" s="2278"/>
      <c r="QD101" s="2279"/>
      <c r="QE101" s="2279"/>
      <c r="QF101" s="2279"/>
      <c r="QG101" s="2280"/>
      <c r="QH101" s="439"/>
      <c r="QI101" s="208">
        <v>0</v>
      </c>
      <c r="QJ101" s="208">
        <v>0</v>
      </c>
      <c r="QK101" s="208">
        <f t="shared" si="404"/>
        <v>0</v>
      </c>
      <c r="QL101" s="1872"/>
      <c r="QM101" s="439"/>
      <c r="QN101" s="208"/>
      <c r="QO101" s="208"/>
      <c r="QP101" s="208"/>
      <c r="QQ101" s="2003"/>
      <c r="QR101" s="209"/>
      <c r="QS101" s="208">
        <v>0</v>
      </c>
      <c r="QT101" s="208">
        <v>0</v>
      </c>
      <c r="QU101" s="208">
        <v>0</v>
      </c>
      <c r="QV101" s="157"/>
      <c r="QW101" s="209"/>
      <c r="QX101" s="208"/>
      <c r="QY101" s="208"/>
      <c r="QZ101" s="208"/>
      <c r="RA101" s="2083"/>
      <c r="RB101" s="209"/>
      <c r="RC101" s="208"/>
      <c r="RD101" s="208"/>
      <c r="RE101" s="208">
        <f t="shared" si="343"/>
        <v>0</v>
      </c>
      <c r="RF101" s="2155">
        <v>0</v>
      </c>
      <c r="RG101" s="1857"/>
      <c r="RH101" s="208"/>
      <c r="RI101" s="208"/>
      <c r="RJ101" s="772">
        <f t="shared" si="369"/>
        <v>0</v>
      </c>
      <c r="RK101" s="2050">
        <v>0</v>
      </c>
      <c r="RL101" s="1567"/>
      <c r="RM101" s="1568">
        <f t="shared" ref="RM101:RO123" si="426">RH101+RC101+QX101+QS101+QN101+QI101+QD101+PY101+PT101+PO101+PJ101+PE101</f>
        <v>0</v>
      </c>
      <c r="RN101" s="1568">
        <f t="shared" si="426"/>
        <v>0</v>
      </c>
      <c r="RO101" s="1568">
        <f t="shared" si="426"/>
        <v>0</v>
      </c>
      <c r="RP101" s="2281">
        <v>0</v>
      </c>
      <c r="RQ101" s="1863"/>
      <c r="RR101" s="105">
        <f t="shared" ref="RR101:RT104" si="427">PE101+PJ101+PO101</f>
        <v>0</v>
      </c>
      <c r="RS101" s="105">
        <f t="shared" si="427"/>
        <v>0</v>
      </c>
      <c r="RT101" s="105">
        <f t="shared" si="427"/>
        <v>0</v>
      </c>
      <c r="RU101" s="106"/>
      <c r="RV101" s="358"/>
      <c r="RW101" s="358">
        <f t="shared" ref="RW101:RY105" si="428">PT101+PY101+QD101</f>
        <v>0</v>
      </c>
      <c r="RX101" s="358">
        <f t="shared" si="428"/>
        <v>0</v>
      </c>
      <c r="RY101" s="359">
        <f t="shared" si="428"/>
        <v>0</v>
      </c>
      <c r="RZ101" s="169"/>
      <c r="SA101" s="686"/>
      <c r="SB101" s="146">
        <f t="shared" si="374"/>
        <v>0</v>
      </c>
      <c r="SC101" s="146">
        <f t="shared" si="374"/>
        <v>0</v>
      </c>
      <c r="SD101" s="1864">
        <f t="shared" si="374"/>
        <v>0</v>
      </c>
      <c r="SE101" s="203"/>
      <c r="SF101" s="1567"/>
      <c r="SG101" s="358">
        <f t="shared" si="421"/>
        <v>0</v>
      </c>
      <c r="SH101" s="358">
        <f t="shared" si="421"/>
        <v>0</v>
      </c>
      <c r="SI101" s="359">
        <f t="shared" si="421"/>
        <v>0</v>
      </c>
      <c r="SJ101" s="114">
        <v>0</v>
      </c>
      <c r="SL101" s="439"/>
      <c r="SM101" s="208"/>
      <c r="SN101" s="208"/>
      <c r="SO101" s="96">
        <f t="shared" si="264"/>
        <v>0</v>
      </c>
      <c r="SP101" s="1581">
        <v>0</v>
      </c>
      <c r="SQ101" s="2445"/>
      <c r="SR101" s="2001"/>
      <c r="SS101" s="2001"/>
      <c r="ST101" s="3523"/>
      <c r="SU101" s="222"/>
      <c r="SV101" s="439"/>
      <c r="SW101" s="208"/>
      <c r="SX101" s="358"/>
      <c r="SY101" s="371"/>
      <c r="SZ101" s="3711">
        <v>0</v>
      </c>
      <c r="TA101" s="354"/>
      <c r="TB101" s="208"/>
      <c r="TC101" s="358"/>
      <c r="TD101" s="96"/>
      <c r="TE101" s="94"/>
      <c r="TF101" s="354"/>
      <c r="TG101" s="208"/>
      <c r="TH101" s="208"/>
      <c r="TI101" s="395"/>
      <c r="TJ101" s="114"/>
      <c r="TK101" s="209"/>
      <c r="TL101" s="208"/>
      <c r="TM101" s="208"/>
      <c r="TN101" s="395"/>
      <c r="TO101" s="114"/>
      <c r="TP101" s="4432"/>
      <c r="TQ101" s="208"/>
      <c r="TR101" s="208"/>
      <c r="TS101" s="994"/>
      <c r="TT101" s="114"/>
      <c r="TU101" s="4432"/>
      <c r="TV101" s="208"/>
      <c r="TW101" s="208"/>
      <c r="TX101" s="994"/>
      <c r="TY101" s="2050"/>
      <c r="TZ101" s="1868"/>
      <c r="UA101" s="1575"/>
      <c r="UB101" s="1575"/>
      <c r="UC101" s="2552"/>
      <c r="UD101" s="441"/>
      <c r="UE101" s="1868"/>
      <c r="UF101" s="1575"/>
      <c r="UG101" s="1575"/>
      <c r="UH101" s="1575"/>
      <c r="UI101" s="6499"/>
      <c r="UJ101" s="209"/>
      <c r="UK101" s="208"/>
      <c r="UL101" s="208"/>
      <c r="UM101" s="208">
        <f t="shared" ref="UM101:UM110" si="429">UL101-UK101</f>
        <v>0</v>
      </c>
      <c r="UN101" s="2155">
        <v>0</v>
      </c>
      <c r="UO101" s="1567"/>
      <c r="UP101" s="1568"/>
      <c r="UQ101" s="1568"/>
      <c r="UR101" s="1873">
        <f t="shared" si="323"/>
        <v>0</v>
      </c>
      <c r="US101" s="2050">
        <v>0</v>
      </c>
      <c r="UT101" s="1567"/>
      <c r="UU101" s="358">
        <f t="shared" si="371"/>
        <v>0</v>
      </c>
      <c r="UV101" s="358">
        <f t="shared" si="371"/>
        <v>0</v>
      </c>
      <c r="UW101" s="358">
        <f t="shared" si="371"/>
        <v>0</v>
      </c>
      <c r="UX101" s="220"/>
      <c r="UY101" s="1863">
        <f t="shared" si="324"/>
        <v>0</v>
      </c>
      <c r="UZ101" s="105">
        <f t="shared" si="424"/>
        <v>0</v>
      </c>
      <c r="VA101" s="105">
        <f t="shared" si="424"/>
        <v>0</v>
      </c>
      <c r="VB101" s="105">
        <f t="shared" si="424"/>
        <v>0</v>
      </c>
      <c r="VC101" s="106" t="e">
        <f t="shared" si="325"/>
        <v>#DIV/0!</v>
      </c>
      <c r="VD101" s="358"/>
      <c r="VE101" s="358">
        <f t="shared" si="423"/>
        <v>0</v>
      </c>
      <c r="VF101" s="358">
        <f t="shared" si="423"/>
        <v>0</v>
      </c>
      <c r="VG101" s="359">
        <f t="shared" si="423"/>
        <v>0</v>
      </c>
      <c r="VH101" s="169" t="e">
        <f t="shared" si="372"/>
        <v>#DIV/0!</v>
      </c>
      <c r="VI101" s="686"/>
      <c r="VJ101" s="146">
        <f t="shared" si="373"/>
        <v>0</v>
      </c>
      <c r="VK101" s="146">
        <f t="shared" si="373"/>
        <v>0</v>
      </c>
      <c r="VL101" s="1864">
        <f t="shared" si="373"/>
        <v>0</v>
      </c>
      <c r="VM101" s="203"/>
      <c r="VN101" s="1567"/>
      <c r="VO101" s="358">
        <f t="shared" si="368"/>
        <v>0</v>
      </c>
      <c r="VP101" s="358">
        <f t="shared" si="361"/>
        <v>0</v>
      </c>
      <c r="VQ101" s="359">
        <f t="shared" si="361"/>
        <v>0</v>
      </c>
      <c r="VR101" s="114">
        <v>0</v>
      </c>
    </row>
    <row r="102" spans="1:745" s="4439" customFormat="1" ht="13.45" x14ac:dyDescent="0.3">
      <c r="A102" s="4437"/>
      <c r="B102" s="2020" t="s">
        <v>53</v>
      </c>
      <c r="C102" s="3775" t="s">
        <v>123</v>
      </c>
      <c r="D102" s="578" t="s">
        <v>71</v>
      </c>
      <c r="E102" s="383">
        <v>45413</v>
      </c>
      <c r="F102" s="383">
        <v>45747</v>
      </c>
      <c r="G102" s="2161">
        <v>734000</v>
      </c>
      <c r="H102" s="1730"/>
      <c r="I102" s="1711"/>
      <c r="J102" s="1711"/>
      <c r="K102" s="1711"/>
      <c r="L102" s="1731"/>
      <c r="M102" s="4949">
        <v>17</v>
      </c>
      <c r="N102" s="1711">
        <v>335231</v>
      </c>
      <c r="O102" s="1733">
        <v>341741</v>
      </c>
      <c r="P102" s="1733">
        <f>O102-N102</f>
        <v>6510</v>
      </c>
      <c r="Q102" s="1734">
        <f>P102/O102</f>
        <v>1.9049514105711634E-2</v>
      </c>
      <c r="R102" s="1729">
        <v>22</v>
      </c>
      <c r="S102" s="1711">
        <f>139319+196056</f>
        <v>335375</v>
      </c>
      <c r="T102" s="4950">
        <v>441955</v>
      </c>
      <c r="U102" s="1711">
        <f>T102-S102</f>
        <v>106580</v>
      </c>
      <c r="V102" s="1731">
        <f>U102/T102</f>
        <v>0.24115577377787331</v>
      </c>
      <c r="W102" s="4951">
        <f>13+9</f>
        <v>22</v>
      </c>
      <c r="X102" s="1711">
        <v>397937</v>
      </c>
      <c r="Y102" s="1711">
        <v>452945</v>
      </c>
      <c r="Z102" s="1711">
        <f>Y102-X102</f>
        <v>55008</v>
      </c>
      <c r="AA102" s="1731">
        <f>Z102/Y102</f>
        <v>0.12144520857940809</v>
      </c>
      <c r="AB102" s="1729">
        <f>7+13</f>
        <v>20</v>
      </c>
      <c r="AC102" s="1711">
        <f>168749+181500</f>
        <v>350249</v>
      </c>
      <c r="AD102" s="1711">
        <v>432750</v>
      </c>
      <c r="AE102" s="1711">
        <f>AD102-AC102</f>
        <v>82501</v>
      </c>
      <c r="AF102" s="1731">
        <f>AE102/AD102</f>
        <v>0.19064355863662621</v>
      </c>
      <c r="AG102" s="1729">
        <v>22</v>
      </c>
      <c r="AH102" s="1711">
        <v>354056</v>
      </c>
      <c r="AI102" s="1711">
        <v>432750</v>
      </c>
      <c r="AJ102" s="1718">
        <f>AI102-AH102</f>
        <v>78694</v>
      </c>
      <c r="AK102" s="1731">
        <f>AJ102/AI102</f>
        <v>0.18184633160023109</v>
      </c>
      <c r="AL102" s="1729">
        <v>20</v>
      </c>
      <c r="AM102" s="1711">
        <v>354056</v>
      </c>
      <c r="AN102" s="1711">
        <v>411978</v>
      </c>
      <c r="AO102" s="1728">
        <f>AN102-AM102</f>
        <v>57922</v>
      </c>
      <c r="AP102" s="1731">
        <f>AO102/AN102</f>
        <v>0.14059488613469651</v>
      </c>
      <c r="AQ102" s="1737">
        <v>20</v>
      </c>
      <c r="AR102" s="1764">
        <v>339556</v>
      </c>
      <c r="AS102" s="1764">
        <v>418717</v>
      </c>
      <c r="AT102" s="1738">
        <f>AS102-AR102</f>
        <v>79161</v>
      </c>
      <c r="AU102" s="1731">
        <f>AT102/AS102</f>
        <v>0.18905609277865479</v>
      </c>
      <c r="AV102" s="1739">
        <v>20</v>
      </c>
      <c r="AW102" s="1764">
        <v>339556</v>
      </c>
      <c r="AX102" s="1764">
        <v>388321</v>
      </c>
      <c r="AY102" s="1728">
        <f>AX102-AW102</f>
        <v>48765</v>
      </c>
      <c r="AZ102" s="1731">
        <f>AY102/AX102</f>
        <v>0.12557909564509775</v>
      </c>
      <c r="BA102" s="1740">
        <v>19</v>
      </c>
      <c r="BB102" s="1728">
        <v>378619</v>
      </c>
      <c r="BC102" s="1728">
        <v>411213</v>
      </c>
      <c r="BD102" s="1728">
        <f>BC102-BB102</f>
        <v>32594</v>
      </c>
      <c r="BE102" s="1734">
        <f>BD102/BC102</f>
        <v>7.9263058317708829E-2</v>
      </c>
      <c r="BF102" s="1739">
        <v>19</v>
      </c>
      <c r="BG102" s="1728">
        <v>398875</v>
      </c>
      <c r="BH102" s="1711">
        <v>427482</v>
      </c>
      <c r="BI102" s="1728">
        <f>BH102-BG102</f>
        <v>28607</v>
      </c>
      <c r="BJ102" s="1734">
        <f>BI102/BH102</f>
        <v>6.6919776739137557E-2</v>
      </c>
      <c r="BK102" s="1739">
        <v>18</v>
      </c>
      <c r="BL102" s="1711">
        <f>247301+140000+8162</f>
        <v>395463</v>
      </c>
      <c r="BM102" s="1711">
        <v>426921</v>
      </c>
      <c r="BN102" s="1728">
        <f>BM102-BL102</f>
        <v>31458</v>
      </c>
      <c r="BO102" s="1742">
        <f>BN102/BM102</f>
        <v>7.3685763876689125E-2</v>
      </c>
      <c r="BP102" s="1709">
        <f>(AV102+AQ102+AL102+AG102+AB102+W102+R102+M102+H102+BA102+BF102+BK102)/12</f>
        <v>18.25</v>
      </c>
      <c r="BQ102" s="1743">
        <f>AW102+AR102+AM102+AH102+AC102+X102+S102+N102+I102+BB102+BG102+BL102</f>
        <v>3978973</v>
      </c>
      <c r="BR102" s="1718">
        <f>AX102+AS102+AN102+AI102+AD102+Y102+T102+O102+J102+BC102+BH102+BM102</f>
        <v>4586773</v>
      </c>
      <c r="BS102" s="1744">
        <f>BR102-BQ102</f>
        <v>607800</v>
      </c>
      <c r="BT102" s="1745">
        <f>H102+M102+R102</f>
        <v>39</v>
      </c>
      <c r="BU102" s="1718">
        <f>J102+O102+T102</f>
        <v>783696</v>
      </c>
      <c r="BV102" s="1718">
        <f>K102+P102+U102</f>
        <v>113090</v>
      </c>
      <c r="BW102" s="1746">
        <f>BV102/BU102</f>
        <v>0.14430340336048672</v>
      </c>
      <c r="BX102" s="1747">
        <f>W102+AB102+AG102</f>
        <v>64</v>
      </c>
      <c r="BY102" s="1718">
        <f>Y102+AD102+AI102</f>
        <v>1318445</v>
      </c>
      <c r="BZ102" s="1718">
        <f>Z102+AE102+AJ102</f>
        <v>216203</v>
      </c>
      <c r="CA102" s="1748"/>
      <c r="CB102" s="1749">
        <f>AL102+AQ102+AV102</f>
        <v>60</v>
      </c>
      <c r="CC102" s="1718">
        <f>AN102+AS102+AX102</f>
        <v>1219016</v>
      </c>
      <c r="CD102" s="1718">
        <f>AO102+AT102+AY102</f>
        <v>185848</v>
      </c>
      <c r="CE102" s="1750"/>
      <c r="CF102" s="1747">
        <f>BA102+BF102+BK102</f>
        <v>56</v>
      </c>
      <c r="CG102" s="1711">
        <f>BC102+BH102+BM102</f>
        <v>1265616</v>
      </c>
      <c r="CH102" s="1711">
        <f>BD102+BI102+BN102</f>
        <v>92659</v>
      </c>
      <c r="CI102" s="1748"/>
      <c r="CJ102" s="1710">
        <v>16</v>
      </c>
      <c r="CK102" s="1711">
        <f>230468+149000</f>
        <v>379468</v>
      </c>
      <c r="CL102" s="1711">
        <v>409530</v>
      </c>
      <c r="CM102" s="1711">
        <f>CL102-CK102</f>
        <v>30062</v>
      </c>
      <c r="CN102" s="1746">
        <f>CM102/CL102</f>
        <v>7.3406099675237466E-2</v>
      </c>
      <c r="CO102" s="1710">
        <v>17</v>
      </c>
      <c r="CP102" s="1711">
        <v>374547</v>
      </c>
      <c r="CQ102" s="1711">
        <v>404316</v>
      </c>
      <c r="CR102" s="1711">
        <f>CQ102-CP102</f>
        <v>29769</v>
      </c>
      <c r="CS102" s="1746">
        <f>CR102/CQ102</f>
        <v>7.3628053304840763E-2</v>
      </c>
      <c r="CT102" s="1710">
        <v>16</v>
      </c>
      <c r="CU102" s="1711">
        <f>230468+148000+5133</f>
        <v>383601</v>
      </c>
      <c r="CV102" s="1711">
        <v>407832</v>
      </c>
      <c r="CW102" s="1711">
        <f>CV102-CU102</f>
        <v>24231</v>
      </c>
      <c r="CX102" s="1746">
        <f>CW102/CV102</f>
        <v>5.9414170540810919E-2</v>
      </c>
      <c r="CY102" s="1710">
        <f>6+10</f>
        <v>16</v>
      </c>
      <c r="CZ102" s="1711">
        <f>230468+148000</f>
        <v>378468</v>
      </c>
      <c r="DA102" s="1711">
        <v>401763.5</v>
      </c>
      <c r="DB102" s="1711">
        <f>DA102-CZ102</f>
        <v>23295.5</v>
      </c>
      <c r="DC102" s="1746">
        <f>DB102/DA102</f>
        <v>5.7983116933220662E-2</v>
      </c>
      <c r="DD102" s="1710">
        <f>3+11</f>
        <v>14</v>
      </c>
      <c r="DE102" s="1711">
        <f>151001+148561</f>
        <v>299562</v>
      </c>
      <c r="DF102" s="1711">
        <v>353266</v>
      </c>
      <c r="DG102" s="1711">
        <f>DF102-DE102</f>
        <v>53704</v>
      </c>
      <c r="DH102" s="1712">
        <f>DG102/DF102</f>
        <v>0.15202142295041129</v>
      </c>
      <c r="DI102" s="1710">
        <f>4+10</f>
        <v>14</v>
      </c>
      <c r="DJ102" s="1728">
        <f>157869+148000</f>
        <v>305869</v>
      </c>
      <c r="DK102" s="1728">
        <v>322636</v>
      </c>
      <c r="DL102" s="1711">
        <f>DK102-DJ102</f>
        <v>16767</v>
      </c>
      <c r="DM102" s="1712">
        <f>DL102/DK102</f>
        <v>5.1968782156981863E-2</v>
      </c>
      <c r="DN102" s="1710">
        <v>16</v>
      </c>
      <c r="DO102" s="1728">
        <v>335563</v>
      </c>
      <c r="DP102" s="1711">
        <v>356329</v>
      </c>
      <c r="DQ102" s="1711">
        <f>DP102-DO102</f>
        <v>20766</v>
      </c>
      <c r="DR102" s="1712">
        <f>DQ102/DP102</f>
        <v>5.8277603001720323E-2</v>
      </c>
      <c r="DS102" s="1710">
        <v>16</v>
      </c>
      <c r="DT102" s="1728">
        <v>371927</v>
      </c>
      <c r="DU102" s="1711">
        <v>399721.5</v>
      </c>
      <c r="DV102" s="1711">
        <f>DU102-DT102</f>
        <v>27794.5</v>
      </c>
      <c r="DW102" s="1746">
        <f>DV102/DU102</f>
        <v>6.9534663509468464E-2</v>
      </c>
      <c r="DX102" s="1710">
        <v>16</v>
      </c>
      <c r="DY102" s="1711">
        <v>371927</v>
      </c>
      <c r="DZ102" s="1711">
        <v>399721.5</v>
      </c>
      <c r="EA102" s="1711">
        <f>DZ102-DY102</f>
        <v>27794.5</v>
      </c>
      <c r="EB102" s="1712">
        <f>EA102/DZ102</f>
        <v>6.9534663509468464E-2</v>
      </c>
      <c r="EC102" s="1710">
        <v>16</v>
      </c>
      <c r="ED102" s="1711">
        <v>361683</v>
      </c>
      <c r="EE102" s="1711">
        <v>390532.5</v>
      </c>
      <c r="EF102" s="1718">
        <f>EE102-ED102</f>
        <v>28849.5</v>
      </c>
      <c r="EG102" s="1712">
        <f>EF102/EE102</f>
        <v>7.3872212940024204E-2</v>
      </c>
      <c r="EH102" s="1710">
        <v>14</v>
      </c>
      <c r="EI102" s="1711">
        <v>342450</v>
      </c>
      <c r="EJ102" s="1711">
        <v>380000</v>
      </c>
      <c r="EK102" s="1711">
        <f>EJ102-EI102</f>
        <v>37550</v>
      </c>
      <c r="EL102" s="1712">
        <f>EK102/EJ102</f>
        <v>9.8815789473684204E-2</v>
      </c>
      <c r="EM102" s="1710">
        <v>13</v>
      </c>
      <c r="EN102" s="1711">
        <v>332289</v>
      </c>
      <c r="EO102" s="1711">
        <v>362455</v>
      </c>
      <c r="EP102" s="1711">
        <f>EO102-EN102</f>
        <v>30166</v>
      </c>
      <c r="EQ102" s="1712">
        <f>EP102/EO102</f>
        <v>8.3226883337241861E-2</v>
      </c>
      <c r="ER102" s="1713">
        <f>(CJ102+CO102+CT102+CY102+DD102+DI102+DN102+DS102+DX102+EC102+EH102+EM102)/12</f>
        <v>15.333333333333334</v>
      </c>
      <c r="ES102" s="1714">
        <f t="shared" ref="ES102:EU104" si="430">CK102+CP102+CU102+CZ102+DE102+DJ102+DO102+DT102+DY102+ED102+EI102+EN102</f>
        <v>4237354</v>
      </c>
      <c r="ET102" s="1714">
        <f t="shared" si="430"/>
        <v>4588103</v>
      </c>
      <c r="EU102" s="1714">
        <f t="shared" si="430"/>
        <v>350749</v>
      </c>
      <c r="EV102" s="1715">
        <f>EU102/ET102</f>
        <v>7.6447499108019151E-2</v>
      </c>
      <c r="EW102" s="1717">
        <f>(CJ102+CO102+CT102)/3</f>
        <v>16.333333333333332</v>
      </c>
      <c r="EX102" s="1711">
        <f>CL102+CQ102+CV102</f>
        <v>1221678</v>
      </c>
      <c r="EY102" s="1711">
        <f>CM102+CR102+CW102</f>
        <v>84062</v>
      </c>
      <c r="EZ102" s="1753">
        <f>EY102/EX102</f>
        <v>6.8808638610173875E-2</v>
      </c>
      <c r="FA102" s="1765">
        <f>(CY102+DD102+DI102)/3</f>
        <v>14.666666666666666</v>
      </c>
      <c r="FB102" s="1718">
        <f>DK102+DF102+DA102</f>
        <v>1077665.5</v>
      </c>
      <c r="FC102" s="1718">
        <f>DL102+DG102+DB102</f>
        <v>93766.5</v>
      </c>
      <c r="FD102" s="1746">
        <f>FC102/FB102</f>
        <v>8.7008909536400669E-2</v>
      </c>
      <c r="FE102" s="1717">
        <f>(DN102+DS102+DX102)/3</f>
        <v>16</v>
      </c>
      <c r="FF102" s="1718">
        <f>DP102+DU102+DZ102</f>
        <v>1155772</v>
      </c>
      <c r="FG102" s="1718">
        <f>DQ102+DV102+EA102</f>
        <v>76355</v>
      </c>
      <c r="FH102" s="1753">
        <f>FG102/FF102</f>
        <v>6.6064067999570847E-2</v>
      </c>
      <c r="FI102" s="1716">
        <f>(EC102+EH102+EM102)/3</f>
        <v>14.333333333333334</v>
      </c>
      <c r="FJ102" s="1717"/>
      <c r="FK102" s="1718">
        <f>EE102+EJ102+EO102</f>
        <v>1132987.5</v>
      </c>
      <c r="FL102" s="1718">
        <f>EF102+EK102+EP102</f>
        <v>96565.5</v>
      </c>
      <c r="FM102" s="1746">
        <f>FL102/FK102</f>
        <v>8.5230860887697352E-2</v>
      </c>
      <c r="FN102" s="1754">
        <v>13</v>
      </c>
      <c r="FO102" s="1719">
        <v>324950</v>
      </c>
      <c r="FP102" s="1719">
        <v>355818.5</v>
      </c>
      <c r="FQ102" s="1719">
        <f>FP102-FO102</f>
        <v>30868.5</v>
      </c>
      <c r="FR102" s="1720">
        <f>FQ102/FP102</f>
        <v>8.6753499326201425E-2</v>
      </c>
      <c r="FS102" s="1755">
        <v>13</v>
      </c>
      <c r="FT102" s="1719">
        <v>324950</v>
      </c>
      <c r="FU102" s="1719">
        <v>355818.5</v>
      </c>
      <c r="FV102" s="1719">
        <f>FU102-FT102</f>
        <v>30868.5</v>
      </c>
      <c r="FW102" s="1721">
        <f>FV102/FU102</f>
        <v>8.6753499326201425E-2</v>
      </c>
      <c r="FX102" s="1755">
        <v>11</v>
      </c>
      <c r="FY102" s="1756">
        <v>297450</v>
      </c>
      <c r="FZ102" s="1756">
        <v>348671.5</v>
      </c>
      <c r="GA102" s="1719">
        <f>FZ102-FY102</f>
        <v>51221.5</v>
      </c>
      <c r="GB102" s="1721">
        <f>GA102/FZ102</f>
        <v>0.1469047513203689</v>
      </c>
      <c r="GC102" s="1722">
        <v>12</v>
      </c>
      <c r="GD102" s="1096">
        <v>303365</v>
      </c>
      <c r="GE102" s="1096">
        <v>333867</v>
      </c>
      <c r="GF102" s="1719">
        <f>GE102-GD102</f>
        <v>30502</v>
      </c>
      <c r="GG102" s="1721">
        <f>GF102/GE102</f>
        <v>9.1359733067359158E-2</v>
      </c>
      <c r="GH102" s="1722">
        <v>12</v>
      </c>
      <c r="GI102" s="1096">
        <v>307573</v>
      </c>
      <c r="GJ102" s="1096">
        <v>331314.5</v>
      </c>
      <c r="GK102" s="1719">
        <f>GJ102-GI102</f>
        <v>23741.5</v>
      </c>
      <c r="GL102" s="1721">
        <f>GK102/GJ102</f>
        <v>7.1658499703453962E-2</v>
      </c>
      <c r="GM102" s="1722">
        <v>12</v>
      </c>
      <c r="GN102" s="1096">
        <v>300229</v>
      </c>
      <c r="GO102" s="1096">
        <v>369091.5</v>
      </c>
      <c r="GP102" s="1719">
        <f>GO102-GN102</f>
        <v>68862.5</v>
      </c>
      <c r="GQ102" s="1721">
        <f>GP102/GO102</f>
        <v>0.18657297716148977</v>
      </c>
      <c r="GR102" s="1722">
        <v>12</v>
      </c>
      <c r="GS102" s="1096">
        <v>332694</v>
      </c>
      <c r="GT102" s="1096">
        <v>380833</v>
      </c>
      <c r="GU102" s="1719">
        <f>GT102-GS102</f>
        <v>48139</v>
      </c>
      <c r="GV102" s="1721">
        <f>GU102/GT102</f>
        <v>0.12640448700611553</v>
      </c>
      <c r="GW102" s="1722">
        <v>14</v>
      </c>
      <c r="GX102" s="1096">
        <v>316331</v>
      </c>
      <c r="GY102" s="1096">
        <v>350203</v>
      </c>
      <c r="GZ102" s="1719">
        <f>GY102-GX102</f>
        <v>33872</v>
      </c>
      <c r="HA102" s="1721">
        <f>GZ102/GY102</f>
        <v>9.6721044651245133E-2</v>
      </c>
      <c r="HB102" s="1722">
        <v>15</v>
      </c>
      <c r="HC102" s="1096">
        <v>357202</v>
      </c>
      <c r="HD102" s="1096">
        <v>374196.5</v>
      </c>
      <c r="HE102" s="1719">
        <f>HD102-HC102</f>
        <v>16994.5</v>
      </c>
      <c r="HF102" s="1721">
        <f>HE102/HD102</f>
        <v>4.5415977968794471E-2</v>
      </c>
      <c r="HG102" s="1722">
        <v>15</v>
      </c>
      <c r="HH102" s="1096">
        <v>339191</v>
      </c>
      <c r="HI102" s="1096">
        <v>365000</v>
      </c>
      <c r="HJ102" s="1719">
        <f>HI102-HH102</f>
        <v>25809</v>
      </c>
      <c r="HK102" s="1721">
        <f>HJ102/HI102</f>
        <v>7.0709589041095894E-2</v>
      </c>
      <c r="HL102" s="1722">
        <v>15</v>
      </c>
      <c r="HM102" s="1096">
        <v>340839</v>
      </c>
      <c r="HN102" s="1096">
        <v>372154.5</v>
      </c>
      <c r="HO102" s="1719">
        <f>HN102-HM102</f>
        <v>31315.5</v>
      </c>
      <c r="HP102" s="1721">
        <f>HO102/HN102</f>
        <v>8.4146503669846801E-2</v>
      </c>
      <c r="HQ102" s="594">
        <v>15</v>
      </c>
      <c r="HR102" s="264">
        <v>340839</v>
      </c>
      <c r="HS102" s="264">
        <v>371644</v>
      </c>
      <c r="HT102" s="264">
        <f>HS102-HR102</f>
        <v>30805</v>
      </c>
      <c r="HU102" s="1933">
        <f>HT102/HS102</f>
        <v>8.2888463152909778E-2</v>
      </c>
      <c r="HV102" s="1827">
        <f>(FN102+FS102+FX102+GC102+GH102+GM102+GR102+GW102+HB102+HG102+HL102+HQ102)/12</f>
        <v>13.25</v>
      </c>
      <c r="HW102" s="1089">
        <f t="shared" ref="HW102:HY104" si="431">FO102+FT102+FY102+GD102+GI102+GN102+GS102+GX102+HC102+HH102+HM102+HR102</f>
        <v>3885613</v>
      </c>
      <c r="HX102" s="1089">
        <f t="shared" si="431"/>
        <v>4308612.5</v>
      </c>
      <c r="HY102" s="1089">
        <f t="shared" si="431"/>
        <v>422999.5</v>
      </c>
      <c r="HZ102" s="4952"/>
      <c r="IA102" s="1934">
        <f>(FN102+FS102+FX102)/3</f>
        <v>12.333333333333334</v>
      </c>
      <c r="IB102" s="1855">
        <f>FP102+FU102+FZ102</f>
        <v>1060308.5</v>
      </c>
      <c r="IC102" s="1855">
        <f>FQ102+FV102+GA102</f>
        <v>112958.5</v>
      </c>
      <c r="ID102" s="1856">
        <f>IC102/IB102</f>
        <v>0.10653361733872736</v>
      </c>
      <c r="IE102" s="1857">
        <f>(GC102+GH102+GM102)/3</f>
        <v>12</v>
      </c>
      <c r="IF102" s="1858">
        <f>(GE102+GJ102+GO102)</f>
        <v>1034273</v>
      </c>
      <c r="IG102" s="1854">
        <f>(GF102+GK102+GP102)</f>
        <v>123106</v>
      </c>
      <c r="IH102" s="1856">
        <f>IG102/IF102</f>
        <v>0.11902660129385569</v>
      </c>
      <c r="II102" s="1859">
        <f>(GR102+GW102+HB102)/3</f>
        <v>13.666666666666666</v>
      </c>
      <c r="IJ102" s="1727">
        <f>(GT102+GY102+HD102)</f>
        <v>1105232.5</v>
      </c>
      <c r="IK102" s="1727">
        <f>(GU102+GZ102+HE102)</f>
        <v>99005.5</v>
      </c>
      <c r="IL102" s="151">
        <f>IK102/IJ102</f>
        <v>8.9578889509673298E-2</v>
      </c>
      <c r="IM102" s="1860">
        <f>(HB102+HG102+HL102)/3</f>
        <v>15</v>
      </c>
      <c r="IN102" s="1727">
        <f>(HI102+HN102+HS102)</f>
        <v>1108798.5</v>
      </c>
      <c r="IO102" s="1727">
        <f>(HJ102+HO102+HT102)</f>
        <v>87929.5</v>
      </c>
      <c r="IP102" s="1861">
        <f>IO102/IN102</f>
        <v>7.9301604394306086E-2</v>
      </c>
      <c r="IQ102" s="69"/>
      <c r="IR102" s="1840">
        <v>15</v>
      </c>
      <c r="IS102" s="1818">
        <v>340555</v>
      </c>
      <c r="IT102" s="1818">
        <v>372400</v>
      </c>
      <c r="IU102" s="1818">
        <f>IT102-IS102</f>
        <v>31845</v>
      </c>
      <c r="IV102" s="1819">
        <f>IU102/IT102</f>
        <v>8.5512889366272826E-2</v>
      </c>
      <c r="IW102" s="1820">
        <v>15</v>
      </c>
      <c r="IX102" s="1818">
        <v>341352</v>
      </c>
      <c r="IY102" s="1818">
        <v>372400</v>
      </c>
      <c r="IZ102" s="1818">
        <f>IY102-IX102</f>
        <v>31048</v>
      </c>
      <c r="JA102" s="1821">
        <f>IZ102/IY102</f>
        <v>8.337271750805586E-2</v>
      </c>
      <c r="JB102" s="1984"/>
      <c r="JC102" s="1985"/>
      <c r="JD102" s="1986"/>
      <c r="JE102" s="1818"/>
      <c r="JF102" s="1821"/>
      <c r="JG102" s="1758"/>
      <c r="JH102" s="1096">
        <v>0</v>
      </c>
      <c r="JI102" s="1096">
        <v>0</v>
      </c>
      <c r="JJ102" s="1756">
        <f>JI102-JH102</f>
        <v>0</v>
      </c>
      <c r="JK102" s="1721"/>
      <c r="JL102" s="1722">
        <v>16</v>
      </c>
      <c r="JM102" s="1096">
        <v>1047238</v>
      </c>
      <c r="JN102" s="1096">
        <v>1141558.264</v>
      </c>
      <c r="JO102" s="1845">
        <f>JN102-JM102</f>
        <v>94320.263999999966</v>
      </c>
      <c r="JP102" s="1721">
        <f>JO102/JN102</f>
        <v>8.2624134899171447E-2</v>
      </c>
      <c r="JQ102" s="1844"/>
      <c r="JR102" s="972">
        <v>0</v>
      </c>
      <c r="JS102" s="264">
        <v>0</v>
      </c>
      <c r="JT102" s="1845">
        <f>JS102-JR102</f>
        <v>0</v>
      </c>
      <c r="JU102" s="1721"/>
      <c r="JV102" s="1758"/>
      <c r="JW102" s="1096">
        <v>0</v>
      </c>
      <c r="JX102" s="264">
        <v>0</v>
      </c>
      <c r="JY102" s="1845">
        <f>JX102-JW102</f>
        <v>0</v>
      </c>
      <c r="JZ102" s="1721"/>
      <c r="KA102" s="1758">
        <v>15</v>
      </c>
      <c r="KB102" s="1248">
        <v>1355975</v>
      </c>
      <c r="KC102" s="1982">
        <v>1444331.97</v>
      </c>
      <c r="KD102" s="1983">
        <f>KC102-KB102</f>
        <v>88356.969999999972</v>
      </c>
      <c r="KE102" s="1848">
        <f>KD102/KC102</f>
        <v>6.1174973506956283E-2</v>
      </c>
      <c r="KF102" s="1758"/>
      <c r="KG102" s="264">
        <v>0</v>
      </c>
      <c r="KH102" s="1096">
        <v>0</v>
      </c>
      <c r="KI102" s="1719">
        <f>KH102-KG102</f>
        <v>0</v>
      </c>
      <c r="KJ102" s="1721"/>
      <c r="KK102" s="1758"/>
      <c r="KL102" s="1850"/>
      <c r="KM102" s="1096"/>
      <c r="KN102" s="1851"/>
      <c r="KO102" s="1852"/>
      <c r="KP102" s="1823">
        <v>13</v>
      </c>
      <c r="KQ102" s="1982">
        <v>1297582</v>
      </c>
      <c r="KR102" s="1248">
        <v>1448678</v>
      </c>
      <c r="KS102" s="1996">
        <f>KR102-KQ102</f>
        <v>151096</v>
      </c>
      <c r="KT102" s="1819">
        <f>KS102/KR102</f>
        <v>0.10429923005664475</v>
      </c>
      <c r="KU102" s="1853"/>
      <c r="KV102" s="264"/>
      <c r="KW102" s="264"/>
      <c r="KX102" s="264"/>
      <c r="KY102" s="75"/>
      <c r="KZ102" s="1857"/>
      <c r="LA102" s="358">
        <f t="shared" ref="LA102:LC104" si="432">IS102+IX102+JC102+JH102+JM102+JR102+JW102+KB102+KG102+KL102+KQ102+KV102</f>
        <v>4382702</v>
      </c>
      <c r="LB102" s="358">
        <f t="shared" si="432"/>
        <v>4779368.2340000002</v>
      </c>
      <c r="LC102" s="358">
        <f t="shared" si="432"/>
        <v>396666.23399999994</v>
      </c>
      <c r="LD102" s="151">
        <f>LC102/LB102</f>
        <v>8.2995537187980556E-2</v>
      </c>
      <c r="LE102" s="1854">
        <f>(IR102+IW102+JB102)/3</f>
        <v>10</v>
      </c>
      <c r="LF102" s="1855">
        <f t="shared" ref="LF102:LG104" si="433">IT102+IY102+JD102</f>
        <v>744800</v>
      </c>
      <c r="LG102" s="1855">
        <f t="shared" si="433"/>
        <v>62893</v>
      </c>
      <c r="LH102" s="1856">
        <f>LG102/LF102</f>
        <v>8.4442803437164343E-2</v>
      </c>
      <c r="LI102" s="1857">
        <f>(JG102+JL102+JQ102)/3</f>
        <v>5.333333333333333</v>
      </c>
      <c r="LJ102" s="1858">
        <f t="shared" ref="LJ102:LK104" si="434">(JI102+JN102+JS102)</f>
        <v>1141558.264</v>
      </c>
      <c r="LK102" s="1854">
        <f t="shared" si="434"/>
        <v>94320.263999999966</v>
      </c>
      <c r="LL102" s="1856">
        <f>LK102/LJ102</f>
        <v>8.2624134899171447E-2</v>
      </c>
      <c r="LM102" s="1859">
        <f>(JV102+KA102+KF102)/3</f>
        <v>5</v>
      </c>
      <c r="LN102" s="1727">
        <f t="shared" ref="LN102:LO104" si="435">(JX102+KC102+KH102)</f>
        <v>1444331.97</v>
      </c>
      <c r="LO102" s="1727">
        <f t="shared" si="435"/>
        <v>88356.969999999972</v>
      </c>
      <c r="LP102" s="151">
        <f>LO102/LN102</f>
        <v>6.1174973506956283E-2</v>
      </c>
      <c r="LQ102" s="1860">
        <f>(KK102+KP102+KU102)/3</f>
        <v>4.333333333333333</v>
      </c>
      <c r="LR102" s="1727">
        <f t="shared" ref="LR102:LS104" si="436">(KM102+KR102+KW102)</f>
        <v>1448678</v>
      </c>
      <c r="LS102" s="1727">
        <f t="shared" si="436"/>
        <v>151096</v>
      </c>
      <c r="LT102" s="1861">
        <f>LS102/LR102</f>
        <v>0.10429923005664475</v>
      </c>
      <c r="LU102" s="63"/>
      <c r="LV102" s="401">
        <v>14</v>
      </c>
      <c r="LW102" s="395">
        <f>395963</f>
        <v>395963</v>
      </c>
      <c r="LX102" s="395">
        <v>440000</v>
      </c>
      <c r="LY102" s="115">
        <f>LX102-LW102</f>
        <v>44037</v>
      </c>
      <c r="LZ102" s="186">
        <f>LY102/LX102</f>
        <v>0.10008409090909091</v>
      </c>
      <c r="MA102" s="2738">
        <v>13</v>
      </c>
      <c r="MB102" s="622">
        <f>372766</f>
        <v>372766</v>
      </c>
      <c r="MC102" s="622">
        <v>420000</v>
      </c>
      <c r="MD102" s="372">
        <f>MC102-MB102</f>
        <v>47234</v>
      </c>
      <c r="ME102" s="207">
        <f>MD102/MC102</f>
        <v>0.11246190476190476</v>
      </c>
      <c r="MF102" s="439">
        <v>13</v>
      </c>
      <c r="MG102" s="208">
        <v>384368.83333333331</v>
      </c>
      <c r="MH102" s="622">
        <v>411343.92</v>
      </c>
      <c r="MI102" s="371">
        <f>MH102-MG102</f>
        <v>26975.08666666667</v>
      </c>
      <c r="MJ102" s="157">
        <f>MI102/MH102</f>
        <v>6.5577939420294995E-2</v>
      </c>
      <c r="MK102" s="354"/>
      <c r="ML102" s="208">
        <v>0</v>
      </c>
      <c r="MM102" s="622">
        <v>0</v>
      </c>
      <c r="MN102" s="371">
        <f>MM102-ML102</f>
        <v>0</v>
      </c>
      <c r="MO102" s="157"/>
      <c r="MP102" s="1579"/>
      <c r="MQ102" s="264">
        <v>0</v>
      </c>
      <c r="MR102" s="264">
        <v>0</v>
      </c>
      <c r="MS102" s="264">
        <f>MR102-MQ102</f>
        <v>0</v>
      </c>
      <c r="MT102" s="597"/>
      <c r="MU102" s="209">
        <v>15</v>
      </c>
      <c r="MV102" s="208">
        <v>1234484</v>
      </c>
      <c r="MW102" s="208">
        <v>1333953.3600000001</v>
      </c>
      <c r="MX102" s="208">
        <f>MW102-MV102</f>
        <v>99469.360000000102</v>
      </c>
      <c r="MY102" s="597">
        <f>MX102/MW102</f>
        <v>7.4567344693370757E-2</v>
      </c>
      <c r="MZ102" s="209"/>
      <c r="NA102" s="208"/>
      <c r="NB102" s="208"/>
      <c r="NC102" s="208"/>
      <c r="ND102" s="1313"/>
      <c r="NE102" s="209"/>
      <c r="NF102" s="208"/>
      <c r="NG102" s="208"/>
      <c r="NH102" s="208"/>
      <c r="NI102" s="1313"/>
      <c r="NJ102" s="209">
        <v>13</v>
      </c>
      <c r="NK102" s="208">
        <v>293862</v>
      </c>
      <c r="NL102" s="208">
        <v>400852</v>
      </c>
      <c r="NM102" s="208">
        <v>106990</v>
      </c>
      <c r="NN102" s="1313">
        <f>NM102/NL102</f>
        <v>0.26690648917805077</v>
      </c>
      <c r="NO102" s="1870">
        <v>12</v>
      </c>
      <c r="NP102" s="1568">
        <v>329400</v>
      </c>
      <c r="NQ102" s="1871">
        <v>355732</v>
      </c>
      <c r="NR102" s="1575">
        <f>NQ102-NP102</f>
        <v>26332</v>
      </c>
      <c r="NS102" s="1313"/>
      <c r="NT102" s="402">
        <v>16</v>
      </c>
      <c r="NU102" s="149">
        <v>331549</v>
      </c>
      <c r="NV102" s="358">
        <v>358073</v>
      </c>
      <c r="NW102" s="208">
        <f>NV102-NU102</f>
        <v>26524</v>
      </c>
      <c r="NX102" s="1313"/>
      <c r="NY102" s="402">
        <v>16</v>
      </c>
      <c r="NZ102" s="358">
        <v>354528</v>
      </c>
      <c r="OA102" s="358">
        <v>348393</v>
      </c>
      <c r="OB102" s="622">
        <f>OA102-NZ102</f>
        <v>-6135</v>
      </c>
      <c r="OC102" s="116">
        <f>OB102/OA102</f>
        <v>-1.7609423840318262E-2</v>
      </c>
      <c r="OD102" s="191">
        <v>16</v>
      </c>
      <c r="OE102" s="358">
        <v>4503700</v>
      </c>
      <c r="OF102" s="358">
        <v>4920336.88</v>
      </c>
      <c r="OG102" s="358">
        <v>416636.88</v>
      </c>
      <c r="OH102" s="220">
        <f>OG102/OF102</f>
        <v>8.4676494752530043E-2</v>
      </c>
      <c r="OI102" s="1863">
        <f>(LV102+MA102+MF102)/3</f>
        <v>13.333333333333334</v>
      </c>
      <c r="OJ102" s="105">
        <f t="shared" ref="OJ102:OL104" si="437">LW102+MB102+MG102</f>
        <v>1153097.8333333333</v>
      </c>
      <c r="OK102" s="105">
        <f t="shared" si="437"/>
        <v>1271343.92</v>
      </c>
      <c r="OL102" s="105">
        <f t="shared" si="437"/>
        <v>118246.08666666667</v>
      </c>
      <c r="OM102" s="106">
        <f>OL102/OK102</f>
        <v>9.3008732575420403E-2</v>
      </c>
      <c r="ON102" s="358">
        <f>(MK102+MP102+MU102)/3</f>
        <v>5</v>
      </c>
      <c r="OO102" s="358">
        <f t="shared" ref="OO102:OQ104" si="438">ML102+MQ102+MV102</f>
        <v>1234484</v>
      </c>
      <c r="OP102" s="358">
        <f t="shared" si="438"/>
        <v>1333953.3600000001</v>
      </c>
      <c r="OQ102" s="359">
        <f t="shared" si="438"/>
        <v>99469.360000000102</v>
      </c>
      <c r="OR102" s="169">
        <f>OQ102/OP102</f>
        <v>7.4567344693370757E-2</v>
      </c>
      <c r="OS102" s="686">
        <f>(NJ102+NE102+MZ102)/3</f>
        <v>4.333333333333333</v>
      </c>
      <c r="OT102" s="146">
        <f t="shared" ref="OT102:OV104" si="439">NK102+NF102+NA102</f>
        <v>293862</v>
      </c>
      <c r="OU102" s="146">
        <f t="shared" si="439"/>
        <v>400852</v>
      </c>
      <c r="OV102" s="1864">
        <f t="shared" si="439"/>
        <v>106990</v>
      </c>
      <c r="OW102" s="203">
        <f>OV102/OU102</f>
        <v>0.26690648917805077</v>
      </c>
      <c r="OX102" s="357">
        <v>16</v>
      </c>
      <c r="OY102" s="358">
        <f t="shared" si="425"/>
        <v>1015477</v>
      </c>
      <c r="OZ102" s="358">
        <f t="shared" si="425"/>
        <v>1062198</v>
      </c>
      <c r="PA102" s="359">
        <f t="shared" si="425"/>
        <v>46721</v>
      </c>
      <c r="PB102" s="114">
        <f>PA102/OZ102</f>
        <v>4.3985208030894431E-2</v>
      </c>
      <c r="PC102" s="79"/>
      <c r="PD102" s="439">
        <v>14</v>
      </c>
      <c r="PE102" s="994">
        <v>312862</v>
      </c>
      <c r="PF102" s="208">
        <v>348000</v>
      </c>
      <c r="PG102" s="96">
        <f>PF102-PE102</f>
        <v>35138</v>
      </c>
      <c r="PH102" s="78">
        <f>PG102/PF102</f>
        <v>0.10097126436781609</v>
      </c>
      <c r="PI102" s="156">
        <v>14</v>
      </c>
      <c r="PJ102" s="208">
        <v>325333</v>
      </c>
      <c r="PK102" s="208">
        <v>356000</v>
      </c>
      <c r="PL102" s="96">
        <f>PK102-PJ102</f>
        <v>30667</v>
      </c>
      <c r="PM102" s="78">
        <f>PL102/PK102</f>
        <v>8.6143258426966296E-2</v>
      </c>
      <c r="PN102" s="439">
        <v>14</v>
      </c>
      <c r="PO102" s="208">
        <v>320452</v>
      </c>
      <c r="PP102" s="622">
        <v>364207.53</v>
      </c>
      <c r="PQ102" s="371">
        <f>PP102-PO102</f>
        <v>43755.530000000028</v>
      </c>
      <c r="PR102" s="157">
        <f>PQ102/PP102</f>
        <v>0.12013900426495856</v>
      </c>
      <c r="PS102" s="1574">
        <v>15</v>
      </c>
      <c r="PT102" s="208">
        <v>387151</v>
      </c>
      <c r="PU102" s="622">
        <v>440000</v>
      </c>
      <c r="PV102" s="371">
        <f>PU102-PT102</f>
        <v>52849</v>
      </c>
      <c r="PW102" s="157">
        <f>PV102/PU102</f>
        <v>0.12011136363636364</v>
      </c>
      <c r="PX102" s="2080">
        <v>15</v>
      </c>
      <c r="PY102" s="264">
        <v>345471</v>
      </c>
      <c r="PZ102" s="264">
        <v>392000</v>
      </c>
      <c r="QA102" s="1248">
        <f>PZ102-PY102</f>
        <v>46529</v>
      </c>
      <c r="QB102" s="597">
        <f>QA102/PZ102</f>
        <v>0.11869642857142858</v>
      </c>
      <c r="QC102" s="209">
        <v>15</v>
      </c>
      <c r="QD102" s="208">
        <v>345471</v>
      </c>
      <c r="QE102" s="208">
        <v>392000</v>
      </c>
      <c r="QF102" s="208">
        <f>QE102-QD102</f>
        <v>46529</v>
      </c>
      <c r="QG102" s="655">
        <f>QF102/QE102</f>
        <v>0.11869642857142858</v>
      </c>
      <c r="QH102" s="439">
        <v>15</v>
      </c>
      <c r="QI102" s="208">
        <v>328591</v>
      </c>
      <c r="QJ102" s="208">
        <v>380000</v>
      </c>
      <c r="QK102" s="208">
        <f t="shared" si="404"/>
        <v>51409</v>
      </c>
      <c r="QL102" s="1872">
        <f>QK102/QJ102</f>
        <v>0.13528684210526315</v>
      </c>
      <c r="QM102" s="401">
        <v>15</v>
      </c>
      <c r="QN102" s="395">
        <v>307228</v>
      </c>
      <c r="QO102" s="395">
        <v>356000</v>
      </c>
      <c r="QP102" s="395">
        <f t="shared" si="339"/>
        <v>48772</v>
      </c>
      <c r="QQ102" s="2003">
        <f t="shared" si="340"/>
        <v>0.13700000000000001</v>
      </c>
      <c r="QR102" s="209">
        <v>14</v>
      </c>
      <c r="QS102" s="208">
        <v>323770</v>
      </c>
      <c r="QT102" s="208">
        <v>360461.59</v>
      </c>
      <c r="QU102" s="208">
        <f>QT102-QS102</f>
        <v>36691.590000000026</v>
      </c>
      <c r="QV102" s="157">
        <f>QU102/QT102</f>
        <v>0.10179056803250527</v>
      </c>
      <c r="QW102" s="156">
        <v>14</v>
      </c>
      <c r="QX102" s="208">
        <v>352080</v>
      </c>
      <c r="QY102" s="1568">
        <v>357056.19</v>
      </c>
      <c r="QZ102" s="208">
        <f>QY102-QX102</f>
        <v>4976.1900000000023</v>
      </c>
      <c r="RA102" s="157">
        <f>QZ102/QY102</f>
        <v>1.3936713994511626E-2</v>
      </c>
      <c r="RB102" s="209">
        <v>14</v>
      </c>
      <c r="RC102" s="208">
        <v>322377</v>
      </c>
      <c r="RD102" s="1568">
        <v>357056.19</v>
      </c>
      <c r="RE102" s="208">
        <f t="shared" si="343"/>
        <v>34679.19</v>
      </c>
      <c r="RF102" s="114">
        <f>RE102/RD102</f>
        <v>9.7125301202592232E-2</v>
      </c>
      <c r="RG102" s="1857">
        <v>14</v>
      </c>
      <c r="RH102" s="208">
        <v>347403</v>
      </c>
      <c r="RI102" s="208">
        <v>357056.19</v>
      </c>
      <c r="RJ102" s="772">
        <f t="shared" si="369"/>
        <v>9653.1900000000023</v>
      </c>
      <c r="RK102" s="116">
        <f t="shared" si="345"/>
        <v>2.7035492648930137E-2</v>
      </c>
      <c r="RL102" s="1567">
        <v>14</v>
      </c>
      <c r="RM102" s="1568">
        <f t="shared" si="426"/>
        <v>4018189</v>
      </c>
      <c r="RN102" s="1568">
        <f t="shared" si="426"/>
        <v>4459837.6900000004</v>
      </c>
      <c r="RO102" s="1568">
        <f t="shared" si="426"/>
        <v>441648.69000000006</v>
      </c>
      <c r="RP102" s="220">
        <f t="shared" si="347"/>
        <v>9.9027973818482176E-2</v>
      </c>
      <c r="RQ102" s="1863">
        <f>(PD102+PI102+PN102)/3</f>
        <v>14</v>
      </c>
      <c r="RR102" s="105">
        <f t="shared" si="427"/>
        <v>958647</v>
      </c>
      <c r="RS102" s="105">
        <f t="shared" si="427"/>
        <v>1068207.53</v>
      </c>
      <c r="RT102" s="105">
        <f t="shared" si="427"/>
        <v>109560.53000000003</v>
      </c>
      <c r="RU102" s="106">
        <f>RT102/RS102</f>
        <v>0.10256483587978454</v>
      </c>
      <c r="RV102" s="358">
        <v>15</v>
      </c>
      <c r="RW102" s="358">
        <f t="shared" si="428"/>
        <v>1078093</v>
      </c>
      <c r="RX102" s="358">
        <f t="shared" si="428"/>
        <v>1224000</v>
      </c>
      <c r="RY102" s="359">
        <f t="shared" si="428"/>
        <v>145907</v>
      </c>
      <c r="RZ102" s="169">
        <f t="shared" si="362"/>
        <v>0.11920506535947713</v>
      </c>
      <c r="SA102" s="686">
        <v>14</v>
      </c>
      <c r="SB102" s="146">
        <f t="shared" si="374"/>
        <v>959589</v>
      </c>
      <c r="SC102" s="146">
        <f t="shared" si="374"/>
        <v>1096461.5900000001</v>
      </c>
      <c r="SD102" s="1864">
        <f t="shared" si="374"/>
        <v>136872.59000000003</v>
      </c>
      <c r="SE102" s="203">
        <f t="shared" si="370"/>
        <v>0.12483117625670774</v>
      </c>
      <c r="SF102" s="1567">
        <v>14</v>
      </c>
      <c r="SG102" s="358">
        <f t="shared" si="421"/>
        <v>1021860</v>
      </c>
      <c r="SH102" s="358">
        <f t="shared" si="421"/>
        <v>1071168.57</v>
      </c>
      <c r="SI102" s="359">
        <f t="shared" si="421"/>
        <v>49308.570000000007</v>
      </c>
      <c r="SJ102" s="114">
        <f t="shared" si="294"/>
        <v>4.6032502615344667E-2</v>
      </c>
      <c r="SK102" s="63"/>
      <c r="SL102" s="439">
        <v>14</v>
      </c>
      <c r="SM102" s="994">
        <v>344474</v>
      </c>
      <c r="SN102" s="208">
        <v>376045</v>
      </c>
      <c r="SO102" s="96">
        <f t="shared" si="264"/>
        <v>31571</v>
      </c>
      <c r="SP102" s="78">
        <f t="shared" si="375"/>
        <v>8.3955377680862669E-2</v>
      </c>
      <c r="SQ102" s="156">
        <v>14</v>
      </c>
      <c r="SR102" s="208">
        <v>345428</v>
      </c>
      <c r="SS102" s="208">
        <v>376045</v>
      </c>
      <c r="ST102" s="96">
        <f t="shared" ref="ST102:ST119" si="440">SS102-SR102</f>
        <v>30617</v>
      </c>
      <c r="SU102" s="78">
        <f>ST102/SS102</f>
        <v>8.1418447260301299E-2</v>
      </c>
      <c r="SV102" s="439">
        <v>16</v>
      </c>
      <c r="SW102" s="208">
        <v>396668</v>
      </c>
      <c r="SX102" s="622">
        <v>376378</v>
      </c>
      <c r="SY102" s="371">
        <f>SX102-SW102</f>
        <v>-20290</v>
      </c>
      <c r="SZ102" s="157">
        <f>SY102/SX102</f>
        <v>-5.3908570639091553E-2</v>
      </c>
      <c r="TA102" s="1574">
        <v>17</v>
      </c>
      <c r="TB102" s="208">
        <v>434650</v>
      </c>
      <c r="TC102" s="994">
        <v>449942</v>
      </c>
      <c r="TD102" s="96">
        <f t="shared" si="280"/>
        <v>15292</v>
      </c>
      <c r="TE102" s="94">
        <f t="shared" si="295"/>
        <v>3.3986602717683612E-2</v>
      </c>
      <c r="TF102" s="1574">
        <v>15</v>
      </c>
      <c r="TG102" s="208">
        <v>410429</v>
      </c>
      <c r="TH102" s="208">
        <v>449942</v>
      </c>
      <c r="TI102" s="395">
        <f>TH102-TG102</f>
        <v>39513</v>
      </c>
      <c r="TJ102" s="114">
        <f t="shared" si="296"/>
        <v>8.7817985429233095E-2</v>
      </c>
      <c r="TK102" s="209">
        <v>15</v>
      </c>
      <c r="TL102" s="208">
        <v>431996</v>
      </c>
      <c r="TM102" s="208">
        <v>449942</v>
      </c>
      <c r="TN102" s="395">
        <f>TM102-TL102</f>
        <v>17946</v>
      </c>
      <c r="TO102" s="114">
        <f>TN102/TM102</f>
        <v>3.9885140751474632E-2</v>
      </c>
      <c r="TP102" s="4432">
        <v>15</v>
      </c>
      <c r="TQ102" s="208">
        <v>427560</v>
      </c>
      <c r="TR102" s="208">
        <v>475000</v>
      </c>
      <c r="TS102" s="994">
        <f t="shared" si="352"/>
        <v>47440</v>
      </c>
      <c r="TT102" s="114">
        <f t="shared" si="365"/>
        <v>9.9873684210526309E-2</v>
      </c>
      <c r="TU102" s="4434">
        <v>13</v>
      </c>
      <c r="TV102" s="395">
        <v>376000</v>
      </c>
      <c r="TW102" s="395">
        <v>425000</v>
      </c>
      <c r="TX102" s="772">
        <f t="shared" ref="TX102:TX107" si="441">TW102-TV102</f>
        <v>49000</v>
      </c>
      <c r="TY102" s="116">
        <f t="shared" si="366"/>
        <v>0.11529411764705882</v>
      </c>
      <c r="TZ102" s="209">
        <v>12</v>
      </c>
      <c r="UA102" s="208">
        <v>328045</v>
      </c>
      <c r="UB102" s="208">
        <v>414710</v>
      </c>
      <c r="UC102" s="772">
        <f t="shared" ref="UC102:UC107" si="442">UB102-UA102</f>
        <v>86665</v>
      </c>
      <c r="UD102" s="116">
        <f t="shared" si="395"/>
        <v>0.20897735767162595</v>
      </c>
      <c r="UE102" s="1868">
        <v>12</v>
      </c>
      <c r="UF102" s="1575">
        <v>330541</v>
      </c>
      <c r="UG102" s="1575">
        <v>400000</v>
      </c>
      <c r="UH102" s="1575">
        <f t="shared" si="322"/>
        <v>69459</v>
      </c>
      <c r="UI102" s="6495">
        <f t="shared" si="367"/>
        <v>0.17364750000000001</v>
      </c>
      <c r="UJ102" s="209"/>
      <c r="UK102" s="208"/>
      <c r="UL102" s="1568"/>
      <c r="UM102" s="208">
        <f t="shared" si="429"/>
        <v>0</v>
      </c>
      <c r="UN102" s="114" t="e">
        <f>UM102/UL102</f>
        <v>#DIV/0!</v>
      </c>
      <c r="UO102" s="1567"/>
      <c r="UP102" s="1568"/>
      <c r="UQ102" s="1568"/>
      <c r="UR102" s="1873">
        <f t="shared" si="323"/>
        <v>0</v>
      </c>
      <c r="US102" s="116" t="e">
        <f>UR102/UQ102</f>
        <v>#DIV/0!</v>
      </c>
      <c r="UT102" s="1567"/>
      <c r="UU102" s="358">
        <f t="shared" si="371"/>
        <v>3825791</v>
      </c>
      <c r="UV102" s="358">
        <f t="shared" si="371"/>
        <v>4193004</v>
      </c>
      <c r="UW102" s="358">
        <f t="shared" si="371"/>
        <v>367213</v>
      </c>
      <c r="UX102" s="220">
        <f t="shared" si="358"/>
        <v>8.757754583587328E-2</v>
      </c>
      <c r="UY102" s="4441">
        <f t="shared" si="324"/>
        <v>14.666666666666666</v>
      </c>
      <c r="UZ102" s="4442">
        <f t="shared" si="424"/>
        <v>1086570</v>
      </c>
      <c r="VA102" s="4442">
        <f t="shared" si="424"/>
        <v>1128468</v>
      </c>
      <c r="VB102" s="4442">
        <f t="shared" si="424"/>
        <v>41898</v>
      </c>
      <c r="VC102" s="4443">
        <f t="shared" si="325"/>
        <v>3.7128212762789908E-2</v>
      </c>
      <c r="VD102" s="4438"/>
      <c r="VE102" s="4438">
        <f t="shared" si="423"/>
        <v>1277075</v>
      </c>
      <c r="VF102" s="4438">
        <f t="shared" si="423"/>
        <v>1349826</v>
      </c>
      <c r="VG102" s="4444">
        <f t="shared" si="423"/>
        <v>72751</v>
      </c>
      <c r="VH102" s="4445">
        <f t="shared" si="372"/>
        <v>5.3896576299463782E-2</v>
      </c>
      <c r="VI102" s="4446"/>
      <c r="VJ102" s="146">
        <f t="shared" si="373"/>
        <v>1131605</v>
      </c>
      <c r="VK102" s="146">
        <f t="shared" si="373"/>
        <v>1314710</v>
      </c>
      <c r="VL102" s="1864">
        <f t="shared" si="373"/>
        <v>183105</v>
      </c>
      <c r="VM102" s="4447">
        <f>VL102/VK102</f>
        <v>0.13927406043918431</v>
      </c>
      <c r="VN102" s="4449"/>
      <c r="VO102" s="4438">
        <f t="shared" si="368"/>
        <v>330541</v>
      </c>
      <c r="VP102" s="4438">
        <f t="shared" si="361"/>
        <v>400000</v>
      </c>
      <c r="VQ102" s="4444">
        <f t="shared" si="361"/>
        <v>69459</v>
      </c>
      <c r="VR102" s="4448">
        <f>VQ102/VP102</f>
        <v>0.17364750000000001</v>
      </c>
    </row>
    <row r="103" spans="1:745" s="4451" customFormat="1" ht="15.05" customHeight="1" x14ac:dyDescent="0.3">
      <c r="A103" s="4450"/>
      <c r="B103" s="1773" t="s">
        <v>53</v>
      </c>
      <c r="C103" s="4124" t="s">
        <v>77</v>
      </c>
      <c r="D103" s="1992" t="s">
        <v>78</v>
      </c>
      <c r="E103" s="2591">
        <v>44203</v>
      </c>
      <c r="F103" s="1993">
        <v>46203</v>
      </c>
      <c r="G103" s="1994">
        <v>340000</v>
      </c>
      <c r="H103" s="1890"/>
      <c r="I103" s="1886"/>
      <c r="J103" s="1886"/>
      <c r="K103" s="1886"/>
      <c r="L103" s="1891"/>
      <c r="M103" s="1890"/>
      <c r="N103" s="1886"/>
      <c r="O103" s="1886"/>
      <c r="P103" s="1886"/>
      <c r="Q103" s="1891"/>
      <c r="R103" s="1890"/>
      <c r="S103" s="1886"/>
      <c r="T103" s="1886"/>
      <c r="U103" s="1886"/>
      <c r="V103" s="1891"/>
      <c r="W103" s="1890"/>
      <c r="X103" s="1886"/>
      <c r="Y103" s="1886"/>
      <c r="Z103" s="1886"/>
      <c r="AA103" s="1897"/>
      <c r="AB103" s="1890"/>
      <c r="AC103" s="1886"/>
      <c r="AD103" s="1886"/>
      <c r="AE103" s="1886"/>
      <c r="AF103" s="1897"/>
      <c r="AG103" s="1886"/>
      <c r="AH103" s="1886"/>
      <c r="AI103" s="1886"/>
      <c r="AJ103" s="1886"/>
      <c r="AK103" s="1891"/>
      <c r="AL103" s="1886"/>
      <c r="AM103" s="1886"/>
      <c r="AN103" s="1886"/>
      <c r="AO103" s="1886"/>
      <c r="AP103" s="1891"/>
      <c r="AQ103" s="1886"/>
      <c r="AR103" s="1886"/>
      <c r="AS103" s="1886"/>
      <c r="AT103" s="1886"/>
      <c r="AU103" s="1891"/>
      <c r="AV103" s="4953"/>
      <c r="AW103" s="1886"/>
      <c r="AX103" s="1886"/>
      <c r="AY103" s="1886"/>
      <c r="AZ103" s="1897"/>
      <c r="BA103" s="4953"/>
      <c r="BB103" s="1886"/>
      <c r="BC103" s="1886"/>
      <c r="BD103" s="1886"/>
      <c r="BE103" s="1897"/>
      <c r="BF103" s="4953"/>
      <c r="BG103" s="1886"/>
      <c r="BH103" s="1886"/>
      <c r="BI103" s="1886"/>
      <c r="BJ103" s="1897"/>
      <c r="BK103" s="4953"/>
      <c r="BL103" s="1886"/>
      <c r="BM103" s="1886"/>
      <c r="BN103" s="1886"/>
      <c r="BO103" s="1897"/>
      <c r="BP103" s="4954"/>
      <c r="BQ103" s="1886"/>
      <c r="BR103" s="1886"/>
      <c r="BS103" s="1886"/>
      <c r="BT103" s="4955"/>
      <c r="BU103" s="1886"/>
      <c r="BV103" s="1886"/>
      <c r="BW103" s="1892"/>
      <c r="BX103" s="4955"/>
      <c r="BY103" s="1886"/>
      <c r="BZ103" s="1886"/>
      <c r="CA103" s="1140"/>
      <c r="CB103" s="1886"/>
      <c r="CC103" s="1886"/>
      <c r="CD103" s="1886"/>
      <c r="CE103" s="1886"/>
      <c r="CF103" s="4955"/>
      <c r="CG103" s="1886"/>
      <c r="CH103" s="1886"/>
      <c r="CI103" s="1140"/>
      <c r="CJ103" s="1885"/>
      <c r="CK103" s="1886"/>
      <c r="CL103" s="1886"/>
      <c r="CM103" s="1886"/>
      <c r="CN103" s="1892"/>
      <c r="CO103" s="1885"/>
      <c r="CP103" s="1890"/>
      <c r="CQ103" s="1890"/>
      <c r="CR103" s="1890"/>
      <c r="CS103" s="1892"/>
      <c r="CT103" s="1885"/>
      <c r="CU103" s="1886"/>
      <c r="CV103" s="1886"/>
      <c r="CW103" s="1886"/>
      <c r="CX103" s="1892"/>
      <c r="CY103" s="1885"/>
      <c r="CZ103" s="1886"/>
      <c r="DA103" s="1886"/>
      <c r="DB103" s="1886"/>
      <c r="DC103" s="1892"/>
      <c r="DD103" s="1885"/>
      <c r="DE103" s="1886"/>
      <c r="DF103" s="1886"/>
      <c r="DG103" s="1886"/>
      <c r="DH103" s="1887"/>
      <c r="DI103" s="1885"/>
      <c r="DJ103" s="1886"/>
      <c r="DK103" s="1886"/>
      <c r="DL103" s="1886"/>
      <c r="DM103" s="1887"/>
      <c r="DN103" s="1885"/>
      <c r="DO103" s="1886"/>
      <c r="DP103" s="1886"/>
      <c r="DQ103" s="1886"/>
      <c r="DR103" s="1887"/>
      <c r="DS103" s="1885"/>
      <c r="DT103" s="1886"/>
      <c r="DU103" s="1886"/>
      <c r="DV103" s="1886"/>
      <c r="DW103" s="1887"/>
      <c r="DX103" s="1885"/>
      <c r="DY103" s="1886"/>
      <c r="DZ103" s="1886"/>
      <c r="EA103" s="1886"/>
      <c r="EB103" s="1887"/>
      <c r="EC103" s="1885"/>
      <c r="ED103" s="1886"/>
      <c r="EE103" s="1886"/>
      <c r="EF103" s="1886"/>
      <c r="EG103" s="1887"/>
      <c r="EH103" s="1885"/>
      <c r="EI103" s="1886"/>
      <c r="EJ103" s="1886"/>
      <c r="EK103" s="1886"/>
      <c r="EL103" s="1887"/>
      <c r="EM103" s="1888"/>
      <c r="EN103" s="1889"/>
      <c r="EO103" s="1889"/>
      <c r="EP103" s="1889"/>
      <c r="EQ103" s="166"/>
      <c r="ER103" s="1713">
        <f>(CJ103+CO103+CT103+CY103+DD103+DI103+DN103+DS103+DX103+EC103+EH103+EM103)/12</f>
        <v>0</v>
      </c>
      <c r="ES103" s="1714">
        <f t="shared" si="430"/>
        <v>0</v>
      </c>
      <c r="ET103" s="1714">
        <f t="shared" si="430"/>
        <v>0</v>
      </c>
      <c r="EU103" s="1714">
        <f t="shared" si="430"/>
        <v>0</v>
      </c>
      <c r="EV103" s="1715" t="e">
        <f>EU103/ET103</f>
        <v>#DIV/0!</v>
      </c>
      <c r="EW103" s="1890"/>
      <c r="EX103" s="1890"/>
      <c r="EY103" s="1890"/>
      <c r="EZ103" s="1891"/>
      <c r="FA103" s="1885"/>
      <c r="FB103" s="1890"/>
      <c r="FC103" s="1890"/>
      <c r="FD103" s="1892"/>
      <c r="FE103" s="1890"/>
      <c r="FF103" s="1890"/>
      <c r="FG103" s="1890"/>
      <c r="FH103" s="1891"/>
      <c r="FI103" s="1893"/>
      <c r="FJ103" s="1894"/>
      <c r="FK103" s="1895"/>
      <c r="FL103" s="1895"/>
      <c r="FM103" s="1896"/>
      <c r="FN103" s="1890"/>
      <c r="FO103" s="1886"/>
      <c r="FP103" s="1886"/>
      <c r="FQ103" s="1886"/>
      <c r="FR103" s="1897"/>
      <c r="FS103" s="1888"/>
      <c r="FT103" s="1889"/>
      <c r="FU103" s="1889"/>
      <c r="FV103" s="1889"/>
      <c r="FW103" s="1898"/>
      <c r="FX103" s="1885"/>
      <c r="FY103" s="1886"/>
      <c r="FZ103" s="1886"/>
      <c r="GA103" s="1889"/>
      <c r="GB103" s="1898"/>
      <c r="GC103" s="1899"/>
      <c r="GD103" s="1900"/>
      <c r="GE103" s="1900"/>
      <c r="GF103" s="1889"/>
      <c r="GG103" s="166"/>
      <c r="GH103" s="1901"/>
      <c r="GI103" s="1824"/>
      <c r="GJ103" s="1824"/>
      <c r="GK103" s="1902"/>
      <c r="GL103" s="1898"/>
      <c r="GM103" s="1901"/>
      <c r="GN103" s="1824"/>
      <c r="GO103" s="1824"/>
      <c r="GP103" s="1902"/>
      <c r="GQ103" s="1898"/>
      <c r="GR103" s="1903"/>
      <c r="GS103" s="1904"/>
      <c r="GT103" s="1904"/>
      <c r="GU103" s="1902"/>
      <c r="GV103" s="1898"/>
      <c r="GW103" s="1903"/>
      <c r="GX103" s="1904"/>
      <c r="GY103" s="1904"/>
      <c r="GZ103" s="1902"/>
      <c r="HA103" s="1898"/>
      <c r="HB103" s="1903"/>
      <c r="HC103" s="1904"/>
      <c r="HD103" s="1904"/>
      <c r="HE103" s="1902"/>
      <c r="HF103" s="1898"/>
      <c r="HG103" s="1903"/>
      <c r="HH103" s="1904"/>
      <c r="HI103" s="1904"/>
      <c r="HJ103" s="1818"/>
      <c r="HK103" s="1898"/>
      <c r="HL103" s="1903"/>
      <c r="HM103" s="1904"/>
      <c r="HN103" s="1904"/>
      <c r="HO103" s="715"/>
      <c r="HP103" s="166"/>
      <c r="HQ103" s="1905"/>
      <c r="HR103" s="1248"/>
      <c r="HS103" s="1248"/>
      <c r="HT103" s="1248"/>
      <c r="HU103" s="1826"/>
      <c r="HV103" s="1827">
        <f>(FN103+FS103+FX103+GC103+GH103+GM103+GR103+GW103+HB103+HG103+HL103+HQ103)/12</f>
        <v>0</v>
      </c>
      <c r="HW103" s="1089">
        <f t="shared" si="431"/>
        <v>0</v>
      </c>
      <c r="HX103" s="1089">
        <f t="shared" si="431"/>
        <v>0</v>
      </c>
      <c r="HY103" s="1089">
        <f t="shared" si="431"/>
        <v>0</v>
      </c>
      <c r="HZ103" s="1906"/>
      <c r="IA103" s="1907"/>
      <c r="IB103" s="1908"/>
      <c r="IC103" s="1908"/>
      <c r="ID103" s="1909"/>
      <c r="IE103" s="1910"/>
      <c r="IF103" s="1911"/>
      <c r="IG103" s="1912"/>
      <c r="IH103" s="1909"/>
      <c r="II103" s="1835"/>
      <c r="IJ103" s="1836"/>
      <c r="IK103" s="1836"/>
      <c r="IL103" s="693"/>
      <c r="IM103" s="1913"/>
      <c r="IN103" s="1836"/>
      <c r="IO103" s="1836"/>
      <c r="IP103" s="1838"/>
      <c r="IQ103" s="1914"/>
      <c r="IR103" s="1915"/>
      <c r="IS103" s="1916"/>
      <c r="IT103" s="1916"/>
      <c r="IU103" s="1917"/>
      <c r="IV103" s="1918"/>
      <c r="IW103" s="1919"/>
      <c r="IX103" s="1920"/>
      <c r="IY103" s="1921"/>
      <c r="IZ103" s="1719"/>
      <c r="JA103" s="1721"/>
      <c r="JB103" s="1922"/>
      <c r="JC103" s="1923"/>
      <c r="JD103" s="1924"/>
      <c r="JE103" s="1719"/>
      <c r="JF103" s="1721"/>
      <c r="JG103" s="1847"/>
      <c r="JH103" s="1096"/>
      <c r="JI103" s="1096"/>
      <c r="JJ103" s="1756"/>
      <c r="JK103" s="1721"/>
      <c r="JL103" s="1927"/>
      <c r="JM103" s="1096"/>
      <c r="JN103" s="1096"/>
      <c r="JO103" s="1843"/>
      <c r="JP103" s="1721"/>
      <c r="JQ103" s="1926"/>
      <c r="JR103" s="1982">
        <f>216333*3</f>
        <v>648999</v>
      </c>
      <c r="JS103" s="1248">
        <f>290000*3</f>
        <v>870000</v>
      </c>
      <c r="JT103" s="1996">
        <f>JS103-JR103</f>
        <v>221001</v>
      </c>
      <c r="JU103" s="1821">
        <f>JT103/JS103</f>
        <v>0.25402413793103451</v>
      </c>
      <c r="JV103" s="1849"/>
      <c r="JW103" s="1119"/>
      <c r="JX103" s="1850">
        <v>0</v>
      </c>
      <c r="JY103" s="1845">
        <f>JX103-JW103</f>
        <v>0</v>
      </c>
      <c r="JZ103" s="1721"/>
      <c r="KA103" s="1846"/>
      <c r="KB103" s="264">
        <v>0</v>
      </c>
      <c r="KC103" s="264">
        <v>0</v>
      </c>
      <c r="KD103" s="964">
        <f>KC103-KB103</f>
        <v>0</v>
      </c>
      <c r="KE103" s="1848"/>
      <c r="KF103" s="1849"/>
      <c r="KG103" s="1850">
        <f>648999+48000</f>
        <v>696999</v>
      </c>
      <c r="KH103" s="1850">
        <v>870060</v>
      </c>
      <c r="KI103" s="1719">
        <f>KH103-KG103</f>
        <v>173061</v>
      </c>
      <c r="KJ103" s="1721">
        <f>KI103/KH103</f>
        <v>0.19890697193297013</v>
      </c>
      <c r="KK103" s="1849"/>
      <c r="KL103" s="1850">
        <v>0</v>
      </c>
      <c r="KM103" s="1850">
        <v>0</v>
      </c>
      <c r="KN103" s="1851">
        <f>KM103-KL103</f>
        <v>0</v>
      </c>
      <c r="KO103" s="1852"/>
      <c r="KP103" s="1722"/>
      <c r="KQ103" s="972"/>
      <c r="KR103" s="264"/>
      <c r="KS103" s="1845">
        <f>KR103-KQ103</f>
        <v>0</v>
      </c>
      <c r="KT103" s="1720"/>
      <c r="KU103" s="1905">
        <v>3</v>
      </c>
      <c r="KV103" s="1248">
        <f>553168/3</f>
        <v>184389.33333333334</v>
      </c>
      <c r="KW103" s="1248">
        <f>870060/3</f>
        <v>290020</v>
      </c>
      <c r="KX103" s="1248">
        <f>KW103-KV103</f>
        <v>105630.66666666666</v>
      </c>
      <c r="KY103" s="77">
        <f>KX103/KW103</f>
        <v>0.36421855963956506</v>
      </c>
      <c r="KZ103" s="1857">
        <v>3</v>
      </c>
      <c r="LA103" s="358">
        <f t="shared" si="432"/>
        <v>1530387.3333333333</v>
      </c>
      <c r="LB103" s="358">
        <f t="shared" si="432"/>
        <v>2030080</v>
      </c>
      <c r="LC103" s="358">
        <f t="shared" si="432"/>
        <v>499692.66666666663</v>
      </c>
      <c r="LD103" s="151">
        <f>LC103/LB103</f>
        <v>0.24614432271963008</v>
      </c>
      <c r="LE103" s="1854">
        <f>(IR103+IW103+JB103)/3</f>
        <v>0</v>
      </c>
      <c r="LF103" s="1855">
        <f t="shared" si="433"/>
        <v>0</v>
      </c>
      <c r="LG103" s="1855">
        <f t="shared" si="433"/>
        <v>0</v>
      </c>
      <c r="LH103" s="1856"/>
      <c r="LI103" s="1857">
        <f>(JG103+JL103+JQ103)/3</f>
        <v>0</v>
      </c>
      <c r="LJ103" s="1858">
        <f t="shared" si="434"/>
        <v>870000</v>
      </c>
      <c r="LK103" s="1854">
        <f t="shared" si="434"/>
        <v>221001</v>
      </c>
      <c r="LL103" s="1856">
        <f>LK103/LJ103</f>
        <v>0.25402413793103451</v>
      </c>
      <c r="LM103" s="1859">
        <f>(JV103+KA103+KF103)/3</f>
        <v>0</v>
      </c>
      <c r="LN103" s="1727">
        <f t="shared" si="435"/>
        <v>870060</v>
      </c>
      <c r="LO103" s="1727">
        <f t="shared" si="435"/>
        <v>173061</v>
      </c>
      <c r="LP103" s="151">
        <f>LO103/LN103</f>
        <v>0.19890697193297013</v>
      </c>
      <c r="LQ103" s="1997">
        <f>(KK103+KP103+KU103)/3</f>
        <v>1</v>
      </c>
      <c r="LR103" s="1998">
        <f t="shared" si="436"/>
        <v>290020</v>
      </c>
      <c r="LS103" s="1998">
        <f t="shared" si="436"/>
        <v>105630.66666666666</v>
      </c>
      <c r="LT103" s="1999">
        <f>LS103/LR103</f>
        <v>0.36421855963956506</v>
      </c>
      <c r="LU103" s="1193"/>
      <c r="LV103" s="439"/>
      <c r="LW103" s="208">
        <v>0</v>
      </c>
      <c r="LX103" s="208">
        <v>0</v>
      </c>
      <c r="LY103" s="96">
        <f>LX103-LW103</f>
        <v>0</v>
      </c>
      <c r="LZ103" s="78"/>
      <c r="MA103" s="1862"/>
      <c r="MB103" s="265"/>
      <c r="MC103" s="265"/>
      <c r="MD103" s="371">
        <f>MC103-MB103</f>
        <v>0</v>
      </c>
      <c r="ME103" s="157"/>
      <c r="MF103" s="439">
        <v>13</v>
      </c>
      <c r="MG103" s="208">
        <v>560517</v>
      </c>
      <c r="MH103" s="208">
        <v>870060</v>
      </c>
      <c r="MI103" s="371">
        <f>MH103-MG103</f>
        <v>309543</v>
      </c>
      <c r="MJ103" s="157">
        <f>MI103/MH103</f>
        <v>0.35577201572305356</v>
      </c>
      <c r="MK103" s="354"/>
      <c r="ML103" s="208"/>
      <c r="MM103" s="208"/>
      <c r="MN103" s="371">
        <f>MM103-ML103</f>
        <v>0</v>
      </c>
      <c r="MO103" s="157"/>
      <c r="MP103" s="1579"/>
      <c r="MQ103" s="264">
        <v>0</v>
      </c>
      <c r="MR103" s="264">
        <v>0</v>
      </c>
      <c r="MS103" s="264">
        <f>MR103-MQ103</f>
        <v>0</v>
      </c>
      <c r="MT103" s="597"/>
      <c r="MU103" s="1318">
        <v>13</v>
      </c>
      <c r="MV103" s="395">
        <v>551649</v>
      </c>
      <c r="MW103" s="395">
        <v>780300</v>
      </c>
      <c r="MX103" s="395">
        <f>MW103-MV103</f>
        <v>228651</v>
      </c>
      <c r="MY103" s="655">
        <f>MX103/MW103</f>
        <v>0.29302960399846212</v>
      </c>
      <c r="MZ103" s="1318"/>
      <c r="NA103" s="395"/>
      <c r="NB103" s="395"/>
      <c r="NC103" s="395">
        <f>NB103-NA103</f>
        <v>0</v>
      </c>
      <c r="ND103" s="801"/>
      <c r="NE103" s="1318"/>
      <c r="NF103" s="395"/>
      <c r="NG103" s="395"/>
      <c r="NH103" s="395">
        <f>NG103-NF103</f>
        <v>0</v>
      </c>
      <c r="NI103" s="801"/>
      <c r="NJ103" s="1318">
        <v>4</v>
      </c>
      <c r="NK103" s="395">
        <v>150001</v>
      </c>
      <c r="NL103" s="395">
        <v>199200</v>
      </c>
      <c r="NM103" s="395">
        <v>49199</v>
      </c>
      <c r="NN103" s="1313">
        <f>NM103/NL103</f>
        <v>0.24698293172690763</v>
      </c>
      <c r="NO103" s="1022">
        <v>4</v>
      </c>
      <c r="NP103" s="1568">
        <v>150001</v>
      </c>
      <c r="NQ103" s="1871">
        <v>199920</v>
      </c>
      <c r="NR103" s="2001">
        <f>NQ103-NP103</f>
        <v>49919</v>
      </c>
      <c r="NS103" s="1313"/>
      <c r="NT103" s="357">
        <v>4</v>
      </c>
      <c r="NU103" s="358">
        <v>147460</v>
      </c>
      <c r="NV103" s="358">
        <v>199920</v>
      </c>
      <c r="NW103" s="395">
        <f>NV103-NU103</f>
        <v>52460</v>
      </c>
      <c r="NX103" s="1313"/>
      <c r="NY103" s="357">
        <v>4</v>
      </c>
      <c r="NZ103" s="358">
        <v>150000</v>
      </c>
      <c r="OA103" s="358">
        <v>199920</v>
      </c>
      <c r="OB103" s="622">
        <f>OA103-NZ103</f>
        <v>49920</v>
      </c>
      <c r="OC103" s="116">
        <f>OB103/OA103</f>
        <v>0.24969987995198079</v>
      </c>
      <c r="OD103" s="191">
        <v>4</v>
      </c>
      <c r="OE103" s="358">
        <v>2079784</v>
      </c>
      <c r="OF103" s="358">
        <v>2999440</v>
      </c>
      <c r="OG103" s="358">
        <v>919656</v>
      </c>
      <c r="OH103" s="220">
        <f>OG103/OF103</f>
        <v>0.30660923372362842</v>
      </c>
      <c r="OI103" s="1863">
        <f>(LV103+MA103+MF103)/3</f>
        <v>4.333333333333333</v>
      </c>
      <c r="OJ103" s="105">
        <f t="shared" si="437"/>
        <v>560517</v>
      </c>
      <c r="OK103" s="105">
        <f t="shared" si="437"/>
        <v>870060</v>
      </c>
      <c r="OL103" s="105">
        <f t="shared" si="437"/>
        <v>309543</v>
      </c>
      <c r="OM103" s="106">
        <f>OL103/OK103</f>
        <v>0.35577201572305356</v>
      </c>
      <c r="ON103" s="358">
        <f>(MK103+MP103+MU103)/3</f>
        <v>4.333333333333333</v>
      </c>
      <c r="OO103" s="358">
        <f t="shared" si="438"/>
        <v>551649</v>
      </c>
      <c r="OP103" s="358">
        <f t="shared" si="438"/>
        <v>780300</v>
      </c>
      <c r="OQ103" s="359">
        <f t="shared" si="438"/>
        <v>228651</v>
      </c>
      <c r="OR103" s="169">
        <f>OQ103/OP103</f>
        <v>0.29302960399846212</v>
      </c>
      <c r="OS103" s="686">
        <f>(NJ103+NE103+MZ103)/3</f>
        <v>1.3333333333333333</v>
      </c>
      <c r="OT103" s="146">
        <f t="shared" si="439"/>
        <v>150001</v>
      </c>
      <c r="OU103" s="146">
        <f t="shared" si="439"/>
        <v>199200</v>
      </c>
      <c r="OV103" s="1864">
        <f t="shared" si="439"/>
        <v>49199</v>
      </c>
      <c r="OW103" s="203">
        <f>OV103/OU103</f>
        <v>0.24698293172690763</v>
      </c>
      <c r="OX103" s="357">
        <v>4</v>
      </c>
      <c r="OY103" s="358">
        <f t="shared" si="425"/>
        <v>447461</v>
      </c>
      <c r="OZ103" s="358">
        <f t="shared" si="425"/>
        <v>599760</v>
      </c>
      <c r="PA103" s="359">
        <f t="shared" si="425"/>
        <v>152299</v>
      </c>
      <c r="PB103" s="114">
        <f>PA103/OZ103</f>
        <v>0.25393323996265171</v>
      </c>
      <c r="PC103" s="79"/>
      <c r="PD103" s="439">
        <v>4</v>
      </c>
      <c r="PE103" s="358">
        <v>150000</v>
      </c>
      <c r="PF103" s="208">
        <v>199920</v>
      </c>
      <c r="PG103" s="96">
        <f>PF103-PE103</f>
        <v>49920</v>
      </c>
      <c r="PH103" s="78">
        <f>PG103/PF103</f>
        <v>0.24969987995198079</v>
      </c>
      <c r="PI103" s="439">
        <v>4</v>
      </c>
      <c r="PJ103" s="208">
        <v>149428</v>
      </c>
      <c r="PK103" s="208">
        <v>199920</v>
      </c>
      <c r="PL103" s="96">
        <f>PK103-PJ103</f>
        <v>50492</v>
      </c>
      <c r="PM103" s="78">
        <f>PL103/PK103</f>
        <v>0.25256102440976391</v>
      </c>
      <c r="PN103" s="439">
        <v>5</v>
      </c>
      <c r="PO103" s="208">
        <v>175383</v>
      </c>
      <c r="PP103" s="208">
        <v>216580</v>
      </c>
      <c r="PQ103" s="371">
        <f>PP103-PO103</f>
        <v>41197</v>
      </c>
      <c r="PR103" s="157">
        <f>PQ103/PP103</f>
        <v>0.19021608643457383</v>
      </c>
      <c r="PS103" s="354">
        <v>5</v>
      </c>
      <c r="PT103" s="208">
        <v>194678</v>
      </c>
      <c r="PU103" s="208">
        <v>250000</v>
      </c>
      <c r="PV103" s="371">
        <f>PU103-PT103</f>
        <v>55322</v>
      </c>
      <c r="PW103" s="157">
        <f>PV103/PU103</f>
        <v>0.22128800000000001</v>
      </c>
      <c r="PX103" s="4956">
        <v>5</v>
      </c>
      <c r="PY103" s="1248">
        <v>192048</v>
      </c>
      <c r="PZ103" s="1248">
        <v>250000</v>
      </c>
      <c r="QA103" s="1248">
        <f>PZ103-PY103</f>
        <v>57952</v>
      </c>
      <c r="QB103" s="655">
        <f>QA103/PZ103</f>
        <v>0.23180799999999999</v>
      </c>
      <c r="QC103" s="1318">
        <v>5</v>
      </c>
      <c r="QD103" s="1248">
        <v>192881</v>
      </c>
      <c r="QE103" s="1248">
        <v>250000</v>
      </c>
      <c r="QF103" s="208">
        <f>QE103-QD103</f>
        <v>57119</v>
      </c>
      <c r="QG103" s="655">
        <f>QF103/QE103</f>
        <v>0.22847600000000001</v>
      </c>
      <c r="QH103" s="401">
        <v>5</v>
      </c>
      <c r="QI103" s="395">
        <v>194678</v>
      </c>
      <c r="QJ103" s="395">
        <v>249926</v>
      </c>
      <c r="QK103" s="208">
        <f t="shared" si="404"/>
        <v>55248</v>
      </c>
      <c r="QL103" s="1872">
        <f>QK103/QJ103</f>
        <v>0.22105743300016806</v>
      </c>
      <c r="QM103" s="401">
        <v>5</v>
      </c>
      <c r="QN103" s="395">
        <v>194678</v>
      </c>
      <c r="QO103" s="395">
        <v>250000</v>
      </c>
      <c r="QP103" s="395">
        <f t="shared" si="339"/>
        <v>55322</v>
      </c>
      <c r="QQ103" s="2003">
        <f t="shared" si="340"/>
        <v>0.22128800000000001</v>
      </c>
      <c r="QR103" s="1318">
        <v>5</v>
      </c>
      <c r="QS103" s="395">
        <v>194610</v>
      </c>
      <c r="QT103" s="395">
        <v>249926.06666666665</v>
      </c>
      <c r="QU103" s="395">
        <f>QT103-QS103</f>
        <v>55316.066666666651</v>
      </c>
      <c r="QV103" s="157">
        <f>QU103/QT103</f>
        <v>0.22132972124289552</v>
      </c>
      <c r="QW103" s="209">
        <v>5</v>
      </c>
      <c r="QX103" s="208">
        <v>195251</v>
      </c>
      <c r="QY103" s="208">
        <v>250000</v>
      </c>
      <c r="QZ103" s="395">
        <f>QY103-QX103</f>
        <v>54749</v>
      </c>
      <c r="RA103" s="157">
        <f>QZ103/QY103</f>
        <v>0.218996</v>
      </c>
      <c r="RB103" s="209">
        <v>5</v>
      </c>
      <c r="RC103" s="208">
        <v>195251</v>
      </c>
      <c r="RD103" s="208">
        <v>250000</v>
      </c>
      <c r="RE103" s="208">
        <f t="shared" si="343"/>
        <v>54749</v>
      </c>
      <c r="RF103" s="114">
        <f>RE103/RD103</f>
        <v>0.218996</v>
      </c>
      <c r="RG103" s="1857">
        <v>5</v>
      </c>
      <c r="RH103" s="208">
        <v>192958</v>
      </c>
      <c r="RI103" s="208">
        <v>250000</v>
      </c>
      <c r="RJ103" s="772">
        <f t="shared" si="369"/>
        <v>57042</v>
      </c>
      <c r="RK103" s="116">
        <f t="shared" si="345"/>
        <v>0.22816800000000001</v>
      </c>
      <c r="RL103" s="1567">
        <v>5</v>
      </c>
      <c r="RM103" s="1568">
        <f t="shared" si="426"/>
        <v>2221844</v>
      </c>
      <c r="RN103" s="1568">
        <f t="shared" si="426"/>
        <v>2866272.0666666664</v>
      </c>
      <c r="RO103" s="1568">
        <f t="shared" si="426"/>
        <v>644428.06666666665</v>
      </c>
      <c r="RP103" s="220">
        <f t="shared" si="347"/>
        <v>0.22483143668078406</v>
      </c>
      <c r="RQ103" s="1863">
        <f>(PD103+PI103+PN103)/3</f>
        <v>4.333333333333333</v>
      </c>
      <c r="RR103" s="105">
        <f t="shared" si="427"/>
        <v>474811</v>
      </c>
      <c r="RS103" s="105">
        <f t="shared" si="427"/>
        <v>616420</v>
      </c>
      <c r="RT103" s="105">
        <f t="shared" si="427"/>
        <v>141609</v>
      </c>
      <c r="RU103" s="106">
        <f>RT103/RS103</f>
        <v>0.22972810745919989</v>
      </c>
      <c r="RV103" s="358">
        <v>5</v>
      </c>
      <c r="RW103" s="358">
        <f t="shared" si="428"/>
        <v>579607</v>
      </c>
      <c r="RX103" s="358">
        <f t="shared" si="428"/>
        <v>750000</v>
      </c>
      <c r="RY103" s="359">
        <f t="shared" si="428"/>
        <v>170393</v>
      </c>
      <c r="RZ103" s="169">
        <f t="shared" si="362"/>
        <v>0.22719066666666668</v>
      </c>
      <c r="SA103" s="686">
        <v>5</v>
      </c>
      <c r="SB103" s="146">
        <f t="shared" si="374"/>
        <v>583966</v>
      </c>
      <c r="SC103" s="146">
        <f t="shared" si="374"/>
        <v>749852.06666666665</v>
      </c>
      <c r="SD103" s="1864">
        <f t="shared" si="374"/>
        <v>165886.06666666665</v>
      </c>
      <c r="SE103" s="203">
        <f t="shared" si="370"/>
        <v>0.22122505763581277</v>
      </c>
      <c r="SF103" s="1567">
        <v>5</v>
      </c>
      <c r="SG103" s="358">
        <f t="shared" si="421"/>
        <v>583460</v>
      </c>
      <c r="SH103" s="358">
        <f t="shared" si="421"/>
        <v>750000</v>
      </c>
      <c r="SI103" s="359">
        <f t="shared" si="421"/>
        <v>166540</v>
      </c>
      <c r="SJ103" s="114">
        <f t="shared" si="294"/>
        <v>0.22205333333333332</v>
      </c>
      <c r="SK103" s="1193"/>
      <c r="SL103" s="439">
        <v>5</v>
      </c>
      <c r="SM103" s="358">
        <v>195251</v>
      </c>
      <c r="SN103" s="208">
        <v>250000</v>
      </c>
      <c r="SO103" s="96">
        <f t="shared" si="264"/>
        <v>54749</v>
      </c>
      <c r="SP103" s="78">
        <f t="shared" si="375"/>
        <v>0.218996</v>
      </c>
      <c r="SQ103" s="439">
        <v>5</v>
      </c>
      <c r="SR103" s="208">
        <v>195251</v>
      </c>
      <c r="SS103" s="208">
        <v>250000</v>
      </c>
      <c r="ST103" s="96">
        <f t="shared" si="440"/>
        <v>54749</v>
      </c>
      <c r="SU103" s="78">
        <f>ST103/SS103</f>
        <v>0.218996</v>
      </c>
      <c r="SV103" s="439">
        <v>5</v>
      </c>
      <c r="SW103" s="208">
        <v>195251</v>
      </c>
      <c r="SX103" s="208">
        <v>250000</v>
      </c>
      <c r="SY103" s="371">
        <f>SX103-SW103</f>
        <v>54749</v>
      </c>
      <c r="SZ103" s="157">
        <f>SY103/SX103</f>
        <v>0.218996</v>
      </c>
      <c r="TA103" s="354">
        <v>6</v>
      </c>
      <c r="TB103" s="208">
        <v>206180.80645161291</v>
      </c>
      <c r="TC103" s="994">
        <v>256813.33333333334</v>
      </c>
      <c r="TD103" s="96">
        <f t="shared" si="280"/>
        <v>50632.526881720434</v>
      </c>
      <c r="TE103" s="94">
        <f t="shared" si="295"/>
        <v>0.19715692415393971</v>
      </c>
      <c r="TF103" s="1573">
        <v>5</v>
      </c>
      <c r="TG103" s="395">
        <v>193751</v>
      </c>
      <c r="TH103" s="208">
        <v>256813.33333333334</v>
      </c>
      <c r="TI103" s="395">
        <f>TH103-TG103</f>
        <v>63062.333333333343</v>
      </c>
      <c r="TJ103" s="114">
        <f t="shared" si="296"/>
        <v>0.24555708426353776</v>
      </c>
      <c r="TK103" s="1318">
        <v>5</v>
      </c>
      <c r="TL103" s="208">
        <v>190346</v>
      </c>
      <c r="TM103" s="208">
        <v>256813.33333333334</v>
      </c>
      <c r="TN103" s="395">
        <f t="shared" ref="TN103:TN121" si="443">TM103-TL103</f>
        <v>66467.333333333343</v>
      </c>
      <c r="TO103" s="114">
        <f t="shared" ref="TO103:TO119" si="444">TN103/TM103</f>
        <v>0.25881574165411975</v>
      </c>
      <c r="TP103" s="4434">
        <v>5</v>
      </c>
      <c r="TQ103" s="208">
        <v>193751</v>
      </c>
      <c r="TR103" s="395">
        <v>251443.6</v>
      </c>
      <c r="TS103" s="994">
        <f t="shared" si="352"/>
        <v>57692.600000000006</v>
      </c>
      <c r="TT103" s="114">
        <f t="shared" si="365"/>
        <v>0.22944548996275907</v>
      </c>
      <c r="TU103" s="4434">
        <v>5</v>
      </c>
      <c r="TV103" s="395">
        <v>189211</v>
      </c>
      <c r="TW103" s="395">
        <v>251443.6</v>
      </c>
      <c r="TX103" s="772">
        <f t="shared" si="441"/>
        <v>62232.600000000006</v>
      </c>
      <c r="TY103" s="116">
        <f t="shared" si="366"/>
        <v>0.24750122890381782</v>
      </c>
      <c r="TZ103" s="1318">
        <v>5</v>
      </c>
      <c r="UA103" s="395">
        <v>193751</v>
      </c>
      <c r="UB103" s="395">
        <v>251443.6</v>
      </c>
      <c r="UC103" s="772">
        <f t="shared" si="442"/>
        <v>57692.600000000006</v>
      </c>
      <c r="UD103" s="116">
        <f>UC103/UB103</f>
        <v>0.22944548996275907</v>
      </c>
      <c r="UE103" s="1868">
        <v>5</v>
      </c>
      <c r="UF103" s="1575">
        <v>193751</v>
      </c>
      <c r="UG103" s="1575">
        <v>251443.6</v>
      </c>
      <c r="UH103" s="1575">
        <f t="shared" si="322"/>
        <v>57692.600000000006</v>
      </c>
      <c r="UI103" s="6495">
        <f t="shared" si="367"/>
        <v>0.22944548996275907</v>
      </c>
      <c r="UJ103" s="209"/>
      <c r="UK103" s="208"/>
      <c r="UL103" s="208"/>
      <c r="UM103" s="208">
        <f t="shared" si="429"/>
        <v>0</v>
      </c>
      <c r="UN103" s="114" t="e">
        <f>UM103/UL103</f>
        <v>#DIV/0!</v>
      </c>
      <c r="UO103" s="1567"/>
      <c r="UP103" s="1568"/>
      <c r="UQ103" s="1568"/>
      <c r="UR103" s="1873">
        <f t="shared" si="323"/>
        <v>0</v>
      </c>
      <c r="US103" s="116" t="e">
        <f>UR103/UQ103</f>
        <v>#DIV/0!</v>
      </c>
      <c r="UT103" s="1567"/>
      <c r="UU103" s="358">
        <f t="shared" si="371"/>
        <v>1946494.8064516129</v>
      </c>
      <c r="UV103" s="358">
        <f t="shared" si="371"/>
        <v>2526214.4</v>
      </c>
      <c r="UW103" s="358">
        <f t="shared" si="371"/>
        <v>579719.59354838717</v>
      </c>
      <c r="UX103" s="220">
        <f t="shared" si="358"/>
        <v>0.22948154897240203</v>
      </c>
      <c r="UY103" s="4441">
        <f t="shared" si="324"/>
        <v>5</v>
      </c>
      <c r="UZ103" s="4442">
        <f t="shared" si="424"/>
        <v>585753</v>
      </c>
      <c r="VA103" s="4442">
        <f t="shared" si="424"/>
        <v>750000</v>
      </c>
      <c r="VB103" s="4442">
        <f t="shared" si="424"/>
        <v>164247</v>
      </c>
      <c r="VC103" s="4443">
        <f t="shared" si="325"/>
        <v>0.218996</v>
      </c>
      <c r="VD103" s="4438"/>
      <c r="VE103" s="4438">
        <f t="shared" si="423"/>
        <v>590277.80645161285</v>
      </c>
      <c r="VF103" s="4438">
        <f t="shared" si="423"/>
        <v>770440</v>
      </c>
      <c r="VG103" s="4444">
        <f t="shared" si="423"/>
        <v>180162.19354838712</v>
      </c>
      <c r="VH103" s="4445">
        <f t="shared" si="372"/>
        <v>0.23384325002386575</v>
      </c>
      <c r="VI103" s="4446"/>
      <c r="VJ103" s="146">
        <f t="shared" si="373"/>
        <v>576713</v>
      </c>
      <c r="VK103" s="146">
        <f t="shared" si="373"/>
        <v>754330.8</v>
      </c>
      <c r="VL103" s="1864">
        <f t="shared" si="373"/>
        <v>177617.80000000002</v>
      </c>
      <c r="VM103" s="4447">
        <f>VL103/VK103</f>
        <v>0.23546406960977864</v>
      </c>
      <c r="VN103" s="4449"/>
      <c r="VO103" s="4438">
        <f t="shared" si="368"/>
        <v>193751</v>
      </c>
      <c r="VP103" s="4438">
        <f t="shared" si="361"/>
        <v>251443.6</v>
      </c>
      <c r="VQ103" s="4444">
        <f t="shared" si="361"/>
        <v>57692.600000000006</v>
      </c>
      <c r="VR103" s="4448">
        <f>VQ103/VP103</f>
        <v>0.22944548996275907</v>
      </c>
    </row>
    <row r="104" spans="1:745" s="4451" customFormat="1" ht="13.45" x14ac:dyDescent="0.3">
      <c r="A104" s="4450"/>
      <c r="B104" s="1773" t="s">
        <v>53</v>
      </c>
      <c r="C104" s="4124" t="s">
        <v>79</v>
      </c>
      <c r="D104" s="1992" t="s">
        <v>80</v>
      </c>
      <c r="E104" s="1993">
        <v>45261</v>
      </c>
      <c r="F104" s="1993">
        <v>45656</v>
      </c>
      <c r="G104" s="1994">
        <v>519000</v>
      </c>
      <c r="H104" s="1890"/>
      <c r="I104" s="1886"/>
      <c r="J104" s="1886"/>
      <c r="K104" s="1886"/>
      <c r="L104" s="1891"/>
      <c r="M104" s="1890"/>
      <c r="N104" s="1886"/>
      <c r="O104" s="1886"/>
      <c r="P104" s="1886"/>
      <c r="Q104" s="1891"/>
      <c r="R104" s="1890"/>
      <c r="S104" s="1886"/>
      <c r="T104" s="1886"/>
      <c r="U104" s="1886"/>
      <c r="V104" s="1891"/>
      <c r="W104" s="1890"/>
      <c r="X104" s="1886"/>
      <c r="Y104" s="1886"/>
      <c r="Z104" s="1886"/>
      <c r="AA104" s="1897"/>
      <c r="AB104" s="1890"/>
      <c r="AC104" s="1886"/>
      <c r="AD104" s="1886"/>
      <c r="AE104" s="1886"/>
      <c r="AF104" s="1897"/>
      <c r="AG104" s="1886"/>
      <c r="AH104" s="1886"/>
      <c r="AI104" s="1886"/>
      <c r="AJ104" s="1886"/>
      <c r="AK104" s="1891"/>
      <c r="AL104" s="1886"/>
      <c r="AM104" s="1886"/>
      <c r="AN104" s="1886"/>
      <c r="AO104" s="1886"/>
      <c r="AP104" s="1891"/>
      <c r="AQ104" s="1886"/>
      <c r="AR104" s="1886"/>
      <c r="AS104" s="1886"/>
      <c r="AT104" s="1886"/>
      <c r="AU104" s="1891"/>
      <c r="AV104" s="4953"/>
      <c r="AW104" s="1886"/>
      <c r="AX104" s="1886"/>
      <c r="AY104" s="1886"/>
      <c r="AZ104" s="1897"/>
      <c r="BA104" s="4953"/>
      <c r="BB104" s="1886"/>
      <c r="BC104" s="1886"/>
      <c r="BD104" s="1886"/>
      <c r="BE104" s="1897"/>
      <c r="BF104" s="4953"/>
      <c r="BG104" s="1886"/>
      <c r="BH104" s="1886"/>
      <c r="BI104" s="1886"/>
      <c r="BJ104" s="1897"/>
      <c r="BK104" s="4953"/>
      <c r="BL104" s="1886"/>
      <c r="BM104" s="1886"/>
      <c r="BN104" s="1886"/>
      <c r="BO104" s="1897"/>
      <c r="BP104" s="4954"/>
      <c r="BQ104" s="1886"/>
      <c r="BR104" s="1886"/>
      <c r="BS104" s="1886"/>
      <c r="BT104" s="4955"/>
      <c r="BU104" s="1886"/>
      <c r="BV104" s="1886"/>
      <c r="BW104" s="1892"/>
      <c r="BX104" s="4955"/>
      <c r="BY104" s="1886"/>
      <c r="BZ104" s="1886"/>
      <c r="CA104" s="1140"/>
      <c r="CB104" s="1886"/>
      <c r="CC104" s="1886"/>
      <c r="CD104" s="1886"/>
      <c r="CE104" s="1886"/>
      <c r="CF104" s="4955"/>
      <c r="CG104" s="1886"/>
      <c r="CH104" s="1886"/>
      <c r="CI104" s="1140"/>
      <c r="CJ104" s="1885"/>
      <c r="CK104" s="1886"/>
      <c r="CL104" s="1886"/>
      <c r="CM104" s="1886"/>
      <c r="CN104" s="1892"/>
      <c r="CO104" s="1885"/>
      <c r="CP104" s="1890"/>
      <c r="CQ104" s="1890"/>
      <c r="CR104" s="1890"/>
      <c r="CS104" s="1892"/>
      <c r="CT104" s="1885"/>
      <c r="CU104" s="1886"/>
      <c r="CV104" s="1886"/>
      <c r="CW104" s="1886"/>
      <c r="CX104" s="1892"/>
      <c r="CY104" s="1885"/>
      <c r="CZ104" s="1886"/>
      <c r="DA104" s="1886"/>
      <c r="DB104" s="1886"/>
      <c r="DC104" s="1892"/>
      <c r="DD104" s="1885"/>
      <c r="DE104" s="1886"/>
      <c r="DF104" s="1886"/>
      <c r="DG104" s="1886"/>
      <c r="DH104" s="1887"/>
      <c r="DI104" s="1885"/>
      <c r="DJ104" s="1886"/>
      <c r="DK104" s="1886"/>
      <c r="DL104" s="1886"/>
      <c r="DM104" s="1887"/>
      <c r="DN104" s="1885"/>
      <c r="DO104" s="1886"/>
      <c r="DP104" s="1886"/>
      <c r="DQ104" s="1886"/>
      <c r="DR104" s="1887"/>
      <c r="DS104" s="1885"/>
      <c r="DT104" s="1886"/>
      <c r="DU104" s="1886"/>
      <c r="DV104" s="1886"/>
      <c r="DW104" s="1887"/>
      <c r="DX104" s="1885"/>
      <c r="DY104" s="1886"/>
      <c r="DZ104" s="1886"/>
      <c r="EA104" s="1886"/>
      <c r="EB104" s="1887"/>
      <c r="EC104" s="1885"/>
      <c r="ED104" s="1886"/>
      <c r="EE104" s="1886"/>
      <c r="EF104" s="1886"/>
      <c r="EG104" s="1887"/>
      <c r="EH104" s="1885"/>
      <c r="EI104" s="1886"/>
      <c r="EJ104" s="1886"/>
      <c r="EK104" s="1886"/>
      <c r="EL104" s="1887"/>
      <c r="EM104" s="1888"/>
      <c r="EN104" s="1889"/>
      <c r="EO104" s="1889"/>
      <c r="EP104" s="1889"/>
      <c r="EQ104" s="166"/>
      <c r="ER104" s="1713">
        <f>(CJ104+CO104+CT104+CY104+DD104+DI104+DN104+DS104+DX104+EC104+EH104+EM104)/12</f>
        <v>0</v>
      </c>
      <c r="ES104" s="1714">
        <f t="shared" si="430"/>
        <v>0</v>
      </c>
      <c r="ET104" s="1714">
        <f t="shared" si="430"/>
        <v>0</v>
      </c>
      <c r="EU104" s="1714">
        <f t="shared" si="430"/>
        <v>0</v>
      </c>
      <c r="EV104" s="1715" t="e">
        <f>EU104/ET104</f>
        <v>#DIV/0!</v>
      </c>
      <c r="EW104" s="1890"/>
      <c r="EX104" s="1890"/>
      <c r="EY104" s="1890"/>
      <c r="EZ104" s="1891"/>
      <c r="FA104" s="1885"/>
      <c r="FB104" s="1890"/>
      <c r="FC104" s="1890"/>
      <c r="FD104" s="1892"/>
      <c r="FE104" s="1890"/>
      <c r="FF104" s="1890"/>
      <c r="FG104" s="1890"/>
      <c r="FH104" s="1891"/>
      <c r="FI104" s="1893"/>
      <c r="FJ104" s="1894"/>
      <c r="FK104" s="1895"/>
      <c r="FL104" s="1895"/>
      <c r="FM104" s="1896"/>
      <c r="FN104" s="1890"/>
      <c r="FO104" s="1886"/>
      <c r="FP104" s="1886"/>
      <c r="FQ104" s="1886"/>
      <c r="FR104" s="1897"/>
      <c r="FS104" s="1888"/>
      <c r="FT104" s="1889"/>
      <c r="FU104" s="1889"/>
      <c r="FV104" s="1889"/>
      <c r="FW104" s="1898"/>
      <c r="FX104" s="1885"/>
      <c r="FY104" s="1886"/>
      <c r="FZ104" s="1886"/>
      <c r="GA104" s="1889"/>
      <c r="GB104" s="1898"/>
      <c r="GC104" s="1899"/>
      <c r="GD104" s="1900"/>
      <c r="GE104" s="1900"/>
      <c r="GF104" s="1889"/>
      <c r="GG104" s="166"/>
      <c r="GH104" s="1901"/>
      <c r="GI104" s="1824"/>
      <c r="GJ104" s="1824"/>
      <c r="GK104" s="1902"/>
      <c r="GL104" s="1898"/>
      <c r="GM104" s="1901"/>
      <c r="GN104" s="1824"/>
      <c r="GO104" s="1824"/>
      <c r="GP104" s="1902"/>
      <c r="GQ104" s="1898"/>
      <c r="GR104" s="1903"/>
      <c r="GS104" s="1904"/>
      <c r="GT104" s="1904"/>
      <c r="GU104" s="1902"/>
      <c r="GV104" s="1898"/>
      <c r="GW104" s="1903"/>
      <c r="GX104" s="1904"/>
      <c r="GY104" s="1904"/>
      <c r="GZ104" s="1902"/>
      <c r="HA104" s="1898"/>
      <c r="HB104" s="1903"/>
      <c r="HC104" s="1904"/>
      <c r="HD104" s="1904"/>
      <c r="HE104" s="1902"/>
      <c r="HF104" s="1898"/>
      <c r="HG104" s="1903"/>
      <c r="HH104" s="1904"/>
      <c r="HI104" s="1904"/>
      <c r="HJ104" s="1818"/>
      <c r="HK104" s="1898"/>
      <c r="HL104" s="1903"/>
      <c r="HM104" s="1904"/>
      <c r="HN104" s="1904"/>
      <c r="HO104" s="715"/>
      <c r="HP104" s="166"/>
      <c r="HQ104" s="1905"/>
      <c r="HR104" s="1248"/>
      <c r="HS104" s="1248"/>
      <c r="HT104" s="1248"/>
      <c r="HU104" s="1826"/>
      <c r="HV104" s="1827">
        <f>(FN104+FS104+FX104+GC104+GH104+GM104+GR104+GW104+HB104+HG104+HL104+HQ104)/12</f>
        <v>0</v>
      </c>
      <c r="HW104" s="1089">
        <f t="shared" si="431"/>
        <v>0</v>
      </c>
      <c r="HX104" s="1089">
        <f t="shared" si="431"/>
        <v>0</v>
      </c>
      <c r="HY104" s="1089">
        <f t="shared" si="431"/>
        <v>0</v>
      </c>
      <c r="HZ104" s="1906"/>
      <c r="IA104" s="1907"/>
      <c r="IB104" s="1908"/>
      <c r="IC104" s="1908"/>
      <c r="ID104" s="1909"/>
      <c r="IE104" s="1910"/>
      <c r="IF104" s="1911"/>
      <c r="IG104" s="1912"/>
      <c r="IH104" s="1909"/>
      <c r="II104" s="1835"/>
      <c r="IJ104" s="1836"/>
      <c r="IK104" s="1836"/>
      <c r="IL104" s="693"/>
      <c r="IM104" s="1913"/>
      <c r="IN104" s="1836"/>
      <c r="IO104" s="1836"/>
      <c r="IP104" s="1838"/>
      <c r="IQ104" s="1914"/>
      <c r="IR104" s="1915"/>
      <c r="IS104" s="1916"/>
      <c r="IT104" s="1916"/>
      <c r="IU104" s="1917"/>
      <c r="IV104" s="1918"/>
      <c r="IW104" s="1919"/>
      <c r="IX104" s="1920"/>
      <c r="IY104" s="1921"/>
      <c r="IZ104" s="1719"/>
      <c r="JA104" s="1721"/>
      <c r="JB104" s="1922"/>
      <c r="JC104" s="1923"/>
      <c r="JD104" s="1924"/>
      <c r="JE104" s="1719"/>
      <c r="JF104" s="1721"/>
      <c r="JG104" s="1847"/>
      <c r="JH104" s="1096"/>
      <c r="JI104" s="1096"/>
      <c r="JJ104" s="1756"/>
      <c r="JK104" s="1721"/>
      <c r="JL104" s="1927"/>
      <c r="JM104" s="1096"/>
      <c r="JN104" s="1096"/>
      <c r="JO104" s="1843"/>
      <c r="JP104" s="1721"/>
      <c r="JQ104" s="1926"/>
      <c r="JR104" s="1982"/>
      <c r="JS104" s="1248"/>
      <c r="JT104" s="1996"/>
      <c r="JU104" s="1821"/>
      <c r="JV104" s="1849"/>
      <c r="JW104" s="1119"/>
      <c r="JX104" s="1850"/>
      <c r="JY104" s="1850"/>
      <c r="JZ104" s="1721"/>
      <c r="KA104" s="1846"/>
      <c r="KB104" s="264"/>
      <c r="KC104" s="264"/>
      <c r="KD104" s="964"/>
      <c r="KE104" s="1848"/>
      <c r="KF104" s="1849"/>
      <c r="KG104" s="1850"/>
      <c r="KH104" s="1850"/>
      <c r="KI104" s="1719">
        <f>KH104-KG104</f>
        <v>0</v>
      </c>
      <c r="KJ104" s="1721"/>
      <c r="KK104" s="1849"/>
      <c r="KL104" s="1850">
        <v>0</v>
      </c>
      <c r="KM104" s="1850">
        <v>0</v>
      </c>
      <c r="KN104" s="1851">
        <f>KM104-KL104</f>
        <v>0</v>
      </c>
      <c r="KO104" s="1852"/>
      <c r="KP104" s="1823">
        <v>6</v>
      </c>
      <c r="KQ104" s="1982">
        <v>712844</v>
      </c>
      <c r="KR104" s="1248">
        <v>912309</v>
      </c>
      <c r="KS104" s="1996">
        <f>KR104-KQ104</f>
        <v>199465</v>
      </c>
      <c r="KT104" s="1819">
        <f>KS104/KR104</f>
        <v>0.21863754495461515</v>
      </c>
      <c r="KU104" s="1853">
        <v>6</v>
      </c>
      <c r="KV104" s="1224">
        <f>KQ104/3</f>
        <v>237614.66666666666</v>
      </c>
      <c r="KW104" s="264">
        <f>KR104/3</f>
        <v>304103</v>
      </c>
      <c r="KX104" s="264">
        <f>KW104-KV104</f>
        <v>66488.333333333343</v>
      </c>
      <c r="KY104" s="77">
        <f>KX104/KW104</f>
        <v>0.21863754495461518</v>
      </c>
      <c r="KZ104" s="1857">
        <v>6</v>
      </c>
      <c r="LA104" s="358">
        <f t="shared" si="432"/>
        <v>950458.66666666663</v>
      </c>
      <c r="LB104" s="358">
        <f t="shared" si="432"/>
        <v>1216412</v>
      </c>
      <c r="LC104" s="358">
        <f t="shared" si="432"/>
        <v>265953.33333333337</v>
      </c>
      <c r="LD104" s="151">
        <f>LC104/LB104</f>
        <v>0.21863754495461518</v>
      </c>
      <c r="LE104" s="1854">
        <f>(IR104+IW104+JB104)/3</f>
        <v>0</v>
      </c>
      <c r="LF104" s="1855">
        <f t="shared" si="433"/>
        <v>0</v>
      </c>
      <c r="LG104" s="1855">
        <f t="shared" si="433"/>
        <v>0</v>
      </c>
      <c r="LH104" s="1856"/>
      <c r="LI104" s="1857">
        <f>(JG104+JL104+JQ104)/3</f>
        <v>0</v>
      </c>
      <c r="LJ104" s="1858">
        <f t="shared" si="434"/>
        <v>0</v>
      </c>
      <c r="LK104" s="1854">
        <f t="shared" si="434"/>
        <v>0</v>
      </c>
      <c r="LL104" s="1856"/>
      <c r="LM104" s="1859">
        <f>(JV104+KA104+KF104)/3</f>
        <v>0</v>
      </c>
      <c r="LN104" s="1727">
        <f t="shared" si="435"/>
        <v>0</v>
      </c>
      <c r="LO104" s="1727">
        <f t="shared" si="435"/>
        <v>0</v>
      </c>
      <c r="LP104" s="151"/>
      <c r="LQ104" s="1997">
        <f>(KK104+KP104+KU104)/3</f>
        <v>4</v>
      </c>
      <c r="LR104" s="1998">
        <f t="shared" si="436"/>
        <v>1216412</v>
      </c>
      <c r="LS104" s="1998">
        <f t="shared" si="436"/>
        <v>265953.33333333337</v>
      </c>
      <c r="LT104" s="1999">
        <f>LS104/LR104</f>
        <v>0.21863754495461518</v>
      </c>
      <c r="LU104" s="1193"/>
      <c r="LV104" s="439"/>
      <c r="LW104" s="208">
        <v>0</v>
      </c>
      <c r="LX104" s="208">
        <v>0</v>
      </c>
      <c r="LY104" s="96">
        <f>LX104-LW104</f>
        <v>0</v>
      </c>
      <c r="LZ104" s="78"/>
      <c r="MA104" s="2000"/>
      <c r="MB104" s="1317"/>
      <c r="MC104" s="1317"/>
      <c r="MD104" s="372">
        <v>0</v>
      </c>
      <c r="ME104" s="157"/>
      <c r="MF104" s="439"/>
      <c r="MG104" s="208"/>
      <c r="MH104" s="208"/>
      <c r="MI104" s="371">
        <f>MH104-MG104</f>
        <v>0</v>
      </c>
      <c r="MJ104" s="157"/>
      <c r="MK104" s="354">
        <v>6</v>
      </c>
      <c r="ML104" s="208">
        <v>1284429</v>
      </c>
      <c r="MM104" s="208">
        <v>1557700</v>
      </c>
      <c r="MN104" s="371">
        <f>MM104-ML104</f>
        <v>273271</v>
      </c>
      <c r="MO104" s="157">
        <f>MN104/MM104</f>
        <v>0.1754323682352186</v>
      </c>
      <c r="MP104" s="1577">
        <v>6</v>
      </c>
      <c r="MQ104" s="1248">
        <v>1236350</v>
      </c>
      <c r="MR104" s="395">
        <v>1557700</v>
      </c>
      <c r="MS104" s="1248">
        <f>MR104-MQ104</f>
        <v>321350</v>
      </c>
      <c r="MT104" s="597">
        <f>MS104/MR104</f>
        <v>0.20629774667779419</v>
      </c>
      <c r="MU104" s="209"/>
      <c r="MV104" s="208"/>
      <c r="MW104" s="208"/>
      <c r="MX104" s="208">
        <v>0</v>
      </c>
      <c r="MY104" s="597"/>
      <c r="MZ104" s="209"/>
      <c r="NA104" s="208"/>
      <c r="NB104" s="208"/>
      <c r="NC104" s="395">
        <f>NB104-NA104</f>
        <v>0</v>
      </c>
      <c r="ND104" s="801"/>
      <c r="NE104" s="209">
        <v>6</v>
      </c>
      <c r="NF104" s="208">
        <f>1250001</f>
        <v>1250001</v>
      </c>
      <c r="NG104" s="208">
        <v>1557000</v>
      </c>
      <c r="NH104" s="395">
        <f>NG104-NF104</f>
        <v>306999</v>
      </c>
      <c r="NI104" s="1313">
        <f>NH104/NG104</f>
        <v>0.19717341040462427</v>
      </c>
      <c r="NJ104" s="209">
        <v>6</v>
      </c>
      <c r="NK104" s="208">
        <v>416667</v>
      </c>
      <c r="NL104" s="208">
        <v>519000</v>
      </c>
      <c r="NM104" s="395">
        <v>102333</v>
      </c>
      <c r="NN104" s="1313">
        <f>NM104/NL104</f>
        <v>0.19717341040462427</v>
      </c>
      <c r="NO104" s="1022">
        <v>6</v>
      </c>
      <c r="NP104" s="1568">
        <v>414817</v>
      </c>
      <c r="NQ104" s="1871">
        <v>519000</v>
      </c>
      <c r="NR104" s="2001">
        <f>NQ104-NP104</f>
        <v>104183</v>
      </c>
      <c r="NS104" s="1313"/>
      <c r="NT104" s="357">
        <v>6</v>
      </c>
      <c r="NU104" s="358">
        <v>414619</v>
      </c>
      <c r="NV104" s="358">
        <v>519000</v>
      </c>
      <c r="NW104" s="395">
        <f>NV104-NU104</f>
        <v>104381</v>
      </c>
      <c r="NX104" s="1313"/>
      <c r="NY104" s="357">
        <v>6</v>
      </c>
      <c r="NZ104" s="358">
        <v>416667</v>
      </c>
      <c r="OA104" s="358">
        <v>519000</v>
      </c>
      <c r="OB104" s="622">
        <f>OA104-NZ104</f>
        <v>102333</v>
      </c>
      <c r="OC104" s="116">
        <f>OB104/OA104</f>
        <v>0.19717341040462427</v>
      </c>
      <c r="OD104" s="191">
        <v>6</v>
      </c>
      <c r="OE104" s="358">
        <v>5000273</v>
      </c>
      <c r="OF104" s="358">
        <v>6228000</v>
      </c>
      <c r="OG104" s="358">
        <v>1227727</v>
      </c>
      <c r="OH104" s="220">
        <f>OG104/OF104</f>
        <v>0.19713021836865768</v>
      </c>
      <c r="OI104" s="1863">
        <f>(LV104+MA104+MF104)/3</f>
        <v>0</v>
      </c>
      <c r="OJ104" s="105">
        <f t="shared" si="437"/>
        <v>0</v>
      </c>
      <c r="OK104" s="105">
        <f t="shared" si="437"/>
        <v>0</v>
      </c>
      <c r="OL104" s="105">
        <f t="shared" si="437"/>
        <v>0</v>
      </c>
      <c r="OM104" s="106"/>
      <c r="ON104" s="358">
        <f>(MK104+MP104+MU104)/3</f>
        <v>4</v>
      </c>
      <c r="OO104" s="358">
        <f t="shared" si="438"/>
        <v>2520779</v>
      </c>
      <c r="OP104" s="358">
        <f t="shared" si="438"/>
        <v>3115400</v>
      </c>
      <c r="OQ104" s="359">
        <f t="shared" si="438"/>
        <v>594621</v>
      </c>
      <c r="OR104" s="169">
        <f>OQ104/OP104</f>
        <v>0.19086505745650639</v>
      </c>
      <c r="OS104" s="686">
        <f>(NJ104+NE104+MZ104)/3</f>
        <v>4</v>
      </c>
      <c r="OT104" s="146">
        <f t="shared" si="439"/>
        <v>1666668</v>
      </c>
      <c r="OU104" s="146">
        <f t="shared" si="439"/>
        <v>2076000</v>
      </c>
      <c r="OV104" s="1864">
        <f t="shared" si="439"/>
        <v>409332</v>
      </c>
      <c r="OW104" s="203">
        <f>OV104/OU104</f>
        <v>0.19717341040462427</v>
      </c>
      <c r="OX104" s="357">
        <v>6</v>
      </c>
      <c r="OY104" s="358">
        <f t="shared" si="425"/>
        <v>1246103</v>
      </c>
      <c r="OZ104" s="358">
        <f t="shared" si="425"/>
        <v>1557000</v>
      </c>
      <c r="PA104" s="359">
        <f t="shared" si="425"/>
        <v>310897</v>
      </c>
      <c r="PB104" s="114">
        <f>PA104/OZ104</f>
        <v>0.19967694283879256</v>
      </c>
      <c r="PC104" s="79"/>
      <c r="PD104" s="439">
        <v>6</v>
      </c>
      <c r="PE104" s="358">
        <v>416667</v>
      </c>
      <c r="PF104" s="208">
        <v>519000</v>
      </c>
      <c r="PG104" s="96">
        <f>PF104-PE104</f>
        <v>102333</v>
      </c>
      <c r="PH104" s="78">
        <f>PG104/PF104</f>
        <v>0.19717341040462427</v>
      </c>
      <c r="PI104" s="439">
        <v>6</v>
      </c>
      <c r="PJ104" s="208">
        <v>416667</v>
      </c>
      <c r="PK104" s="208">
        <v>519000</v>
      </c>
      <c r="PL104" s="96">
        <f>PK104-PJ104</f>
        <v>102333</v>
      </c>
      <c r="PM104" s="78">
        <f>PL104/PK104</f>
        <v>0.19717341040462427</v>
      </c>
      <c r="PN104" s="439">
        <v>6</v>
      </c>
      <c r="PO104" s="208">
        <v>416667</v>
      </c>
      <c r="PP104" s="208">
        <v>519000</v>
      </c>
      <c r="PQ104" s="371">
        <f>PP104-PO104</f>
        <v>102333</v>
      </c>
      <c r="PR104" s="157">
        <f>PQ104/PP104</f>
        <v>0.19717341040462427</v>
      </c>
      <c r="PS104" s="354">
        <v>6</v>
      </c>
      <c r="PT104" s="208">
        <v>416667</v>
      </c>
      <c r="PU104" s="208">
        <v>519000</v>
      </c>
      <c r="PV104" s="371">
        <f>PU104-PT104</f>
        <v>102333</v>
      </c>
      <c r="PW104" s="157">
        <f>PV104/PU104</f>
        <v>0.19717341040462427</v>
      </c>
      <c r="PX104" s="4956">
        <v>6</v>
      </c>
      <c r="PY104" s="1248">
        <v>416667</v>
      </c>
      <c r="PZ104" s="395">
        <v>519000</v>
      </c>
      <c r="QA104" s="1248">
        <f>PZ104-PY104</f>
        <v>102333</v>
      </c>
      <c r="QB104" s="597">
        <f>QA104/PZ104</f>
        <v>0.19717341040462427</v>
      </c>
      <c r="QC104" s="209">
        <v>6</v>
      </c>
      <c r="QD104" s="1248">
        <v>416667</v>
      </c>
      <c r="QE104" s="395">
        <v>519000</v>
      </c>
      <c r="QF104" s="208">
        <f>QE104-QD104</f>
        <v>102333</v>
      </c>
      <c r="QG104" s="655">
        <f>QF104/QE104</f>
        <v>0.19717341040462427</v>
      </c>
      <c r="QH104" s="439">
        <v>6</v>
      </c>
      <c r="QI104" s="1248">
        <v>416667</v>
      </c>
      <c r="QJ104" s="395">
        <v>519000</v>
      </c>
      <c r="QK104" s="208">
        <f t="shared" si="404"/>
        <v>102333</v>
      </c>
      <c r="QL104" s="1872">
        <f>QK104/QJ104</f>
        <v>0.19717341040462427</v>
      </c>
      <c r="QM104" s="401">
        <v>6</v>
      </c>
      <c r="QN104" s="395">
        <v>416667</v>
      </c>
      <c r="QO104" s="395">
        <v>519000</v>
      </c>
      <c r="QP104" s="395">
        <f t="shared" si="339"/>
        <v>102333</v>
      </c>
      <c r="QQ104" s="2003">
        <f t="shared" si="340"/>
        <v>0.19717341040462427</v>
      </c>
      <c r="QR104" s="209">
        <v>6</v>
      </c>
      <c r="QS104" s="208">
        <v>416667</v>
      </c>
      <c r="QT104" s="208">
        <v>519000</v>
      </c>
      <c r="QU104" s="395">
        <f>QT104-QS104</f>
        <v>102333</v>
      </c>
      <c r="QV104" s="157">
        <f>QU104/QT104</f>
        <v>0.19717341040462427</v>
      </c>
      <c r="QW104" s="209">
        <v>7</v>
      </c>
      <c r="QX104" s="208">
        <v>453826.80645161291</v>
      </c>
      <c r="QY104" s="208">
        <v>519000</v>
      </c>
      <c r="QZ104" s="395">
        <f>QY104-QX104</f>
        <v>65173.193548387091</v>
      </c>
      <c r="RA104" s="157">
        <f>QZ104/QY104</f>
        <v>0.12557455404313506</v>
      </c>
      <c r="RB104" s="209">
        <v>6</v>
      </c>
      <c r="RC104" s="208">
        <v>415001</v>
      </c>
      <c r="RD104" s="208">
        <v>533850</v>
      </c>
      <c r="RE104" s="208">
        <f t="shared" si="343"/>
        <v>118849</v>
      </c>
      <c r="RF104" s="114">
        <f>RE104/RD104</f>
        <v>0.22262620586307016</v>
      </c>
      <c r="RG104" s="1857">
        <v>6</v>
      </c>
      <c r="RH104" s="208">
        <v>415001</v>
      </c>
      <c r="RI104" s="208">
        <v>533850</v>
      </c>
      <c r="RJ104" s="772">
        <f t="shared" si="369"/>
        <v>118849</v>
      </c>
      <c r="RK104" s="116">
        <f t="shared" si="345"/>
        <v>0.22262620586307016</v>
      </c>
      <c r="RL104" s="1567">
        <v>6</v>
      </c>
      <c r="RM104" s="1568">
        <f t="shared" si="426"/>
        <v>5033831.8064516131</v>
      </c>
      <c r="RN104" s="1568">
        <f t="shared" si="426"/>
        <v>6257700</v>
      </c>
      <c r="RO104" s="1568">
        <f t="shared" si="426"/>
        <v>1223868.1935483871</v>
      </c>
      <c r="RP104" s="220">
        <f t="shared" si="347"/>
        <v>0.19557795892234961</v>
      </c>
      <c r="RQ104" s="1863">
        <f>(PD104+PI104+PN104)/3</f>
        <v>6</v>
      </c>
      <c r="RR104" s="105">
        <f t="shared" si="427"/>
        <v>1250001</v>
      </c>
      <c r="RS104" s="105">
        <f t="shared" si="427"/>
        <v>1557000</v>
      </c>
      <c r="RT104" s="105">
        <f t="shared" si="427"/>
        <v>306999</v>
      </c>
      <c r="RU104" s="106">
        <f>RT104/RS104</f>
        <v>0.19717341040462427</v>
      </c>
      <c r="RV104" s="358">
        <v>6</v>
      </c>
      <c r="RW104" s="358">
        <f t="shared" si="428"/>
        <v>1250001</v>
      </c>
      <c r="RX104" s="358">
        <f t="shared" si="428"/>
        <v>1557000</v>
      </c>
      <c r="RY104" s="359">
        <f t="shared" si="428"/>
        <v>306999</v>
      </c>
      <c r="RZ104" s="169">
        <f t="shared" si="362"/>
        <v>0.19717341040462427</v>
      </c>
      <c r="SA104" s="686">
        <v>6</v>
      </c>
      <c r="SB104" s="146">
        <f t="shared" si="374"/>
        <v>1250001</v>
      </c>
      <c r="SC104" s="146">
        <f t="shared" si="374"/>
        <v>1557000</v>
      </c>
      <c r="SD104" s="1864">
        <f t="shared" si="374"/>
        <v>306999</v>
      </c>
      <c r="SE104" s="203">
        <f t="shared" si="370"/>
        <v>0.19717341040462427</v>
      </c>
      <c r="SF104" s="1567">
        <v>6</v>
      </c>
      <c r="SG104" s="358">
        <f t="shared" si="421"/>
        <v>1283828.8064516129</v>
      </c>
      <c r="SH104" s="358">
        <f t="shared" si="421"/>
        <v>1586700</v>
      </c>
      <c r="SI104" s="359">
        <f t="shared" si="421"/>
        <v>302871.19354838709</v>
      </c>
      <c r="SJ104" s="114">
        <f t="shared" si="294"/>
        <v>0.19088119590873329</v>
      </c>
      <c r="SK104" s="1193"/>
      <c r="SL104" s="439">
        <v>6</v>
      </c>
      <c r="SM104" s="358">
        <v>415001</v>
      </c>
      <c r="SN104" s="208">
        <v>533850</v>
      </c>
      <c r="SO104" s="96">
        <f t="shared" si="264"/>
        <v>118849</v>
      </c>
      <c r="SP104" s="78">
        <f t="shared" si="375"/>
        <v>0.22262620586307016</v>
      </c>
      <c r="SQ104" s="439">
        <v>6</v>
      </c>
      <c r="SR104" s="208">
        <v>415001</v>
      </c>
      <c r="SS104" s="208">
        <v>533850</v>
      </c>
      <c r="ST104" s="96">
        <f t="shared" si="440"/>
        <v>118849</v>
      </c>
      <c r="SU104" s="78">
        <f>ST104/SS104</f>
        <v>0.22262620586307016</v>
      </c>
      <c r="SV104" s="440">
        <v>6</v>
      </c>
      <c r="SW104" s="435">
        <v>415001</v>
      </c>
      <c r="SX104" s="435">
        <v>533850</v>
      </c>
      <c r="SY104" s="371">
        <f>SX104-SW104</f>
        <v>118849</v>
      </c>
      <c r="SZ104" s="157">
        <f>SY104/SX104</f>
        <v>0.22262620586307016</v>
      </c>
      <c r="TA104" s="354">
        <v>6</v>
      </c>
      <c r="TB104" s="208">
        <v>415001</v>
      </c>
      <c r="TC104" s="994">
        <v>533850</v>
      </c>
      <c r="TD104" s="96">
        <f t="shared" si="280"/>
        <v>118849</v>
      </c>
      <c r="TE104" s="94">
        <f t="shared" si="295"/>
        <v>0.22262620586307016</v>
      </c>
      <c r="TF104" s="1573">
        <v>6</v>
      </c>
      <c r="TG104" s="395">
        <v>415001</v>
      </c>
      <c r="TH104" s="395">
        <v>533850</v>
      </c>
      <c r="TI104" s="395">
        <f>TH104-TG104</f>
        <v>118849</v>
      </c>
      <c r="TJ104" s="114">
        <f t="shared" si="296"/>
        <v>0.22262620586307016</v>
      </c>
      <c r="TK104" s="209">
        <v>6</v>
      </c>
      <c r="TL104" s="208">
        <v>415001</v>
      </c>
      <c r="TM104" s="208">
        <v>533850</v>
      </c>
      <c r="TN104" s="395">
        <f t="shared" si="443"/>
        <v>118849</v>
      </c>
      <c r="TO104" s="114">
        <f t="shared" si="444"/>
        <v>0.22262620586307016</v>
      </c>
      <c r="TP104" s="4432">
        <v>6</v>
      </c>
      <c r="TQ104" s="208">
        <v>398631</v>
      </c>
      <c r="TR104" s="208">
        <v>533850</v>
      </c>
      <c r="TS104" s="994">
        <f t="shared" si="352"/>
        <v>135219</v>
      </c>
      <c r="TT104" s="114">
        <f t="shared" si="365"/>
        <v>0.25329025007024447</v>
      </c>
      <c r="TU104" s="4434">
        <v>5</v>
      </c>
      <c r="TV104" s="395">
        <v>356667</v>
      </c>
      <c r="TW104" s="395">
        <v>505355.17</v>
      </c>
      <c r="TX104" s="772">
        <f t="shared" si="441"/>
        <v>148688.16999999998</v>
      </c>
      <c r="TY104" s="116">
        <f t="shared" si="366"/>
        <v>0.29422508925752155</v>
      </c>
      <c r="TZ104" s="209">
        <v>5</v>
      </c>
      <c r="UA104" s="208">
        <v>356667</v>
      </c>
      <c r="UB104" s="208">
        <v>519000</v>
      </c>
      <c r="UC104" s="772">
        <f t="shared" si="442"/>
        <v>162333</v>
      </c>
      <c r="UD104" s="116">
        <f>UC104/UB104</f>
        <v>0.31278034682080924</v>
      </c>
      <c r="UE104" s="1868">
        <v>5</v>
      </c>
      <c r="UF104" s="1575">
        <v>356667</v>
      </c>
      <c r="UG104" s="1575">
        <v>472290</v>
      </c>
      <c r="UH104" s="1575">
        <f t="shared" si="322"/>
        <v>115623</v>
      </c>
      <c r="UI104" s="6495">
        <f t="shared" si="367"/>
        <v>0.24481356793495521</v>
      </c>
      <c r="UJ104" s="209"/>
      <c r="UK104" s="208"/>
      <c r="UL104" s="208"/>
      <c r="UM104" s="208">
        <f t="shared" si="429"/>
        <v>0</v>
      </c>
      <c r="UN104" s="114" t="e">
        <f>UM104/UL104</f>
        <v>#DIV/0!</v>
      </c>
      <c r="UO104" s="1567"/>
      <c r="UP104" s="1568"/>
      <c r="UQ104" s="1568"/>
      <c r="UR104" s="1873">
        <f t="shared" si="323"/>
        <v>0</v>
      </c>
      <c r="US104" s="116" t="e">
        <f>UR104/UQ104</f>
        <v>#DIV/0!</v>
      </c>
      <c r="UT104" s="1567"/>
      <c r="UU104" s="358">
        <f t="shared" si="371"/>
        <v>3958638</v>
      </c>
      <c r="UV104" s="358">
        <f t="shared" si="371"/>
        <v>5233595.17</v>
      </c>
      <c r="UW104" s="358">
        <f t="shared" si="371"/>
        <v>1274957.17</v>
      </c>
      <c r="UX104" s="220">
        <f t="shared" si="358"/>
        <v>0.24361020074848472</v>
      </c>
      <c r="UY104" s="4441">
        <f t="shared" si="324"/>
        <v>6</v>
      </c>
      <c r="UZ104" s="4442">
        <f t="shared" si="424"/>
        <v>1245003</v>
      </c>
      <c r="VA104" s="4442">
        <f t="shared" si="424"/>
        <v>1601550</v>
      </c>
      <c r="VB104" s="4442">
        <f t="shared" si="424"/>
        <v>356547</v>
      </c>
      <c r="VC104" s="4443">
        <f t="shared" si="325"/>
        <v>0.22262620586307016</v>
      </c>
      <c r="VD104" s="4438"/>
      <c r="VE104" s="4438">
        <f t="shared" si="423"/>
        <v>1245003</v>
      </c>
      <c r="VF104" s="4438">
        <f t="shared" si="423"/>
        <v>1601550</v>
      </c>
      <c r="VG104" s="4444">
        <f t="shared" si="423"/>
        <v>356547</v>
      </c>
      <c r="VH104" s="4445">
        <f t="shared" si="372"/>
        <v>0.22262620586307016</v>
      </c>
      <c r="VI104" s="4446"/>
      <c r="VJ104" s="146">
        <f t="shared" si="373"/>
        <v>1111965</v>
      </c>
      <c r="VK104" s="146">
        <f t="shared" si="373"/>
        <v>1558205.17</v>
      </c>
      <c r="VL104" s="1864">
        <f t="shared" si="373"/>
        <v>446240.17</v>
      </c>
      <c r="VM104" s="4447">
        <f>VL104/VK104</f>
        <v>0.28638088140857598</v>
      </c>
      <c r="VN104" s="4449"/>
      <c r="VO104" s="4438">
        <f t="shared" si="368"/>
        <v>356667</v>
      </c>
      <c r="VP104" s="4438">
        <f t="shared" si="361"/>
        <v>472290</v>
      </c>
      <c r="VQ104" s="4444">
        <f t="shared" si="361"/>
        <v>115623</v>
      </c>
      <c r="VR104" s="4448">
        <f>VQ104/VP104</f>
        <v>0.24481356793495521</v>
      </c>
    </row>
    <row r="105" spans="1:745" s="4451" customFormat="1" ht="13.45" x14ac:dyDescent="0.3">
      <c r="A105" s="4450"/>
      <c r="B105" s="1773" t="s">
        <v>53</v>
      </c>
      <c r="C105" s="4124" t="s">
        <v>832</v>
      </c>
      <c r="D105" s="1992" t="s">
        <v>292</v>
      </c>
      <c r="E105" s="1993">
        <v>45488</v>
      </c>
      <c r="F105" s="1993">
        <v>45852</v>
      </c>
      <c r="G105" s="1994">
        <v>688250</v>
      </c>
      <c r="H105" s="2031"/>
      <c r="I105" s="1914"/>
      <c r="J105" s="1914"/>
      <c r="K105" s="1914"/>
      <c r="L105" s="593"/>
      <c r="M105" s="2031"/>
      <c r="N105" s="1914"/>
      <c r="O105" s="1914"/>
      <c r="P105" s="1914"/>
      <c r="Q105" s="593"/>
      <c r="R105" s="2031"/>
      <c r="S105" s="1914"/>
      <c r="T105" s="1914"/>
      <c r="U105" s="1914"/>
      <c r="V105" s="593"/>
      <c r="W105" s="2031"/>
      <c r="X105" s="1914"/>
      <c r="Y105" s="1914"/>
      <c r="Z105" s="1914"/>
      <c r="AA105" s="2032"/>
      <c r="AB105" s="2031"/>
      <c r="AC105" s="1914"/>
      <c r="AD105" s="1914"/>
      <c r="AE105" s="1914"/>
      <c r="AF105" s="2032"/>
      <c r="AG105" s="1914"/>
      <c r="AH105" s="1914"/>
      <c r="AI105" s="1914"/>
      <c r="AJ105" s="1914"/>
      <c r="AK105" s="593"/>
      <c r="AL105" s="1914"/>
      <c r="AM105" s="1914"/>
      <c r="AN105" s="1914"/>
      <c r="AO105" s="1914"/>
      <c r="AP105" s="593"/>
      <c r="AQ105" s="1914"/>
      <c r="AR105" s="1914"/>
      <c r="AS105" s="1914"/>
      <c r="AT105" s="1914"/>
      <c r="AU105" s="593"/>
      <c r="AV105" s="2033"/>
      <c r="AW105" s="1914"/>
      <c r="AX105" s="1914"/>
      <c r="AY105" s="1914"/>
      <c r="AZ105" s="2032"/>
      <c r="BA105" s="2033"/>
      <c r="BB105" s="1914"/>
      <c r="BC105" s="1914"/>
      <c r="BD105" s="1914"/>
      <c r="BE105" s="2032"/>
      <c r="BF105" s="2033"/>
      <c r="BG105" s="1914"/>
      <c r="BH105" s="1914"/>
      <c r="BI105" s="1914"/>
      <c r="BJ105" s="2032"/>
      <c r="BK105" s="2033"/>
      <c r="BL105" s="1914"/>
      <c r="BM105" s="1914"/>
      <c r="BN105" s="1914"/>
      <c r="BO105" s="2032"/>
      <c r="BP105" s="2034"/>
      <c r="BQ105" s="1914"/>
      <c r="BR105" s="1914"/>
      <c r="BS105" s="1914"/>
      <c r="BT105" s="2035"/>
      <c r="BU105" s="1914"/>
      <c r="BV105" s="1914"/>
      <c r="BW105" s="2036"/>
      <c r="BX105" s="2035"/>
      <c r="BY105" s="1914"/>
      <c r="BZ105" s="1914"/>
      <c r="CA105" s="2010"/>
      <c r="CB105" s="1914"/>
      <c r="CC105" s="1914"/>
      <c r="CD105" s="1914"/>
      <c r="CE105" s="1914"/>
      <c r="CF105" s="2035"/>
      <c r="CG105" s="1914"/>
      <c r="CH105" s="1914"/>
      <c r="CI105" s="2010"/>
      <c r="CJ105" s="2037"/>
      <c r="CK105" s="1914"/>
      <c r="CL105" s="1914"/>
      <c r="CM105" s="1914"/>
      <c r="CN105" s="2036"/>
      <c r="CO105" s="2037"/>
      <c r="CP105" s="2031"/>
      <c r="CQ105" s="2031"/>
      <c r="CR105" s="2031"/>
      <c r="CS105" s="2036"/>
      <c r="CT105" s="2037"/>
      <c r="CU105" s="1914"/>
      <c r="CV105" s="1914"/>
      <c r="CW105" s="1914"/>
      <c r="CX105" s="2036"/>
      <c r="CY105" s="2037"/>
      <c r="CZ105" s="1914"/>
      <c r="DA105" s="1914"/>
      <c r="DB105" s="1914"/>
      <c r="DC105" s="2036"/>
      <c r="DD105" s="2037"/>
      <c r="DE105" s="1914"/>
      <c r="DF105" s="1914"/>
      <c r="DG105" s="1914"/>
      <c r="DH105" s="2038"/>
      <c r="DI105" s="2037"/>
      <c r="DJ105" s="1914"/>
      <c r="DK105" s="1914"/>
      <c r="DL105" s="1914"/>
      <c r="DM105" s="2038"/>
      <c r="DN105" s="2037"/>
      <c r="DO105" s="1914"/>
      <c r="DP105" s="1914"/>
      <c r="DQ105" s="1914"/>
      <c r="DR105" s="2038"/>
      <c r="DS105" s="2037"/>
      <c r="DT105" s="1914"/>
      <c r="DU105" s="1914"/>
      <c r="DV105" s="1914"/>
      <c r="DW105" s="2038"/>
      <c r="DX105" s="2037"/>
      <c r="DY105" s="1914"/>
      <c r="DZ105" s="1914"/>
      <c r="EA105" s="1914"/>
      <c r="EB105" s="2038"/>
      <c r="EC105" s="2037"/>
      <c r="ED105" s="1914"/>
      <c r="EE105" s="1914"/>
      <c r="EF105" s="1914"/>
      <c r="EG105" s="2038"/>
      <c r="EH105" s="2037"/>
      <c r="EI105" s="1914"/>
      <c r="EJ105" s="1914"/>
      <c r="EK105" s="1914"/>
      <c r="EL105" s="2038"/>
      <c r="EM105" s="1910"/>
      <c r="EN105" s="715"/>
      <c r="EO105" s="715"/>
      <c r="EP105" s="715"/>
      <c r="EQ105" s="366"/>
      <c r="ER105" s="1713"/>
      <c r="ES105" s="1714"/>
      <c r="ET105" s="1714"/>
      <c r="EU105" s="1714"/>
      <c r="EV105" s="1715"/>
      <c r="EW105" s="2031"/>
      <c r="EX105" s="2031"/>
      <c r="EY105" s="2031"/>
      <c r="EZ105" s="593"/>
      <c r="FA105" s="2037"/>
      <c r="FB105" s="2031"/>
      <c r="FC105" s="2031"/>
      <c r="FD105" s="2036"/>
      <c r="FE105" s="2031"/>
      <c r="FF105" s="2031"/>
      <c r="FG105" s="2031"/>
      <c r="FH105" s="593"/>
      <c r="FI105" s="2039"/>
      <c r="FJ105" s="2040"/>
      <c r="FK105" s="2041"/>
      <c r="FL105" s="2041"/>
      <c r="FM105" s="693"/>
      <c r="FN105" s="2031"/>
      <c r="FO105" s="1914"/>
      <c r="FP105" s="1914"/>
      <c r="FQ105" s="1914"/>
      <c r="FR105" s="2032"/>
      <c r="FS105" s="1910"/>
      <c r="FT105" s="715"/>
      <c r="FU105" s="715"/>
      <c r="FV105" s="715"/>
      <c r="FW105" s="2109"/>
      <c r="FX105" s="2037"/>
      <c r="FY105" s="1914"/>
      <c r="FZ105" s="1914"/>
      <c r="GA105" s="715"/>
      <c r="GB105" s="2109"/>
      <c r="GC105" s="2110"/>
      <c r="GD105" s="2111"/>
      <c r="GE105" s="2111"/>
      <c r="GF105" s="715"/>
      <c r="GG105" s="366"/>
      <c r="GH105" s="2042"/>
      <c r="GI105" s="2043"/>
      <c r="GJ105" s="2043"/>
      <c r="GK105" s="2112"/>
      <c r="GL105" s="2109"/>
      <c r="GM105" s="2042"/>
      <c r="GN105" s="2043"/>
      <c r="GO105" s="2043"/>
      <c r="GP105" s="2112"/>
      <c r="GQ105" s="2109"/>
      <c r="GR105" s="1903"/>
      <c r="GS105" s="1904"/>
      <c r="GT105" s="1904"/>
      <c r="GU105" s="2112"/>
      <c r="GV105" s="2109"/>
      <c r="GW105" s="1903"/>
      <c r="GX105" s="1904"/>
      <c r="GY105" s="1904"/>
      <c r="GZ105" s="2112"/>
      <c r="HA105" s="2109"/>
      <c r="HB105" s="1903"/>
      <c r="HC105" s="1904"/>
      <c r="HD105" s="1904"/>
      <c r="HE105" s="2112"/>
      <c r="HF105" s="2109"/>
      <c r="HG105" s="1903"/>
      <c r="HH105" s="1904"/>
      <c r="HI105" s="1904"/>
      <c r="HJ105" s="2113"/>
      <c r="HK105" s="2109"/>
      <c r="HL105" s="1903"/>
      <c r="HM105" s="1904"/>
      <c r="HN105" s="1904"/>
      <c r="HO105" s="715"/>
      <c r="HP105" s="366"/>
      <c r="HQ105" s="2114"/>
      <c r="HR105" s="1904"/>
      <c r="HS105" s="1904"/>
      <c r="HT105" s="1904"/>
      <c r="HU105" s="2115"/>
      <c r="HV105" s="1827"/>
      <c r="HW105" s="1089"/>
      <c r="HX105" s="1089"/>
      <c r="HY105" s="1089"/>
      <c r="HZ105" s="1906"/>
      <c r="IA105" s="1907"/>
      <c r="IB105" s="1908"/>
      <c r="IC105" s="1908"/>
      <c r="ID105" s="1909"/>
      <c r="IE105" s="1910"/>
      <c r="IF105" s="1911"/>
      <c r="IG105" s="1912"/>
      <c r="IH105" s="1909"/>
      <c r="II105" s="1907"/>
      <c r="IJ105" s="2116"/>
      <c r="IK105" s="2116"/>
      <c r="IL105" s="693"/>
      <c r="IM105" s="2117"/>
      <c r="IN105" s="2116"/>
      <c r="IO105" s="2116"/>
      <c r="IP105" s="1838"/>
      <c r="IQ105" s="1914"/>
      <c r="IR105" s="2044"/>
      <c r="IS105" s="2118"/>
      <c r="IT105" s="2118"/>
      <c r="IU105" s="2119"/>
      <c r="IV105" s="2120"/>
      <c r="IW105" s="2121"/>
      <c r="IX105" s="2122"/>
      <c r="IY105" s="2123"/>
      <c r="IZ105" s="2124"/>
      <c r="JA105" s="2125"/>
      <c r="JB105" s="2046"/>
      <c r="JC105" s="2047"/>
      <c r="JD105" s="2048"/>
      <c r="JE105" s="2124"/>
      <c r="JF105" s="2125"/>
      <c r="JG105" s="1988"/>
      <c r="JH105" s="2049"/>
      <c r="JI105" s="2049"/>
      <c r="JJ105" s="2126"/>
      <c r="JK105" s="2125"/>
      <c r="JL105" s="2127"/>
      <c r="JM105" s="2049"/>
      <c r="JN105" s="2049"/>
      <c r="JO105" s="2128"/>
      <c r="JP105" s="2125"/>
      <c r="JQ105" s="2129"/>
      <c r="JR105" s="2130"/>
      <c r="JS105" s="1904"/>
      <c r="JT105" s="2131"/>
      <c r="JU105" s="2132"/>
      <c r="JV105" s="1849"/>
      <c r="JW105" s="1119"/>
      <c r="JX105" s="1850"/>
      <c r="JY105" s="1850"/>
      <c r="JZ105" s="2125"/>
      <c r="KA105" s="1849"/>
      <c r="KB105" s="1850"/>
      <c r="KC105" s="1850"/>
      <c r="KD105" s="1108"/>
      <c r="KE105" s="2133"/>
      <c r="KF105" s="1849"/>
      <c r="KG105" s="1850"/>
      <c r="KH105" s="1850"/>
      <c r="KI105" s="2124"/>
      <c r="KJ105" s="2125"/>
      <c r="KK105" s="1849"/>
      <c r="KL105" s="1850"/>
      <c r="KM105" s="1850"/>
      <c r="KN105" s="2134"/>
      <c r="KO105" s="2135"/>
      <c r="KP105" s="2136"/>
      <c r="KQ105" s="2130"/>
      <c r="KR105" s="1904"/>
      <c r="KS105" s="2131"/>
      <c r="KT105" s="2137"/>
      <c r="KU105" s="2138"/>
      <c r="KV105" s="1244"/>
      <c r="KW105" s="1850"/>
      <c r="KX105" s="1850"/>
      <c r="KY105" s="2418"/>
      <c r="KZ105" s="1857"/>
      <c r="LA105" s="358"/>
      <c r="LB105" s="358"/>
      <c r="LC105" s="358"/>
      <c r="LD105" s="151"/>
      <c r="LE105" s="2139"/>
      <c r="LF105" s="2140"/>
      <c r="LG105" s="2140"/>
      <c r="LH105" s="2141"/>
      <c r="LI105" s="2142"/>
      <c r="LJ105" s="2143"/>
      <c r="LK105" s="2139"/>
      <c r="LL105" s="2141"/>
      <c r="LM105" s="1705"/>
      <c r="LN105" s="2144"/>
      <c r="LO105" s="2144"/>
      <c r="LP105" s="201"/>
      <c r="LQ105" s="4957"/>
      <c r="LR105" s="4958"/>
      <c r="LS105" s="4958"/>
      <c r="LT105" s="1999"/>
      <c r="LU105" s="1193"/>
      <c r="LV105" s="440"/>
      <c r="LW105" s="435"/>
      <c r="LX105" s="435"/>
      <c r="LY105" s="2146"/>
      <c r="LZ105" s="461"/>
      <c r="MA105" s="2147"/>
      <c r="MB105" s="1592"/>
      <c r="MC105" s="1592"/>
      <c r="MD105" s="2148"/>
      <c r="ME105" s="1595"/>
      <c r="MF105" s="440"/>
      <c r="MG105" s="435"/>
      <c r="MH105" s="435"/>
      <c r="MI105" s="2151"/>
      <c r="MJ105" s="1595"/>
      <c r="MK105" s="2152"/>
      <c r="ML105" s="435"/>
      <c r="MM105" s="435"/>
      <c r="MN105" s="2151"/>
      <c r="MO105" s="1595"/>
      <c r="MP105" s="2153"/>
      <c r="MQ105" s="1904"/>
      <c r="MR105" s="715"/>
      <c r="MS105" s="1904"/>
      <c r="MT105" s="790"/>
      <c r="MU105" s="209"/>
      <c r="MV105" s="208"/>
      <c r="MW105" s="208"/>
      <c r="MX105" s="208"/>
      <c r="MY105" s="597"/>
      <c r="MZ105" s="209"/>
      <c r="NA105" s="208"/>
      <c r="NB105" s="208"/>
      <c r="NC105" s="395"/>
      <c r="ND105" s="801"/>
      <c r="NE105" s="209"/>
      <c r="NF105" s="208"/>
      <c r="NG105" s="208"/>
      <c r="NH105" s="395"/>
      <c r="NI105" s="1313"/>
      <c r="NJ105" s="209"/>
      <c r="NK105" s="208"/>
      <c r="NL105" s="208"/>
      <c r="NM105" s="395"/>
      <c r="NN105" s="1313"/>
      <c r="NO105" s="1022"/>
      <c r="NP105" s="1568"/>
      <c r="NQ105" s="1871"/>
      <c r="NR105" s="2001"/>
      <c r="NS105" s="1313"/>
      <c r="NT105" s="357"/>
      <c r="NU105" s="358"/>
      <c r="NV105" s="358"/>
      <c r="NW105" s="395"/>
      <c r="NX105" s="1313"/>
      <c r="NY105" s="357"/>
      <c r="NZ105" s="358"/>
      <c r="OA105" s="358"/>
      <c r="OB105" s="622"/>
      <c r="OC105" s="116"/>
      <c r="OD105" s="191"/>
      <c r="OE105" s="358"/>
      <c r="OF105" s="358"/>
      <c r="OG105" s="358"/>
      <c r="OH105" s="220"/>
      <c r="OI105" s="1863"/>
      <c r="OJ105" s="105"/>
      <c r="OK105" s="105"/>
      <c r="OL105" s="105"/>
      <c r="OM105" s="106"/>
      <c r="ON105" s="358"/>
      <c r="OO105" s="358"/>
      <c r="OP105" s="358"/>
      <c r="OQ105" s="359"/>
      <c r="OR105" s="169"/>
      <c r="OS105" s="686"/>
      <c r="OT105" s="146"/>
      <c r="OU105" s="146"/>
      <c r="OV105" s="1864"/>
      <c r="OW105" s="203"/>
      <c r="OX105" s="357">
        <f>(NO105+NT105+NY105)/3</f>
        <v>0</v>
      </c>
      <c r="OY105" s="358">
        <f t="shared" si="425"/>
        <v>0</v>
      </c>
      <c r="OZ105" s="358">
        <f t="shared" si="425"/>
        <v>0</v>
      </c>
      <c r="PA105" s="359">
        <f t="shared" si="425"/>
        <v>0</v>
      </c>
      <c r="PB105" s="114"/>
      <c r="PC105" s="79"/>
      <c r="PD105" s="440"/>
      <c r="PE105" s="1585"/>
      <c r="PF105" s="208"/>
      <c r="PG105" s="96"/>
      <c r="PH105" s="461"/>
      <c r="PI105" s="439"/>
      <c r="PJ105" s="208"/>
      <c r="PK105" s="208"/>
      <c r="PL105" s="96"/>
      <c r="PM105" s="78"/>
      <c r="PN105" s="440"/>
      <c r="PO105" s="435">
        <v>0</v>
      </c>
      <c r="PP105" s="435">
        <v>0</v>
      </c>
      <c r="PQ105" s="2151">
        <v>0</v>
      </c>
      <c r="PR105" s="1595"/>
      <c r="PS105" s="4102">
        <v>1</v>
      </c>
      <c r="PT105" s="435">
        <v>8000</v>
      </c>
      <c r="PU105" s="435">
        <v>0</v>
      </c>
      <c r="PV105" s="2151">
        <f>PU105-PT105</f>
        <v>-8000</v>
      </c>
      <c r="PW105" s="157"/>
      <c r="PX105" s="2637">
        <v>6</v>
      </c>
      <c r="PY105" s="1904">
        <v>189529</v>
      </c>
      <c r="PZ105" s="715">
        <v>370278</v>
      </c>
      <c r="QA105" s="1248">
        <f>PZ105-PY105</f>
        <v>180749</v>
      </c>
      <c r="QB105" s="655">
        <f>QA105/PZ105</f>
        <v>0.48814404312435522</v>
      </c>
      <c r="QC105" s="209">
        <v>7</v>
      </c>
      <c r="QD105" s="1904">
        <v>270309</v>
      </c>
      <c r="QE105" s="715">
        <v>370278</v>
      </c>
      <c r="QF105" s="208">
        <f>QE105-QD105</f>
        <v>99969</v>
      </c>
      <c r="QG105" s="655">
        <f>QF105/QE105</f>
        <v>0.26998363391829922</v>
      </c>
      <c r="QH105" s="439">
        <v>9</v>
      </c>
      <c r="QI105" s="208">
        <v>348836</v>
      </c>
      <c r="QJ105" s="4959">
        <v>370278</v>
      </c>
      <c r="QK105" s="208">
        <f t="shared" si="404"/>
        <v>21442</v>
      </c>
      <c r="QL105" s="1872">
        <f>QK105/QJ105</f>
        <v>5.7907842215848632E-2</v>
      </c>
      <c r="QM105" s="401">
        <v>9</v>
      </c>
      <c r="QN105" s="395">
        <v>380430</v>
      </c>
      <c r="QO105" s="395">
        <v>420000</v>
      </c>
      <c r="QP105" s="395">
        <f t="shared" si="339"/>
        <v>39570</v>
      </c>
      <c r="QQ105" s="2003">
        <f t="shared" si="340"/>
        <v>9.4214285714285709E-2</v>
      </c>
      <c r="QR105" s="209">
        <v>9</v>
      </c>
      <c r="QS105" s="208">
        <v>394557</v>
      </c>
      <c r="QT105" s="208">
        <v>420000</v>
      </c>
      <c r="QU105" s="395">
        <f>QT105-QS105</f>
        <v>25443</v>
      </c>
      <c r="QV105" s="157">
        <f>QU105/QT105</f>
        <v>6.0578571428571426E-2</v>
      </c>
      <c r="QW105" s="209">
        <v>10</v>
      </c>
      <c r="QX105" s="208">
        <v>421328</v>
      </c>
      <c r="QY105" s="208">
        <v>445000</v>
      </c>
      <c r="QZ105" s="395">
        <f>QY105-QX105</f>
        <v>23672</v>
      </c>
      <c r="RA105" s="157">
        <f>QZ105/QY105</f>
        <v>5.3195505617977527E-2</v>
      </c>
      <c r="RB105" s="209">
        <v>9</v>
      </c>
      <c r="RC105" s="208">
        <v>392966</v>
      </c>
      <c r="RD105" s="208">
        <v>688250</v>
      </c>
      <c r="RE105" s="208">
        <f t="shared" si="343"/>
        <v>295284</v>
      </c>
      <c r="RF105" s="114">
        <f>RE105/RD105</f>
        <v>0.429035960770069</v>
      </c>
      <c r="RG105" s="1857">
        <v>9</v>
      </c>
      <c r="RH105" s="208">
        <v>397287</v>
      </c>
      <c r="RI105" s="208">
        <v>688250</v>
      </c>
      <c r="RJ105" s="772">
        <f t="shared" si="369"/>
        <v>290963</v>
      </c>
      <c r="RK105" s="116">
        <f t="shared" si="345"/>
        <v>0.42275771885216129</v>
      </c>
      <c r="RL105" s="1567">
        <v>9</v>
      </c>
      <c r="RM105" s="1568">
        <f t="shared" si="426"/>
        <v>2803242</v>
      </c>
      <c r="RN105" s="1568">
        <f t="shared" si="426"/>
        <v>3772334</v>
      </c>
      <c r="RO105" s="1568">
        <f t="shared" si="426"/>
        <v>969092</v>
      </c>
      <c r="RP105" s="220">
        <f t="shared" si="347"/>
        <v>0.2568945379703918</v>
      </c>
      <c r="RQ105" s="1863"/>
      <c r="RR105" s="105"/>
      <c r="RS105" s="105"/>
      <c r="RT105" s="105"/>
      <c r="RU105" s="106"/>
      <c r="RV105" s="358">
        <v>7</v>
      </c>
      <c r="RW105" s="358">
        <f t="shared" si="428"/>
        <v>467838</v>
      </c>
      <c r="RX105" s="358">
        <f t="shared" si="428"/>
        <v>740556</v>
      </c>
      <c r="RY105" s="359">
        <f t="shared" si="428"/>
        <v>272718</v>
      </c>
      <c r="RZ105" s="169">
        <f t="shared" si="362"/>
        <v>0.36826114432939577</v>
      </c>
      <c r="SA105" s="686">
        <v>9</v>
      </c>
      <c r="SB105" s="146">
        <f t="shared" si="374"/>
        <v>1123823</v>
      </c>
      <c r="SC105" s="146">
        <f t="shared" si="374"/>
        <v>1210278</v>
      </c>
      <c r="SD105" s="1864">
        <f t="shared" si="374"/>
        <v>86455</v>
      </c>
      <c r="SE105" s="203">
        <f t="shared" si="370"/>
        <v>7.1434001113793694E-2</v>
      </c>
      <c r="SF105" s="1567">
        <v>9</v>
      </c>
      <c r="SG105" s="358">
        <f t="shared" si="421"/>
        <v>1211581</v>
      </c>
      <c r="SH105" s="358">
        <f t="shared" si="421"/>
        <v>1821500</v>
      </c>
      <c r="SI105" s="359">
        <f t="shared" si="421"/>
        <v>609919</v>
      </c>
      <c r="SJ105" s="114">
        <f t="shared" si="294"/>
        <v>0.33484435904474336</v>
      </c>
      <c r="SK105" s="1193"/>
      <c r="SL105" s="440">
        <v>9</v>
      </c>
      <c r="SM105" s="1585">
        <v>389528</v>
      </c>
      <c r="SN105" s="208">
        <v>688250</v>
      </c>
      <c r="SO105" s="96">
        <f t="shared" si="264"/>
        <v>298722</v>
      </c>
      <c r="SP105" s="78">
        <f t="shared" si="375"/>
        <v>0.43403123864874682</v>
      </c>
      <c r="SQ105" s="439">
        <v>10</v>
      </c>
      <c r="SR105" s="208">
        <v>433667</v>
      </c>
      <c r="SS105" s="208">
        <v>688250</v>
      </c>
      <c r="ST105" s="96">
        <f t="shared" si="440"/>
        <v>254583</v>
      </c>
      <c r="SU105" s="78">
        <f>ST105/SS105</f>
        <v>0.36989901925172541</v>
      </c>
      <c r="SV105" s="440">
        <v>11</v>
      </c>
      <c r="SW105" s="435">
        <v>465489</v>
      </c>
      <c r="SX105" s="435">
        <v>695250</v>
      </c>
      <c r="SY105" s="371">
        <f t="shared" ref="SY105:SY119" si="445">SX105-SW105</f>
        <v>229761</v>
      </c>
      <c r="SZ105" s="157">
        <f t="shared" ref="SZ105:SZ119" si="446">SY105/SX105</f>
        <v>0.3304724919093851</v>
      </c>
      <c r="TA105" s="4102">
        <v>12</v>
      </c>
      <c r="TB105" s="435">
        <v>500945</v>
      </c>
      <c r="TC105" s="1584">
        <v>688250</v>
      </c>
      <c r="TD105" s="96">
        <f t="shared" si="280"/>
        <v>187305</v>
      </c>
      <c r="TE105" s="94">
        <f t="shared" si="295"/>
        <v>0.27214674900108971</v>
      </c>
      <c r="TF105" s="1573">
        <v>13</v>
      </c>
      <c r="TG105" s="395">
        <v>612234</v>
      </c>
      <c r="TH105" s="395">
        <v>688250</v>
      </c>
      <c r="TI105" s="395">
        <f>TH105-TG105</f>
        <v>76016</v>
      </c>
      <c r="TJ105" s="114">
        <f t="shared" si="296"/>
        <v>0.11044823828550672</v>
      </c>
      <c r="TK105" s="209">
        <v>14</v>
      </c>
      <c r="TL105" s="208">
        <v>656753</v>
      </c>
      <c r="TM105" s="208">
        <v>688250</v>
      </c>
      <c r="TN105" s="395">
        <f t="shared" si="443"/>
        <v>31497</v>
      </c>
      <c r="TO105" s="114">
        <f t="shared" si="444"/>
        <v>4.5763893933890298E-2</v>
      </c>
      <c r="TP105" s="4432">
        <v>14</v>
      </c>
      <c r="TQ105" s="208">
        <v>761763</v>
      </c>
      <c r="TR105" s="208">
        <v>1151163.0199999998</v>
      </c>
      <c r="TS105" s="994">
        <f t="shared" si="352"/>
        <v>389400.01999999979</v>
      </c>
      <c r="TT105" s="114">
        <f t="shared" si="365"/>
        <v>0.33826661666042734</v>
      </c>
      <c r="TU105" s="4434">
        <v>14</v>
      </c>
      <c r="TV105" s="395">
        <v>758474</v>
      </c>
      <c r="TW105" s="208">
        <v>1151163.0199999998</v>
      </c>
      <c r="TX105" s="772">
        <f t="shared" si="441"/>
        <v>392689.01999999979</v>
      </c>
      <c r="TY105" s="116">
        <f t="shared" si="366"/>
        <v>0.34112372720242512</v>
      </c>
      <c r="TZ105" s="209">
        <v>16</v>
      </c>
      <c r="UA105" s="208">
        <v>925567</v>
      </c>
      <c r="UB105" s="208">
        <v>1151163.0199999998</v>
      </c>
      <c r="UC105" s="772">
        <f t="shared" si="442"/>
        <v>225596.01999999979</v>
      </c>
      <c r="UD105" s="116">
        <f>UC105/UB105</f>
        <v>0.19597226116592925</v>
      </c>
      <c r="UE105" s="1868">
        <v>15</v>
      </c>
      <c r="UF105" s="1575">
        <v>880730</v>
      </c>
      <c r="UG105" s="1575">
        <v>1299429.4600000002</v>
      </c>
      <c r="UH105" s="1575">
        <f t="shared" si="322"/>
        <v>418699.4600000002</v>
      </c>
      <c r="UI105" s="6495">
        <f t="shared" si="367"/>
        <v>0.32221792170234476</v>
      </c>
      <c r="UJ105" s="209"/>
      <c r="UK105" s="208"/>
      <c r="UL105" s="395"/>
      <c r="UM105" s="208">
        <f t="shared" si="429"/>
        <v>0</v>
      </c>
      <c r="UN105" s="114" t="e">
        <f>UM105/UL105</f>
        <v>#DIV/0!</v>
      </c>
      <c r="UO105" s="1567"/>
      <c r="UP105" s="1568"/>
      <c r="UQ105" s="1568"/>
      <c r="UR105" s="1873">
        <f t="shared" si="323"/>
        <v>0</v>
      </c>
      <c r="US105" s="116" t="e">
        <f>UR105/UQ105</f>
        <v>#DIV/0!</v>
      </c>
      <c r="UT105" s="1567"/>
      <c r="UU105" s="358">
        <f t="shared" si="371"/>
        <v>6385150</v>
      </c>
      <c r="UV105" s="358">
        <f t="shared" si="371"/>
        <v>8889418.5199999996</v>
      </c>
      <c r="UW105" s="358">
        <f t="shared" si="371"/>
        <v>2504268.5199999996</v>
      </c>
      <c r="UX105" s="220">
        <f t="shared" si="358"/>
        <v>0.28171342302825897</v>
      </c>
      <c r="UY105" s="4441">
        <f t="shared" si="324"/>
        <v>10</v>
      </c>
      <c r="UZ105" s="4442">
        <f t="shared" si="424"/>
        <v>1288684</v>
      </c>
      <c r="VA105" s="4442">
        <f t="shared" si="424"/>
        <v>2071750</v>
      </c>
      <c r="VB105" s="4442">
        <f t="shared" si="424"/>
        <v>783066</v>
      </c>
      <c r="VC105" s="4443">
        <f t="shared" si="325"/>
        <v>0.37797321105345721</v>
      </c>
      <c r="VD105" s="4438"/>
      <c r="VE105" s="4438">
        <f t="shared" si="423"/>
        <v>1769932</v>
      </c>
      <c r="VF105" s="4438">
        <f t="shared" si="423"/>
        <v>2064750</v>
      </c>
      <c r="VG105" s="4444">
        <f t="shared" si="423"/>
        <v>294818</v>
      </c>
      <c r="VH105" s="4445">
        <f t="shared" si="372"/>
        <v>0.14278629374016225</v>
      </c>
      <c r="VI105" s="4446"/>
      <c r="VJ105" s="146">
        <f t="shared" si="373"/>
        <v>2445804</v>
      </c>
      <c r="VK105" s="146">
        <f t="shared" si="373"/>
        <v>3453489.0599999996</v>
      </c>
      <c r="VL105" s="1864">
        <f t="shared" si="373"/>
        <v>1007685.0599999994</v>
      </c>
      <c r="VM105" s="4447">
        <f>VL105/VK105</f>
        <v>0.29178753500959387</v>
      </c>
      <c r="VN105" s="4449"/>
      <c r="VO105" s="4438">
        <f t="shared" si="368"/>
        <v>880730</v>
      </c>
      <c r="VP105" s="4438">
        <f t="shared" si="361"/>
        <v>1299429.4600000002</v>
      </c>
      <c r="VQ105" s="4444">
        <f t="shared" si="361"/>
        <v>418699.4600000002</v>
      </c>
      <c r="VR105" s="4448">
        <f>VQ105/VP105</f>
        <v>0.32221792170234476</v>
      </c>
    </row>
    <row r="106" spans="1:745" s="4439" customFormat="1" ht="13.45" x14ac:dyDescent="0.3">
      <c r="B106" s="1773" t="s">
        <v>53</v>
      </c>
      <c r="C106" s="2104" t="s">
        <v>603</v>
      </c>
      <c r="D106" s="773" t="s">
        <v>604</v>
      </c>
      <c r="E106" s="1993">
        <v>45292</v>
      </c>
      <c r="F106" s="1993">
        <v>45657</v>
      </c>
      <c r="G106" s="1994">
        <v>658322.08333333337</v>
      </c>
      <c r="H106" s="1911"/>
      <c r="I106" s="715"/>
      <c r="J106" s="715"/>
      <c r="K106" s="715"/>
      <c r="L106" s="4962"/>
      <c r="M106" s="4963"/>
      <c r="N106" s="1914"/>
      <c r="O106" s="1914"/>
      <c r="P106" s="1914"/>
      <c r="Q106" s="2032"/>
      <c r="R106" s="2032"/>
      <c r="S106" s="715"/>
      <c r="T106" s="715"/>
      <c r="U106" s="715"/>
      <c r="V106" s="4962"/>
      <c r="W106" s="715"/>
      <c r="X106" s="715"/>
      <c r="Y106" s="1911"/>
      <c r="Z106" s="715"/>
      <c r="AA106" s="4964"/>
      <c r="AB106" s="1911"/>
      <c r="AC106" s="715"/>
      <c r="AD106" s="4965"/>
      <c r="AE106" s="715"/>
      <c r="AF106" s="4962"/>
      <c r="AG106" s="4966"/>
      <c r="AH106" s="715"/>
      <c r="AI106" s="715"/>
      <c r="AJ106" s="2041"/>
      <c r="AK106" s="4962"/>
      <c r="AL106" s="4966"/>
      <c r="AM106" s="715"/>
      <c r="AN106" s="715"/>
      <c r="AO106" s="1911"/>
      <c r="AP106" s="4962"/>
      <c r="AQ106" s="4967"/>
      <c r="AR106" s="4968"/>
      <c r="AS106" s="4968"/>
      <c r="AT106" s="4969"/>
      <c r="AU106" s="4962"/>
      <c r="AV106" s="4970"/>
      <c r="AW106" s="1911"/>
      <c r="AX106" s="1911"/>
      <c r="AY106" s="1911"/>
      <c r="AZ106" s="4962"/>
      <c r="BA106" s="2033"/>
      <c r="BB106" s="4971"/>
      <c r="BC106" s="715"/>
      <c r="BD106" s="1911"/>
      <c r="BE106" s="2032"/>
      <c r="BF106" s="4970"/>
      <c r="BG106" s="1911"/>
      <c r="BH106" s="715"/>
      <c r="BI106" s="1911"/>
      <c r="BJ106" s="4972"/>
      <c r="BK106" s="4970"/>
      <c r="BL106" s="1911"/>
      <c r="BM106" s="715"/>
      <c r="BN106" s="1911"/>
      <c r="BO106" s="4972"/>
      <c r="BP106" s="4973"/>
      <c r="BQ106" s="2041"/>
      <c r="BR106" s="2041"/>
      <c r="BS106" s="2041"/>
      <c r="BT106" s="4974"/>
      <c r="BU106" s="2041"/>
      <c r="BV106" s="2041"/>
      <c r="BW106" s="693"/>
      <c r="BX106" s="4975"/>
      <c r="BY106" s="2041"/>
      <c r="BZ106" s="2041"/>
      <c r="CA106" s="1660"/>
      <c r="CB106" s="715"/>
      <c r="CC106" s="2041"/>
      <c r="CD106" s="2041"/>
      <c r="CE106" s="1839"/>
      <c r="CF106" s="4975"/>
      <c r="CG106" s="715"/>
      <c r="CH106" s="715"/>
      <c r="CI106" s="1660"/>
      <c r="CJ106" s="691"/>
      <c r="CK106" s="715"/>
      <c r="CL106" s="715"/>
      <c r="CM106" s="715"/>
      <c r="CN106" s="693"/>
      <c r="CO106" s="691"/>
      <c r="CP106" s="715"/>
      <c r="CQ106" s="715"/>
      <c r="CR106" s="715"/>
      <c r="CS106" s="693"/>
      <c r="CT106" s="691"/>
      <c r="CU106" s="715"/>
      <c r="CV106" s="715"/>
      <c r="CW106" s="715"/>
      <c r="CX106" s="693"/>
      <c r="CY106" s="691"/>
      <c r="CZ106" s="715"/>
      <c r="DA106" s="715"/>
      <c r="DB106" s="715"/>
      <c r="DC106" s="693"/>
      <c r="DD106" s="1659"/>
      <c r="DE106" s="1839"/>
      <c r="DF106" s="1839"/>
      <c r="DG106" s="715"/>
      <c r="DH106" s="366"/>
      <c r="DI106" s="691"/>
      <c r="DJ106" s="1839"/>
      <c r="DK106" s="1839"/>
      <c r="DL106" s="715"/>
      <c r="DM106" s="366"/>
      <c r="DN106" s="691"/>
      <c r="DO106" s="715"/>
      <c r="DP106" s="715"/>
      <c r="DQ106" s="715"/>
      <c r="DR106" s="366"/>
      <c r="DS106" s="691"/>
      <c r="DT106" s="715"/>
      <c r="DU106" s="715"/>
      <c r="DV106" s="715"/>
      <c r="DW106" s="693"/>
      <c r="DX106" s="691"/>
      <c r="DY106" s="715"/>
      <c r="DZ106" s="715"/>
      <c r="EA106" s="715"/>
      <c r="EB106" s="366"/>
      <c r="EC106" s="691"/>
      <c r="ED106" s="715"/>
      <c r="EE106" s="715"/>
      <c r="EF106" s="2041"/>
      <c r="EG106" s="366"/>
      <c r="EH106" s="691"/>
      <c r="EI106" s="715"/>
      <c r="EJ106" s="715"/>
      <c r="EK106" s="715"/>
      <c r="EL106" s="366"/>
      <c r="EM106" s="691"/>
      <c r="EN106" s="715"/>
      <c r="EO106" s="715"/>
      <c r="EP106" s="715"/>
      <c r="EQ106" s="366"/>
      <c r="ER106" s="1713"/>
      <c r="ES106" s="1714"/>
      <c r="ET106" s="1714"/>
      <c r="EU106" s="1714"/>
      <c r="EV106" s="1715"/>
      <c r="EW106" s="4964"/>
      <c r="EX106" s="4965"/>
      <c r="EY106" s="4965"/>
      <c r="EZ106" s="4965"/>
      <c r="FA106" s="4976"/>
      <c r="FB106" s="4965"/>
      <c r="FC106" s="4965"/>
      <c r="FD106" s="4977"/>
      <c r="FE106" s="2040"/>
      <c r="FF106" s="2041"/>
      <c r="FG106" s="2041"/>
      <c r="FH106" s="705"/>
      <c r="FI106" s="2039"/>
      <c r="FJ106" s="2040"/>
      <c r="FK106" s="2041"/>
      <c r="FL106" s="2041"/>
      <c r="FM106" s="693"/>
      <c r="FN106" s="4966"/>
      <c r="FO106" s="715"/>
      <c r="FP106" s="715"/>
      <c r="FQ106" s="715"/>
      <c r="FR106" s="4962"/>
      <c r="FS106" s="691"/>
      <c r="FT106" s="715"/>
      <c r="FU106" s="715"/>
      <c r="FV106" s="715"/>
      <c r="FW106" s="366"/>
      <c r="FX106" s="691"/>
      <c r="FY106" s="715"/>
      <c r="FZ106" s="715"/>
      <c r="GA106" s="715"/>
      <c r="GB106" s="366"/>
      <c r="GC106" s="2136"/>
      <c r="GD106" s="2043"/>
      <c r="GE106" s="2043"/>
      <c r="GF106" s="4965"/>
      <c r="GG106" s="366"/>
      <c r="GH106" s="2136"/>
      <c r="GI106" s="2043"/>
      <c r="GJ106" s="2043"/>
      <c r="GK106" s="715"/>
      <c r="GL106" s="366"/>
      <c r="GM106" s="2136"/>
      <c r="GN106" s="2043"/>
      <c r="GO106" s="2043"/>
      <c r="GP106" s="715"/>
      <c r="GQ106" s="366"/>
      <c r="GR106" s="2136"/>
      <c r="GS106" s="2043"/>
      <c r="GT106" s="2043"/>
      <c r="GU106" s="715"/>
      <c r="GV106" s="366"/>
      <c r="GW106" s="2136"/>
      <c r="GX106" s="2043"/>
      <c r="GY106" s="2043"/>
      <c r="GZ106" s="715"/>
      <c r="HA106" s="366"/>
      <c r="HB106" s="2136"/>
      <c r="HC106" s="2043"/>
      <c r="HD106" s="2043"/>
      <c r="HE106" s="715"/>
      <c r="HF106" s="366"/>
      <c r="HG106" s="2136"/>
      <c r="HH106" s="2043"/>
      <c r="HI106" s="2043"/>
      <c r="HJ106" s="2113"/>
      <c r="HK106" s="366"/>
      <c r="HL106" s="2136"/>
      <c r="HM106" s="2043"/>
      <c r="HN106" s="2043"/>
      <c r="HO106" s="715"/>
      <c r="HP106" s="366"/>
      <c r="HQ106" s="784"/>
      <c r="HR106" s="1904"/>
      <c r="HS106" s="1904"/>
      <c r="HT106" s="1904"/>
      <c r="HU106" s="2115"/>
      <c r="HV106" s="1827"/>
      <c r="HW106" s="1089"/>
      <c r="HX106" s="1089"/>
      <c r="HY106" s="1089"/>
      <c r="HZ106" s="4978"/>
      <c r="IA106" s="1907"/>
      <c r="IB106" s="1908"/>
      <c r="IC106" s="1908"/>
      <c r="ID106" s="1909"/>
      <c r="IE106" s="1910"/>
      <c r="IF106" s="1911"/>
      <c r="IG106" s="1912"/>
      <c r="IH106" s="1909"/>
      <c r="II106" s="1907"/>
      <c r="IJ106" s="2116"/>
      <c r="IK106" s="2116"/>
      <c r="IL106" s="693"/>
      <c r="IM106" s="2424"/>
      <c r="IN106" s="2116"/>
      <c r="IO106" s="2116"/>
      <c r="IP106" s="1838"/>
      <c r="IQ106" s="1839"/>
      <c r="IR106" s="4979"/>
      <c r="IS106" s="715"/>
      <c r="IT106" s="715"/>
      <c r="IU106" s="2131"/>
      <c r="IV106" s="2045"/>
      <c r="IW106" s="691"/>
      <c r="IX106" s="715"/>
      <c r="IY106" s="715"/>
      <c r="IZ106" s="2113"/>
      <c r="JA106" s="2132"/>
      <c r="JB106" s="3468"/>
      <c r="JC106" s="2047"/>
      <c r="JD106" s="2048"/>
      <c r="JE106" s="2124"/>
      <c r="JF106" s="2125"/>
      <c r="JG106" s="4980"/>
      <c r="JH106" s="2049"/>
      <c r="JI106" s="2049"/>
      <c r="JJ106" s="2126"/>
      <c r="JK106" s="2125"/>
      <c r="JL106" s="2596"/>
      <c r="JM106" s="2049"/>
      <c r="JN106" s="2049"/>
      <c r="JO106" s="823"/>
      <c r="JP106" s="2125"/>
      <c r="JQ106" s="4981"/>
      <c r="JR106" s="1119"/>
      <c r="JS106" s="1850"/>
      <c r="JT106" s="2597"/>
      <c r="JU106" s="2125"/>
      <c r="JV106" s="4980"/>
      <c r="JW106" s="2049"/>
      <c r="JX106" s="1850"/>
      <c r="JY106" s="823"/>
      <c r="JZ106" s="2125"/>
      <c r="KA106" s="4982"/>
      <c r="KB106" s="1904"/>
      <c r="KC106" s="2130"/>
      <c r="KD106" s="2414"/>
      <c r="KE106" s="2415"/>
      <c r="KF106" s="1849"/>
      <c r="KG106" s="1850"/>
      <c r="KH106" s="1850"/>
      <c r="KI106" s="2124"/>
      <c r="KJ106" s="2125"/>
      <c r="KK106" s="1849"/>
      <c r="KL106" s="1850"/>
      <c r="KM106" s="1850"/>
      <c r="KN106" s="2134"/>
      <c r="KO106" s="2135"/>
      <c r="KP106" s="2136"/>
      <c r="KQ106" s="2130"/>
      <c r="KR106" s="1904"/>
      <c r="KS106" s="2131"/>
      <c r="KT106" s="2137"/>
      <c r="KU106" s="2138"/>
      <c r="KV106" s="1850"/>
      <c r="KW106" s="1850"/>
      <c r="KX106" s="1904"/>
      <c r="KY106" s="2418"/>
      <c r="KZ106" s="1857"/>
      <c r="LA106" s="358"/>
      <c r="LB106" s="358"/>
      <c r="LC106" s="358"/>
      <c r="LD106" s="151"/>
      <c r="LE106" s="2139"/>
      <c r="LF106" s="2140"/>
      <c r="LG106" s="2140"/>
      <c r="LH106" s="2141"/>
      <c r="LI106" s="2142"/>
      <c r="LJ106" s="2143"/>
      <c r="LK106" s="2139"/>
      <c r="LL106" s="2141"/>
      <c r="LM106" s="1705"/>
      <c r="LN106" s="2144"/>
      <c r="LO106" s="2144"/>
      <c r="LP106" s="201"/>
      <c r="LQ106" s="4957"/>
      <c r="LR106" s="4958"/>
      <c r="LS106" s="4958"/>
      <c r="LT106" s="1999"/>
      <c r="LU106" s="63"/>
      <c r="LV106" s="440"/>
      <c r="LW106" s="435"/>
      <c r="LX106" s="435"/>
      <c r="LY106" s="2146"/>
      <c r="LZ106" s="461"/>
      <c r="MA106" s="2194"/>
      <c r="MB106" s="1626"/>
      <c r="MC106" s="1626"/>
      <c r="MD106" s="2151"/>
      <c r="ME106" s="1595"/>
      <c r="MF106" s="440"/>
      <c r="MG106" s="435"/>
      <c r="MH106" s="435"/>
      <c r="MI106" s="2151"/>
      <c r="MJ106" s="1595"/>
      <c r="MK106" s="2152"/>
      <c r="ML106" s="435"/>
      <c r="MM106" s="435"/>
      <c r="MN106" s="2151"/>
      <c r="MO106" s="1595"/>
      <c r="MP106" s="2602"/>
      <c r="MQ106" s="1850"/>
      <c r="MR106" s="1850"/>
      <c r="MS106" s="1850"/>
      <c r="MT106" s="790"/>
      <c r="MU106" s="209"/>
      <c r="MV106" s="208"/>
      <c r="MW106" s="208"/>
      <c r="MX106" s="208"/>
      <c r="MY106" s="597"/>
      <c r="MZ106" s="209"/>
      <c r="NA106" s="208"/>
      <c r="NB106" s="208"/>
      <c r="NC106" s="208"/>
      <c r="ND106" s="1313"/>
      <c r="NE106" s="209"/>
      <c r="NF106" s="208"/>
      <c r="NG106" s="208"/>
      <c r="NH106" s="208"/>
      <c r="NI106" s="1313"/>
      <c r="NJ106" s="209"/>
      <c r="NK106" s="208"/>
      <c r="NL106" s="208"/>
      <c r="NM106" s="208"/>
      <c r="NN106" s="1313"/>
      <c r="NO106" s="1870"/>
      <c r="NP106" s="1568"/>
      <c r="NQ106" s="1871"/>
      <c r="NR106" s="1575"/>
      <c r="NS106" s="1313"/>
      <c r="NT106" s="402"/>
      <c r="NU106" s="149"/>
      <c r="NV106" s="358"/>
      <c r="NW106" s="208"/>
      <c r="NX106" s="1313"/>
      <c r="NY106" s="402"/>
      <c r="NZ106" s="358"/>
      <c r="OA106" s="358"/>
      <c r="OB106" s="622"/>
      <c r="OC106" s="116"/>
      <c r="OD106" s="191"/>
      <c r="OE106" s="358"/>
      <c r="OF106" s="358"/>
      <c r="OG106" s="358"/>
      <c r="OH106" s="220"/>
      <c r="OI106" s="1863"/>
      <c r="OJ106" s="105"/>
      <c r="OK106" s="105"/>
      <c r="OL106" s="105"/>
      <c r="OM106" s="106"/>
      <c r="ON106" s="358"/>
      <c r="OO106" s="358"/>
      <c r="OP106" s="358"/>
      <c r="OQ106" s="359"/>
      <c r="OR106" s="169"/>
      <c r="OS106" s="686"/>
      <c r="OT106" s="146"/>
      <c r="OU106" s="146"/>
      <c r="OV106" s="1864"/>
      <c r="OW106" s="203"/>
      <c r="OX106" s="357"/>
      <c r="OY106" s="358"/>
      <c r="OZ106" s="358"/>
      <c r="PA106" s="359"/>
      <c r="PB106" s="114"/>
      <c r="PC106" s="79"/>
      <c r="PD106" s="440"/>
      <c r="PE106" s="1584"/>
      <c r="PF106" s="435"/>
      <c r="PG106" s="96"/>
      <c r="PH106" s="461"/>
      <c r="PI106" s="439"/>
      <c r="PJ106" s="208"/>
      <c r="PK106" s="208"/>
      <c r="PL106" s="96"/>
      <c r="PM106" s="78"/>
      <c r="PN106" s="440"/>
      <c r="PO106" s="435"/>
      <c r="PP106" s="435"/>
      <c r="PQ106" s="2151"/>
      <c r="PR106" s="1595"/>
      <c r="PS106" s="2152"/>
      <c r="PT106" s="435"/>
      <c r="PU106" s="435"/>
      <c r="PV106" s="2151"/>
      <c r="PW106" s="157"/>
      <c r="PX106" s="4983"/>
      <c r="PY106" s="1850"/>
      <c r="PZ106" s="1850"/>
      <c r="QA106" s="1904"/>
      <c r="QB106" s="790"/>
      <c r="QC106" s="209"/>
      <c r="QD106" s="823"/>
      <c r="QE106" s="823"/>
      <c r="QF106" s="208"/>
      <c r="QG106" s="655"/>
      <c r="QH106" s="439"/>
      <c r="QI106" s="823"/>
      <c r="QJ106" s="823"/>
      <c r="QK106" s="208"/>
      <c r="QL106" s="1872"/>
      <c r="QM106" s="401"/>
      <c r="QN106" s="395"/>
      <c r="QO106" s="395"/>
      <c r="QP106" s="395"/>
      <c r="QQ106" s="4984"/>
      <c r="QR106" s="209"/>
      <c r="QS106" s="208"/>
      <c r="QT106" s="208"/>
      <c r="QU106" s="208"/>
      <c r="QV106" s="1867"/>
      <c r="QW106" s="156">
        <v>6</v>
      </c>
      <c r="QX106" s="208">
        <v>71973</v>
      </c>
      <c r="QY106" s="208">
        <v>344960</v>
      </c>
      <c r="QZ106" s="208">
        <f>QY106-QX106</f>
        <v>272987</v>
      </c>
      <c r="RA106" s="157">
        <f>QZ106/QY106</f>
        <v>0.79135841836734699</v>
      </c>
      <c r="RB106" s="209">
        <v>11</v>
      </c>
      <c r="RC106" s="208">
        <v>234656</v>
      </c>
      <c r="RD106" s="208">
        <v>344960</v>
      </c>
      <c r="RE106" s="208">
        <f>RD106-RC106</f>
        <v>110304</v>
      </c>
      <c r="RF106" s="114">
        <f>RE106/RD106</f>
        <v>0.31975881261595546</v>
      </c>
      <c r="RG106" s="1857">
        <v>12</v>
      </c>
      <c r="RH106" s="208">
        <v>378379</v>
      </c>
      <c r="RI106" s="208">
        <v>344960</v>
      </c>
      <c r="RJ106" s="772">
        <f t="shared" si="369"/>
        <v>-33419</v>
      </c>
      <c r="RK106" s="116">
        <f t="shared" si="345"/>
        <v>-9.6877898886827463E-2</v>
      </c>
      <c r="RL106" s="1567">
        <v>12</v>
      </c>
      <c r="RM106" s="1568">
        <f t="shared" si="426"/>
        <v>685008</v>
      </c>
      <c r="RN106" s="1568">
        <f t="shared" si="426"/>
        <v>1034880</v>
      </c>
      <c r="RO106" s="1568">
        <f t="shared" si="426"/>
        <v>349872</v>
      </c>
      <c r="RP106" s="220">
        <f t="shared" si="347"/>
        <v>0.33807977736549166</v>
      </c>
      <c r="RQ106" s="1863"/>
      <c r="RR106" s="105"/>
      <c r="RS106" s="105"/>
      <c r="RT106" s="105"/>
      <c r="RU106" s="106"/>
      <c r="RV106" s="358"/>
      <c r="RW106" s="358"/>
      <c r="RX106" s="358"/>
      <c r="RY106" s="359"/>
      <c r="RZ106" s="169"/>
      <c r="SA106" s="686"/>
      <c r="SB106" s="146"/>
      <c r="SC106" s="146"/>
      <c r="SD106" s="1864"/>
      <c r="SE106" s="203"/>
      <c r="SF106" s="1567">
        <v>12</v>
      </c>
      <c r="SG106" s="358">
        <f t="shared" si="421"/>
        <v>685008</v>
      </c>
      <c r="SH106" s="358">
        <f t="shared" si="421"/>
        <v>1034880</v>
      </c>
      <c r="SI106" s="359">
        <f t="shared" si="421"/>
        <v>349872</v>
      </c>
      <c r="SJ106" s="114">
        <f t="shared" si="294"/>
        <v>0.33807977736549166</v>
      </c>
      <c r="SK106" s="63"/>
      <c r="SL106" s="440">
        <v>13</v>
      </c>
      <c r="SM106" s="1584">
        <v>422056</v>
      </c>
      <c r="SN106" s="208">
        <v>652397</v>
      </c>
      <c r="SO106" s="96">
        <f t="shared" si="264"/>
        <v>230341</v>
      </c>
      <c r="SP106" s="78">
        <f t="shared" si="375"/>
        <v>0.35306876027940043</v>
      </c>
      <c r="SQ106" s="439">
        <v>13</v>
      </c>
      <c r="SR106" s="208">
        <v>429907</v>
      </c>
      <c r="SS106" s="208">
        <v>652397</v>
      </c>
      <c r="ST106" s="96">
        <f t="shared" si="440"/>
        <v>222490</v>
      </c>
      <c r="SU106" s="78">
        <f>ST106/SS106</f>
        <v>0.34103467673824372</v>
      </c>
      <c r="SV106" s="2426">
        <v>13</v>
      </c>
      <c r="SW106" s="436">
        <v>436498</v>
      </c>
      <c r="SX106" s="436">
        <v>652397.33333333337</v>
      </c>
      <c r="SY106" s="371">
        <f t="shared" si="445"/>
        <v>215899.33333333337</v>
      </c>
      <c r="SZ106" s="157">
        <f t="shared" si="446"/>
        <v>0.33093227440128514</v>
      </c>
      <c r="TA106" s="2429">
        <v>21</v>
      </c>
      <c r="TB106" s="436">
        <v>565378</v>
      </c>
      <c r="TC106" s="4463">
        <v>651080.54041666666</v>
      </c>
      <c r="TD106" s="96">
        <f t="shared" si="280"/>
        <v>85702.540416666656</v>
      </c>
      <c r="TE106" s="94">
        <f t="shared" si="295"/>
        <v>0.13163124236798771</v>
      </c>
      <c r="TF106" s="1574">
        <v>26</v>
      </c>
      <c r="TG106" s="208">
        <v>964077</v>
      </c>
      <c r="TH106" s="208">
        <v>1400000</v>
      </c>
      <c r="TI106" s="395">
        <f t="shared" ref="TI106:TI121" si="447">TH106-TG106</f>
        <v>435923</v>
      </c>
      <c r="TJ106" s="114">
        <f t="shared" si="296"/>
        <v>0.31137357142857142</v>
      </c>
      <c r="TK106" s="209">
        <v>27</v>
      </c>
      <c r="TL106" s="208">
        <v>1109115</v>
      </c>
      <c r="TM106" s="208">
        <v>1873770</v>
      </c>
      <c r="TN106" s="395">
        <f t="shared" si="443"/>
        <v>764655</v>
      </c>
      <c r="TO106" s="114">
        <f t="shared" si="444"/>
        <v>0.40808370290910839</v>
      </c>
      <c r="TP106" s="4432">
        <v>27</v>
      </c>
      <c r="TQ106" s="208">
        <v>1129847</v>
      </c>
      <c r="TR106" s="208">
        <v>1873770</v>
      </c>
      <c r="TS106" s="994">
        <f t="shared" si="352"/>
        <v>743923</v>
      </c>
      <c r="TT106" s="114">
        <f t="shared" si="365"/>
        <v>0.39701937804533105</v>
      </c>
      <c r="TU106" s="4434">
        <f>14+17</f>
        <v>31</v>
      </c>
      <c r="TV106" s="395">
        <f>455117+824409</f>
        <v>1279526</v>
      </c>
      <c r="TW106" s="395">
        <f>658322+1215448</f>
        <v>1873770</v>
      </c>
      <c r="TX106" s="772">
        <f t="shared" si="441"/>
        <v>594244</v>
      </c>
      <c r="TY106" s="116">
        <f>TX106/TW106</f>
        <v>0.31713817597677407</v>
      </c>
      <c r="TZ106" s="209">
        <v>29</v>
      </c>
      <c r="UA106" s="208">
        <v>1310460</v>
      </c>
      <c r="UB106" s="208">
        <v>2105122</v>
      </c>
      <c r="UC106" s="772">
        <f t="shared" si="442"/>
        <v>794662</v>
      </c>
      <c r="UD106" s="116">
        <f>UC106/UB106</f>
        <v>0.37748976068845413</v>
      </c>
      <c r="UE106" s="2002">
        <v>29</v>
      </c>
      <c r="UF106" s="2001">
        <v>1265871</v>
      </c>
      <c r="UG106" s="2001">
        <v>2444335</v>
      </c>
      <c r="UH106" s="2001">
        <f t="shared" si="322"/>
        <v>1178464</v>
      </c>
      <c r="UI106" s="6494">
        <f t="shared" si="367"/>
        <v>0.48212049494034165</v>
      </c>
      <c r="UJ106" s="209"/>
      <c r="UK106" s="208"/>
      <c r="UL106" s="395"/>
      <c r="UM106" s="208">
        <f t="shared" si="429"/>
        <v>0</v>
      </c>
      <c r="UN106" s="114" t="e">
        <f>UM106/UL106</f>
        <v>#DIV/0!</v>
      </c>
      <c r="UO106" s="1567"/>
      <c r="UP106" s="1568"/>
      <c r="UQ106" s="1568"/>
      <c r="UR106" s="1873">
        <f t="shared" si="323"/>
        <v>0</v>
      </c>
      <c r="US106" s="116" t="e">
        <f>UR106/UQ106</f>
        <v>#DIV/0!</v>
      </c>
      <c r="UT106" s="1567"/>
      <c r="UU106" s="358">
        <f t="shared" si="371"/>
        <v>8912735</v>
      </c>
      <c r="UV106" s="358">
        <f t="shared" si="371"/>
        <v>14179038.873750001</v>
      </c>
      <c r="UW106" s="358">
        <f t="shared" si="371"/>
        <v>5266303.8737499993</v>
      </c>
      <c r="UX106" s="220">
        <f t="shared" si="358"/>
        <v>0.37141472850459811</v>
      </c>
      <c r="UY106" s="4441">
        <f t="shared" si="324"/>
        <v>13</v>
      </c>
      <c r="UZ106" s="4442">
        <f t="shared" si="424"/>
        <v>1288461</v>
      </c>
      <c r="VA106" s="4442">
        <f t="shared" si="424"/>
        <v>1957191.3333333335</v>
      </c>
      <c r="VB106" s="4442">
        <f t="shared" si="424"/>
        <v>668730.33333333337</v>
      </c>
      <c r="VC106" s="4443">
        <f t="shared" si="325"/>
        <v>0.34167856864275237</v>
      </c>
      <c r="VD106" s="4438"/>
      <c r="VE106" s="4438">
        <f t="shared" si="423"/>
        <v>2638570</v>
      </c>
      <c r="VF106" s="4438">
        <f t="shared" si="423"/>
        <v>3924850.5404166668</v>
      </c>
      <c r="VG106" s="4444">
        <f t="shared" si="423"/>
        <v>1286280.5404166668</v>
      </c>
      <c r="VH106" s="4445">
        <f t="shared" si="372"/>
        <v>0.32772726685284526</v>
      </c>
      <c r="VI106" s="4446"/>
      <c r="VJ106" s="146">
        <f t="shared" si="373"/>
        <v>3719833</v>
      </c>
      <c r="VK106" s="146">
        <f t="shared" si="373"/>
        <v>5852662</v>
      </c>
      <c r="VL106" s="1864">
        <f t="shared" si="373"/>
        <v>2132829</v>
      </c>
      <c r="VM106" s="4447"/>
      <c r="VN106" s="4449"/>
      <c r="VO106" s="4438">
        <f t="shared" si="368"/>
        <v>1265871</v>
      </c>
      <c r="VP106" s="4438">
        <f t="shared" si="361"/>
        <v>2444335</v>
      </c>
      <c r="VQ106" s="4444">
        <f t="shared" si="361"/>
        <v>1178464</v>
      </c>
      <c r="VR106" s="4448">
        <f>VQ106/VP106</f>
        <v>0.48212049494034165</v>
      </c>
    </row>
    <row r="107" spans="1:745" s="4439" customFormat="1" ht="13.45" x14ac:dyDescent="0.3">
      <c r="B107" s="1773" t="s">
        <v>53</v>
      </c>
      <c r="C107" s="2104" t="s">
        <v>76</v>
      </c>
      <c r="D107" s="773" t="s">
        <v>270</v>
      </c>
      <c r="E107" s="1993">
        <v>44897</v>
      </c>
      <c r="F107" s="1993">
        <v>45261</v>
      </c>
      <c r="G107" s="1994">
        <f>3624000/12</f>
        <v>302000</v>
      </c>
      <c r="H107" s="1775"/>
      <c r="I107" s="1776"/>
      <c r="J107" s="1776"/>
      <c r="K107" s="1776"/>
      <c r="L107" s="1777"/>
      <c r="M107" s="1778"/>
      <c r="N107" s="1779"/>
      <c r="O107" s="1779"/>
      <c r="P107" s="1779"/>
      <c r="Q107" s="1780"/>
      <c r="R107" s="1780"/>
      <c r="S107" s="1776"/>
      <c r="T107" s="1776"/>
      <c r="U107" s="1776"/>
      <c r="V107" s="1777"/>
      <c r="W107" s="1776"/>
      <c r="X107" s="1776"/>
      <c r="Y107" s="1781"/>
      <c r="Z107" s="1776"/>
      <c r="AA107" s="1782"/>
      <c r="AB107" s="1781"/>
      <c r="AC107" s="1776"/>
      <c r="AD107" s="1810"/>
      <c r="AE107" s="1776"/>
      <c r="AF107" s="1777"/>
      <c r="AG107" s="1785"/>
      <c r="AH107" s="1776"/>
      <c r="AI107" s="1776"/>
      <c r="AJ107" s="1786"/>
      <c r="AK107" s="1777"/>
      <c r="AL107" s="1785"/>
      <c r="AM107" s="1776"/>
      <c r="AN107" s="1776"/>
      <c r="AO107" s="1781"/>
      <c r="AP107" s="1777"/>
      <c r="AQ107" s="1787"/>
      <c r="AR107" s="1788"/>
      <c r="AS107" s="1788"/>
      <c r="AT107" s="1789"/>
      <c r="AU107" s="1777"/>
      <c r="AV107" s="1790"/>
      <c r="AW107" s="1781"/>
      <c r="AX107" s="1781"/>
      <c r="AY107" s="1781"/>
      <c r="AZ107" s="1777"/>
      <c r="BA107" s="1791"/>
      <c r="BB107" s="1792"/>
      <c r="BC107" s="1776"/>
      <c r="BD107" s="1781"/>
      <c r="BE107" s="1780"/>
      <c r="BF107" s="1790"/>
      <c r="BG107" s="1781"/>
      <c r="BH107" s="1776"/>
      <c r="BI107" s="1781"/>
      <c r="BJ107" s="1793"/>
      <c r="BK107" s="1790"/>
      <c r="BL107" s="1781"/>
      <c r="BM107" s="1776"/>
      <c r="BN107" s="1781"/>
      <c r="BO107" s="1794"/>
      <c r="BP107" s="4985"/>
      <c r="BQ107" s="1796"/>
      <c r="BR107" s="1786"/>
      <c r="BS107" s="1797"/>
      <c r="BT107" s="1798"/>
      <c r="BU107" s="1786"/>
      <c r="BV107" s="1786"/>
      <c r="BW107" s="1799"/>
      <c r="BX107" s="1800"/>
      <c r="BY107" s="1786"/>
      <c r="BZ107" s="1786"/>
      <c r="CA107" s="1801"/>
      <c r="CB107" s="1802"/>
      <c r="CC107" s="1786"/>
      <c r="CD107" s="1786"/>
      <c r="CE107" s="1803"/>
      <c r="CF107" s="1800"/>
      <c r="CG107" s="1776"/>
      <c r="CH107" s="1776"/>
      <c r="CI107" s="1801"/>
      <c r="CJ107" s="1804"/>
      <c r="CK107" s="1776"/>
      <c r="CL107" s="1776"/>
      <c r="CM107" s="1776"/>
      <c r="CN107" s="1799"/>
      <c r="CO107" s="1804"/>
      <c r="CP107" s="1776"/>
      <c r="CQ107" s="1776"/>
      <c r="CR107" s="1776"/>
      <c r="CS107" s="1799"/>
      <c r="CT107" s="1804"/>
      <c r="CU107" s="1776"/>
      <c r="CV107" s="1776"/>
      <c r="CW107" s="1776"/>
      <c r="CX107" s="1799"/>
      <c r="CY107" s="1804"/>
      <c r="CZ107" s="1776"/>
      <c r="DA107" s="1776"/>
      <c r="DB107" s="1776"/>
      <c r="DC107" s="1799"/>
      <c r="DD107" s="1805"/>
      <c r="DE107" s="1806"/>
      <c r="DF107" s="1806"/>
      <c r="DG107" s="1776"/>
      <c r="DH107" s="1807"/>
      <c r="DI107" s="1804"/>
      <c r="DJ107" s="1806"/>
      <c r="DK107" s="1806"/>
      <c r="DL107" s="1776"/>
      <c r="DM107" s="1807"/>
      <c r="DN107" s="1804"/>
      <c r="DO107" s="1776"/>
      <c r="DP107" s="1776"/>
      <c r="DQ107" s="1776"/>
      <c r="DR107" s="1807"/>
      <c r="DS107" s="1804"/>
      <c r="DT107" s="1776"/>
      <c r="DU107" s="1776"/>
      <c r="DV107" s="1776"/>
      <c r="DW107" s="1799"/>
      <c r="DX107" s="1804"/>
      <c r="DY107" s="1776"/>
      <c r="DZ107" s="1776"/>
      <c r="EA107" s="1776"/>
      <c r="EB107" s="1807"/>
      <c r="EC107" s="1804"/>
      <c r="ED107" s="1776"/>
      <c r="EE107" s="1776"/>
      <c r="EF107" s="1786"/>
      <c r="EG107" s="1807"/>
      <c r="EH107" s="1804"/>
      <c r="EI107" s="1776"/>
      <c r="EJ107" s="1776"/>
      <c r="EK107" s="1776"/>
      <c r="EL107" s="1807"/>
      <c r="EM107" s="1804"/>
      <c r="EN107" s="1776"/>
      <c r="EO107" s="1776"/>
      <c r="EP107" s="1776"/>
      <c r="EQ107" s="1807"/>
      <c r="ER107" s="1713">
        <f>(CJ107+CO107+CT107+CY107+DD107+DI107+DN107+DS107+DX107+EC107+EH107+EM107)/12</f>
        <v>0</v>
      </c>
      <c r="ES107" s="1714">
        <f>CK107+CP107+CU107+CZ107+DE107+DJ107+DO107+DT107+DY107+ED107+EI107+EN107</f>
        <v>0</v>
      </c>
      <c r="ET107" s="1714">
        <f>CL107+CQ107+CV107+DA107+DF107+DK107+DP107+DU107+DZ107+EE107+EJ107+EO107</f>
        <v>0</v>
      </c>
      <c r="EU107" s="1714">
        <f>CM107+CR107+CW107+DB107+DG107+DL107+DQ107+DV107+EA107+EF107+EK107+EP107</f>
        <v>0</v>
      </c>
      <c r="EV107" s="1715" t="e">
        <f>EU107/ET107</f>
        <v>#DIV/0!</v>
      </c>
      <c r="EW107" s="1809"/>
      <c r="EX107" s="1810"/>
      <c r="EY107" s="1810"/>
      <c r="EZ107" s="1811"/>
      <c r="FA107" s="1812"/>
      <c r="FB107" s="1810"/>
      <c r="FC107" s="1810"/>
      <c r="FD107" s="1813"/>
      <c r="FE107" s="1814"/>
      <c r="FF107" s="1786"/>
      <c r="FG107" s="1786"/>
      <c r="FH107" s="1815"/>
      <c r="FI107" s="1816"/>
      <c r="FJ107" s="1814"/>
      <c r="FK107" s="1786"/>
      <c r="FL107" s="1786"/>
      <c r="FM107" s="1799"/>
      <c r="FN107" s="1817"/>
      <c r="FO107" s="1818"/>
      <c r="FP107" s="1818"/>
      <c r="FQ107" s="1818"/>
      <c r="FR107" s="1819"/>
      <c r="FS107" s="1820"/>
      <c r="FT107" s="1818"/>
      <c r="FU107" s="1818"/>
      <c r="FV107" s="1818"/>
      <c r="FW107" s="1821"/>
      <c r="FX107" s="1820"/>
      <c r="FY107" s="1822"/>
      <c r="FZ107" s="1822"/>
      <c r="GA107" s="1818"/>
      <c r="GB107" s="1821"/>
      <c r="GC107" s="1823"/>
      <c r="GD107" s="1824"/>
      <c r="GE107" s="1824"/>
      <c r="GF107" s="1825"/>
      <c r="GG107" s="1821"/>
      <c r="GH107" s="1823"/>
      <c r="GI107" s="1824"/>
      <c r="GJ107" s="1824"/>
      <c r="GK107" s="1818"/>
      <c r="GL107" s="1821"/>
      <c r="GM107" s="1823"/>
      <c r="GN107" s="1824"/>
      <c r="GO107" s="1824"/>
      <c r="GP107" s="1818"/>
      <c r="GQ107" s="1821"/>
      <c r="GR107" s="1823"/>
      <c r="GS107" s="1824"/>
      <c r="GT107" s="1824"/>
      <c r="GU107" s="1818"/>
      <c r="GV107" s="1821"/>
      <c r="GW107" s="1823"/>
      <c r="GX107" s="1824"/>
      <c r="GY107" s="1824"/>
      <c r="GZ107" s="1818"/>
      <c r="HA107" s="1821"/>
      <c r="HB107" s="1823"/>
      <c r="HC107" s="1824">
        <v>0</v>
      </c>
      <c r="HD107" s="1824">
        <v>0</v>
      </c>
      <c r="HE107" s="1818">
        <f>HD107-HC107</f>
        <v>0</v>
      </c>
      <c r="HF107" s="1821"/>
      <c r="HG107" s="1823"/>
      <c r="HH107" s="1824">
        <v>0</v>
      </c>
      <c r="HI107" s="1824">
        <v>0</v>
      </c>
      <c r="HJ107" s="1818">
        <f>HI107-HH107</f>
        <v>0</v>
      </c>
      <c r="HK107" s="1821">
        <v>0</v>
      </c>
      <c r="HL107" s="1823">
        <v>5</v>
      </c>
      <c r="HM107" s="1824">
        <f>584346</f>
        <v>584346</v>
      </c>
      <c r="HN107" s="1824">
        <v>906000</v>
      </c>
      <c r="HO107" s="1818">
        <f>HN107-HM107</f>
        <v>321654</v>
      </c>
      <c r="HP107" s="1821">
        <f>HO107/HN107</f>
        <v>0.35502649006622516</v>
      </c>
      <c r="HQ107" s="654"/>
      <c r="HR107" s="1248">
        <v>0</v>
      </c>
      <c r="HS107" s="1248">
        <v>0</v>
      </c>
      <c r="HT107" s="1248">
        <f>HS107-HR107</f>
        <v>0</v>
      </c>
      <c r="HU107" s="1826"/>
      <c r="HV107" s="1827">
        <f>(FN107+FS107+FX107+GC107+GH107+GM107+GR107+GW107+HB107+HG107+HL107+HQ107)/12</f>
        <v>0.41666666666666669</v>
      </c>
      <c r="HW107" s="1089">
        <f>FO107+FT107+FY107+GD107+GI107+GN107+GS107+GX107+HC107+HH107+HM107+HR107</f>
        <v>584346</v>
      </c>
      <c r="HX107" s="1089">
        <f>FP107+FU107+FZ107+GE107+GJ107+GO107+GT107+GY107+HD107+HI107+HN107+HS107</f>
        <v>906000</v>
      </c>
      <c r="HY107" s="1089">
        <f>FQ107+FV107+GA107+GF107+GK107+GP107+GU107+GZ107+HE107+HJ107+HO107+HT107</f>
        <v>321654</v>
      </c>
      <c r="HZ107" s="1828"/>
      <c r="IA107" s="1829"/>
      <c r="IB107" s="1830"/>
      <c r="IC107" s="1830"/>
      <c r="ID107" s="1831"/>
      <c r="IE107" s="1832"/>
      <c r="IF107" s="1833"/>
      <c r="IG107" s="1834"/>
      <c r="IH107" s="1831"/>
      <c r="II107" s="1835"/>
      <c r="IJ107" s="1836">
        <f>(GT107+GY107+HD107)</f>
        <v>0</v>
      </c>
      <c r="IK107" s="1836"/>
      <c r="IL107" s="239"/>
      <c r="IM107" s="1837">
        <f>(HB107+HG107+HL107)/3</f>
        <v>1.6666666666666667</v>
      </c>
      <c r="IN107" s="1836">
        <f>(HI107+HN107+HS107)</f>
        <v>906000</v>
      </c>
      <c r="IO107" s="1836">
        <f>(HJ107+HO107+HT107)</f>
        <v>321654</v>
      </c>
      <c r="IP107" s="1838">
        <f>IO107/IN107</f>
        <v>0.35502649006622516</v>
      </c>
      <c r="IQ107" s="1839"/>
      <c r="IR107" s="1840"/>
      <c r="IS107" s="1818"/>
      <c r="IT107" s="1818"/>
      <c r="IU107" s="1818">
        <f>IT107-IS107</f>
        <v>0</v>
      </c>
      <c r="IV107" s="1980">
        <v>0</v>
      </c>
      <c r="IW107" s="1820">
        <v>5</v>
      </c>
      <c r="IX107" s="1818">
        <f>230497*3</f>
        <v>691491</v>
      </c>
      <c r="IY107" s="1818">
        <v>906000</v>
      </c>
      <c r="IZ107" s="1818">
        <f>IY107-IX107</f>
        <v>214509</v>
      </c>
      <c r="JA107" s="1821">
        <f>IZ107/IY107</f>
        <v>0.23676490066225164</v>
      </c>
      <c r="JB107" s="1757"/>
      <c r="JC107" s="1841">
        <v>0</v>
      </c>
      <c r="JD107" s="1842">
        <v>0</v>
      </c>
      <c r="JE107" s="1719">
        <f>JD107-JC107</f>
        <v>0</v>
      </c>
      <c r="JF107" s="1721"/>
      <c r="JG107" s="1758"/>
      <c r="JH107" s="1096"/>
      <c r="JI107" s="1096"/>
      <c r="JJ107" s="1756">
        <f>JI107-JH107</f>
        <v>0</v>
      </c>
      <c r="JK107" s="1721"/>
      <c r="JL107" s="1722">
        <v>6</v>
      </c>
      <c r="JM107" s="1096">
        <f>705495</f>
        <v>705495</v>
      </c>
      <c r="JN107" s="1096">
        <v>906000</v>
      </c>
      <c r="JO107" s="1845">
        <f>JN107-JM107</f>
        <v>200505</v>
      </c>
      <c r="JP107" s="1721">
        <f>JO107/JN107</f>
        <v>0.22130794701986756</v>
      </c>
      <c r="JQ107" s="1844"/>
      <c r="JR107" s="972">
        <v>0</v>
      </c>
      <c r="JS107" s="264">
        <v>0</v>
      </c>
      <c r="JT107" s="1845">
        <f>JS107-JR107</f>
        <v>0</v>
      </c>
      <c r="JU107" s="1721"/>
      <c r="JV107" s="1758"/>
      <c r="JW107" s="1096"/>
      <c r="JX107" s="264"/>
      <c r="JY107" s="1845">
        <f>JX107-JW107</f>
        <v>0</v>
      </c>
      <c r="JZ107" s="1721"/>
      <c r="KA107" s="1981">
        <v>5</v>
      </c>
      <c r="KB107" s="1248">
        <f>206247*3</f>
        <v>618741</v>
      </c>
      <c r="KC107" s="1982">
        <v>906000</v>
      </c>
      <c r="KD107" s="1983">
        <f>KC107-KB107</f>
        <v>287259</v>
      </c>
      <c r="KE107" s="1952">
        <f>KD107/KC107</f>
        <v>0.31706291390728475</v>
      </c>
      <c r="KF107" s="1849"/>
      <c r="KG107" s="1850"/>
      <c r="KH107" s="1850"/>
      <c r="KI107" s="1719"/>
      <c r="KJ107" s="1721"/>
      <c r="KK107" s="1849"/>
      <c r="KL107" s="1850"/>
      <c r="KM107" s="1850"/>
      <c r="KN107" s="1851">
        <f>KM107-KL107</f>
        <v>0</v>
      </c>
      <c r="KO107" s="1852"/>
      <c r="KP107" s="1823"/>
      <c r="KQ107" s="1982"/>
      <c r="KR107" s="1248"/>
      <c r="KS107" s="1996">
        <f>KR107-KQ107</f>
        <v>0</v>
      </c>
      <c r="KT107" s="1819"/>
      <c r="KU107" s="1853">
        <v>5</v>
      </c>
      <c r="KV107" s="264">
        <f>KB107/3</f>
        <v>206247</v>
      </c>
      <c r="KW107" s="264">
        <f>KC107/3</f>
        <v>302000</v>
      </c>
      <c r="KX107" s="1248">
        <f>KW107-KV107</f>
        <v>95753</v>
      </c>
      <c r="KY107" s="77">
        <f>KX107/KW107</f>
        <v>0.31706291390728475</v>
      </c>
      <c r="KZ107" s="1857">
        <v>5</v>
      </c>
      <c r="LA107" s="358">
        <f>IS107+IX107+JC107+JH107+JM107+JR107+JW107+KB107+KG107+KL107+KQ107+KV107</f>
        <v>2221974</v>
      </c>
      <c r="LB107" s="358">
        <f>IT107+IY107+JD107+JI107+JN107+JS107+JX107+KC107+KH107+KM107+KR107+KW107</f>
        <v>3020000</v>
      </c>
      <c r="LC107" s="358">
        <f>IU107+IZ107+JE107+JJ107+JO107+JT107+JY107+KD107+KI107+KN107+KS107+KX107</f>
        <v>798026</v>
      </c>
      <c r="LD107" s="151">
        <f>LC107/LB107</f>
        <v>0.26424701986754967</v>
      </c>
      <c r="LE107" s="1854">
        <f>(IR107+IW107+JB107)/3</f>
        <v>1.6666666666666667</v>
      </c>
      <c r="LF107" s="1855">
        <f>IT107+IY107+JD107</f>
        <v>906000</v>
      </c>
      <c r="LG107" s="1855">
        <f>IU107+IZ107+JE107</f>
        <v>214509</v>
      </c>
      <c r="LH107" s="1856">
        <f>LG107/LF107</f>
        <v>0.23676490066225164</v>
      </c>
      <c r="LI107" s="1857">
        <f>(JG107+JL107+JQ107)/3</f>
        <v>2</v>
      </c>
      <c r="LJ107" s="1858">
        <f>(JI107+JN107+JS107)</f>
        <v>906000</v>
      </c>
      <c r="LK107" s="1854">
        <f>(JJ107+JO107+JT107)</f>
        <v>200505</v>
      </c>
      <c r="LL107" s="1856">
        <f>LK107/LJ107</f>
        <v>0.22130794701986756</v>
      </c>
      <c r="LM107" s="1859">
        <f>(JV107+KA107+KF107)/3</f>
        <v>1.6666666666666667</v>
      </c>
      <c r="LN107" s="1727">
        <f>(JX107+KC107+KH107)</f>
        <v>906000</v>
      </c>
      <c r="LO107" s="1727">
        <f>(JY107+KD107+KI107)</f>
        <v>287259</v>
      </c>
      <c r="LP107" s="151">
        <f>LO107/LN107</f>
        <v>0.31706291390728475</v>
      </c>
      <c r="LQ107" s="1997">
        <f>(KK107+KP107+KU107)/3</f>
        <v>1.6666666666666667</v>
      </c>
      <c r="LR107" s="1998">
        <f>(KM107+KR107+KW107)</f>
        <v>302000</v>
      </c>
      <c r="LS107" s="1998">
        <f>(KN107+KS107+KX107)</f>
        <v>95753</v>
      </c>
      <c r="LT107" s="1999">
        <f>LS107/LR107</f>
        <v>0.31706291390728475</v>
      </c>
      <c r="LU107" s="63"/>
      <c r="LV107" s="439"/>
      <c r="LW107" s="208"/>
      <c r="LX107" s="208"/>
      <c r="LY107" s="96">
        <f>LX107-LW107</f>
        <v>0</v>
      </c>
      <c r="LZ107" s="78"/>
      <c r="MA107" s="1862">
        <v>4</v>
      </c>
      <c r="MB107" s="265">
        <f>189580*3</f>
        <v>568740</v>
      </c>
      <c r="MC107" s="265">
        <v>906000</v>
      </c>
      <c r="MD107" s="371">
        <f>MC107-MB107</f>
        <v>337260</v>
      </c>
      <c r="ME107" s="157">
        <f>MD107/MC107</f>
        <v>0.37225165562913909</v>
      </c>
      <c r="MF107" s="439"/>
      <c r="MG107" s="208"/>
      <c r="MH107" s="208"/>
      <c r="MI107" s="371">
        <f>MH107-MG107</f>
        <v>0</v>
      </c>
      <c r="MJ107" s="157"/>
      <c r="MK107" s="354"/>
      <c r="ML107" s="208"/>
      <c r="MM107" s="208"/>
      <c r="MN107" s="371">
        <f>MM107-ML107</f>
        <v>0</v>
      </c>
      <c r="MO107" s="157"/>
      <c r="MP107" s="1579" t="s">
        <v>833</v>
      </c>
      <c r="MQ107" s="264">
        <v>568740</v>
      </c>
      <c r="MR107" s="264">
        <v>906000</v>
      </c>
      <c r="MS107" s="264">
        <f>MR107-MQ107</f>
        <v>337260</v>
      </c>
      <c r="MT107" s="597">
        <f>MS107/MR107</f>
        <v>0.37225165562913909</v>
      </c>
      <c r="MU107" s="209"/>
      <c r="MV107" s="208">
        <v>0</v>
      </c>
      <c r="MW107" s="208">
        <v>0</v>
      </c>
      <c r="MX107" s="208">
        <f>MW107-MV107</f>
        <v>0</v>
      </c>
      <c r="MY107" s="597"/>
      <c r="MZ107" s="209"/>
      <c r="NA107" s="208"/>
      <c r="NB107" s="208"/>
      <c r="NC107" s="208">
        <f>NB107-NA107</f>
        <v>0</v>
      </c>
      <c r="ND107" s="1313"/>
      <c r="NE107" s="209">
        <v>5</v>
      </c>
      <c r="NF107" s="208">
        <v>624894</v>
      </c>
      <c r="NG107" s="208">
        <v>906000</v>
      </c>
      <c r="NH107" s="208">
        <f>NG107-NF107</f>
        <v>281106</v>
      </c>
      <c r="NI107" s="1313">
        <f>NH107/NG107</f>
        <v>0.31027152317880796</v>
      </c>
      <c r="NJ107" s="209">
        <v>5</v>
      </c>
      <c r="NK107" s="208">
        <v>224580</v>
      </c>
      <c r="NL107" s="208">
        <v>302000</v>
      </c>
      <c r="NM107" s="208">
        <v>77420</v>
      </c>
      <c r="NN107" s="1313">
        <f>NM107/NL107</f>
        <v>0.25635761589403971</v>
      </c>
      <c r="NO107" s="1870">
        <v>5</v>
      </c>
      <c r="NP107" s="1568">
        <v>224580</v>
      </c>
      <c r="NQ107" s="1871">
        <v>302000</v>
      </c>
      <c r="NR107" s="1575">
        <f>NQ107-NP107</f>
        <v>77420</v>
      </c>
      <c r="NS107" s="1313"/>
      <c r="NT107" s="402">
        <v>5</v>
      </c>
      <c r="NU107" s="149">
        <v>224580</v>
      </c>
      <c r="NV107" s="358">
        <v>302000</v>
      </c>
      <c r="NW107" s="208">
        <f>NV107-NU107</f>
        <v>77420</v>
      </c>
      <c r="NX107" s="1313"/>
      <c r="NY107" s="402">
        <v>5</v>
      </c>
      <c r="NZ107" s="358">
        <v>224580</v>
      </c>
      <c r="OA107" s="358">
        <v>302000</v>
      </c>
      <c r="OB107" s="622">
        <f>OA107-NZ107</f>
        <v>77420</v>
      </c>
      <c r="OC107" s="116">
        <f>OB107/OA107</f>
        <v>0.25635761589403971</v>
      </c>
      <c r="OD107" s="191">
        <v>5</v>
      </c>
      <c r="OE107" s="358">
        <v>2449960</v>
      </c>
      <c r="OF107" s="358">
        <v>3624000</v>
      </c>
      <c r="OG107" s="358">
        <v>1174040</v>
      </c>
      <c r="OH107" s="220">
        <f>OG107/OF107</f>
        <v>0.32396247240618103</v>
      </c>
      <c r="OI107" s="1863">
        <f>(LV107+MA107+MF107)/3</f>
        <v>1.3333333333333333</v>
      </c>
      <c r="OJ107" s="105">
        <f>LW107+MB107+MG107</f>
        <v>568740</v>
      </c>
      <c r="OK107" s="105">
        <f>LX107+MC107+MH107</f>
        <v>906000</v>
      </c>
      <c r="OL107" s="105">
        <f>LY107+MD107+MI107</f>
        <v>337260</v>
      </c>
      <c r="OM107" s="106">
        <f>OL107/OK107</f>
        <v>0.37225165562913909</v>
      </c>
      <c r="ON107" s="358">
        <f>(MK107+MP107+MU107)/3</f>
        <v>1.3333333333333333</v>
      </c>
      <c r="OO107" s="358">
        <f>ML107+MQ107+MV107</f>
        <v>568740</v>
      </c>
      <c r="OP107" s="358">
        <f>MM107+MR107+MW107</f>
        <v>906000</v>
      </c>
      <c r="OQ107" s="359">
        <f>MN107+MS107+MX107</f>
        <v>337260</v>
      </c>
      <c r="OR107" s="169">
        <f>OQ107/OP107</f>
        <v>0.37225165562913909</v>
      </c>
      <c r="OS107" s="686">
        <f>(NJ107+NE107+MZ107)/3</f>
        <v>3.3333333333333335</v>
      </c>
      <c r="OT107" s="146">
        <f>NK107+NF107+NA107</f>
        <v>849474</v>
      </c>
      <c r="OU107" s="146">
        <f>NL107+NG107+NB107</f>
        <v>1208000</v>
      </c>
      <c r="OV107" s="1864">
        <f>NM107+NH107+NC107</f>
        <v>358526</v>
      </c>
      <c r="OW107" s="203">
        <f>OV107/OU107</f>
        <v>0.29679304635761589</v>
      </c>
      <c r="OX107" s="357">
        <v>5</v>
      </c>
      <c r="OY107" s="358">
        <f>NP107+NU107+NZ107</f>
        <v>673740</v>
      </c>
      <c r="OZ107" s="358">
        <f>NQ107+NV107+OA107</f>
        <v>906000</v>
      </c>
      <c r="PA107" s="359">
        <f>NR107+NW107+OB107</f>
        <v>232260</v>
      </c>
      <c r="PB107" s="114">
        <f>PA107/OZ107</f>
        <v>0.25635761589403971</v>
      </c>
      <c r="PC107" s="79"/>
      <c r="PD107" s="439">
        <v>5</v>
      </c>
      <c r="PE107" s="994">
        <v>224580</v>
      </c>
      <c r="PF107" s="208">
        <v>302000</v>
      </c>
      <c r="PG107" s="96">
        <f>PF107-PE107</f>
        <v>77420</v>
      </c>
      <c r="PH107" s="78">
        <f>PG107/PF107</f>
        <v>0.25635761589403971</v>
      </c>
      <c r="PI107" s="439">
        <v>5</v>
      </c>
      <c r="PJ107" s="208">
        <v>224580</v>
      </c>
      <c r="PK107" s="208">
        <v>302000</v>
      </c>
      <c r="PL107" s="96">
        <f>PK107-PJ107</f>
        <v>77420</v>
      </c>
      <c r="PM107" s="78">
        <f>PL107/PK107</f>
        <v>0.25635761589403971</v>
      </c>
      <c r="PN107" s="439">
        <v>5</v>
      </c>
      <c r="PO107" s="208">
        <v>224580</v>
      </c>
      <c r="PP107" s="208">
        <v>302000</v>
      </c>
      <c r="PQ107" s="371">
        <f>PP107-PO107</f>
        <v>77420</v>
      </c>
      <c r="PR107" s="157">
        <f>PQ107/PP107</f>
        <v>0.25635761589403971</v>
      </c>
      <c r="PS107" s="354">
        <v>5</v>
      </c>
      <c r="PT107" s="208">
        <v>224580</v>
      </c>
      <c r="PU107" s="208">
        <v>302000</v>
      </c>
      <c r="PV107" s="371">
        <f>PU107-PT107</f>
        <v>77420</v>
      </c>
      <c r="PW107" s="157">
        <f>PV107/PU107</f>
        <v>0.25635761589403971</v>
      </c>
      <c r="PX107" s="2080">
        <v>5</v>
      </c>
      <c r="PY107" s="264">
        <v>224580</v>
      </c>
      <c r="PZ107" s="264">
        <v>302000</v>
      </c>
      <c r="QA107" s="1248">
        <f>PZ107-PY107</f>
        <v>77420</v>
      </c>
      <c r="QB107" s="597">
        <f>QA107/PZ107</f>
        <v>0.25635761589403971</v>
      </c>
      <c r="QC107" s="209">
        <v>5</v>
      </c>
      <c r="QD107" s="264">
        <v>224580</v>
      </c>
      <c r="QE107" s="264">
        <v>302000</v>
      </c>
      <c r="QF107" s="208">
        <f>QE107-QD107</f>
        <v>77420</v>
      </c>
      <c r="QG107" s="655">
        <f>QF107/QE107</f>
        <v>0.25635761589403971</v>
      </c>
      <c r="QH107" s="439">
        <v>5</v>
      </c>
      <c r="QI107" s="264">
        <v>224580</v>
      </c>
      <c r="QJ107" s="264">
        <v>302000</v>
      </c>
      <c r="QK107" s="208">
        <f>QJ107-QI107</f>
        <v>77420</v>
      </c>
      <c r="QL107" s="1872">
        <f>QK107/QJ107</f>
        <v>0.25635761589403971</v>
      </c>
      <c r="QM107" s="401"/>
      <c r="QN107" s="395">
        <v>224580</v>
      </c>
      <c r="QO107" s="395">
        <v>2000</v>
      </c>
      <c r="QP107" s="395">
        <f>QO107-QN107</f>
        <v>-222580</v>
      </c>
      <c r="QQ107" s="4984" t="s">
        <v>819</v>
      </c>
      <c r="QR107" s="209"/>
      <c r="QS107" s="208">
        <v>0</v>
      </c>
      <c r="QT107" s="208">
        <v>0</v>
      </c>
      <c r="QU107" s="208">
        <f>QT107-QS107</f>
        <v>0</v>
      </c>
      <c r="QV107" s="1867" t="s">
        <v>68</v>
      </c>
      <c r="QW107" s="156"/>
      <c r="QX107" s="208"/>
      <c r="QY107" s="208"/>
      <c r="QZ107" s="208"/>
      <c r="RA107" s="157" t="s">
        <v>68</v>
      </c>
      <c r="RB107" s="209"/>
      <c r="RC107" s="208">
        <v>0</v>
      </c>
      <c r="RD107" s="208">
        <v>0</v>
      </c>
      <c r="RE107" s="208">
        <f>RD107-RC107</f>
        <v>0</v>
      </c>
      <c r="RF107" s="2155">
        <v>0</v>
      </c>
      <c r="RG107" s="1857"/>
      <c r="RH107" s="208">
        <v>0</v>
      </c>
      <c r="RI107" s="208">
        <v>0</v>
      </c>
      <c r="RJ107" s="772">
        <f t="shared" si="369"/>
        <v>0</v>
      </c>
      <c r="RK107" s="2050">
        <v>0</v>
      </c>
      <c r="RL107" s="1567"/>
      <c r="RM107" s="1568">
        <f t="shared" si="426"/>
        <v>1796640</v>
      </c>
      <c r="RN107" s="1568">
        <f t="shared" si="426"/>
        <v>2116000</v>
      </c>
      <c r="RO107" s="1568">
        <f t="shared" si="426"/>
        <v>319360</v>
      </c>
      <c r="RP107" s="220">
        <f t="shared" si="347"/>
        <v>0.15092627599243857</v>
      </c>
      <c r="RQ107" s="1863">
        <f>(PD107+PI107+PN107)/3</f>
        <v>5</v>
      </c>
      <c r="RR107" s="105">
        <f>PE107+PJ107+PO107</f>
        <v>673740</v>
      </c>
      <c r="RS107" s="105">
        <f>PF107+PK107+PP107</f>
        <v>906000</v>
      </c>
      <c r="RT107" s="105">
        <f>PG107+PL107+PQ107</f>
        <v>232260</v>
      </c>
      <c r="RU107" s="106">
        <f>RT107/RS107</f>
        <v>0.25635761589403971</v>
      </c>
      <c r="RV107" s="358">
        <v>5</v>
      </c>
      <c r="RW107" s="358">
        <f>PT107+PY107+QD107</f>
        <v>673740</v>
      </c>
      <c r="RX107" s="358">
        <f>PU107+PZ107+QE107</f>
        <v>906000</v>
      </c>
      <c r="RY107" s="359">
        <f>PV107+QA107+QF107</f>
        <v>232260</v>
      </c>
      <c r="RZ107" s="169">
        <f>RY107/RX107</f>
        <v>0.25635761589403971</v>
      </c>
      <c r="SA107" s="686"/>
      <c r="SB107" s="146">
        <f>QS107+QN107+QI107</f>
        <v>449160</v>
      </c>
      <c r="SC107" s="146">
        <f>QT107+QO107+QJ107</f>
        <v>304000</v>
      </c>
      <c r="SD107" s="1864">
        <f>QU107+QP107+QK107</f>
        <v>-145160</v>
      </c>
      <c r="SE107" s="203">
        <f>SD107/SC107</f>
        <v>-0.47749999999999998</v>
      </c>
      <c r="SF107" s="1567"/>
      <c r="SG107" s="358">
        <f t="shared" si="421"/>
        <v>0</v>
      </c>
      <c r="SH107" s="358">
        <f t="shared" si="421"/>
        <v>0</v>
      </c>
      <c r="SI107" s="359">
        <f t="shared" si="421"/>
        <v>0</v>
      </c>
      <c r="SJ107" s="114">
        <v>0</v>
      </c>
      <c r="SK107" s="63"/>
      <c r="SL107" s="439"/>
      <c r="SM107" s="994"/>
      <c r="SN107" s="208"/>
      <c r="SO107" s="96"/>
      <c r="SP107" s="1581"/>
      <c r="SQ107" s="439"/>
      <c r="SR107" s="208"/>
      <c r="SS107" s="208"/>
      <c r="ST107" s="96"/>
      <c r="SU107" s="1581"/>
      <c r="SV107" s="439"/>
      <c r="SW107" s="208"/>
      <c r="SX107" s="208"/>
      <c r="SY107" s="371"/>
      <c r="SZ107" s="157"/>
      <c r="TA107" s="354"/>
      <c r="TB107" s="208"/>
      <c r="TC107" s="994"/>
      <c r="TD107" s="96"/>
      <c r="TE107" s="94"/>
      <c r="TF107" s="1574"/>
      <c r="TG107" s="208"/>
      <c r="TH107" s="208"/>
      <c r="TI107" s="395"/>
      <c r="TJ107" s="2155"/>
      <c r="TK107" s="209"/>
      <c r="TL107" s="208"/>
      <c r="TM107" s="208"/>
      <c r="TN107" s="395"/>
      <c r="TO107" s="114"/>
      <c r="TP107" s="4432"/>
      <c r="TQ107" s="208">
        <v>0</v>
      </c>
      <c r="TR107" s="208">
        <v>0</v>
      </c>
      <c r="TS107" s="994">
        <f t="shared" si="352"/>
        <v>0</v>
      </c>
      <c r="TT107" s="2155">
        <v>0</v>
      </c>
      <c r="TU107" s="4464"/>
      <c r="TV107" s="2001">
        <v>0</v>
      </c>
      <c r="TW107" s="2001">
        <v>0</v>
      </c>
      <c r="TX107" s="2012">
        <f t="shared" si="441"/>
        <v>0</v>
      </c>
      <c r="TY107" s="4933">
        <v>0</v>
      </c>
      <c r="TZ107" s="209"/>
      <c r="UA107" s="208">
        <v>0</v>
      </c>
      <c r="UB107" s="208">
        <v>0</v>
      </c>
      <c r="UC107" s="772">
        <f t="shared" si="442"/>
        <v>0</v>
      </c>
      <c r="UD107" s="2050">
        <v>0</v>
      </c>
      <c r="UE107" s="1868"/>
      <c r="UF107" s="1575"/>
      <c r="UG107" s="1575"/>
      <c r="UH107" s="1575"/>
      <c r="UI107" s="6495"/>
      <c r="UJ107" s="209"/>
      <c r="UK107" s="208"/>
      <c r="UL107" s="208"/>
      <c r="UM107" s="208">
        <f t="shared" si="429"/>
        <v>0</v>
      </c>
      <c r="UN107" s="2155">
        <v>0</v>
      </c>
      <c r="UO107" s="1567"/>
      <c r="UP107" s="1568"/>
      <c r="UQ107" s="1568"/>
      <c r="UR107" s="1873">
        <f t="shared" si="323"/>
        <v>0</v>
      </c>
      <c r="US107" s="2050">
        <v>0</v>
      </c>
      <c r="UT107" s="1567"/>
      <c r="UU107" s="358">
        <f t="shared" si="371"/>
        <v>0</v>
      </c>
      <c r="UV107" s="358">
        <f t="shared" si="371"/>
        <v>0</v>
      </c>
      <c r="UW107" s="358">
        <f t="shared" si="371"/>
        <v>0</v>
      </c>
      <c r="UX107" s="220"/>
      <c r="UY107" s="4441">
        <f t="shared" si="324"/>
        <v>0</v>
      </c>
      <c r="UZ107" s="4442">
        <f t="shared" si="424"/>
        <v>0</v>
      </c>
      <c r="VA107" s="4442">
        <f t="shared" si="424"/>
        <v>0</v>
      </c>
      <c r="VB107" s="4442">
        <f t="shared" si="424"/>
        <v>0</v>
      </c>
      <c r="VC107" s="4443" t="e">
        <f t="shared" si="325"/>
        <v>#DIV/0!</v>
      </c>
      <c r="VD107" s="4438"/>
      <c r="VE107" s="4438">
        <f t="shared" si="423"/>
        <v>0</v>
      </c>
      <c r="VF107" s="4438">
        <f t="shared" si="423"/>
        <v>0</v>
      </c>
      <c r="VG107" s="4444">
        <f t="shared" si="423"/>
        <v>0</v>
      </c>
      <c r="VH107" s="4445" t="e">
        <f t="shared" si="372"/>
        <v>#DIV/0!</v>
      </c>
      <c r="VI107" s="4446"/>
      <c r="VJ107" s="146">
        <f t="shared" si="373"/>
        <v>0</v>
      </c>
      <c r="VK107" s="146">
        <f t="shared" si="373"/>
        <v>0</v>
      </c>
      <c r="VL107" s="1864">
        <f t="shared" si="373"/>
        <v>0</v>
      </c>
      <c r="VM107" s="4447" t="e">
        <f>VL107/VK107</f>
        <v>#DIV/0!</v>
      </c>
      <c r="VN107" s="4449"/>
      <c r="VO107" s="4438">
        <f t="shared" si="368"/>
        <v>0</v>
      </c>
      <c r="VP107" s="4438">
        <f t="shared" si="361"/>
        <v>0</v>
      </c>
      <c r="VQ107" s="4444">
        <f t="shared" si="361"/>
        <v>0</v>
      </c>
      <c r="VR107" s="4448">
        <v>0</v>
      </c>
    </row>
    <row r="108" spans="1:745" s="4439" customFormat="1" ht="13.45" x14ac:dyDescent="0.3">
      <c r="B108" s="1773"/>
      <c r="C108" s="4960"/>
      <c r="D108" s="4961"/>
      <c r="E108" s="3558"/>
      <c r="F108" s="3558"/>
      <c r="G108" s="1994"/>
      <c r="H108" s="1911"/>
      <c r="I108" s="715"/>
      <c r="J108" s="715"/>
      <c r="K108" s="715"/>
      <c r="L108" s="4962"/>
      <c r="M108" s="4963"/>
      <c r="N108" s="1914"/>
      <c r="O108" s="1914"/>
      <c r="P108" s="1914"/>
      <c r="Q108" s="2032"/>
      <c r="R108" s="2032"/>
      <c r="S108" s="715"/>
      <c r="T108" s="715"/>
      <c r="U108" s="715"/>
      <c r="V108" s="4962"/>
      <c r="W108" s="715"/>
      <c r="X108" s="715"/>
      <c r="Y108" s="1911"/>
      <c r="Z108" s="715"/>
      <c r="AA108" s="4964"/>
      <c r="AB108" s="1911"/>
      <c r="AC108" s="715"/>
      <c r="AD108" s="4965"/>
      <c r="AE108" s="715"/>
      <c r="AF108" s="4962"/>
      <c r="AG108" s="4966"/>
      <c r="AH108" s="715"/>
      <c r="AI108" s="715"/>
      <c r="AJ108" s="2041"/>
      <c r="AK108" s="4962"/>
      <c r="AL108" s="4966"/>
      <c r="AM108" s="715"/>
      <c r="AN108" s="715"/>
      <c r="AO108" s="1911"/>
      <c r="AP108" s="4962"/>
      <c r="AQ108" s="4967"/>
      <c r="AR108" s="4968"/>
      <c r="AS108" s="4968"/>
      <c r="AT108" s="4969"/>
      <c r="AU108" s="4962"/>
      <c r="AV108" s="4970"/>
      <c r="AW108" s="1911"/>
      <c r="AX108" s="1911"/>
      <c r="AY108" s="1911"/>
      <c r="AZ108" s="4962"/>
      <c r="BA108" s="2033"/>
      <c r="BB108" s="4971"/>
      <c r="BC108" s="715"/>
      <c r="BD108" s="1911"/>
      <c r="BE108" s="2032"/>
      <c r="BF108" s="4970"/>
      <c r="BG108" s="1911"/>
      <c r="BH108" s="715"/>
      <c r="BI108" s="1911"/>
      <c r="BJ108" s="4972"/>
      <c r="BK108" s="4970"/>
      <c r="BL108" s="1911"/>
      <c r="BM108" s="715"/>
      <c r="BN108" s="1911"/>
      <c r="BO108" s="4972"/>
      <c r="BP108" s="4973"/>
      <c r="BQ108" s="2041"/>
      <c r="BR108" s="2041"/>
      <c r="BS108" s="2041"/>
      <c r="BT108" s="4974"/>
      <c r="BU108" s="2041"/>
      <c r="BV108" s="2041"/>
      <c r="BW108" s="693"/>
      <c r="BX108" s="4975"/>
      <c r="BY108" s="2041"/>
      <c r="BZ108" s="2041"/>
      <c r="CA108" s="1660"/>
      <c r="CB108" s="715"/>
      <c r="CC108" s="2041"/>
      <c r="CD108" s="2041"/>
      <c r="CE108" s="1839"/>
      <c r="CF108" s="4975"/>
      <c r="CG108" s="715"/>
      <c r="CH108" s="715"/>
      <c r="CI108" s="1660"/>
      <c r="CJ108" s="691"/>
      <c r="CK108" s="715"/>
      <c r="CL108" s="715"/>
      <c r="CM108" s="715"/>
      <c r="CN108" s="693"/>
      <c r="CO108" s="691"/>
      <c r="CP108" s="715"/>
      <c r="CQ108" s="715"/>
      <c r="CR108" s="715"/>
      <c r="CS108" s="693"/>
      <c r="CT108" s="691"/>
      <c r="CU108" s="715"/>
      <c r="CV108" s="715"/>
      <c r="CW108" s="715"/>
      <c r="CX108" s="693"/>
      <c r="CY108" s="691"/>
      <c r="CZ108" s="715"/>
      <c r="DA108" s="715"/>
      <c r="DB108" s="715"/>
      <c r="DC108" s="693"/>
      <c r="DD108" s="1659"/>
      <c r="DE108" s="1839"/>
      <c r="DF108" s="1839"/>
      <c r="DG108" s="715"/>
      <c r="DH108" s="366"/>
      <c r="DI108" s="691"/>
      <c r="DJ108" s="1839"/>
      <c r="DK108" s="1839"/>
      <c r="DL108" s="715"/>
      <c r="DM108" s="366"/>
      <c r="DN108" s="691"/>
      <c r="DO108" s="715"/>
      <c r="DP108" s="715"/>
      <c r="DQ108" s="715"/>
      <c r="DR108" s="366"/>
      <c r="DS108" s="691"/>
      <c r="DT108" s="715"/>
      <c r="DU108" s="715"/>
      <c r="DV108" s="715"/>
      <c r="DW108" s="693"/>
      <c r="DX108" s="691"/>
      <c r="DY108" s="715"/>
      <c r="DZ108" s="715"/>
      <c r="EA108" s="715"/>
      <c r="EB108" s="366"/>
      <c r="EC108" s="691"/>
      <c r="ED108" s="715"/>
      <c r="EE108" s="715"/>
      <c r="EF108" s="2041"/>
      <c r="EG108" s="366"/>
      <c r="EH108" s="691"/>
      <c r="EI108" s="715"/>
      <c r="EJ108" s="715"/>
      <c r="EK108" s="715"/>
      <c r="EL108" s="366"/>
      <c r="EM108" s="691"/>
      <c r="EN108" s="715"/>
      <c r="EO108" s="715"/>
      <c r="EP108" s="715"/>
      <c r="EQ108" s="366"/>
      <c r="ER108" s="1713"/>
      <c r="ES108" s="1714"/>
      <c r="ET108" s="1714"/>
      <c r="EU108" s="1714"/>
      <c r="EV108" s="1715"/>
      <c r="EW108" s="4964"/>
      <c r="EX108" s="4965"/>
      <c r="EY108" s="4965"/>
      <c r="EZ108" s="4965"/>
      <c r="FA108" s="4976"/>
      <c r="FB108" s="4965"/>
      <c r="FC108" s="4965"/>
      <c r="FD108" s="4977"/>
      <c r="FE108" s="2040"/>
      <c r="FF108" s="2041"/>
      <c r="FG108" s="2041"/>
      <c r="FH108" s="705"/>
      <c r="FI108" s="2039"/>
      <c r="FJ108" s="2040"/>
      <c r="FK108" s="2041"/>
      <c r="FL108" s="2041"/>
      <c r="FM108" s="693"/>
      <c r="FN108" s="4966"/>
      <c r="FO108" s="715"/>
      <c r="FP108" s="715"/>
      <c r="FQ108" s="715"/>
      <c r="FR108" s="4962"/>
      <c r="FS108" s="691"/>
      <c r="FT108" s="715"/>
      <c r="FU108" s="715"/>
      <c r="FV108" s="715"/>
      <c r="FW108" s="366"/>
      <c r="FX108" s="691"/>
      <c r="FY108" s="715"/>
      <c r="FZ108" s="715"/>
      <c r="GA108" s="715"/>
      <c r="GB108" s="366"/>
      <c r="GC108" s="1823"/>
      <c r="GD108" s="1824"/>
      <c r="GE108" s="1824"/>
      <c r="GF108" s="4965"/>
      <c r="GG108" s="366"/>
      <c r="GH108" s="1823"/>
      <c r="GI108" s="1824"/>
      <c r="GJ108" s="1824"/>
      <c r="GK108" s="715"/>
      <c r="GL108" s="366"/>
      <c r="GM108" s="1823"/>
      <c r="GN108" s="1824"/>
      <c r="GO108" s="1824"/>
      <c r="GP108" s="715"/>
      <c r="GQ108" s="366"/>
      <c r="GR108" s="2136"/>
      <c r="GS108" s="2043"/>
      <c r="GT108" s="2043"/>
      <c r="GU108" s="715"/>
      <c r="GV108" s="366"/>
      <c r="GW108" s="2136"/>
      <c r="GX108" s="2043"/>
      <c r="GY108" s="2043"/>
      <c r="GZ108" s="715"/>
      <c r="HA108" s="366"/>
      <c r="HB108" s="2136"/>
      <c r="HC108" s="2043"/>
      <c r="HD108" s="2043"/>
      <c r="HE108" s="715"/>
      <c r="HF108" s="366"/>
      <c r="HG108" s="2136"/>
      <c r="HH108" s="2043"/>
      <c r="HI108" s="2043"/>
      <c r="HJ108" s="1818"/>
      <c r="HK108" s="366"/>
      <c r="HL108" s="2136"/>
      <c r="HM108" s="2043"/>
      <c r="HN108" s="2043"/>
      <c r="HO108" s="715"/>
      <c r="HP108" s="366"/>
      <c r="HQ108" s="654"/>
      <c r="HR108" s="1248"/>
      <c r="HS108" s="1248"/>
      <c r="HT108" s="1248"/>
      <c r="HU108" s="1826"/>
      <c r="HV108" s="1827"/>
      <c r="HW108" s="1089"/>
      <c r="HX108" s="1089"/>
      <c r="HY108" s="1089"/>
      <c r="HZ108" s="4978"/>
      <c r="IA108" s="1907"/>
      <c r="IB108" s="1908"/>
      <c r="IC108" s="1908"/>
      <c r="ID108" s="1909"/>
      <c r="IE108" s="1910"/>
      <c r="IF108" s="1911"/>
      <c r="IG108" s="1912"/>
      <c r="IH108" s="1909"/>
      <c r="II108" s="1835"/>
      <c r="IJ108" s="1836"/>
      <c r="IK108" s="1836"/>
      <c r="IL108" s="693"/>
      <c r="IM108" s="1837"/>
      <c r="IN108" s="1836"/>
      <c r="IO108" s="1836"/>
      <c r="IP108" s="1838"/>
      <c r="IQ108" s="1839"/>
      <c r="IR108" s="4979"/>
      <c r="IS108" s="715"/>
      <c r="IT108" s="715"/>
      <c r="IU108" s="1996"/>
      <c r="IV108" s="2045"/>
      <c r="IW108" s="691"/>
      <c r="IX108" s="715"/>
      <c r="IY108" s="715"/>
      <c r="IZ108" s="1818"/>
      <c r="JA108" s="1821"/>
      <c r="JB108" s="3468"/>
      <c r="JC108" s="2047"/>
      <c r="JD108" s="2048"/>
      <c r="JE108" s="1719"/>
      <c r="JF108" s="1721"/>
      <c r="JG108" s="1758"/>
      <c r="JH108" s="1096"/>
      <c r="JI108" s="1096"/>
      <c r="JJ108" s="1756"/>
      <c r="JK108" s="1721"/>
      <c r="JL108" s="1722"/>
      <c r="JM108" s="1096"/>
      <c r="JN108" s="1096"/>
      <c r="JO108" s="823"/>
      <c r="JP108" s="1721"/>
      <c r="JQ108" s="1844"/>
      <c r="JR108" s="972"/>
      <c r="JS108" s="264"/>
      <c r="JT108" s="1845"/>
      <c r="JU108" s="1721"/>
      <c r="JV108" s="4980"/>
      <c r="JW108" s="2049"/>
      <c r="JX108" s="1850"/>
      <c r="JY108" s="823"/>
      <c r="JZ108" s="1721"/>
      <c r="KA108" s="1981"/>
      <c r="KB108" s="1248"/>
      <c r="KC108" s="1982"/>
      <c r="KD108" s="1983"/>
      <c r="KE108" s="1952"/>
      <c r="KF108" s="1988"/>
      <c r="KG108" s="1850"/>
      <c r="KH108" s="2049"/>
      <c r="KI108" s="1719"/>
      <c r="KJ108" s="1721"/>
      <c r="KK108" s="1988"/>
      <c r="KL108" s="1850"/>
      <c r="KM108" s="2049"/>
      <c r="KN108" s="1851"/>
      <c r="KO108" s="1852"/>
      <c r="KP108" s="1823"/>
      <c r="KQ108" s="1982"/>
      <c r="KR108" s="1248"/>
      <c r="KS108" s="1996"/>
      <c r="KT108" s="1819"/>
      <c r="KU108" s="1853"/>
      <c r="KV108" s="264"/>
      <c r="KW108" s="264"/>
      <c r="KX108" s="1248"/>
      <c r="KY108" s="77"/>
      <c r="KZ108" s="1857"/>
      <c r="LA108" s="358"/>
      <c r="LB108" s="358"/>
      <c r="LC108" s="358"/>
      <c r="LD108" s="151"/>
      <c r="LE108" s="1854"/>
      <c r="LF108" s="1855"/>
      <c r="LG108" s="1855"/>
      <c r="LH108" s="1856"/>
      <c r="LI108" s="1857"/>
      <c r="LJ108" s="1858"/>
      <c r="LK108" s="1854"/>
      <c r="LL108" s="1856"/>
      <c r="LM108" s="1859"/>
      <c r="LN108" s="1727"/>
      <c r="LO108" s="1727"/>
      <c r="LP108" s="151"/>
      <c r="LQ108" s="1997"/>
      <c r="LR108" s="1998"/>
      <c r="LS108" s="1998"/>
      <c r="LT108" s="1999"/>
      <c r="LU108" s="63"/>
      <c r="LV108" s="439"/>
      <c r="LW108" s="208"/>
      <c r="LX108" s="208"/>
      <c r="LY108" s="96"/>
      <c r="LZ108" s="78"/>
      <c r="MA108" s="1857"/>
      <c r="MB108" s="358"/>
      <c r="MC108" s="358"/>
      <c r="MD108" s="371"/>
      <c r="ME108" s="157"/>
      <c r="MF108" s="439"/>
      <c r="MG108" s="208"/>
      <c r="MH108" s="358"/>
      <c r="MI108" s="371"/>
      <c r="MJ108" s="157"/>
      <c r="MK108" s="354"/>
      <c r="ML108" s="208"/>
      <c r="MM108" s="358"/>
      <c r="MN108" s="371"/>
      <c r="MO108" s="157"/>
      <c r="MP108" s="1579"/>
      <c r="MQ108" s="264"/>
      <c r="MR108" s="264"/>
      <c r="MS108" s="264"/>
      <c r="MT108" s="597"/>
      <c r="MU108" s="209"/>
      <c r="MV108" s="208"/>
      <c r="MW108" s="208"/>
      <c r="MX108" s="208"/>
      <c r="MY108" s="597"/>
      <c r="MZ108" s="209"/>
      <c r="NA108" s="208"/>
      <c r="NB108" s="208"/>
      <c r="NC108" s="208"/>
      <c r="ND108" s="1313"/>
      <c r="NE108" s="209"/>
      <c r="NF108" s="208"/>
      <c r="NG108" s="208"/>
      <c r="NH108" s="208"/>
      <c r="NI108" s="1313"/>
      <c r="NJ108" s="209"/>
      <c r="NK108" s="208"/>
      <c r="NL108" s="208"/>
      <c r="NM108" s="208"/>
      <c r="NN108" s="1313"/>
      <c r="NO108" s="1870"/>
      <c r="NP108" s="1568"/>
      <c r="NQ108" s="1871"/>
      <c r="NR108" s="1575"/>
      <c r="NS108" s="1313"/>
      <c r="NT108" s="402"/>
      <c r="NU108" s="149"/>
      <c r="NV108" s="358"/>
      <c r="NW108" s="208"/>
      <c r="NX108" s="1313"/>
      <c r="NY108" s="402"/>
      <c r="NZ108" s="358"/>
      <c r="OA108" s="358"/>
      <c r="OB108" s="622"/>
      <c r="OC108" s="116"/>
      <c r="OD108" s="191"/>
      <c r="OE108" s="358"/>
      <c r="OF108" s="358"/>
      <c r="OG108" s="358"/>
      <c r="OH108" s="220"/>
      <c r="OI108" s="1863"/>
      <c r="OJ108" s="105"/>
      <c r="OK108" s="105"/>
      <c r="OL108" s="105"/>
      <c r="OM108" s="106"/>
      <c r="ON108" s="358"/>
      <c r="OO108" s="358"/>
      <c r="OP108" s="358"/>
      <c r="OQ108" s="359"/>
      <c r="OR108" s="169"/>
      <c r="OS108" s="686"/>
      <c r="OT108" s="146"/>
      <c r="OU108" s="146"/>
      <c r="OV108" s="1864"/>
      <c r="OW108" s="203"/>
      <c r="OX108" s="357"/>
      <c r="OY108" s="358"/>
      <c r="OZ108" s="358"/>
      <c r="PA108" s="359"/>
      <c r="PB108" s="114"/>
      <c r="PC108" s="79"/>
      <c r="PD108" s="439"/>
      <c r="PE108" s="994"/>
      <c r="PF108" s="208"/>
      <c r="PG108" s="96"/>
      <c r="PH108" s="78"/>
      <c r="PI108" s="439"/>
      <c r="PJ108" s="208"/>
      <c r="PK108" s="208"/>
      <c r="PL108" s="96"/>
      <c r="PM108" s="78"/>
      <c r="PN108" s="439"/>
      <c r="PO108" s="208"/>
      <c r="PP108" s="358"/>
      <c r="PQ108" s="371"/>
      <c r="PR108" s="157"/>
      <c r="PS108" s="354"/>
      <c r="PT108" s="208"/>
      <c r="PU108" s="358"/>
      <c r="PV108" s="371"/>
      <c r="PW108" s="157"/>
      <c r="PX108" s="2080"/>
      <c r="PY108" s="264"/>
      <c r="PZ108" s="264"/>
      <c r="QA108" s="1248"/>
      <c r="QB108" s="597"/>
      <c r="QC108" s="209"/>
      <c r="QD108" s="823"/>
      <c r="QE108" s="823"/>
      <c r="QF108" s="208"/>
      <c r="QG108" s="655"/>
      <c r="QH108" s="439"/>
      <c r="QI108" s="823"/>
      <c r="QJ108" s="823"/>
      <c r="QK108" s="208"/>
      <c r="QL108" s="1872"/>
      <c r="QM108" s="401"/>
      <c r="QN108" s="395"/>
      <c r="QO108" s="395"/>
      <c r="QP108" s="395"/>
      <c r="QQ108" s="4984"/>
      <c r="QR108" s="209"/>
      <c r="QS108" s="208"/>
      <c r="QT108" s="208"/>
      <c r="QU108" s="208"/>
      <c r="QV108" s="1867"/>
      <c r="QW108" s="156"/>
      <c r="QX108" s="208"/>
      <c r="QY108" s="208"/>
      <c r="QZ108" s="208"/>
      <c r="RA108" s="157"/>
      <c r="RB108" s="209"/>
      <c r="RC108" s="208"/>
      <c r="RD108" s="208"/>
      <c r="RE108" s="208"/>
      <c r="RF108" s="2155"/>
      <c r="RG108" s="1857"/>
      <c r="RH108" s="208"/>
      <c r="RI108" s="208"/>
      <c r="RJ108" s="772"/>
      <c r="RK108" s="2050"/>
      <c r="RL108" s="1567"/>
      <c r="RM108" s="1568"/>
      <c r="RN108" s="1568"/>
      <c r="RO108" s="1568"/>
      <c r="RP108" s="220"/>
      <c r="RQ108" s="1863"/>
      <c r="RR108" s="105"/>
      <c r="RS108" s="105"/>
      <c r="RT108" s="105"/>
      <c r="RU108" s="106"/>
      <c r="RV108" s="358"/>
      <c r="RW108" s="358"/>
      <c r="RX108" s="358"/>
      <c r="RY108" s="359"/>
      <c r="RZ108" s="169"/>
      <c r="SA108" s="686"/>
      <c r="SB108" s="146"/>
      <c r="SC108" s="146"/>
      <c r="SD108" s="1864"/>
      <c r="SE108" s="203"/>
      <c r="SF108" s="1567"/>
      <c r="SG108" s="358"/>
      <c r="SH108" s="358"/>
      <c r="SI108" s="359"/>
      <c r="SJ108" s="114"/>
      <c r="SK108" s="63"/>
      <c r="SL108" s="439"/>
      <c r="SM108" s="994"/>
      <c r="SN108" s="208"/>
      <c r="SO108" s="96"/>
      <c r="SP108" s="1581"/>
      <c r="SQ108" s="439"/>
      <c r="SR108" s="208"/>
      <c r="SS108" s="208"/>
      <c r="ST108" s="96"/>
      <c r="SU108" s="1581"/>
      <c r="SV108" s="439"/>
      <c r="SW108" s="208"/>
      <c r="SX108" s="358"/>
      <c r="SY108" s="371"/>
      <c r="SZ108" s="157"/>
      <c r="TA108" s="354"/>
      <c r="TB108" s="208"/>
      <c r="TC108" s="358"/>
      <c r="TD108" s="96"/>
      <c r="TE108" s="94"/>
      <c r="TF108" s="1574"/>
      <c r="TG108" s="208"/>
      <c r="TH108" s="208"/>
      <c r="TI108" s="395"/>
      <c r="TJ108" s="2155"/>
      <c r="TK108" s="209"/>
      <c r="TL108" s="208"/>
      <c r="TM108" s="208"/>
      <c r="TN108" s="395"/>
      <c r="TO108" s="114"/>
      <c r="TP108" s="4432"/>
      <c r="TQ108" s="208"/>
      <c r="TR108" s="208"/>
      <c r="TS108" s="994"/>
      <c r="TT108" s="2155"/>
      <c r="TU108" s="4464"/>
      <c r="TV108" s="2001"/>
      <c r="TW108" s="2001"/>
      <c r="TX108" s="2012"/>
      <c r="TY108" s="4933"/>
      <c r="TZ108" s="1868"/>
      <c r="UA108" s="1575"/>
      <c r="UB108" s="1575"/>
      <c r="UC108" s="2012"/>
      <c r="UD108" s="4933"/>
      <c r="UE108" s="1868"/>
      <c r="UF108" s="1575"/>
      <c r="UG108" s="1575"/>
      <c r="UH108" s="1575"/>
      <c r="UI108" s="6495"/>
      <c r="UJ108" s="209"/>
      <c r="UK108" s="208"/>
      <c r="UL108" s="208"/>
      <c r="UM108" s="208"/>
      <c r="UN108" s="2155"/>
      <c r="UO108" s="1567"/>
      <c r="UP108" s="1568"/>
      <c r="UQ108" s="1568"/>
      <c r="UR108" s="1873"/>
      <c r="US108" s="2050"/>
      <c r="UT108" s="1567"/>
      <c r="UU108" s="358">
        <f t="shared" si="371"/>
        <v>0</v>
      </c>
      <c r="UV108" s="358">
        <f t="shared" si="371"/>
        <v>0</v>
      </c>
      <c r="UW108" s="358">
        <f t="shared" si="371"/>
        <v>0</v>
      </c>
      <c r="UX108" s="220"/>
      <c r="UY108" s="4441"/>
      <c r="UZ108" s="4442"/>
      <c r="VA108" s="4442"/>
      <c r="VB108" s="4442"/>
      <c r="VC108" s="4443"/>
      <c r="VD108" s="4438"/>
      <c r="VE108" s="4438"/>
      <c r="VF108" s="4438"/>
      <c r="VG108" s="4444"/>
      <c r="VH108" s="4445"/>
      <c r="VI108" s="4446"/>
      <c r="VJ108" s="146"/>
      <c r="VK108" s="146"/>
      <c r="VL108" s="1864"/>
      <c r="VM108" s="4447"/>
      <c r="VN108" s="4449"/>
      <c r="VO108" s="4438"/>
      <c r="VP108" s="4438"/>
      <c r="VQ108" s="4444"/>
      <c r="VR108" s="4448"/>
    </row>
    <row r="109" spans="1:745" s="4455" customFormat="1" ht="13.45" x14ac:dyDescent="0.3">
      <c r="A109" s="4453"/>
      <c r="B109" s="4986" t="s">
        <v>53</v>
      </c>
      <c r="C109" s="4987" t="s">
        <v>605</v>
      </c>
      <c r="D109" s="4988"/>
      <c r="E109" s="4989">
        <v>45306</v>
      </c>
      <c r="F109" s="4989">
        <v>47132</v>
      </c>
      <c r="G109" s="4990">
        <f>12134916-G110</f>
        <v>10399916</v>
      </c>
      <c r="H109" s="4991"/>
      <c r="I109" s="4992"/>
      <c r="J109" s="4992"/>
      <c r="K109" s="4992"/>
      <c r="L109" s="4993"/>
      <c r="M109" s="4991"/>
      <c r="N109" s="4992"/>
      <c r="O109" s="4992"/>
      <c r="P109" s="4992"/>
      <c r="Q109" s="4993"/>
      <c r="R109" s="4991"/>
      <c r="S109" s="4992"/>
      <c r="T109" s="4992"/>
      <c r="U109" s="4992"/>
      <c r="V109" s="4993"/>
      <c r="W109" s="4991"/>
      <c r="X109" s="4992"/>
      <c r="Y109" s="4992"/>
      <c r="Z109" s="4992"/>
      <c r="AA109" s="4994"/>
      <c r="AB109" s="4991"/>
      <c r="AC109" s="4992"/>
      <c r="AD109" s="4992"/>
      <c r="AE109" s="4992"/>
      <c r="AF109" s="4994"/>
      <c r="AG109" s="4992"/>
      <c r="AH109" s="4992"/>
      <c r="AI109" s="4992"/>
      <c r="AJ109" s="4992"/>
      <c r="AK109" s="4993"/>
      <c r="AL109" s="4992"/>
      <c r="AM109" s="4992"/>
      <c r="AN109" s="4992"/>
      <c r="AO109" s="4992"/>
      <c r="AP109" s="4993"/>
      <c r="AQ109" s="4992"/>
      <c r="AR109" s="4992"/>
      <c r="AS109" s="4992"/>
      <c r="AT109" s="4992"/>
      <c r="AU109" s="4993"/>
      <c r="AV109" s="4995"/>
      <c r="AW109" s="4992"/>
      <c r="AX109" s="4992"/>
      <c r="AY109" s="4992"/>
      <c r="AZ109" s="4994"/>
      <c r="BA109" s="4995"/>
      <c r="BB109" s="4992"/>
      <c r="BC109" s="4992"/>
      <c r="BD109" s="4992"/>
      <c r="BE109" s="4994"/>
      <c r="BF109" s="4995"/>
      <c r="BG109" s="4992"/>
      <c r="BH109" s="4992"/>
      <c r="BI109" s="4992"/>
      <c r="BJ109" s="4994"/>
      <c r="BK109" s="4995"/>
      <c r="BL109" s="4992"/>
      <c r="BM109" s="4992"/>
      <c r="BN109" s="4992"/>
      <c r="BO109" s="4994"/>
      <c r="BP109" s="4996"/>
      <c r="BQ109" s="4992"/>
      <c r="BR109" s="4992"/>
      <c r="BS109" s="4992"/>
      <c r="BT109" s="4997"/>
      <c r="BU109" s="4992"/>
      <c r="BV109" s="4992"/>
      <c r="BW109" s="4998"/>
      <c r="BX109" s="4997"/>
      <c r="BY109" s="4992"/>
      <c r="BZ109" s="4992"/>
      <c r="CA109" s="4999"/>
      <c r="CB109" s="4992"/>
      <c r="CC109" s="4992"/>
      <c r="CD109" s="4992"/>
      <c r="CE109" s="4992"/>
      <c r="CF109" s="4997"/>
      <c r="CG109" s="4992"/>
      <c r="CH109" s="4992"/>
      <c r="CI109" s="4999"/>
      <c r="CJ109" s="5000"/>
      <c r="CK109" s="4992"/>
      <c r="CL109" s="4992"/>
      <c r="CM109" s="4992"/>
      <c r="CN109" s="4998"/>
      <c r="CO109" s="5000"/>
      <c r="CP109" s="4991"/>
      <c r="CQ109" s="4991"/>
      <c r="CR109" s="4991"/>
      <c r="CS109" s="4998"/>
      <c r="CT109" s="5000"/>
      <c r="CU109" s="4992"/>
      <c r="CV109" s="4992"/>
      <c r="CW109" s="4992"/>
      <c r="CX109" s="4998"/>
      <c r="CY109" s="5000"/>
      <c r="CZ109" s="4992"/>
      <c r="DA109" s="4992"/>
      <c r="DB109" s="4992"/>
      <c r="DC109" s="4998"/>
      <c r="DD109" s="5000"/>
      <c r="DE109" s="4992"/>
      <c r="DF109" s="4992"/>
      <c r="DG109" s="4992"/>
      <c r="DH109" s="5001"/>
      <c r="DI109" s="5000"/>
      <c r="DJ109" s="4992"/>
      <c r="DK109" s="4992"/>
      <c r="DL109" s="4992"/>
      <c r="DM109" s="5001"/>
      <c r="DN109" s="5000"/>
      <c r="DO109" s="4992"/>
      <c r="DP109" s="4992"/>
      <c r="DQ109" s="4992"/>
      <c r="DR109" s="5001"/>
      <c r="DS109" s="5000"/>
      <c r="DT109" s="4992"/>
      <c r="DU109" s="4992"/>
      <c r="DV109" s="4992"/>
      <c r="DW109" s="5001"/>
      <c r="DX109" s="5000"/>
      <c r="DY109" s="4992"/>
      <c r="DZ109" s="4992"/>
      <c r="EA109" s="4992"/>
      <c r="EB109" s="5001"/>
      <c r="EC109" s="5000"/>
      <c r="ED109" s="4992"/>
      <c r="EE109" s="4992"/>
      <c r="EF109" s="4992"/>
      <c r="EG109" s="5001"/>
      <c r="EH109" s="5000"/>
      <c r="EI109" s="4992"/>
      <c r="EJ109" s="4992"/>
      <c r="EK109" s="4992"/>
      <c r="EL109" s="5001"/>
      <c r="EM109" s="5002"/>
      <c r="EN109" s="5003"/>
      <c r="EO109" s="5003"/>
      <c r="EP109" s="5003"/>
      <c r="EQ109" s="5004"/>
      <c r="ER109" s="5005"/>
      <c r="ES109" s="5006"/>
      <c r="ET109" s="5006"/>
      <c r="EU109" s="5006"/>
      <c r="EV109" s="5007"/>
      <c r="EW109" s="4991"/>
      <c r="EX109" s="4991"/>
      <c r="EY109" s="4991"/>
      <c r="EZ109" s="4993"/>
      <c r="FA109" s="5000"/>
      <c r="FB109" s="4991"/>
      <c r="FC109" s="4991"/>
      <c r="FD109" s="4998"/>
      <c r="FE109" s="4991"/>
      <c r="FF109" s="4991"/>
      <c r="FG109" s="4991"/>
      <c r="FH109" s="4993"/>
      <c r="FI109" s="5008"/>
      <c r="FJ109" s="5009"/>
      <c r="FK109" s="5010"/>
      <c r="FL109" s="5010"/>
      <c r="FM109" s="5011"/>
      <c r="FN109" s="4991"/>
      <c r="FO109" s="4992"/>
      <c r="FP109" s="4992"/>
      <c r="FQ109" s="4992"/>
      <c r="FR109" s="4994"/>
      <c r="FS109" s="5002"/>
      <c r="FT109" s="5003"/>
      <c r="FU109" s="5003"/>
      <c r="FV109" s="5003"/>
      <c r="FW109" s="5004"/>
      <c r="FX109" s="5000"/>
      <c r="FY109" s="4992"/>
      <c r="FZ109" s="4992"/>
      <c r="GA109" s="5003"/>
      <c r="GB109" s="5004"/>
      <c r="GC109" s="5012"/>
      <c r="GD109" s="5013"/>
      <c r="GE109" s="5013"/>
      <c r="GF109" s="5003"/>
      <c r="GG109" s="5004"/>
      <c r="GH109" s="5014"/>
      <c r="GI109" s="5015"/>
      <c r="GJ109" s="5015"/>
      <c r="GK109" s="5003"/>
      <c r="GL109" s="5004"/>
      <c r="GM109" s="5014"/>
      <c r="GN109" s="5015"/>
      <c r="GO109" s="5015"/>
      <c r="GP109" s="5003"/>
      <c r="GQ109" s="5004"/>
      <c r="GR109" s="5016"/>
      <c r="GS109" s="5017"/>
      <c r="GT109" s="5017"/>
      <c r="GU109" s="5003"/>
      <c r="GV109" s="5004"/>
      <c r="GW109" s="5016"/>
      <c r="GX109" s="5017"/>
      <c r="GY109" s="5017"/>
      <c r="GZ109" s="5003"/>
      <c r="HA109" s="5004"/>
      <c r="HB109" s="5016"/>
      <c r="HC109" s="5017"/>
      <c r="HD109" s="5017"/>
      <c r="HE109" s="5003"/>
      <c r="HF109" s="5004"/>
      <c r="HG109" s="5016"/>
      <c r="HH109" s="5017"/>
      <c r="HI109" s="5017"/>
      <c r="HJ109" s="5018"/>
      <c r="HK109" s="5004"/>
      <c r="HL109" s="5016"/>
      <c r="HM109" s="5017"/>
      <c r="HN109" s="5017"/>
      <c r="HO109" s="5003"/>
      <c r="HP109" s="5004"/>
      <c r="HQ109" s="5019"/>
      <c r="HR109" s="5020"/>
      <c r="HS109" s="5020"/>
      <c r="HT109" s="5020"/>
      <c r="HU109" s="5021"/>
      <c r="HV109" s="5022"/>
      <c r="HW109" s="5023"/>
      <c r="HX109" s="5023"/>
      <c r="HY109" s="5023"/>
      <c r="HZ109" s="5024"/>
      <c r="IA109" s="5025"/>
      <c r="IB109" s="5026"/>
      <c r="IC109" s="5026"/>
      <c r="ID109" s="5027"/>
      <c r="IE109" s="5002"/>
      <c r="IF109" s="5028"/>
      <c r="IG109" s="5029"/>
      <c r="IH109" s="5027"/>
      <c r="II109" s="5030"/>
      <c r="IJ109" s="5031"/>
      <c r="IK109" s="5031"/>
      <c r="IL109" s="5011"/>
      <c r="IM109" s="5032"/>
      <c r="IN109" s="5031"/>
      <c r="IO109" s="5031"/>
      <c r="IP109" s="5033"/>
      <c r="IQ109" s="4992"/>
      <c r="IR109" s="5034"/>
      <c r="IS109" s="5003"/>
      <c r="IT109" s="5003"/>
      <c r="IU109" s="5035"/>
      <c r="IV109" s="5036"/>
      <c r="IW109" s="5002"/>
      <c r="IX109" s="5003"/>
      <c r="IY109" s="5037"/>
      <c r="IZ109" s="3235"/>
      <c r="JA109" s="5038"/>
      <c r="JB109" s="5039"/>
      <c r="JC109" s="5040"/>
      <c r="JD109" s="5041"/>
      <c r="JE109" s="3235"/>
      <c r="JF109" s="5038"/>
      <c r="JG109" s="5042"/>
      <c r="JH109" s="5043"/>
      <c r="JI109" s="5043"/>
      <c r="JJ109" s="3242"/>
      <c r="JK109" s="5038"/>
      <c r="JL109" s="5044"/>
      <c r="JM109" s="5043"/>
      <c r="JN109" s="5043"/>
      <c r="JO109" s="5037"/>
      <c r="JP109" s="5038"/>
      <c r="JQ109" s="5045"/>
      <c r="JR109" s="5046"/>
      <c r="JS109" s="5020"/>
      <c r="JT109" s="5035"/>
      <c r="JU109" s="5047"/>
      <c r="JV109" s="5048"/>
      <c r="JW109" s="5049"/>
      <c r="JX109" s="3267"/>
      <c r="JY109" s="5037"/>
      <c r="JZ109" s="5038"/>
      <c r="KA109" s="5042"/>
      <c r="KB109" s="3238"/>
      <c r="KC109" s="5050"/>
      <c r="KD109" s="5051"/>
      <c r="KE109" s="5052"/>
      <c r="KF109" s="5048"/>
      <c r="KG109" s="3267"/>
      <c r="KH109" s="5049"/>
      <c r="KI109" s="3235"/>
      <c r="KJ109" s="5038"/>
      <c r="KK109" s="5048"/>
      <c r="KL109" s="3267"/>
      <c r="KM109" s="5049"/>
      <c r="KN109" s="5053"/>
      <c r="KO109" s="5054"/>
      <c r="KP109" s="5055"/>
      <c r="KQ109" s="5046"/>
      <c r="KR109" s="5020"/>
      <c r="KS109" s="5035"/>
      <c r="KT109" s="5056"/>
      <c r="KU109" s="5057"/>
      <c r="KV109" s="3238"/>
      <c r="KW109" s="3238"/>
      <c r="KX109" s="3238"/>
      <c r="KY109" s="5058"/>
      <c r="KZ109" s="5059"/>
      <c r="LA109" s="3244"/>
      <c r="LB109" s="3244"/>
      <c r="LC109" s="3244"/>
      <c r="LD109" s="5060"/>
      <c r="LE109" s="5061"/>
      <c r="LF109" s="5062"/>
      <c r="LG109" s="5062"/>
      <c r="LH109" s="5063"/>
      <c r="LI109" s="5059"/>
      <c r="LJ109" s="5064"/>
      <c r="LK109" s="5061"/>
      <c r="LL109" s="5063"/>
      <c r="LM109" s="5065"/>
      <c r="LN109" s="5066"/>
      <c r="LO109" s="5066"/>
      <c r="LP109" s="5060"/>
      <c r="LQ109" s="5067"/>
      <c r="LR109" s="5066"/>
      <c r="LS109" s="5066"/>
      <c r="LT109" s="5068"/>
      <c r="LU109" s="5069"/>
      <c r="LV109" s="5070"/>
      <c r="LW109" s="5071"/>
      <c r="LX109" s="5071"/>
      <c r="LY109" s="5072"/>
      <c r="LZ109" s="5073"/>
      <c r="MA109" s="5074"/>
      <c r="MB109" s="5075"/>
      <c r="MC109" s="5075"/>
      <c r="MD109" s="5076"/>
      <c r="ME109" s="5077"/>
      <c r="MF109" s="5078"/>
      <c r="MG109" s="5079"/>
      <c r="MH109" s="5080"/>
      <c r="MI109" s="5081"/>
      <c r="MJ109" s="5082"/>
      <c r="MK109" s="5083"/>
      <c r="ML109" s="5071"/>
      <c r="MM109" s="3244"/>
      <c r="MN109" s="5081"/>
      <c r="MO109" s="5082"/>
      <c r="MP109" s="5084"/>
      <c r="MQ109" s="3238"/>
      <c r="MR109" s="3238"/>
      <c r="MS109" s="3238"/>
      <c r="MT109" s="5085"/>
      <c r="MU109" s="5086"/>
      <c r="MV109" s="5071"/>
      <c r="MW109" s="5071"/>
      <c r="MX109" s="5071"/>
      <c r="MY109" s="5087"/>
      <c r="MZ109" s="5086"/>
      <c r="NA109" s="5071"/>
      <c r="NB109" s="5071"/>
      <c r="NC109" s="5071"/>
      <c r="ND109" s="5088"/>
      <c r="NE109" s="5086"/>
      <c r="NF109" s="5071"/>
      <c r="NG109" s="5071"/>
      <c r="NH109" s="5071"/>
      <c r="NI109" s="5088"/>
      <c r="NJ109" s="5086"/>
      <c r="NK109" s="5071"/>
      <c r="NL109" s="5071"/>
      <c r="NM109" s="5071"/>
      <c r="NN109" s="5088"/>
      <c r="NO109" s="5089"/>
      <c r="NP109" s="3244"/>
      <c r="NQ109" s="5090"/>
      <c r="NR109" s="5071"/>
      <c r="NS109" s="5088"/>
      <c r="NT109" s="5089"/>
      <c r="NU109" s="3244"/>
      <c r="NV109" s="3244"/>
      <c r="NW109" s="5071"/>
      <c r="NX109" s="5088"/>
      <c r="NY109" s="5089"/>
      <c r="NZ109" s="3244"/>
      <c r="OA109" s="3244"/>
      <c r="OB109" s="5075"/>
      <c r="OC109" s="5091"/>
      <c r="OD109" s="5092"/>
      <c r="OE109" s="3244"/>
      <c r="OF109" s="3244"/>
      <c r="OG109" s="3244"/>
      <c r="OH109" s="5093"/>
      <c r="OI109" s="5094"/>
      <c r="OJ109" s="5095"/>
      <c r="OK109" s="5095"/>
      <c r="OL109" s="5095"/>
      <c r="OM109" s="5096"/>
      <c r="ON109" s="3244"/>
      <c r="OO109" s="3244"/>
      <c r="OP109" s="3244"/>
      <c r="OQ109" s="5090"/>
      <c r="OR109" s="5097"/>
      <c r="OS109" s="5098"/>
      <c r="OT109" s="5099"/>
      <c r="OU109" s="5099"/>
      <c r="OV109" s="5100"/>
      <c r="OW109" s="5101"/>
      <c r="OX109" s="5089"/>
      <c r="OY109" s="3244"/>
      <c r="OZ109" s="3244"/>
      <c r="PA109" s="5090"/>
      <c r="PB109" s="5102"/>
      <c r="PC109" s="5103"/>
      <c r="PD109" s="5070"/>
      <c r="PE109" s="5071"/>
      <c r="PF109" s="5071"/>
      <c r="PG109" s="5072"/>
      <c r="PH109" s="5073"/>
      <c r="PI109" s="5104"/>
      <c r="PJ109" s="5105"/>
      <c r="PK109" s="5105"/>
      <c r="PL109" s="5072"/>
      <c r="PM109" s="5073"/>
      <c r="PN109" s="5070"/>
      <c r="PO109" s="5071"/>
      <c r="PP109" s="3244"/>
      <c r="PQ109" s="5081"/>
      <c r="PR109" s="5082"/>
      <c r="PS109" s="5083"/>
      <c r="PT109" s="5071"/>
      <c r="PU109" s="3244"/>
      <c r="PV109" s="5081"/>
      <c r="PW109" s="5082"/>
      <c r="PX109" s="5084"/>
      <c r="PY109" s="3238"/>
      <c r="PZ109" s="3238"/>
      <c r="QA109" s="5020"/>
      <c r="QB109" s="5085"/>
      <c r="QC109" s="5086"/>
      <c r="QD109" s="5071"/>
      <c r="QE109" s="5071"/>
      <c r="QF109" s="5071"/>
      <c r="QG109" s="5087"/>
      <c r="QH109" s="5070"/>
      <c r="QI109" s="5071"/>
      <c r="QJ109" s="5071"/>
      <c r="QK109" s="5071"/>
      <c r="QL109" s="5088"/>
      <c r="QM109" s="5070"/>
      <c r="QN109" s="5071"/>
      <c r="QO109" s="5071"/>
      <c r="QP109" s="5071"/>
      <c r="QQ109" s="5106"/>
      <c r="QR109" s="5086"/>
      <c r="QS109" s="5071"/>
      <c r="QT109" s="5071"/>
      <c r="QU109" s="5071"/>
      <c r="QV109" s="5082"/>
      <c r="QW109" s="5107"/>
      <c r="QX109" s="5105"/>
      <c r="QY109" s="5105"/>
      <c r="QZ109" s="5105"/>
      <c r="RA109" s="5108"/>
      <c r="RB109" s="5086"/>
      <c r="RC109" s="5071">
        <v>0</v>
      </c>
      <c r="RD109" s="5071">
        <v>0</v>
      </c>
      <c r="RE109" s="5071">
        <f>RD109-RC109</f>
        <v>0</v>
      </c>
      <c r="RF109" s="5109">
        <v>0</v>
      </c>
      <c r="RG109" s="1857"/>
      <c r="RH109" s="208">
        <v>0</v>
      </c>
      <c r="RI109" s="208">
        <v>0</v>
      </c>
      <c r="RJ109" s="772">
        <f t="shared" si="369"/>
        <v>0</v>
      </c>
      <c r="RK109" s="2050">
        <v>0</v>
      </c>
      <c r="RL109" s="1567"/>
      <c r="RM109" s="1568">
        <f t="shared" si="426"/>
        <v>0</v>
      </c>
      <c r="RN109" s="1568">
        <f t="shared" si="426"/>
        <v>0</v>
      </c>
      <c r="RO109" s="1568">
        <f t="shared" si="426"/>
        <v>0</v>
      </c>
      <c r="RP109" s="220"/>
      <c r="RQ109" s="5094"/>
      <c r="RR109" s="5095"/>
      <c r="RS109" s="5095"/>
      <c r="RT109" s="5095"/>
      <c r="RU109" s="5096"/>
      <c r="RV109" s="3244"/>
      <c r="RW109" s="3244"/>
      <c r="RX109" s="3244"/>
      <c r="RY109" s="5090"/>
      <c r="RZ109" s="5097"/>
      <c r="SA109" s="5098"/>
      <c r="SB109" s="5099"/>
      <c r="SC109" s="5099"/>
      <c r="SD109" s="5100"/>
      <c r="SE109" s="5101"/>
      <c r="SF109" s="1567"/>
      <c r="SG109" s="358">
        <f t="shared" si="421"/>
        <v>0</v>
      </c>
      <c r="SH109" s="358">
        <f t="shared" si="421"/>
        <v>0</v>
      </c>
      <c r="SI109" s="359">
        <f t="shared" si="421"/>
        <v>0</v>
      </c>
      <c r="SJ109" s="114">
        <v>0</v>
      </c>
      <c r="SK109" s="5069"/>
      <c r="SL109" s="5070"/>
      <c r="SM109" s="5071"/>
      <c r="SN109" s="5071"/>
      <c r="SO109" s="96"/>
      <c r="SP109" s="1581"/>
      <c r="SQ109" s="5070"/>
      <c r="SR109" s="5071"/>
      <c r="SS109" s="5071"/>
      <c r="ST109" s="96"/>
      <c r="SU109" s="1581"/>
      <c r="SV109" s="5070"/>
      <c r="SW109" s="5071"/>
      <c r="SX109" s="3244"/>
      <c r="SY109" s="371"/>
      <c r="SZ109" s="157"/>
      <c r="TA109" s="5083"/>
      <c r="TB109" s="5071"/>
      <c r="TC109" s="3244"/>
      <c r="TD109" s="96"/>
      <c r="TE109" s="94"/>
      <c r="TF109" s="5083"/>
      <c r="TG109" s="5071"/>
      <c r="TH109" s="5071"/>
      <c r="TI109" s="395"/>
      <c r="TJ109" s="2155"/>
      <c r="TK109" s="5086"/>
      <c r="TL109" s="208"/>
      <c r="TM109" s="208"/>
      <c r="TN109" s="395"/>
      <c r="TO109" s="114"/>
      <c r="TP109" s="5110"/>
      <c r="TQ109" s="208">
        <v>0</v>
      </c>
      <c r="TR109" s="208">
        <v>0</v>
      </c>
      <c r="TS109" s="994">
        <f t="shared" si="352"/>
        <v>0</v>
      </c>
      <c r="TT109" s="2155">
        <v>0</v>
      </c>
      <c r="TU109" s="5111"/>
      <c r="TV109" s="2001">
        <v>0</v>
      </c>
      <c r="TW109" s="2001">
        <v>0</v>
      </c>
      <c r="TX109" s="2012">
        <f>TW109-TV109</f>
        <v>0</v>
      </c>
      <c r="TY109" s="4933">
        <v>0</v>
      </c>
      <c r="TZ109" s="6145"/>
      <c r="UA109" s="5071">
        <v>0</v>
      </c>
      <c r="UB109" s="5071">
        <v>0</v>
      </c>
      <c r="UC109" s="772">
        <f>UB109-UA109</f>
        <v>0</v>
      </c>
      <c r="UD109" s="2050">
        <v>0</v>
      </c>
      <c r="UE109" s="1868"/>
      <c r="UF109" s="1575">
        <v>0</v>
      </c>
      <c r="UG109" s="1575">
        <v>0</v>
      </c>
      <c r="UH109" s="1575">
        <f t="shared" si="322"/>
        <v>0</v>
      </c>
      <c r="UI109" s="6499">
        <v>0</v>
      </c>
      <c r="UJ109" s="5086"/>
      <c r="UK109" s="5071"/>
      <c r="UL109" s="5071"/>
      <c r="UM109" s="5071">
        <f t="shared" si="429"/>
        <v>0</v>
      </c>
      <c r="UN109" s="5109">
        <v>0</v>
      </c>
      <c r="UO109" s="1567"/>
      <c r="UP109" s="1568"/>
      <c r="UQ109" s="1568"/>
      <c r="UR109" s="1873">
        <f t="shared" si="323"/>
        <v>0</v>
      </c>
      <c r="US109" s="2050">
        <v>0</v>
      </c>
      <c r="UT109" s="1567"/>
      <c r="UU109" s="358">
        <f t="shared" si="371"/>
        <v>0</v>
      </c>
      <c r="UV109" s="358">
        <f t="shared" si="371"/>
        <v>0</v>
      </c>
      <c r="UW109" s="358">
        <f t="shared" si="371"/>
        <v>0</v>
      </c>
      <c r="UX109" s="220"/>
      <c r="UY109" s="4441">
        <f t="shared" si="324"/>
        <v>0</v>
      </c>
      <c r="UZ109" s="4442">
        <f t="shared" si="424"/>
        <v>0</v>
      </c>
      <c r="VA109" s="4442">
        <f t="shared" si="424"/>
        <v>0</v>
      </c>
      <c r="VB109" s="4442">
        <f t="shared" si="424"/>
        <v>0</v>
      </c>
      <c r="VC109" s="4443" t="e">
        <f t="shared" si="325"/>
        <v>#DIV/0!</v>
      </c>
      <c r="VD109" s="4454"/>
      <c r="VE109" s="4438">
        <f t="shared" si="423"/>
        <v>0</v>
      </c>
      <c r="VF109" s="4438">
        <f t="shared" si="423"/>
        <v>0</v>
      </c>
      <c r="VG109" s="4444">
        <f t="shared" si="423"/>
        <v>0</v>
      </c>
      <c r="VH109" s="4445" t="e">
        <f t="shared" si="372"/>
        <v>#DIV/0!</v>
      </c>
      <c r="VI109" s="4446"/>
      <c r="VJ109" s="146">
        <f t="shared" si="373"/>
        <v>0</v>
      </c>
      <c r="VK109" s="146">
        <f t="shared" si="373"/>
        <v>0</v>
      </c>
      <c r="VL109" s="1864">
        <f t="shared" si="373"/>
        <v>0</v>
      </c>
      <c r="VM109" s="4456"/>
      <c r="VN109" s="4449"/>
      <c r="VO109" s="4438">
        <f t="shared" si="368"/>
        <v>0</v>
      </c>
      <c r="VP109" s="4438">
        <f t="shared" si="361"/>
        <v>0</v>
      </c>
      <c r="VQ109" s="4444">
        <f t="shared" si="361"/>
        <v>0</v>
      </c>
      <c r="VR109" s="4448">
        <v>0</v>
      </c>
    </row>
    <row r="110" spans="1:745" s="4458" customFormat="1" ht="13.6" customHeight="1" x14ac:dyDescent="0.3">
      <c r="A110" s="4457"/>
      <c r="B110" s="1773" t="s">
        <v>53</v>
      </c>
      <c r="C110" s="5112" t="s">
        <v>949</v>
      </c>
      <c r="D110" s="5113" t="s">
        <v>630</v>
      </c>
      <c r="E110" s="1993">
        <v>45306</v>
      </c>
      <c r="F110" s="1993">
        <v>45396</v>
      </c>
      <c r="G110" s="1994">
        <v>1735000</v>
      </c>
      <c r="H110" s="2031"/>
      <c r="I110" s="1914"/>
      <c r="J110" s="1914"/>
      <c r="K110" s="1914"/>
      <c r="L110" s="593"/>
      <c r="M110" s="2031"/>
      <c r="N110" s="1914"/>
      <c r="O110" s="1914"/>
      <c r="P110" s="1914"/>
      <c r="Q110" s="593"/>
      <c r="R110" s="2031"/>
      <c r="S110" s="1914"/>
      <c r="T110" s="1914"/>
      <c r="U110" s="1914"/>
      <c r="V110" s="593"/>
      <c r="W110" s="2031"/>
      <c r="X110" s="1914"/>
      <c r="Y110" s="1914"/>
      <c r="Z110" s="1914"/>
      <c r="AA110" s="2032"/>
      <c r="AB110" s="2031"/>
      <c r="AC110" s="1914"/>
      <c r="AD110" s="1914"/>
      <c r="AE110" s="1914"/>
      <c r="AF110" s="2032"/>
      <c r="AG110" s="1914"/>
      <c r="AH110" s="1914"/>
      <c r="AI110" s="1914"/>
      <c r="AJ110" s="1914"/>
      <c r="AK110" s="593"/>
      <c r="AL110" s="1914"/>
      <c r="AM110" s="1914"/>
      <c r="AN110" s="1914"/>
      <c r="AO110" s="1914"/>
      <c r="AP110" s="593"/>
      <c r="AQ110" s="1914"/>
      <c r="AR110" s="1914"/>
      <c r="AS110" s="1914"/>
      <c r="AT110" s="1914"/>
      <c r="AU110" s="593"/>
      <c r="AV110" s="2033"/>
      <c r="AW110" s="1914"/>
      <c r="AX110" s="1914"/>
      <c r="AY110" s="1914"/>
      <c r="AZ110" s="2032"/>
      <c r="BA110" s="2033"/>
      <c r="BB110" s="1914"/>
      <c r="BC110" s="1914"/>
      <c r="BD110" s="1914"/>
      <c r="BE110" s="2032"/>
      <c r="BF110" s="2033"/>
      <c r="BG110" s="1914"/>
      <c r="BH110" s="1914"/>
      <c r="BI110" s="1914"/>
      <c r="BJ110" s="2032"/>
      <c r="BK110" s="2033"/>
      <c r="BL110" s="1914"/>
      <c r="BM110" s="1914"/>
      <c r="BN110" s="1914"/>
      <c r="BO110" s="2032"/>
      <c r="BP110" s="2034"/>
      <c r="BQ110" s="1914"/>
      <c r="BR110" s="1914"/>
      <c r="BS110" s="1914"/>
      <c r="BT110" s="2035"/>
      <c r="BU110" s="1914"/>
      <c r="BV110" s="1914"/>
      <c r="BW110" s="2036"/>
      <c r="BX110" s="2035"/>
      <c r="BY110" s="1914"/>
      <c r="BZ110" s="1914"/>
      <c r="CA110" s="2010"/>
      <c r="CB110" s="1914"/>
      <c r="CC110" s="1914"/>
      <c r="CD110" s="1914"/>
      <c r="CE110" s="1914"/>
      <c r="CF110" s="2035"/>
      <c r="CG110" s="1914"/>
      <c r="CH110" s="1914"/>
      <c r="CI110" s="2010"/>
      <c r="CJ110" s="2037"/>
      <c r="CK110" s="1914"/>
      <c r="CL110" s="1914"/>
      <c r="CM110" s="1914"/>
      <c r="CN110" s="2036"/>
      <c r="CO110" s="2037"/>
      <c r="CP110" s="2031"/>
      <c r="CQ110" s="2031"/>
      <c r="CR110" s="2031"/>
      <c r="CS110" s="2036"/>
      <c r="CT110" s="2037"/>
      <c r="CU110" s="1914"/>
      <c r="CV110" s="1914"/>
      <c r="CW110" s="1914"/>
      <c r="CX110" s="2036"/>
      <c r="CY110" s="2037"/>
      <c r="CZ110" s="1914"/>
      <c r="DA110" s="1914"/>
      <c r="DB110" s="1914"/>
      <c r="DC110" s="2036"/>
      <c r="DD110" s="2037"/>
      <c r="DE110" s="1914"/>
      <c r="DF110" s="1914"/>
      <c r="DG110" s="1914"/>
      <c r="DH110" s="2038"/>
      <c r="DI110" s="2037"/>
      <c r="DJ110" s="1914"/>
      <c r="DK110" s="1914"/>
      <c r="DL110" s="1914"/>
      <c r="DM110" s="2038"/>
      <c r="DN110" s="2037"/>
      <c r="DO110" s="1914"/>
      <c r="DP110" s="1914"/>
      <c r="DQ110" s="1914"/>
      <c r="DR110" s="2038"/>
      <c r="DS110" s="2037"/>
      <c r="DT110" s="1914"/>
      <c r="DU110" s="1914"/>
      <c r="DV110" s="1914"/>
      <c r="DW110" s="2038"/>
      <c r="DX110" s="2037"/>
      <c r="DY110" s="1914"/>
      <c r="DZ110" s="1914"/>
      <c r="EA110" s="1914"/>
      <c r="EB110" s="2038"/>
      <c r="EC110" s="2037"/>
      <c r="ED110" s="1914"/>
      <c r="EE110" s="1914"/>
      <c r="EF110" s="1914"/>
      <c r="EG110" s="2038"/>
      <c r="EH110" s="2037"/>
      <c r="EI110" s="1914"/>
      <c r="EJ110" s="1914"/>
      <c r="EK110" s="1914"/>
      <c r="EL110" s="2038"/>
      <c r="EM110" s="1910"/>
      <c r="EN110" s="715"/>
      <c r="EO110" s="715"/>
      <c r="EP110" s="715"/>
      <c r="EQ110" s="366"/>
      <c r="ER110" s="2402"/>
      <c r="ES110" s="2403"/>
      <c r="ET110" s="2403"/>
      <c r="EU110" s="2403"/>
      <c r="EV110" s="2404"/>
      <c r="EW110" s="2031"/>
      <c r="EX110" s="2031"/>
      <c r="EY110" s="2031"/>
      <c r="EZ110" s="593"/>
      <c r="FA110" s="2037"/>
      <c r="FB110" s="2031"/>
      <c r="FC110" s="2031"/>
      <c r="FD110" s="2036"/>
      <c r="FE110" s="2031"/>
      <c r="FF110" s="2031"/>
      <c r="FG110" s="2031"/>
      <c r="FH110" s="593"/>
      <c r="FI110" s="2039"/>
      <c r="FJ110" s="2040"/>
      <c r="FK110" s="2041"/>
      <c r="FL110" s="2041"/>
      <c r="FM110" s="693"/>
      <c r="FN110" s="2031"/>
      <c r="FO110" s="1914"/>
      <c r="FP110" s="1914"/>
      <c r="FQ110" s="1914"/>
      <c r="FR110" s="2032"/>
      <c r="FS110" s="1910"/>
      <c r="FT110" s="715"/>
      <c r="FU110" s="715"/>
      <c r="FV110" s="715"/>
      <c r="FW110" s="366"/>
      <c r="FX110" s="2037"/>
      <c r="FY110" s="1914"/>
      <c r="FZ110" s="1914"/>
      <c r="GA110" s="715"/>
      <c r="GB110" s="366"/>
      <c r="GC110" s="2110"/>
      <c r="GD110" s="2111"/>
      <c r="GE110" s="2111"/>
      <c r="GF110" s="715"/>
      <c r="GG110" s="366"/>
      <c r="GH110" s="2042"/>
      <c r="GI110" s="2043"/>
      <c r="GJ110" s="2043"/>
      <c r="GK110" s="715"/>
      <c r="GL110" s="366"/>
      <c r="GM110" s="2042"/>
      <c r="GN110" s="2043"/>
      <c r="GO110" s="2043"/>
      <c r="GP110" s="715"/>
      <c r="GQ110" s="366"/>
      <c r="GR110" s="2042"/>
      <c r="GS110" s="2043"/>
      <c r="GT110" s="2043"/>
      <c r="GU110" s="715"/>
      <c r="GV110" s="366"/>
      <c r="GW110" s="2042"/>
      <c r="GX110" s="2043"/>
      <c r="GY110" s="2043"/>
      <c r="GZ110" s="715"/>
      <c r="HA110" s="366"/>
      <c r="HB110" s="2042"/>
      <c r="HC110" s="2043"/>
      <c r="HD110" s="2043"/>
      <c r="HE110" s="715"/>
      <c r="HF110" s="366"/>
      <c r="HG110" s="2042"/>
      <c r="HH110" s="2043"/>
      <c r="HI110" s="2043"/>
      <c r="HJ110" s="2113"/>
      <c r="HK110" s="366"/>
      <c r="HL110" s="2042"/>
      <c r="HM110" s="2043"/>
      <c r="HN110" s="2043"/>
      <c r="HO110" s="715"/>
      <c r="HP110" s="366"/>
      <c r="HQ110" s="2114"/>
      <c r="HR110" s="1904"/>
      <c r="HS110" s="1904"/>
      <c r="HT110" s="1904"/>
      <c r="HU110" s="2115"/>
      <c r="HV110" s="2405"/>
      <c r="HW110" s="2406"/>
      <c r="HX110" s="2406"/>
      <c r="HY110" s="2406"/>
      <c r="HZ110" s="1906"/>
      <c r="IA110" s="1907"/>
      <c r="IB110" s="1908"/>
      <c r="IC110" s="1908"/>
      <c r="ID110" s="1909"/>
      <c r="IE110" s="1910"/>
      <c r="IF110" s="1911"/>
      <c r="IG110" s="1912"/>
      <c r="IH110" s="1909"/>
      <c r="II110" s="1907"/>
      <c r="IJ110" s="2116"/>
      <c r="IK110" s="2116"/>
      <c r="IL110" s="693"/>
      <c r="IM110" s="2117"/>
      <c r="IN110" s="2116"/>
      <c r="IO110" s="2116"/>
      <c r="IP110" s="1838"/>
      <c r="IQ110" s="1914"/>
      <c r="IR110" s="2044"/>
      <c r="IS110" s="715"/>
      <c r="IT110" s="715"/>
      <c r="IU110" s="2131"/>
      <c r="IV110" s="2045"/>
      <c r="IW110" s="1910"/>
      <c r="IX110" s="715"/>
      <c r="IY110" s="715"/>
      <c r="IZ110" s="2113"/>
      <c r="JA110" s="2132"/>
      <c r="JB110" s="2407"/>
      <c r="JC110" s="2408"/>
      <c r="JD110" s="2409"/>
      <c r="JE110" s="2113"/>
      <c r="JF110" s="2132"/>
      <c r="JG110" s="2410"/>
      <c r="JH110" s="2043"/>
      <c r="JI110" s="2043"/>
      <c r="JJ110" s="2411"/>
      <c r="JK110" s="2132"/>
      <c r="JL110" s="2129"/>
      <c r="JM110" s="2043"/>
      <c r="JN110" s="2043"/>
      <c r="JO110" s="715"/>
      <c r="JP110" s="2132"/>
      <c r="JQ110" s="2129"/>
      <c r="JR110" s="2130"/>
      <c r="JS110" s="1904"/>
      <c r="JT110" s="2131"/>
      <c r="JU110" s="2132"/>
      <c r="JV110" s="2410"/>
      <c r="JW110" s="2043"/>
      <c r="JX110" s="1904"/>
      <c r="JY110" s="715"/>
      <c r="JZ110" s="2132"/>
      <c r="KA110" s="2410"/>
      <c r="KB110" s="1904"/>
      <c r="KC110" s="2130"/>
      <c r="KD110" s="2414"/>
      <c r="KE110" s="2415"/>
      <c r="KF110" s="2410"/>
      <c r="KG110" s="1904"/>
      <c r="KH110" s="2043"/>
      <c r="KI110" s="2113"/>
      <c r="KJ110" s="2132"/>
      <c r="KK110" s="2410"/>
      <c r="KL110" s="1904"/>
      <c r="KM110" s="2043"/>
      <c r="KN110" s="2416"/>
      <c r="KO110" s="2417"/>
      <c r="KP110" s="2136"/>
      <c r="KQ110" s="2130"/>
      <c r="KR110" s="1904"/>
      <c r="KS110" s="2131"/>
      <c r="KT110" s="2137"/>
      <c r="KU110" s="2114"/>
      <c r="KV110" s="1904"/>
      <c r="KW110" s="1904"/>
      <c r="KX110" s="1904"/>
      <c r="KY110" s="2418"/>
      <c r="KZ110" s="1832"/>
      <c r="LA110" s="622"/>
      <c r="LB110" s="622"/>
      <c r="LC110" s="622"/>
      <c r="LD110" s="239"/>
      <c r="LE110" s="2419"/>
      <c r="LF110" s="2420"/>
      <c r="LG110" s="2420"/>
      <c r="LH110" s="2421"/>
      <c r="LI110" s="2422"/>
      <c r="LJ110" s="2423"/>
      <c r="LK110" s="2419"/>
      <c r="LL110" s="2421"/>
      <c r="LM110" s="1907"/>
      <c r="LN110" s="2116"/>
      <c r="LO110" s="2116"/>
      <c r="LP110" s="2013"/>
      <c r="LQ110" s="2424"/>
      <c r="LR110" s="2116"/>
      <c r="LS110" s="2116"/>
      <c r="LT110" s="1838"/>
      <c r="LU110" s="2425"/>
      <c r="LV110" s="2426"/>
      <c r="LW110" s="436"/>
      <c r="LX110" s="436"/>
      <c r="LY110" s="2427"/>
      <c r="LZ110" s="1588"/>
      <c r="MA110" s="2422"/>
      <c r="MB110" s="1587"/>
      <c r="MC110" s="1587"/>
      <c r="MD110" s="2148"/>
      <c r="ME110" s="2149"/>
      <c r="MF110" s="406"/>
      <c r="MG110" s="2428"/>
      <c r="MH110" s="5114"/>
      <c r="MI110" s="2148"/>
      <c r="MJ110" s="2149"/>
      <c r="MK110" s="2429"/>
      <c r="ML110" s="436"/>
      <c r="MM110" s="1587"/>
      <c r="MN110" s="2148"/>
      <c r="MO110" s="2149"/>
      <c r="MP110" s="2153"/>
      <c r="MQ110" s="1904"/>
      <c r="MR110" s="1904"/>
      <c r="MS110" s="1904"/>
      <c r="MT110" s="787"/>
      <c r="MU110" s="1318"/>
      <c r="MV110" s="395"/>
      <c r="MW110" s="395"/>
      <c r="MX110" s="395"/>
      <c r="MY110" s="655"/>
      <c r="MZ110" s="1318"/>
      <c r="NA110" s="395"/>
      <c r="NB110" s="395"/>
      <c r="NC110" s="395"/>
      <c r="ND110" s="801"/>
      <c r="NE110" s="1318"/>
      <c r="NF110" s="395"/>
      <c r="NG110" s="395"/>
      <c r="NH110" s="395"/>
      <c r="NI110" s="801"/>
      <c r="NJ110" s="1318"/>
      <c r="NK110" s="395"/>
      <c r="NL110" s="395"/>
      <c r="NM110" s="395"/>
      <c r="NN110" s="801"/>
      <c r="NO110" s="2432"/>
      <c r="NP110" s="622"/>
      <c r="NQ110" s="2437"/>
      <c r="NR110" s="395"/>
      <c r="NS110" s="801"/>
      <c r="NT110" s="2432"/>
      <c r="NU110" s="622"/>
      <c r="NV110" s="622"/>
      <c r="NW110" s="395"/>
      <c r="NX110" s="801"/>
      <c r="NY110" s="2432"/>
      <c r="NZ110" s="622"/>
      <c r="OA110" s="622"/>
      <c r="OB110" s="622"/>
      <c r="OC110" s="116"/>
      <c r="OD110" s="2433"/>
      <c r="OE110" s="622"/>
      <c r="OF110" s="622"/>
      <c r="OG110" s="622"/>
      <c r="OH110" s="1576"/>
      <c r="OI110" s="2435"/>
      <c r="OJ110" s="2436"/>
      <c r="OK110" s="2436"/>
      <c r="OL110" s="2436"/>
      <c r="OM110" s="1439"/>
      <c r="ON110" s="622"/>
      <c r="OO110" s="622"/>
      <c r="OP110" s="622"/>
      <c r="OQ110" s="2437"/>
      <c r="OR110" s="421"/>
      <c r="OS110" s="2438"/>
      <c r="OT110" s="2439"/>
      <c r="OU110" s="2439"/>
      <c r="OV110" s="2440"/>
      <c r="OW110" s="460"/>
      <c r="OX110" s="2432"/>
      <c r="OY110" s="622"/>
      <c r="OZ110" s="622"/>
      <c r="PA110" s="2437"/>
      <c r="PB110" s="116"/>
      <c r="PC110" s="2441"/>
      <c r="PD110" s="2426"/>
      <c r="PE110" s="436"/>
      <c r="PF110" s="436"/>
      <c r="PG110" s="115"/>
      <c r="PH110" s="1588"/>
      <c r="PI110" s="401"/>
      <c r="PJ110" s="395"/>
      <c r="PK110" s="395"/>
      <c r="PL110" s="115"/>
      <c r="PM110" s="186"/>
      <c r="PN110" s="2426"/>
      <c r="PO110" s="436"/>
      <c r="PP110" s="1587"/>
      <c r="PQ110" s="2148"/>
      <c r="PR110" s="2149"/>
      <c r="PS110" s="2429"/>
      <c r="PT110" s="436"/>
      <c r="PU110" s="1587"/>
      <c r="PV110" s="2148"/>
      <c r="PW110" s="207"/>
      <c r="PX110" s="2153"/>
      <c r="PY110" s="1904"/>
      <c r="PZ110" s="1904"/>
      <c r="QA110" s="1904"/>
      <c r="QB110" s="787"/>
      <c r="QC110" s="1318"/>
      <c r="QD110" s="395"/>
      <c r="QE110" s="395"/>
      <c r="QF110" s="395"/>
      <c r="QG110" s="655"/>
      <c r="QH110" s="401"/>
      <c r="QI110" s="395"/>
      <c r="QJ110" s="395"/>
      <c r="QK110" s="395"/>
      <c r="QL110" s="801"/>
      <c r="QM110" s="401"/>
      <c r="QN110" s="395"/>
      <c r="QO110" s="395"/>
      <c r="QP110" s="395"/>
      <c r="QQ110" s="801"/>
      <c r="QR110" s="1318"/>
      <c r="QS110" s="395"/>
      <c r="QT110" s="395"/>
      <c r="QU110" s="395"/>
      <c r="QV110" s="207"/>
      <c r="QW110" s="1318">
        <v>29</v>
      </c>
      <c r="QX110" s="208">
        <v>656194</v>
      </c>
      <c r="QY110" s="208">
        <v>1735000</v>
      </c>
      <c r="QZ110" s="208">
        <f>QY110-QX110</f>
        <v>1078806</v>
      </c>
      <c r="RA110" s="157">
        <f>QZ110/QY110</f>
        <v>0.6217902017291066</v>
      </c>
      <c r="RB110" s="156">
        <v>29</v>
      </c>
      <c r="RC110" s="208">
        <v>656194</v>
      </c>
      <c r="RD110" s="208">
        <v>1735000</v>
      </c>
      <c r="RE110" s="208">
        <f>RD110-RC110</f>
        <v>1078806</v>
      </c>
      <c r="RF110" s="114">
        <f>RE110/RD110</f>
        <v>0.6217902017291066</v>
      </c>
      <c r="RG110" s="1857">
        <v>29</v>
      </c>
      <c r="RH110" s="208">
        <v>656194</v>
      </c>
      <c r="RI110" s="208">
        <v>867500</v>
      </c>
      <c r="RJ110" s="772">
        <f>RI110-RH110</f>
        <v>211306</v>
      </c>
      <c r="RK110" s="116">
        <f>RJ110/RI110</f>
        <v>0.24358040345821325</v>
      </c>
      <c r="RL110" s="1567">
        <v>29</v>
      </c>
      <c r="RM110" s="1568">
        <f t="shared" si="426"/>
        <v>1968582</v>
      </c>
      <c r="RN110" s="1568">
        <f t="shared" si="426"/>
        <v>4337500</v>
      </c>
      <c r="RO110" s="1568">
        <f t="shared" si="426"/>
        <v>2368918</v>
      </c>
      <c r="RP110" s="220">
        <f>RO110/RN110</f>
        <v>0.54614824207492796</v>
      </c>
      <c r="RQ110" s="2435"/>
      <c r="RR110" s="2436"/>
      <c r="RS110" s="2436"/>
      <c r="RT110" s="2436"/>
      <c r="RU110" s="1439"/>
      <c r="RV110" s="622"/>
      <c r="RW110" s="622"/>
      <c r="RX110" s="622"/>
      <c r="RY110" s="2437"/>
      <c r="RZ110" s="421"/>
      <c r="SA110" s="2438"/>
      <c r="SB110" s="2439"/>
      <c r="SC110" s="2439"/>
      <c r="SD110" s="2440"/>
      <c r="SE110" s="460"/>
      <c r="SF110" s="1567"/>
      <c r="SG110" s="358">
        <f>QX110+RC110+RH110</f>
        <v>1968582</v>
      </c>
      <c r="SH110" s="358">
        <f>QY110+RD110+RI110</f>
        <v>4337500</v>
      </c>
      <c r="SI110" s="359">
        <f>QZ110+RE110+RJ110</f>
        <v>2368918</v>
      </c>
      <c r="SJ110" s="114">
        <f>SI110/SH110</f>
        <v>0.54614824207492796</v>
      </c>
      <c r="SK110" s="1193"/>
      <c r="SL110" s="2426"/>
      <c r="SM110" s="436">
        <v>446022</v>
      </c>
      <c r="SN110" s="208">
        <v>867500</v>
      </c>
      <c r="SO110" s="96">
        <f>SN110-SM110</f>
        <v>421478</v>
      </c>
      <c r="SP110" s="78">
        <f>SO110/SN110</f>
        <v>0.48585360230547553</v>
      </c>
      <c r="SQ110" s="439"/>
      <c r="SR110" s="208">
        <v>0</v>
      </c>
      <c r="SS110" s="208">
        <v>0</v>
      </c>
      <c r="ST110" s="96">
        <f>SS110-SR110</f>
        <v>0</v>
      </c>
      <c r="SU110" s="5115" t="s">
        <v>819</v>
      </c>
      <c r="SV110" s="2426"/>
      <c r="SW110" s="436"/>
      <c r="SX110" s="1587"/>
      <c r="SY110" s="371"/>
      <c r="SZ110" s="157"/>
      <c r="TA110" s="2429"/>
      <c r="TB110" s="436"/>
      <c r="TC110" s="1587"/>
      <c r="TD110" s="96"/>
      <c r="TE110" s="94"/>
      <c r="TF110" s="2573"/>
      <c r="TG110" s="395"/>
      <c r="TH110" s="395"/>
      <c r="TI110" s="395">
        <f t="shared" si="447"/>
        <v>0</v>
      </c>
      <c r="TJ110" s="2155">
        <v>0</v>
      </c>
      <c r="TK110" s="1318"/>
      <c r="TL110" s="208">
        <v>0</v>
      </c>
      <c r="TM110" s="208">
        <v>0</v>
      </c>
      <c r="TN110" s="395">
        <v>0</v>
      </c>
      <c r="TO110" s="2155">
        <v>0</v>
      </c>
      <c r="TP110" s="4434"/>
      <c r="TQ110" s="208">
        <v>0</v>
      </c>
      <c r="TR110" s="208">
        <v>0</v>
      </c>
      <c r="TS110" s="994">
        <f t="shared" si="352"/>
        <v>0</v>
      </c>
      <c r="TT110" s="2155">
        <v>0</v>
      </c>
      <c r="TU110" s="4464"/>
      <c r="TV110" s="2001">
        <v>0</v>
      </c>
      <c r="TW110" s="2001">
        <v>0</v>
      </c>
      <c r="TX110" s="2012">
        <f>TW110-TV110</f>
        <v>0</v>
      </c>
      <c r="TY110" s="4933">
        <v>0</v>
      </c>
      <c r="TZ110" s="2002"/>
      <c r="UA110" s="395">
        <v>0</v>
      </c>
      <c r="UB110" s="395">
        <v>0</v>
      </c>
      <c r="UC110" s="772">
        <f>UB110-UA110</f>
        <v>0</v>
      </c>
      <c r="UD110" s="2050">
        <v>0</v>
      </c>
      <c r="UE110" s="1868"/>
      <c r="UF110" s="1575">
        <v>0</v>
      </c>
      <c r="UG110" s="1575">
        <v>0</v>
      </c>
      <c r="UH110" s="1575">
        <f t="shared" si="322"/>
        <v>0</v>
      </c>
      <c r="UI110" s="6499">
        <v>0</v>
      </c>
      <c r="UJ110" s="156"/>
      <c r="UK110" s="208"/>
      <c r="UL110" s="208"/>
      <c r="UM110" s="208">
        <f t="shared" si="429"/>
        <v>0</v>
      </c>
      <c r="UN110" s="114" t="e">
        <f>UM110/UL110</f>
        <v>#DIV/0!</v>
      </c>
      <c r="UO110" s="1567"/>
      <c r="UP110" s="1568"/>
      <c r="UQ110" s="1568"/>
      <c r="UR110" s="1873">
        <f>UQ110-UP110</f>
        <v>0</v>
      </c>
      <c r="US110" s="2050">
        <v>0</v>
      </c>
      <c r="UT110" s="1567"/>
      <c r="UU110" s="358">
        <f t="shared" si="371"/>
        <v>446022</v>
      </c>
      <c r="UV110" s="358">
        <f t="shared" si="371"/>
        <v>867500</v>
      </c>
      <c r="UW110" s="358">
        <f t="shared" si="371"/>
        <v>421478</v>
      </c>
      <c r="UX110" s="220">
        <f t="shared" si="358"/>
        <v>0.48585360230547553</v>
      </c>
      <c r="UY110" s="4441">
        <f t="shared" si="324"/>
        <v>0</v>
      </c>
      <c r="UZ110" s="4442">
        <f t="shared" si="424"/>
        <v>446022</v>
      </c>
      <c r="VA110" s="4442">
        <f t="shared" si="424"/>
        <v>867500</v>
      </c>
      <c r="VB110" s="4442">
        <f t="shared" si="424"/>
        <v>421478</v>
      </c>
      <c r="VC110" s="4443">
        <f t="shared" si="325"/>
        <v>0.48585360230547553</v>
      </c>
      <c r="VD110" s="4440"/>
      <c r="VE110" s="4438">
        <f t="shared" si="423"/>
        <v>0</v>
      </c>
      <c r="VF110" s="4438">
        <f t="shared" si="423"/>
        <v>0</v>
      </c>
      <c r="VG110" s="4444">
        <f t="shared" si="423"/>
        <v>0</v>
      </c>
      <c r="VH110" s="4445" t="e">
        <f t="shared" si="372"/>
        <v>#DIV/0!</v>
      </c>
      <c r="VI110" s="4446"/>
      <c r="VJ110" s="146">
        <f t="shared" si="373"/>
        <v>0</v>
      </c>
      <c r="VK110" s="146">
        <f t="shared" si="373"/>
        <v>0</v>
      </c>
      <c r="VL110" s="1864">
        <f t="shared" si="373"/>
        <v>0</v>
      </c>
      <c r="VM110" s="4459"/>
      <c r="VN110" s="4449"/>
      <c r="VO110" s="4438">
        <f>UF110+UK110+UP110</f>
        <v>0</v>
      </c>
      <c r="VP110" s="4438">
        <f>UG110+UL110+UQ110</f>
        <v>0</v>
      </c>
      <c r="VQ110" s="4444">
        <f>UH110+UM110+UR110</f>
        <v>0</v>
      </c>
      <c r="VR110" s="4448" t="e">
        <f>VQ110/VP110</f>
        <v>#DIV/0!</v>
      </c>
      <c r="VS110" s="4451"/>
      <c r="VT110" s="4451"/>
      <c r="VU110" s="4451"/>
      <c r="VV110" s="4451"/>
      <c r="VW110" s="4451"/>
      <c r="VX110" s="4451"/>
      <c r="VY110" s="4451"/>
      <c r="VZ110" s="4451"/>
      <c r="WA110" s="4451"/>
      <c r="WB110" s="4451"/>
      <c r="WC110" s="4451"/>
      <c r="WD110" s="4451"/>
      <c r="WE110" s="4451"/>
      <c r="WF110" s="4451"/>
      <c r="WG110" s="4451"/>
      <c r="WH110" s="4451"/>
      <c r="WI110" s="4451"/>
      <c r="WJ110" s="4451"/>
      <c r="WK110" s="4451"/>
      <c r="WL110" s="4451"/>
      <c r="WM110" s="4451"/>
      <c r="WN110" s="4451"/>
      <c r="WO110" s="4451"/>
      <c r="WP110" s="4451"/>
      <c r="WQ110" s="4451"/>
      <c r="WR110" s="4451"/>
      <c r="WS110" s="4451"/>
      <c r="WT110" s="4451"/>
      <c r="WU110" s="4451"/>
      <c r="WV110" s="4451"/>
      <c r="WW110" s="4451"/>
      <c r="WX110" s="4451"/>
      <c r="WY110" s="4451"/>
      <c r="WZ110" s="4451"/>
      <c r="XA110" s="4451"/>
      <c r="XB110" s="4451"/>
      <c r="XC110" s="4451"/>
      <c r="XD110" s="4451"/>
      <c r="XE110" s="4451"/>
      <c r="XF110" s="4451"/>
      <c r="XG110" s="4451"/>
      <c r="XH110" s="4451"/>
      <c r="XI110" s="4451"/>
      <c r="XJ110" s="4451"/>
      <c r="XK110" s="4451"/>
      <c r="XL110" s="4451"/>
      <c r="XM110" s="4451"/>
      <c r="XN110" s="4451"/>
      <c r="XO110" s="4451"/>
      <c r="XP110" s="4451"/>
      <c r="XQ110" s="4451"/>
      <c r="XR110" s="4451"/>
      <c r="XS110" s="4451"/>
      <c r="XT110" s="4451"/>
      <c r="XU110" s="4451"/>
      <c r="XV110" s="4451"/>
      <c r="XW110" s="4451"/>
      <c r="XX110" s="4451"/>
      <c r="XY110" s="4451"/>
      <c r="XZ110" s="4451"/>
      <c r="YA110" s="4451"/>
      <c r="YB110" s="4451"/>
      <c r="YC110" s="4451"/>
      <c r="YD110" s="4451"/>
      <c r="YE110" s="4451"/>
      <c r="YF110" s="4451"/>
      <c r="YG110" s="4451"/>
      <c r="YH110" s="4451"/>
      <c r="YI110" s="4451"/>
      <c r="YJ110" s="4451"/>
      <c r="YK110" s="4451"/>
      <c r="YL110" s="4451"/>
      <c r="YM110" s="4451"/>
      <c r="YN110" s="4451"/>
      <c r="YO110" s="4451"/>
      <c r="YP110" s="4451"/>
      <c r="YQ110" s="4451"/>
      <c r="YR110" s="4451"/>
      <c r="YS110" s="4451"/>
      <c r="YT110" s="4451"/>
      <c r="YU110" s="4451"/>
      <c r="YV110" s="4451"/>
      <c r="YW110" s="4451"/>
      <c r="YX110" s="4451"/>
      <c r="YY110" s="4451"/>
      <c r="YZ110" s="4451"/>
      <c r="ZA110" s="4451"/>
      <c r="ZB110" s="4451"/>
      <c r="ZC110" s="4451"/>
      <c r="ZD110" s="4451"/>
      <c r="ZE110" s="4451"/>
      <c r="ZF110" s="4451"/>
      <c r="ZG110" s="4451"/>
      <c r="ZH110" s="4451"/>
      <c r="ZI110" s="4451"/>
      <c r="ZJ110" s="4451"/>
      <c r="ZK110" s="4451"/>
      <c r="ZL110" s="4451"/>
      <c r="ZM110" s="4451"/>
      <c r="ZN110" s="4451"/>
      <c r="ZO110" s="4451"/>
      <c r="ZP110" s="4451"/>
      <c r="ZQ110" s="4451"/>
      <c r="ZR110" s="4451"/>
      <c r="ZS110" s="4451"/>
      <c r="ZT110" s="4451"/>
      <c r="ZU110" s="4451"/>
      <c r="ZV110" s="4451"/>
      <c r="ZW110" s="4451"/>
      <c r="ZX110" s="4451"/>
      <c r="ZY110" s="4451"/>
      <c r="ZZ110" s="4451"/>
      <c r="AAA110" s="4451"/>
      <c r="AAB110" s="4451"/>
      <c r="AAC110" s="4451"/>
      <c r="AAD110" s="4451"/>
      <c r="AAE110" s="4451"/>
      <c r="AAF110" s="4451"/>
      <c r="AAG110" s="4451"/>
      <c r="AAH110" s="4451"/>
      <c r="AAI110" s="4451"/>
      <c r="AAJ110" s="4451"/>
      <c r="AAK110" s="4451"/>
      <c r="AAL110" s="4451"/>
      <c r="AAM110" s="4451"/>
      <c r="AAN110" s="4451"/>
      <c r="AAO110" s="4451"/>
      <c r="AAP110" s="4451"/>
      <c r="AAQ110" s="4451"/>
      <c r="AAR110" s="4451"/>
      <c r="AAS110" s="4451"/>
      <c r="AAT110" s="4451"/>
      <c r="AAU110" s="4451"/>
      <c r="AAV110" s="4451"/>
      <c r="AAW110" s="4451"/>
      <c r="AAX110" s="4451"/>
      <c r="AAY110" s="4451"/>
      <c r="AAZ110" s="4451"/>
      <c r="ABA110" s="4451"/>
      <c r="ABB110" s="4451"/>
      <c r="ABC110" s="4451"/>
      <c r="ABD110" s="4451"/>
      <c r="ABE110" s="4451"/>
      <c r="ABF110" s="4451"/>
      <c r="ABG110" s="4451"/>
      <c r="ABH110" s="4451"/>
      <c r="ABI110" s="4451"/>
      <c r="ABJ110" s="4451"/>
      <c r="ABK110" s="4451"/>
      <c r="ABL110" s="4451"/>
      <c r="ABM110" s="4451"/>
      <c r="ABN110" s="4451"/>
      <c r="ABO110" s="4451"/>
      <c r="ABP110" s="4451"/>
      <c r="ABQ110" s="4451"/>
    </row>
    <row r="111" spans="1:745" s="4458" customFormat="1" ht="13.6" customHeight="1" x14ac:dyDescent="0.3">
      <c r="A111" s="4457"/>
      <c r="B111" s="1773" t="s">
        <v>53</v>
      </c>
      <c r="C111" s="5112" t="s">
        <v>979</v>
      </c>
      <c r="D111" s="5113" t="s">
        <v>980</v>
      </c>
      <c r="E111" s="1993"/>
      <c r="F111" s="1993"/>
      <c r="G111" s="1994"/>
      <c r="H111" s="2031"/>
      <c r="I111" s="1914"/>
      <c r="J111" s="1914"/>
      <c r="K111" s="1914"/>
      <c r="L111" s="593"/>
      <c r="M111" s="2031"/>
      <c r="N111" s="1914"/>
      <c r="O111" s="1914"/>
      <c r="P111" s="1914"/>
      <c r="Q111" s="593"/>
      <c r="R111" s="2031"/>
      <c r="S111" s="1914"/>
      <c r="T111" s="1914"/>
      <c r="U111" s="1914"/>
      <c r="V111" s="593"/>
      <c r="W111" s="2031"/>
      <c r="X111" s="1914"/>
      <c r="Y111" s="1914"/>
      <c r="Z111" s="1914"/>
      <c r="AA111" s="2032"/>
      <c r="AB111" s="2031"/>
      <c r="AC111" s="1914"/>
      <c r="AD111" s="1914"/>
      <c r="AE111" s="1914"/>
      <c r="AF111" s="2032"/>
      <c r="AG111" s="1914"/>
      <c r="AH111" s="1914"/>
      <c r="AI111" s="1914"/>
      <c r="AJ111" s="1914"/>
      <c r="AK111" s="593"/>
      <c r="AL111" s="1914"/>
      <c r="AM111" s="1914"/>
      <c r="AN111" s="1914"/>
      <c r="AO111" s="1914"/>
      <c r="AP111" s="593"/>
      <c r="AQ111" s="1914"/>
      <c r="AR111" s="1914"/>
      <c r="AS111" s="1914"/>
      <c r="AT111" s="1914"/>
      <c r="AU111" s="593"/>
      <c r="AV111" s="2033"/>
      <c r="AW111" s="1914"/>
      <c r="AX111" s="1914"/>
      <c r="AY111" s="1914"/>
      <c r="AZ111" s="2032"/>
      <c r="BA111" s="2033"/>
      <c r="BB111" s="1914"/>
      <c r="BC111" s="1914"/>
      <c r="BD111" s="1914"/>
      <c r="BE111" s="2032"/>
      <c r="BF111" s="2033"/>
      <c r="BG111" s="1914"/>
      <c r="BH111" s="1914"/>
      <c r="BI111" s="1914"/>
      <c r="BJ111" s="2032"/>
      <c r="BK111" s="2033"/>
      <c r="BL111" s="1914"/>
      <c r="BM111" s="1914"/>
      <c r="BN111" s="1914"/>
      <c r="BO111" s="2032"/>
      <c r="BP111" s="2034"/>
      <c r="BQ111" s="1914"/>
      <c r="BR111" s="1914"/>
      <c r="BS111" s="1914"/>
      <c r="BT111" s="2035"/>
      <c r="BU111" s="1914"/>
      <c r="BV111" s="1914"/>
      <c r="BW111" s="2036"/>
      <c r="BX111" s="2035"/>
      <c r="BY111" s="1914"/>
      <c r="BZ111" s="1914"/>
      <c r="CA111" s="2010"/>
      <c r="CB111" s="1914"/>
      <c r="CC111" s="1914"/>
      <c r="CD111" s="1914"/>
      <c r="CE111" s="1914"/>
      <c r="CF111" s="2035"/>
      <c r="CG111" s="1914"/>
      <c r="CH111" s="1914"/>
      <c r="CI111" s="2010"/>
      <c r="CJ111" s="2037"/>
      <c r="CK111" s="1914"/>
      <c r="CL111" s="1914"/>
      <c r="CM111" s="1914"/>
      <c r="CN111" s="2036"/>
      <c r="CO111" s="2037"/>
      <c r="CP111" s="2031"/>
      <c r="CQ111" s="2031"/>
      <c r="CR111" s="2031"/>
      <c r="CS111" s="2036"/>
      <c r="CT111" s="2037"/>
      <c r="CU111" s="1914"/>
      <c r="CV111" s="1914"/>
      <c r="CW111" s="1914"/>
      <c r="CX111" s="2036"/>
      <c r="CY111" s="2037"/>
      <c r="CZ111" s="1914"/>
      <c r="DA111" s="1914"/>
      <c r="DB111" s="1914"/>
      <c r="DC111" s="2036"/>
      <c r="DD111" s="2037"/>
      <c r="DE111" s="1914"/>
      <c r="DF111" s="1914"/>
      <c r="DG111" s="1914"/>
      <c r="DH111" s="2038"/>
      <c r="DI111" s="2037"/>
      <c r="DJ111" s="1914"/>
      <c r="DK111" s="1914"/>
      <c r="DL111" s="1914"/>
      <c r="DM111" s="2038"/>
      <c r="DN111" s="2037"/>
      <c r="DO111" s="1914"/>
      <c r="DP111" s="1914"/>
      <c r="DQ111" s="1914"/>
      <c r="DR111" s="2038"/>
      <c r="DS111" s="2037"/>
      <c r="DT111" s="1914"/>
      <c r="DU111" s="1914"/>
      <c r="DV111" s="1914"/>
      <c r="DW111" s="2038"/>
      <c r="DX111" s="2037"/>
      <c r="DY111" s="1914"/>
      <c r="DZ111" s="1914"/>
      <c r="EA111" s="1914"/>
      <c r="EB111" s="2038"/>
      <c r="EC111" s="2037"/>
      <c r="ED111" s="1914"/>
      <c r="EE111" s="1914"/>
      <c r="EF111" s="1914"/>
      <c r="EG111" s="2038"/>
      <c r="EH111" s="2037"/>
      <c r="EI111" s="1914"/>
      <c r="EJ111" s="1914"/>
      <c r="EK111" s="1914"/>
      <c r="EL111" s="2038"/>
      <c r="EM111" s="1910"/>
      <c r="EN111" s="715"/>
      <c r="EO111" s="715"/>
      <c r="EP111" s="715"/>
      <c r="EQ111" s="366"/>
      <c r="ER111" s="2402"/>
      <c r="ES111" s="2403"/>
      <c r="ET111" s="2403"/>
      <c r="EU111" s="2403"/>
      <c r="EV111" s="2404"/>
      <c r="EW111" s="2031"/>
      <c r="EX111" s="2031"/>
      <c r="EY111" s="2031"/>
      <c r="EZ111" s="593"/>
      <c r="FA111" s="2037"/>
      <c r="FB111" s="2031"/>
      <c r="FC111" s="2031"/>
      <c r="FD111" s="2036"/>
      <c r="FE111" s="2031"/>
      <c r="FF111" s="2031"/>
      <c r="FG111" s="2031"/>
      <c r="FH111" s="593"/>
      <c r="FI111" s="2039"/>
      <c r="FJ111" s="2040"/>
      <c r="FK111" s="2041"/>
      <c r="FL111" s="2041"/>
      <c r="FM111" s="693"/>
      <c r="FN111" s="2031"/>
      <c r="FO111" s="1914"/>
      <c r="FP111" s="1914"/>
      <c r="FQ111" s="1914"/>
      <c r="FR111" s="2032"/>
      <c r="FS111" s="1910"/>
      <c r="FT111" s="715"/>
      <c r="FU111" s="715"/>
      <c r="FV111" s="715"/>
      <c r="FW111" s="366"/>
      <c r="FX111" s="2037"/>
      <c r="FY111" s="1914"/>
      <c r="FZ111" s="1914"/>
      <c r="GA111" s="715"/>
      <c r="GB111" s="366"/>
      <c r="GC111" s="2110"/>
      <c r="GD111" s="2111"/>
      <c r="GE111" s="2111"/>
      <c r="GF111" s="715"/>
      <c r="GG111" s="366"/>
      <c r="GH111" s="2042"/>
      <c r="GI111" s="2043"/>
      <c r="GJ111" s="2043"/>
      <c r="GK111" s="715"/>
      <c r="GL111" s="366"/>
      <c r="GM111" s="2042"/>
      <c r="GN111" s="2043"/>
      <c r="GO111" s="2043"/>
      <c r="GP111" s="715"/>
      <c r="GQ111" s="366"/>
      <c r="GR111" s="2042"/>
      <c r="GS111" s="2043"/>
      <c r="GT111" s="2043"/>
      <c r="GU111" s="715"/>
      <c r="GV111" s="366"/>
      <c r="GW111" s="2042"/>
      <c r="GX111" s="2043"/>
      <c r="GY111" s="2043"/>
      <c r="GZ111" s="715"/>
      <c r="HA111" s="366"/>
      <c r="HB111" s="2042"/>
      <c r="HC111" s="2043"/>
      <c r="HD111" s="2043"/>
      <c r="HE111" s="715"/>
      <c r="HF111" s="366"/>
      <c r="HG111" s="2042"/>
      <c r="HH111" s="2043"/>
      <c r="HI111" s="2043"/>
      <c r="HJ111" s="2113"/>
      <c r="HK111" s="366"/>
      <c r="HL111" s="2042"/>
      <c r="HM111" s="2043"/>
      <c r="HN111" s="2043"/>
      <c r="HO111" s="715"/>
      <c r="HP111" s="366"/>
      <c r="HQ111" s="2114"/>
      <c r="HR111" s="1904"/>
      <c r="HS111" s="1904"/>
      <c r="HT111" s="1904"/>
      <c r="HU111" s="2115"/>
      <c r="HV111" s="2405"/>
      <c r="HW111" s="2406"/>
      <c r="HX111" s="2406"/>
      <c r="HY111" s="2406"/>
      <c r="HZ111" s="1906"/>
      <c r="IA111" s="1907"/>
      <c r="IB111" s="1908"/>
      <c r="IC111" s="1908"/>
      <c r="ID111" s="1909"/>
      <c r="IE111" s="1910"/>
      <c r="IF111" s="1911"/>
      <c r="IG111" s="1912"/>
      <c r="IH111" s="1909"/>
      <c r="II111" s="1907"/>
      <c r="IJ111" s="2116"/>
      <c r="IK111" s="2116"/>
      <c r="IL111" s="693"/>
      <c r="IM111" s="2117"/>
      <c r="IN111" s="2116"/>
      <c r="IO111" s="2116"/>
      <c r="IP111" s="1838"/>
      <c r="IQ111" s="1914"/>
      <c r="IR111" s="2044"/>
      <c r="IS111" s="715"/>
      <c r="IT111" s="715"/>
      <c r="IU111" s="2131"/>
      <c r="IV111" s="2045"/>
      <c r="IW111" s="1910"/>
      <c r="IX111" s="715"/>
      <c r="IY111" s="715"/>
      <c r="IZ111" s="2113"/>
      <c r="JA111" s="2132"/>
      <c r="JB111" s="2407"/>
      <c r="JC111" s="2408"/>
      <c r="JD111" s="2409"/>
      <c r="JE111" s="2113"/>
      <c r="JF111" s="2132"/>
      <c r="JG111" s="2410"/>
      <c r="JH111" s="2043"/>
      <c r="JI111" s="2043"/>
      <c r="JJ111" s="2411"/>
      <c r="JK111" s="2132"/>
      <c r="JL111" s="2129"/>
      <c r="JM111" s="2043"/>
      <c r="JN111" s="2043"/>
      <c r="JO111" s="715"/>
      <c r="JP111" s="2132"/>
      <c r="JQ111" s="2129"/>
      <c r="JR111" s="2130"/>
      <c r="JS111" s="1904"/>
      <c r="JT111" s="2131"/>
      <c r="JU111" s="2132"/>
      <c r="JV111" s="2410"/>
      <c r="JW111" s="2043"/>
      <c r="JX111" s="1904"/>
      <c r="JY111" s="715"/>
      <c r="JZ111" s="2132"/>
      <c r="KA111" s="2410"/>
      <c r="KB111" s="1904"/>
      <c r="KC111" s="2130"/>
      <c r="KD111" s="2414"/>
      <c r="KE111" s="2415"/>
      <c r="KF111" s="2410"/>
      <c r="KG111" s="1904"/>
      <c r="KH111" s="2043"/>
      <c r="KI111" s="2113"/>
      <c r="KJ111" s="2132"/>
      <c r="KK111" s="2410"/>
      <c r="KL111" s="1904"/>
      <c r="KM111" s="2043"/>
      <c r="KN111" s="2416"/>
      <c r="KO111" s="2417"/>
      <c r="KP111" s="2136"/>
      <c r="KQ111" s="2130"/>
      <c r="KR111" s="1904"/>
      <c r="KS111" s="2131"/>
      <c r="KT111" s="2137"/>
      <c r="KU111" s="2114"/>
      <c r="KV111" s="1904"/>
      <c r="KW111" s="1904"/>
      <c r="KX111" s="1904"/>
      <c r="KY111" s="2418"/>
      <c r="KZ111" s="1832"/>
      <c r="LA111" s="622"/>
      <c r="LB111" s="622"/>
      <c r="LC111" s="622"/>
      <c r="LD111" s="239"/>
      <c r="LE111" s="2419"/>
      <c r="LF111" s="2420"/>
      <c r="LG111" s="2420"/>
      <c r="LH111" s="2421"/>
      <c r="LI111" s="2422"/>
      <c r="LJ111" s="2423"/>
      <c r="LK111" s="2419"/>
      <c r="LL111" s="2421"/>
      <c r="LM111" s="1907"/>
      <c r="LN111" s="2116"/>
      <c r="LO111" s="2116"/>
      <c r="LP111" s="2013"/>
      <c r="LQ111" s="2424"/>
      <c r="LR111" s="2116"/>
      <c r="LS111" s="2116"/>
      <c r="LT111" s="1838"/>
      <c r="LU111" s="2425"/>
      <c r="LV111" s="2426"/>
      <c r="LW111" s="436"/>
      <c r="LX111" s="436"/>
      <c r="LY111" s="2427"/>
      <c r="LZ111" s="1588"/>
      <c r="MA111" s="2422"/>
      <c r="MB111" s="1587"/>
      <c r="MC111" s="1587"/>
      <c r="MD111" s="2148"/>
      <c r="ME111" s="2149"/>
      <c r="MF111" s="406"/>
      <c r="MG111" s="2428"/>
      <c r="MH111" s="5114"/>
      <c r="MI111" s="2148"/>
      <c r="MJ111" s="2149"/>
      <c r="MK111" s="2429"/>
      <c r="ML111" s="436"/>
      <c r="MM111" s="1587"/>
      <c r="MN111" s="2148"/>
      <c r="MO111" s="2149"/>
      <c r="MP111" s="2153"/>
      <c r="MQ111" s="1904"/>
      <c r="MR111" s="1904"/>
      <c r="MS111" s="1904"/>
      <c r="MT111" s="787"/>
      <c r="MU111" s="1318"/>
      <c r="MV111" s="395"/>
      <c r="MW111" s="395"/>
      <c r="MX111" s="395"/>
      <c r="MY111" s="655"/>
      <c r="MZ111" s="1318"/>
      <c r="NA111" s="395"/>
      <c r="NB111" s="395"/>
      <c r="NC111" s="395"/>
      <c r="ND111" s="801"/>
      <c r="NE111" s="1318"/>
      <c r="NF111" s="395"/>
      <c r="NG111" s="395"/>
      <c r="NH111" s="395"/>
      <c r="NI111" s="801"/>
      <c r="NJ111" s="1318"/>
      <c r="NK111" s="395"/>
      <c r="NL111" s="395"/>
      <c r="NM111" s="395"/>
      <c r="NN111" s="801"/>
      <c r="NO111" s="2432"/>
      <c r="NP111" s="622"/>
      <c r="NQ111" s="2437"/>
      <c r="NR111" s="395"/>
      <c r="NS111" s="801"/>
      <c r="NT111" s="2432"/>
      <c r="NU111" s="622"/>
      <c r="NV111" s="622"/>
      <c r="NW111" s="395"/>
      <c r="NX111" s="801"/>
      <c r="NY111" s="2432"/>
      <c r="NZ111" s="622"/>
      <c r="OA111" s="622"/>
      <c r="OB111" s="622"/>
      <c r="OC111" s="116"/>
      <c r="OD111" s="2433"/>
      <c r="OE111" s="622"/>
      <c r="OF111" s="622"/>
      <c r="OG111" s="622"/>
      <c r="OH111" s="1576"/>
      <c r="OI111" s="2435"/>
      <c r="OJ111" s="2436"/>
      <c r="OK111" s="2436"/>
      <c r="OL111" s="2436"/>
      <c r="OM111" s="1439"/>
      <c r="ON111" s="622"/>
      <c r="OO111" s="622"/>
      <c r="OP111" s="622"/>
      <c r="OQ111" s="2437"/>
      <c r="OR111" s="421"/>
      <c r="OS111" s="2438"/>
      <c r="OT111" s="2439"/>
      <c r="OU111" s="2439"/>
      <c r="OV111" s="2440"/>
      <c r="OW111" s="460"/>
      <c r="OX111" s="2432"/>
      <c r="OY111" s="622"/>
      <c r="OZ111" s="622"/>
      <c r="PA111" s="2437"/>
      <c r="PB111" s="116"/>
      <c r="PC111" s="2441"/>
      <c r="PD111" s="2426"/>
      <c r="PE111" s="436"/>
      <c r="PF111" s="436"/>
      <c r="PG111" s="115"/>
      <c r="PH111" s="1588"/>
      <c r="PI111" s="401"/>
      <c r="PJ111" s="395"/>
      <c r="PK111" s="395"/>
      <c r="PL111" s="115"/>
      <c r="PM111" s="186"/>
      <c r="PN111" s="2426"/>
      <c r="PO111" s="436"/>
      <c r="PP111" s="1587"/>
      <c r="PQ111" s="2148"/>
      <c r="PR111" s="2149"/>
      <c r="PS111" s="2429"/>
      <c r="PT111" s="436"/>
      <c r="PU111" s="1587"/>
      <c r="PV111" s="2148"/>
      <c r="PW111" s="207"/>
      <c r="PX111" s="2153"/>
      <c r="PY111" s="1904"/>
      <c r="PZ111" s="1904"/>
      <c r="QA111" s="1904"/>
      <c r="QB111" s="787"/>
      <c r="QC111" s="1318"/>
      <c r="QD111" s="395"/>
      <c r="QE111" s="395"/>
      <c r="QF111" s="395"/>
      <c r="QG111" s="655"/>
      <c r="QH111" s="401"/>
      <c r="QI111" s="395"/>
      <c r="QJ111" s="395"/>
      <c r="QK111" s="395"/>
      <c r="QL111" s="801"/>
      <c r="QM111" s="401"/>
      <c r="QN111" s="395"/>
      <c r="QO111" s="395"/>
      <c r="QP111" s="395"/>
      <c r="QQ111" s="801"/>
      <c r="QR111" s="1318"/>
      <c r="QS111" s="395"/>
      <c r="QT111" s="395"/>
      <c r="QU111" s="395"/>
      <c r="QV111" s="207"/>
      <c r="QW111" s="2002"/>
      <c r="QX111" s="2001"/>
      <c r="QY111" s="2001"/>
      <c r="QZ111" s="2001"/>
      <c r="RA111" s="370"/>
      <c r="RB111" s="156"/>
      <c r="RC111" s="208"/>
      <c r="RD111" s="208"/>
      <c r="RE111" s="208"/>
      <c r="RF111" s="114"/>
      <c r="RG111" s="1857"/>
      <c r="RH111" s="208"/>
      <c r="RI111" s="208"/>
      <c r="RJ111" s="772"/>
      <c r="RK111" s="2050"/>
      <c r="RL111" s="1567"/>
      <c r="RM111" s="1568">
        <f t="shared" si="426"/>
        <v>0</v>
      </c>
      <c r="RN111" s="1568">
        <f t="shared" si="426"/>
        <v>0</v>
      </c>
      <c r="RO111" s="1568">
        <f t="shared" si="426"/>
        <v>0</v>
      </c>
      <c r="RP111" s="220"/>
      <c r="RQ111" s="2435"/>
      <c r="RR111" s="2436"/>
      <c r="RS111" s="2436"/>
      <c r="RT111" s="2436"/>
      <c r="RU111" s="1439"/>
      <c r="RV111" s="622"/>
      <c r="RW111" s="622"/>
      <c r="RX111" s="622"/>
      <c r="RY111" s="2437"/>
      <c r="RZ111" s="421"/>
      <c r="SA111" s="2438"/>
      <c r="SB111" s="2439"/>
      <c r="SC111" s="2439"/>
      <c r="SD111" s="2440"/>
      <c r="SE111" s="460"/>
      <c r="SF111" s="1567"/>
      <c r="SG111" s="358"/>
      <c r="SH111" s="358"/>
      <c r="SI111" s="359"/>
      <c r="SJ111" s="114"/>
      <c r="SK111" s="1193"/>
      <c r="SL111" s="2426"/>
      <c r="SM111" s="435"/>
      <c r="SN111" s="1585"/>
      <c r="SO111" s="96"/>
      <c r="SP111" s="78"/>
      <c r="SQ111" s="439"/>
      <c r="SR111" s="435"/>
      <c r="SS111" s="1585"/>
      <c r="ST111" s="96"/>
      <c r="SU111" s="1581"/>
      <c r="SV111" s="2426"/>
      <c r="SW111" s="436"/>
      <c r="SX111" s="1587"/>
      <c r="SY111" s="371"/>
      <c r="SZ111" s="157"/>
      <c r="TA111" s="5116">
        <v>0</v>
      </c>
      <c r="TB111" s="1585">
        <v>38393</v>
      </c>
      <c r="TC111" s="1585">
        <v>38393</v>
      </c>
      <c r="TD111" s="96">
        <f>TC111-TB111</f>
        <v>0</v>
      </c>
      <c r="TE111" s="94">
        <f>TD111/TC111</f>
        <v>0</v>
      </c>
      <c r="TF111" s="5117">
        <v>0</v>
      </c>
      <c r="TG111" s="1585">
        <v>12797</v>
      </c>
      <c r="TH111" s="1585">
        <v>12797</v>
      </c>
      <c r="TI111" s="395">
        <f>TH111-TG111</f>
        <v>0</v>
      </c>
      <c r="TJ111" s="2155">
        <f>TI111/TH111</f>
        <v>0</v>
      </c>
      <c r="TK111" s="209">
        <v>0</v>
      </c>
      <c r="TL111" s="208">
        <v>12798</v>
      </c>
      <c r="TM111" s="208">
        <v>12798</v>
      </c>
      <c r="TN111" s="208">
        <f>TM111-TL111</f>
        <v>0</v>
      </c>
      <c r="TO111" s="2155">
        <f>TN111/TM111</f>
        <v>0</v>
      </c>
      <c r="TP111" s="4434"/>
      <c r="TQ111" s="208">
        <v>0</v>
      </c>
      <c r="TR111" s="208">
        <v>0</v>
      </c>
      <c r="TS111" s="994">
        <f>TR111-TQ111</f>
        <v>0</v>
      </c>
      <c r="TT111" s="2155">
        <v>0</v>
      </c>
      <c r="TU111" s="4434"/>
      <c r="TV111" s="395">
        <v>0</v>
      </c>
      <c r="TW111" s="395">
        <v>0</v>
      </c>
      <c r="TX111" s="772">
        <f>TW111-TV111</f>
        <v>0</v>
      </c>
      <c r="TY111" s="2050">
        <v>0</v>
      </c>
      <c r="TZ111" s="2002"/>
      <c r="UA111" s="395">
        <v>0</v>
      </c>
      <c r="UB111" s="395">
        <v>0</v>
      </c>
      <c r="UC111" s="772">
        <f>UB111-UA111</f>
        <v>0</v>
      </c>
      <c r="UD111" s="2050">
        <v>0</v>
      </c>
      <c r="UE111" s="1868"/>
      <c r="UF111" s="1575">
        <v>0</v>
      </c>
      <c r="UG111" s="1575">
        <v>0</v>
      </c>
      <c r="UH111" s="1575">
        <f t="shared" si="322"/>
        <v>0</v>
      </c>
      <c r="UI111" s="6499">
        <v>0</v>
      </c>
      <c r="UJ111" s="156"/>
      <c r="UK111" s="208"/>
      <c r="UL111" s="208"/>
      <c r="UM111" s="208"/>
      <c r="UN111" s="114"/>
      <c r="UO111" s="1567"/>
      <c r="UP111" s="1568"/>
      <c r="UQ111" s="1568"/>
      <c r="UR111" s="1873"/>
      <c r="US111" s="2050"/>
      <c r="UT111" s="1567"/>
      <c r="UU111" s="358">
        <f t="shared" si="371"/>
        <v>63988</v>
      </c>
      <c r="UV111" s="358">
        <f t="shared" si="371"/>
        <v>63988</v>
      </c>
      <c r="UW111" s="358">
        <f t="shared" si="371"/>
        <v>0</v>
      </c>
      <c r="UX111" s="2281">
        <f>UW111/UV111</f>
        <v>0</v>
      </c>
      <c r="UY111" s="4441">
        <f>(SL111+SQ111+SV111)/3</f>
        <v>0</v>
      </c>
      <c r="UZ111" s="4442">
        <f>SM111+SR111+SW111</f>
        <v>0</v>
      </c>
      <c r="VA111" s="4442">
        <f>SN111+SS111+SX111</f>
        <v>0</v>
      </c>
      <c r="VB111" s="4442">
        <f>SO111+ST111+SY111</f>
        <v>0</v>
      </c>
      <c r="VC111" s="4443" t="e">
        <f>VB111/VA111</f>
        <v>#DIV/0!</v>
      </c>
      <c r="VD111" s="4440"/>
      <c r="VE111" s="4438">
        <f>TB111+TG111+TL111</f>
        <v>63988</v>
      </c>
      <c r="VF111" s="4438">
        <f>TC111+TH111+TM111</f>
        <v>63988</v>
      </c>
      <c r="VG111" s="4444">
        <f>TD111+TI111+TN111</f>
        <v>0</v>
      </c>
      <c r="VH111" s="4445">
        <f>VG111/VF111</f>
        <v>0</v>
      </c>
      <c r="VI111" s="4446"/>
      <c r="VJ111" s="146">
        <f>UA111+TV111+TQ111</f>
        <v>0</v>
      </c>
      <c r="VK111" s="146">
        <f>UB111+TW111+TR111</f>
        <v>0</v>
      </c>
      <c r="VL111" s="1864">
        <f>UC111+TX111+TS111</f>
        <v>0</v>
      </c>
      <c r="VM111" s="4459"/>
      <c r="VN111" s="4449"/>
      <c r="VO111" s="4438">
        <f>UF111+UK111+UP111</f>
        <v>0</v>
      </c>
      <c r="VP111" s="4438">
        <f>UG111+UL111+UQ111</f>
        <v>0</v>
      </c>
      <c r="VQ111" s="4444"/>
      <c r="VR111" s="4448"/>
      <c r="VS111" s="4451"/>
      <c r="VT111" s="4451"/>
      <c r="VU111" s="4451"/>
      <c r="VV111" s="4451"/>
      <c r="VW111" s="4451"/>
      <c r="VX111" s="4451"/>
      <c r="VY111" s="4451"/>
      <c r="VZ111" s="4451"/>
      <c r="WA111" s="4451"/>
      <c r="WB111" s="4451"/>
      <c r="WC111" s="4451"/>
      <c r="WD111" s="4451"/>
      <c r="WE111" s="4451"/>
      <c r="WF111" s="4451"/>
      <c r="WG111" s="4451"/>
      <c r="WH111" s="4451"/>
      <c r="WI111" s="4451"/>
      <c r="WJ111" s="4451"/>
      <c r="WK111" s="4451"/>
      <c r="WL111" s="4451"/>
      <c r="WM111" s="4451"/>
      <c r="WN111" s="4451"/>
      <c r="WO111" s="4451"/>
      <c r="WP111" s="4451"/>
      <c r="WQ111" s="4451"/>
      <c r="WR111" s="4451"/>
      <c r="WS111" s="4451"/>
      <c r="WT111" s="4451"/>
      <c r="WU111" s="4451"/>
      <c r="WV111" s="4451"/>
      <c r="WW111" s="4451"/>
      <c r="WX111" s="4451"/>
      <c r="WY111" s="4451"/>
      <c r="WZ111" s="4451"/>
      <c r="XA111" s="4451"/>
      <c r="XB111" s="4451"/>
      <c r="XC111" s="4451"/>
      <c r="XD111" s="4451"/>
      <c r="XE111" s="4451"/>
      <c r="XF111" s="4451"/>
      <c r="XG111" s="4451"/>
      <c r="XH111" s="4451"/>
      <c r="XI111" s="4451"/>
      <c r="XJ111" s="4451"/>
      <c r="XK111" s="4451"/>
      <c r="XL111" s="4451"/>
      <c r="XM111" s="4451"/>
      <c r="XN111" s="4451"/>
      <c r="XO111" s="4451"/>
      <c r="XP111" s="4451"/>
      <c r="XQ111" s="4451"/>
      <c r="XR111" s="4451"/>
      <c r="XS111" s="4451"/>
      <c r="XT111" s="4451"/>
      <c r="XU111" s="4451"/>
      <c r="XV111" s="4451"/>
      <c r="XW111" s="4451"/>
      <c r="XX111" s="4451"/>
      <c r="XY111" s="4451"/>
      <c r="XZ111" s="4451"/>
      <c r="YA111" s="4451"/>
      <c r="YB111" s="4451"/>
      <c r="YC111" s="4451"/>
      <c r="YD111" s="4451"/>
      <c r="YE111" s="4451"/>
      <c r="YF111" s="4451"/>
      <c r="YG111" s="4451"/>
      <c r="YH111" s="4451"/>
      <c r="YI111" s="4451"/>
      <c r="YJ111" s="4451"/>
      <c r="YK111" s="4451"/>
      <c r="YL111" s="4451"/>
      <c r="YM111" s="4451"/>
      <c r="YN111" s="4451"/>
      <c r="YO111" s="4451"/>
      <c r="YP111" s="4451"/>
      <c r="YQ111" s="4451"/>
      <c r="YR111" s="4451"/>
      <c r="YS111" s="4451"/>
      <c r="YT111" s="4451"/>
      <c r="YU111" s="4451"/>
      <c r="YV111" s="4451"/>
      <c r="YW111" s="4451"/>
      <c r="YX111" s="4451"/>
      <c r="YY111" s="4451"/>
      <c r="YZ111" s="4451"/>
      <c r="ZA111" s="4451"/>
      <c r="ZB111" s="4451"/>
      <c r="ZC111" s="4451"/>
      <c r="ZD111" s="4451"/>
      <c r="ZE111" s="4451"/>
      <c r="ZF111" s="4451"/>
      <c r="ZG111" s="4451"/>
      <c r="ZH111" s="4451"/>
      <c r="ZI111" s="4451"/>
      <c r="ZJ111" s="4451"/>
      <c r="ZK111" s="4451"/>
      <c r="ZL111" s="4451"/>
      <c r="ZM111" s="4451"/>
      <c r="ZN111" s="4451"/>
      <c r="ZO111" s="4451"/>
      <c r="ZP111" s="4451"/>
      <c r="ZQ111" s="4451"/>
      <c r="ZR111" s="4451"/>
      <c r="ZS111" s="4451"/>
      <c r="ZT111" s="4451"/>
      <c r="ZU111" s="4451"/>
      <c r="ZV111" s="4451"/>
      <c r="ZW111" s="4451"/>
      <c r="ZX111" s="4451"/>
      <c r="ZY111" s="4451"/>
      <c r="ZZ111" s="4451"/>
      <c r="AAA111" s="4451"/>
      <c r="AAB111" s="4451"/>
      <c r="AAC111" s="4451"/>
      <c r="AAD111" s="4451"/>
      <c r="AAE111" s="4451"/>
      <c r="AAF111" s="4451"/>
      <c r="AAG111" s="4451"/>
      <c r="AAH111" s="4451"/>
      <c r="AAI111" s="4451"/>
      <c r="AAJ111" s="4451"/>
      <c r="AAK111" s="4451"/>
      <c r="AAL111" s="4451"/>
      <c r="AAM111" s="4451"/>
      <c r="AAN111" s="4451"/>
      <c r="AAO111" s="4451"/>
      <c r="AAP111" s="4451"/>
      <c r="AAQ111" s="4451"/>
      <c r="AAR111" s="4451"/>
      <c r="AAS111" s="4451"/>
      <c r="AAT111" s="4451"/>
      <c r="AAU111" s="4451"/>
      <c r="AAV111" s="4451"/>
      <c r="AAW111" s="4451"/>
      <c r="AAX111" s="4451"/>
      <c r="AAY111" s="4451"/>
      <c r="AAZ111" s="4451"/>
      <c r="ABA111" s="4451"/>
      <c r="ABB111" s="4451"/>
      <c r="ABC111" s="4451"/>
      <c r="ABD111" s="4451"/>
      <c r="ABE111" s="4451"/>
      <c r="ABF111" s="4451"/>
      <c r="ABG111" s="4451"/>
      <c r="ABH111" s="4451"/>
      <c r="ABI111" s="4451"/>
      <c r="ABJ111" s="4451"/>
      <c r="ABK111" s="4451"/>
      <c r="ABL111" s="4451"/>
      <c r="ABM111" s="4451"/>
      <c r="ABN111" s="4451"/>
      <c r="ABO111" s="4451"/>
      <c r="ABP111" s="4451"/>
      <c r="ABQ111" s="4451"/>
    </row>
    <row r="112" spans="1:745" s="4458" customFormat="1" ht="13.45" customHeight="1" x14ac:dyDescent="0.3">
      <c r="A112" s="4457"/>
      <c r="B112" s="1773" t="s">
        <v>53</v>
      </c>
      <c r="C112" s="5112" t="s">
        <v>1058</v>
      </c>
      <c r="D112" s="5113" t="s">
        <v>631</v>
      </c>
      <c r="E112" s="1993">
        <v>45306</v>
      </c>
      <c r="F112" s="1993">
        <v>45671</v>
      </c>
      <c r="G112" s="1994">
        <v>139583</v>
      </c>
      <c r="H112" s="2031"/>
      <c r="I112" s="1914"/>
      <c r="J112" s="1914"/>
      <c r="K112" s="1914"/>
      <c r="L112" s="593"/>
      <c r="M112" s="2031"/>
      <c r="N112" s="1914"/>
      <c r="O112" s="1914"/>
      <c r="P112" s="1914"/>
      <c r="Q112" s="593"/>
      <c r="R112" s="2031"/>
      <c r="S112" s="1914"/>
      <c r="T112" s="1914"/>
      <c r="U112" s="1914"/>
      <c r="V112" s="593"/>
      <c r="W112" s="2031"/>
      <c r="X112" s="1914"/>
      <c r="Y112" s="1914"/>
      <c r="Z112" s="1914"/>
      <c r="AA112" s="2032"/>
      <c r="AB112" s="2031"/>
      <c r="AC112" s="1914"/>
      <c r="AD112" s="1914"/>
      <c r="AE112" s="1914"/>
      <c r="AF112" s="2032"/>
      <c r="AG112" s="1914"/>
      <c r="AH112" s="1914"/>
      <c r="AI112" s="1914"/>
      <c r="AJ112" s="1914"/>
      <c r="AK112" s="593"/>
      <c r="AL112" s="1914"/>
      <c r="AM112" s="1914"/>
      <c r="AN112" s="1914"/>
      <c r="AO112" s="1914"/>
      <c r="AP112" s="593"/>
      <c r="AQ112" s="1914"/>
      <c r="AR112" s="1914"/>
      <c r="AS112" s="1914"/>
      <c r="AT112" s="1914"/>
      <c r="AU112" s="593"/>
      <c r="AV112" s="2033"/>
      <c r="AW112" s="1914"/>
      <c r="AX112" s="1914"/>
      <c r="AY112" s="1914"/>
      <c r="AZ112" s="2032"/>
      <c r="BA112" s="2033"/>
      <c r="BB112" s="1914"/>
      <c r="BC112" s="1914"/>
      <c r="BD112" s="1914"/>
      <c r="BE112" s="2032"/>
      <c r="BF112" s="2033"/>
      <c r="BG112" s="1914"/>
      <c r="BH112" s="1914"/>
      <c r="BI112" s="1914"/>
      <c r="BJ112" s="2032"/>
      <c r="BK112" s="2033"/>
      <c r="BL112" s="1914"/>
      <c r="BM112" s="1914"/>
      <c r="BN112" s="1914"/>
      <c r="BO112" s="2032"/>
      <c r="BP112" s="2034"/>
      <c r="BQ112" s="1914"/>
      <c r="BR112" s="1914"/>
      <c r="BS112" s="1914"/>
      <c r="BT112" s="2035"/>
      <c r="BU112" s="1914"/>
      <c r="BV112" s="1914"/>
      <c r="BW112" s="2036"/>
      <c r="BX112" s="2035"/>
      <c r="BY112" s="1914"/>
      <c r="BZ112" s="1914"/>
      <c r="CA112" s="2010"/>
      <c r="CB112" s="1914"/>
      <c r="CC112" s="1914"/>
      <c r="CD112" s="1914"/>
      <c r="CE112" s="1914"/>
      <c r="CF112" s="2035"/>
      <c r="CG112" s="1914"/>
      <c r="CH112" s="1914"/>
      <c r="CI112" s="2010"/>
      <c r="CJ112" s="2037"/>
      <c r="CK112" s="1914"/>
      <c r="CL112" s="1914"/>
      <c r="CM112" s="1914"/>
      <c r="CN112" s="2036"/>
      <c r="CO112" s="2037"/>
      <c r="CP112" s="2031"/>
      <c r="CQ112" s="2031"/>
      <c r="CR112" s="2031"/>
      <c r="CS112" s="2036"/>
      <c r="CT112" s="2037"/>
      <c r="CU112" s="1914"/>
      <c r="CV112" s="1914"/>
      <c r="CW112" s="1914"/>
      <c r="CX112" s="2036"/>
      <c r="CY112" s="2037"/>
      <c r="CZ112" s="1914"/>
      <c r="DA112" s="1914"/>
      <c r="DB112" s="1914"/>
      <c r="DC112" s="2036"/>
      <c r="DD112" s="2037"/>
      <c r="DE112" s="1914"/>
      <c r="DF112" s="1914"/>
      <c r="DG112" s="1914"/>
      <c r="DH112" s="2038"/>
      <c r="DI112" s="2037"/>
      <c r="DJ112" s="1914"/>
      <c r="DK112" s="1914"/>
      <c r="DL112" s="1914"/>
      <c r="DM112" s="2038"/>
      <c r="DN112" s="2037"/>
      <c r="DO112" s="1914"/>
      <c r="DP112" s="1914"/>
      <c r="DQ112" s="1914"/>
      <c r="DR112" s="2038"/>
      <c r="DS112" s="2037"/>
      <c r="DT112" s="1914"/>
      <c r="DU112" s="1914"/>
      <c r="DV112" s="1914"/>
      <c r="DW112" s="2038"/>
      <c r="DX112" s="2037"/>
      <c r="DY112" s="1914"/>
      <c r="DZ112" s="1914"/>
      <c r="EA112" s="1914"/>
      <c r="EB112" s="2038"/>
      <c r="EC112" s="2037"/>
      <c r="ED112" s="1914"/>
      <c r="EE112" s="1914"/>
      <c r="EF112" s="1914"/>
      <c r="EG112" s="2038"/>
      <c r="EH112" s="2037"/>
      <c r="EI112" s="1914"/>
      <c r="EJ112" s="1914"/>
      <c r="EK112" s="1914"/>
      <c r="EL112" s="2038"/>
      <c r="EM112" s="1910"/>
      <c r="EN112" s="715"/>
      <c r="EO112" s="715"/>
      <c r="EP112" s="715"/>
      <c r="EQ112" s="366"/>
      <c r="ER112" s="2402"/>
      <c r="ES112" s="2403"/>
      <c r="ET112" s="2403"/>
      <c r="EU112" s="2403"/>
      <c r="EV112" s="2404"/>
      <c r="EW112" s="2031"/>
      <c r="EX112" s="2031"/>
      <c r="EY112" s="2031"/>
      <c r="EZ112" s="593"/>
      <c r="FA112" s="2037"/>
      <c r="FB112" s="2031"/>
      <c r="FC112" s="2031"/>
      <c r="FD112" s="2036"/>
      <c r="FE112" s="2031"/>
      <c r="FF112" s="2031"/>
      <c r="FG112" s="2031"/>
      <c r="FH112" s="593"/>
      <c r="FI112" s="2039"/>
      <c r="FJ112" s="2040"/>
      <c r="FK112" s="2041"/>
      <c r="FL112" s="2041"/>
      <c r="FM112" s="693"/>
      <c r="FN112" s="2031"/>
      <c r="FO112" s="1914"/>
      <c r="FP112" s="1914"/>
      <c r="FQ112" s="1914"/>
      <c r="FR112" s="2032"/>
      <c r="FS112" s="1910"/>
      <c r="FT112" s="715"/>
      <c r="FU112" s="715"/>
      <c r="FV112" s="715"/>
      <c r="FW112" s="366"/>
      <c r="FX112" s="2037"/>
      <c r="FY112" s="1914"/>
      <c r="FZ112" s="1914"/>
      <c r="GA112" s="715"/>
      <c r="GB112" s="366"/>
      <c r="GC112" s="2110"/>
      <c r="GD112" s="2111"/>
      <c r="GE112" s="2111"/>
      <c r="GF112" s="715"/>
      <c r="GG112" s="366"/>
      <c r="GH112" s="2042"/>
      <c r="GI112" s="2043"/>
      <c r="GJ112" s="2043"/>
      <c r="GK112" s="715"/>
      <c r="GL112" s="366"/>
      <c r="GM112" s="2042"/>
      <c r="GN112" s="2043"/>
      <c r="GO112" s="2043"/>
      <c r="GP112" s="715"/>
      <c r="GQ112" s="366"/>
      <c r="GR112" s="2042"/>
      <c r="GS112" s="2043"/>
      <c r="GT112" s="2043"/>
      <c r="GU112" s="715"/>
      <c r="GV112" s="366"/>
      <c r="GW112" s="2042"/>
      <c r="GX112" s="2043"/>
      <c r="GY112" s="2043"/>
      <c r="GZ112" s="715"/>
      <c r="HA112" s="366"/>
      <c r="HB112" s="2042"/>
      <c r="HC112" s="2043"/>
      <c r="HD112" s="2043"/>
      <c r="HE112" s="715"/>
      <c r="HF112" s="366"/>
      <c r="HG112" s="2042"/>
      <c r="HH112" s="2043"/>
      <c r="HI112" s="2043"/>
      <c r="HJ112" s="2113"/>
      <c r="HK112" s="366"/>
      <c r="HL112" s="2042"/>
      <c r="HM112" s="2043"/>
      <c r="HN112" s="2043"/>
      <c r="HO112" s="715"/>
      <c r="HP112" s="366"/>
      <c r="HQ112" s="2114"/>
      <c r="HR112" s="1904"/>
      <c r="HS112" s="1904"/>
      <c r="HT112" s="1904"/>
      <c r="HU112" s="2115"/>
      <c r="HV112" s="2405"/>
      <c r="HW112" s="2406"/>
      <c r="HX112" s="2406"/>
      <c r="HY112" s="2406"/>
      <c r="HZ112" s="1906"/>
      <c r="IA112" s="1907"/>
      <c r="IB112" s="1908"/>
      <c r="IC112" s="1908"/>
      <c r="ID112" s="1909"/>
      <c r="IE112" s="1910"/>
      <c r="IF112" s="1911"/>
      <c r="IG112" s="1912"/>
      <c r="IH112" s="1909"/>
      <c r="II112" s="1907"/>
      <c r="IJ112" s="2116"/>
      <c r="IK112" s="2116"/>
      <c r="IL112" s="693"/>
      <c r="IM112" s="2117"/>
      <c r="IN112" s="2116"/>
      <c r="IO112" s="2116"/>
      <c r="IP112" s="1838"/>
      <c r="IQ112" s="1914"/>
      <c r="IR112" s="2044"/>
      <c r="IS112" s="715"/>
      <c r="IT112" s="715"/>
      <c r="IU112" s="2131"/>
      <c r="IV112" s="2045"/>
      <c r="IW112" s="1910"/>
      <c r="IX112" s="715"/>
      <c r="IY112" s="715"/>
      <c r="IZ112" s="2113"/>
      <c r="JA112" s="2132"/>
      <c r="JB112" s="2407"/>
      <c r="JC112" s="2408"/>
      <c r="JD112" s="2409"/>
      <c r="JE112" s="2113"/>
      <c r="JF112" s="2132"/>
      <c r="JG112" s="2410"/>
      <c r="JH112" s="2043"/>
      <c r="JI112" s="2043"/>
      <c r="JJ112" s="2411"/>
      <c r="JK112" s="2132"/>
      <c r="JL112" s="2129"/>
      <c r="JM112" s="2043"/>
      <c r="JN112" s="2043"/>
      <c r="JO112" s="715"/>
      <c r="JP112" s="2132"/>
      <c r="JQ112" s="2129"/>
      <c r="JR112" s="2130"/>
      <c r="JS112" s="1904"/>
      <c r="JT112" s="2131"/>
      <c r="JU112" s="2132"/>
      <c r="JV112" s="2410"/>
      <c r="JW112" s="2043"/>
      <c r="JX112" s="1904"/>
      <c r="JY112" s="715"/>
      <c r="JZ112" s="2132"/>
      <c r="KA112" s="2410"/>
      <c r="KB112" s="1904"/>
      <c r="KC112" s="2130"/>
      <c r="KD112" s="2414"/>
      <c r="KE112" s="2415"/>
      <c r="KF112" s="2410"/>
      <c r="KG112" s="1904"/>
      <c r="KH112" s="2043"/>
      <c r="KI112" s="2113"/>
      <c r="KJ112" s="2132"/>
      <c r="KK112" s="2410"/>
      <c r="KL112" s="1904"/>
      <c r="KM112" s="2043"/>
      <c r="KN112" s="2416"/>
      <c r="KO112" s="2417"/>
      <c r="KP112" s="2136"/>
      <c r="KQ112" s="2130"/>
      <c r="KR112" s="1904"/>
      <c r="KS112" s="2131"/>
      <c r="KT112" s="2137"/>
      <c r="KU112" s="2114"/>
      <c r="KV112" s="1904"/>
      <c r="KW112" s="1904"/>
      <c r="KX112" s="1904"/>
      <c r="KY112" s="2418"/>
      <c r="KZ112" s="1832"/>
      <c r="LA112" s="622"/>
      <c r="LB112" s="622"/>
      <c r="LC112" s="622"/>
      <c r="LD112" s="239"/>
      <c r="LE112" s="2419"/>
      <c r="LF112" s="2420"/>
      <c r="LG112" s="2420"/>
      <c r="LH112" s="2421"/>
      <c r="LI112" s="2422"/>
      <c r="LJ112" s="2423"/>
      <c r="LK112" s="2419"/>
      <c r="LL112" s="2421"/>
      <c r="LM112" s="1907"/>
      <c r="LN112" s="2116"/>
      <c r="LO112" s="2116"/>
      <c r="LP112" s="2013"/>
      <c r="LQ112" s="2424"/>
      <c r="LR112" s="2116"/>
      <c r="LS112" s="2116"/>
      <c r="LT112" s="1838"/>
      <c r="LU112" s="2425"/>
      <c r="LV112" s="2426"/>
      <c r="LW112" s="436"/>
      <c r="LX112" s="436"/>
      <c r="LY112" s="2427"/>
      <c r="LZ112" s="1588"/>
      <c r="MA112" s="2422"/>
      <c r="MB112" s="1587"/>
      <c r="MC112" s="1587"/>
      <c r="MD112" s="2148"/>
      <c r="ME112" s="2149"/>
      <c r="MF112" s="406"/>
      <c r="MG112" s="2428"/>
      <c r="MH112" s="5114"/>
      <c r="MI112" s="2148"/>
      <c r="MJ112" s="2149"/>
      <c r="MK112" s="2429"/>
      <c r="ML112" s="436"/>
      <c r="MM112" s="1587"/>
      <c r="MN112" s="2148"/>
      <c r="MO112" s="2149"/>
      <c r="MP112" s="2153"/>
      <c r="MQ112" s="1904"/>
      <c r="MR112" s="1904"/>
      <c r="MS112" s="1904"/>
      <c r="MT112" s="787"/>
      <c r="MU112" s="1318"/>
      <c r="MV112" s="395"/>
      <c r="MW112" s="395"/>
      <c r="MX112" s="395"/>
      <c r="MY112" s="655"/>
      <c r="MZ112" s="1318"/>
      <c r="NA112" s="395"/>
      <c r="NB112" s="395"/>
      <c r="NC112" s="395"/>
      <c r="ND112" s="801"/>
      <c r="NE112" s="1318"/>
      <c r="NF112" s="395"/>
      <c r="NG112" s="395"/>
      <c r="NH112" s="395"/>
      <c r="NI112" s="801"/>
      <c r="NJ112" s="1318"/>
      <c r="NK112" s="395"/>
      <c r="NL112" s="395"/>
      <c r="NM112" s="395"/>
      <c r="NN112" s="801"/>
      <c r="NO112" s="2432"/>
      <c r="NP112" s="622"/>
      <c r="NQ112" s="2437"/>
      <c r="NR112" s="395"/>
      <c r="NS112" s="801"/>
      <c r="NT112" s="2432"/>
      <c r="NU112" s="622"/>
      <c r="NV112" s="622"/>
      <c r="NW112" s="395"/>
      <c r="NX112" s="801"/>
      <c r="NY112" s="2432"/>
      <c r="NZ112" s="622"/>
      <c r="OA112" s="622"/>
      <c r="OB112" s="622"/>
      <c r="OC112" s="116"/>
      <c r="OD112" s="2433"/>
      <c r="OE112" s="622"/>
      <c r="OF112" s="622"/>
      <c r="OG112" s="622"/>
      <c r="OH112" s="1576"/>
      <c r="OI112" s="2435"/>
      <c r="OJ112" s="2436"/>
      <c r="OK112" s="2436"/>
      <c r="OL112" s="2436"/>
      <c r="OM112" s="1439"/>
      <c r="ON112" s="622"/>
      <c r="OO112" s="622"/>
      <c r="OP112" s="622"/>
      <c r="OQ112" s="2437"/>
      <c r="OR112" s="421"/>
      <c r="OS112" s="2438"/>
      <c r="OT112" s="2439"/>
      <c r="OU112" s="2439"/>
      <c r="OV112" s="2440"/>
      <c r="OW112" s="460"/>
      <c r="OX112" s="2432"/>
      <c r="OY112" s="622"/>
      <c r="OZ112" s="622"/>
      <c r="PA112" s="2437"/>
      <c r="PB112" s="116"/>
      <c r="PC112" s="2441"/>
      <c r="PD112" s="2426"/>
      <c r="PE112" s="436"/>
      <c r="PF112" s="436"/>
      <c r="PG112" s="115"/>
      <c r="PH112" s="1588"/>
      <c r="PI112" s="401"/>
      <c r="PJ112" s="395"/>
      <c r="PK112" s="395"/>
      <c r="PL112" s="115"/>
      <c r="PM112" s="186"/>
      <c r="PN112" s="2426"/>
      <c r="PO112" s="436"/>
      <c r="PP112" s="1587"/>
      <c r="PQ112" s="2148"/>
      <c r="PR112" s="2149"/>
      <c r="PS112" s="2429"/>
      <c r="PT112" s="436"/>
      <c r="PU112" s="1587"/>
      <c r="PV112" s="2148"/>
      <c r="PW112" s="207"/>
      <c r="PX112" s="2153"/>
      <c r="PY112" s="1904"/>
      <c r="PZ112" s="1904"/>
      <c r="QA112" s="1904"/>
      <c r="QB112" s="787"/>
      <c r="QC112" s="1318"/>
      <c r="QD112" s="395"/>
      <c r="QE112" s="395"/>
      <c r="QF112" s="395"/>
      <c r="QG112" s="655"/>
      <c r="QH112" s="401"/>
      <c r="QI112" s="395"/>
      <c r="QJ112" s="395"/>
      <c r="QK112" s="395"/>
      <c r="QL112" s="801"/>
      <c r="QM112" s="401"/>
      <c r="QN112" s="395"/>
      <c r="QO112" s="395"/>
      <c r="QP112" s="395"/>
      <c r="QQ112" s="801"/>
      <c r="QR112" s="1318"/>
      <c r="QS112" s="395"/>
      <c r="QT112" s="395"/>
      <c r="QU112" s="395"/>
      <c r="QV112" s="207"/>
      <c r="QW112" s="2002"/>
      <c r="QX112" s="2001"/>
      <c r="QY112" s="2001"/>
      <c r="QZ112" s="2001"/>
      <c r="RA112" s="370"/>
      <c r="RB112" s="156"/>
      <c r="RC112" s="208">
        <v>209375</v>
      </c>
      <c r="RD112" s="208">
        <f>139583</f>
        <v>139583</v>
      </c>
      <c r="RE112" s="208">
        <f t="shared" ref="RE112:RE119" si="448">RD112-RC112</f>
        <v>-69792</v>
      </c>
      <c r="RF112" s="114">
        <v>0</v>
      </c>
      <c r="RG112" s="1857"/>
      <c r="RH112" s="208">
        <v>209375</v>
      </c>
      <c r="RI112" s="208">
        <f>139583</f>
        <v>139583</v>
      </c>
      <c r="RJ112" s="772">
        <f t="shared" si="369"/>
        <v>-69792</v>
      </c>
      <c r="RK112" s="116">
        <f>RJ112/RI112</f>
        <v>-0.50000358209810647</v>
      </c>
      <c r="RL112" s="1567"/>
      <c r="RM112" s="1568">
        <f t="shared" si="426"/>
        <v>418750</v>
      </c>
      <c r="RN112" s="1568">
        <f t="shared" si="426"/>
        <v>279166</v>
      </c>
      <c r="RO112" s="4945">
        <f t="shared" si="426"/>
        <v>-139584</v>
      </c>
      <c r="RP112" s="4948">
        <f t="shared" si="347"/>
        <v>-0.50000358209810647</v>
      </c>
      <c r="RQ112" s="2435"/>
      <c r="RR112" s="2436"/>
      <c r="RS112" s="2436"/>
      <c r="RT112" s="2436"/>
      <c r="RU112" s="1439"/>
      <c r="RV112" s="622"/>
      <c r="RW112" s="622"/>
      <c r="RX112" s="622"/>
      <c r="RY112" s="2437"/>
      <c r="RZ112" s="421"/>
      <c r="SA112" s="2438"/>
      <c r="SB112" s="2439"/>
      <c r="SC112" s="2439"/>
      <c r="SD112" s="2440"/>
      <c r="SE112" s="460"/>
      <c r="SF112" s="1567"/>
      <c r="SG112" s="358">
        <f t="shared" si="421"/>
        <v>418750</v>
      </c>
      <c r="SH112" s="358">
        <f t="shared" si="421"/>
        <v>279166</v>
      </c>
      <c r="SI112" s="359">
        <f t="shared" si="421"/>
        <v>-139584</v>
      </c>
      <c r="SJ112" s="114">
        <f t="shared" si="294"/>
        <v>-0.50000358209810647</v>
      </c>
      <c r="SK112" s="1193"/>
      <c r="SL112" s="2426"/>
      <c r="SM112" s="208">
        <v>139583</v>
      </c>
      <c r="SN112" s="208">
        <f>139583</f>
        <v>139583</v>
      </c>
      <c r="SO112" s="96">
        <f t="shared" si="264"/>
        <v>0</v>
      </c>
      <c r="SP112" s="1581">
        <f>SO112/SN112</f>
        <v>0</v>
      </c>
      <c r="SQ112" s="439"/>
      <c r="SR112" s="208">
        <v>139583</v>
      </c>
      <c r="SS112" s="208">
        <f>139583</f>
        <v>139583</v>
      </c>
      <c r="ST112" s="96">
        <f t="shared" si="440"/>
        <v>0</v>
      </c>
      <c r="SU112" s="1581">
        <f>ST112/SS112</f>
        <v>0</v>
      </c>
      <c r="SV112" s="2426"/>
      <c r="SW112" s="208">
        <v>139583</v>
      </c>
      <c r="SX112" s="208">
        <f>139583</f>
        <v>139583</v>
      </c>
      <c r="SY112" s="371">
        <f t="shared" si="445"/>
        <v>0</v>
      </c>
      <c r="SZ112" s="1561">
        <f t="shared" si="446"/>
        <v>0</v>
      </c>
      <c r="TA112" s="5116">
        <v>0</v>
      </c>
      <c r="TB112" s="208">
        <v>139583</v>
      </c>
      <c r="TC112" s="994">
        <f>139583</f>
        <v>139583</v>
      </c>
      <c r="TD112" s="96">
        <f t="shared" si="280"/>
        <v>0</v>
      </c>
      <c r="TE112" s="94">
        <f t="shared" si="295"/>
        <v>0</v>
      </c>
      <c r="TF112" s="5117">
        <v>0</v>
      </c>
      <c r="TG112" s="208">
        <v>139583</v>
      </c>
      <c r="TH112" s="208">
        <f>139583</f>
        <v>139583</v>
      </c>
      <c r="TI112" s="395">
        <f t="shared" si="447"/>
        <v>0</v>
      </c>
      <c r="TJ112" s="2155">
        <f t="shared" si="296"/>
        <v>0</v>
      </c>
      <c r="TK112" s="209">
        <v>0</v>
      </c>
      <c r="TL112" s="208">
        <v>139583</v>
      </c>
      <c r="TM112" s="208">
        <f>139583</f>
        <v>139583</v>
      </c>
      <c r="TN112" s="208">
        <f t="shared" si="443"/>
        <v>0</v>
      </c>
      <c r="TO112" s="2155">
        <f t="shared" si="444"/>
        <v>0</v>
      </c>
      <c r="TP112" s="4434"/>
      <c r="TQ112" s="208">
        <v>139583</v>
      </c>
      <c r="TR112" s="208">
        <v>139583</v>
      </c>
      <c r="TS112" s="994">
        <f t="shared" si="352"/>
        <v>0</v>
      </c>
      <c r="TT112" s="2155">
        <f t="shared" si="365"/>
        <v>0</v>
      </c>
      <c r="TU112" s="4434"/>
      <c r="TV112" s="208">
        <v>139583</v>
      </c>
      <c r="TW112" s="208">
        <v>139583</v>
      </c>
      <c r="TX112" s="994">
        <f t="shared" ref="TX112:TX121" si="449">TW112-TV112</f>
        <v>0</v>
      </c>
      <c r="TY112" s="2050">
        <f t="shared" si="366"/>
        <v>0</v>
      </c>
      <c r="TZ112" s="1318"/>
      <c r="UA112" s="208">
        <v>139583</v>
      </c>
      <c r="UB112" s="208">
        <v>139583</v>
      </c>
      <c r="UC112" s="994">
        <f>UB112-UA112</f>
        <v>0</v>
      </c>
      <c r="UD112" s="2050">
        <f>UC112/UB112</f>
        <v>0</v>
      </c>
      <c r="UE112" s="1868"/>
      <c r="UF112" s="1575">
        <v>139583</v>
      </c>
      <c r="UG112" s="1575">
        <v>139583</v>
      </c>
      <c r="UH112" s="1575">
        <f t="shared" si="322"/>
        <v>0</v>
      </c>
      <c r="UI112" s="6499">
        <f t="shared" si="367"/>
        <v>0</v>
      </c>
      <c r="UJ112" s="156"/>
      <c r="UK112" s="208"/>
      <c r="UL112" s="208"/>
      <c r="UM112" s="208">
        <f t="shared" ref="UM112:UM119" si="450">UL112-UK112</f>
        <v>0</v>
      </c>
      <c r="UN112" s="114" t="e">
        <f>UM112/UL112</f>
        <v>#DIV/0!</v>
      </c>
      <c r="UO112" s="1567"/>
      <c r="UP112" s="1568"/>
      <c r="UQ112" s="1568"/>
      <c r="UR112" s="1873">
        <f t="shared" si="323"/>
        <v>0</v>
      </c>
      <c r="US112" s="2050">
        <v>0</v>
      </c>
      <c r="UT112" s="1567"/>
      <c r="UU112" s="358">
        <f t="shared" si="371"/>
        <v>1395830</v>
      </c>
      <c r="UV112" s="358">
        <f t="shared" si="371"/>
        <v>1395830</v>
      </c>
      <c r="UW112" s="358">
        <f t="shared" si="371"/>
        <v>0</v>
      </c>
      <c r="UX112" s="220">
        <f t="shared" si="358"/>
        <v>0</v>
      </c>
      <c r="UY112" s="4441">
        <f t="shared" si="324"/>
        <v>0</v>
      </c>
      <c r="UZ112" s="4442">
        <f t="shared" si="424"/>
        <v>418749</v>
      </c>
      <c r="VA112" s="4442">
        <f t="shared" si="424"/>
        <v>418749</v>
      </c>
      <c r="VB112" s="4442">
        <f t="shared" si="424"/>
        <v>0</v>
      </c>
      <c r="VC112" s="4443">
        <f t="shared" si="325"/>
        <v>0</v>
      </c>
      <c r="VD112" s="4440"/>
      <c r="VE112" s="4438">
        <f t="shared" si="423"/>
        <v>418749</v>
      </c>
      <c r="VF112" s="4438">
        <f t="shared" si="423"/>
        <v>418749</v>
      </c>
      <c r="VG112" s="4444">
        <f t="shared" si="423"/>
        <v>0</v>
      </c>
      <c r="VH112" s="4445">
        <f t="shared" si="372"/>
        <v>0</v>
      </c>
      <c r="VI112" s="4446"/>
      <c r="VJ112" s="146">
        <f t="shared" si="373"/>
        <v>418749</v>
      </c>
      <c r="VK112" s="146">
        <f t="shared" si="373"/>
        <v>418749</v>
      </c>
      <c r="VL112" s="1864">
        <f t="shared" si="373"/>
        <v>0</v>
      </c>
      <c r="VM112" s="4459"/>
      <c r="VN112" s="4449"/>
      <c r="VO112" s="4438">
        <f t="shared" si="368"/>
        <v>139583</v>
      </c>
      <c r="VP112" s="4438">
        <f t="shared" si="361"/>
        <v>139583</v>
      </c>
      <c r="VQ112" s="4444">
        <f t="shared" si="361"/>
        <v>0</v>
      </c>
      <c r="VR112" s="4448">
        <f>VQ112/VP112</f>
        <v>0</v>
      </c>
      <c r="VS112" s="4451"/>
      <c r="VT112" s="4451"/>
      <c r="VU112" s="4451"/>
      <c r="VV112" s="4451"/>
      <c r="VW112" s="4451"/>
      <c r="VX112" s="4451"/>
      <c r="VY112" s="4451"/>
      <c r="VZ112" s="4451"/>
      <c r="WA112" s="4451"/>
      <c r="WB112" s="4451"/>
      <c r="WC112" s="4451"/>
      <c r="WD112" s="4451"/>
      <c r="WE112" s="4451"/>
      <c r="WF112" s="4451"/>
      <c r="WG112" s="4451"/>
      <c r="WH112" s="4451"/>
      <c r="WI112" s="4451"/>
      <c r="WJ112" s="4451"/>
      <c r="WK112" s="4451"/>
      <c r="WL112" s="4451"/>
      <c r="WM112" s="4451"/>
      <c r="WN112" s="4451"/>
      <c r="WO112" s="4451"/>
      <c r="WP112" s="4451"/>
      <c r="WQ112" s="4451"/>
      <c r="WR112" s="4451"/>
      <c r="WS112" s="4451"/>
      <c r="WT112" s="4451"/>
      <c r="WU112" s="4451"/>
      <c r="WV112" s="4451"/>
      <c r="WW112" s="4451"/>
      <c r="WX112" s="4451"/>
      <c r="WY112" s="4451"/>
      <c r="WZ112" s="4451"/>
      <c r="XA112" s="4451"/>
      <c r="XB112" s="4451"/>
      <c r="XC112" s="4451"/>
      <c r="XD112" s="4451"/>
      <c r="XE112" s="4451"/>
      <c r="XF112" s="4451"/>
      <c r="XG112" s="4451"/>
      <c r="XH112" s="4451"/>
      <c r="XI112" s="4451"/>
      <c r="XJ112" s="4451"/>
      <c r="XK112" s="4451"/>
      <c r="XL112" s="4451"/>
      <c r="XM112" s="4451"/>
      <c r="XN112" s="4451"/>
      <c r="XO112" s="4451"/>
      <c r="XP112" s="4451"/>
      <c r="XQ112" s="4451"/>
      <c r="XR112" s="4451"/>
      <c r="XS112" s="4451"/>
      <c r="XT112" s="4451"/>
      <c r="XU112" s="4451"/>
      <c r="XV112" s="4451"/>
      <c r="XW112" s="4451"/>
      <c r="XX112" s="4451"/>
      <c r="XY112" s="4451"/>
      <c r="XZ112" s="4451"/>
      <c r="YA112" s="4451"/>
      <c r="YB112" s="4451"/>
      <c r="YC112" s="4451"/>
      <c r="YD112" s="4451"/>
      <c r="YE112" s="4451"/>
      <c r="YF112" s="4451"/>
      <c r="YG112" s="4451"/>
      <c r="YH112" s="4451"/>
      <c r="YI112" s="4451"/>
      <c r="YJ112" s="4451"/>
      <c r="YK112" s="4451"/>
      <c r="YL112" s="4451"/>
      <c r="YM112" s="4451"/>
      <c r="YN112" s="4451"/>
      <c r="YO112" s="4451"/>
      <c r="YP112" s="4451"/>
      <c r="YQ112" s="4451"/>
      <c r="YR112" s="4451"/>
      <c r="YS112" s="4451"/>
      <c r="YT112" s="4451"/>
      <c r="YU112" s="4451"/>
      <c r="YV112" s="4451"/>
      <c r="YW112" s="4451"/>
      <c r="YX112" s="4451"/>
      <c r="YY112" s="4451"/>
      <c r="YZ112" s="4451"/>
      <c r="ZA112" s="4451"/>
      <c r="ZB112" s="4451"/>
      <c r="ZC112" s="4451"/>
      <c r="ZD112" s="4451"/>
      <c r="ZE112" s="4451"/>
      <c r="ZF112" s="4451"/>
      <c r="ZG112" s="4451"/>
      <c r="ZH112" s="4451"/>
      <c r="ZI112" s="4451"/>
      <c r="ZJ112" s="4451"/>
      <c r="ZK112" s="4451"/>
      <c r="ZL112" s="4451"/>
      <c r="ZM112" s="4451"/>
      <c r="ZN112" s="4451"/>
      <c r="ZO112" s="4451"/>
      <c r="ZP112" s="4451"/>
      <c r="ZQ112" s="4451"/>
      <c r="ZR112" s="4451"/>
      <c r="ZS112" s="4451"/>
      <c r="ZT112" s="4451"/>
      <c r="ZU112" s="4451"/>
      <c r="ZV112" s="4451"/>
      <c r="ZW112" s="4451"/>
      <c r="ZX112" s="4451"/>
      <c r="ZY112" s="4451"/>
      <c r="ZZ112" s="4451"/>
      <c r="AAA112" s="4451"/>
      <c r="AAB112" s="4451"/>
      <c r="AAC112" s="4451"/>
      <c r="AAD112" s="4451"/>
      <c r="AAE112" s="4451"/>
      <c r="AAF112" s="4451"/>
      <c r="AAG112" s="4451"/>
      <c r="AAH112" s="4451"/>
      <c r="AAI112" s="4451"/>
      <c r="AAJ112" s="4451"/>
      <c r="AAK112" s="4451"/>
      <c r="AAL112" s="4451"/>
      <c r="AAM112" s="4451"/>
      <c r="AAN112" s="4451"/>
      <c r="AAO112" s="4451"/>
      <c r="AAP112" s="4451"/>
      <c r="AAQ112" s="4451"/>
      <c r="AAR112" s="4451"/>
      <c r="AAS112" s="4451"/>
      <c r="AAT112" s="4451"/>
      <c r="AAU112" s="4451"/>
      <c r="AAV112" s="4451"/>
      <c r="AAW112" s="4451"/>
      <c r="AAX112" s="4451"/>
      <c r="AAY112" s="4451"/>
      <c r="AAZ112" s="4451"/>
      <c r="ABA112" s="4451"/>
      <c r="ABB112" s="4451"/>
      <c r="ABC112" s="4451"/>
      <c r="ABD112" s="4451"/>
      <c r="ABE112" s="4451"/>
      <c r="ABF112" s="4451"/>
      <c r="ABG112" s="4451"/>
      <c r="ABH112" s="4451"/>
      <c r="ABI112" s="4451"/>
      <c r="ABJ112" s="4451"/>
      <c r="ABK112" s="4451"/>
      <c r="ABL112" s="4451"/>
      <c r="ABM112" s="4451"/>
      <c r="ABN112" s="4451"/>
      <c r="ABO112" s="4451"/>
      <c r="ABP112" s="4451"/>
      <c r="ABQ112" s="4451"/>
    </row>
    <row r="113" spans="1:745" s="4458" customFormat="1" ht="13.6" customHeight="1" x14ac:dyDescent="0.3">
      <c r="A113" s="4457"/>
      <c r="B113" s="1773" t="s">
        <v>53</v>
      </c>
      <c r="C113" s="5112" t="s">
        <v>1059</v>
      </c>
      <c r="D113" s="5113" t="s">
        <v>950</v>
      </c>
      <c r="E113" s="1993">
        <v>45444</v>
      </c>
      <c r="F113" s="1993">
        <v>45682</v>
      </c>
      <c r="G113" s="1994">
        <v>73500</v>
      </c>
      <c r="H113" s="2031"/>
      <c r="I113" s="1914"/>
      <c r="J113" s="1914"/>
      <c r="K113" s="1914"/>
      <c r="L113" s="593"/>
      <c r="M113" s="2031"/>
      <c r="N113" s="1914"/>
      <c r="O113" s="1914"/>
      <c r="P113" s="1914"/>
      <c r="Q113" s="593"/>
      <c r="R113" s="2031"/>
      <c r="S113" s="1914"/>
      <c r="T113" s="1914"/>
      <c r="U113" s="1914"/>
      <c r="V113" s="593"/>
      <c r="W113" s="2031"/>
      <c r="X113" s="1914"/>
      <c r="Y113" s="1914"/>
      <c r="Z113" s="1914"/>
      <c r="AA113" s="2032"/>
      <c r="AB113" s="2031"/>
      <c r="AC113" s="1914"/>
      <c r="AD113" s="1914"/>
      <c r="AE113" s="1914"/>
      <c r="AF113" s="2032"/>
      <c r="AG113" s="1914"/>
      <c r="AH113" s="1914"/>
      <c r="AI113" s="1914"/>
      <c r="AJ113" s="1914"/>
      <c r="AK113" s="593"/>
      <c r="AL113" s="1914"/>
      <c r="AM113" s="1914"/>
      <c r="AN113" s="1914"/>
      <c r="AO113" s="1914"/>
      <c r="AP113" s="593"/>
      <c r="AQ113" s="1914"/>
      <c r="AR113" s="1914"/>
      <c r="AS113" s="1914"/>
      <c r="AT113" s="1914"/>
      <c r="AU113" s="593"/>
      <c r="AV113" s="2033"/>
      <c r="AW113" s="1914"/>
      <c r="AX113" s="1914"/>
      <c r="AY113" s="1914"/>
      <c r="AZ113" s="2032"/>
      <c r="BA113" s="2033"/>
      <c r="BB113" s="1914"/>
      <c r="BC113" s="1914"/>
      <c r="BD113" s="1914"/>
      <c r="BE113" s="2032"/>
      <c r="BF113" s="2033"/>
      <c r="BG113" s="1914"/>
      <c r="BH113" s="1914"/>
      <c r="BI113" s="1914"/>
      <c r="BJ113" s="2032"/>
      <c r="BK113" s="2033"/>
      <c r="BL113" s="1914"/>
      <c r="BM113" s="1914"/>
      <c r="BN113" s="1914"/>
      <c r="BO113" s="2032"/>
      <c r="BP113" s="2034"/>
      <c r="BQ113" s="1914"/>
      <c r="BR113" s="1914"/>
      <c r="BS113" s="1914"/>
      <c r="BT113" s="2035"/>
      <c r="BU113" s="1914"/>
      <c r="BV113" s="1914"/>
      <c r="BW113" s="2036"/>
      <c r="BX113" s="2035"/>
      <c r="BY113" s="1914"/>
      <c r="BZ113" s="1914"/>
      <c r="CA113" s="2010"/>
      <c r="CB113" s="1914"/>
      <c r="CC113" s="1914"/>
      <c r="CD113" s="1914"/>
      <c r="CE113" s="1914"/>
      <c r="CF113" s="2035"/>
      <c r="CG113" s="1914"/>
      <c r="CH113" s="1914"/>
      <c r="CI113" s="2010"/>
      <c r="CJ113" s="2037"/>
      <c r="CK113" s="1914"/>
      <c r="CL113" s="1914"/>
      <c r="CM113" s="1914"/>
      <c r="CN113" s="2036"/>
      <c r="CO113" s="2037"/>
      <c r="CP113" s="2031"/>
      <c r="CQ113" s="2031"/>
      <c r="CR113" s="2031"/>
      <c r="CS113" s="2036"/>
      <c r="CT113" s="2037"/>
      <c r="CU113" s="1914"/>
      <c r="CV113" s="1914"/>
      <c r="CW113" s="1914"/>
      <c r="CX113" s="2036"/>
      <c r="CY113" s="2037"/>
      <c r="CZ113" s="1914"/>
      <c r="DA113" s="1914"/>
      <c r="DB113" s="1914"/>
      <c r="DC113" s="2036"/>
      <c r="DD113" s="2037"/>
      <c r="DE113" s="1914"/>
      <c r="DF113" s="1914"/>
      <c r="DG113" s="1914"/>
      <c r="DH113" s="2038"/>
      <c r="DI113" s="2037"/>
      <c r="DJ113" s="1914"/>
      <c r="DK113" s="1914"/>
      <c r="DL113" s="1914"/>
      <c r="DM113" s="2038"/>
      <c r="DN113" s="2037"/>
      <c r="DO113" s="1914"/>
      <c r="DP113" s="1914"/>
      <c r="DQ113" s="1914"/>
      <c r="DR113" s="2038"/>
      <c r="DS113" s="2037"/>
      <c r="DT113" s="1914"/>
      <c r="DU113" s="1914"/>
      <c r="DV113" s="1914"/>
      <c r="DW113" s="2038"/>
      <c r="DX113" s="2037"/>
      <c r="DY113" s="1914"/>
      <c r="DZ113" s="1914"/>
      <c r="EA113" s="1914"/>
      <c r="EB113" s="2038"/>
      <c r="EC113" s="2037"/>
      <c r="ED113" s="1914"/>
      <c r="EE113" s="1914"/>
      <c r="EF113" s="1914"/>
      <c r="EG113" s="2038"/>
      <c r="EH113" s="2037"/>
      <c r="EI113" s="1914"/>
      <c r="EJ113" s="1914"/>
      <c r="EK113" s="1914"/>
      <c r="EL113" s="2038"/>
      <c r="EM113" s="1910"/>
      <c r="EN113" s="715"/>
      <c r="EO113" s="715"/>
      <c r="EP113" s="715"/>
      <c r="EQ113" s="366"/>
      <c r="ER113" s="2402"/>
      <c r="ES113" s="2403"/>
      <c r="ET113" s="2403"/>
      <c r="EU113" s="2403"/>
      <c r="EV113" s="2404"/>
      <c r="EW113" s="2031"/>
      <c r="EX113" s="2031"/>
      <c r="EY113" s="2031"/>
      <c r="EZ113" s="593"/>
      <c r="FA113" s="2037"/>
      <c r="FB113" s="2031"/>
      <c r="FC113" s="2031"/>
      <c r="FD113" s="2036"/>
      <c r="FE113" s="2031"/>
      <c r="FF113" s="2031"/>
      <c r="FG113" s="2031"/>
      <c r="FH113" s="593"/>
      <c r="FI113" s="2039"/>
      <c r="FJ113" s="2040"/>
      <c r="FK113" s="2041"/>
      <c r="FL113" s="2041"/>
      <c r="FM113" s="693"/>
      <c r="FN113" s="2031"/>
      <c r="FO113" s="1914"/>
      <c r="FP113" s="1914"/>
      <c r="FQ113" s="1914"/>
      <c r="FR113" s="2032"/>
      <c r="FS113" s="1910"/>
      <c r="FT113" s="715"/>
      <c r="FU113" s="715"/>
      <c r="FV113" s="715"/>
      <c r="FW113" s="366"/>
      <c r="FX113" s="2037"/>
      <c r="FY113" s="1914"/>
      <c r="FZ113" s="1914"/>
      <c r="GA113" s="715"/>
      <c r="GB113" s="366"/>
      <c r="GC113" s="2110"/>
      <c r="GD113" s="2111"/>
      <c r="GE113" s="2111"/>
      <c r="GF113" s="715"/>
      <c r="GG113" s="366"/>
      <c r="GH113" s="2042"/>
      <c r="GI113" s="2043"/>
      <c r="GJ113" s="2043"/>
      <c r="GK113" s="715"/>
      <c r="GL113" s="366"/>
      <c r="GM113" s="2042"/>
      <c r="GN113" s="2043"/>
      <c r="GO113" s="2043"/>
      <c r="GP113" s="715"/>
      <c r="GQ113" s="366"/>
      <c r="GR113" s="2042"/>
      <c r="GS113" s="2043"/>
      <c r="GT113" s="2043"/>
      <c r="GU113" s="715"/>
      <c r="GV113" s="366"/>
      <c r="GW113" s="2042"/>
      <c r="GX113" s="2043"/>
      <c r="GY113" s="2043"/>
      <c r="GZ113" s="715"/>
      <c r="HA113" s="366"/>
      <c r="HB113" s="2042"/>
      <c r="HC113" s="2043"/>
      <c r="HD113" s="2043"/>
      <c r="HE113" s="715"/>
      <c r="HF113" s="366"/>
      <c r="HG113" s="2042"/>
      <c r="HH113" s="2043"/>
      <c r="HI113" s="2043"/>
      <c r="HJ113" s="2113"/>
      <c r="HK113" s="366"/>
      <c r="HL113" s="2042"/>
      <c r="HM113" s="2043"/>
      <c r="HN113" s="2043"/>
      <c r="HO113" s="715"/>
      <c r="HP113" s="366"/>
      <c r="HQ113" s="2114"/>
      <c r="HR113" s="1904"/>
      <c r="HS113" s="1904"/>
      <c r="HT113" s="1904"/>
      <c r="HU113" s="2115"/>
      <c r="HV113" s="2405"/>
      <c r="HW113" s="2406"/>
      <c r="HX113" s="2406"/>
      <c r="HY113" s="2406"/>
      <c r="HZ113" s="1906"/>
      <c r="IA113" s="1907"/>
      <c r="IB113" s="1908"/>
      <c r="IC113" s="1908"/>
      <c r="ID113" s="1909"/>
      <c r="IE113" s="1910"/>
      <c r="IF113" s="1911"/>
      <c r="IG113" s="1912"/>
      <c r="IH113" s="1909"/>
      <c r="II113" s="1907"/>
      <c r="IJ113" s="2116"/>
      <c r="IK113" s="2116"/>
      <c r="IL113" s="693"/>
      <c r="IM113" s="2117"/>
      <c r="IN113" s="2116"/>
      <c r="IO113" s="2116"/>
      <c r="IP113" s="1838"/>
      <c r="IQ113" s="1914"/>
      <c r="IR113" s="2044"/>
      <c r="IS113" s="715"/>
      <c r="IT113" s="715"/>
      <c r="IU113" s="2131"/>
      <c r="IV113" s="2045"/>
      <c r="IW113" s="1910"/>
      <c r="IX113" s="715"/>
      <c r="IY113" s="715"/>
      <c r="IZ113" s="2113"/>
      <c r="JA113" s="2132"/>
      <c r="JB113" s="2407"/>
      <c r="JC113" s="2408"/>
      <c r="JD113" s="2409"/>
      <c r="JE113" s="2113"/>
      <c r="JF113" s="2132"/>
      <c r="JG113" s="2410"/>
      <c r="JH113" s="2043"/>
      <c r="JI113" s="2043"/>
      <c r="JJ113" s="2411"/>
      <c r="JK113" s="2132"/>
      <c r="JL113" s="2129"/>
      <c r="JM113" s="2043"/>
      <c r="JN113" s="2043"/>
      <c r="JO113" s="715"/>
      <c r="JP113" s="2132"/>
      <c r="JQ113" s="2129"/>
      <c r="JR113" s="2130"/>
      <c r="JS113" s="1904"/>
      <c r="JT113" s="2131"/>
      <c r="JU113" s="2132"/>
      <c r="JV113" s="2410"/>
      <c r="JW113" s="2043"/>
      <c r="JX113" s="1904"/>
      <c r="JY113" s="715"/>
      <c r="JZ113" s="2132"/>
      <c r="KA113" s="2410"/>
      <c r="KB113" s="1904"/>
      <c r="KC113" s="2130"/>
      <c r="KD113" s="2414"/>
      <c r="KE113" s="2415"/>
      <c r="KF113" s="2410"/>
      <c r="KG113" s="1904"/>
      <c r="KH113" s="2043"/>
      <c r="KI113" s="2113"/>
      <c r="KJ113" s="2132"/>
      <c r="KK113" s="2410"/>
      <c r="KL113" s="1904"/>
      <c r="KM113" s="2043"/>
      <c r="KN113" s="2416"/>
      <c r="KO113" s="2417"/>
      <c r="KP113" s="2136"/>
      <c r="KQ113" s="2130"/>
      <c r="KR113" s="1904"/>
      <c r="KS113" s="2131"/>
      <c r="KT113" s="2137"/>
      <c r="KU113" s="2114"/>
      <c r="KV113" s="1904"/>
      <c r="KW113" s="1904"/>
      <c r="KX113" s="1904"/>
      <c r="KY113" s="2418"/>
      <c r="KZ113" s="1832"/>
      <c r="LA113" s="622"/>
      <c r="LB113" s="622"/>
      <c r="LC113" s="622"/>
      <c r="LD113" s="239"/>
      <c r="LE113" s="2419"/>
      <c r="LF113" s="2420"/>
      <c r="LG113" s="2420"/>
      <c r="LH113" s="2421"/>
      <c r="LI113" s="2422"/>
      <c r="LJ113" s="2423"/>
      <c r="LK113" s="2419"/>
      <c r="LL113" s="2421"/>
      <c r="LM113" s="1907"/>
      <c r="LN113" s="2116"/>
      <c r="LO113" s="2116"/>
      <c r="LP113" s="2013"/>
      <c r="LQ113" s="2424"/>
      <c r="LR113" s="2116"/>
      <c r="LS113" s="2116"/>
      <c r="LT113" s="1838"/>
      <c r="LU113" s="2425"/>
      <c r="LV113" s="2426"/>
      <c r="LW113" s="436"/>
      <c r="LX113" s="436"/>
      <c r="LY113" s="2427"/>
      <c r="LZ113" s="1588"/>
      <c r="MA113" s="2422"/>
      <c r="MB113" s="1587"/>
      <c r="MC113" s="1587"/>
      <c r="MD113" s="2148"/>
      <c r="ME113" s="2149"/>
      <c r="MF113" s="406"/>
      <c r="MG113" s="2428"/>
      <c r="MH113" s="5114"/>
      <c r="MI113" s="2148"/>
      <c r="MJ113" s="2149"/>
      <c r="MK113" s="2429"/>
      <c r="ML113" s="436"/>
      <c r="MM113" s="1587"/>
      <c r="MN113" s="2148"/>
      <c r="MO113" s="2149"/>
      <c r="MP113" s="2153"/>
      <c r="MQ113" s="1904"/>
      <c r="MR113" s="1904"/>
      <c r="MS113" s="1904"/>
      <c r="MT113" s="787"/>
      <c r="MU113" s="1318"/>
      <c r="MV113" s="395"/>
      <c r="MW113" s="395"/>
      <c r="MX113" s="395"/>
      <c r="MY113" s="655"/>
      <c r="MZ113" s="1318"/>
      <c r="NA113" s="395"/>
      <c r="NB113" s="395"/>
      <c r="NC113" s="395"/>
      <c r="ND113" s="801"/>
      <c r="NE113" s="1318"/>
      <c r="NF113" s="395"/>
      <c r="NG113" s="395"/>
      <c r="NH113" s="395"/>
      <c r="NI113" s="801"/>
      <c r="NJ113" s="1318"/>
      <c r="NK113" s="395"/>
      <c r="NL113" s="395"/>
      <c r="NM113" s="395"/>
      <c r="NN113" s="801"/>
      <c r="NO113" s="2432"/>
      <c r="NP113" s="622"/>
      <c r="NQ113" s="2437"/>
      <c r="NR113" s="395"/>
      <c r="NS113" s="801"/>
      <c r="NT113" s="2432"/>
      <c r="NU113" s="622"/>
      <c r="NV113" s="622"/>
      <c r="NW113" s="395"/>
      <c r="NX113" s="801"/>
      <c r="NY113" s="2432"/>
      <c r="NZ113" s="622"/>
      <c r="OA113" s="622"/>
      <c r="OB113" s="622"/>
      <c r="OC113" s="116"/>
      <c r="OD113" s="2433"/>
      <c r="OE113" s="622"/>
      <c r="OF113" s="622"/>
      <c r="OG113" s="622"/>
      <c r="OH113" s="1576"/>
      <c r="OI113" s="2435"/>
      <c r="OJ113" s="2436"/>
      <c r="OK113" s="2436"/>
      <c r="OL113" s="2436"/>
      <c r="OM113" s="1439"/>
      <c r="ON113" s="622"/>
      <c r="OO113" s="622"/>
      <c r="OP113" s="622"/>
      <c r="OQ113" s="2437"/>
      <c r="OR113" s="421"/>
      <c r="OS113" s="2438"/>
      <c r="OT113" s="2439"/>
      <c r="OU113" s="2439"/>
      <c r="OV113" s="2440"/>
      <c r="OW113" s="460"/>
      <c r="OX113" s="2432"/>
      <c r="OY113" s="622"/>
      <c r="OZ113" s="622"/>
      <c r="PA113" s="2437"/>
      <c r="PB113" s="116"/>
      <c r="PC113" s="2441"/>
      <c r="PD113" s="2426"/>
      <c r="PE113" s="436"/>
      <c r="PF113" s="436"/>
      <c r="PG113" s="115"/>
      <c r="PH113" s="1588"/>
      <c r="PI113" s="401"/>
      <c r="PJ113" s="395"/>
      <c r="PK113" s="395"/>
      <c r="PL113" s="115"/>
      <c r="PM113" s="186"/>
      <c r="PN113" s="2426"/>
      <c r="PO113" s="436"/>
      <c r="PP113" s="1587"/>
      <c r="PQ113" s="2148"/>
      <c r="PR113" s="2149"/>
      <c r="PS113" s="2429"/>
      <c r="PT113" s="436"/>
      <c r="PU113" s="1587"/>
      <c r="PV113" s="2148"/>
      <c r="PW113" s="207"/>
      <c r="PX113" s="2153"/>
      <c r="PY113" s="1904"/>
      <c r="PZ113" s="1904"/>
      <c r="QA113" s="1904"/>
      <c r="QB113" s="787"/>
      <c r="QC113" s="1318"/>
      <c r="QD113" s="395"/>
      <c r="QE113" s="395"/>
      <c r="QF113" s="395"/>
      <c r="QG113" s="655"/>
      <c r="QH113" s="401"/>
      <c r="QI113" s="395"/>
      <c r="QJ113" s="395"/>
      <c r="QK113" s="395"/>
      <c r="QL113" s="801"/>
      <c r="QM113" s="401"/>
      <c r="QN113" s="395"/>
      <c r="QO113" s="395"/>
      <c r="QP113" s="395"/>
      <c r="QQ113" s="801"/>
      <c r="QR113" s="1318"/>
      <c r="QS113" s="395"/>
      <c r="QT113" s="395"/>
      <c r="QU113" s="395"/>
      <c r="QV113" s="207"/>
      <c r="QW113" s="2002"/>
      <c r="QX113" s="2001"/>
      <c r="QY113" s="2001"/>
      <c r="QZ113" s="2001"/>
      <c r="RA113" s="370"/>
      <c r="RB113" s="156"/>
      <c r="RC113" s="208">
        <v>0</v>
      </c>
      <c r="RD113" s="208">
        <v>0</v>
      </c>
      <c r="RE113" s="208"/>
      <c r="RF113" s="114"/>
      <c r="RG113" s="1857"/>
      <c r="RH113" s="208"/>
      <c r="RI113" s="208"/>
      <c r="RJ113" s="772"/>
      <c r="RK113" s="2050"/>
      <c r="RL113" s="1567"/>
      <c r="RM113" s="1568">
        <f t="shared" si="426"/>
        <v>0</v>
      </c>
      <c r="RN113" s="1568">
        <f t="shared" si="426"/>
        <v>0</v>
      </c>
      <c r="RO113" s="1568">
        <f t="shared" si="426"/>
        <v>0</v>
      </c>
      <c r="RP113" s="220"/>
      <c r="RQ113" s="2435"/>
      <c r="RR113" s="2436"/>
      <c r="RS113" s="2436"/>
      <c r="RT113" s="2436"/>
      <c r="RU113" s="1439"/>
      <c r="RV113" s="622"/>
      <c r="RW113" s="622"/>
      <c r="RX113" s="622"/>
      <c r="RY113" s="2437"/>
      <c r="RZ113" s="421"/>
      <c r="SA113" s="2438"/>
      <c r="SB113" s="2439"/>
      <c r="SC113" s="2439"/>
      <c r="SD113" s="2440"/>
      <c r="SE113" s="460"/>
      <c r="SF113" s="1567"/>
      <c r="SG113" s="358"/>
      <c r="SH113" s="358"/>
      <c r="SI113" s="359"/>
      <c r="SJ113" s="114"/>
      <c r="SK113" s="1193"/>
      <c r="SL113" s="2426"/>
      <c r="SM113" s="435">
        <v>0</v>
      </c>
      <c r="SN113" s="435"/>
      <c r="SO113" s="96"/>
      <c r="SP113" s="78"/>
      <c r="SQ113" s="439"/>
      <c r="SR113" s="208"/>
      <c r="SS113" s="208"/>
      <c r="ST113" s="96"/>
      <c r="SU113" s="1581"/>
      <c r="SV113" s="2426"/>
      <c r="SW113" s="436">
        <v>48030</v>
      </c>
      <c r="SX113" s="1587">
        <v>73000</v>
      </c>
      <c r="SY113" s="371">
        <f t="shared" si="445"/>
        <v>24970</v>
      </c>
      <c r="SZ113" s="157">
        <f t="shared" si="446"/>
        <v>0.34205479452054793</v>
      </c>
      <c r="TA113" s="5116">
        <v>0</v>
      </c>
      <c r="TB113" s="436">
        <v>48030</v>
      </c>
      <c r="TC113" s="1587">
        <v>73000</v>
      </c>
      <c r="TD113" s="96">
        <f t="shared" si="280"/>
        <v>24970</v>
      </c>
      <c r="TE113" s="94">
        <f t="shared" si="295"/>
        <v>0.34205479452054793</v>
      </c>
      <c r="TF113" s="5117">
        <v>0</v>
      </c>
      <c r="TG113" s="436">
        <v>48030</v>
      </c>
      <c r="TH113" s="1587">
        <v>73000</v>
      </c>
      <c r="TI113" s="395">
        <f t="shared" si="447"/>
        <v>24970</v>
      </c>
      <c r="TJ113" s="114">
        <f t="shared" si="296"/>
        <v>0.34205479452054793</v>
      </c>
      <c r="TK113" s="209">
        <v>0</v>
      </c>
      <c r="TL113" s="208">
        <v>48030</v>
      </c>
      <c r="TM113" s="208">
        <v>73000</v>
      </c>
      <c r="TN113" s="208">
        <f t="shared" si="443"/>
        <v>24970</v>
      </c>
      <c r="TO113" s="114">
        <f t="shared" si="444"/>
        <v>0.34205479452054793</v>
      </c>
      <c r="TP113" s="4434"/>
      <c r="TQ113" s="435">
        <v>48030</v>
      </c>
      <c r="TR113" s="208">
        <v>73500</v>
      </c>
      <c r="TS113" s="994">
        <f t="shared" si="352"/>
        <v>25470</v>
      </c>
      <c r="TT113" s="114">
        <f t="shared" si="365"/>
        <v>0.34653061224489795</v>
      </c>
      <c r="TU113" s="4434"/>
      <c r="TV113" s="435">
        <v>48030</v>
      </c>
      <c r="TW113" s="208">
        <v>73500</v>
      </c>
      <c r="TX113" s="994">
        <f t="shared" si="449"/>
        <v>25470</v>
      </c>
      <c r="TY113" s="116">
        <f t="shared" si="366"/>
        <v>0.34653061224489795</v>
      </c>
      <c r="TZ113" s="1318"/>
      <c r="UA113" s="435">
        <v>48030</v>
      </c>
      <c r="UB113" s="208">
        <v>73500</v>
      </c>
      <c r="UC113" s="994">
        <f>UB113-UA113</f>
        <v>25470</v>
      </c>
      <c r="UD113" s="116">
        <f>UC113/UB113</f>
        <v>0.34653061224489795</v>
      </c>
      <c r="UE113" s="1868"/>
      <c r="UF113" s="1575">
        <v>48030</v>
      </c>
      <c r="UG113" s="1575">
        <v>73500</v>
      </c>
      <c r="UH113" s="1575">
        <f t="shared" si="322"/>
        <v>25470</v>
      </c>
      <c r="UI113" s="6495">
        <f t="shared" si="367"/>
        <v>0.34653061224489795</v>
      </c>
      <c r="UJ113" s="156"/>
      <c r="UK113" s="208"/>
      <c r="UL113" s="208"/>
      <c r="UM113" s="208"/>
      <c r="UN113" s="114"/>
      <c r="UO113" s="1567"/>
      <c r="UP113" s="1568"/>
      <c r="UQ113" s="1568"/>
      <c r="UR113" s="1873"/>
      <c r="US113" s="2050"/>
      <c r="UT113" s="1567"/>
      <c r="UU113" s="358">
        <f t="shared" si="371"/>
        <v>384240</v>
      </c>
      <c r="UV113" s="358">
        <f t="shared" si="371"/>
        <v>586000</v>
      </c>
      <c r="UW113" s="358">
        <f t="shared" si="371"/>
        <v>201760</v>
      </c>
      <c r="UX113" s="220">
        <f t="shared" si="358"/>
        <v>0.34430034129692833</v>
      </c>
      <c r="UY113" s="4441">
        <f t="shared" si="324"/>
        <v>0</v>
      </c>
      <c r="UZ113" s="4442">
        <f t="shared" si="424"/>
        <v>48030</v>
      </c>
      <c r="VA113" s="4442">
        <f t="shared" si="424"/>
        <v>73000</v>
      </c>
      <c r="VB113" s="4442">
        <f t="shared" si="424"/>
        <v>24970</v>
      </c>
      <c r="VC113" s="4443">
        <f t="shared" si="325"/>
        <v>0.34205479452054793</v>
      </c>
      <c r="VD113" s="4440"/>
      <c r="VE113" s="4438">
        <f t="shared" si="423"/>
        <v>144090</v>
      </c>
      <c r="VF113" s="4438">
        <f t="shared" si="423"/>
        <v>219000</v>
      </c>
      <c r="VG113" s="4444">
        <f t="shared" si="423"/>
        <v>74910</v>
      </c>
      <c r="VH113" s="4445">
        <f t="shared" si="372"/>
        <v>0.34205479452054793</v>
      </c>
      <c r="VI113" s="4446"/>
      <c r="VJ113" s="146">
        <f t="shared" si="373"/>
        <v>144090</v>
      </c>
      <c r="VK113" s="146">
        <f t="shared" si="373"/>
        <v>220500</v>
      </c>
      <c r="VL113" s="1864">
        <f t="shared" si="373"/>
        <v>76410</v>
      </c>
      <c r="VM113" s="4459"/>
      <c r="VN113" s="4449"/>
      <c r="VO113" s="4438"/>
      <c r="VP113" s="4438"/>
      <c r="VQ113" s="4444"/>
      <c r="VR113" s="4448"/>
      <c r="VS113" s="4451"/>
      <c r="VT113" s="4451"/>
      <c r="VU113" s="4451"/>
      <c r="VV113" s="4451"/>
      <c r="VW113" s="4451"/>
      <c r="VX113" s="4451"/>
      <c r="VY113" s="4451"/>
      <c r="VZ113" s="4451"/>
      <c r="WA113" s="4451"/>
      <c r="WB113" s="4451"/>
      <c r="WC113" s="4451"/>
      <c r="WD113" s="4451"/>
      <c r="WE113" s="4451"/>
      <c r="WF113" s="4451"/>
      <c r="WG113" s="4451"/>
      <c r="WH113" s="4451"/>
      <c r="WI113" s="4451"/>
      <c r="WJ113" s="4451"/>
      <c r="WK113" s="4451"/>
      <c r="WL113" s="4451"/>
      <c r="WM113" s="4451"/>
      <c r="WN113" s="4451"/>
      <c r="WO113" s="4451"/>
      <c r="WP113" s="4451"/>
      <c r="WQ113" s="4451"/>
      <c r="WR113" s="4451"/>
      <c r="WS113" s="4451"/>
      <c r="WT113" s="4451"/>
      <c r="WU113" s="4451"/>
      <c r="WV113" s="4451"/>
      <c r="WW113" s="4451"/>
      <c r="WX113" s="4451"/>
      <c r="WY113" s="4451"/>
      <c r="WZ113" s="4451"/>
      <c r="XA113" s="4451"/>
      <c r="XB113" s="4451"/>
      <c r="XC113" s="4451"/>
      <c r="XD113" s="4451"/>
      <c r="XE113" s="4451"/>
      <c r="XF113" s="4451"/>
      <c r="XG113" s="4451"/>
      <c r="XH113" s="4451"/>
      <c r="XI113" s="4451"/>
      <c r="XJ113" s="4451"/>
      <c r="XK113" s="4451"/>
      <c r="XL113" s="4451"/>
      <c r="XM113" s="4451"/>
      <c r="XN113" s="4451"/>
      <c r="XO113" s="4451"/>
      <c r="XP113" s="4451"/>
      <c r="XQ113" s="4451"/>
      <c r="XR113" s="4451"/>
      <c r="XS113" s="4451"/>
      <c r="XT113" s="4451"/>
      <c r="XU113" s="4451"/>
      <c r="XV113" s="4451"/>
      <c r="XW113" s="4451"/>
      <c r="XX113" s="4451"/>
      <c r="XY113" s="4451"/>
      <c r="XZ113" s="4451"/>
      <c r="YA113" s="4451"/>
      <c r="YB113" s="4451"/>
      <c r="YC113" s="4451"/>
      <c r="YD113" s="4451"/>
      <c r="YE113" s="4451"/>
      <c r="YF113" s="4451"/>
      <c r="YG113" s="4451"/>
      <c r="YH113" s="4451"/>
      <c r="YI113" s="4451"/>
      <c r="YJ113" s="4451"/>
      <c r="YK113" s="4451"/>
      <c r="YL113" s="4451"/>
      <c r="YM113" s="4451"/>
      <c r="YN113" s="4451"/>
      <c r="YO113" s="4451"/>
      <c r="YP113" s="4451"/>
      <c r="YQ113" s="4451"/>
      <c r="YR113" s="4451"/>
      <c r="YS113" s="4451"/>
      <c r="YT113" s="4451"/>
      <c r="YU113" s="4451"/>
      <c r="YV113" s="4451"/>
      <c r="YW113" s="4451"/>
      <c r="YX113" s="4451"/>
      <c r="YY113" s="4451"/>
      <c r="YZ113" s="4451"/>
      <c r="ZA113" s="4451"/>
      <c r="ZB113" s="4451"/>
      <c r="ZC113" s="4451"/>
      <c r="ZD113" s="4451"/>
      <c r="ZE113" s="4451"/>
      <c r="ZF113" s="4451"/>
      <c r="ZG113" s="4451"/>
      <c r="ZH113" s="4451"/>
      <c r="ZI113" s="4451"/>
      <c r="ZJ113" s="4451"/>
      <c r="ZK113" s="4451"/>
      <c r="ZL113" s="4451"/>
      <c r="ZM113" s="4451"/>
      <c r="ZN113" s="4451"/>
      <c r="ZO113" s="4451"/>
      <c r="ZP113" s="4451"/>
      <c r="ZQ113" s="4451"/>
      <c r="ZR113" s="4451"/>
      <c r="ZS113" s="4451"/>
      <c r="ZT113" s="4451"/>
      <c r="ZU113" s="4451"/>
      <c r="ZV113" s="4451"/>
      <c r="ZW113" s="4451"/>
      <c r="ZX113" s="4451"/>
      <c r="ZY113" s="4451"/>
      <c r="ZZ113" s="4451"/>
      <c r="AAA113" s="4451"/>
      <c r="AAB113" s="4451"/>
      <c r="AAC113" s="4451"/>
      <c r="AAD113" s="4451"/>
      <c r="AAE113" s="4451"/>
      <c r="AAF113" s="4451"/>
      <c r="AAG113" s="4451"/>
      <c r="AAH113" s="4451"/>
      <c r="AAI113" s="4451"/>
      <c r="AAJ113" s="4451"/>
      <c r="AAK113" s="4451"/>
      <c r="AAL113" s="4451"/>
      <c r="AAM113" s="4451"/>
      <c r="AAN113" s="4451"/>
      <c r="AAO113" s="4451"/>
      <c r="AAP113" s="4451"/>
      <c r="AAQ113" s="4451"/>
      <c r="AAR113" s="4451"/>
      <c r="AAS113" s="4451"/>
      <c r="AAT113" s="4451"/>
      <c r="AAU113" s="4451"/>
      <c r="AAV113" s="4451"/>
      <c r="AAW113" s="4451"/>
      <c r="AAX113" s="4451"/>
      <c r="AAY113" s="4451"/>
      <c r="AAZ113" s="4451"/>
      <c r="ABA113" s="4451"/>
      <c r="ABB113" s="4451"/>
      <c r="ABC113" s="4451"/>
      <c r="ABD113" s="4451"/>
      <c r="ABE113" s="4451"/>
      <c r="ABF113" s="4451"/>
      <c r="ABG113" s="4451"/>
      <c r="ABH113" s="4451"/>
      <c r="ABI113" s="4451"/>
      <c r="ABJ113" s="4451"/>
      <c r="ABK113" s="4451"/>
      <c r="ABL113" s="4451"/>
      <c r="ABM113" s="4451"/>
      <c r="ABN113" s="4451"/>
      <c r="ABO113" s="4451"/>
      <c r="ABP113" s="4451"/>
      <c r="ABQ113" s="4451"/>
    </row>
    <row r="114" spans="1:745" s="4458" customFormat="1" ht="13.6" customHeight="1" x14ac:dyDescent="0.3">
      <c r="A114" s="4457"/>
      <c r="B114" s="1773" t="s">
        <v>53</v>
      </c>
      <c r="C114" s="5112" t="s">
        <v>1060</v>
      </c>
      <c r="D114" s="5113" t="s">
        <v>1029</v>
      </c>
      <c r="E114" s="1993"/>
      <c r="F114" s="1993"/>
      <c r="G114" s="2161">
        <v>81900</v>
      </c>
      <c r="H114" s="2031"/>
      <c r="I114" s="1914"/>
      <c r="J114" s="1914"/>
      <c r="K114" s="1914"/>
      <c r="L114" s="593"/>
      <c r="M114" s="2031"/>
      <c r="N114" s="1914"/>
      <c r="O114" s="1914"/>
      <c r="P114" s="1914"/>
      <c r="Q114" s="593"/>
      <c r="R114" s="2031"/>
      <c r="S114" s="1914"/>
      <c r="T114" s="1914"/>
      <c r="U114" s="1914"/>
      <c r="V114" s="593"/>
      <c r="W114" s="2031"/>
      <c r="X114" s="1914"/>
      <c r="Y114" s="1914"/>
      <c r="Z114" s="1914"/>
      <c r="AA114" s="2032"/>
      <c r="AB114" s="2031"/>
      <c r="AC114" s="1914"/>
      <c r="AD114" s="1914"/>
      <c r="AE114" s="1914"/>
      <c r="AF114" s="2032"/>
      <c r="AG114" s="1914"/>
      <c r="AH114" s="1914"/>
      <c r="AI114" s="1914"/>
      <c r="AJ114" s="1914"/>
      <c r="AK114" s="593"/>
      <c r="AL114" s="1914"/>
      <c r="AM114" s="1914"/>
      <c r="AN114" s="1914"/>
      <c r="AO114" s="1914"/>
      <c r="AP114" s="593"/>
      <c r="AQ114" s="1914"/>
      <c r="AR114" s="1914"/>
      <c r="AS114" s="1914"/>
      <c r="AT114" s="1914"/>
      <c r="AU114" s="593"/>
      <c r="AV114" s="2033"/>
      <c r="AW114" s="1914"/>
      <c r="AX114" s="1914"/>
      <c r="AY114" s="1914"/>
      <c r="AZ114" s="2032"/>
      <c r="BA114" s="2033"/>
      <c r="BB114" s="1914"/>
      <c r="BC114" s="1914"/>
      <c r="BD114" s="1914"/>
      <c r="BE114" s="2032"/>
      <c r="BF114" s="2033"/>
      <c r="BG114" s="1914"/>
      <c r="BH114" s="1914"/>
      <c r="BI114" s="1914"/>
      <c r="BJ114" s="2032"/>
      <c r="BK114" s="2033"/>
      <c r="BL114" s="1914"/>
      <c r="BM114" s="1914"/>
      <c r="BN114" s="1914"/>
      <c r="BO114" s="2032"/>
      <c r="BP114" s="2034"/>
      <c r="BQ114" s="1914"/>
      <c r="BR114" s="1914"/>
      <c r="BS114" s="1914"/>
      <c r="BT114" s="2035"/>
      <c r="BU114" s="1914"/>
      <c r="BV114" s="1914"/>
      <c r="BW114" s="2036"/>
      <c r="BX114" s="2035"/>
      <c r="BY114" s="1914"/>
      <c r="BZ114" s="1914"/>
      <c r="CA114" s="2010"/>
      <c r="CB114" s="1914"/>
      <c r="CC114" s="1914"/>
      <c r="CD114" s="1914"/>
      <c r="CE114" s="1914"/>
      <c r="CF114" s="2035"/>
      <c r="CG114" s="1914"/>
      <c r="CH114" s="1914"/>
      <c r="CI114" s="2010"/>
      <c r="CJ114" s="2037"/>
      <c r="CK114" s="1914"/>
      <c r="CL114" s="1914"/>
      <c r="CM114" s="1914"/>
      <c r="CN114" s="2036"/>
      <c r="CO114" s="2037"/>
      <c r="CP114" s="2031"/>
      <c r="CQ114" s="2031"/>
      <c r="CR114" s="2031"/>
      <c r="CS114" s="2036"/>
      <c r="CT114" s="2037"/>
      <c r="CU114" s="1914"/>
      <c r="CV114" s="1914"/>
      <c r="CW114" s="1914"/>
      <c r="CX114" s="2036"/>
      <c r="CY114" s="2037"/>
      <c r="CZ114" s="1914"/>
      <c r="DA114" s="1914"/>
      <c r="DB114" s="1914"/>
      <c r="DC114" s="2036"/>
      <c r="DD114" s="2037"/>
      <c r="DE114" s="1914"/>
      <c r="DF114" s="1914"/>
      <c r="DG114" s="1914"/>
      <c r="DH114" s="2038"/>
      <c r="DI114" s="2037"/>
      <c r="DJ114" s="1914"/>
      <c r="DK114" s="1914"/>
      <c r="DL114" s="1914"/>
      <c r="DM114" s="2038"/>
      <c r="DN114" s="2037"/>
      <c r="DO114" s="1914"/>
      <c r="DP114" s="1914"/>
      <c r="DQ114" s="1914"/>
      <c r="DR114" s="2038"/>
      <c r="DS114" s="2037"/>
      <c r="DT114" s="1914"/>
      <c r="DU114" s="1914"/>
      <c r="DV114" s="1914"/>
      <c r="DW114" s="2038"/>
      <c r="DX114" s="2037"/>
      <c r="DY114" s="1914"/>
      <c r="DZ114" s="1914"/>
      <c r="EA114" s="1914"/>
      <c r="EB114" s="2038"/>
      <c r="EC114" s="2037"/>
      <c r="ED114" s="1914"/>
      <c r="EE114" s="1914"/>
      <c r="EF114" s="1914"/>
      <c r="EG114" s="2038"/>
      <c r="EH114" s="2037"/>
      <c r="EI114" s="1914"/>
      <c r="EJ114" s="1914"/>
      <c r="EK114" s="1914"/>
      <c r="EL114" s="2038"/>
      <c r="EM114" s="1910"/>
      <c r="EN114" s="715"/>
      <c r="EO114" s="715"/>
      <c r="EP114" s="715"/>
      <c r="EQ114" s="366"/>
      <c r="ER114" s="2402"/>
      <c r="ES114" s="2403"/>
      <c r="ET114" s="2403"/>
      <c r="EU114" s="2403"/>
      <c r="EV114" s="2404"/>
      <c r="EW114" s="2031"/>
      <c r="EX114" s="2031"/>
      <c r="EY114" s="2031"/>
      <c r="EZ114" s="593"/>
      <c r="FA114" s="2037"/>
      <c r="FB114" s="2031"/>
      <c r="FC114" s="2031"/>
      <c r="FD114" s="2036"/>
      <c r="FE114" s="2031"/>
      <c r="FF114" s="2031"/>
      <c r="FG114" s="2031"/>
      <c r="FH114" s="593"/>
      <c r="FI114" s="2039"/>
      <c r="FJ114" s="2040"/>
      <c r="FK114" s="2041"/>
      <c r="FL114" s="2041"/>
      <c r="FM114" s="693"/>
      <c r="FN114" s="2031"/>
      <c r="FO114" s="1914"/>
      <c r="FP114" s="1914"/>
      <c r="FQ114" s="1914"/>
      <c r="FR114" s="2032"/>
      <c r="FS114" s="1910"/>
      <c r="FT114" s="715"/>
      <c r="FU114" s="715"/>
      <c r="FV114" s="715"/>
      <c r="FW114" s="366"/>
      <c r="FX114" s="2037"/>
      <c r="FY114" s="1914"/>
      <c r="FZ114" s="1914"/>
      <c r="GA114" s="715"/>
      <c r="GB114" s="366"/>
      <c r="GC114" s="2110"/>
      <c r="GD114" s="2111"/>
      <c r="GE114" s="2111"/>
      <c r="GF114" s="715"/>
      <c r="GG114" s="366"/>
      <c r="GH114" s="2042"/>
      <c r="GI114" s="2043"/>
      <c r="GJ114" s="2043"/>
      <c r="GK114" s="715"/>
      <c r="GL114" s="366"/>
      <c r="GM114" s="2042"/>
      <c r="GN114" s="2043"/>
      <c r="GO114" s="2043"/>
      <c r="GP114" s="715"/>
      <c r="GQ114" s="366"/>
      <c r="GR114" s="2042"/>
      <c r="GS114" s="2043"/>
      <c r="GT114" s="2043"/>
      <c r="GU114" s="715"/>
      <c r="GV114" s="366"/>
      <c r="GW114" s="2042"/>
      <c r="GX114" s="2043"/>
      <c r="GY114" s="2043"/>
      <c r="GZ114" s="715"/>
      <c r="HA114" s="366"/>
      <c r="HB114" s="2042"/>
      <c r="HC114" s="2043"/>
      <c r="HD114" s="2043"/>
      <c r="HE114" s="715"/>
      <c r="HF114" s="366"/>
      <c r="HG114" s="2042"/>
      <c r="HH114" s="2043"/>
      <c r="HI114" s="2043"/>
      <c r="HJ114" s="2113"/>
      <c r="HK114" s="366"/>
      <c r="HL114" s="2042"/>
      <c r="HM114" s="2043"/>
      <c r="HN114" s="2043"/>
      <c r="HO114" s="715"/>
      <c r="HP114" s="366"/>
      <c r="HQ114" s="2114"/>
      <c r="HR114" s="1904"/>
      <c r="HS114" s="1904"/>
      <c r="HT114" s="1904"/>
      <c r="HU114" s="2115"/>
      <c r="HV114" s="2405"/>
      <c r="HW114" s="2406"/>
      <c r="HX114" s="2406"/>
      <c r="HY114" s="2406"/>
      <c r="HZ114" s="1906"/>
      <c r="IA114" s="1907"/>
      <c r="IB114" s="1908"/>
      <c r="IC114" s="1908"/>
      <c r="ID114" s="1909"/>
      <c r="IE114" s="1910"/>
      <c r="IF114" s="1911"/>
      <c r="IG114" s="1912"/>
      <c r="IH114" s="1909"/>
      <c r="II114" s="1907"/>
      <c r="IJ114" s="2116"/>
      <c r="IK114" s="2116"/>
      <c r="IL114" s="693"/>
      <c r="IM114" s="2117"/>
      <c r="IN114" s="2116"/>
      <c r="IO114" s="2116"/>
      <c r="IP114" s="1838"/>
      <c r="IQ114" s="1914"/>
      <c r="IR114" s="2044"/>
      <c r="IS114" s="715"/>
      <c r="IT114" s="715"/>
      <c r="IU114" s="2131"/>
      <c r="IV114" s="2045"/>
      <c r="IW114" s="1910"/>
      <c r="IX114" s="715"/>
      <c r="IY114" s="715"/>
      <c r="IZ114" s="2113"/>
      <c r="JA114" s="2132"/>
      <c r="JB114" s="2407"/>
      <c r="JC114" s="2408"/>
      <c r="JD114" s="2409"/>
      <c r="JE114" s="2113"/>
      <c r="JF114" s="2132"/>
      <c r="JG114" s="2410"/>
      <c r="JH114" s="2043"/>
      <c r="JI114" s="2043"/>
      <c r="JJ114" s="2411"/>
      <c r="JK114" s="2132"/>
      <c r="JL114" s="2129"/>
      <c r="JM114" s="2043"/>
      <c r="JN114" s="2043"/>
      <c r="JO114" s="715"/>
      <c r="JP114" s="2132"/>
      <c r="JQ114" s="2129"/>
      <c r="JR114" s="2130"/>
      <c r="JS114" s="1904"/>
      <c r="JT114" s="2131"/>
      <c r="JU114" s="2132"/>
      <c r="JV114" s="2410"/>
      <c r="JW114" s="2043"/>
      <c r="JX114" s="1904"/>
      <c r="JY114" s="715"/>
      <c r="JZ114" s="2132"/>
      <c r="KA114" s="2410"/>
      <c r="KB114" s="1904"/>
      <c r="KC114" s="2130"/>
      <c r="KD114" s="2414"/>
      <c r="KE114" s="2415"/>
      <c r="KF114" s="2410"/>
      <c r="KG114" s="1904"/>
      <c r="KH114" s="2043"/>
      <c r="KI114" s="2113"/>
      <c r="KJ114" s="2132"/>
      <c r="KK114" s="2410"/>
      <c r="KL114" s="1904"/>
      <c r="KM114" s="2043"/>
      <c r="KN114" s="2416"/>
      <c r="KO114" s="2417"/>
      <c r="KP114" s="2136"/>
      <c r="KQ114" s="2130"/>
      <c r="KR114" s="1904"/>
      <c r="KS114" s="2131"/>
      <c r="KT114" s="2137"/>
      <c r="KU114" s="2114"/>
      <c r="KV114" s="1904"/>
      <c r="KW114" s="1904"/>
      <c r="KX114" s="1904"/>
      <c r="KY114" s="2418"/>
      <c r="KZ114" s="1832"/>
      <c r="LA114" s="622"/>
      <c r="LB114" s="622"/>
      <c r="LC114" s="622"/>
      <c r="LD114" s="239"/>
      <c r="LE114" s="2419"/>
      <c r="LF114" s="2420"/>
      <c r="LG114" s="2420"/>
      <c r="LH114" s="2421"/>
      <c r="LI114" s="2422"/>
      <c r="LJ114" s="2423"/>
      <c r="LK114" s="2419"/>
      <c r="LL114" s="2421"/>
      <c r="LM114" s="1907"/>
      <c r="LN114" s="2116"/>
      <c r="LO114" s="2116"/>
      <c r="LP114" s="2013"/>
      <c r="LQ114" s="2424"/>
      <c r="LR114" s="2116"/>
      <c r="LS114" s="2116"/>
      <c r="LT114" s="1838"/>
      <c r="LU114" s="2425"/>
      <c r="LV114" s="2426"/>
      <c r="LW114" s="436"/>
      <c r="LX114" s="436"/>
      <c r="LY114" s="2427"/>
      <c r="LZ114" s="1588"/>
      <c r="MA114" s="2422"/>
      <c r="MB114" s="1587"/>
      <c r="MC114" s="1587"/>
      <c r="MD114" s="2148"/>
      <c r="ME114" s="2149"/>
      <c r="MF114" s="406"/>
      <c r="MG114" s="2428"/>
      <c r="MH114" s="5114"/>
      <c r="MI114" s="2148"/>
      <c r="MJ114" s="2149"/>
      <c r="MK114" s="2429"/>
      <c r="ML114" s="436"/>
      <c r="MM114" s="1587"/>
      <c r="MN114" s="2148"/>
      <c r="MO114" s="2149"/>
      <c r="MP114" s="2153"/>
      <c r="MQ114" s="1904"/>
      <c r="MR114" s="1904"/>
      <c r="MS114" s="1904"/>
      <c r="MT114" s="787"/>
      <c r="MU114" s="1318"/>
      <c r="MV114" s="395"/>
      <c r="MW114" s="395"/>
      <c r="MX114" s="395"/>
      <c r="MY114" s="655"/>
      <c r="MZ114" s="1318"/>
      <c r="NA114" s="395"/>
      <c r="NB114" s="395"/>
      <c r="NC114" s="395"/>
      <c r="ND114" s="801"/>
      <c r="NE114" s="1318"/>
      <c r="NF114" s="395"/>
      <c r="NG114" s="395"/>
      <c r="NH114" s="395"/>
      <c r="NI114" s="801"/>
      <c r="NJ114" s="1318"/>
      <c r="NK114" s="395"/>
      <c r="NL114" s="395"/>
      <c r="NM114" s="395"/>
      <c r="NN114" s="801"/>
      <c r="NO114" s="2432"/>
      <c r="NP114" s="622"/>
      <c r="NQ114" s="2437"/>
      <c r="NR114" s="395"/>
      <c r="NS114" s="801"/>
      <c r="NT114" s="2432"/>
      <c r="NU114" s="622"/>
      <c r="NV114" s="622"/>
      <c r="NW114" s="395"/>
      <c r="NX114" s="801"/>
      <c r="NY114" s="2432"/>
      <c r="NZ114" s="622"/>
      <c r="OA114" s="622"/>
      <c r="OB114" s="622"/>
      <c r="OC114" s="116"/>
      <c r="OD114" s="2433"/>
      <c r="OE114" s="622"/>
      <c r="OF114" s="622"/>
      <c r="OG114" s="622"/>
      <c r="OH114" s="1576"/>
      <c r="OI114" s="2435"/>
      <c r="OJ114" s="2436"/>
      <c r="OK114" s="2436"/>
      <c r="OL114" s="2436"/>
      <c r="OM114" s="1439"/>
      <c r="ON114" s="622"/>
      <c r="OO114" s="622"/>
      <c r="OP114" s="622"/>
      <c r="OQ114" s="2437"/>
      <c r="OR114" s="421"/>
      <c r="OS114" s="2438"/>
      <c r="OT114" s="2439"/>
      <c r="OU114" s="2439"/>
      <c r="OV114" s="2440"/>
      <c r="OW114" s="460"/>
      <c r="OX114" s="2432"/>
      <c r="OY114" s="622"/>
      <c r="OZ114" s="622"/>
      <c r="PA114" s="2437"/>
      <c r="PB114" s="116"/>
      <c r="PC114" s="2441"/>
      <c r="PD114" s="2426"/>
      <c r="PE114" s="436"/>
      <c r="PF114" s="436"/>
      <c r="PG114" s="115"/>
      <c r="PH114" s="1588"/>
      <c r="PI114" s="401"/>
      <c r="PJ114" s="395"/>
      <c r="PK114" s="395"/>
      <c r="PL114" s="115"/>
      <c r="PM114" s="186"/>
      <c r="PN114" s="2426"/>
      <c r="PO114" s="436"/>
      <c r="PP114" s="1587"/>
      <c r="PQ114" s="2148"/>
      <c r="PR114" s="2149"/>
      <c r="PS114" s="2429"/>
      <c r="PT114" s="436"/>
      <c r="PU114" s="1587"/>
      <c r="PV114" s="2148"/>
      <c r="PW114" s="207"/>
      <c r="PX114" s="2153"/>
      <c r="PY114" s="1904"/>
      <c r="PZ114" s="1904"/>
      <c r="QA114" s="1904"/>
      <c r="QB114" s="787"/>
      <c r="QC114" s="1318"/>
      <c r="QD114" s="395"/>
      <c r="QE114" s="395"/>
      <c r="QF114" s="395"/>
      <c r="QG114" s="655"/>
      <c r="QH114" s="401"/>
      <c r="QI114" s="395"/>
      <c r="QJ114" s="395"/>
      <c r="QK114" s="395"/>
      <c r="QL114" s="801"/>
      <c r="QM114" s="401"/>
      <c r="QN114" s="395"/>
      <c r="QO114" s="395"/>
      <c r="QP114" s="395"/>
      <c r="QQ114" s="801"/>
      <c r="QR114" s="1318"/>
      <c r="QS114" s="395"/>
      <c r="QT114" s="395"/>
      <c r="QU114" s="395"/>
      <c r="QV114" s="207"/>
      <c r="QW114" s="2002"/>
      <c r="QX114" s="2001"/>
      <c r="QY114" s="2001"/>
      <c r="QZ114" s="2001"/>
      <c r="RA114" s="370"/>
      <c r="RB114" s="156"/>
      <c r="RC114" s="208"/>
      <c r="RD114" s="208"/>
      <c r="RE114" s="208"/>
      <c r="RF114" s="114"/>
      <c r="RG114" s="1857"/>
      <c r="RH114" s="208"/>
      <c r="RI114" s="208"/>
      <c r="RJ114" s="772"/>
      <c r="RK114" s="2050"/>
      <c r="RL114" s="1567"/>
      <c r="RM114" s="1568">
        <f t="shared" si="426"/>
        <v>0</v>
      </c>
      <c r="RN114" s="1568">
        <f t="shared" si="426"/>
        <v>0</v>
      </c>
      <c r="RO114" s="1568">
        <f t="shared" si="426"/>
        <v>0</v>
      </c>
      <c r="RP114" s="220"/>
      <c r="RQ114" s="2435"/>
      <c r="RR114" s="2436"/>
      <c r="RS114" s="2436"/>
      <c r="RT114" s="2436"/>
      <c r="RU114" s="1439"/>
      <c r="RV114" s="622"/>
      <c r="RW114" s="622"/>
      <c r="RX114" s="622"/>
      <c r="RY114" s="2437"/>
      <c r="RZ114" s="421"/>
      <c r="SA114" s="2438"/>
      <c r="SB114" s="2439"/>
      <c r="SC114" s="2439"/>
      <c r="SD114" s="2440"/>
      <c r="SE114" s="460"/>
      <c r="SF114" s="1567"/>
      <c r="SG114" s="358"/>
      <c r="SH114" s="358"/>
      <c r="SI114" s="359"/>
      <c r="SJ114" s="114"/>
      <c r="SK114" s="1193"/>
      <c r="SL114" s="2426"/>
      <c r="SM114" s="435"/>
      <c r="SN114" s="1585"/>
      <c r="SO114" s="96"/>
      <c r="SP114" s="78"/>
      <c r="SQ114" s="439"/>
      <c r="SR114" s="435"/>
      <c r="SS114" s="1585"/>
      <c r="ST114" s="96"/>
      <c r="SU114" s="1581"/>
      <c r="SV114" s="2426"/>
      <c r="SW114" s="436"/>
      <c r="SX114" s="1587"/>
      <c r="SY114" s="371"/>
      <c r="SZ114" s="157"/>
      <c r="TA114" s="5116"/>
      <c r="TB114" s="1587"/>
      <c r="TC114" s="1587"/>
      <c r="TD114" s="96"/>
      <c r="TE114" s="94"/>
      <c r="TF114" s="5117"/>
      <c r="TG114" s="1587"/>
      <c r="TH114" s="1587"/>
      <c r="TI114" s="395"/>
      <c r="TJ114" s="114"/>
      <c r="TK114" s="209"/>
      <c r="TL114" s="208"/>
      <c r="TM114" s="208"/>
      <c r="TN114" s="208"/>
      <c r="TO114" s="114"/>
      <c r="TP114" s="4434"/>
      <c r="TQ114" s="435"/>
      <c r="TR114" s="208"/>
      <c r="TS114" s="994"/>
      <c r="TT114" s="114"/>
      <c r="TU114" s="4434"/>
      <c r="TV114" s="436">
        <f>TW114</f>
        <v>81900</v>
      </c>
      <c r="TW114" s="395">
        <v>81900</v>
      </c>
      <c r="TX114" s="772">
        <f t="shared" si="449"/>
        <v>0</v>
      </c>
      <c r="TY114" s="2050">
        <v>0</v>
      </c>
      <c r="TZ114" s="1318"/>
      <c r="UA114" s="395">
        <f>UB114</f>
        <v>81900</v>
      </c>
      <c r="UB114" s="395">
        <v>81900</v>
      </c>
      <c r="UC114" s="772">
        <v>0</v>
      </c>
      <c r="UD114" s="2050">
        <v>0</v>
      </c>
      <c r="UE114" s="1868"/>
      <c r="UF114" s="1575">
        <v>81900</v>
      </c>
      <c r="UG114" s="1575">
        <v>81900</v>
      </c>
      <c r="UH114" s="1575">
        <f t="shared" si="322"/>
        <v>0</v>
      </c>
      <c r="UI114" s="6499">
        <f t="shared" si="367"/>
        <v>0</v>
      </c>
      <c r="UJ114" s="156"/>
      <c r="UK114" s="208"/>
      <c r="UL114" s="208"/>
      <c r="UM114" s="208"/>
      <c r="UN114" s="114"/>
      <c r="UO114" s="1567"/>
      <c r="UP114" s="1568"/>
      <c r="UQ114" s="1568"/>
      <c r="UR114" s="1873"/>
      <c r="US114" s="2050"/>
      <c r="UT114" s="1567"/>
      <c r="UU114" s="358">
        <f t="shared" si="371"/>
        <v>245700</v>
      </c>
      <c r="UV114" s="358">
        <f t="shared" si="371"/>
        <v>245700</v>
      </c>
      <c r="UW114" s="358">
        <f t="shared" si="371"/>
        <v>0</v>
      </c>
      <c r="UX114" s="220"/>
      <c r="UY114" s="4441"/>
      <c r="UZ114" s="4442"/>
      <c r="VA114" s="4442"/>
      <c r="VB114" s="4442"/>
      <c r="VC114" s="4443"/>
      <c r="VD114" s="4440"/>
      <c r="VE114" s="4438"/>
      <c r="VF114" s="4438"/>
      <c r="VG114" s="4444"/>
      <c r="VH114" s="4445"/>
      <c r="VI114" s="4446"/>
      <c r="VJ114" s="146"/>
      <c r="VK114" s="146"/>
      <c r="VL114" s="1864"/>
      <c r="VM114" s="4459"/>
      <c r="VN114" s="4449"/>
      <c r="VO114" s="4438"/>
      <c r="VP114" s="4438"/>
      <c r="VQ114" s="4444"/>
      <c r="VR114" s="4448"/>
      <c r="VS114" s="4451"/>
      <c r="VT114" s="4451"/>
      <c r="VU114" s="4451"/>
      <c r="VV114" s="4451"/>
      <c r="VW114" s="4451"/>
      <c r="VX114" s="4451"/>
      <c r="VY114" s="4451"/>
      <c r="VZ114" s="4451"/>
      <c r="WA114" s="4451"/>
      <c r="WB114" s="4451"/>
      <c r="WC114" s="4451"/>
      <c r="WD114" s="4451"/>
      <c r="WE114" s="4451"/>
      <c r="WF114" s="4451"/>
      <c r="WG114" s="4451"/>
      <c r="WH114" s="4451"/>
      <c r="WI114" s="4451"/>
      <c r="WJ114" s="4451"/>
      <c r="WK114" s="4451"/>
      <c r="WL114" s="4451"/>
      <c r="WM114" s="4451"/>
      <c r="WN114" s="4451"/>
      <c r="WO114" s="4451"/>
      <c r="WP114" s="4451"/>
      <c r="WQ114" s="4451"/>
      <c r="WR114" s="4451"/>
      <c r="WS114" s="4451"/>
      <c r="WT114" s="4451"/>
      <c r="WU114" s="4451"/>
      <c r="WV114" s="4451"/>
      <c r="WW114" s="4451"/>
      <c r="WX114" s="4451"/>
      <c r="WY114" s="4451"/>
      <c r="WZ114" s="4451"/>
      <c r="XA114" s="4451"/>
      <c r="XB114" s="4451"/>
      <c r="XC114" s="4451"/>
      <c r="XD114" s="4451"/>
      <c r="XE114" s="4451"/>
      <c r="XF114" s="4451"/>
      <c r="XG114" s="4451"/>
      <c r="XH114" s="4451"/>
      <c r="XI114" s="4451"/>
      <c r="XJ114" s="4451"/>
      <c r="XK114" s="4451"/>
      <c r="XL114" s="4451"/>
      <c r="XM114" s="4451"/>
      <c r="XN114" s="4451"/>
      <c r="XO114" s="4451"/>
      <c r="XP114" s="4451"/>
      <c r="XQ114" s="4451"/>
      <c r="XR114" s="4451"/>
      <c r="XS114" s="4451"/>
      <c r="XT114" s="4451"/>
      <c r="XU114" s="4451"/>
      <c r="XV114" s="4451"/>
      <c r="XW114" s="4451"/>
      <c r="XX114" s="4451"/>
      <c r="XY114" s="4451"/>
      <c r="XZ114" s="4451"/>
      <c r="YA114" s="4451"/>
      <c r="YB114" s="4451"/>
      <c r="YC114" s="4451"/>
      <c r="YD114" s="4451"/>
      <c r="YE114" s="4451"/>
      <c r="YF114" s="4451"/>
      <c r="YG114" s="4451"/>
      <c r="YH114" s="4451"/>
      <c r="YI114" s="4451"/>
      <c r="YJ114" s="4451"/>
      <c r="YK114" s="4451"/>
      <c r="YL114" s="4451"/>
      <c r="YM114" s="4451"/>
      <c r="YN114" s="4451"/>
      <c r="YO114" s="4451"/>
      <c r="YP114" s="4451"/>
      <c r="YQ114" s="4451"/>
      <c r="YR114" s="4451"/>
      <c r="YS114" s="4451"/>
      <c r="YT114" s="4451"/>
      <c r="YU114" s="4451"/>
      <c r="YV114" s="4451"/>
      <c r="YW114" s="4451"/>
      <c r="YX114" s="4451"/>
      <c r="YY114" s="4451"/>
      <c r="YZ114" s="4451"/>
      <c r="ZA114" s="4451"/>
      <c r="ZB114" s="4451"/>
      <c r="ZC114" s="4451"/>
      <c r="ZD114" s="4451"/>
      <c r="ZE114" s="4451"/>
      <c r="ZF114" s="4451"/>
      <c r="ZG114" s="4451"/>
      <c r="ZH114" s="4451"/>
      <c r="ZI114" s="4451"/>
      <c r="ZJ114" s="4451"/>
      <c r="ZK114" s="4451"/>
      <c r="ZL114" s="4451"/>
      <c r="ZM114" s="4451"/>
      <c r="ZN114" s="4451"/>
      <c r="ZO114" s="4451"/>
      <c r="ZP114" s="4451"/>
      <c r="ZQ114" s="4451"/>
      <c r="ZR114" s="4451"/>
      <c r="ZS114" s="4451"/>
      <c r="ZT114" s="4451"/>
      <c r="ZU114" s="4451"/>
      <c r="ZV114" s="4451"/>
      <c r="ZW114" s="4451"/>
      <c r="ZX114" s="4451"/>
      <c r="ZY114" s="4451"/>
      <c r="ZZ114" s="4451"/>
      <c r="AAA114" s="4451"/>
      <c r="AAB114" s="4451"/>
      <c r="AAC114" s="4451"/>
      <c r="AAD114" s="4451"/>
      <c r="AAE114" s="4451"/>
      <c r="AAF114" s="4451"/>
      <c r="AAG114" s="4451"/>
      <c r="AAH114" s="4451"/>
      <c r="AAI114" s="4451"/>
      <c r="AAJ114" s="4451"/>
      <c r="AAK114" s="4451"/>
      <c r="AAL114" s="4451"/>
      <c r="AAM114" s="4451"/>
      <c r="AAN114" s="4451"/>
      <c r="AAO114" s="4451"/>
      <c r="AAP114" s="4451"/>
      <c r="AAQ114" s="4451"/>
      <c r="AAR114" s="4451"/>
      <c r="AAS114" s="4451"/>
      <c r="AAT114" s="4451"/>
      <c r="AAU114" s="4451"/>
      <c r="AAV114" s="4451"/>
      <c r="AAW114" s="4451"/>
      <c r="AAX114" s="4451"/>
      <c r="AAY114" s="4451"/>
      <c r="AAZ114" s="4451"/>
      <c r="ABA114" s="4451"/>
      <c r="ABB114" s="4451"/>
      <c r="ABC114" s="4451"/>
      <c r="ABD114" s="4451"/>
      <c r="ABE114" s="4451"/>
      <c r="ABF114" s="4451"/>
      <c r="ABG114" s="4451"/>
      <c r="ABH114" s="4451"/>
      <c r="ABI114" s="4451"/>
      <c r="ABJ114" s="4451"/>
      <c r="ABK114" s="4451"/>
      <c r="ABL114" s="4451"/>
      <c r="ABM114" s="4451"/>
      <c r="ABN114" s="4451"/>
      <c r="ABO114" s="4451"/>
      <c r="ABP114" s="4451"/>
      <c r="ABQ114" s="4451"/>
    </row>
    <row r="115" spans="1:745" s="5189" customFormat="1" ht="13.6" customHeight="1" x14ac:dyDescent="0.3">
      <c r="A115" s="5118"/>
      <c r="B115" s="1773" t="s">
        <v>53</v>
      </c>
      <c r="C115" s="5112" t="s">
        <v>1031</v>
      </c>
      <c r="D115" s="5113" t="s">
        <v>632</v>
      </c>
      <c r="E115" s="1993">
        <v>45672</v>
      </c>
      <c r="F115" s="1993">
        <v>46036</v>
      </c>
      <c r="G115" s="1994">
        <v>150000</v>
      </c>
      <c r="H115" s="5121"/>
      <c r="I115" s="5122"/>
      <c r="J115" s="5122"/>
      <c r="K115" s="5122"/>
      <c r="L115" s="5123"/>
      <c r="M115" s="5121"/>
      <c r="N115" s="5122"/>
      <c r="O115" s="5122"/>
      <c r="P115" s="5122"/>
      <c r="Q115" s="5123"/>
      <c r="R115" s="5121"/>
      <c r="S115" s="5122"/>
      <c r="T115" s="5122"/>
      <c r="U115" s="5122"/>
      <c r="V115" s="5123"/>
      <c r="W115" s="5121"/>
      <c r="X115" s="5122"/>
      <c r="Y115" s="5122"/>
      <c r="Z115" s="5122"/>
      <c r="AA115" s="5124"/>
      <c r="AB115" s="5121"/>
      <c r="AC115" s="5122"/>
      <c r="AD115" s="5122"/>
      <c r="AE115" s="5122"/>
      <c r="AF115" s="5124"/>
      <c r="AG115" s="5122"/>
      <c r="AH115" s="5122"/>
      <c r="AI115" s="5122"/>
      <c r="AJ115" s="5122"/>
      <c r="AK115" s="5123"/>
      <c r="AL115" s="5122"/>
      <c r="AM115" s="5122"/>
      <c r="AN115" s="5122"/>
      <c r="AO115" s="5122"/>
      <c r="AP115" s="5123"/>
      <c r="AQ115" s="5122"/>
      <c r="AR115" s="5122"/>
      <c r="AS115" s="5122"/>
      <c r="AT115" s="5122"/>
      <c r="AU115" s="5123"/>
      <c r="AV115" s="5125"/>
      <c r="AW115" s="5122"/>
      <c r="AX115" s="5122"/>
      <c r="AY115" s="5122"/>
      <c r="AZ115" s="5124"/>
      <c r="BA115" s="5125"/>
      <c r="BB115" s="5122"/>
      <c r="BC115" s="5122"/>
      <c r="BD115" s="5122"/>
      <c r="BE115" s="5124"/>
      <c r="BF115" s="5125"/>
      <c r="BG115" s="5122"/>
      <c r="BH115" s="5122"/>
      <c r="BI115" s="5122"/>
      <c r="BJ115" s="5124"/>
      <c r="BK115" s="5125"/>
      <c r="BL115" s="5122"/>
      <c r="BM115" s="5122"/>
      <c r="BN115" s="5122"/>
      <c r="BO115" s="5124"/>
      <c r="BP115" s="5126"/>
      <c r="BQ115" s="5122"/>
      <c r="BR115" s="5122"/>
      <c r="BS115" s="5122"/>
      <c r="BT115" s="5127"/>
      <c r="BU115" s="5122"/>
      <c r="BV115" s="5122"/>
      <c r="BW115" s="5128"/>
      <c r="BX115" s="5127"/>
      <c r="BY115" s="5122"/>
      <c r="BZ115" s="5122"/>
      <c r="CA115" s="5129"/>
      <c r="CB115" s="5122"/>
      <c r="CC115" s="5122"/>
      <c r="CD115" s="5122"/>
      <c r="CE115" s="5122"/>
      <c r="CF115" s="5127"/>
      <c r="CG115" s="5122"/>
      <c r="CH115" s="5122"/>
      <c r="CI115" s="5129"/>
      <c r="CJ115" s="5130"/>
      <c r="CK115" s="5122"/>
      <c r="CL115" s="5122"/>
      <c r="CM115" s="5122"/>
      <c r="CN115" s="5128"/>
      <c r="CO115" s="5130"/>
      <c r="CP115" s="5121"/>
      <c r="CQ115" s="5121"/>
      <c r="CR115" s="5121"/>
      <c r="CS115" s="5128"/>
      <c r="CT115" s="5130"/>
      <c r="CU115" s="5122"/>
      <c r="CV115" s="5122"/>
      <c r="CW115" s="5122"/>
      <c r="CX115" s="5128"/>
      <c r="CY115" s="5130"/>
      <c r="CZ115" s="5122"/>
      <c r="DA115" s="5122"/>
      <c r="DB115" s="5122"/>
      <c r="DC115" s="5128"/>
      <c r="DD115" s="5130"/>
      <c r="DE115" s="5122"/>
      <c r="DF115" s="5122"/>
      <c r="DG115" s="5122"/>
      <c r="DH115" s="5131"/>
      <c r="DI115" s="5130"/>
      <c r="DJ115" s="5122"/>
      <c r="DK115" s="5122"/>
      <c r="DL115" s="5122"/>
      <c r="DM115" s="5131"/>
      <c r="DN115" s="5130"/>
      <c r="DO115" s="5122"/>
      <c r="DP115" s="5122"/>
      <c r="DQ115" s="5122"/>
      <c r="DR115" s="5131"/>
      <c r="DS115" s="5130"/>
      <c r="DT115" s="5122"/>
      <c r="DU115" s="5122"/>
      <c r="DV115" s="5122"/>
      <c r="DW115" s="5131"/>
      <c r="DX115" s="5130"/>
      <c r="DY115" s="5122"/>
      <c r="DZ115" s="5122"/>
      <c r="EA115" s="5122"/>
      <c r="EB115" s="5131"/>
      <c r="EC115" s="5130"/>
      <c r="ED115" s="5122"/>
      <c r="EE115" s="5122"/>
      <c r="EF115" s="5122"/>
      <c r="EG115" s="5131"/>
      <c r="EH115" s="5130"/>
      <c r="EI115" s="5122"/>
      <c r="EJ115" s="5122"/>
      <c r="EK115" s="5122"/>
      <c r="EL115" s="5131"/>
      <c r="EM115" s="5132"/>
      <c r="EN115" s="5133"/>
      <c r="EO115" s="5133"/>
      <c r="EP115" s="5133"/>
      <c r="EQ115" s="5134"/>
      <c r="ER115" s="5135"/>
      <c r="ES115" s="5136"/>
      <c r="ET115" s="5136"/>
      <c r="EU115" s="5136"/>
      <c r="EV115" s="5137"/>
      <c r="EW115" s="5121"/>
      <c r="EX115" s="5121"/>
      <c r="EY115" s="5121"/>
      <c r="EZ115" s="5123"/>
      <c r="FA115" s="5130"/>
      <c r="FB115" s="5121"/>
      <c r="FC115" s="5121"/>
      <c r="FD115" s="5128"/>
      <c r="FE115" s="5121"/>
      <c r="FF115" s="5121"/>
      <c r="FG115" s="5121"/>
      <c r="FH115" s="5123"/>
      <c r="FI115" s="5138"/>
      <c r="FJ115" s="5139"/>
      <c r="FK115" s="5140"/>
      <c r="FL115" s="5140"/>
      <c r="FM115" s="5141"/>
      <c r="FN115" s="5121"/>
      <c r="FO115" s="5122"/>
      <c r="FP115" s="5122"/>
      <c r="FQ115" s="5122"/>
      <c r="FR115" s="5124"/>
      <c r="FS115" s="5132"/>
      <c r="FT115" s="5133"/>
      <c r="FU115" s="5133"/>
      <c r="FV115" s="5133"/>
      <c r="FW115" s="5134"/>
      <c r="FX115" s="5130"/>
      <c r="FY115" s="5122"/>
      <c r="FZ115" s="5122"/>
      <c r="GA115" s="5133"/>
      <c r="GB115" s="5134"/>
      <c r="GC115" s="5142"/>
      <c r="GD115" s="5143"/>
      <c r="GE115" s="5143"/>
      <c r="GF115" s="5133"/>
      <c r="GG115" s="5134"/>
      <c r="GH115" s="5144"/>
      <c r="GI115" s="5145"/>
      <c r="GJ115" s="5145"/>
      <c r="GK115" s="5133"/>
      <c r="GL115" s="5134"/>
      <c r="GM115" s="5144"/>
      <c r="GN115" s="5145"/>
      <c r="GO115" s="5145"/>
      <c r="GP115" s="5133"/>
      <c r="GQ115" s="5134"/>
      <c r="GR115" s="5144"/>
      <c r="GS115" s="5145"/>
      <c r="GT115" s="5145"/>
      <c r="GU115" s="5133"/>
      <c r="GV115" s="5134"/>
      <c r="GW115" s="5144"/>
      <c r="GX115" s="5145"/>
      <c r="GY115" s="5145"/>
      <c r="GZ115" s="5133"/>
      <c r="HA115" s="5134"/>
      <c r="HB115" s="5144"/>
      <c r="HC115" s="5145"/>
      <c r="HD115" s="5145"/>
      <c r="HE115" s="5133"/>
      <c r="HF115" s="5134"/>
      <c r="HG115" s="5144"/>
      <c r="HH115" s="5145"/>
      <c r="HI115" s="5145"/>
      <c r="HJ115" s="5146"/>
      <c r="HK115" s="5134"/>
      <c r="HL115" s="5144"/>
      <c r="HM115" s="5145"/>
      <c r="HN115" s="5145"/>
      <c r="HO115" s="5133"/>
      <c r="HP115" s="5134"/>
      <c r="HQ115" s="5147"/>
      <c r="HR115" s="5148"/>
      <c r="HS115" s="5148"/>
      <c r="HT115" s="5148"/>
      <c r="HU115" s="5149"/>
      <c r="HV115" s="5150"/>
      <c r="HW115" s="5151"/>
      <c r="HX115" s="5151"/>
      <c r="HY115" s="5151"/>
      <c r="HZ115" s="5152"/>
      <c r="IA115" s="5153"/>
      <c r="IB115" s="5154"/>
      <c r="IC115" s="5154"/>
      <c r="ID115" s="5155"/>
      <c r="IE115" s="5132"/>
      <c r="IF115" s="5156"/>
      <c r="IG115" s="5157"/>
      <c r="IH115" s="5155"/>
      <c r="II115" s="5153"/>
      <c r="IJ115" s="5158"/>
      <c r="IK115" s="5158"/>
      <c r="IL115" s="5141"/>
      <c r="IM115" s="5159"/>
      <c r="IN115" s="5158"/>
      <c r="IO115" s="5158"/>
      <c r="IP115" s="5160"/>
      <c r="IQ115" s="5122"/>
      <c r="IR115" s="5161"/>
      <c r="IS115" s="5133"/>
      <c r="IT115" s="5133"/>
      <c r="IU115" s="5162"/>
      <c r="IV115" s="5163"/>
      <c r="IW115" s="5132"/>
      <c r="IX115" s="5133"/>
      <c r="IY115" s="5133"/>
      <c r="IZ115" s="5146"/>
      <c r="JA115" s="5164"/>
      <c r="JB115" s="5165"/>
      <c r="JC115" s="5166"/>
      <c r="JD115" s="5167"/>
      <c r="JE115" s="5146"/>
      <c r="JF115" s="5164"/>
      <c r="JG115" s="5168"/>
      <c r="JH115" s="5145"/>
      <c r="JI115" s="5145"/>
      <c r="JJ115" s="5169"/>
      <c r="JK115" s="5164"/>
      <c r="JL115" s="5170"/>
      <c r="JM115" s="5145"/>
      <c r="JN115" s="5145"/>
      <c r="JO115" s="5133"/>
      <c r="JP115" s="5164"/>
      <c r="JQ115" s="5170"/>
      <c r="JR115" s="5171"/>
      <c r="JS115" s="5148"/>
      <c r="JT115" s="5162"/>
      <c r="JU115" s="5164"/>
      <c r="JV115" s="5168"/>
      <c r="JW115" s="5145"/>
      <c r="JX115" s="5148"/>
      <c r="JY115" s="5133"/>
      <c r="JZ115" s="5164"/>
      <c r="KA115" s="5168"/>
      <c r="KB115" s="5148"/>
      <c r="KC115" s="5171"/>
      <c r="KD115" s="5172"/>
      <c r="KE115" s="5173"/>
      <c r="KF115" s="5168"/>
      <c r="KG115" s="5148"/>
      <c r="KH115" s="5145"/>
      <c r="KI115" s="5146"/>
      <c r="KJ115" s="5164"/>
      <c r="KK115" s="5168"/>
      <c r="KL115" s="5148"/>
      <c r="KM115" s="5145"/>
      <c r="KN115" s="5174"/>
      <c r="KO115" s="5175"/>
      <c r="KP115" s="5176"/>
      <c r="KQ115" s="5171"/>
      <c r="KR115" s="5148"/>
      <c r="KS115" s="5162"/>
      <c r="KT115" s="5177"/>
      <c r="KU115" s="5147"/>
      <c r="KV115" s="5148"/>
      <c r="KW115" s="5148"/>
      <c r="KX115" s="5148"/>
      <c r="KY115" s="5178"/>
      <c r="KZ115" s="5179"/>
      <c r="LA115" s="5180"/>
      <c r="LB115" s="5180"/>
      <c r="LC115" s="5180"/>
      <c r="LD115" s="5181"/>
      <c r="LE115" s="5182"/>
      <c r="LF115" s="5183"/>
      <c r="LG115" s="5183"/>
      <c r="LH115" s="5184"/>
      <c r="LI115" s="5185"/>
      <c r="LJ115" s="5186"/>
      <c r="LK115" s="5182"/>
      <c r="LL115" s="5184"/>
      <c r="LM115" s="5153"/>
      <c r="LN115" s="5158"/>
      <c r="LO115" s="5158"/>
      <c r="LP115" s="5187"/>
      <c r="LQ115" s="5188"/>
      <c r="LR115" s="5158"/>
      <c r="LS115" s="5158"/>
      <c r="LT115" s="5160"/>
      <c r="LV115" s="5190"/>
      <c r="LW115" s="5191"/>
      <c r="LX115" s="5191"/>
      <c r="LY115" s="5192"/>
      <c r="LZ115" s="5193"/>
      <c r="MA115" s="5185"/>
      <c r="MB115" s="5194"/>
      <c r="MC115" s="5194"/>
      <c r="MD115" s="5195"/>
      <c r="ME115" s="5196"/>
      <c r="MF115" s="5197"/>
      <c r="MG115" s="5198"/>
      <c r="MH115" s="5199"/>
      <c r="MI115" s="5195"/>
      <c r="MJ115" s="5196"/>
      <c r="MK115" s="5200"/>
      <c r="ML115" s="5191"/>
      <c r="MM115" s="5194"/>
      <c r="MN115" s="5195"/>
      <c r="MO115" s="5196"/>
      <c r="MP115" s="5201"/>
      <c r="MQ115" s="5148"/>
      <c r="MR115" s="5148"/>
      <c r="MS115" s="5148"/>
      <c r="MT115" s="5202"/>
      <c r="MU115" s="5203"/>
      <c r="MV115" s="4460"/>
      <c r="MW115" s="4460"/>
      <c r="MX115" s="4460"/>
      <c r="MY115" s="5204"/>
      <c r="MZ115" s="5203"/>
      <c r="NA115" s="4460"/>
      <c r="NB115" s="4460"/>
      <c r="NC115" s="4460"/>
      <c r="ND115" s="5205"/>
      <c r="NE115" s="5203"/>
      <c r="NF115" s="4460"/>
      <c r="NG115" s="4460"/>
      <c r="NH115" s="4460"/>
      <c r="NI115" s="5205"/>
      <c r="NJ115" s="5203"/>
      <c r="NK115" s="4460"/>
      <c r="NL115" s="4460"/>
      <c r="NM115" s="4460"/>
      <c r="NN115" s="5205"/>
      <c r="NO115" s="5206"/>
      <c r="NP115" s="5180"/>
      <c r="NQ115" s="5207"/>
      <c r="NR115" s="4460"/>
      <c r="NS115" s="5205"/>
      <c r="NT115" s="5206"/>
      <c r="NU115" s="5180"/>
      <c r="NV115" s="5180"/>
      <c r="NW115" s="4460"/>
      <c r="NX115" s="5205"/>
      <c r="NY115" s="5206"/>
      <c r="NZ115" s="5180"/>
      <c r="OA115" s="5180"/>
      <c r="OB115" s="5180"/>
      <c r="OC115" s="4947"/>
      <c r="OD115" s="5208"/>
      <c r="OE115" s="5180"/>
      <c r="OF115" s="5180"/>
      <c r="OG115" s="5180"/>
      <c r="OH115" s="5209"/>
      <c r="OI115" s="5210"/>
      <c r="OJ115" s="5211"/>
      <c r="OK115" s="5211"/>
      <c r="OL115" s="5211"/>
      <c r="OM115" s="5212"/>
      <c r="ON115" s="5180"/>
      <c r="OO115" s="5180"/>
      <c r="OP115" s="5180"/>
      <c r="OQ115" s="5207"/>
      <c r="OR115" s="5213"/>
      <c r="OS115" s="5214"/>
      <c r="OT115" s="5215"/>
      <c r="OU115" s="5215"/>
      <c r="OV115" s="5216"/>
      <c r="OW115" s="5217"/>
      <c r="OX115" s="5206"/>
      <c r="OY115" s="5180"/>
      <c r="OZ115" s="5180"/>
      <c r="PA115" s="5207"/>
      <c r="PB115" s="4947"/>
      <c r="PC115" s="5218"/>
      <c r="PD115" s="5190"/>
      <c r="PE115" s="5191"/>
      <c r="PF115" s="5191"/>
      <c r="PG115" s="5219"/>
      <c r="PH115" s="5193"/>
      <c r="PI115" s="4937"/>
      <c r="PJ115" s="4460"/>
      <c r="PK115" s="4460"/>
      <c r="PL115" s="5219"/>
      <c r="PM115" s="5220"/>
      <c r="PN115" s="5190"/>
      <c r="PO115" s="5191"/>
      <c r="PP115" s="5194"/>
      <c r="PQ115" s="5195"/>
      <c r="PR115" s="5196"/>
      <c r="PS115" s="5200"/>
      <c r="PT115" s="5191"/>
      <c r="PU115" s="5194"/>
      <c r="PV115" s="5195"/>
      <c r="PW115" s="4939"/>
      <c r="PX115" s="5201"/>
      <c r="PY115" s="5148"/>
      <c r="PZ115" s="5148"/>
      <c r="QA115" s="5148"/>
      <c r="QB115" s="5202"/>
      <c r="QC115" s="5203"/>
      <c r="QD115" s="4460"/>
      <c r="QE115" s="4460"/>
      <c r="QF115" s="4460"/>
      <c r="QG115" s="5204"/>
      <c r="QH115" s="4937"/>
      <c r="QI115" s="4460"/>
      <c r="QJ115" s="4460"/>
      <c r="QK115" s="4460"/>
      <c r="QL115" s="5205"/>
      <c r="QM115" s="4937"/>
      <c r="QN115" s="4460"/>
      <c r="QO115" s="4460"/>
      <c r="QP115" s="4460"/>
      <c r="QQ115" s="5205"/>
      <c r="QR115" s="5203"/>
      <c r="QS115" s="4460"/>
      <c r="QT115" s="4460"/>
      <c r="QU115" s="4460"/>
      <c r="QV115" s="4939"/>
      <c r="QW115" s="5221"/>
      <c r="QX115" s="5222"/>
      <c r="QY115" s="5222"/>
      <c r="QZ115" s="5222"/>
      <c r="RA115" s="5223"/>
      <c r="RB115" s="5224"/>
      <c r="RC115" s="1338">
        <v>0</v>
      </c>
      <c r="RD115" s="1338">
        <v>0</v>
      </c>
      <c r="RE115" s="1338">
        <f t="shared" si="448"/>
        <v>0</v>
      </c>
      <c r="RF115" s="4514"/>
      <c r="RG115" s="5225"/>
      <c r="RH115" s="1338">
        <v>0</v>
      </c>
      <c r="RI115" s="1338">
        <v>0</v>
      </c>
      <c r="RJ115" s="5226">
        <f t="shared" si="369"/>
        <v>0</v>
      </c>
      <c r="RK115" s="5227">
        <v>0</v>
      </c>
      <c r="RL115" s="4944"/>
      <c r="RM115" s="4945">
        <f t="shared" si="426"/>
        <v>0</v>
      </c>
      <c r="RN115" s="4945">
        <f t="shared" si="426"/>
        <v>0</v>
      </c>
      <c r="RO115" s="4945">
        <f t="shared" si="426"/>
        <v>0</v>
      </c>
      <c r="RP115" s="5228">
        <v>0</v>
      </c>
      <c r="RQ115" s="5210"/>
      <c r="RR115" s="5211"/>
      <c r="RS115" s="5211"/>
      <c r="RT115" s="5211"/>
      <c r="RU115" s="5212"/>
      <c r="RV115" s="5180"/>
      <c r="RW115" s="5180"/>
      <c r="RX115" s="5180"/>
      <c r="RY115" s="5207"/>
      <c r="RZ115" s="5213"/>
      <c r="SA115" s="5214"/>
      <c r="SB115" s="5215"/>
      <c r="SC115" s="5215"/>
      <c r="SD115" s="5216"/>
      <c r="SE115" s="5217"/>
      <c r="SF115" s="4944"/>
      <c r="SG115" s="1333">
        <f t="shared" si="421"/>
        <v>0</v>
      </c>
      <c r="SH115" s="1333">
        <f t="shared" si="421"/>
        <v>0</v>
      </c>
      <c r="SI115" s="5229">
        <f t="shared" si="421"/>
        <v>0</v>
      </c>
      <c r="SJ115" s="5230">
        <v>0</v>
      </c>
      <c r="SK115" s="5231"/>
      <c r="SL115" s="5190"/>
      <c r="SM115" s="5232">
        <f>400000+400000+400000</f>
        <v>1200000</v>
      </c>
      <c r="SN115" s="5233">
        <f>150000+75000+150000+150000</f>
        <v>525000</v>
      </c>
      <c r="SO115" s="3659">
        <f>SN115-SM115</f>
        <v>-675000</v>
      </c>
      <c r="SP115" s="4111">
        <f>SO115/SN115</f>
        <v>-1.2857142857142858</v>
      </c>
      <c r="SQ115" s="4934"/>
      <c r="SR115" s="5232">
        <v>400000</v>
      </c>
      <c r="SS115" s="5233">
        <v>150000</v>
      </c>
      <c r="ST115" s="3659">
        <f t="shared" si="440"/>
        <v>-250000</v>
      </c>
      <c r="SU115" s="5234"/>
      <c r="SV115" s="5235"/>
      <c r="SW115" s="5232">
        <v>400000</v>
      </c>
      <c r="SX115" s="5233">
        <v>150000</v>
      </c>
      <c r="SY115" s="2566">
        <f t="shared" si="445"/>
        <v>-250000</v>
      </c>
      <c r="SZ115" s="2567">
        <f t="shared" si="446"/>
        <v>-1.6666666666666667</v>
      </c>
      <c r="TA115" s="5236">
        <v>0</v>
      </c>
      <c r="TB115" s="5232">
        <v>400000</v>
      </c>
      <c r="TC115" s="5233">
        <v>150000</v>
      </c>
      <c r="TD115" s="3659">
        <f t="shared" si="280"/>
        <v>-250000</v>
      </c>
      <c r="TE115" s="4941">
        <f t="shared" si="295"/>
        <v>-1.6666666666666667</v>
      </c>
      <c r="TF115" s="5237">
        <v>0</v>
      </c>
      <c r="TG115" s="5232">
        <v>400000</v>
      </c>
      <c r="TH115" s="5233">
        <v>150000</v>
      </c>
      <c r="TI115" s="4460">
        <f t="shared" si="447"/>
        <v>-250000</v>
      </c>
      <c r="TJ115" s="4514">
        <f t="shared" si="296"/>
        <v>-1.6666666666666667</v>
      </c>
      <c r="TK115" s="4942">
        <v>0</v>
      </c>
      <c r="TL115" s="1338">
        <v>400000</v>
      </c>
      <c r="TM115" s="1338">
        <v>150000</v>
      </c>
      <c r="TN115" s="1338">
        <f t="shared" si="443"/>
        <v>-250000</v>
      </c>
      <c r="TO115" s="4514">
        <f t="shared" si="444"/>
        <v>-1.6666666666666667</v>
      </c>
      <c r="TP115" s="5238"/>
      <c r="TQ115" s="435">
        <v>400000</v>
      </c>
      <c r="TR115" s="1585">
        <v>150000</v>
      </c>
      <c r="TS115" s="4513">
        <f t="shared" si="352"/>
        <v>-250000</v>
      </c>
      <c r="TT115" s="4514">
        <f t="shared" si="365"/>
        <v>-1.6666666666666667</v>
      </c>
      <c r="TU115" s="5238"/>
      <c r="TV115" s="435">
        <v>400000</v>
      </c>
      <c r="TW115" s="1585">
        <v>150000</v>
      </c>
      <c r="TX115" s="4513">
        <f t="shared" si="449"/>
        <v>-250000</v>
      </c>
      <c r="TY115" s="4947">
        <f t="shared" si="366"/>
        <v>-1.6666666666666667</v>
      </c>
      <c r="TZ115" s="5203"/>
      <c r="UA115" s="435">
        <v>400000</v>
      </c>
      <c r="UB115" s="1585">
        <v>150000</v>
      </c>
      <c r="UC115" s="4513">
        <f t="shared" ref="UC115:UC121" si="451">UB115-UA115</f>
        <v>-250000</v>
      </c>
      <c r="UD115" s="4947">
        <f t="shared" ref="UD115:UD120" si="452">UC115/UB115</f>
        <v>-1.6666666666666667</v>
      </c>
      <c r="UE115" s="1868"/>
      <c r="UF115" s="1575">
        <v>420000</v>
      </c>
      <c r="UG115" s="1575">
        <v>150000</v>
      </c>
      <c r="UH115" s="5249">
        <f t="shared" si="322"/>
        <v>-270000</v>
      </c>
      <c r="UI115" s="6500">
        <f t="shared" si="367"/>
        <v>-1.8</v>
      </c>
      <c r="UJ115" s="5224"/>
      <c r="UK115" s="1338"/>
      <c r="UL115" s="1338"/>
      <c r="UM115" s="1338">
        <f t="shared" si="450"/>
        <v>0</v>
      </c>
      <c r="UN115" s="4514">
        <v>0</v>
      </c>
      <c r="UO115" s="4944"/>
      <c r="UP115" s="4945"/>
      <c r="UQ115" s="4945"/>
      <c r="UR115" s="4946">
        <f t="shared" si="323"/>
        <v>0</v>
      </c>
      <c r="US115" s="5227">
        <v>0</v>
      </c>
      <c r="UT115" s="4944"/>
      <c r="UU115" s="358">
        <f t="shared" si="371"/>
        <v>4820000</v>
      </c>
      <c r="UV115" s="358">
        <f t="shared" si="371"/>
        <v>1875000</v>
      </c>
      <c r="UW115" s="1333">
        <f t="shared" si="371"/>
        <v>-2945000</v>
      </c>
      <c r="UX115" s="4948">
        <f t="shared" si="358"/>
        <v>-1.5706666666666667</v>
      </c>
      <c r="UY115" s="5239">
        <f t="shared" si="324"/>
        <v>0</v>
      </c>
      <c r="UZ115" s="5240">
        <f t="shared" si="424"/>
        <v>2000000</v>
      </c>
      <c r="VA115" s="5240">
        <f t="shared" si="424"/>
        <v>825000</v>
      </c>
      <c r="VB115" s="5240">
        <f t="shared" si="424"/>
        <v>-1175000</v>
      </c>
      <c r="VC115" s="5241">
        <f t="shared" si="325"/>
        <v>-1.4242424242424243</v>
      </c>
      <c r="VD115" s="5180"/>
      <c r="VE115" s="1333">
        <f t="shared" si="423"/>
        <v>1200000</v>
      </c>
      <c r="VF115" s="1333">
        <f t="shared" si="423"/>
        <v>450000</v>
      </c>
      <c r="VG115" s="5229">
        <f t="shared" si="423"/>
        <v>-750000</v>
      </c>
      <c r="VH115" s="5242">
        <f t="shared" si="372"/>
        <v>-1.6666666666666667</v>
      </c>
      <c r="VI115" s="5243"/>
      <c r="VJ115" s="5244">
        <f t="shared" si="373"/>
        <v>1200000</v>
      </c>
      <c r="VK115" s="5244">
        <f t="shared" si="373"/>
        <v>450000</v>
      </c>
      <c r="VL115" s="5245">
        <f t="shared" si="373"/>
        <v>-750000</v>
      </c>
      <c r="VM115" s="5217"/>
      <c r="VN115" s="4944"/>
      <c r="VO115" s="1333">
        <f t="shared" si="368"/>
        <v>420000</v>
      </c>
      <c r="VP115" s="1333">
        <f t="shared" si="361"/>
        <v>150000</v>
      </c>
      <c r="VQ115" s="5229">
        <f t="shared" si="361"/>
        <v>-270000</v>
      </c>
      <c r="VR115" s="5230">
        <v>0</v>
      </c>
      <c r="VS115" s="5231"/>
      <c r="VT115" s="5231"/>
      <c r="VU115" s="5231"/>
      <c r="VV115" s="5231"/>
      <c r="VW115" s="5231"/>
      <c r="VX115" s="5231"/>
      <c r="VY115" s="5231"/>
      <c r="VZ115" s="5231"/>
      <c r="WA115" s="5231"/>
      <c r="WB115" s="5231"/>
      <c r="WC115" s="5231"/>
      <c r="WD115" s="5231"/>
      <c r="WE115" s="5231"/>
      <c r="WF115" s="5231"/>
      <c r="WG115" s="5231"/>
      <c r="WH115" s="5231"/>
      <c r="WI115" s="5231"/>
      <c r="WJ115" s="5231"/>
      <c r="WK115" s="5231"/>
      <c r="WL115" s="5231"/>
      <c r="WM115" s="5231"/>
      <c r="WN115" s="5231"/>
      <c r="WO115" s="5231"/>
      <c r="WP115" s="5231"/>
      <c r="WQ115" s="5231"/>
      <c r="WR115" s="5231"/>
      <c r="WS115" s="5231"/>
      <c r="WT115" s="5231"/>
      <c r="WU115" s="5231"/>
      <c r="WV115" s="5231"/>
      <c r="WW115" s="5231"/>
      <c r="WX115" s="5231"/>
      <c r="WY115" s="5231"/>
      <c r="WZ115" s="5231"/>
      <c r="XA115" s="5231"/>
      <c r="XB115" s="5231"/>
      <c r="XC115" s="5231"/>
      <c r="XD115" s="5231"/>
      <c r="XE115" s="5231"/>
      <c r="XF115" s="5231"/>
      <c r="XG115" s="5231"/>
      <c r="XH115" s="5231"/>
      <c r="XI115" s="5231"/>
      <c r="XJ115" s="5231"/>
      <c r="XK115" s="5231"/>
      <c r="XL115" s="5231"/>
      <c r="XM115" s="5231"/>
      <c r="XN115" s="5231"/>
      <c r="XO115" s="5231"/>
      <c r="XP115" s="5231"/>
      <c r="XQ115" s="5231"/>
      <c r="XR115" s="5231"/>
      <c r="XS115" s="5231"/>
      <c r="XT115" s="5231"/>
      <c r="XU115" s="5231"/>
      <c r="XV115" s="5231"/>
      <c r="XW115" s="5231"/>
      <c r="XX115" s="5231"/>
      <c r="XY115" s="5231"/>
      <c r="XZ115" s="5231"/>
      <c r="YA115" s="5231"/>
      <c r="YB115" s="5231"/>
      <c r="YC115" s="5231"/>
      <c r="YD115" s="5231"/>
      <c r="YE115" s="5231"/>
      <c r="YF115" s="5231"/>
      <c r="YG115" s="5231"/>
      <c r="YH115" s="5231"/>
      <c r="YI115" s="5231"/>
      <c r="YJ115" s="5231"/>
      <c r="YK115" s="5231"/>
      <c r="YL115" s="5231"/>
      <c r="YM115" s="5231"/>
      <c r="YN115" s="5231"/>
      <c r="YO115" s="5231"/>
      <c r="YP115" s="5231"/>
      <c r="YQ115" s="5231"/>
      <c r="YR115" s="5231"/>
      <c r="YS115" s="5231"/>
      <c r="YT115" s="5231"/>
      <c r="YU115" s="5231"/>
      <c r="YV115" s="5231"/>
      <c r="YW115" s="5231"/>
      <c r="YX115" s="5231"/>
      <c r="YY115" s="5231"/>
      <c r="YZ115" s="5231"/>
      <c r="ZA115" s="5231"/>
      <c r="ZB115" s="5231"/>
      <c r="ZC115" s="5231"/>
      <c r="ZD115" s="5231"/>
      <c r="ZE115" s="5231"/>
      <c r="ZF115" s="5231"/>
      <c r="ZG115" s="5231"/>
      <c r="ZH115" s="5231"/>
      <c r="ZI115" s="5231"/>
      <c r="ZJ115" s="5231"/>
      <c r="ZK115" s="5231"/>
      <c r="ZL115" s="5231"/>
      <c r="ZM115" s="5231"/>
      <c r="ZN115" s="5231"/>
      <c r="ZO115" s="5231"/>
      <c r="ZP115" s="5231"/>
      <c r="ZQ115" s="5231"/>
      <c r="ZR115" s="5231"/>
      <c r="ZS115" s="5231"/>
      <c r="ZT115" s="5231"/>
      <c r="ZU115" s="5231"/>
      <c r="ZV115" s="5231"/>
      <c r="ZW115" s="5231"/>
      <c r="ZX115" s="5231"/>
      <c r="ZY115" s="5231"/>
      <c r="ZZ115" s="5231"/>
      <c r="AAA115" s="5231"/>
      <c r="AAB115" s="5231"/>
      <c r="AAC115" s="5231"/>
      <c r="AAD115" s="5231"/>
      <c r="AAE115" s="5231"/>
      <c r="AAF115" s="5231"/>
      <c r="AAG115" s="5231"/>
      <c r="AAH115" s="5231"/>
      <c r="AAI115" s="5231"/>
      <c r="AAJ115" s="5231"/>
      <c r="AAK115" s="5231"/>
      <c r="AAL115" s="5231"/>
      <c r="AAM115" s="5231"/>
      <c r="AAN115" s="5231"/>
      <c r="AAO115" s="5231"/>
      <c r="AAP115" s="5231"/>
      <c r="AAQ115" s="5231"/>
      <c r="AAR115" s="5231"/>
      <c r="AAS115" s="5231"/>
      <c r="AAT115" s="5231"/>
      <c r="AAU115" s="5231"/>
      <c r="AAV115" s="5231"/>
      <c r="AAW115" s="5231"/>
      <c r="AAX115" s="5231"/>
      <c r="AAY115" s="5231"/>
      <c r="AAZ115" s="5231"/>
      <c r="ABA115" s="5231"/>
      <c r="ABB115" s="5231"/>
      <c r="ABC115" s="5231"/>
      <c r="ABD115" s="5231"/>
      <c r="ABE115" s="5231"/>
      <c r="ABF115" s="5231"/>
      <c r="ABG115" s="5231"/>
      <c r="ABH115" s="5231"/>
      <c r="ABI115" s="5231"/>
      <c r="ABJ115" s="5231"/>
      <c r="ABK115" s="5231"/>
      <c r="ABL115" s="5231"/>
      <c r="ABM115" s="5231"/>
      <c r="ABN115" s="5231"/>
      <c r="ABO115" s="5231"/>
      <c r="ABP115" s="5231"/>
      <c r="ABQ115" s="5231"/>
    </row>
    <row r="116" spans="1:745" s="4458" customFormat="1" ht="13.6" customHeight="1" x14ac:dyDescent="0.3">
      <c r="A116" s="4457"/>
      <c r="B116" s="1773" t="s">
        <v>53</v>
      </c>
      <c r="C116" s="5112" t="s">
        <v>1042</v>
      </c>
      <c r="D116" s="5113" t="s">
        <v>634</v>
      </c>
      <c r="E116" s="1993">
        <v>45672</v>
      </c>
      <c r="F116" s="1993">
        <v>46036</v>
      </c>
      <c r="G116" s="1994">
        <v>438000</v>
      </c>
      <c r="H116" s="2031"/>
      <c r="I116" s="1914"/>
      <c r="J116" s="1914"/>
      <c r="K116" s="1914"/>
      <c r="L116" s="593"/>
      <c r="M116" s="2031"/>
      <c r="N116" s="1914"/>
      <c r="O116" s="1914"/>
      <c r="P116" s="1914"/>
      <c r="Q116" s="593"/>
      <c r="R116" s="2031"/>
      <c r="S116" s="1914"/>
      <c r="T116" s="1914"/>
      <c r="U116" s="1914"/>
      <c r="V116" s="593"/>
      <c r="W116" s="2031"/>
      <c r="X116" s="1914"/>
      <c r="Y116" s="1914"/>
      <c r="Z116" s="1914"/>
      <c r="AA116" s="2032"/>
      <c r="AB116" s="2031"/>
      <c r="AC116" s="1914"/>
      <c r="AD116" s="1914"/>
      <c r="AE116" s="1914"/>
      <c r="AF116" s="2032"/>
      <c r="AG116" s="1914"/>
      <c r="AH116" s="1914"/>
      <c r="AI116" s="1914"/>
      <c r="AJ116" s="1914"/>
      <c r="AK116" s="593"/>
      <c r="AL116" s="1914"/>
      <c r="AM116" s="1914"/>
      <c r="AN116" s="1914"/>
      <c r="AO116" s="1914"/>
      <c r="AP116" s="593"/>
      <c r="AQ116" s="1914"/>
      <c r="AR116" s="1914"/>
      <c r="AS116" s="1914"/>
      <c r="AT116" s="1914"/>
      <c r="AU116" s="593"/>
      <c r="AV116" s="2033"/>
      <c r="AW116" s="1914"/>
      <c r="AX116" s="1914"/>
      <c r="AY116" s="1914"/>
      <c r="AZ116" s="2032"/>
      <c r="BA116" s="2033"/>
      <c r="BB116" s="1914"/>
      <c r="BC116" s="1914"/>
      <c r="BD116" s="1914"/>
      <c r="BE116" s="2032"/>
      <c r="BF116" s="2033"/>
      <c r="BG116" s="1914"/>
      <c r="BH116" s="1914"/>
      <c r="BI116" s="1914"/>
      <c r="BJ116" s="2032"/>
      <c r="BK116" s="2033"/>
      <c r="BL116" s="1914"/>
      <c r="BM116" s="1914"/>
      <c r="BN116" s="1914"/>
      <c r="BO116" s="2032"/>
      <c r="BP116" s="2034"/>
      <c r="BQ116" s="1914"/>
      <c r="BR116" s="1914"/>
      <c r="BS116" s="1914"/>
      <c r="BT116" s="2035"/>
      <c r="BU116" s="1914"/>
      <c r="BV116" s="1914"/>
      <c r="BW116" s="2036"/>
      <c r="BX116" s="2035"/>
      <c r="BY116" s="1914"/>
      <c r="BZ116" s="1914"/>
      <c r="CA116" s="2010"/>
      <c r="CB116" s="1914"/>
      <c r="CC116" s="1914"/>
      <c r="CD116" s="1914"/>
      <c r="CE116" s="1914"/>
      <c r="CF116" s="2035"/>
      <c r="CG116" s="1914"/>
      <c r="CH116" s="1914"/>
      <c r="CI116" s="2010"/>
      <c r="CJ116" s="2037"/>
      <c r="CK116" s="1914"/>
      <c r="CL116" s="1914"/>
      <c r="CM116" s="1914"/>
      <c r="CN116" s="2036"/>
      <c r="CO116" s="2037"/>
      <c r="CP116" s="2031"/>
      <c r="CQ116" s="2031"/>
      <c r="CR116" s="2031"/>
      <c r="CS116" s="2036"/>
      <c r="CT116" s="2037"/>
      <c r="CU116" s="1914"/>
      <c r="CV116" s="1914"/>
      <c r="CW116" s="1914"/>
      <c r="CX116" s="2036"/>
      <c r="CY116" s="2037"/>
      <c r="CZ116" s="1914"/>
      <c r="DA116" s="1914"/>
      <c r="DB116" s="1914"/>
      <c r="DC116" s="2036"/>
      <c r="DD116" s="2037"/>
      <c r="DE116" s="1914"/>
      <c r="DF116" s="1914"/>
      <c r="DG116" s="1914"/>
      <c r="DH116" s="2038"/>
      <c r="DI116" s="2037"/>
      <c r="DJ116" s="1914"/>
      <c r="DK116" s="1914"/>
      <c r="DL116" s="1914"/>
      <c r="DM116" s="2038"/>
      <c r="DN116" s="2037"/>
      <c r="DO116" s="1914"/>
      <c r="DP116" s="1914"/>
      <c r="DQ116" s="1914"/>
      <c r="DR116" s="2038"/>
      <c r="DS116" s="2037"/>
      <c r="DT116" s="1914"/>
      <c r="DU116" s="1914"/>
      <c r="DV116" s="1914"/>
      <c r="DW116" s="2038"/>
      <c r="DX116" s="2037"/>
      <c r="DY116" s="1914"/>
      <c r="DZ116" s="1914"/>
      <c r="EA116" s="1914"/>
      <c r="EB116" s="2038"/>
      <c r="EC116" s="2037"/>
      <c r="ED116" s="1914"/>
      <c r="EE116" s="1914"/>
      <c r="EF116" s="1914"/>
      <c r="EG116" s="2038"/>
      <c r="EH116" s="2037"/>
      <c r="EI116" s="1914"/>
      <c r="EJ116" s="1914"/>
      <c r="EK116" s="1914"/>
      <c r="EL116" s="2038"/>
      <c r="EM116" s="1910"/>
      <c r="EN116" s="715"/>
      <c r="EO116" s="715"/>
      <c r="EP116" s="715"/>
      <c r="EQ116" s="366"/>
      <c r="ER116" s="2402"/>
      <c r="ES116" s="2403"/>
      <c r="ET116" s="2403"/>
      <c r="EU116" s="2403"/>
      <c r="EV116" s="2404"/>
      <c r="EW116" s="2031"/>
      <c r="EX116" s="2031"/>
      <c r="EY116" s="2031"/>
      <c r="EZ116" s="593"/>
      <c r="FA116" s="2037"/>
      <c r="FB116" s="2031"/>
      <c r="FC116" s="2031"/>
      <c r="FD116" s="2036"/>
      <c r="FE116" s="2031"/>
      <c r="FF116" s="2031"/>
      <c r="FG116" s="2031"/>
      <c r="FH116" s="593"/>
      <c r="FI116" s="2039"/>
      <c r="FJ116" s="2040"/>
      <c r="FK116" s="2041"/>
      <c r="FL116" s="2041"/>
      <c r="FM116" s="693"/>
      <c r="FN116" s="2031"/>
      <c r="FO116" s="1914"/>
      <c r="FP116" s="1914"/>
      <c r="FQ116" s="1914"/>
      <c r="FR116" s="2032"/>
      <c r="FS116" s="1910"/>
      <c r="FT116" s="715"/>
      <c r="FU116" s="715"/>
      <c r="FV116" s="715"/>
      <c r="FW116" s="366"/>
      <c r="FX116" s="2037"/>
      <c r="FY116" s="1914"/>
      <c r="FZ116" s="1914"/>
      <c r="GA116" s="715"/>
      <c r="GB116" s="366"/>
      <c r="GC116" s="2110"/>
      <c r="GD116" s="2111"/>
      <c r="GE116" s="2111"/>
      <c r="GF116" s="715"/>
      <c r="GG116" s="366"/>
      <c r="GH116" s="2042"/>
      <c r="GI116" s="2043"/>
      <c r="GJ116" s="2043"/>
      <c r="GK116" s="715"/>
      <c r="GL116" s="366"/>
      <c r="GM116" s="2042"/>
      <c r="GN116" s="2043"/>
      <c r="GO116" s="2043"/>
      <c r="GP116" s="715"/>
      <c r="GQ116" s="366"/>
      <c r="GR116" s="2042"/>
      <c r="GS116" s="2043"/>
      <c r="GT116" s="2043"/>
      <c r="GU116" s="715"/>
      <c r="GV116" s="366"/>
      <c r="GW116" s="2042"/>
      <c r="GX116" s="2043"/>
      <c r="GY116" s="2043"/>
      <c r="GZ116" s="715"/>
      <c r="HA116" s="366"/>
      <c r="HB116" s="2042"/>
      <c r="HC116" s="2043"/>
      <c r="HD116" s="2043"/>
      <c r="HE116" s="715"/>
      <c r="HF116" s="366"/>
      <c r="HG116" s="2042"/>
      <c r="HH116" s="2043"/>
      <c r="HI116" s="2043"/>
      <c r="HJ116" s="2113"/>
      <c r="HK116" s="366"/>
      <c r="HL116" s="2042"/>
      <c r="HM116" s="2043"/>
      <c r="HN116" s="2043"/>
      <c r="HO116" s="715"/>
      <c r="HP116" s="366"/>
      <c r="HQ116" s="2114"/>
      <c r="HR116" s="1904"/>
      <c r="HS116" s="1904"/>
      <c r="HT116" s="1904"/>
      <c r="HU116" s="2115"/>
      <c r="HV116" s="2405"/>
      <c r="HW116" s="2406"/>
      <c r="HX116" s="2406"/>
      <c r="HY116" s="2406"/>
      <c r="HZ116" s="1906"/>
      <c r="IA116" s="1907"/>
      <c r="IB116" s="1908"/>
      <c r="IC116" s="1908"/>
      <c r="ID116" s="1909"/>
      <c r="IE116" s="1910"/>
      <c r="IF116" s="1911"/>
      <c r="IG116" s="1912"/>
      <c r="IH116" s="1909"/>
      <c r="II116" s="1907"/>
      <c r="IJ116" s="2116"/>
      <c r="IK116" s="2116"/>
      <c r="IL116" s="693"/>
      <c r="IM116" s="2117"/>
      <c r="IN116" s="2116"/>
      <c r="IO116" s="2116"/>
      <c r="IP116" s="1838"/>
      <c r="IQ116" s="1914"/>
      <c r="IR116" s="2044"/>
      <c r="IS116" s="715"/>
      <c r="IT116" s="715"/>
      <c r="IU116" s="2131"/>
      <c r="IV116" s="2045"/>
      <c r="IW116" s="1910"/>
      <c r="IX116" s="715"/>
      <c r="IY116" s="715"/>
      <c r="IZ116" s="2113"/>
      <c r="JA116" s="2132"/>
      <c r="JB116" s="2407"/>
      <c r="JC116" s="2408"/>
      <c r="JD116" s="2409"/>
      <c r="JE116" s="2113"/>
      <c r="JF116" s="2132"/>
      <c r="JG116" s="2410"/>
      <c r="JH116" s="2043"/>
      <c r="JI116" s="2043"/>
      <c r="JJ116" s="2411"/>
      <c r="JK116" s="2132"/>
      <c r="JL116" s="2129"/>
      <c r="JM116" s="2043"/>
      <c r="JN116" s="2043"/>
      <c r="JO116" s="715"/>
      <c r="JP116" s="2132"/>
      <c r="JQ116" s="2129"/>
      <c r="JR116" s="2130"/>
      <c r="JS116" s="1904"/>
      <c r="JT116" s="2131"/>
      <c r="JU116" s="2132"/>
      <c r="JV116" s="2410"/>
      <c r="JW116" s="2043"/>
      <c r="JX116" s="1904"/>
      <c r="JY116" s="715"/>
      <c r="JZ116" s="2132"/>
      <c r="KA116" s="2410"/>
      <c r="KB116" s="1904"/>
      <c r="KC116" s="2130"/>
      <c r="KD116" s="2414"/>
      <c r="KE116" s="2415"/>
      <c r="KF116" s="2410"/>
      <c r="KG116" s="1904"/>
      <c r="KH116" s="2043"/>
      <c r="KI116" s="2113"/>
      <c r="KJ116" s="2132"/>
      <c r="KK116" s="2410"/>
      <c r="KL116" s="1904"/>
      <c r="KM116" s="2043"/>
      <c r="KN116" s="2416"/>
      <c r="KO116" s="2417"/>
      <c r="KP116" s="2136"/>
      <c r="KQ116" s="2130"/>
      <c r="KR116" s="1904"/>
      <c r="KS116" s="2131"/>
      <c r="KT116" s="2137"/>
      <c r="KU116" s="2114"/>
      <c r="KV116" s="1904"/>
      <c r="KW116" s="1904"/>
      <c r="KX116" s="1904"/>
      <c r="KY116" s="2418"/>
      <c r="KZ116" s="1832"/>
      <c r="LA116" s="622"/>
      <c r="LB116" s="622"/>
      <c r="LC116" s="622"/>
      <c r="LD116" s="239"/>
      <c r="LE116" s="2419"/>
      <c r="LF116" s="2420"/>
      <c r="LG116" s="2420"/>
      <c r="LH116" s="2421"/>
      <c r="LI116" s="2422"/>
      <c r="LJ116" s="2423"/>
      <c r="LK116" s="2419"/>
      <c r="LL116" s="2421"/>
      <c r="LM116" s="1907"/>
      <c r="LN116" s="2116"/>
      <c r="LO116" s="2116"/>
      <c r="LP116" s="2013"/>
      <c r="LQ116" s="2424"/>
      <c r="LR116" s="2116"/>
      <c r="LS116" s="2116"/>
      <c r="LT116" s="1838"/>
      <c r="LU116" s="2425"/>
      <c r="LV116" s="2426"/>
      <c r="LW116" s="436"/>
      <c r="LX116" s="436"/>
      <c r="LY116" s="2427"/>
      <c r="LZ116" s="1588"/>
      <c r="MA116" s="2422"/>
      <c r="MB116" s="1587"/>
      <c r="MC116" s="1587"/>
      <c r="MD116" s="2148"/>
      <c r="ME116" s="2149"/>
      <c r="MF116" s="406"/>
      <c r="MG116" s="2428"/>
      <c r="MH116" s="5114"/>
      <c r="MI116" s="2148"/>
      <c r="MJ116" s="2149"/>
      <c r="MK116" s="2429"/>
      <c r="ML116" s="436"/>
      <c r="MM116" s="1587"/>
      <c r="MN116" s="2148"/>
      <c r="MO116" s="2149"/>
      <c r="MP116" s="2153"/>
      <c r="MQ116" s="1904"/>
      <c r="MR116" s="1904"/>
      <c r="MS116" s="1904"/>
      <c r="MT116" s="787"/>
      <c r="MU116" s="1318"/>
      <c r="MV116" s="395"/>
      <c r="MW116" s="395"/>
      <c r="MX116" s="395"/>
      <c r="MY116" s="655"/>
      <c r="MZ116" s="1318"/>
      <c r="NA116" s="395"/>
      <c r="NB116" s="395"/>
      <c r="NC116" s="395"/>
      <c r="ND116" s="801"/>
      <c r="NE116" s="1318"/>
      <c r="NF116" s="395"/>
      <c r="NG116" s="395"/>
      <c r="NH116" s="395"/>
      <c r="NI116" s="801"/>
      <c r="NJ116" s="1318"/>
      <c r="NK116" s="395"/>
      <c r="NL116" s="395"/>
      <c r="NM116" s="395"/>
      <c r="NN116" s="801"/>
      <c r="NO116" s="2432"/>
      <c r="NP116" s="622"/>
      <c r="NQ116" s="2437"/>
      <c r="NR116" s="395"/>
      <c r="NS116" s="801"/>
      <c r="NT116" s="2432"/>
      <c r="NU116" s="622"/>
      <c r="NV116" s="622"/>
      <c r="NW116" s="395"/>
      <c r="NX116" s="801"/>
      <c r="NY116" s="2432"/>
      <c r="NZ116" s="622"/>
      <c r="OA116" s="622"/>
      <c r="OB116" s="622"/>
      <c r="OC116" s="116"/>
      <c r="OD116" s="2433"/>
      <c r="OE116" s="622"/>
      <c r="OF116" s="622"/>
      <c r="OG116" s="622"/>
      <c r="OH116" s="1576"/>
      <c r="OI116" s="2435"/>
      <c r="OJ116" s="2436"/>
      <c r="OK116" s="2436"/>
      <c r="OL116" s="2436"/>
      <c r="OM116" s="1439"/>
      <c r="ON116" s="622"/>
      <c r="OO116" s="622"/>
      <c r="OP116" s="622"/>
      <c r="OQ116" s="2437"/>
      <c r="OR116" s="421"/>
      <c r="OS116" s="2438"/>
      <c r="OT116" s="2439"/>
      <c r="OU116" s="2439"/>
      <c r="OV116" s="2440"/>
      <c r="OW116" s="460"/>
      <c r="OX116" s="2432"/>
      <c r="OY116" s="622"/>
      <c r="OZ116" s="622"/>
      <c r="PA116" s="2437"/>
      <c r="PB116" s="116"/>
      <c r="PC116" s="2441"/>
      <c r="PD116" s="2426"/>
      <c r="PE116" s="436"/>
      <c r="PF116" s="436"/>
      <c r="PG116" s="115"/>
      <c r="PH116" s="1588"/>
      <c r="PI116" s="401"/>
      <c r="PJ116" s="395"/>
      <c r="PK116" s="395"/>
      <c r="PL116" s="115"/>
      <c r="PM116" s="186"/>
      <c r="PN116" s="2426"/>
      <c r="PO116" s="436"/>
      <c r="PP116" s="1587"/>
      <c r="PQ116" s="2148"/>
      <c r="PR116" s="2149"/>
      <c r="PS116" s="2429"/>
      <c r="PT116" s="436"/>
      <c r="PU116" s="1587"/>
      <c r="PV116" s="2148"/>
      <c r="PW116" s="207"/>
      <c r="PX116" s="2153"/>
      <c r="PY116" s="1904"/>
      <c r="PZ116" s="1904"/>
      <c r="QA116" s="1904"/>
      <c r="QB116" s="787"/>
      <c r="QC116" s="1318"/>
      <c r="QD116" s="395"/>
      <c r="QE116" s="395"/>
      <c r="QF116" s="395"/>
      <c r="QG116" s="655"/>
      <c r="QH116" s="401"/>
      <c r="QI116" s="395"/>
      <c r="QJ116" s="395"/>
      <c r="QK116" s="395"/>
      <c r="QL116" s="801"/>
      <c r="QM116" s="401"/>
      <c r="QN116" s="395"/>
      <c r="QO116" s="395"/>
      <c r="QP116" s="395"/>
      <c r="QQ116" s="801"/>
      <c r="QR116" s="1318"/>
      <c r="QS116" s="395"/>
      <c r="QT116" s="395"/>
      <c r="QU116" s="395"/>
      <c r="QV116" s="207"/>
      <c r="QW116" s="2002"/>
      <c r="QX116" s="2001"/>
      <c r="QY116" s="2001"/>
      <c r="QZ116" s="2001"/>
      <c r="RA116" s="370"/>
      <c r="RB116" s="156"/>
      <c r="RC116" s="5246">
        <v>0</v>
      </c>
      <c r="RD116" s="208">
        <v>0</v>
      </c>
      <c r="RE116" s="208">
        <f t="shared" si="448"/>
        <v>0</v>
      </c>
      <c r="RF116" s="116"/>
      <c r="RG116" s="1857"/>
      <c r="RH116" s="208">
        <v>0</v>
      </c>
      <c r="RI116" s="208">
        <v>0</v>
      </c>
      <c r="RJ116" s="772">
        <f t="shared" si="369"/>
        <v>0</v>
      </c>
      <c r="RK116" s="2050">
        <v>0</v>
      </c>
      <c r="RL116" s="1567"/>
      <c r="RM116" s="1568">
        <f t="shared" si="426"/>
        <v>0</v>
      </c>
      <c r="RN116" s="1568">
        <f t="shared" si="426"/>
        <v>0</v>
      </c>
      <c r="RO116" s="1568">
        <f t="shared" si="426"/>
        <v>0</v>
      </c>
      <c r="RP116" s="2281">
        <v>0</v>
      </c>
      <c r="RQ116" s="2435"/>
      <c r="RR116" s="2436"/>
      <c r="RS116" s="2436"/>
      <c r="RT116" s="2436"/>
      <c r="RU116" s="1439"/>
      <c r="RV116" s="622"/>
      <c r="RW116" s="622"/>
      <c r="RX116" s="622"/>
      <c r="RY116" s="2437"/>
      <c r="RZ116" s="421"/>
      <c r="SA116" s="2438"/>
      <c r="SB116" s="2439"/>
      <c r="SC116" s="2439"/>
      <c r="SD116" s="2440"/>
      <c r="SE116" s="460"/>
      <c r="SF116" s="1567"/>
      <c r="SG116" s="358">
        <f t="shared" si="421"/>
        <v>0</v>
      </c>
      <c r="SH116" s="358">
        <f t="shared" si="421"/>
        <v>0</v>
      </c>
      <c r="SI116" s="359">
        <f t="shared" si="421"/>
        <v>0</v>
      </c>
      <c r="SJ116" s="2155">
        <v>0</v>
      </c>
      <c r="SK116" s="1193"/>
      <c r="SL116" s="2426">
        <v>5</v>
      </c>
      <c r="SM116" s="436">
        <v>265002</v>
      </c>
      <c r="SN116" s="436">
        <v>438000</v>
      </c>
      <c r="SO116" s="96">
        <f t="shared" si="264"/>
        <v>172998</v>
      </c>
      <c r="SP116" s="78">
        <f>SO116/SN116</f>
        <v>0.39497260273972601</v>
      </c>
      <c r="SQ116" s="439">
        <v>5</v>
      </c>
      <c r="SR116" s="208">
        <v>321874</v>
      </c>
      <c r="SS116" s="208">
        <v>438000</v>
      </c>
      <c r="ST116" s="96">
        <f t="shared" si="440"/>
        <v>116126</v>
      </c>
      <c r="SU116" s="78">
        <f>ST116/SS116</f>
        <v>0.26512785388127852</v>
      </c>
      <c r="SV116" s="2426">
        <v>5</v>
      </c>
      <c r="SW116" s="436">
        <v>272704</v>
      </c>
      <c r="SX116" s="1587">
        <v>438000</v>
      </c>
      <c r="SY116" s="371">
        <f t="shared" si="445"/>
        <v>165296</v>
      </c>
      <c r="SZ116" s="157">
        <f t="shared" si="446"/>
        <v>0.37738812785388126</v>
      </c>
      <c r="TA116" s="4103">
        <v>5</v>
      </c>
      <c r="TB116" s="436">
        <v>292470</v>
      </c>
      <c r="TC116" s="1587">
        <v>438000</v>
      </c>
      <c r="TD116" s="96">
        <f t="shared" si="280"/>
        <v>145530</v>
      </c>
      <c r="TE116" s="94">
        <f t="shared" si="295"/>
        <v>0.33226027397260272</v>
      </c>
      <c r="TF116" s="1573">
        <v>5</v>
      </c>
      <c r="TG116" s="395">
        <v>293751</v>
      </c>
      <c r="TH116" s="1587">
        <v>438000</v>
      </c>
      <c r="TI116" s="395">
        <f t="shared" si="447"/>
        <v>144249</v>
      </c>
      <c r="TJ116" s="114">
        <f t="shared" si="296"/>
        <v>0.32933561643835618</v>
      </c>
      <c r="TK116" s="209">
        <v>5</v>
      </c>
      <c r="TL116" s="208">
        <v>290145</v>
      </c>
      <c r="TM116" s="208">
        <v>438000</v>
      </c>
      <c r="TN116" s="208">
        <f t="shared" si="443"/>
        <v>147855</v>
      </c>
      <c r="TO116" s="114">
        <f t="shared" si="444"/>
        <v>0.33756849315068493</v>
      </c>
      <c r="TP116" s="4434">
        <v>5</v>
      </c>
      <c r="TQ116" s="395">
        <v>293751</v>
      </c>
      <c r="TR116" s="1587">
        <v>438000</v>
      </c>
      <c r="TS116" s="994">
        <f t="shared" si="352"/>
        <v>144249</v>
      </c>
      <c r="TT116" s="114">
        <f t="shared" si="365"/>
        <v>0.32933561643835618</v>
      </c>
      <c r="TU116" s="4434">
        <v>4</v>
      </c>
      <c r="TV116" s="395">
        <v>212084</v>
      </c>
      <c r="TW116" s="1587">
        <v>438000</v>
      </c>
      <c r="TX116" s="994">
        <f t="shared" si="449"/>
        <v>225916</v>
      </c>
      <c r="TY116" s="116">
        <f t="shared" si="366"/>
        <v>0.51578995433789954</v>
      </c>
      <c r="TZ116" s="1318">
        <v>5</v>
      </c>
      <c r="UA116" s="395">
        <v>250560</v>
      </c>
      <c r="UB116" s="395">
        <v>438000</v>
      </c>
      <c r="UC116" s="994">
        <f t="shared" si="451"/>
        <v>187440</v>
      </c>
      <c r="UD116" s="116">
        <f t="shared" si="452"/>
        <v>0.42794520547945203</v>
      </c>
      <c r="UE116" s="2002">
        <v>5</v>
      </c>
      <c r="UF116" s="2001">
        <v>219209</v>
      </c>
      <c r="UG116" s="2001">
        <v>446760</v>
      </c>
      <c r="UH116" s="6501">
        <f t="shared" si="322"/>
        <v>227551</v>
      </c>
      <c r="UI116" s="6494">
        <f t="shared" si="367"/>
        <v>0.50933610887277281</v>
      </c>
      <c r="UJ116" s="156"/>
      <c r="UK116" s="5246"/>
      <c r="UL116" s="208"/>
      <c r="UM116" s="208">
        <f t="shared" si="450"/>
        <v>0</v>
      </c>
      <c r="UN116" s="116"/>
      <c r="UO116" s="1567"/>
      <c r="UP116" s="1568"/>
      <c r="UQ116" s="1568"/>
      <c r="UR116" s="1873">
        <f t="shared" si="323"/>
        <v>0</v>
      </c>
      <c r="US116" s="2050">
        <v>0</v>
      </c>
      <c r="UT116" s="1567"/>
      <c r="UU116" s="358">
        <f t="shared" si="371"/>
        <v>2711550</v>
      </c>
      <c r="UV116" s="358">
        <f t="shared" si="371"/>
        <v>4388760</v>
      </c>
      <c r="UW116" s="358">
        <f t="shared" si="371"/>
        <v>1677210</v>
      </c>
      <c r="UX116" s="220">
        <f t="shared" si="358"/>
        <v>0.38216033686052553</v>
      </c>
      <c r="UY116" s="4441">
        <f t="shared" si="324"/>
        <v>5</v>
      </c>
      <c r="UZ116" s="4442">
        <f t="shared" si="424"/>
        <v>859580</v>
      </c>
      <c r="VA116" s="4442">
        <f t="shared" si="424"/>
        <v>1314000</v>
      </c>
      <c r="VB116" s="4442">
        <f t="shared" si="424"/>
        <v>454420</v>
      </c>
      <c r="VC116" s="4443">
        <f t="shared" si="325"/>
        <v>0.34582952815829526</v>
      </c>
      <c r="VD116" s="4440"/>
      <c r="VE116" s="4438">
        <f t="shared" si="423"/>
        <v>876366</v>
      </c>
      <c r="VF116" s="4438">
        <f t="shared" si="423"/>
        <v>1314000</v>
      </c>
      <c r="VG116" s="4444">
        <f t="shared" si="423"/>
        <v>437634</v>
      </c>
      <c r="VH116" s="4445">
        <f t="shared" si="372"/>
        <v>0.33305479452054793</v>
      </c>
      <c r="VI116" s="4446"/>
      <c r="VJ116" s="146">
        <f t="shared" si="373"/>
        <v>756395</v>
      </c>
      <c r="VK116" s="146">
        <f t="shared" si="373"/>
        <v>1314000</v>
      </c>
      <c r="VL116" s="1864">
        <f t="shared" si="373"/>
        <v>557605</v>
      </c>
      <c r="VM116" s="4459"/>
      <c r="VN116" s="4449"/>
      <c r="VO116" s="4438">
        <f t="shared" si="368"/>
        <v>219209</v>
      </c>
      <c r="VP116" s="4438">
        <f t="shared" si="361"/>
        <v>446760</v>
      </c>
      <c r="VQ116" s="4444">
        <f t="shared" si="361"/>
        <v>227551</v>
      </c>
      <c r="VR116" s="4452">
        <v>0</v>
      </c>
      <c r="VS116" s="4451"/>
      <c r="VT116" s="4451"/>
      <c r="VU116" s="4451"/>
      <c r="VV116" s="4451"/>
      <c r="VW116" s="4451"/>
      <c r="VX116" s="4451"/>
      <c r="VY116" s="4451"/>
      <c r="VZ116" s="4451"/>
      <c r="WA116" s="4451"/>
      <c r="WB116" s="4451"/>
      <c r="WC116" s="4451"/>
      <c r="WD116" s="4451"/>
      <c r="WE116" s="4451"/>
      <c r="WF116" s="4451"/>
      <c r="WG116" s="4451"/>
      <c r="WH116" s="4451"/>
      <c r="WI116" s="4451"/>
      <c r="WJ116" s="4451"/>
      <c r="WK116" s="4451"/>
      <c r="WL116" s="4451"/>
      <c r="WM116" s="4451"/>
      <c r="WN116" s="4451"/>
      <c r="WO116" s="4451"/>
      <c r="WP116" s="4451"/>
      <c r="WQ116" s="4451"/>
      <c r="WR116" s="4451"/>
      <c r="WS116" s="4451"/>
      <c r="WT116" s="4451"/>
      <c r="WU116" s="4451"/>
      <c r="WV116" s="4451"/>
      <c r="WW116" s="4451"/>
      <c r="WX116" s="4451"/>
      <c r="WY116" s="4451"/>
      <c r="WZ116" s="4451"/>
      <c r="XA116" s="4451"/>
      <c r="XB116" s="4451"/>
      <c r="XC116" s="4451"/>
      <c r="XD116" s="4451"/>
      <c r="XE116" s="4451"/>
      <c r="XF116" s="4451"/>
      <c r="XG116" s="4451"/>
      <c r="XH116" s="4451"/>
      <c r="XI116" s="4451"/>
      <c r="XJ116" s="4451"/>
      <c r="XK116" s="4451"/>
      <c r="XL116" s="4451"/>
      <c r="XM116" s="4451"/>
      <c r="XN116" s="4451"/>
      <c r="XO116" s="4451"/>
      <c r="XP116" s="4451"/>
      <c r="XQ116" s="4451"/>
      <c r="XR116" s="4451"/>
      <c r="XS116" s="4451"/>
      <c r="XT116" s="4451"/>
      <c r="XU116" s="4451"/>
      <c r="XV116" s="4451"/>
      <c r="XW116" s="4451"/>
      <c r="XX116" s="4451"/>
      <c r="XY116" s="4451"/>
      <c r="XZ116" s="4451"/>
      <c r="YA116" s="4451"/>
      <c r="YB116" s="4451"/>
      <c r="YC116" s="4451"/>
      <c r="YD116" s="4451"/>
      <c r="YE116" s="4451"/>
      <c r="YF116" s="4451"/>
      <c r="YG116" s="4451"/>
      <c r="YH116" s="4451"/>
      <c r="YI116" s="4451"/>
      <c r="YJ116" s="4451"/>
      <c r="YK116" s="4451"/>
      <c r="YL116" s="4451"/>
      <c r="YM116" s="4451"/>
      <c r="YN116" s="4451"/>
      <c r="YO116" s="4451"/>
      <c r="YP116" s="4451"/>
      <c r="YQ116" s="4451"/>
      <c r="YR116" s="4451"/>
      <c r="YS116" s="4451"/>
      <c r="YT116" s="4451"/>
      <c r="YU116" s="4451"/>
      <c r="YV116" s="4451"/>
      <c r="YW116" s="4451"/>
      <c r="YX116" s="4451"/>
      <c r="YY116" s="4451"/>
      <c r="YZ116" s="4451"/>
      <c r="ZA116" s="4451"/>
      <c r="ZB116" s="4451"/>
      <c r="ZC116" s="4451"/>
      <c r="ZD116" s="4451"/>
      <c r="ZE116" s="4451"/>
      <c r="ZF116" s="4451"/>
      <c r="ZG116" s="4451"/>
      <c r="ZH116" s="4451"/>
      <c r="ZI116" s="4451"/>
      <c r="ZJ116" s="4451"/>
      <c r="ZK116" s="4451"/>
      <c r="ZL116" s="4451"/>
      <c r="ZM116" s="4451"/>
      <c r="ZN116" s="4451"/>
      <c r="ZO116" s="4451"/>
      <c r="ZP116" s="4451"/>
      <c r="ZQ116" s="4451"/>
      <c r="ZR116" s="4451"/>
      <c r="ZS116" s="4451"/>
      <c r="ZT116" s="4451"/>
      <c r="ZU116" s="4451"/>
      <c r="ZV116" s="4451"/>
      <c r="ZW116" s="4451"/>
      <c r="ZX116" s="4451"/>
      <c r="ZY116" s="4451"/>
      <c r="ZZ116" s="4451"/>
      <c r="AAA116" s="4451"/>
      <c r="AAB116" s="4451"/>
      <c r="AAC116" s="4451"/>
      <c r="AAD116" s="4451"/>
      <c r="AAE116" s="4451"/>
      <c r="AAF116" s="4451"/>
      <c r="AAG116" s="4451"/>
      <c r="AAH116" s="4451"/>
      <c r="AAI116" s="4451"/>
      <c r="AAJ116" s="4451"/>
      <c r="AAK116" s="4451"/>
      <c r="AAL116" s="4451"/>
      <c r="AAM116" s="4451"/>
      <c r="AAN116" s="4451"/>
      <c r="AAO116" s="4451"/>
      <c r="AAP116" s="4451"/>
      <c r="AAQ116" s="4451"/>
      <c r="AAR116" s="4451"/>
      <c r="AAS116" s="4451"/>
      <c r="AAT116" s="4451"/>
      <c r="AAU116" s="4451"/>
      <c r="AAV116" s="4451"/>
      <c r="AAW116" s="4451"/>
      <c r="AAX116" s="4451"/>
      <c r="AAY116" s="4451"/>
      <c r="AAZ116" s="4451"/>
      <c r="ABA116" s="4451"/>
      <c r="ABB116" s="4451"/>
      <c r="ABC116" s="4451"/>
      <c r="ABD116" s="4451"/>
      <c r="ABE116" s="4451"/>
      <c r="ABF116" s="4451"/>
      <c r="ABG116" s="4451"/>
      <c r="ABH116" s="4451"/>
      <c r="ABI116" s="4451"/>
      <c r="ABJ116" s="4451"/>
      <c r="ABK116" s="4451"/>
      <c r="ABL116" s="4451"/>
      <c r="ABM116" s="4451"/>
      <c r="ABN116" s="4451"/>
      <c r="ABO116" s="4451"/>
      <c r="ABP116" s="4451"/>
      <c r="ABQ116" s="4451"/>
    </row>
    <row r="117" spans="1:745" s="4458" customFormat="1" ht="13.6" customHeight="1" x14ac:dyDescent="0.3">
      <c r="A117" s="4457"/>
      <c r="B117" s="1773" t="s">
        <v>53</v>
      </c>
      <c r="C117" s="5112" t="s">
        <v>1043</v>
      </c>
      <c r="D117" s="5113" t="s">
        <v>981</v>
      </c>
      <c r="E117" s="1993">
        <v>45672</v>
      </c>
      <c r="F117" s="1993">
        <v>46036</v>
      </c>
      <c r="G117" s="1994">
        <v>327000</v>
      </c>
      <c r="H117" s="2031"/>
      <c r="I117" s="1914"/>
      <c r="J117" s="1914"/>
      <c r="K117" s="1914"/>
      <c r="L117" s="593"/>
      <c r="M117" s="2031"/>
      <c r="N117" s="1914"/>
      <c r="O117" s="1914"/>
      <c r="P117" s="1914"/>
      <c r="Q117" s="593"/>
      <c r="R117" s="2031"/>
      <c r="S117" s="1914"/>
      <c r="T117" s="1914"/>
      <c r="U117" s="1914"/>
      <c r="V117" s="593"/>
      <c r="W117" s="2031"/>
      <c r="X117" s="1914"/>
      <c r="Y117" s="1914"/>
      <c r="Z117" s="1914"/>
      <c r="AA117" s="2032"/>
      <c r="AB117" s="2031"/>
      <c r="AC117" s="1914"/>
      <c r="AD117" s="1914"/>
      <c r="AE117" s="1914"/>
      <c r="AF117" s="2032"/>
      <c r="AG117" s="1914"/>
      <c r="AH117" s="1914"/>
      <c r="AI117" s="1914"/>
      <c r="AJ117" s="1914"/>
      <c r="AK117" s="593"/>
      <c r="AL117" s="1914"/>
      <c r="AM117" s="1914"/>
      <c r="AN117" s="1914"/>
      <c r="AO117" s="1914"/>
      <c r="AP117" s="593"/>
      <c r="AQ117" s="1914"/>
      <c r="AR117" s="1914"/>
      <c r="AS117" s="1914"/>
      <c r="AT117" s="1914"/>
      <c r="AU117" s="593"/>
      <c r="AV117" s="2033"/>
      <c r="AW117" s="1914"/>
      <c r="AX117" s="1914"/>
      <c r="AY117" s="1914"/>
      <c r="AZ117" s="2032"/>
      <c r="BA117" s="2033"/>
      <c r="BB117" s="1914"/>
      <c r="BC117" s="1914"/>
      <c r="BD117" s="1914"/>
      <c r="BE117" s="2032"/>
      <c r="BF117" s="2033"/>
      <c r="BG117" s="1914"/>
      <c r="BH117" s="1914"/>
      <c r="BI117" s="1914"/>
      <c r="BJ117" s="2032"/>
      <c r="BK117" s="2033"/>
      <c r="BL117" s="1914"/>
      <c r="BM117" s="1914"/>
      <c r="BN117" s="1914"/>
      <c r="BO117" s="2032"/>
      <c r="BP117" s="2034"/>
      <c r="BQ117" s="1914"/>
      <c r="BR117" s="1914"/>
      <c r="BS117" s="1914"/>
      <c r="BT117" s="2035"/>
      <c r="BU117" s="1914"/>
      <c r="BV117" s="1914"/>
      <c r="BW117" s="2036"/>
      <c r="BX117" s="2035"/>
      <c r="BY117" s="1914"/>
      <c r="BZ117" s="1914"/>
      <c r="CA117" s="2010"/>
      <c r="CB117" s="1914"/>
      <c r="CC117" s="1914"/>
      <c r="CD117" s="1914"/>
      <c r="CE117" s="1914"/>
      <c r="CF117" s="2035"/>
      <c r="CG117" s="1914"/>
      <c r="CH117" s="1914"/>
      <c r="CI117" s="2010"/>
      <c r="CJ117" s="2037"/>
      <c r="CK117" s="1914"/>
      <c r="CL117" s="1914"/>
      <c r="CM117" s="1914"/>
      <c r="CN117" s="2036"/>
      <c r="CO117" s="2037"/>
      <c r="CP117" s="2031"/>
      <c r="CQ117" s="2031"/>
      <c r="CR117" s="2031"/>
      <c r="CS117" s="2036"/>
      <c r="CT117" s="2037"/>
      <c r="CU117" s="1914"/>
      <c r="CV117" s="1914"/>
      <c r="CW117" s="1914"/>
      <c r="CX117" s="2036"/>
      <c r="CY117" s="2037"/>
      <c r="CZ117" s="1914"/>
      <c r="DA117" s="1914"/>
      <c r="DB117" s="1914"/>
      <c r="DC117" s="2036"/>
      <c r="DD117" s="2037"/>
      <c r="DE117" s="1914"/>
      <c r="DF117" s="1914"/>
      <c r="DG117" s="1914"/>
      <c r="DH117" s="2038"/>
      <c r="DI117" s="2037"/>
      <c r="DJ117" s="1914"/>
      <c r="DK117" s="1914"/>
      <c r="DL117" s="1914"/>
      <c r="DM117" s="2038"/>
      <c r="DN117" s="2037"/>
      <c r="DO117" s="1914"/>
      <c r="DP117" s="1914"/>
      <c r="DQ117" s="1914"/>
      <c r="DR117" s="2038"/>
      <c r="DS117" s="2037"/>
      <c r="DT117" s="1914"/>
      <c r="DU117" s="1914"/>
      <c r="DV117" s="1914"/>
      <c r="DW117" s="2038"/>
      <c r="DX117" s="2037"/>
      <c r="DY117" s="1914"/>
      <c r="DZ117" s="1914"/>
      <c r="EA117" s="1914"/>
      <c r="EB117" s="2038"/>
      <c r="EC117" s="2037"/>
      <c r="ED117" s="1914"/>
      <c r="EE117" s="1914"/>
      <c r="EF117" s="1914"/>
      <c r="EG117" s="2038"/>
      <c r="EH117" s="2037"/>
      <c r="EI117" s="1914"/>
      <c r="EJ117" s="1914"/>
      <c r="EK117" s="1914"/>
      <c r="EL117" s="2038"/>
      <c r="EM117" s="1910"/>
      <c r="EN117" s="715"/>
      <c r="EO117" s="715"/>
      <c r="EP117" s="715"/>
      <c r="EQ117" s="366"/>
      <c r="ER117" s="2402"/>
      <c r="ES117" s="2403"/>
      <c r="ET117" s="2403"/>
      <c r="EU117" s="2403"/>
      <c r="EV117" s="2404"/>
      <c r="EW117" s="2031"/>
      <c r="EX117" s="2031"/>
      <c r="EY117" s="2031"/>
      <c r="EZ117" s="593"/>
      <c r="FA117" s="2037"/>
      <c r="FB117" s="2031"/>
      <c r="FC117" s="2031"/>
      <c r="FD117" s="2036"/>
      <c r="FE117" s="2031"/>
      <c r="FF117" s="2031"/>
      <c r="FG117" s="2031"/>
      <c r="FH117" s="593"/>
      <c r="FI117" s="2039"/>
      <c r="FJ117" s="2040"/>
      <c r="FK117" s="2041"/>
      <c r="FL117" s="2041"/>
      <c r="FM117" s="693"/>
      <c r="FN117" s="2031"/>
      <c r="FO117" s="1914"/>
      <c r="FP117" s="1914"/>
      <c r="FQ117" s="1914"/>
      <c r="FR117" s="2032"/>
      <c r="FS117" s="1910"/>
      <c r="FT117" s="715"/>
      <c r="FU117" s="715"/>
      <c r="FV117" s="715"/>
      <c r="FW117" s="366"/>
      <c r="FX117" s="2037"/>
      <c r="FY117" s="1914"/>
      <c r="FZ117" s="1914"/>
      <c r="GA117" s="715"/>
      <c r="GB117" s="366"/>
      <c r="GC117" s="2110"/>
      <c r="GD117" s="2111"/>
      <c r="GE117" s="2111"/>
      <c r="GF117" s="715"/>
      <c r="GG117" s="366"/>
      <c r="GH117" s="2042"/>
      <c r="GI117" s="2043"/>
      <c r="GJ117" s="2043"/>
      <c r="GK117" s="715"/>
      <c r="GL117" s="366"/>
      <c r="GM117" s="2042"/>
      <c r="GN117" s="2043"/>
      <c r="GO117" s="2043"/>
      <c r="GP117" s="715"/>
      <c r="GQ117" s="366"/>
      <c r="GR117" s="2042"/>
      <c r="GS117" s="2043"/>
      <c r="GT117" s="2043"/>
      <c r="GU117" s="715"/>
      <c r="GV117" s="366"/>
      <c r="GW117" s="2042"/>
      <c r="GX117" s="2043"/>
      <c r="GY117" s="2043"/>
      <c r="GZ117" s="715"/>
      <c r="HA117" s="366"/>
      <c r="HB117" s="2042"/>
      <c r="HC117" s="2043"/>
      <c r="HD117" s="2043"/>
      <c r="HE117" s="715"/>
      <c r="HF117" s="366"/>
      <c r="HG117" s="2042"/>
      <c r="HH117" s="2043"/>
      <c r="HI117" s="2043"/>
      <c r="HJ117" s="2113"/>
      <c r="HK117" s="366"/>
      <c r="HL117" s="2042"/>
      <c r="HM117" s="2043"/>
      <c r="HN117" s="2043"/>
      <c r="HO117" s="715"/>
      <c r="HP117" s="366"/>
      <c r="HQ117" s="2114"/>
      <c r="HR117" s="1904"/>
      <c r="HS117" s="1904"/>
      <c r="HT117" s="1904"/>
      <c r="HU117" s="2115"/>
      <c r="HV117" s="2405"/>
      <c r="HW117" s="2406"/>
      <c r="HX117" s="2406"/>
      <c r="HY117" s="2406"/>
      <c r="HZ117" s="1906"/>
      <c r="IA117" s="1907"/>
      <c r="IB117" s="1908"/>
      <c r="IC117" s="1908"/>
      <c r="ID117" s="1909"/>
      <c r="IE117" s="1910"/>
      <c r="IF117" s="1911"/>
      <c r="IG117" s="1912"/>
      <c r="IH117" s="1909"/>
      <c r="II117" s="1907"/>
      <c r="IJ117" s="2116"/>
      <c r="IK117" s="2116"/>
      <c r="IL117" s="693"/>
      <c r="IM117" s="2117"/>
      <c r="IN117" s="2116"/>
      <c r="IO117" s="2116"/>
      <c r="IP117" s="1838"/>
      <c r="IQ117" s="1914"/>
      <c r="IR117" s="2044"/>
      <c r="IS117" s="715"/>
      <c r="IT117" s="715"/>
      <c r="IU117" s="2131"/>
      <c r="IV117" s="2045"/>
      <c r="IW117" s="1910"/>
      <c r="IX117" s="715"/>
      <c r="IY117" s="715"/>
      <c r="IZ117" s="2113"/>
      <c r="JA117" s="2132"/>
      <c r="JB117" s="2407"/>
      <c r="JC117" s="2408"/>
      <c r="JD117" s="2409"/>
      <c r="JE117" s="2113"/>
      <c r="JF117" s="2132"/>
      <c r="JG117" s="2410"/>
      <c r="JH117" s="2043"/>
      <c r="JI117" s="2043"/>
      <c r="JJ117" s="2411"/>
      <c r="JK117" s="2132"/>
      <c r="JL117" s="2129"/>
      <c r="JM117" s="2043"/>
      <c r="JN117" s="2043"/>
      <c r="JO117" s="715"/>
      <c r="JP117" s="2132"/>
      <c r="JQ117" s="2129"/>
      <c r="JR117" s="2130"/>
      <c r="JS117" s="1904"/>
      <c r="JT117" s="2131"/>
      <c r="JU117" s="2132"/>
      <c r="JV117" s="2410"/>
      <c r="JW117" s="2043"/>
      <c r="JX117" s="1904"/>
      <c r="JY117" s="715"/>
      <c r="JZ117" s="2132"/>
      <c r="KA117" s="2410"/>
      <c r="KB117" s="1904"/>
      <c r="KC117" s="2130"/>
      <c r="KD117" s="2414"/>
      <c r="KE117" s="2415"/>
      <c r="KF117" s="2410"/>
      <c r="KG117" s="1904"/>
      <c r="KH117" s="2043"/>
      <c r="KI117" s="2113"/>
      <c r="KJ117" s="2132"/>
      <c r="KK117" s="2410"/>
      <c r="KL117" s="1904"/>
      <c r="KM117" s="2043"/>
      <c r="KN117" s="2416"/>
      <c r="KO117" s="2417"/>
      <c r="KP117" s="2136"/>
      <c r="KQ117" s="2130"/>
      <c r="KR117" s="1904"/>
      <c r="KS117" s="2131"/>
      <c r="KT117" s="2137"/>
      <c r="KU117" s="2114"/>
      <c r="KV117" s="1904"/>
      <c r="KW117" s="1904"/>
      <c r="KX117" s="1904"/>
      <c r="KY117" s="2418"/>
      <c r="KZ117" s="1832"/>
      <c r="LA117" s="622"/>
      <c r="LB117" s="622"/>
      <c r="LC117" s="622"/>
      <c r="LD117" s="239"/>
      <c r="LE117" s="2419"/>
      <c r="LF117" s="2420"/>
      <c r="LG117" s="2420"/>
      <c r="LH117" s="2421"/>
      <c r="LI117" s="2422"/>
      <c r="LJ117" s="2423"/>
      <c r="LK117" s="2419"/>
      <c r="LL117" s="2421"/>
      <c r="LM117" s="1907"/>
      <c r="LN117" s="2116"/>
      <c r="LO117" s="2116"/>
      <c r="LP117" s="2013"/>
      <c r="LQ117" s="2424"/>
      <c r="LR117" s="2116"/>
      <c r="LS117" s="2116"/>
      <c r="LT117" s="1838"/>
      <c r="LU117" s="2425"/>
      <c r="LV117" s="2426"/>
      <c r="LW117" s="436"/>
      <c r="LX117" s="436"/>
      <c r="LY117" s="2427"/>
      <c r="LZ117" s="1588"/>
      <c r="MA117" s="2422"/>
      <c r="MB117" s="1587"/>
      <c r="MC117" s="1587"/>
      <c r="MD117" s="2148"/>
      <c r="ME117" s="2149"/>
      <c r="MF117" s="406"/>
      <c r="MG117" s="2428"/>
      <c r="MH117" s="5114"/>
      <c r="MI117" s="2148"/>
      <c r="MJ117" s="2149"/>
      <c r="MK117" s="2429"/>
      <c r="ML117" s="436"/>
      <c r="MM117" s="1587"/>
      <c r="MN117" s="2148"/>
      <c r="MO117" s="2149"/>
      <c r="MP117" s="2153"/>
      <c r="MQ117" s="1904"/>
      <c r="MR117" s="1904"/>
      <c r="MS117" s="1904"/>
      <c r="MT117" s="787"/>
      <c r="MU117" s="1318"/>
      <c r="MV117" s="395"/>
      <c r="MW117" s="395"/>
      <c r="MX117" s="395"/>
      <c r="MY117" s="655"/>
      <c r="MZ117" s="1318"/>
      <c r="NA117" s="395"/>
      <c r="NB117" s="395"/>
      <c r="NC117" s="395"/>
      <c r="ND117" s="801"/>
      <c r="NE117" s="1318"/>
      <c r="NF117" s="395"/>
      <c r="NG117" s="395"/>
      <c r="NH117" s="395"/>
      <c r="NI117" s="801"/>
      <c r="NJ117" s="1318"/>
      <c r="NK117" s="395"/>
      <c r="NL117" s="395"/>
      <c r="NM117" s="395"/>
      <c r="NN117" s="801"/>
      <c r="NO117" s="2432"/>
      <c r="NP117" s="622"/>
      <c r="NQ117" s="2437"/>
      <c r="NR117" s="395"/>
      <c r="NS117" s="801"/>
      <c r="NT117" s="2432"/>
      <c r="NU117" s="622"/>
      <c r="NV117" s="622"/>
      <c r="NW117" s="395"/>
      <c r="NX117" s="801"/>
      <c r="NY117" s="2432"/>
      <c r="NZ117" s="622"/>
      <c r="OA117" s="622"/>
      <c r="OB117" s="622"/>
      <c r="OC117" s="116"/>
      <c r="OD117" s="2433"/>
      <c r="OE117" s="622"/>
      <c r="OF117" s="622"/>
      <c r="OG117" s="622"/>
      <c r="OH117" s="1576"/>
      <c r="OI117" s="2435"/>
      <c r="OJ117" s="2436"/>
      <c r="OK117" s="2436"/>
      <c r="OL117" s="2436"/>
      <c r="OM117" s="1439"/>
      <c r="ON117" s="622"/>
      <c r="OO117" s="622"/>
      <c r="OP117" s="622"/>
      <c r="OQ117" s="2437"/>
      <c r="OR117" s="421"/>
      <c r="OS117" s="2438"/>
      <c r="OT117" s="2439"/>
      <c r="OU117" s="2439"/>
      <c r="OV117" s="2440"/>
      <c r="OW117" s="460"/>
      <c r="OX117" s="2432"/>
      <c r="OY117" s="622"/>
      <c r="OZ117" s="622"/>
      <c r="PA117" s="2437"/>
      <c r="PB117" s="116"/>
      <c r="PC117" s="2441"/>
      <c r="PD117" s="2426"/>
      <c r="PE117" s="436"/>
      <c r="PF117" s="436"/>
      <c r="PG117" s="115"/>
      <c r="PH117" s="1588"/>
      <c r="PI117" s="401"/>
      <c r="PJ117" s="395"/>
      <c r="PK117" s="395"/>
      <c r="PL117" s="115"/>
      <c r="PM117" s="186"/>
      <c r="PN117" s="2426"/>
      <c r="PO117" s="436"/>
      <c r="PP117" s="1587"/>
      <c r="PQ117" s="2148"/>
      <c r="PR117" s="2149"/>
      <c r="PS117" s="2429"/>
      <c r="PT117" s="436"/>
      <c r="PU117" s="1587"/>
      <c r="PV117" s="2148"/>
      <c r="PW117" s="207"/>
      <c r="PX117" s="2153"/>
      <c r="PY117" s="1904"/>
      <c r="PZ117" s="1904"/>
      <c r="QA117" s="1904"/>
      <c r="QB117" s="787"/>
      <c r="QC117" s="1318"/>
      <c r="QD117" s="395"/>
      <c r="QE117" s="395"/>
      <c r="QF117" s="395"/>
      <c r="QG117" s="655"/>
      <c r="QH117" s="401"/>
      <c r="QI117" s="395"/>
      <c r="QJ117" s="395"/>
      <c r="QK117" s="395"/>
      <c r="QL117" s="801"/>
      <c r="QM117" s="401"/>
      <c r="QN117" s="395"/>
      <c r="QO117" s="395"/>
      <c r="QP117" s="395"/>
      <c r="QQ117" s="801"/>
      <c r="QR117" s="1318"/>
      <c r="QS117" s="395"/>
      <c r="QT117" s="395"/>
      <c r="QU117" s="395"/>
      <c r="QV117" s="207"/>
      <c r="QW117" s="2002"/>
      <c r="QX117" s="2001"/>
      <c r="QY117" s="2001"/>
      <c r="QZ117" s="2001"/>
      <c r="RA117" s="370"/>
      <c r="RB117" s="156"/>
      <c r="RC117" s="208"/>
      <c r="RD117" s="208"/>
      <c r="RE117" s="208"/>
      <c r="RF117" s="114"/>
      <c r="RG117" s="1857"/>
      <c r="RH117" s="208"/>
      <c r="RI117" s="208"/>
      <c r="RJ117" s="772"/>
      <c r="RK117" s="2050"/>
      <c r="RL117" s="1567"/>
      <c r="RM117" s="1568">
        <f t="shared" si="426"/>
        <v>0</v>
      </c>
      <c r="RN117" s="1568">
        <f t="shared" si="426"/>
        <v>0</v>
      </c>
      <c r="RO117" s="1568">
        <f t="shared" si="426"/>
        <v>0</v>
      </c>
      <c r="RP117" s="220"/>
      <c r="RQ117" s="2435"/>
      <c r="RR117" s="2436"/>
      <c r="RS117" s="2436"/>
      <c r="RT117" s="2436"/>
      <c r="RU117" s="1439"/>
      <c r="RV117" s="622"/>
      <c r="RW117" s="622"/>
      <c r="RX117" s="622"/>
      <c r="RY117" s="2437"/>
      <c r="RZ117" s="421"/>
      <c r="SA117" s="2438"/>
      <c r="SB117" s="2439"/>
      <c r="SC117" s="2439"/>
      <c r="SD117" s="2440"/>
      <c r="SE117" s="460"/>
      <c r="SF117" s="1567"/>
      <c r="SG117" s="358"/>
      <c r="SH117" s="358"/>
      <c r="SI117" s="359"/>
      <c r="SJ117" s="114"/>
      <c r="SK117" s="1193"/>
      <c r="SL117" s="2426"/>
      <c r="SM117" s="435"/>
      <c r="SN117" s="1585"/>
      <c r="SO117" s="96"/>
      <c r="SP117" s="78"/>
      <c r="SQ117" s="439"/>
      <c r="SR117" s="435"/>
      <c r="SS117" s="1585"/>
      <c r="ST117" s="96"/>
      <c r="SU117" s="1581"/>
      <c r="SV117" s="440">
        <v>10</v>
      </c>
      <c r="SW117" s="435">
        <v>302725</v>
      </c>
      <c r="SX117" s="1585">
        <v>327000</v>
      </c>
      <c r="SY117" s="371">
        <f>SX117-SW117</f>
        <v>24275</v>
      </c>
      <c r="SZ117" s="157">
        <f>SY117/SX117</f>
        <v>7.4235474006116214E-2</v>
      </c>
      <c r="TA117" s="4102">
        <v>10</v>
      </c>
      <c r="TB117" s="435">
        <v>293804</v>
      </c>
      <c r="TC117" s="1585">
        <v>327000</v>
      </c>
      <c r="TD117" s="96">
        <f>TC117-TB117</f>
        <v>33196</v>
      </c>
      <c r="TE117" s="94">
        <f>TD117/TC117</f>
        <v>0.10151681957186544</v>
      </c>
      <c r="TF117" s="1573">
        <v>10</v>
      </c>
      <c r="TG117" s="395">
        <v>282986</v>
      </c>
      <c r="TH117" s="1585">
        <v>327000</v>
      </c>
      <c r="TI117" s="395">
        <f>TH117-TG117</f>
        <v>44014</v>
      </c>
      <c r="TJ117" s="114">
        <f>TI117/TH117</f>
        <v>0.1345993883792049</v>
      </c>
      <c r="TK117" s="209">
        <v>10</v>
      </c>
      <c r="TL117" s="208">
        <v>287335</v>
      </c>
      <c r="TM117" s="208">
        <v>327000</v>
      </c>
      <c r="TN117" s="208">
        <f>TM117-TL117</f>
        <v>39665</v>
      </c>
      <c r="TO117" s="114">
        <f>TN117/TM117</f>
        <v>0.12129969418960244</v>
      </c>
      <c r="TP117" s="4434">
        <v>10</v>
      </c>
      <c r="TQ117" s="395">
        <v>297018</v>
      </c>
      <c r="TR117" s="1585">
        <v>327000</v>
      </c>
      <c r="TS117" s="994">
        <f>TR117-TQ117</f>
        <v>29982</v>
      </c>
      <c r="TT117" s="114">
        <f>TS117/TR117</f>
        <v>9.1688073394495417E-2</v>
      </c>
      <c r="TU117" s="4434">
        <v>9</v>
      </c>
      <c r="TV117" s="395">
        <v>271251</v>
      </c>
      <c r="TW117" s="1585">
        <v>327000</v>
      </c>
      <c r="TX117" s="994">
        <f>TW117-TV117</f>
        <v>55749</v>
      </c>
      <c r="TY117" s="116">
        <f>TX117/TW117</f>
        <v>0.17048623853211009</v>
      </c>
      <c r="TZ117" s="1318">
        <v>10</v>
      </c>
      <c r="UA117" s="395">
        <v>656732</v>
      </c>
      <c r="UB117" s="395">
        <v>327000</v>
      </c>
      <c r="UC117" s="4513">
        <f>UB117-UA117</f>
        <v>-329732</v>
      </c>
      <c r="UD117" s="4947">
        <f t="shared" si="452"/>
        <v>-1.0083547400611621</v>
      </c>
      <c r="UE117" s="2002">
        <v>10</v>
      </c>
      <c r="UF117" s="2001">
        <v>671851</v>
      </c>
      <c r="UG117" s="2001">
        <v>441640</v>
      </c>
      <c r="UH117" s="6502">
        <f t="shared" si="322"/>
        <v>-230211</v>
      </c>
      <c r="UI117" s="5223">
        <f t="shared" si="367"/>
        <v>-0.52126392536907884</v>
      </c>
      <c r="UJ117" s="156"/>
      <c r="UK117" s="208"/>
      <c r="UL117" s="208"/>
      <c r="UM117" s="208"/>
      <c r="UN117" s="114"/>
      <c r="UO117" s="1567"/>
      <c r="UP117" s="1568"/>
      <c r="UQ117" s="1568"/>
      <c r="UR117" s="1873"/>
      <c r="US117" s="2050"/>
      <c r="UT117" s="1567"/>
      <c r="UU117" s="358">
        <f>UP117+UK117+UF117+UA117+TV117+TQ117+TL117+TG117+TB117+SW117+SR117+SM117</f>
        <v>3063702</v>
      </c>
      <c r="UV117" s="358">
        <f>UQ117+UL117+UG117+UB117+TW117+TR117+TM117+TH117+TC117+SX117+SS117+SN117</f>
        <v>2730640</v>
      </c>
      <c r="UW117" s="358">
        <f>UR117+UM117+UH117+UC117+TX117+TS117+TN117+TI117+TD117+SY117+ST117+SO117</f>
        <v>-333062</v>
      </c>
      <c r="UX117" s="220">
        <f>UW117/UV117</f>
        <v>-0.12197213839978906</v>
      </c>
      <c r="UY117" s="4441">
        <f>(SL117+SQ117+SV117)/3</f>
        <v>3.3333333333333335</v>
      </c>
      <c r="UZ117" s="4442">
        <f>SM117+SR117+SW117</f>
        <v>302725</v>
      </c>
      <c r="VA117" s="4442">
        <f>SN117+SS117+SX117</f>
        <v>327000</v>
      </c>
      <c r="VB117" s="4442">
        <f>SO117+ST117+SY117</f>
        <v>24275</v>
      </c>
      <c r="VC117" s="4443">
        <f>VB117/VA117</f>
        <v>7.4235474006116214E-2</v>
      </c>
      <c r="VD117" s="4440"/>
      <c r="VE117" s="4438">
        <f>TB117+TG117+TL117</f>
        <v>864125</v>
      </c>
      <c r="VF117" s="4438">
        <f>TC117+TH117+TM117</f>
        <v>981000</v>
      </c>
      <c r="VG117" s="4444">
        <f>TD117+TI117+TN117</f>
        <v>116875</v>
      </c>
      <c r="VH117" s="4445">
        <f>VG117/VF117</f>
        <v>0.11913863404689093</v>
      </c>
      <c r="VI117" s="4446"/>
      <c r="VJ117" s="146">
        <f>UA117+TV117+TQ117</f>
        <v>1225001</v>
      </c>
      <c r="VK117" s="146">
        <f>UB117+TW117+TR117</f>
        <v>981000</v>
      </c>
      <c r="VL117" s="1864">
        <f>UC117+TX117+TS117</f>
        <v>-244001</v>
      </c>
      <c r="VM117" s="4459"/>
      <c r="VN117" s="4449"/>
      <c r="VO117" s="4438"/>
      <c r="VP117" s="4438"/>
      <c r="VQ117" s="4444"/>
      <c r="VR117" s="4448"/>
      <c r="VS117" s="4451"/>
      <c r="VT117" s="4451"/>
      <c r="VU117" s="4451"/>
      <c r="VV117" s="4451"/>
      <c r="VW117" s="4451"/>
      <c r="VX117" s="4451"/>
      <c r="VY117" s="4451"/>
      <c r="VZ117" s="4451"/>
      <c r="WA117" s="4451"/>
      <c r="WB117" s="4451"/>
      <c r="WC117" s="4451"/>
      <c r="WD117" s="4451"/>
      <c r="WE117" s="4451"/>
      <c r="WF117" s="4451"/>
      <c r="WG117" s="4451"/>
      <c r="WH117" s="4451"/>
      <c r="WI117" s="4451"/>
      <c r="WJ117" s="4451"/>
      <c r="WK117" s="4451"/>
      <c r="WL117" s="4451"/>
      <c r="WM117" s="4451"/>
      <c r="WN117" s="4451"/>
      <c r="WO117" s="4451"/>
      <c r="WP117" s="4451"/>
      <c r="WQ117" s="4451"/>
      <c r="WR117" s="4451"/>
      <c r="WS117" s="4451"/>
      <c r="WT117" s="4451"/>
      <c r="WU117" s="4451"/>
      <c r="WV117" s="4451"/>
      <c r="WW117" s="4451"/>
      <c r="WX117" s="4451"/>
      <c r="WY117" s="4451"/>
      <c r="WZ117" s="4451"/>
      <c r="XA117" s="4451"/>
      <c r="XB117" s="4451"/>
      <c r="XC117" s="4451"/>
      <c r="XD117" s="4451"/>
      <c r="XE117" s="4451"/>
      <c r="XF117" s="4451"/>
      <c r="XG117" s="4451"/>
      <c r="XH117" s="4451"/>
      <c r="XI117" s="4451"/>
      <c r="XJ117" s="4451"/>
      <c r="XK117" s="4451"/>
      <c r="XL117" s="4451"/>
      <c r="XM117" s="4451"/>
      <c r="XN117" s="4451"/>
      <c r="XO117" s="4451"/>
      <c r="XP117" s="4451"/>
      <c r="XQ117" s="4451"/>
      <c r="XR117" s="4451"/>
      <c r="XS117" s="4451"/>
      <c r="XT117" s="4451"/>
      <c r="XU117" s="4451"/>
      <c r="XV117" s="4451"/>
      <c r="XW117" s="4451"/>
      <c r="XX117" s="4451"/>
      <c r="XY117" s="4451"/>
      <c r="XZ117" s="4451"/>
      <c r="YA117" s="4451"/>
      <c r="YB117" s="4451"/>
      <c r="YC117" s="4451"/>
      <c r="YD117" s="4451"/>
      <c r="YE117" s="4451"/>
      <c r="YF117" s="4451"/>
      <c r="YG117" s="4451"/>
      <c r="YH117" s="4451"/>
      <c r="YI117" s="4451"/>
      <c r="YJ117" s="4451"/>
      <c r="YK117" s="4451"/>
      <c r="YL117" s="4451"/>
      <c r="YM117" s="4451"/>
      <c r="YN117" s="4451"/>
      <c r="YO117" s="4451"/>
      <c r="YP117" s="4451"/>
      <c r="YQ117" s="4451"/>
      <c r="YR117" s="4451"/>
      <c r="YS117" s="4451"/>
      <c r="YT117" s="4451"/>
      <c r="YU117" s="4451"/>
      <c r="YV117" s="4451"/>
      <c r="YW117" s="4451"/>
      <c r="YX117" s="4451"/>
      <c r="YY117" s="4451"/>
      <c r="YZ117" s="4451"/>
      <c r="ZA117" s="4451"/>
      <c r="ZB117" s="4451"/>
      <c r="ZC117" s="4451"/>
      <c r="ZD117" s="4451"/>
      <c r="ZE117" s="4451"/>
      <c r="ZF117" s="4451"/>
      <c r="ZG117" s="4451"/>
      <c r="ZH117" s="4451"/>
      <c r="ZI117" s="4451"/>
      <c r="ZJ117" s="4451"/>
      <c r="ZK117" s="4451"/>
      <c r="ZL117" s="4451"/>
      <c r="ZM117" s="4451"/>
      <c r="ZN117" s="4451"/>
      <c r="ZO117" s="4451"/>
      <c r="ZP117" s="4451"/>
      <c r="ZQ117" s="4451"/>
      <c r="ZR117" s="4451"/>
      <c r="ZS117" s="4451"/>
      <c r="ZT117" s="4451"/>
      <c r="ZU117" s="4451"/>
      <c r="ZV117" s="4451"/>
      <c r="ZW117" s="4451"/>
      <c r="ZX117" s="4451"/>
      <c r="ZY117" s="4451"/>
      <c r="ZZ117" s="4451"/>
      <c r="AAA117" s="4451"/>
      <c r="AAB117" s="4451"/>
      <c r="AAC117" s="4451"/>
      <c r="AAD117" s="4451"/>
      <c r="AAE117" s="4451"/>
      <c r="AAF117" s="4451"/>
      <c r="AAG117" s="4451"/>
      <c r="AAH117" s="4451"/>
      <c r="AAI117" s="4451"/>
      <c r="AAJ117" s="4451"/>
      <c r="AAK117" s="4451"/>
      <c r="AAL117" s="4451"/>
      <c r="AAM117" s="4451"/>
      <c r="AAN117" s="4451"/>
      <c r="AAO117" s="4451"/>
      <c r="AAP117" s="4451"/>
      <c r="AAQ117" s="4451"/>
      <c r="AAR117" s="4451"/>
      <c r="AAS117" s="4451"/>
      <c r="AAT117" s="4451"/>
      <c r="AAU117" s="4451"/>
      <c r="AAV117" s="4451"/>
      <c r="AAW117" s="4451"/>
      <c r="AAX117" s="4451"/>
      <c r="AAY117" s="4451"/>
      <c r="AAZ117" s="4451"/>
      <c r="ABA117" s="4451"/>
      <c r="ABB117" s="4451"/>
      <c r="ABC117" s="4451"/>
      <c r="ABD117" s="4451"/>
      <c r="ABE117" s="4451"/>
      <c r="ABF117" s="4451"/>
      <c r="ABG117" s="4451"/>
      <c r="ABH117" s="4451"/>
      <c r="ABI117" s="4451"/>
      <c r="ABJ117" s="4451"/>
      <c r="ABK117" s="4451"/>
      <c r="ABL117" s="4451"/>
      <c r="ABM117" s="4451"/>
      <c r="ABN117" s="4451"/>
      <c r="ABO117" s="4451"/>
      <c r="ABP117" s="4451"/>
      <c r="ABQ117" s="4451"/>
    </row>
    <row r="118" spans="1:745" s="4458" customFormat="1" ht="13.6" customHeight="1" x14ac:dyDescent="0.3">
      <c r="A118" s="4457"/>
      <c r="B118" s="1773" t="s">
        <v>53</v>
      </c>
      <c r="C118" s="6146" t="s">
        <v>1044</v>
      </c>
      <c r="D118" s="5113" t="s">
        <v>633</v>
      </c>
      <c r="E118" s="1993">
        <v>45672</v>
      </c>
      <c r="F118" s="1993">
        <v>46036</v>
      </c>
      <c r="G118" s="1994">
        <v>4629780</v>
      </c>
      <c r="H118" s="2031"/>
      <c r="I118" s="1914"/>
      <c r="J118" s="1914"/>
      <c r="K118" s="1914"/>
      <c r="L118" s="593"/>
      <c r="M118" s="2031"/>
      <c r="N118" s="1914"/>
      <c r="O118" s="1914"/>
      <c r="P118" s="1914"/>
      <c r="Q118" s="593"/>
      <c r="R118" s="2031"/>
      <c r="S118" s="1914"/>
      <c r="T118" s="1914"/>
      <c r="U118" s="1914"/>
      <c r="V118" s="593"/>
      <c r="W118" s="2031"/>
      <c r="X118" s="1914"/>
      <c r="Y118" s="1914"/>
      <c r="Z118" s="1914"/>
      <c r="AA118" s="2032"/>
      <c r="AB118" s="2031"/>
      <c r="AC118" s="1914"/>
      <c r="AD118" s="1914"/>
      <c r="AE118" s="1914"/>
      <c r="AF118" s="2032"/>
      <c r="AG118" s="1914"/>
      <c r="AH118" s="1914"/>
      <c r="AI118" s="1914"/>
      <c r="AJ118" s="1914"/>
      <c r="AK118" s="593"/>
      <c r="AL118" s="1914"/>
      <c r="AM118" s="1914"/>
      <c r="AN118" s="1914"/>
      <c r="AO118" s="1914"/>
      <c r="AP118" s="593"/>
      <c r="AQ118" s="1914"/>
      <c r="AR118" s="1914"/>
      <c r="AS118" s="1914"/>
      <c r="AT118" s="1914"/>
      <c r="AU118" s="593"/>
      <c r="AV118" s="2033"/>
      <c r="AW118" s="1914"/>
      <c r="AX118" s="1914"/>
      <c r="AY118" s="1914"/>
      <c r="AZ118" s="2032"/>
      <c r="BA118" s="2033"/>
      <c r="BB118" s="1914"/>
      <c r="BC118" s="1914"/>
      <c r="BD118" s="1914"/>
      <c r="BE118" s="2032"/>
      <c r="BF118" s="2033"/>
      <c r="BG118" s="1914"/>
      <c r="BH118" s="1914"/>
      <c r="BI118" s="1914"/>
      <c r="BJ118" s="2032"/>
      <c r="BK118" s="2033"/>
      <c r="BL118" s="1914"/>
      <c r="BM118" s="1914"/>
      <c r="BN118" s="1914"/>
      <c r="BO118" s="2032"/>
      <c r="BP118" s="2034"/>
      <c r="BQ118" s="1914"/>
      <c r="BR118" s="1914"/>
      <c r="BS118" s="1914"/>
      <c r="BT118" s="2035"/>
      <c r="BU118" s="1914"/>
      <c r="BV118" s="1914"/>
      <c r="BW118" s="2036"/>
      <c r="BX118" s="2035"/>
      <c r="BY118" s="1914"/>
      <c r="BZ118" s="1914"/>
      <c r="CA118" s="2010"/>
      <c r="CB118" s="1914"/>
      <c r="CC118" s="1914"/>
      <c r="CD118" s="1914"/>
      <c r="CE118" s="1914"/>
      <c r="CF118" s="2035"/>
      <c r="CG118" s="1914"/>
      <c r="CH118" s="1914"/>
      <c r="CI118" s="2010"/>
      <c r="CJ118" s="2037"/>
      <c r="CK118" s="1914"/>
      <c r="CL118" s="1914"/>
      <c r="CM118" s="1914"/>
      <c r="CN118" s="2036"/>
      <c r="CO118" s="2037"/>
      <c r="CP118" s="2031"/>
      <c r="CQ118" s="2031"/>
      <c r="CR118" s="2031"/>
      <c r="CS118" s="2036"/>
      <c r="CT118" s="2037"/>
      <c r="CU118" s="1914"/>
      <c r="CV118" s="1914"/>
      <c r="CW118" s="1914"/>
      <c r="CX118" s="2036"/>
      <c r="CY118" s="2037"/>
      <c r="CZ118" s="1914"/>
      <c r="DA118" s="1914"/>
      <c r="DB118" s="1914"/>
      <c r="DC118" s="2036"/>
      <c r="DD118" s="2037"/>
      <c r="DE118" s="1914"/>
      <c r="DF118" s="1914"/>
      <c r="DG118" s="1914"/>
      <c r="DH118" s="2038"/>
      <c r="DI118" s="2037"/>
      <c r="DJ118" s="1914"/>
      <c r="DK118" s="1914"/>
      <c r="DL118" s="1914"/>
      <c r="DM118" s="2038"/>
      <c r="DN118" s="2037"/>
      <c r="DO118" s="1914"/>
      <c r="DP118" s="1914"/>
      <c r="DQ118" s="1914"/>
      <c r="DR118" s="2038"/>
      <c r="DS118" s="2037"/>
      <c r="DT118" s="1914"/>
      <c r="DU118" s="1914"/>
      <c r="DV118" s="1914"/>
      <c r="DW118" s="2038"/>
      <c r="DX118" s="2037"/>
      <c r="DY118" s="1914"/>
      <c r="DZ118" s="1914"/>
      <c r="EA118" s="1914"/>
      <c r="EB118" s="2038"/>
      <c r="EC118" s="2037"/>
      <c r="ED118" s="1914"/>
      <c r="EE118" s="1914"/>
      <c r="EF118" s="1914"/>
      <c r="EG118" s="2038"/>
      <c r="EH118" s="2037"/>
      <c r="EI118" s="1914"/>
      <c r="EJ118" s="1914"/>
      <c r="EK118" s="1914"/>
      <c r="EL118" s="2038"/>
      <c r="EM118" s="1910"/>
      <c r="EN118" s="715"/>
      <c r="EO118" s="715"/>
      <c r="EP118" s="715"/>
      <c r="EQ118" s="366"/>
      <c r="ER118" s="2402"/>
      <c r="ES118" s="2403"/>
      <c r="ET118" s="2403"/>
      <c r="EU118" s="2403"/>
      <c r="EV118" s="2404"/>
      <c r="EW118" s="2031"/>
      <c r="EX118" s="2031"/>
      <c r="EY118" s="2031"/>
      <c r="EZ118" s="593"/>
      <c r="FA118" s="2037"/>
      <c r="FB118" s="2031"/>
      <c r="FC118" s="2031"/>
      <c r="FD118" s="2036"/>
      <c r="FE118" s="2031"/>
      <c r="FF118" s="2031"/>
      <c r="FG118" s="2031"/>
      <c r="FH118" s="593"/>
      <c r="FI118" s="2039"/>
      <c r="FJ118" s="2040"/>
      <c r="FK118" s="2041"/>
      <c r="FL118" s="2041"/>
      <c r="FM118" s="693"/>
      <c r="FN118" s="2031"/>
      <c r="FO118" s="1914"/>
      <c r="FP118" s="1914"/>
      <c r="FQ118" s="1914"/>
      <c r="FR118" s="2032"/>
      <c r="FS118" s="1910"/>
      <c r="FT118" s="715"/>
      <c r="FU118" s="715"/>
      <c r="FV118" s="715"/>
      <c r="FW118" s="366"/>
      <c r="FX118" s="2037"/>
      <c r="FY118" s="1914"/>
      <c r="FZ118" s="1914"/>
      <c r="GA118" s="715"/>
      <c r="GB118" s="366"/>
      <c r="GC118" s="2110"/>
      <c r="GD118" s="2111"/>
      <c r="GE118" s="2111"/>
      <c r="GF118" s="715"/>
      <c r="GG118" s="366"/>
      <c r="GH118" s="2042"/>
      <c r="GI118" s="2043"/>
      <c r="GJ118" s="2043"/>
      <c r="GK118" s="715"/>
      <c r="GL118" s="366"/>
      <c r="GM118" s="2042"/>
      <c r="GN118" s="2043"/>
      <c r="GO118" s="2043"/>
      <c r="GP118" s="715"/>
      <c r="GQ118" s="366"/>
      <c r="GR118" s="2042"/>
      <c r="GS118" s="2043"/>
      <c r="GT118" s="2043"/>
      <c r="GU118" s="715"/>
      <c r="GV118" s="366"/>
      <c r="GW118" s="2042"/>
      <c r="GX118" s="2043"/>
      <c r="GY118" s="2043"/>
      <c r="GZ118" s="715"/>
      <c r="HA118" s="366"/>
      <c r="HB118" s="2042"/>
      <c r="HC118" s="2043"/>
      <c r="HD118" s="2043"/>
      <c r="HE118" s="715"/>
      <c r="HF118" s="366"/>
      <c r="HG118" s="2042"/>
      <c r="HH118" s="2043"/>
      <c r="HI118" s="2043"/>
      <c r="HJ118" s="2113"/>
      <c r="HK118" s="366"/>
      <c r="HL118" s="2042"/>
      <c r="HM118" s="2043"/>
      <c r="HN118" s="2043"/>
      <c r="HO118" s="715"/>
      <c r="HP118" s="366"/>
      <c r="HQ118" s="2114"/>
      <c r="HR118" s="1904"/>
      <c r="HS118" s="1904"/>
      <c r="HT118" s="1904"/>
      <c r="HU118" s="2115"/>
      <c r="HV118" s="2405"/>
      <c r="HW118" s="2406"/>
      <c r="HX118" s="2406"/>
      <c r="HY118" s="2406"/>
      <c r="HZ118" s="1906"/>
      <c r="IA118" s="1907"/>
      <c r="IB118" s="1908"/>
      <c r="IC118" s="1908"/>
      <c r="ID118" s="1909"/>
      <c r="IE118" s="1910"/>
      <c r="IF118" s="1911"/>
      <c r="IG118" s="1912"/>
      <c r="IH118" s="1909"/>
      <c r="II118" s="1907"/>
      <c r="IJ118" s="2116"/>
      <c r="IK118" s="2116"/>
      <c r="IL118" s="693"/>
      <c r="IM118" s="2117"/>
      <c r="IN118" s="2116"/>
      <c r="IO118" s="2116"/>
      <c r="IP118" s="1838"/>
      <c r="IQ118" s="1914"/>
      <c r="IR118" s="2044"/>
      <c r="IS118" s="715"/>
      <c r="IT118" s="715"/>
      <c r="IU118" s="2131"/>
      <c r="IV118" s="2045"/>
      <c r="IW118" s="1910"/>
      <c r="IX118" s="715"/>
      <c r="IY118" s="715"/>
      <c r="IZ118" s="2113"/>
      <c r="JA118" s="2132"/>
      <c r="JB118" s="2407"/>
      <c r="JC118" s="2408"/>
      <c r="JD118" s="2409"/>
      <c r="JE118" s="2113"/>
      <c r="JF118" s="2132"/>
      <c r="JG118" s="2410"/>
      <c r="JH118" s="2043"/>
      <c r="JI118" s="2043"/>
      <c r="JJ118" s="2411"/>
      <c r="JK118" s="2132"/>
      <c r="JL118" s="2129"/>
      <c r="JM118" s="2043"/>
      <c r="JN118" s="2043"/>
      <c r="JO118" s="715"/>
      <c r="JP118" s="2132"/>
      <c r="JQ118" s="2129"/>
      <c r="JR118" s="2130"/>
      <c r="JS118" s="1904"/>
      <c r="JT118" s="2131"/>
      <c r="JU118" s="2132"/>
      <c r="JV118" s="2410"/>
      <c r="JW118" s="2043"/>
      <c r="JX118" s="1904"/>
      <c r="JY118" s="715"/>
      <c r="JZ118" s="2132"/>
      <c r="KA118" s="2410"/>
      <c r="KB118" s="1904"/>
      <c r="KC118" s="2130"/>
      <c r="KD118" s="2414"/>
      <c r="KE118" s="2415"/>
      <c r="KF118" s="2410"/>
      <c r="KG118" s="1904"/>
      <c r="KH118" s="2043"/>
      <c r="KI118" s="2113"/>
      <c r="KJ118" s="2132"/>
      <c r="KK118" s="2410"/>
      <c r="KL118" s="1904"/>
      <c r="KM118" s="2043"/>
      <c r="KN118" s="2416"/>
      <c r="KO118" s="2417"/>
      <c r="KP118" s="2136"/>
      <c r="KQ118" s="2130"/>
      <c r="KR118" s="1904"/>
      <c r="KS118" s="2131"/>
      <c r="KT118" s="2137"/>
      <c r="KU118" s="2114"/>
      <c r="KV118" s="1904"/>
      <c r="KW118" s="1904"/>
      <c r="KX118" s="1904"/>
      <c r="KY118" s="2418"/>
      <c r="KZ118" s="1832"/>
      <c r="LA118" s="622"/>
      <c r="LB118" s="622"/>
      <c r="LC118" s="622"/>
      <c r="LD118" s="239"/>
      <c r="LE118" s="2419"/>
      <c r="LF118" s="2420"/>
      <c r="LG118" s="2420"/>
      <c r="LH118" s="2421"/>
      <c r="LI118" s="2422"/>
      <c r="LJ118" s="2423"/>
      <c r="LK118" s="2419"/>
      <c r="LL118" s="2421"/>
      <c r="LM118" s="1907"/>
      <c r="LN118" s="2116"/>
      <c r="LO118" s="2116"/>
      <c r="LP118" s="2013"/>
      <c r="LQ118" s="2424"/>
      <c r="LR118" s="2116"/>
      <c r="LS118" s="2116"/>
      <c r="LT118" s="1838"/>
      <c r="LU118" s="2425"/>
      <c r="LV118" s="2426"/>
      <c r="LW118" s="436"/>
      <c r="LX118" s="436"/>
      <c r="LY118" s="2427"/>
      <c r="LZ118" s="1588"/>
      <c r="MA118" s="2422"/>
      <c r="MB118" s="1587"/>
      <c r="MC118" s="1587"/>
      <c r="MD118" s="2148"/>
      <c r="ME118" s="2149"/>
      <c r="MF118" s="406"/>
      <c r="MG118" s="2428"/>
      <c r="MH118" s="5114"/>
      <c r="MI118" s="2148"/>
      <c r="MJ118" s="2149"/>
      <c r="MK118" s="2429"/>
      <c r="ML118" s="436"/>
      <c r="MM118" s="1587"/>
      <c r="MN118" s="2148"/>
      <c r="MO118" s="2149"/>
      <c r="MP118" s="2153"/>
      <c r="MQ118" s="1904"/>
      <c r="MR118" s="1904"/>
      <c r="MS118" s="1904"/>
      <c r="MT118" s="787"/>
      <c r="MU118" s="1318"/>
      <c r="MV118" s="395"/>
      <c r="MW118" s="395"/>
      <c r="MX118" s="395"/>
      <c r="MY118" s="655"/>
      <c r="MZ118" s="1318"/>
      <c r="NA118" s="395"/>
      <c r="NB118" s="395"/>
      <c r="NC118" s="395"/>
      <c r="ND118" s="801"/>
      <c r="NE118" s="1318"/>
      <c r="NF118" s="395"/>
      <c r="NG118" s="395"/>
      <c r="NH118" s="395"/>
      <c r="NI118" s="801"/>
      <c r="NJ118" s="1318"/>
      <c r="NK118" s="395"/>
      <c r="NL118" s="395"/>
      <c r="NM118" s="395"/>
      <c r="NN118" s="801"/>
      <c r="NO118" s="2432"/>
      <c r="NP118" s="622"/>
      <c r="NQ118" s="2437"/>
      <c r="NR118" s="395"/>
      <c r="NS118" s="801"/>
      <c r="NT118" s="2432"/>
      <c r="NU118" s="622"/>
      <c r="NV118" s="622"/>
      <c r="NW118" s="395"/>
      <c r="NX118" s="801"/>
      <c r="NY118" s="2432"/>
      <c r="NZ118" s="622"/>
      <c r="OA118" s="622"/>
      <c r="OB118" s="622"/>
      <c r="OC118" s="116"/>
      <c r="OD118" s="2433"/>
      <c r="OE118" s="622"/>
      <c r="OF118" s="622"/>
      <c r="OG118" s="622"/>
      <c r="OH118" s="1576"/>
      <c r="OI118" s="2435"/>
      <c r="OJ118" s="2436"/>
      <c r="OK118" s="2436"/>
      <c r="OL118" s="2436"/>
      <c r="OM118" s="1439"/>
      <c r="ON118" s="622"/>
      <c r="OO118" s="622"/>
      <c r="OP118" s="622"/>
      <c r="OQ118" s="2437"/>
      <c r="OR118" s="421"/>
      <c r="OS118" s="2438"/>
      <c r="OT118" s="2439"/>
      <c r="OU118" s="2439"/>
      <c r="OV118" s="2440"/>
      <c r="OW118" s="460"/>
      <c r="OX118" s="2432"/>
      <c r="OY118" s="622"/>
      <c r="OZ118" s="622"/>
      <c r="PA118" s="2437"/>
      <c r="PB118" s="116"/>
      <c r="PC118" s="2441"/>
      <c r="PD118" s="2426"/>
      <c r="PE118" s="436"/>
      <c r="PF118" s="436"/>
      <c r="PG118" s="115"/>
      <c r="PH118" s="1588"/>
      <c r="PI118" s="401"/>
      <c r="PJ118" s="395"/>
      <c r="PK118" s="395"/>
      <c r="PL118" s="115"/>
      <c r="PM118" s="186"/>
      <c r="PN118" s="2426"/>
      <c r="PO118" s="436"/>
      <c r="PP118" s="1587"/>
      <c r="PQ118" s="2148"/>
      <c r="PR118" s="2149"/>
      <c r="PS118" s="2429"/>
      <c r="PT118" s="436"/>
      <c r="PU118" s="1587"/>
      <c r="PV118" s="2148"/>
      <c r="PW118" s="207"/>
      <c r="PX118" s="2153"/>
      <c r="PY118" s="1904"/>
      <c r="PZ118" s="1904"/>
      <c r="QA118" s="1904"/>
      <c r="QB118" s="787"/>
      <c r="QC118" s="1318"/>
      <c r="QD118" s="395"/>
      <c r="QE118" s="395"/>
      <c r="QF118" s="395"/>
      <c r="QG118" s="655"/>
      <c r="QH118" s="401"/>
      <c r="QI118" s="395"/>
      <c r="QJ118" s="395"/>
      <c r="QK118" s="395"/>
      <c r="QL118" s="801"/>
      <c r="QM118" s="401"/>
      <c r="QN118" s="395"/>
      <c r="QO118" s="395"/>
      <c r="QP118" s="395"/>
      <c r="QQ118" s="801"/>
      <c r="QR118" s="1318"/>
      <c r="QS118" s="395"/>
      <c r="QT118" s="395"/>
      <c r="QU118" s="395"/>
      <c r="QV118" s="207"/>
      <c r="QW118" s="2002"/>
      <c r="QX118" s="2001"/>
      <c r="QY118" s="2001"/>
      <c r="QZ118" s="2001"/>
      <c r="RA118" s="370"/>
      <c r="RB118" s="156"/>
      <c r="RC118" s="5246">
        <v>0</v>
      </c>
      <c r="RD118" s="208">
        <v>0</v>
      </c>
      <c r="RE118" s="208">
        <f>RD118-RC118</f>
        <v>0</v>
      </c>
      <c r="RF118" s="116"/>
      <c r="RG118" s="1857"/>
      <c r="RH118" s="208">
        <v>0</v>
      </c>
      <c r="RI118" s="208">
        <v>0</v>
      </c>
      <c r="RJ118" s="772">
        <f>RI118-RH118</f>
        <v>0</v>
      </c>
      <c r="RK118" s="2050">
        <v>0</v>
      </c>
      <c r="RL118" s="1567"/>
      <c r="RM118" s="1568">
        <f t="shared" si="426"/>
        <v>0</v>
      </c>
      <c r="RN118" s="1568">
        <f t="shared" si="426"/>
        <v>0</v>
      </c>
      <c r="RO118" s="1568">
        <f t="shared" si="426"/>
        <v>0</v>
      </c>
      <c r="RP118" s="2281">
        <v>0</v>
      </c>
      <c r="RQ118" s="2435"/>
      <c r="RR118" s="2436"/>
      <c r="RS118" s="2436"/>
      <c r="RT118" s="2436"/>
      <c r="RU118" s="1439"/>
      <c r="RV118" s="622"/>
      <c r="RW118" s="622"/>
      <c r="RX118" s="622"/>
      <c r="RY118" s="2437"/>
      <c r="RZ118" s="421"/>
      <c r="SA118" s="2438"/>
      <c r="SB118" s="2439"/>
      <c r="SC118" s="2439"/>
      <c r="SD118" s="2440"/>
      <c r="SE118" s="460"/>
      <c r="SF118" s="1567"/>
      <c r="SG118" s="358">
        <f>QX118+RC118+RH118</f>
        <v>0</v>
      </c>
      <c r="SH118" s="358">
        <f>QY118+RD118+RI118</f>
        <v>0</v>
      </c>
      <c r="SI118" s="359">
        <f>QZ118+RE118+RJ118</f>
        <v>0</v>
      </c>
      <c r="SJ118" s="2155">
        <v>0</v>
      </c>
      <c r="SK118" s="1193"/>
      <c r="SL118" s="2426">
        <v>68</v>
      </c>
      <c r="SM118" s="436">
        <v>1070996</v>
      </c>
      <c r="SN118" s="395">
        <f>4539000/2</f>
        <v>2269500</v>
      </c>
      <c r="SO118" s="96">
        <f>SN118-SM118</f>
        <v>1198504</v>
      </c>
      <c r="SP118" s="78">
        <f>SO118/SN118</f>
        <v>0.52809165014320336</v>
      </c>
      <c r="SQ118" s="439">
        <f>152-SQ116-SQ119</f>
        <v>106</v>
      </c>
      <c r="SR118" s="208">
        <f>4422127-321874</f>
        <v>4100253</v>
      </c>
      <c r="SS118" s="208">
        <v>4539000</v>
      </c>
      <c r="ST118" s="96">
        <f>SS118-SR118</f>
        <v>438747</v>
      </c>
      <c r="SU118" s="78">
        <f>ST118/SS118</f>
        <v>9.6661599471249179E-2</v>
      </c>
      <c r="SV118" s="2426">
        <f>84-10</f>
        <v>74</v>
      </c>
      <c r="SW118" s="436">
        <f>(3221462-302725)+1132500</f>
        <v>4051237</v>
      </c>
      <c r="SX118" s="208">
        <v>4539000</v>
      </c>
      <c r="SY118" s="371">
        <f>SX118-SW118</f>
        <v>487763</v>
      </c>
      <c r="SZ118" s="157">
        <f>SY118/SX118</f>
        <v>0.10746045384445913</v>
      </c>
      <c r="TA118" s="4103">
        <v>96</v>
      </c>
      <c r="TB118" s="436">
        <f>(5525261-293804)</f>
        <v>5231457</v>
      </c>
      <c r="TC118" s="994">
        <v>4539000</v>
      </c>
      <c r="TD118" s="96">
        <f t="shared" si="280"/>
        <v>-692457</v>
      </c>
      <c r="TE118" s="94">
        <f t="shared" si="295"/>
        <v>-0.15255717118307999</v>
      </c>
      <c r="TF118" s="1573">
        <v>87</v>
      </c>
      <c r="TG118" s="395">
        <v>4482980</v>
      </c>
      <c r="TH118" s="208">
        <v>4539000</v>
      </c>
      <c r="TI118" s="395">
        <f>TH118-TG118</f>
        <v>56020</v>
      </c>
      <c r="TJ118" s="114">
        <f t="shared" si="296"/>
        <v>1.2341925534258648E-2</v>
      </c>
      <c r="TK118" s="209">
        <v>87</v>
      </c>
      <c r="TL118" s="208">
        <v>4347992</v>
      </c>
      <c r="TM118" s="208">
        <v>4539000</v>
      </c>
      <c r="TN118" s="208">
        <f t="shared" si="443"/>
        <v>191008</v>
      </c>
      <c r="TO118" s="114">
        <f t="shared" si="444"/>
        <v>4.2081515752368362E-2</v>
      </c>
      <c r="TP118" s="4434">
        <v>82</v>
      </c>
      <c r="TQ118" s="395">
        <v>4241472</v>
      </c>
      <c r="TR118" s="208">
        <v>4539000</v>
      </c>
      <c r="TS118" s="994">
        <f t="shared" si="352"/>
        <v>297528</v>
      </c>
      <c r="TT118" s="114">
        <f t="shared" si="365"/>
        <v>6.5549239920687383E-2</v>
      </c>
      <c r="TU118" s="4434">
        <v>83</v>
      </c>
      <c r="TV118" s="395">
        <v>4153584</v>
      </c>
      <c r="TW118" s="208">
        <v>4539000</v>
      </c>
      <c r="TX118" s="994">
        <f t="shared" si="449"/>
        <v>385416</v>
      </c>
      <c r="TY118" s="116">
        <f t="shared" si="366"/>
        <v>8.4912095175148708E-2</v>
      </c>
      <c r="TZ118" s="1318">
        <v>108</v>
      </c>
      <c r="UA118" s="395">
        <f>7219297-590000</f>
        <v>6629297</v>
      </c>
      <c r="UB118" s="208">
        <v>4539000</v>
      </c>
      <c r="UC118" s="4513">
        <f t="shared" si="451"/>
        <v>-2090297</v>
      </c>
      <c r="UD118" s="6503">
        <f t="shared" si="452"/>
        <v>-0.46051927737387088</v>
      </c>
      <c r="UE118" s="2430">
        <v>103</v>
      </c>
      <c r="UF118" s="6504">
        <f>5160223+20000+1257532+87000+13500</f>
        <v>6538255</v>
      </c>
      <c r="UG118" s="2001">
        <f>+(4539000/2+4629780/2)</f>
        <v>4584390</v>
      </c>
      <c r="UH118" s="6502">
        <f t="shared" si="322"/>
        <v>-1953865</v>
      </c>
      <c r="UI118" s="6500">
        <f t="shared" si="367"/>
        <v>-0.42619955981057456</v>
      </c>
      <c r="UJ118" s="156"/>
      <c r="UK118" s="5246"/>
      <c r="UL118" s="208"/>
      <c r="UM118" s="208">
        <f>UL118-UK118</f>
        <v>0</v>
      </c>
      <c r="UN118" s="116"/>
      <c r="UO118" s="1567"/>
      <c r="UP118" s="1568"/>
      <c r="UQ118" s="1568"/>
      <c r="UR118" s="1873">
        <f>UQ118-UP118</f>
        <v>0</v>
      </c>
      <c r="US118" s="2050">
        <v>0</v>
      </c>
      <c r="UT118" s="1567"/>
      <c r="UU118" s="358">
        <f t="shared" si="371"/>
        <v>44847523</v>
      </c>
      <c r="UV118" s="358">
        <f t="shared" si="371"/>
        <v>43165890</v>
      </c>
      <c r="UW118" s="358">
        <f t="shared" si="371"/>
        <v>-1681633</v>
      </c>
      <c r="UX118" s="220">
        <f t="shared" si="358"/>
        <v>-3.8957449968018733E-2</v>
      </c>
      <c r="UY118" s="4441">
        <f t="shared" si="324"/>
        <v>82.666666666666671</v>
      </c>
      <c r="UZ118" s="4442">
        <f t="shared" si="424"/>
        <v>9222486</v>
      </c>
      <c r="VA118" s="4442">
        <f t="shared" si="424"/>
        <v>11347500</v>
      </c>
      <c r="VB118" s="4442">
        <f t="shared" si="424"/>
        <v>2125014</v>
      </c>
      <c r="VC118" s="4443">
        <f t="shared" si="325"/>
        <v>0.187267151354924</v>
      </c>
      <c r="VD118" s="4440"/>
      <c r="VE118" s="4438">
        <f t="shared" si="423"/>
        <v>14062429</v>
      </c>
      <c r="VF118" s="4438">
        <f t="shared" si="423"/>
        <v>13617000</v>
      </c>
      <c r="VG118" s="4444">
        <f t="shared" si="423"/>
        <v>-445429</v>
      </c>
      <c r="VH118" s="4445">
        <f t="shared" si="372"/>
        <v>-3.2711243298817652E-2</v>
      </c>
      <c r="VI118" s="4446"/>
      <c r="VJ118" s="146">
        <f t="shared" si="373"/>
        <v>15024353</v>
      </c>
      <c r="VK118" s="146">
        <f t="shared" si="373"/>
        <v>13617000</v>
      </c>
      <c r="VL118" s="1864">
        <f t="shared" si="373"/>
        <v>-1407353</v>
      </c>
      <c r="VM118" s="4459"/>
      <c r="VN118" s="4449"/>
      <c r="VO118" s="4438">
        <f>UF118+UK118+UP118</f>
        <v>6538255</v>
      </c>
      <c r="VP118" s="4438">
        <f>UG118+UL118+UQ118</f>
        <v>4584390</v>
      </c>
      <c r="VQ118" s="4444">
        <f>UH118+UM118+UR118</f>
        <v>-1953865</v>
      </c>
      <c r="VR118" s="4452">
        <v>0</v>
      </c>
      <c r="VS118" s="4451"/>
      <c r="VT118" s="4451"/>
      <c r="VU118" s="4451"/>
      <c r="VV118" s="4451"/>
      <c r="VW118" s="4451"/>
      <c r="VX118" s="4451"/>
      <c r="VY118" s="4451"/>
      <c r="VZ118" s="4451"/>
      <c r="WA118" s="4451"/>
      <c r="WB118" s="4451"/>
      <c r="WC118" s="4451"/>
      <c r="WD118" s="4451"/>
      <c r="WE118" s="4451"/>
      <c r="WF118" s="4451"/>
      <c r="WG118" s="4451"/>
      <c r="WH118" s="4451"/>
      <c r="WI118" s="4451"/>
      <c r="WJ118" s="4451"/>
      <c r="WK118" s="4451"/>
      <c r="WL118" s="4451"/>
      <c r="WM118" s="4451"/>
      <c r="WN118" s="4451"/>
      <c r="WO118" s="4451"/>
      <c r="WP118" s="4451"/>
      <c r="WQ118" s="4451"/>
      <c r="WR118" s="4451"/>
      <c r="WS118" s="4451"/>
      <c r="WT118" s="4451"/>
      <c r="WU118" s="4451"/>
      <c r="WV118" s="4451"/>
      <c r="WW118" s="4451"/>
      <c r="WX118" s="4451"/>
      <c r="WY118" s="4451"/>
      <c r="WZ118" s="4451"/>
      <c r="XA118" s="4451"/>
      <c r="XB118" s="4451"/>
      <c r="XC118" s="4451"/>
      <c r="XD118" s="4451"/>
      <c r="XE118" s="4451"/>
      <c r="XF118" s="4451"/>
      <c r="XG118" s="4451"/>
      <c r="XH118" s="4451"/>
      <c r="XI118" s="4451"/>
      <c r="XJ118" s="4451"/>
      <c r="XK118" s="4451"/>
      <c r="XL118" s="4451"/>
      <c r="XM118" s="4451"/>
      <c r="XN118" s="4451"/>
      <c r="XO118" s="4451"/>
      <c r="XP118" s="4451"/>
      <c r="XQ118" s="4451"/>
      <c r="XR118" s="4451"/>
      <c r="XS118" s="4451"/>
      <c r="XT118" s="4451"/>
      <c r="XU118" s="4451"/>
      <c r="XV118" s="4451"/>
      <c r="XW118" s="4451"/>
      <c r="XX118" s="4451"/>
      <c r="XY118" s="4451"/>
      <c r="XZ118" s="4451"/>
      <c r="YA118" s="4451"/>
      <c r="YB118" s="4451"/>
      <c r="YC118" s="4451"/>
      <c r="YD118" s="4451"/>
      <c r="YE118" s="4451"/>
      <c r="YF118" s="4451"/>
      <c r="YG118" s="4451"/>
      <c r="YH118" s="4451"/>
      <c r="YI118" s="4451"/>
      <c r="YJ118" s="4451"/>
      <c r="YK118" s="4451"/>
      <c r="YL118" s="4451"/>
      <c r="YM118" s="4451"/>
      <c r="YN118" s="4451"/>
      <c r="YO118" s="4451"/>
      <c r="YP118" s="4451"/>
      <c r="YQ118" s="4451"/>
      <c r="YR118" s="4451"/>
      <c r="YS118" s="4451"/>
      <c r="YT118" s="4451"/>
      <c r="YU118" s="4451"/>
      <c r="YV118" s="4451"/>
      <c r="YW118" s="4451"/>
      <c r="YX118" s="4451"/>
      <c r="YY118" s="4451"/>
      <c r="YZ118" s="4451"/>
      <c r="ZA118" s="4451"/>
      <c r="ZB118" s="4451"/>
      <c r="ZC118" s="4451"/>
      <c r="ZD118" s="4451"/>
      <c r="ZE118" s="4451"/>
      <c r="ZF118" s="4451"/>
      <c r="ZG118" s="4451"/>
      <c r="ZH118" s="4451"/>
      <c r="ZI118" s="4451"/>
      <c r="ZJ118" s="4451"/>
      <c r="ZK118" s="4451"/>
      <c r="ZL118" s="4451"/>
      <c r="ZM118" s="4451"/>
      <c r="ZN118" s="4451"/>
      <c r="ZO118" s="4451"/>
      <c r="ZP118" s="4451"/>
      <c r="ZQ118" s="4451"/>
      <c r="ZR118" s="4451"/>
      <c r="ZS118" s="4451"/>
      <c r="ZT118" s="4451"/>
      <c r="ZU118" s="4451"/>
      <c r="ZV118" s="4451"/>
      <c r="ZW118" s="4451"/>
      <c r="ZX118" s="4451"/>
      <c r="ZY118" s="4451"/>
      <c r="ZZ118" s="4451"/>
      <c r="AAA118" s="4451"/>
      <c r="AAB118" s="4451"/>
      <c r="AAC118" s="4451"/>
      <c r="AAD118" s="4451"/>
      <c r="AAE118" s="4451"/>
      <c r="AAF118" s="4451"/>
      <c r="AAG118" s="4451"/>
      <c r="AAH118" s="4451"/>
      <c r="AAI118" s="4451"/>
      <c r="AAJ118" s="4451"/>
      <c r="AAK118" s="4451"/>
      <c r="AAL118" s="4451"/>
      <c r="AAM118" s="4451"/>
      <c r="AAN118" s="4451"/>
      <c r="AAO118" s="4451"/>
      <c r="AAP118" s="4451"/>
      <c r="AAQ118" s="4451"/>
      <c r="AAR118" s="4451"/>
      <c r="AAS118" s="4451"/>
      <c r="AAT118" s="4451"/>
      <c r="AAU118" s="4451"/>
      <c r="AAV118" s="4451"/>
      <c r="AAW118" s="4451"/>
      <c r="AAX118" s="4451"/>
      <c r="AAY118" s="4451"/>
      <c r="AAZ118" s="4451"/>
      <c r="ABA118" s="4451"/>
      <c r="ABB118" s="4451"/>
      <c r="ABC118" s="4451"/>
      <c r="ABD118" s="4451"/>
      <c r="ABE118" s="4451"/>
      <c r="ABF118" s="4451"/>
      <c r="ABG118" s="4451"/>
      <c r="ABH118" s="4451"/>
      <c r="ABI118" s="4451"/>
      <c r="ABJ118" s="4451"/>
      <c r="ABK118" s="4451"/>
      <c r="ABL118" s="4451"/>
      <c r="ABM118" s="4451"/>
      <c r="ABN118" s="4451"/>
      <c r="ABO118" s="4451"/>
      <c r="ABP118" s="4451"/>
      <c r="ABQ118" s="4451"/>
    </row>
    <row r="119" spans="1:745" s="4458" customFormat="1" ht="14.55" customHeight="1" x14ac:dyDescent="0.3">
      <c r="A119" s="4457"/>
      <c r="B119" s="5247" t="s">
        <v>53</v>
      </c>
      <c r="C119" s="6147" t="s">
        <v>1045</v>
      </c>
      <c r="D119" s="5248" t="s">
        <v>635</v>
      </c>
      <c r="E119" s="1993">
        <v>45306</v>
      </c>
      <c r="F119" s="1993">
        <v>47132</v>
      </c>
      <c r="G119" s="1994">
        <v>5949662</v>
      </c>
      <c r="H119" s="2031"/>
      <c r="I119" s="1914"/>
      <c r="J119" s="1914"/>
      <c r="K119" s="1914"/>
      <c r="L119" s="593"/>
      <c r="M119" s="2031"/>
      <c r="N119" s="1914"/>
      <c r="O119" s="1914"/>
      <c r="P119" s="1914"/>
      <c r="Q119" s="593"/>
      <c r="R119" s="2031"/>
      <c r="S119" s="1914"/>
      <c r="T119" s="1914"/>
      <c r="U119" s="1914"/>
      <c r="V119" s="593"/>
      <c r="W119" s="2031"/>
      <c r="X119" s="1914"/>
      <c r="Y119" s="1914"/>
      <c r="Z119" s="1914"/>
      <c r="AA119" s="2032"/>
      <c r="AB119" s="2031"/>
      <c r="AC119" s="1914"/>
      <c r="AD119" s="1914"/>
      <c r="AE119" s="1914"/>
      <c r="AF119" s="2032"/>
      <c r="AG119" s="1914"/>
      <c r="AH119" s="1914"/>
      <c r="AI119" s="1914"/>
      <c r="AJ119" s="1914"/>
      <c r="AK119" s="593"/>
      <c r="AL119" s="1914"/>
      <c r="AM119" s="1914"/>
      <c r="AN119" s="1914"/>
      <c r="AO119" s="1914"/>
      <c r="AP119" s="593"/>
      <c r="AQ119" s="1914"/>
      <c r="AR119" s="1914"/>
      <c r="AS119" s="1914"/>
      <c r="AT119" s="1914"/>
      <c r="AU119" s="593"/>
      <c r="AV119" s="2033"/>
      <c r="AW119" s="1914"/>
      <c r="AX119" s="1914"/>
      <c r="AY119" s="1914"/>
      <c r="AZ119" s="2032"/>
      <c r="BA119" s="2033"/>
      <c r="BB119" s="1914"/>
      <c r="BC119" s="1914"/>
      <c r="BD119" s="1914"/>
      <c r="BE119" s="2032"/>
      <c r="BF119" s="2033"/>
      <c r="BG119" s="1914"/>
      <c r="BH119" s="1914"/>
      <c r="BI119" s="1914"/>
      <c r="BJ119" s="2032"/>
      <c r="BK119" s="2033"/>
      <c r="BL119" s="1914"/>
      <c r="BM119" s="1914"/>
      <c r="BN119" s="1914"/>
      <c r="BO119" s="2032"/>
      <c r="BP119" s="2034"/>
      <c r="BQ119" s="1914"/>
      <c r="BR119" s="1914"/>
      <c r="BS119" s="1914"/>
      <c r="BT119" s="2035"/>
      <c r="BU119" s="1914"/>
      <c r="BV119" s="1914"/>
      <c r="BW119" s="2036"/>
      <c r="BX119" s="2035"/>
      <c r="BY119" s="1914"/>
      <c r="BZ119" s="1914"/>
      <c r="CA119" s="2010"/>
      <c r="CB119" s="1914"/>
      <c r="CC119" s="1914"/>
      <c r="CD119" s="1914"/>
      <c r="CE119" s="1914"/>
      <c r="CF119" s="2035"/>
      <c r="CG119" s="1914"/>
      <c r="CH119" s="1914"/>
      <c r="CI119" s="2010"/>
      <c r="CJ119" s="2037"/>
      <c r="CK119" s="1914"/>
      <c r="CL119" s="1914"/>
      <c r="CM119" s="1914"/>
      <c r="CN119" s="2036"/>
      <c r="CO119" s="2037"/>
      <c r="CP119" s="2031"/>
      <c r="CQ119" s="2031"/>
      <c r="CR119" s="2031"/>
      <c r="CS119" s="2036"/>
      <c r="CT119" s="2037"/>
      <c r="CU119" s="1914"/>
      <c r="CV119" s="1914"/>
      <c r="CW119" s="1914"/>
      <c r="CX119" s="2036"/>
      <c r="CY119" s="2037"/>
      <c r="CZ119" s="1914"/>
      <c r="DA119" s="1914"/>
      <c r="DB119" s="1914"/>
      <c r="DC119" s="2036"/>
      <c r="DD119" s="2037"/>
      <c r="DE119" s="1914"/>
      <c r="DF119" s="1914"/>
      <c r="DG119" s="1914"/>
      <c r="DH119" s="2038"/>
      <c r="DI119" s="2037"/>
      <c r="DJ119" s="1914"/>
      <c r="DK119" s="1914"/>
      <c r="DL119" s="1914"/>
      <c r="DM119" s="2038"/>
      <c r="DN119" s="2037"/>
      <c r="DO119" s="1914"/>
      <c r="DP119" s="1914"/>
      <c r="DQ119" s="1914"/>
      <c r="DR119" s="2038"/>
      <c r="DS119" s="2037"/>
      <c r="DT119" s="1914"/>
      <c r="DU119" s="1914"/>
      <c r="DV119" s="1914"/>
      <c r="DW119" s="2038"/>
      <c r="DX119" s="2037"/>
      <c r="DY119" s="1914"/>
      <c r="DZ119" s="1914"/>
      <c r="EA119" s="1914"/>
      <c r="EB119" s="2038"/>
      <c r="EC119" s="2037"/>
      <c r="ED119" s="1914"/>
      <c r="EE119" s="1914"/>
      <c r="EF119" s="1914"/>
      <c r="EG119" s="2038"/>
      <c r="EH119" s="2037"/>
      <c r="EI119" s="1914"/>
      <c r="EJ119" s="1914"/>
      <c r="EK119" s="1914"/>
      <c r="EL119" s="2038"/>
      <c r="EM119" s="1910"/>
      <c r="EN119" s="715"/>
      <c r="EO119" s="715"/>
      <c r="EP119" s="715"/>
      <c r="EQ119" s="366"/>
      <c r="ER119" s="2402"/>
      <c r="ES119" s="2403"/>
      <c r="ET119" s="2403"/>
      <c r="EU119" s="2403"/>
      <c r="EV119" s="2404"/>
      <c r="EW119" s="2031"/>
      <c r="EX119" s="2031"/>
      <c r="EY119" s="2031"/>
      <c r="EZ119" s="593"/>
      <c r="FA119" s="2037"/>
      <c r="FB119" s="2031"/>
      <c r="FC119" s="2031"/>
      <c r="FD119" s="2036"/>
      <c r="FE119" s="2031"/>
      <c r="FF119" s="2031"/>
      <c r="FG119" s="2031"/>
      <c r="FH119" s="593"/>
      <c r="FI119" s="2039"/>
      <c r="FJ119" s="2040"/>
      <c r="FK119" s="2041"/>
      <c r="FL119" s="2041"/>
      <c r="FM119" s="693"/>
      <c r="FN119" s="2031"/>
      <c r="FO119" s="1914"/>
      <c r="FP119" s="1914"/>
      <c r="FQ119" s="1914"/>
      <c r="FR119" s="2032"/>
      <c r="FS119" s="1910"/>
      <c r="FT119" s="715"/>
      <c r="FU119" s="715"/>
      <c r="FV119" s="715"/>
      <c r="FW119" s="366"/>
      <c r="FX119" s="2037"/>
      <c r="FY119" s="1914"/>
      <c r="FZ119" s="1914"/>
      <c r="GA119" s="715"/>
      <c r="GB119" s="366"/>
      <c r="GC119" s="2110"/>
      <c r="GD119" s="2111"/>
      <c r="GE119" s="2111"/>
      <c r="GF119" s="715"/>
      <c r="GG119" s="366"/>
      <c r="GH119" s="2042"/>
      <c r="GI119" s="2043"/>
      <c r="GJ119" s="2043"/>
      <c r="GK119" s="715"/>
      <c r="GL119" s="366"/>
      <c r="GM119" s="2042"/>
      <c r="GN119" s="2043"/>
      <c r="GO119" s="2043"/>
      <c r="GP119" s="715"/>
      <c r="GQ119" s="366"/>
      <c r="GR119" s="2042"/>
      <c r="GS119" s="2043"/>
      <c r="GT119" s="2043"/>
      <c r="GU119" s="715"/>
      <c r="GV119" s="366"/>
      <c r="GW119" s="2042"/>
      <c r="GX119" s="2043"/>
      <c r="GY119" s="2043"/>
      <c r="GZ119" s="715"/>
      <c r="HA119" s="366"/>
      <c r="HB119" s="2042"/>
      <c r="HC119" s="2043"/>
      <c r="HD119" s="2043"/>
      <c r="HE119" s="715"/>
      <c r="HF119" s="366"/>
      <c r="HG119" s="2042"/>
      <c r="HH119" s="2043"/>
      <c r="HI119" s="2043"/>
      <c r="HJ119" s="2113"/>
      <c r="HK119" s="366"/>
      <c r="HL119" s="2042"/>
      <c r="HM119" s="2043"/>
      <c r="HN119" s="2043"/>
      <c r="HO119" s="715"/>
      <c r="HP119" s="366"/>
      <c r="HQ119" s="2114"/>
      <c r="HR119" s="1904"/>
      <c r="HS119" s="1904"/>
      <c r="HT119" s="1904"/>
      <c r="HU119" s="2115"/>
      <c r="HV119" s="2405"/>
      <c r="HW119" s="2406"/>
      <c r="HX119" s="2406"/>
      <c r="HY119" s="2406"/>
      <c r="HZ119" s="1906"/>
      <c r="IA119" s="1907"/>
      <c r="IB119" s="1908"/>
      <c r="IC119" s="1908"/>
      <c r="ID119" s="1909"/>
      <c r="IE119" s="1910"/>
      <c r="IF119" s="1911"/>
      <c r="IG119" s="1912"/>
      <c r="IH119" s="1909"/>
      <c r="II119" s="1907"/>
      <c r="IJ119" s="2116"/>
      <c r="IK119" s="2116"/>
      <c r="IL119" s="693"/>
      <c r="IM119" s="2117"/>
      <c r="IN119" s="2116"/>
      <c r="IO119" s="2116"/>
      <c r="IP119" s="1838"/>
      <c r="IQ119" s="1914"/>
      <c r="IR119" s="2044"/>
      <c r="IS119" s="715"/>
      <c r="IT119" s="715"/>
      <c r="IU119" s="2131"/>
      <c r="IV119" s="2045"/>
      <c r="IW119" s="1910"/>
      <c r="IX119" s="715"/>
      <c r="IY119" s="715"/>
      <c r="IZ119" s="2113"/>
      <c r="JA119" s="2132"/>
      <c r="JB119" s="2407"/>
      <c r="JC119" s="2408"/>
      <c r="JD119" s="2409"/>
      <c r="JE119" s="2113"/>
      <c r="JF119" s="2132"/>
      <c r="JG119" s="2410"/>
      <c r="JH119" s="2043"/>
      <c r="JI119" s="2043"/>
      <c r="JJ119" s="2411"/>
      <c r="JK119" s="2132"/>
      <c r="JL119" s="2129"/>
      <c r="JM119" s="2043"/>
      <c r="JN119" s="2043"/>
      <c r="JO119" s="715"/>
      <c r="JP119" s="2132"/>
      <c r="JQ119" s="2129"/>
      <c r="JR119" s="2130"/>
      <c r="JS119" s="1904"/>
      <c r="JT119" s="2131"/>
      <c r="JU119" s="2132"/>
      <c r="JV119" s="2410"/>
      <c r="JW119" s="2043"/>
      <c r="JX119" s="1904"/>
      <c r="JY119" s="715"/>
      <c r="JZ119" s="2132"/>
      <c r="KA119" s="2410"/>
      <c r="KB119" s="1904"/>
      <c r="KC119" s="2130"/>
      <c r="KD119" s="2414"/>
      <c r="KE119" s="2415"/>
      <c r="KF119" s="2410"/>
      <c r="KG119" s="1904"/>
      <c r="KH119" s="2043"/>
      <c r="KI119" s="2113"/>
      <c r="KJ119" s="2132"/>
      <c r="KK119" s="2410"/>
      <c r="KL119" s="1904"/>
      <c r="KM119" s="2043"/>
      <c r="KN119" s="2416"/>
      <c r="KO119" s="2417"/>
      <c r="KP119" s="2136"/>
      <c r="KQ119" s="2130"/>
      <c r="KR119" s="1904"/>
      <c r="KS119" s="2131"/>
      <c r="KT119" s="2137"/>
      <c r="KU119" s="2114"/>
      <c r="KV119" s="1904"/>
      <c r="KW119" s="1904"/>
      <c r="KX119" s="1904"/>
      <c r="KY119" s="2418"/>
      <c r="KZ119" s="1832"/>
      <c r="LA119" s="622"/>
      <c r="LB119" s="622"/>
      <c r="LC119" s="622"/>
      <c r="LD119" s="239"/>
      <c r="LE119" s="2419"/>
      <c r="LF119" s="2420"/>
      <c r="LG119" s="2420"/>
      <c r="LH119" s="2421"/>
      <c r="LI119" s="2422"/>
      <c r="LJ119" s="2423"/>
      <c r="LK119" s="2419"/>
      <c r="LL119" s="2421"/>
      <c r="LM119" s="1907"/>
      <c r="LN119" s="2116"/>
      <c r="LO119" s="2116"/>
      <c r="LP119" s="2013"/>
      <c r="LQ119" s="2424"/>
      <c r="LR119" s="2116"/>
      <c r="LS119" s="2116"/>
      <c r="LT119" s="1838"/>
      <c r="LU119" s="2425"/>
      <c r="LV119" s="2426"/>
      <c r="LW119" s="436"/>
      <c r="LX119" s="436"/>
      <c r="LY119" s="2427"/>
      <c r="LZ119" s="1588"/>
      <c r="MA119" s="2422"/>
      <c r="MB119" s="1587"/>
      <c r="MC119" s="1587"/>
      <c r="MD119" s="2148"/>
      <c r="ME119" s="2149"/>
      <c r="MF119" s="406"/>
      <c r="MG119" s="2428"/>
      <c r="MH119" s="5114"/>
      <c r="MI119" s="2148"/>
      <c r="MJ119" s="2149"/>
      <c r="MK119" s="2429"/>
      <c r="ML119" s="436"/>
      <c r="MM119" s="1587"/>
      <c r="MN119" s="2148"/>
      <c r="MO119" s="2149"/>
      <c r="MP119" s="2153"/>
      <c r="MQ119" s="1904"/>
      <c r="MR119" s="1904"/>
      <c r="MS119" s="1904"/>
      <c r="MT119" s="787"/>
      <c r="MU119" s="1318"/>
      <c r="MV119" s="395"/>
      <c r="MW119" s="395"/>
      <c r="MX119" s="395"/>
      <c r="MY119" s="655"/>
      <c r="MZ119" s="1318"/>
      <c r="NA119" s="395"/>
      <c r="NB119" s="395"/>
      <c r="NC119" s="395"/>
      <c r="ND119" s="801"/>
      <c r="NE119" s="1318"/>
      <c r="NF119" s="395"/>
      <c r="NG119" s="395"/>
      <c r="NH119" s="395"/>
      <c r="NI119" s="801"/>
      <c r="NJ119" s="1318"/>
      <c r="NK119" s="395"/>
      <c r="NL119" s="395"/>
      <c r="NM119" s="395"/>
      <c r="NN119" s="801"/>
      <c r="NO119" s="2432"/>
      <c r="NP119" s="622"/>
      <c r="NQ119" s="2437"/>
      <c r="NR119" s="395"/>
      <c r="NS119" s="801"/>
      <c r="NT119" s="2432"/>
      <c r="NU119" s="622"/>
      <c r="NV119" s="622"/>
      <c r="NW119" s="395"/>
      <c r="NX119" s="801"/>
      <c r="NY119" s="2432"/>
      <c r="NZ119" s="622"/>
      <c r="OA119" s="622"/>
      <c r="OB119" s="622"/>
      <c r="OC119" s="116"/>
      <c r="OD119" s="2433"/>
      <c r="OE119" s="622"/>
      <c r="OF119" s="622"/>
      <c r="OG119" s="622"/>
      <c r="OH119" s="1576"/>
      <c r="OI119" s="2435"/>
      <c r="OJ119" s="2436"/>
      <c r="OK119" s="2436"/>
      <c r="OL119" s="2436"/>
      <c r="OM119" s="1439"/>
      <c r="ON119" s="622"/>
      <c r="OO119" s="622"/>
      <c r="OP119" s="622"/>
      <c r="OQ119" s="2437"/>
      <c r="OR119" s="421"/>
      <c r="OS119" s="2438"/>
      <c r="OT119" s="2439"/>
      <c r="OU119" s="2439"/>
      <c r="OV119" s="2440"/>
      <c r="OW119" s="460"/>
      <c r="OX119" s="2432"/>
      <c r="OY119" s="622"/>
      <c r="OZ119" s="622"/>
      <c r="PA119" s="2437"/>
      <c r="PB119" s="116"/>
      <c r="PC119" s="2441"/>
      <c r="PD119" s="2426"/>
      <c r="PE119" s="436"/>
      <c r="PF119" s="436"/>
      <c r="PG119" s="115"/>
      <c r="PH119" s="1588"/>
      <c r="PI119" s="401"/>
      <c r="PJ119" s="395"/>
      <c r="PK119" s="395"/>
      <c r="PL119" s="115"/>
      <c r="PM119" s="186"/>
      <c r="PN119" s="2426"/>
      <c r="PO119" s="436"/>
      <c r="PP119" s="1587"/>
      <c r="PQ119" s="2148"/>
      <c r="PR119" s="2149"/>
      <c r="PS119" s="2429"/>
      <c r="PT119" s="436"/>
      <c r="PU119" s="1587"/>
      <c r="PV119" s="2148"/>
      <c r="PW119" s="207"/>
      <c r="PX119" s="2153"/>
      <c r="PY119" s="1904"/>
      <c r="PZ119" s="1904"/>
      <c r="QA119" s="1904"/>
      <c r="QB119" s="787"/>
      <c r="QC119" s="1318"/>
      <c r="QD119" s="395"/>
      <c r="QE119" s="395"/>
      <c r="QF119" s="395"/>
      <c r="QG119" s="655"/>
      <c r="QH119" s="401"/>
      <c r="QI119" s="395"/>
      <c r="QJ119" s="395"/>
      <c r="QK119" s="395"/>
      <c r="QL119" s="801"/>
      <c r="QM119" s="401"/>
      <c r="QN119" s="395"/>
      <c r="QO119" s="395"/>
      <c r="QP119" s="395"/>
      <c r="QQ119" s="801"/>
      <c r="QR119" s="1318"/>
      <c r="QS119" s="395"/>
      <c r="QT119" s="395"/>
      <c r="QU119" s="395"/>
      <c r="QV119" s="207"/>
      <c r="QW119" s="2002"/>
      <c r="QX119" s="2001"/>
      <c r="QY119" s="2001"/>
      <c r="QZ119" s="2001"/>
      <c r="RA119" s="370"/>
      <c r="RB119" s="156"/>
      <c r="RC119" s="5246">
        <v>0</v>
      </c>
      <c r="RD119" s="208">
        <v>0</v>
      </c>
      <c r="RE119" s="208">
        <f t="shared" si="448"/>
        <v>0</v>
      </c>
      <c r="RF119" s="116"/>
      <c r="RG119" s="1857">
        <v>35</v>
      </c>
      <c r="RH119" s="208">
        <f>2788455</f>
        <v>2788455</v>
      </c>
      <c r="RI119" s="208">
        <v>3851886</v>
      </c>
      <c r="RJ119" s="994">
        <f t="shared" si="369"/>
        <v>1063431</v>
      </c>
      <c r="RK119" s="114">
        <f>RJ119/RI119</f>
        <v>0.27608060051621464</v>
      </c>
      <c r="RL119" s="1567"/>
      <c r="RM119" s="1568">
        <f t="shared" si="426"/>
        <v>2788455</v>
      </c>
      <c r="RN119" s="1568">
        <f t="shared" si="426"/>
        <v>3851886</v>
      </c>
      <c r="RO119" s="1568">
        <f t="shared" si="426"/>
        <v>1063431</v>
      </c>
      <c r="RP119" s="220">
        <f>RO119/RN119</f>
        <v>0.27608060051621464</v>
      </c>
      <c r="RQ119" s="2435"/>
      <c r="RR119" s="2436"/>
      <c r="RS119" s="2436"/>
      <c r="RT119" s="2436"/>
      <c r="RU119" s="1439"/>
      <c r="RV119" s="622"/>
      <c r="RW119" s="622"/>
      <c r="RX119" s="622"/>
      <c r="RY119" s="2437"/>
      <c r="RZ119" s="421"/>
      <c r="SA119" s="2438"/>
      <c r="SB119" s="2439"/>
      <c r="SC119" s="2439"/>
      <c r="SD119" s="2440"/>
      <c r="SE119" s="460"/>
      <c r="SF119" s="1567"/>
      <c r="SG119" s="358">
        <f t="shared" si="421"/>
        <v>2788455</v>
      </c>
      <c r="SH119" s="358">
        <f t="shared" si="421"/>
        <v>3851886</v>
      </c>
      <c r="SI119" s="359">
        <f t="shared" si="421"/>
        <v>1063431</v>
      </c>
      <c r="SJ119" s="2155">
        <v>0</v>
      </c>
      <c r="SK119" s="1193"/>
      <c r="SL119" s="440">
        <f>106-SL116-SL118</f>
        <v>33</v>
      </c>
      <c r="SM119" s="435">
        <f>(3917325-1070996-265002)+1001972+614383+163416+135000</f>
        <v>4496098</v>
      </c>
      <c r="SN119" s="208">
        <v>7337664</v>
      </c>
      <c r="SO119" s="96">
        <f t="shared" si="264"/>
        <v>2841566</v>
      </c>
      <c r="SP119" s="78">
        <f>SO119/SN119</f>
        <v>0.38725757952394657</v>
      </c>
      <c r="SQ119" s="439">
        <f>34+7</f>
        <v>41</v>
      </c>
      <c r="SR119" s="208">
        <f>1547900+795000+674131+317231</f>
        <v>3334262</v>
      </c>
      <c r="SS119" s="208">
        <v>7337664</v>
      </c>
      <c r="ST119" s="96">
        <f t="shared" si="440"/>
        <v>4003402</v>
      </c>
      <c r="SU119" s="78">
        <f>ST119/SS119</f>
        <v>0.54559625515695453</v>
      </c>
      <c r="SV119" s="2426">
        <v>109</v>
      </c>
      <c r="SW119" s="436">
        <f>4733131+586651</f>
        <v>5319782</v>
      </c>
      <c r="SX119" s="208">
        <v>7337664</v>
      </c>
      <c r="SY119" s="371">
        <f t="shared" si="445"/>
        <v>2017882</v>
      </c>
      <c r="SZ119" s="157">
        <f t="shared" si="446"/>
        <v>0.27500332530898119</v>
      </c>
      <c r="TA119" s="4103">
        <v>100</v>
      </c>
      <c r="TB119" s="436">
        <f>4715213+300000+690000</f>
        <v>5705213</v>
      </c>
      <c r="TC119" s="994">
        <v>7337664</v>
      </c>
      <c r="TD119" s="96">
        <f t="shared" si="280"/>
        <v>1632451</v>
      </c>
      <c r="TE119" s="94">
        <f t="shared" si="295"/>
        <v>0.22247557260730391</v>
      </c>
      <c r="TF119" s="1573">
        <f>202-TF118</f>
        <v>115</v>
      </c>
      <c r="TG119" s="395">
        <f>7130955+117585</f>
        <v>7248540</v>
      </c>
      <c r="TH119" s="208">
        <v>7337664</v>
      </c>
      <c r="TI119" s="395">
        <f t="shared" si="447"/>
        <v>89124</v>
      </c>
      <c r="TJ119" s="114">
        <f t="shared" si="296"/>
        <v>1.2146099903184446E-2</v>
      </c>
      <c r="TK119" s="4942">
        <f>235-TK118-TK116-TK117</f>
        <v>133</v>
      </c>
      <c r="TL119" s="1338">
        <f>8237061+16370+135000+10000</f>
        <v>8398431</v>
      </c>
      <c r="TM119" s="1338">
        <v>7337664</v>
      </c>
      <c r="TN119" s="1338">
        <f t="shared" si="443"/>
        <v>-1060767</v>
      </c>
      <c r="TO119" s="4514">
        <f t="shared" si="444"/>
        <v>-0.1445646734437554</v>
      </c>
      <c r="TP119" s="4434">
        <f>143-4</f>
        <v>139</v>
      </c>
      <c r="TQ119" s="395">
        <f>8510540+20000-715000</f>
        <v>7815540</v>
      </c>
      <c r="TR119" s="208">
        <v>7337664</v>
      </c>
      <c r="TS119" s="4513">
        <f t="shared" si="352"/>
        <v>-477876</v>
      </c>
      <c r="TT119" s="4514">
        <f t="shared" si="365"/>
        <v>-6.5126448962503594E-2</v>
      </c>
      <c r="TU119" s="4434">
        <v>141</v>
      </c>
      <c r="TV119" s="395">
        <f>7511692+1464408+20000-715000</f>
        <v>8281100</v>
      </c>
      <c r="TW119" s="208">
        <v>7337664</v>
      </c>
      <c r="TX119" s="4513">
        <f t="shared" si="449"/>
        <v>-943436</v>
      </c>
      <c r="TY119" s="116">
        <f t="shared" si="366"/>
        <v>-0.12857443458844667</v>
      </c>
      <c r="TZ119" s="1318">
        <v>114</v>
      </c>
      <c r="UA119" s="395">
        <f>5491712-125000</f>
        <v>5366712</v>
      </c>
      <c r="UB119" s="208">
        <v>7337664</v>
      </c>
      <c r="UC119" s="994">
        <f t="shared" si="451"/>
        <v>1970952</v>
      </c>
      <c r="UD119" s="116">
        <f t="shared" si="452"/>
        <v>0.26860755684642962</v>
      </c>
      <c r="UE119" s="1868">
        <v>111</v>
      </c>
      <c r="UF119" s="2001">
        <v>5037994</v>
      </c>
      <c r="UG119" s="2001">
        <f>+(7337664/2+5949662/2)</f>
        <v>6643663</v>
      </c>
      <c r="UH119" s="6501">
        <f t="shared" si="322"/>
        <v>1605669</v>
      </c>
      <c r="UI119" s="6495">
        <f t="shared" si="367"/>
        <v>0.24168429373976374</v>
      </c>
      <c r="UJ119" s="156"/>
      <c r="UK119" s="5246"/>
      <c r="UL119" s="208"/>
      <c r="UM119" s="208">
        <f t="shared" si="450"/>
        <v>0</v>
      </c>
      <c r="UN119" s="116"/>
      <c r="UO119" s="1567"/>
      <c r="UP119" s="1568"/>
      <c r="UQ119" s="1568"/>
      <c r="UR119" s="1873">
        <f t="shared" si="323"/>
        <v>0</v>
      </c>
      <c r="US119" s="2050">
        <v>0</v>
      </c>
      <c r="UT119" s="1567"/>
      <c r="UU119" s="358">
        <f t="shared" si="371"/>
        <v>61003672</v>
      </c>
      <c r="UV119" s="358">
        <f t="shared" si="371"/>
        <v>72682639</v>
      </c>
      <c r="UW119" s="358">
        <f t="shared" si="371"/>
        <v>11678967</v>
      </c>
      <c r="UX119" s="220">
        <f t="shared" si="358"/>
        <v>0.16068441048212354</v>
      </c>
      <c r="UY119" s="4441">
        <f t="shared" si="324"/>
        <v>61</v>
      </c>
      <c r="UZ119" s="4442">
        <f t="shared" si="424"/>
        <v>13150142</v>
      </c>
      <c r="VA119" s="4442">
        <f t="shared" si="424"/>
        <v>22012992</v>
      </c>
      <c r="VB119" s="4442">
        <f t="shared" si="424"/>
        <v>8862850</v>
      </c>
      <c r="VC119" s="4443">
        <f t="shared" si="325"/>
        <v>0.40261905332996079</v>
      </c>
      <c r="VD119" s="4440"/>
      <c r="VE119" s="4438">
        <f t="shared" si="423"/>
        <v>21352184</v>
      </c>
      <c r="VF119" s="4438">
        <f t="shared" si="423"/>
        <v>22012992</v>
      </c>
      <c r="VG119" s="4444">
        <f t="shared" si="423"/>
        <v>660808</v>
      </c>
      <c r="VH119" s="4445">
        <f t="shared" si="372"/>
        <v>3.0018999688910985E-2</v>
      </c>
      <c r="VI119" s="4446"/>
      <c r="VJ119" s="146">
        <f t="shared" si="373"/>
        <v>21463352</v>
      </c>
      <c r="VK119" s="146">
        <f t="shared" si="373"/>
        <v>22012992</v>
      </c>
      <c r="VL119" s="1864">
        <f t="shared" si="373"/>
        <v>549640</v>
      </c>
      <c r="VM119" s="4459"/>
      <c r="VN119" s="4449"/>
      <c r="VO119" s="4438">
        <f t="shared" si="368"/>
        <v>5037994</v>
      </c>
      <c r="VP119" s="4438">
        <f t="shared" si="361"/>
        <v>6643663</v>
      </c>
      <c r="VQ119" s="4444">
        <f t="shared" si="361"/>
        <v>1605669</v>
      </c>
      <c r="VR119" s="4452">
        <v>0</v>
      </c>
      <c r="VS119" s="4451"/>
      <c r="VT119" s="4451"/>
      <c r="VU119" s="4451"/>
      <c r="VV119" s="4451"/>
      <c r="VW119" s="4451"/>
      <c r="VX119" s="4451"/>
      <c r="VY119" s="4451"/>
      <c r="VZ119" s="4451"/>
      <c r="WA119" s="4451"/>
      <c r="WB119" s="4451"/>
      <c r="WC119" s="4451"/>
      <c r="WD119" s="4451"/>
      <c r="WE119" s="4451"/>
      <c r="WF119" s="4451"/>
      <c r="WG119" s="4451"/>
      <c r="WH119" s="4451"/>
      <c r="WI119" s="4451"/>
      <c r="WJ119" s="4451"/>
      <c r="WK119" s="4451"/>
      <c r="WL119" s="4451"/>
      <c r="WM119" s="4451"/>
      <c r="WN119" s="4451"/>
      <c r="WO119" s="4451"/>
      <c r="WP119" s="4451"/>
      <c r="WQ119" s="4451"/>
      <c r="WR119" s="4451"/>
      <c r="WS119" s="4451"/>
      <c r="WT119" s="4451"/>
      <c r="WU119" s="4451"/>
      <c r="WV119" s="4451"/>
      <c r="WW119" s="4451"/>
      <c r="WX119" s="4451"/>
      <c r="WY119" s="4451"/>
      <c r="WZ119" s="4451"/>
      <c r="XA119" s="4451"/>
      <c r="XB119" s="4451"/>
      <c r="XC119" s="4451"/>
      <c r="XD119" s="4451"/>
      <c r="XE119" s="4451"/>
      <c r="XF119" s="4451"/>
      <c r="XG119" s="4451"/>
      <c r="XH119" s="4451"/>
      <c r="XI119" s="4451"/>
      <c r="XJ119" s="4451"/>
      <c r="XK119" s="4451"/>
      <c r="XL119" s="4451"/>
      <c r="XM119" s="4451"/>
      <c r="XN119" s="4451"/>
      <c r="XO119" s="4451"/>
      <c r="XP119" s="4451"/>
      <c r="XQ119" s="4451"/>
      <c r="XR119" s="4451"/>
      <c r="XS119" s="4451"/>
      <c r="XT119" s="4451"/>
      <c r="XU119" s="4451"/>
      <c r="XV119" s="4451"/>
      <c r="XW119" s="4451"/>
      <c r="XX119" s="4451"/>
      <c r="XY119" s="4451"/>
      <c r="XZ119" s="4451"/>
      <c r="YA119" s="4451"/>
      <c r="YB119" s="4451"/>
      <c r="YC119" s="4451"/>
      <c r="YD119" s="4451"/>
      <c r="YE119" s="4451"/>
      <c r="YF119" s="4451"/>
      <c r="YG119" s="4451"/>
      <c r="YH119" s="4451"/>
      <c r="YI119" s="4451"/>
      <c r="YJ119" s="4451"/>
      <c r="YK119" s="4451"/>
      <c r="YL119" s="4451"/>
      <c r="YM119" s="4451"/>
      <c r="YN119" s="4451"/>
      <c r="YO119" s="4451"/>
      <c r="YP119" s="4451"/>
      <c r="YQ119" s="4451"/>
      <c r="YR119" s="4451"/>
      <c r="YS119" s="4451"/>
      <c r="YT119" s="4451"/>
      <c r="YU119" s="4451"/>
      <c r="YV119" s="4451"/>
      <c r="YW119" s="4451"/>
      <c r="YX119" s="4451"/>
      <c r="YY119" s="4451"/>
      <c r="YZ119" s="4451"/>
      <c r="ZA119" s="4451"/>
      <c r="ZB119" s="4451"/>
      <c r="ZC119" s="4451"/>
      <c r="ZD119" s="4451"/>
      <c r="ZE119" s="4451"/>
      <c r="ZF119" s="4451"/>
      <c r="ZG119" s="4451"/>
      <c r="ZH119" s="4451"/>
      <c r="ZI119" s="4451"/>
      <c r="ZJ119" s="4451"/>
      <c r="ZK119" s="4451"/>
      <c r="ZL119" s="4451"/>
      <c r="ZM119" s="4451"/>
      <c r="ZN119" s="4451"/>
      <c r="ZO119" s="4451"/>
      <c r="ZP119" s="4451"/>
      <c r="ZQ119" s="4451"/>
      <c r="ZR119" s="4451"/>
      <c r="ZS119" s="4451"/>
      <c r="ZT119" s="4451"/>
      <c r="ZU119" s="4451"/>
      <c r="ZV119" s="4451"/>
      <c r="ZW119" s="4451"/>
      <c r="ZX119" s="4451"/>
      <c r="ZY119" s="4451"/>
      <c r="ZZ119" s="4451"/>
      <c r="AAA119" s="4451"/>
      <c r="AAB119" s="4451"/>
      <c r="AAC119" s="4451"/>
      <c r="AAD119" s="4451"/>
      <c r="AAE119" s="4451"/>
      <c r="AAF119" s="4451"/>
      <c r="AAG119" s="4451"/>
      <c r="AAH119" s="4451"/>
      <c r="AAI119" s="4451"/>
      <c r="AAJ119" s="4451"/>
      <c r="AAK119" s="4451"/>
      <c r="AAL119" s="4451"/>
      <c r="AAM119" s="4451"/>
      <c r="AAN119" s="4451"/>
      <c r="AAO119" s="4451"/>
      <c r="AAP119" s="4451"/>
      <c r="AAQ119" s="4451"/>
      <c r="AAR119" s="4451"/>
      <c r="AAS119" s="4451"/>
      <c r="AAT119" s="4451"/>
      <c r="AAU119" s="4451"/>
      <c r="AAV119" s="4451"/>
      <c r="AAW119" s="4451"/>
      <c r="AAX119" s="4451"/>
      <c r="AAY119" s="4451"/>
      <c r="AAZ119" s="4451"/>
      <c r="ABA119" s="4451"/>
      <c r="ABB119" s="4451"/>
      <c r="ABC119" s="4451"/>
      <c r="ABD119" s="4451"/>
      <c r="ABE119" s="4451"/>
      <c r="ABF119" s="4451"/>
      <c r="ABG119" s="4451"/>
      <c r="ABH119" s="4451"/>
      <c r="ABI119" s="4451"/>
      <c r="ABJ119" s="4451"/>
      <c r="ABK119" s="4451"/>
      <c r="ABL119" s="4451"/>
      <c r="ABM119" s="4451"/>
      <c r="ABN119" s="4451"/>
      <c r="ABO119" s="4451"/>
      <c r="ABP119" s="4451"/>
      <c r="ABQ119" s="4451"/>
    </row>
    <row r="120" spans="1:745" s="4458" customFormat="1" ht="13.6" customHeight="1" x14ac:dyDescent="0.3">
      <c r="A120" s="4457"/>
      <c r="B120" s="1773" t="s">
        <v>53</v>
      </c>
      <c r="C120" s="5112" t="s">
        <v>1046</v>
      </c>
      <c r="D120" s="5113" t="s">
        <v>1030</v>
      </c>
      <c r="E120" s="1993"/>
      <c r="F120" s="1993"/>
      <c r="G120" s="2161">
        <v>1097000</v>
      </c>
      <c r="H120" s="2031"/>
      <c r="I120" s="1914"/>
      <c r="J120" s="1914"/>
      <c r="K120" s="1914"/>
      <c r="L120" s="593"/>
      <c r="M120" s="2031"/>
      <c r="N120" s="1914"/>
      <c r="O120" s="1914"/>
      <c r="P120" s="1914"/>
      <c r="Q120" s="593"/>
      <c r="R120" s="2031"/>
      <c r="S120" s="1914"/>
      <c r="T120" s="1914"/>
      <c r="U120" s="1914"/>
      <c r="V120" s="593"/>
      <c r="W120" s="2031"/>
      <c r="X120" s="1914"/>
      <c r="Y120" s="1914"/>
      <c r="Z120" s="1914"/>
      <c r="AA120" s="2032"/>
      <c r="AB120" s="2031"/>
      <c r="AC120" s="1914"/>
      <c r="AD120" s="1914"/>
      <c r="AE120" s="1914"/>
      <c r="AF120" s="2032"/>
      <c r="AG120" s="1914"/>
      <c r="AH120" s="1914"/>
      <c r="AI120" s="1914"/>
      <c r="AJ120" s="1914"/>
      <c r="AK120" s="593"/>
      <c r="AL120" s="1914"/>
      <c r="AM120" s="1914"/>
      <c r="AN120" s="1914"/>
      <c r="AO120" s="1914"/>
      <c r="AP120" s="593"/>
      <c r="AQ120" s="1914"/>
      <c r="AR120" s="1914"/>
      <c r="AS120" s="1914"/>
      <c r="AT120" s="1914"/>
      <c r="AU120" s="593"/>
      <c r="AV120" s="2033"/>
      <c r="AW120" s="1914"/>
      <c r="AX120" s="1914"/>
      <c r="AY120" s="1914"/>
      <c r="AZ120" s="2032"/>
      <c r="BA120" s="2033"/>
      <c r="BB120" s="1914"/>
      <c r="BC120" s="1914"/>
      <c r="BD120" s="1914"/>
      <c r="BE120" s="2032"/>
      <c r="BF120" s="2033"/>
      <c r="BG120" s="1914"/>
      <c r="BH120" s="1914"/>
      <c r="BI120" s="1914"/>
      <c r="BJ120" s="2032"/>
      <c r="BK120" s="2033"/>
      <c r="BL120" s="1914"/>
      <c r="BM120" s="1914"/>
      <c r="BN120" s="1914"/>
      <c r="BO120" s="2032"/>
      <c r="BP120" s="2034"/>
      <c r="BQ120" s="1914"/>
      <c r="BR120" s="1914"/>
      <c r="BS120" s="1914"/>
      <c r="BT120" s="2035"/>
      <c r="BU120" s="1914"/>
      <c r="BV120" s="1914"/>
      <c r="BW120" s="2036"/>
      <c r="BX120" s="2035"/>
      <c r="BY120" s="1914"/>
      <c r="BZ120" s="1914"/>
      <c r="CA120" s="2010"/>
      <c r="CB120" s="1914"/>
      <c r="CC120" s="1914"/>
      <c r="CD120" s="1914"/>
      <c r="CE120" s="1914"/>
      <c r="CF120" s="2035"/>
      <c r="CG120" s="1914"/>
      <c r="CH120" s="1914"/>
      <c r="CI120" s="2010"/>
      <c r="CJ120" s="2037"/>
      <c r="CK120" s="1914"/>
      <c r="CL120" s="1914"/>
      <c r="CM120" s="1914"/>
      <c r="CN120" s="2036"/>
      <c r="CO120" s="2037"/>
      <c r="CP120" s="2031"/>
      <c r="CQ120" s="2031"/>
      <c r="CR120" s="2031"/>
      <c r="CS120" s="2036"/>
      <c r="CT120" s="2037"/>
      <c r="CU120" s="1914"/>
      <c r="CV120" s="1914"/>
      <c r="CW120" s="1914"/>
      <c r="CX120" s="2036"/>
      <c r="CY120" s="2037"/>
      <c r="CZ120" s="1914"/>
      <c r="DA120" s="1914"/>
      <c r="DB120" s="1914"/>
      <c r="DC120" s="2036"/>
      <c r="DD120" s="2037"/>
      <c r="DE120" s="1914"/>
      <c r="DF120" s="1914"/>
      <c r="DG120" s="1914"/>
      <c r="DH120" s="2038"/>
      <c r="DI120" s="2037"/>
      <c r="DJ120" s="1914"/>
      <c r="DK120" s="1914"/>
      <c r="DL120" s="1914"/>
      <c r="DM120" s="2038"/>
      <c r="DN120" s="2037"/>
      <c r="DO120" s="1914"/>
      <c r="DP120" s="1914"/>
      <c r="DQ120" s="1914"/>
      <c r="DR120" s="2038"/>
      <c r="DS120" s="2037"/>
      <c r="DT120" s="1914"/>
      <c r="DU120" s="1914"/>
      <c r="DV120" s="1914"/>
      <c r="DW120" s="2038"/>
      <c r="DX120" s="2037"/>
      <c r="DY120" s="1914"/>
      <c r="DZ120" s="1914"/>
      <c r="EA120" s="1914"/>
      <c r="EB120" s="2038"/>
      <c r="EC120" s="2037"/>
      <c r="ED120" s="1914"/>
      <c r="EE120" s="1914"/>
      <c r="EF120" s="1914"/>
      <c r="EG120" s="2038"/>
      <c r="EH120" s="2037"/>
      <c r="EI120" s="1914"/>
      <c r="EJ120" s="1914"/>
      <c r="EK120" s="1914"/>
      <c r="EL120" s="2038"/>
      <c r="EM120" s="1910"/>
      <c r="EN120" s="715"/>
      <c r="EO120" s="715"/>
      <c r="EP120" s="715"/>
      <c r="EQ120" s="366"/>
      <c r="ER120" s="2402"/>
      <c r="ES120" s="2403"/>
      <c r="ET120" s="2403"/>
      <c r="EU120" s="2403"/>
      <c r="EV120" s="2404"/>
      <c r="EW120" s="2031"/>
      <c r="EX120" s="2031"/>
      <c r="EY120" s="2031"/>
      <c r="EZ120" s="593"/>
      <c r="FA120" s="2037"/>
      <c r="FB120" s="2031"/>
      <c r="FC120" s="2031"/>
      <c r="FD120" s="2036"/>
      <c r="FE120" s="2031"/>
      <c r="FF120" s="2031"/>
      <c r="FG120" s="2031"/>
      <c r="FH120" s="593"/>
      <c r="FI120" s="2039"/>
      <c r="FJ120" s="2040"/>
      <c r="FK120" s="2041"/>
      <c r="FL120" s="2041"/>
      <c r="FM120" s="693"/>
      <c r="FN120" s="2031"/>
      <c r="FO120" s="1914"/>
      <c r="FP120" s="1914"/>
      <c r="FQ120" s="1914"/>
      <c r="FR120" s="2032"/>
      <c r="FS120" s="1910"/>
      <c r="FT120" s="715"/>
      <c r="FU120" s="715"/>
      <c r="FV120" s="715"/>
      <c r="FW120" s="366"/>
      <c r="FX120" s="2037"/>
      <c r="FY120" s="1914"/>
      <c r="FZ120" s="1914"/>
      <c r="GA120" s="715"/>
      <c r="GB120" s="366"/>
      <c r="GC120" s="2110"/>
      <c r="GD120" s="2111"/>
      <c r="GE120" s="2111"/>
      <c r="GF120" s="715"/>
      <c r="GG120" s="366"/>
      <c r="GH120" s="2042"/>
      <c r="GI120" s="2043"/>
      <c r="GJ120" s="2043"/>
      <c r="GK120" s="715"/>
      <c r="GL120" s="366"/>
      <c r="GM120" s="2042"/>
      <c r="GN120" s="2043"/>
      <c r="GO120" s="2043"/>
      <c r="GP120" s="715"/>
      <c r="GQ120" s="366"/>
      <c r="GR120" s="2042"/>
      <c r="GS120" s="2043"/>
      <c r="GT120" s="2043"/>
      <c r="GU120" s="715"/>
      <c r="GV120" s="366"/>
      <c r="GW120" s="2042"/>
      <c r="GX120" s="2043"/>
      <c r="GY120" s="2043"/>
      <c r="GZ120" s="715"/>
      <c r="HA120" s="366"/>
      <c r="HB120" s="2042"/>
      <c r="HC120" s="2043"/>
      <c r="HD120" s="2043"/>
      <c r="HE120" s="715"/>
      <c r="HF120" s="366"/>
      <c r="HG120" s="2042"/>
      <c r="HH120" s="2043"/>
      <c r="HI120" s="2043"/>
      <c r="HJ120" s="2113"/>
      <c r="HK120" s="366"/>
      <c r="HL120" s="2042"/>
      <c r="HM120" s="2043"/>
      <c r="HN120" s="2043"/>
      <c r="HO120" s="715"/>
      <c r="HP120" s="366"/>
      <c r="HQ120" s="2114"/>
      <c r="HR120" s="1904"/>
      <c r="HS120" s="1904"/>
      <c r="HT120" s="1904"/>
      <c r="HU120" s="2115"/>
      <c r="HV120" s="2405"/>
      <c r="HW120" s="2406"/>
      <c r="HX120" s="2406"/>
      <c r="HY120" s="2406"/>
      <c r="HZ120" s="1906"/>
      <c r="IA120" s="1907"/>
      <c r="IB120" s="1908"/>
      <c r="IC120" s="1908"/>
      <c r="ID120" s="1909"/>
      <c r="IE120" s="1910"/>
      <c r="IF120" s="1911"/>
      <c r="IG120" s="1912"/>
      <c r="IH120" s="1909"/>
      <c r="II120" s="1907"/>
      <c r="IJ120" s="2116"/>
      <c r="IK120" s="2116"/>
      <c r="IL120" s="693"/>
      <c r="IM120" s="2117"/>
      <c r="IN120" s="2116"/>
      <c r="IO120" s="2116"/>
      <c r="IP120" s="1838"/>
      <c r="IQ120" s="1914"/>
      <c r="IR120" s="2044"/>
      <c r="IS120" s="715"/>
      <c r="IT120" s="715"/>
      <c r="IU120" s="2131"/>
      <c r="IV120" s="2045"/>
      <c r="IW120" s="1910"/>
      <c r="IX120" s="715"/>
      <c r="IY120" s="715"/>
      <c r="IZ120" s="2113"/>
      <c r="JA120" s="2132"/>
      <c r="JB120" s="2407"/>
      <c r="JC120" s="2408"/>
      <c r="JD120" s="2409"/>
      <c r="JE120" s="2113"/>
      <c r="JF120" s="2132"/>
      <c r="JG120" s="2410"/>
      <c r="JH120" s="2043"/>
      <c r="JI120" s="2043"/>
      <c r="JJ120" s="2411"/>
      <c r="JK120" s="2132"/>
      <c r="JL120" s="2129"/>
      <c r="JM120" s="2043"/>
      <c r="JN120" s="2043"/>
      <c r="JO120" s="715"/>
      <c r="JP120" s="2132"/>
      <c r="JQ120" s="2129"/>
      <c r="JR120" s="2130"/>
      <c r="JS120" s="1904"/>
      <c r="JT120" s="2131"/>
      <c r="JU120" s="2132"/>
      <c r="JV120" s="2410"/>
      <c r="JW120" s="2043"/>
      <c r="JX120" s="1904"/>
      <c r="JY120" s="715"/>
      <c r="JZ120" s="2132"/>
      <c r="KA120" s="2410"/>
      <c r="KB120" s="1904"/>
      <c r="KC120" s="2130"/>
      <c r="KD120" s="2414"/>
      <c r="KE120" s="2415"/>
      <c r="KF120" s="2410"/>
      <c r="KG120" s="1904"/>
      <c r="KH120" s="2043"/>
      <c r="KI120" s="2113"/>
      <c r="KJ120" s="2132"/>
      <c r="KK120" s="2410"/>
      <c r="KL120" s="1904"/>
      <c r="KM120" s="2043"/>
      <c r="KN120" s="2416"/>
      <c r="KO120" s="2417"/>
      <c r="KP120" s="2136"/>
      <c r="KQ120" s="2130"/>
      <c r="KR120" s="1904"/>
      <c r="KS120" s="2131"/>
      <c r="KT120" s="2137"/>
      <c r="KU120" s="2114"/>
      <c r="KV120" s="1904"/>
      <c r="KW120" s="1904"/>
      <c r="KX120" s="1904"/>
      <c r="KY120" s="2418"/>
      <c r="KZ120" s="1832"/>
      <c r="LA120" s="622"/>
      <c r="LB120" s="622"/>
      <c r="LC120" s="622"/>
      <c r="LD120" s="239"/>
      <c r="LE120" s="2419"/>
      <c r="LF120" s="2420"/>
      <c r="LG120" s="2420"/>
      <c r="LH120" s="2421"/>
      <c r="LI120" s="2422"/>
      <c r="LJ120" s="2423"/>
      <c r="LK120" s="2419"/>
      <c r="LL120" s="2421"/>
      <c r="LM120" s="1907"/>
      <c r="LN120" s="2116"/>
      <c r="LO120" s="2116"/>
      <c r="LP120" s="2013"/>
      <c r="LQ120" s="2424"/>
      <c r="LR120" s="2116"/>
      <c r="LS120" s="2116"/>
      <c r="LT120" s="1838"/>
      <c r="LU120" s="2425"/>
      <c r="LV120" s="2426"/>
      <c r="LW120" s="436"/>
      <c r="LX120" s="436"/>
      <c r="LY120" s="2427"/>
      <c r="LZ120" s="1588"/>
      <c r="MA120" s="2422"/>
      <c r="MB120" s="1587"/>
      <c r="MC120" s="1587"/>
      <c r="MD120" s="2148"/>
      <c r="ME120" s="2149"/>
      <c r="MF120" s="406"/>
      <c r="MG120" s="2428"/>
      <c r="MH120" s="5114"/>
      <c r="MI120" s="2148"/>
      <c r="MJ120" s="2149"/>
      <c r="MK120" s="2429"/>
      <c r="ML120" s="436"/>
      <c r="MM120" s="1587"/>
      <c r="MN120" s="2148"/>
      <c r="MO120" s="2149"/>
      <c r="MP120" s="2153"/>
      <c r="MQ120" s="1904"/>
      <c r="MR120" s="1904"/>
      <c r="MS120" s="1904"/>
      <c r="MT120" s="787"/>
      <c r="MU120" s="1318"/>
      <c r="MV120" s="395"/>
      <c r="MW120" s="395"/>
      <c r="MX120" s="395"/>
      <c r="MY120" s="655"/>
      <c r="MZ120" s="1318"/>
      <c r="NA120" s="395"/>
      <c r="NB120" s="395"/>
      <c r="NC120" s="395"/>
      <c r="ND120" s="801"/>
      <c r="NE120" s="1318"/>
      <c r="NF120" s="395"/>
      <c r="NG120" s="395"/>
      <c r="NH120" s="395"/>
      <c r="NI120" s="801"/>
      <c r="NJ120" s="1318"/>
      <c r="NK120" s="395"/>
      <c r="NL120" s="395"/>
      <c r="NM120" s="395"/>
      <c r="NN120" s="801"/>
      <c r="NO120" s="2432"/>
      <c r="NP120" s="622"/>
      <c r="NQ120" s="2437"/>
      <c r="NR120" s="395"/>
      <c r="NS120" s="801"/>
      <c r="NT120" s="2432"/>
      <c r="NU120" s="622"/>
      <c r="NV120" s="622"/>
      <c r="NW120" s="395"/>
      <c r="NX120" s="801"/>
      <c r="NY120" s="2432"/>
      <c r="NZ120" s="622"/>
      <c r="OA120" s="622"/>
      <c r="OB120" s="622"/>
      <c r="OC120" s="116"/>
      <c r="OD120" s="2433"/>
      <c r="OE120" s="622"/>
      <c r="OF120" s="622"/>
      <c r="OG120" s="622"/>
      <c r="OH120" s="1576"/>
      <c r="OI120" s="2435"/>
      <c r="OJ120" s="2436"/>
      <c r="OK120" s="2436"/>
      <c r="OL120" s="2436"/>
      <c r="OM120" s="1439"/>
      <c r="ON120" s="622"/>
      <c r="OO120" s="622"/>
      <c r="OP120" s="622"/>
      <c r="OQ120" s="2437"/>
      <c r="OR120" s="421"/>
      <c r="OS120" s="2438"/>
      <c r="OT120" s="2439"/>
      <c r="OU120" s="2439"/>
      <c r="OV120" s="2440"/>
      <c r="OW120" s="460"/>
      <c r="OX120" s="2432"/>
      <c r="OY120" s="622"/>
      <c r="OZ120" s="622"/>
      <c r="PA120" s="2437"/>
      <c r="PB120" s="116"/>
      <c r="PC120" s="2441"/>
      <c r="PD120" s="2426"/>
      <c r="PE120" s="436"/>
      <c r="PF120" s="436"/>
      <c r="PG120" s="115"/>
      <c r="PH120" s="1588"/>
      <c r="PI120" s="401"/>
      <c r="PJ120" s="395"/>
      <c r="PK120" s="395"/>
      <c r="PL120" s="115"/>
      <c r="PM120" s="186"/>
      <c r="PN120" s="2426"/>
      <c r="PO120" s="436"/>
      <c r="PP120" s="1587"/>
      <c r="PQ120" s="2148"/>
      <c r="PR120" s="2149"/>
      <c r="PS120" s="2429"/>
      <c r="PT120" s="436"/>
      <c r="PU120" s="1587"/>
      <c r="PV120" s="2148"/>
      <c r="PW120" s="207"/>
      <c r="PX120" s="2153"/>
      <c r="PY120" s="1904"/>
      <c r="PZ120" s="1904"/>
      <c r="QA120" s="1904"/>
      <c r="QB120" s="787"/>
      <c r="QC120" s="1318"/>
      <c r="QD120" s="395"/>
      <c r="QE120" s="395"/>
      <c r="QF120" s="395"/>
      <c r="QG120" s="655"/>
      <c r="QH120" s="401"/>
      <c r="QI120" s="395"/>
      <c r="QJ120" s="395"/>
      <c r="QK120" s="395"/>
      <c r="QL120" s="801"/>
      <c r="QM120" s="401"/>
      <c r="QN120" s="395"/>
      <c r="QO120" s="395"/>
      <c r="QP120" s="395"/>
      <c r="QQ120" s="801"/>
      <c r="QR120" s="1318"/>
      <c r="QS120" s="395"/>
      <c r="QT120" s="395"/>
      <c r="QU120" s="395"/>
      <c r="QV120" s="207"/>
      <c r="QW120" s="2002"/>
      <c r="QX120" s="2001"/>
      <c r="QY120" s="2001"/>
      <c r="QZ120" s="2001"/>
      <c r="RA120" s="370"/>
      <c r="RB120" s="156"/>
      <c r="RC120" s="208"/>
      <c r="RD120" s="208"/>
      <c r="RE120" s="208"/>
      <c r="RF120" s="114"/>
      <c r="RG120" s="1857"/>
      <c r="RH120" s="208"/>
      <c r="RI120" s="208"/>
      <c r="RJ120" s="772"/>
      <c r="RK120" s="2050"/>
      <c r="RL120" s="1567"/>
      <c r="RM120" s="1568">
        <f t="shared" si="426"/>
        <v>0</v>
      </c>
      <c r="RN120" s="1568">
        <f t="shared" si="426"/>
        <v>0</v>
      </c>
      <c r="RO120" s="1568">
        <f t="shared" si="426"/>
        <v>0</v>
      </c>
      <c r="RP120" s="220"/>
      <c r="RQ120" s="2435"/>
      <c r="RR120" s="2436"/>
      <c r="RS120" s="2436"/>
      <c r="RT120" s="2436"/>
      <c r="RU120" s="1439"/>
      <c r="RV120" s="622"/>
      <c r="RW120" s="622"/>
      <c r="RX120" s="622"/>
      <c r="RY120" s="2437"/>
      <c r="RZ120" s="421"/>
      <c r="SA120" s="2438"/>
      <c r="SB120" s="2439"/>
      <c r="SC120" s="2439"/>
      <c r="SD120" s="2440"/>
      <c r="SE120" s="460"/>
      <c r="SF120" s="1567"/>
      <c r="SG120" s="358"/>
      <c r="SH120" s="358"/>
      <c r="SI120" s="359"/>
      <c r="SJ120" s="114"/>
      <c r="SK120" s="1193"/>
      <c r="SL120" s="2426"/>
      <c r="SM120" s="435"/>
      <c r="SN120" s="1585"/>
      <c r="SO120" s="96"/>
      <c r="SP120" s="78"/>
      <c r="SQ120" s="439"/>
      <c r="SR120" s="435"/>
      <c r="SS120" s="1585"/>
      <c r="ST120" s="96"/>
      <c r="SU120" s="1581"/>
      <c r="SV120" s="2426"/>
      <c r="SW120" s="436"/>
      <c r="SX120" s="1587"/>
      <c r="SY120" s="371"/>
      <c r="SZ120" s="157"/>
      <c r="TA120" s="5116"/>
      <c r="TB120" s="1585"/>
      <c r="TC120" s="1585"/>
      <c r="TD120" s="96"/>
      <c r="TE120" s="94"/>
      <c r="TF120" s="5117"/>
      <c r="TG120" s="1585"/>
      <c r="TH120" s="1585"/>
      <c r="TI120" s="395"/>
      <c r="TJ120" s="114"/>
      <c r="TK120" s="209"/>
      <c r="TL120" s="208"/>
      <c r="TM120" s="208"/>
      <c r="TN120" s="208"/>
      <c r="TO120" s="114"/>
      <c r="TP120" s="4434"/>
      <c r="TQ120" s="436"/>
      <c r="TR120" s="1587"/>
      <c r="TS120" s="994"/>
      <c r="TT120" s="2155"/>
      <c r="TU120" s="4434">
        <v>5</v>
      </c>
      <c r="TV120" s="436">
        <v>159756</v>
      </c>
      <c r="TW120" s="1587">
        <v>274000</v>
      </c>
      <c r="TX120" s="994">
        <f>TW120-TV120</f>
        <v>114244</v>
      </c>
      <c r="TY120" s="116">
        <f>TX120/TW120</f>
        <v>0.41694890510948907</v>
      </c>
      <c r="TZ120" s="1318">
        <v>6</v>
      </c>
      <c r="UA120" s="395">
        <v>221888</v>
      </c>
      <c r="UB120" s="395">
        <v>275000</v>
      </c>
      <c r="UC120" s="994">
        <f>UB120-UA120</f>
        <v>53112</v>
      </c>
      <c r="UD120" s="116">
        <f t="shared" si="452"/>
        <v>0.19313454545454545</v>
      </c>
      <c r="UE120" s="1868">
        <v>13</v>
      </c>
      <c r="UF120" s="1575">
        <v>389196</v>
      </c>
      <c r="UG120" s="1575">
        <v>480000</v>
      </c>
      <c r="UH120" s="1575">
        <f t="shared" si="322"/>
        <v>90804</v>
      </c>
      <c r="UI120" s="6495">
        <f t="shared" si="367"/>
        <v>0.18917500000000001</v>
      </c>
      <c r="UJ120" s="156"/>
      <c r="UK120" s="208"/>
      <c r="UL120" s="208"/>
      <c r="UM120" s="208"/>
      <c r="UN120" s="114"/>
      <c r="UO120" s="1567"/>
      <c r="UP120" s="1568"/>
      <c r="UQ120" s="1568"/>
      <c r="UR120" s="1873"/>
      <c r="US120" s="2050"/>
      <c r="UT120" s="1567"/>
      <c r="UU120" s="358">
        <f>UP120+UK120+UF120+UA120+TV120+TQ120+TL120+TG120+TB120+SW120+SR120+SM120</f>
        <v>770840</v>
      </c>
      <c r="UV120" s="358">
        <f>UQ120+UL120+UG120+UB120+TW120+TR120+TM120+TH120+TC120+SX120+SS120+SN120</f>
        <v>1029000</v>
      </c>
      <c r="UW120" s="358">
        <f>UR120+UM120+UH120+UC120+TX120+TS120+TN120+TI120+TD120+SY120+ST120+SO120</f>
        <v>258160</v>
      </c>
      <c r="UX120" s="220">
        <f>UW120/UV120</f>
        <v>0.25088435374149659</v>
      </c>
      <c r="UY120" s="4441"/>
      <c r="UZ120" s="4442"/>
      <c r="VA120" s="4442"/>
      <c r="VB120" s="4442"/>
      <c r="VC120" s="4443"/>
      <c r="VD120" s="4440"/>
      <c r="VE120" s="4438"/>
      <c r="VF120" s="4438"/>
      <c r="VG120" s="4444"/>
      <c r="VH120" s="4445"/>
      <c r="VI120" s="4446"/>
      <c r="VJ120" s="146"/>
      <c r="VK120" s="146"/>
      <c r="VL120" s="1864"/>
      <c r="VM120" s="4459"/>
      <c r="VN120" s="4449"/>
      <c r="VO120" s="4438"/>
      <c r="VP120" s="4438"/>
      <c r="VQ120" s="4444"/>
      <c r="VR120" s="4448"/>
      <c r="VS120" s="4451"/>
      <c r="VT120" s="4451"/>
      <c r="VU120" s="4451"/>
      <c r="VV120" s="4451"/>
      <c r="VW120" s="4451"/>
      <c r="VX120" s="4451"/>
      <c r="VY120" s="4451"/>
      <c r="VZ120" s="4451"/>
      <c r="WA120" s="4451"/>
      <c r="WB120" s="4451"/>
      <c r="WC120" s="4451"/>
      <c r="WD120" s="4451"/>
      <c r="WE120" s="4451"/>
      <c r="WF120" s="4451"/>
      <c r="WG120" s="4451"/>
      <c r="WH120" s="4451"/>
      <c r="WI120" s="4451"/>
      <c r="WJ120" s="4451"/>
      <c r="WK120" s="4451"/>
      <c r="WL120" s="4451"/>
      <c r="WM120" s="4451"/>
      <c r="WN120" s="4451"/>
      <c r="WO120" s="4451"/>
      <c r="WP120" s="4451"/>
      <c r="WQ120" s="4451"/>
      <c r="WR120" s="4451"/>
      <c r="WS120" s="4451"/>
      <c r="WT120" s="4451"/>
      <c r="WU120" s="4451"/>
      <c r="WV120" s="4451"/>
      <c r="WW120" s="4451"/>
      <c r="WX120" s="4451"/>
      <c r="WY120" s="4451"/>
      <c r="WZ120" s="4451"/>
      <c r="XA120" s="4451"/>
      <c r="XB120" s="4451"/>
      <c r="XC120" s="4451"/>
      <c r="XD120" s="4451"/>
      <c r="XE120" s="4451"/>
      <c r="XF120" s="4451"/>
      <c r="XG120" s="4451"/>
      <c r="XH120" s="4451"/>
      <c r="XI120" s="4451"/>
      <c r="XJ120" s="4451"/>
      <c r="XK120" s="4451"/>
      <c r="XL120" s="4451"/>
      <c r="XM120" s="4451"/>
      <c r="XN120" s="4451"/>
      <c r="XO120" s="4451"/>
      <c r="XP120" s="4451"/>
      <c r="XQ120" s="4451"/>
      <c r="XR120" s="4451"/>
      <c r="XS120" s="4451"/>
      <c r="XT120" s="4451"/>
      <c r="XU120" s="4451"/>
      <c r="XV120" s="4451"/>
      <c r="XW120" s="4451"/>
      <c r="XX120" s="4451"/>
      <c r="XY120" s="4451"/>
      <c r="XZ120" s="4451"/>
      <c r="YA120" s="4451"/>
      <c r="YB120" s="4451"/>
      <c r="YC120" s="4451"/>
      <c r="YD120" s="4451"/>
      <c r="YE120" s="4451"/>
      <c r="YF120" s="4451"/>
      <c r="YG120" s="4451"/>
      <c r="YH120" s="4451"/>
      <c r="YI120" s="4451"/>
      <c r="YJ120" s="4451"/>
      <c r="YK120" s="4451"/>
      <c r="YL120" s="4451"/>
      <c r="YM120" s="4451"/>
      <c r="YN120" s="4451"/>
      <c r="YO120" s="4451"/>
      <c r="YP120" s="4451"/>
      <c r="YQ120" s="4451"/>
      <c r="YR120" s="4451"/>
      <c r="YS120" s="4451"/>
      <c r="YT120" s="4451"/>
      <c r="YU120" s="4451"/>
      <c r="YV120" s="4451"/>
      <c r="YW120" s="4451"/>
      <c r="YX120" s="4451"/>
      <c r="YY120" s="4451"/>
      <c r="YZ120" s="4451"/>
      <c r="ZA120" s="4451"/>
      <c r="ZB120" s="4451"/>
      <c r="ZC120" s="4451"/>
      <c r="ZD120" s="4451"/>
      <c r="ZE120" s="4451"/>
      <c r="ZF120" s="4451"/>
      <c r="ZG120" s="4451"/>
      <c r="ZH120" s="4451"/>
      <c r="ZI120" s="4451"/>
      <c r="ZJ120" s="4451"/>
      <c r="ZK120" s="4451"/>
      <c r="ZL120" s="4451"/>
      <c r="ZM120" s="4451"/>
      <c r="ZN120" s="4451"/>
      <c r="ZO120" s="4451"/>
      <c r="ZP120" s="4451"/>
      <c r="ZQ120" s="4451"/>
      <c r="ZR120" s="4451"/>
      <c r="ZS120" s="4451"/>
      <c r="ZT120" s="4451"/>
      <c r="ZU120" s="4451"/>
      <c r="ZV120" s="4451"/>
      <c r="ZW120" s="4451"/>
      <c r="ZX120" s="4451"/>
      <c r="ZY120" s="4451"/>
      <c r="ZZ120" s="4451"/>
      <c r="AAA120" s="4451"/>
      <c r="AAB120" s="4451"/>
      <c r="AAC120" s="4451"/>
      <c r="AAD120" s="4451"/>
      <c r="AAE120" s="4451"/>
      <c r="AAF120" s="4451"/>
      <c r="AAG120" s="4451"/>
      <c r="AAH120" s="4451"/>
      <c r="AAI120" s="4451"/>
      <c r="AAJ120" s="4451"/>
      <c r="AAK120" s="4451"/>
      <c r="AAL120" s="4451"/>
      <c r="AAM120" s="4451"/>
      <c r="AAN120" s="4451"/>
      <c r="AAO120" s="4451"/>
      <c r="AAP120" s="4451"/>
      <c r="AAQ120" s="4451"/>
      <c r="AAR120" s="4451"/>
      <c r="AAS120" s="4451"/>
      <c r="AAT120" s="4451"/>
      <c r="AAU120" s="4451"/>
      <c r="AAV120" s="4451"/>
      <c r="AAW120" s="4451"/>
      <c r="AAX120" s="4451"/>
      <c r="AAY120" s="4451"/>
      <c r="AAZ120" s="4451"/>
      <c r="ABA120" s="4451"/>
      <c r="ABB120" s="4451"/>
      <c r="ABC120" s="4451"/>
      <c r="ABD120" s="4451"/>
      <c r="ABE120" s="4451"/>
      <c r="ABF120" s="4451"/>
      <c r="ABG120" s="4451"/>
      <c r="ABH120" s="4451"/>
      <c r="ABI120" s="4451"/>
      <c r="ABJ120" s="4451"/>
      <c r="ABK120" s="4451"/>
      <c r="ABL120" s="4451"/>
      <c r="ABM120" s="4451"/>
      <c r="ABN120" s="4451"/>
      <c r="ABO120" s="4451"/>
      <c r="ABP120" s="4451"/>
      <c r="ABQ120" s="4451"/>
    </row>
    <row r="121" spans="1:745" s="5189" customFormat="1" ht="13.6" customHeight="1" x14ac:dyDescent="0.3">
      <c r="A121" s="5118"/>
      <c r="B121" s="5247" t="s">
        <v>53</v>
      </c>
      <c r="C121" s="1991" t="s">
        <v>1061</v>
      </c>
      <c r="D121" s="5250"/>
      <c r="E121" s="5119"/>
      <c r="F121" s="5119"/>
      <c r="G121" s="5120"/>
      <c r="H121" s="5121"/>
      <c r="I121" s="5122"/>
      <c r="J121" s="5122"/>
      <c r="K121" s="5122"/>
      <c r="L121" s="5123"/>
      <c r="M121" s="5121"/>
      <c r="N121" s="5122"/>
      <c r="O121" s="5122"/>
      <c r="P121" s="5122"/>
      <c r="Q121" s="5123"/>
      <c r="R121" s="5121"/>
      <c r="S121" s="5122"/>
      <c r="T121" s="5122"/>
      <c r="U121" s="5122"/>
      <c r="V121" s="5123"/>
      <c r="W121" s="5121"/>
      <c r="X121" s="5122"/>
      <c r="Y121" s="5122"/>
      <c r="Z121" s="5122"/>
      <c r="AA121" s="5124"/>
      <c r="AB121" s="5121"/>
      <c r="AC121" s="5122"/>
      <c r="AD121" s="5122"/>
      <c r="AE121" s="5122"/>
      <c r="AF121" s="5124"/>
      <c r="AG121" s="5122"/>
      <c r="AH121" s="5122"/>
      <c r="AI121" s="5122"/>
      <c r="AJ121" s="5122"/>
      <c r="AK121" s="5123"/>
      <c r="AL121" s="5122"/>
      <c r="AM121" s="5122"/>
      <c r="AN121" s="5122"/>
      <c r="AO121" s="5122"/>
      <c r="AP121" s="5123"/>
      <c r="AQ121" s="5122"/>
      <c r="AR121" s="5122"/>
      <c r="AS121" s="5122"/>
      <c r="AT121" s="5122"/>
      <c r="AU121" s="5123"/>
      <c r="AV121" s="5125"/>
      <c r="AW121" s="5122"/>
      <c r="AX121" s="5122"/>
      <c r="AY121" s="5122"/>
      <c r="AZ121" s="5124"/>
      <c r="BA121" s="5125"/>
      <c r="BB121" s="5122"/>
      <c r="BC121" s="5122"/>
      <c r="BD121" s="5122"/>
      <c r="BE121" s="5124"/>
      <c r="BF121" s="5125"/>
      <c r="BG121" s="5122"/>
      <c r="BH121" s="5122"/>
      <c r="BI121" s="5122"/>
      <c r="BJ121" s="5124"/>
      <c r="BK121" s="5125"/>
      <c r="BL121" s="5122"/>
      <c r="BM121" s="5122"/>
      <c r="BN121" s="5122"/>
      <c r="BO121" s="5124"/>
      <c r="BP121" s="5126"/>
      <c r="BQ121" s="5122"/>
      <c r="BR121" s="5122"/>
      <c r="BS121" s="5122"/>
      <c r="BT121" s="5127"/>
      <c r="BU121" s="5122"/>
      <c r="BV121" s="5122"/>
      <c r="BW121" s="5128"/>
      <c r="BX121" s="5127"/>
      <c r="BY121" s="5122"/>
      <c r="BZ121" s="5122"/>
      <c r="CA121" s="5129"/>
      <c r="CB121" s="5122"/>
      <c r="CC121" s="5122"/>
      <c r="CD121" s="5122"/>
      <c r="CE121" s="5122"/>
      <c r="CF121" s="5127"/>
      <c r="CG121" s="5122"/>
      <c r="CH121" s="5122"/>
      <c r="CI121" s="5129"/>
      <c r="CJ121" s="5130"/>
      <c r="CK121" s="5122"/>
      <c r="CL121" s="5122"/>
      <c r="CM121" s="5122"/>
      <c r="CN121" s="5128"/>
      <c r="CO121" s="5130"/>
      <c r="CP121" s="5121"/>
      <c r="CQ121" s="5121"/>
      <c r="CR121" s="5121"/>
      <c r="CS121" s="5128"/>
      <c r="CT121" s="5130"/>
      <c r="CU121" s="5122"/>
      <c r="CV121" s="5122"/>
      <c r="CW121" s="5122"/>
      <c r="CX121" s="5128"/>
      <c r="CY121" s="5130"/>
      <c r="CZ121" s="5122"/>
      <c r="DA121" s="5122"/>
      <c r="DB121" s="5122"/>
      <c r="DC121" s="5128"/>
      <c r="DD121" s="5130"/>
      <c r="DE121" s="5122"/>
      <c r="DF121" s="5122"/>
      <c r="DG121" s="5122"/>
      <c r="DH121" s="5131"/>
      <c r="DI121" s="5130"/>
      <c r="DJ121" s="5122"/>
      <c r="DK121" s="5122"/>
      <c r="DL121" s="5122"/>
      <c r="DM121" s="5131"/>
      <c r="DN121" s="5130"/>
      <c r="DO121" s="5122"/>
      <c r="DP121" s="5122"/>
      <c r="DQ121" s="5122"/>
      <c r="DR121" s="5131"/>
      <c r="DS121" s="5130"/>
      <c r="DT121" s="5122"/>
      <c r="DU121" s="5122"/>
      <c r="DV121" s="5122"/>
      <c r="DW121" s="5131"/>
      <c r="DX121" s="5130"/>
      <c r="DY121" s="5122"/>
      <c r="DZ121" s="5122"/>
      <c r="EA121" s="5122"/>
      <c r="EB121" s="5131"/>
      <c r="EC121" s="5130"/>
      <c r="ED121" s="5122"/>
      <c r="EE121" s="5122"/>
      <c r="EF121" s="5122"/>
      <c r="EG121" s="5131"/>
      <c r="EH121" s="5130"/>
      <c r="EI121" s="5122"/>
      <c r="EJ121" s="5122"/>
      <c r="EK121" s="5122"/>
      <c r="EL121" s="5131"/>
      <c r="EM121" s="5132"/>
      <c r="EN121" s="5133"/>
      <c r="EO121" s="5133"/>
      <c r="EP121" s="5133"/>
      <c r="EQ121" s="5134"/>
      <c r="ER121" s="5135"/>
      <c r="ES121" s="5136"/>
      <c r="ET121" s="5136"/>
      <c r="EU121" s="5136"/>
      <c r="EV121" s="5137"/>
      <c r="EW121" s="5121"/>
      <c r="EX121" s="5121"/>
      <c r="EY121" s="5121"/>
      <c r="EZ121" s="5123"/>
      <c r="FA121" s="5130"/>
      <c r="FB121" s="5121"/>
      <c r="FC121" s="5121"/>
      <c r="FD121" s="5128"/>
      <c r="FE121" s="5121"/>
      <c r="FF121" s="5121"/>
      <c r="FG121" s="5121"/>
      <c r="FH121" s="5123"/>
      <c r="FI121" s="5138"/>
      <c r="FJ121" s="5139"/>
      <c r="FK121" s="5140"/>
      <c r="FL121" s="5140"/>
      <c r="FM121" s="5141"/>
      <c r="FN121" s="5121"/>
      <c r="FO121" s="5122"/>
      <c r="FP121" s="5122"/>
      <c r="FQ121" s="5122"/>
      <c r="FR121" s="5124"/>
      <c r="FS121" s="5132"/>
      <c r="FT121" s="5133"/>
      <c r="FU121" s="5133"/>
      <c r="FV121" s="5133"/>
      <c r="FW121" s="5134"/>
      <c r="FX121" s="5130"/>
      <c r="FY121" s="5122"/>
      <c r="FZ121" s="5122"/>
      <c r="GA121" s="5133"/>
      <c r="GB121" s="5134"/>
      <c r="GC121" s="5142"/>
      <c r="GD121" s="5143"/>
      <c r="GE121" s="5143"/>
      <c r="GF121" s="5133"/>
      <c r="GG121" s="5134"/>
      <c r="GH121" s="5144"/>
      <c r="GI121" s="5145"/>
      <c r="GJ121" s="5145"/>
      <c r="GK121" s="5133"/>
      <c r="GL121" s="5134"/>
      <c r="GM121" s="5144"/>
      <c r="GN121" s="5145"/>
      <c r="GO121" s="5145"/>
      <c r="GP121" s="5133"/>
      <c r="GQ121" s="5134"/>
      <c r="GR121" s="5144"/>
      <c r="GS121" s="5145"/>
      <c r="GT121" s="5145"/>
      <c r="GU121" s="5133"/>
      <c r="GV121" s="5134"/>
      <c r="GW121" s="5144"/>
      <c r="GX121" s="5145"/>
      <c r="GY121" s="5145"/>
      <c r="GZ121" s="5133"/>
      <c r="HA121" s="5134"/>
      <c r="HB121" s="5144"/>
      <c r="HC121" s="5145"/>
      <c r="HD121" s="5145"/>
      <c r="HE121" s="5133"/>
      <c r="HF121" s="5134"/>
      <c r="HG121" s="5144"/>
      <c r="HH121" s="5145"/>
      <c r="HI121" s="5145"/>
      <c r="HJ121" s="5146"/>
      <c r="HK121" s="5134"/>
      <c r="HL121" s="5144"/>
      <c r="HM121" s="5145"/>
      <c r="HN121" s="5145"/>
      <c r="HO121" s="5133"/>
      <c r="HP121" s="5134"/>
      <c r="HQ121" s="5147"/>
      <c r="HR121" s="5148"/>
      <c r="HS121" s="5148"/>
      <c r="HT121" s="5148"/>
      <c r="HU121" s="5149"/>
      <c r="HV121" s="5150"/>
      <c r="HW121" s="5151"/>
      <c r="HX121" s="5151"/>
      <c r="HY121" s="5151"/>
      <c r="HZ121" s="5152"/>
      <c r="IA121" s="5153"/>
      <c r="IB121" s="5154"/>
      <c r="IC121" s="5154"/>
      <c r="ID121" s="5155"/>
      <c r="IE121" s="5132"/>
      <c r="IF121" s="5156"/>
      <c r="IG121" s="5157"/>
      <c r="IH121" s="5155"/>
      <c r="II121" s="5153"/>
      <c r="IJ121" s="5158"/>
      <c r="IK121" s="5158"/>
      <c r="IL121" s="5141"/>
      <c r="IM121" s="5159"/>
      <c r="IN121" s="5158"/>
      <c r="IO121" s="5158"/>
      <c r="IP121" s="5160"/>
      <c r="IQ121" s="5122"/>
      <c r="IR121" s="5161"/>
      <c r="IS121" s="5133"/>
      <c r="IT121" s="5133"/>
      <c r="IU121" s="5162"/>
      <c r="IV121" s="5163"/>
      <c r="IW121" s="5132"/>
      <c r="IX121" s="5133"/>
      <c r="IY121" s="5133"/>
      <c r="IZ121" s="5146"/>
      <c r="JA121" s="5164"/>
      <c r="JB121" s="5165"/>
      <c r="JC121" s="5166"/>
      <c r="JD121" s="5167"/>
      <c r="JE121" s="5146"/>
      <c r="JF121" s="5164"/>
      <c r="JG121" s="5168"/>
      <c r="JH121" s="5145"/>
      <c r="JI121" s="5145"/>
      <c r="JJ121" s="5169"/>
      <c r="JK121" s="5164"/>
      <c r="JL121" s="5170"/>
      <c r="JM121" s="5145"/>
      <c r="JN121" s="5145"/>
      <c r="JO121" s="5133"/>
      <c r="JP121" s="5164"/>
      <c r="JQ121" s="5170"/>
      <c r="JR121" s="5171"/>
      <c r="JS121" s="5148"/>
      <c r="JT121" s="5162"/>
      <c r="JU121" s="5164"/>
      <c r="JV121" s="5168"/>
      <c r="JW121" s="5145"/>
      <c r="JX121" s="5148"/>
      <c r="JY121" s="5133"/>
      <c r="JZ121" s="5164"/>
      <c r="KA121" s="5168"/>
      <c r="KB121" s="5171"/>
      <c r="KC121" s="5171"/>
      <c r="KD121" s="5172"/>
      <c r="KE121" s="5173"/>
      <c r="KF121" s="5168"/>
      <c r="KG121" s="5171"/>
      <c r="KH121" s="5145"/>
      <c r="KI121" s="5146"/>
      <c r="KJ121" s="5164"/>
      <c r="KK121" s="5168"/>
      <c r="KL121" s="5171"/>
      <c r="KM121" s="5145"/>
      <c r="KN121" s="5251"/>
      <c r="KO121" s="5175"/>
      <c r="KP121" s="5176"/>
      <c r="KQ121" s="5171"/>
      <c r="KR121" s="5148"/>
      <c r="KS121" s="5162"/>
      <c r="KT121" s="5177"/>
      <c r="KU121" s="5147"/>
      <c r="KV121" s="5148"/>
      <c r="KW121" s="5148"/>
      <c r="KX121" s="5148"/>
      <c r="KY121" s="5178"/>
      <c r="KZ121" s="5179"/>
      <c r="LA121" s="5180"/>
      <c r="LB121" s="5180"/>
      <c r="LC121" s="5180"/>
      <c r="LD121" s="5181"/>
      <c r="LE121" s="5182"/>
      <c r="LF121" s="5183"/>
      <c r="LG121" s="5183"/>
      <c r="LH121" s="5184"/>
      <c r="LI121" s="5185"/>
      <c r="LJ121" s="5186"/>
      <c r="LK121" s="5182"/>
      <c r="LL121" s="5184"/>
      <c r="LM121" s="5153"/>
      <c r="LN121" s="5158"/>
      <c r="LO121" s="5158"/>
      <c r="LP121" s="5187"/>
      <c r="LQ121" s="5188"/>
      <c r="LR121" s="5158"/>
      <c r="LS121" s="5158"/>
      <c r="LT121" s="5160"/>
      <c r="LV121" s="5190"/>
      <c r="LW121" s="5191"/>
      <c r="LX121" s="5191"/>
      <c r="LY121" s="5192"/>
      <c r="LZ121" s="5193"/>
      <c r="MA121" s="5185"/>
      <c r="MB121" s="5194"/>
      <c r="MC121" s="5194"/>
      <c r="MD121" s="5195"/>
      <c r="ME121" s="5196"/>
      <c r="MF121" s="5197"/>
      <c r="MG121" s="5198"/>
      <c r="MH121" s="5199"/>
      <c r="MI121" s="5195"/>
      <c r="MJ121" s="5196"/>
      <c r="MK121" s="5200"/>
      <c r="ML121" s="5191"/>
      <c r="MM121" s="5194"/>
      <c r="MN121" s="5195"/>
      <c r="MO121" s="5196"/>
      <c r="MP121" s="5201"/>
      <c r="MQ121" s="5148"/>
      <c r="MR121" s="5148"/>
      <c r="MS121" s="5148"/>
      <c r="MT121" s="5202"/>
      <c r="MU121" s="5203"/>
      <c r="MV121" s="4460"/>
      <c r="MW121" s="4460"/>
      <c r="MX121" s="4460"/>
      <c r="MY121" s="5204"/>
      <c r="MZ121" s="5203"/>
      <c r="NA121" s="4460"/>
      <c r="NB121" s="4460"/>
      <c r="NC121" s="4460"/>
      <c r="ND121" s="5205"/>
      <c r="NE121" s="5203"/>
      <c r="NF121" s="4460"/>
      <c r="NG121" s="4460"/>
      <c r="NH121" s="4460"/>
      <c r="NI121" s="5205"/>
      <c r="NJ121" s="5203"/>
      <c r="NK121" s="4460"/>
      <c r="NL121" s="4460"/>
      <c r="NM121" s="4460"/>
      <c r="NN121" s="5205"/>
      <c r="NO121" s="5206"/>
      <c r="NP121" s="5180"/>
      <c r="NQ121" s="5207"/>
      <c r="NR121" s="4460"/>
      <c r="NS121" s="5205"/>
      <c r="NT121" s="5206"/>
      <c r="NU121" s="5180"/>
      <c r="NV121" s="5180"/>
      <c r="NW121" s="4460"/>
      <c r="NX121" s="5205"/>
      <c r="NY121" s="5206"/>
      <c r="NZ121" s="5180"/>
      <c r="OA121" s="5180"/>
      <c r="OB121" s="5180"/>
      <c r="OC121" s="4947"/>
      <c r="OD121" s="5208"/>
      <c r="OE121" s="5180"/>
      <c r="OF121" s="5180"/>
      <c r="OG121" s="5180"/>
      <c r="OH121" s="5209"/>
      <c r="OI121" s="5210"/>
      <c r="OJ121" s="5211"/>
      <c r="OK121" s="5211"/>
      <c r="OL121" s="5211"/>
      <c r="OM121" s="5212"/>
      <c r="ON121" s="5180"/>
      <c r="OO121" s="5180"/>
      <c r="OP121" s="5180"/>
      <c r="OQ121" s="5207"/>
      <c r="OR121" s="5213"/>
      <c r="OS121" s="5214"/>
      <c r="OT121" s="5215"/>
      <c r="OU121" s="5215"/>
      <c r="OV121" s="5216"/>
      <c r="OW121" s="5217"/>
      <c r="OX121" s="5206"/>
      <c r="OY121" s="5180"/>
      <c r="OZ121" s="5180"/>
      <c r="PA121" s="5207"/>
      <c r="PB121" s="4947"/>
      <c r="PC121" s="5218"/>
      <c r="PD121" s="5190"/>
      <c r="PE121" s="5191"/>
      <c r="PF121" s="5191"/>
      <c r="PG121" s="5219"/>
      <c r="PH121" s="5193"/>
      <c r="PI121" s="4937"/>
      <c r="PJ121" s="4460"/>
      <c r="PK121" s="4460"/>
      <c r="PL121" s="5219"/>
      <c r="PM121" s="5220"/>
      <c r="PN121" s="5190"/>
      <c r="PO121" s="5191"/>
      <c r="PP121" s="5194"/>
      <c r="PQ121" s="5195"/>
      <c r="PR121" s="5196"/>
      <c r="PS121" s="5200"/>
      <c r="PT121" s="5191"/>
      <c r="PU121" s="5194"/>
      <c r="PV121" s="5195"/>
      <c r="PW121" s="4939"/>
      <c r="PX121" s="5201"/>
      <c r="PY121" s="5148"/>
      <c r="PZ121" s="5148"/>
      <c r="QA121" s="5148"/>
      <c r="QB121" s="5202"/>
      <c r="QC121" s="5203"/>
      <c r="QD121" s="4460"/>
      <c r="QE121" s="4460"/>
      <c r="QF121" s="4460"/>
      <c r="QG121" s="5204"/>
      <c r="QH121" s="4937"/>
      <c r="QI121" s="4460"/>
      <c r="QJ121" s="4460"/>
      <c r="QK121" s="4460"/>
      <c r="QL121" s="5205"/>
      <c r="QM121" s="5179"/>
      <c r="QN121" s="5180"/>
      <c r="QO121" s="5180"/>
      <c r="QP121" s="4460"/>
      <c r="QQ121" s="5205"/>
      <c r="QR121" s="5203"/>
      <c r="QS121" s="4460"/>
      <c r="QT121" s="4460"/>
      <c r="QU121" s="4460"/>
      <c r="QV121" s="4939"/>
      <c r="QW121" s="5221"/>
      <c r="QX121" s="5222"/>
      <c r="QY121" s="5222"/>
      <c r="QZ121" s="5222"/>
      <c r="RA121" s="5223"/>
      <c r="RB121" s="5224"/>
      <c r="RC121" s="5252"/>
      <c r="RD121" s="1338"/>
      <c r="RE121" s="1338"/>
      <c r="RF121" s="4947"/>
      <c r="RG121" s="5225"/>
      <c r="RH121" s="1338"/>
      <c r="RI121" s="1338"/>
      <c r="RJ121" s="4513"/>
      <c r="RK121" s="4514"/>
      <c r="RL121" s="4944"/>
      <c r="RM121" s="4945">
        <f t="shared" si="426"/>
        <v>0</v>
      </c>
      <c r="RN121" s="4945">
        <f t="shared" si="426"/>
        <v>0</v>
      </c>
      <c r="RO121" s="4945">
        <f t="shared" si="426"/>
        <v>0</v>
      </c>
      <c r="RP121" s="4948"/>
      <c r="RQ121" s="5210"/>
      <c r="RR121" s="5211"/>
      <c r="RS121" s="5211"/>
      <c r="RT121" s="5211"/>
      <c r="RU121" s="5212"/>
      <c r="RV121" s="5180"/>
      <c r="RW121" s="5180"/>
      <c r="RX121" s="5180"/>
      <c r="RY121" s="5207"/>
      <c r="RZ121" s="5213"/>
      <c r="SA121" s="5214"/>
      <c r="SB121" s="5215"/>
      <c r="SC121" s="5215"/>
      <c r="SD121" s="5216"/>
      <c r="SE121" s="5217"/>
      <c r="SF121" s="4944"/>
      <c r="SG121" s="1333"/>
      <c r="SH121" s="1333"/>
      <c r="SI121" s="5229"/>
      <c r="SJ121" s="5230"/>
      <c r="SK121" s="5231"/>
      <c r="SL121" s="5235"/>
      <c r="SM121" s="5232">
        <v>618749</v>
      </c>
      <c r="SN121" s="5232"/>
      <c r="SO121" s="3659">
        <f t="shared" si="264"/>
        <v>-618749</v>
      </c>
      <c r="SP121" s="4111"/>
      <c r="SQ121" s="4934"/>
      <c r="SR121" s="1338">
        <v>618759</v>
      </c>
      <c r="SS121" s="1338"/>
      <c r="ST121" s="3659">
        <f>SS121-SR121</f>
        <v>-618759</v>
      </c>
      <c r="SU121" s="78"/>
      <c r="SV121" s="5190"/>
      <c r="SW121" s="5191">
        <v>618759</v>
      </c>
      <c r="SX121" s="5233"/>
      <c r="SY121" s="371">
        <f>SX121-SW121</f>
        <v>-618759</v>
      </c>
      <c r="SZ121" s="157"/>
      <c r="TA121" s="5253"/>
      <c r="TB121" s="4460">
        <f>618759+288564+212392</f>
        <v>1119715</v>
      </c>
      <c r="TC121" s="5233">
        <v>0</v>
      </c>
      <c r="TD121" s="3659">
        <f t="shared" si="280"/>
        <v>-1119715</v>
      </c>
      <c r="TE121" s="4941"/>
      <c r="TF121" s="5254"/>
      <c r="TG121" s="4460">
        <f>618759+393726</f>
        <v>1012485</v>
      </c>
      <c r="TH121" s="1338"/>
      <c r="TI121" s="4460">
        <f t="shared" si="447"/>
        <v>-1012485</v>
      </c>
      <c r="TJ121" s="4514"/>
      <c r="TK121" s="4942"/>
      <c r="TL121" s="1338">
        <f>618759+245083</f>
        <v>863842</v>
      </c>
      <c r="TM121" s="1338">
        <v>0</v>
      </c>
      <c r="TN121" s="1338">
        <f t="shared" si="443"/>
        <v>-863842</v>
      </c>
      <c r="TO121" s="4514"/>
      <c r="TP121" s="5238"/>
      <c r="TQ121" s="208">
        <f>618759+245083+715000</f>
        <v>1578842</v>
      </c>
      <c r="TR121" s="4460">
        <v>0</v>
      </c>
      <c r="TS121" s="4513">
        <f t="shared" si="352"/>
        <v>-1578842</v>
      </c>
      <c r="TT121" s="5230">
        <v>0</v>
      </c>
      <c r="TU121" s="4434"/>
      <c r="TV121" s="208">
        <f>618759+127964+45769+50000+715000</f>
        <v>1557492</v>
      </c>
      <c r="TW121" s="395">
        <v>0</v>
      </c>
      <c r="TX121" s="4513">
        <f t="shared" si="449"/>
        <v>-1557492</v>
      </c>
      <c r="TY121" s="5227">
        <v>0</v>
      </c>
      <c r="TZ121" s="5203"/>
      <c r="UA121" s="395">
        <f>618759+215515+35000+715000</f>
        <v>1584274</v>
      </c>
      <c r="UB121" s="4460">
        <v>0</v>
      </c>
      <c r="UC121" s="4513">
        <f t="shared" si="451"/>
        <v>-1584274</v>
      </c>
      <c r="UD121" s="116">
        <v>0</v>
      </c>
      <c r="UE121" s="1868"/>
      <c r="UF121" s="2001">
        <f>618759+35000+960299+198690</f>
        <v>1812748</v>
      </c>
      <c r="UG121" s="2001">
        <v>0</v>
      </c>
      <c r="UH121" s="5222">
        <f t="shared" si="322"/>
        <v>-1812748</v>
      </c>
      <c r="UI121" s="6495">
        <v>0</v>
      </c>
      <c r="UJ121" s="5224"/>
      <c r="UK121" s="5252"/>
      <c r="UL121" s="1338"/>
      <c r="UM121" s="1338"/>
      <c r="UN121" s="4947"/>
      <c r="UO121" s="4944"/>
      <c r="UP121" s="4945"/>
      <c r="UQ121" s="4945"/>
      <c r="UR121" s="4946"/>
      <c r="US121" s="5227"/>
      <c r="UT121" s="4944"/>
      <c r="UU121" s="358">
        <f t="shared" si="371"/>
        <v>11385665</v>
      </c>
      <c r="UV121" s="358">
        <f t="shared" si="371"/>
        <v>0</v>
      </c>
      <c r="UW121" s="1333">
        <f t="shared" si="371"/>
        <v>-11385665</v>
      </c>
      <c r="UX121" s="5228">
        <v>0</v>
      </c>
      <c r="UY121" s="5239"/>
      <c r="UZ121" s="5240"/>
      <c r="VA121" s="5240"/>
      <c r="VB121" s="5240"/>
      <c r="VC121" s="5241"/>
      <c r="VD121" s="5180"/>
      <c r="VE121" s="1333"/>
      <c r="VF121" s="1333"/>
      <c r="VG121" s="5229"/>
      <c r="VH121" s="5242"/>
      <c r="VI121" s="5243"/>
      <c r="VJ121" s="5244">
        <f t="shared" si="373"/>
        <v>4720608</v>
      </c>
      <c r="VK121" s="5244">
        <f t="shared" si="373"/>
        <v>0</v>
      </c>
      <c r="VL121" s="5245">
        <f t="shared" si="373"/>
        <v>-4720608</v>
      </c>
      <c r="VM121" s="5217"/>
      <c r="VN121" s="4944"/>
      <c r="VO121" s="1333"/>
      <c r="VP121" s="1333"/>
      <c r="VQ121" s="5229"/>
      <c r="VR121" s="5230"/>
      <c r="VS121" s="5231"/>
      <c r="VT121" s="5231"/>
      <c r="VU121" s="5231"/>
      <c r="VV121" s="5231"/>
      <c r="VW121" s="5231"/>
      <c r="VX121" s="5231"/>
      <c r="VY121" s="5231"/>
      <c r="VZ121" s="5231"/>
      <c r="WA121" s="5231"/>
      <c r="WB121" s="5231"/>
      <c r="WC121" s="5231"/>
      <c r="WD121" s="5231"/>
      <c r="WE121" s="5231"/>
      <c r="WF121" s="5231"/>
      <c r="WG121" s="5231"/>
      <c r="WH121" s="5231"/>
      <c r="WI121" s="5231"/>
      <c r="WJ121" s="5231"/>
      <c r="WK121" s="5231"/>
      <c r="WL121" s="5231"/>
      <c r="WM121" s="5231"/>
      <c r="WN121" s="5231"/>
      <c r="WO121" s="5231"/>
      <c r="WP121" s="5231"/>
      <c r="WQ121" s="5231"/>
      <c r="WR121" s="5231"/>
      <c r="WS121" s="5231"/>
      <c r="WT121" s="5231"/>
      <c r="WU121" s="5231"/>
      <c r="WV121" s="5231"/>
      <c r="WW121" s="5231"/>
      <c r="WX121" s="5231"/>
      <c r="WY121" s="5231"/>
      <c r="WZ121" s="5231"/>
      <c r="XA121" s="5231"/>
      <c r="XB121" s="5231"/>
      <c r="XC121" s="5231"/>
      <c r="XD121" s="5231"/>
      <c r="XE121" s="5231"/>
      <c r="XF121" s="5231"/>
      <c r="XG121" s="5231"/>
      <c r="XH121" s="5231"/>
      <c r="XI121" s="5231"/>
      <c r="XJ121" s="5231"/>
      <c r="XK121" s="5231"/>
      <c r="XL121" s="5231"/>
      <c r="XM121" s="5231"/>
      <c r="XN121" s="5231"/>
      <c r="XO121" s="5231"/>
      <c r="XP121" s="5231"/>
      <c r="XQ121" s="5231"/>
      <c r="XR121" s="5231"/>
      <c r="XS121" s="5231"/>
      <c r="XT121" s="5231"/>
      <c r="XU121" s="5231"/>
      <c r="XV121" s="5231"/>
      <c r="XW121" s="5231"/>
      <c r="XX121" s="5231"/>
      <c r="XY121" s="5231"/>
      <c r="XZ121" s="5231"/>
      <c r="YA121" s="5231"/>
      <c r="YB121" s="5231"/>
      <c r="YC121" s="5231"/>
      <c r="YD121" s="5231"/>
      <c r="YE121" s="5231"/>
      <c r="YF121" s="5231"/>
      <c r="YG121" s="5231"/>
      <c r="YH121" s="5231"/>
      <c r="YI121" s="5231"/>
      <c r="YJ121" s="5231"/>
      <c r="YK121" s="5231"/>
      <c r="YL121" s="5231"/>
      <c r="YM121" s="5231"/>
      <c r="YN121" s="5231"/>
      <c r="YO121" s="5231"/>
      <c r="YP121" s="5231"/>
      <c r="YQ121" s="5231"/>
      <c r="YR121" s="5231"/>
      <c r="YS121" s="5231"/>
      <c r="YT121" s="5231"/>
      <c r="YU121" s="5231"/>
      <c r="YV121" s="5231"/>
      <c r="YW121" s="5231"/>
      <c r="YX121" s="5231"/>
      <c r="YY121" s="5231"/>
      <c r="YZ121" s="5231"/>
      <c r="ZA121" s="5231"/>
      <c r="ZB121" s="5231"/>
      <c r="ZC121" s="5231"/>
      <c r="ZD121" s="5231"/>
      <c r="ZE121" s="5231"/>
      <c r="ZF121" s="5231"/>
      <c r="ZG121" s="5231"/>
      <c r="ZH121" s="5231"/>
      <c r="ZI121" s="5231"/>
      <c r="ZJ121" s="5231"/>
      <c r="ZK121" s="5231"/>
      <c r="ZL121" s="5231"/>
      <c r="ZM121" s="5231"/>
      <c r="ZN121" s="5231"/>
      <c r="ZO121" s="5231"/>
      <c r="ZP121" s="5231"/>
      <c r="ZQ121" s="5231"/>
      <c r="ZR121" s="5231"/>
      <c r="ZS121" s="5231"/>
      <c r="ZT121" s="5231"/>
      <c r="ZU121" s="5231"/>
      <c r="ZV121" s="5231"/>
      <c r="ZW121" s="5231"/>
      <c r="ZX121" s="5231"/>
      <c r="ZY121" s="5231"/>
      <c r="ZZ121" s="5231"/>
      <c r="AAA121" s="5231"/>
      <c r="AAB121" s="5231"/>
      <c r="AAC121" s="5231"/>
      <c r="AAD121" s="5231"/>
      <c r="AAE121" s="5231"/>
      <c r="AAF121" s="5231"/>
      <c r="AAG121" s="5231"/>
      <c r="AAH121" s="5231"/>
      <c r="AAI121" s="5231"/>
      <c r="AAJ121" s="5231"/>
      <c r="AAK121" s="5231"/>
      <c r="AAL121" s="5231"/>
      <c r="AAM121" s="5231"/>
      <c r="AAN121" s="5231"/>
      <c r="AAO121" s="5231"/>
      <c r="AAP121" s="5231"/>
      <c r="AAQ121" s="5231"/>
      <c r="AAR121" s="5231"/>
      <c r="AAS121" s="5231"/>
      <c r="AAT121" s="5231"/>
      <c r="AAU121" s="5231"/>
      <c r="AAV121" s="5231"/>
      <c r="AAW121" s="5231"/>
      <c r="AAX121" s="5231"/>
      <c r="AAY121" s="5231"/>
      <c r="AAZ121" s="5231"/>
      <c r="ABA121" s="5231"/>
      <c r="ABB121" s="5231"/>
      <c r="ABC121" s="5231"/>
      <c r="ABD121" s="5231"/>
      <c r="ABE121" s="5231"/>
      <c r="ABF121" s="5231"/>
      <c r="ABG121" s="5231"/>
      <c r="ABH121" s="5231"/>
      <c r="ABI121" s="5231"/>
      <c r="ABJ121" s="5231"/>
      <c r="ABK121" s="5231"/>
      <c r="ABL121" s="5231"/>
      <c r="ABM121" s="5231"/>
      <c r="ABN121" s="5231"/>
      <c r="ABO121" s="5231"/>
      <c r="ABP121" s="5231"/>
      <c r="ABQ121" s="5231"/>
    </row>
    <row r="122" spans="1:745" s="2370" customFormat="1" ht="13.45" hidden="1" x14ac:dyDescent="0.3">
      <c r="A122" s="2352"/>
      <c r="B122" s="583"/>
      <c r="C122" s="1991"/>
      <c r="D122" s="1992"/>
      <c r="E122" s="1993"/>
      <c r="F122" s="1993"/>
      <c r="G122" s="1994"/>
      <c r="H122" s="2031"/>
      <c r="I122" s="1914"/>
      <c r="J122" s="1914"/>
      <c r="K122" s="1914"/>
      <c r="L122" s="593"/>
      <c r="M122" s="2031"/>
      <c r="N122" s="1914"/>
      <c r="O122" s="1914"/>
      <c r="P122" s="1914"/>
      <c r="Q122" s="593"/>
      <c r="R122" s="2031"/>
      <c r="S122" s="1914"/>
      <c r="T122" s="1914"/>
      <c r="U122" s="1914"/>
      <c r="V122" s="593"/>
      <c r="W122" s="2031"/>
      <c r="X122" s="1914"/>
      <c r="Y122" s="1914"/>
      <c r="Z122" s="1914"/>
      <c r="AA122" s="2032"/>
      <c r="AB122" s="2031"/>
      <c r="AC122" s="1914"/>
      <c r="AD122" s="1914"/>
      <c r="AE122" s="1914"/>
      <c r="AF122" s="2032"/>
      <c r="AG122" s="1914"/>
      <c r="AH122" s="1914"/>
      <c r="AI122" s="1914"/>
      <c r="AJ122" s="1914"/>
      <c r="AK122" s="593"/>
      <c r="AL122" s="1914"/>
      <c r="AM122" s="1914"/>
      <c r="AN122" s="1914"/>
      <c r="AO122" s="1914"/>
      <c r="AP122" s="593"/>
      <c r="AQ122" s="1914"/>
      <c r="AR122" s="1914"/>
      <c r="AS122" s="1914"/>
      <c r="AT122" s="1914"/>
      <c r="AU122" s="593"/>
      <c r="AV122" s="2033"/>
      <c r="AW122" s="1914"/>
      <c r="AX122" s="1914"/>
      <c r="AY122" s="1914"/>
      <c r="AZ122" s="2032"/>
      <c r="BA122" s="2033"/>
      <c r="BB122" s="1914"/>
      <c r="BC122" s="1914"/>
      <c r="BD122" s="1914"/>
      <c r="BE122" s="2032"/>
      <c r="BF122" s="2033"/>
      <c r="BG122" s="1914"/>
      <c r="BH122" s="1914"/>
      <c r="BI122" s="1914"/>
      <c r="BJ122" s="2032"/>
      <c r="BK122" s="2033"/>
      <c r="BL122" s="1914"/>
      <c r="BM122" s="1914"/>
      <c r="BN122" s="1914"/>
      <c r="BO122" s="2032"/>
      <c r="BP122" s="2034"/>
      <c r="BQ122" s="1914"/>
      <c r="BR122" s="1914"/>
      <c r="BS122" s="1914"/>
      <c r="BT122" s="2035"/>
      <c r="BU122" s="1914"/>
      <c r="BV122" s="1914"/>
      <c r="BW122" s="2036"/>
      <c r="BX122" s="2035"/>
      <c r="BY122" s="1914"/>
      <c r="BZ122" s="1914"/>
      <c r="CA122" s="2010"/>
      <c r="CB122" s="1914"/>
      <c r="CC122" s="1914"/>
      <c r="CD122" s="1914"/>
      <c r="CE122" s="1914"/>
      <c r="CF122" s="2035"/>
      <c r="CG122" s="1914"/>
      <c r="CH122" s="1914"/>
      <c r="CI122" s="2010"/>
      <c r="CJ122" s="2037"/>
      <c r="CK122" s="1914"/>
      <c r="CL122" s="1914"/>
      <c r="CM122" s="1914"/>
      <c r="CN122" s="2036"/>
      <c r="CO122" s="2037"/>
      <c r="CP122" s="2031"/>
      <c r="CQ122" s="2031"/>
      <c r="CR122" s="2031"/>
      <c r="CS122" s="2036"/>
      <c r="CT122" s="2037"/>
      <c r="CU122" s="1914"/>
      <c r="CV122" s="1914"/>
      <c r="CW122" s="1914"/>
      <c r="CX122" s="2036"/>
      <c r="CY122" s="2037"/>
      <c r="CZ122" s="1914"/>
      <c r="DA122" s="1914"/>
      <c r="DB122" s="1914"/>
      <c r="DC122" s="2036"/>
      <c r="DD122" s="2037"/>
      <c r="DE122" s="1914"/>
      <c r="DF122" s="1914"/>
      <c r="DG122" s="1914"/>
      <c r="DH122" s="2038"/>
      <c r="DI122" s="2037"/>
      <c r="DJ122" s="1914"/>
      <c r="DK122" s="1914"/>
      <c r="DL122" s="1914"/>
      <c r="DM122" s="2038"/>
      <c r="DN122" s="2037"/>
      <c r="DO122" s="1914"/>
      <c r="DP122" s="1914"/>
      <c r="DQ122" s="1914"/>
      <c r="DR122" s="2038"/>
      <c r="DS122" s="2037"/>
      <c r="DT122" s="1914"/>
      <c r="DU122" s="1914"/>
      <c r="DV122" s="1914"/>
      <c r="DW122" s="2038"/>
      <c r="DX122" s="2037"/>
      <c r="DY122" s="1914"/>
      <c r="DZ122" s="1914"/>
      <c r="EA122" s="1914"/>
      <c r="EB122" s="2038"/>
      <c r="EC122" s="2037"/>
      <c r="ED122" s="1914"/>
      <c r="EE122" s="1914"/>
      <c r="EF122" s="1914"/>
      <c r="EG122" s="2038"/>
      <c r="EH122" s="2037"/>
      <c r="EI122" s="1914"/>
      <c r="EJ122" s="1914"/>
      <c r="EK122" s="1914"/>
      <c r="EL122" s="2038"/>
      <c r="EM122" s="1910"/>
      <c r="EN122" s="715"/>
      <c r="EO122" s="715"/>
      <c r="EP122" s="715"/>
      <c r="EQ122" s="366"/>
      <c r="ER122" s="2402"/>
      <c r="ES122" s="2403"/>
      <c r="ET122" s="2403"/>
      <c r="EU122" s="2403"/>
      <c r="EV122" s="2404"/>
      <c r="EW122" s="2031"/>
      <c r="EX122" s="2031"/>
      <c r="EY122" s="2031"/>
      <c r="EZ122" s="593"/>
      <c r="FA122" s="2037"/>
      <c r="FB122" s="2031"/>
      <c r="FC122" s="2031"/>
      <c r="FD122" s="2036"/>
      <c r="FE122" s="2031"/>
      <c r="FF122" s="2031"/>
      <c r="FG122" s="2031"/>
      <c r="FH122" s="593"/>
      <c r="FI122" s="2039"/>
      <c r="FJ122" s="2040"/>
      <c r="FK122" s="2041"/>
      <c r="FL122" s="2041"/>
      <c r="FM122" s="693"/>
      <c r="FN122" s="2031"/>
      <c r="FO122" s="1914"/>
      <c r="FP122" s="1914"/>
      <c r="FQ122" s="1914"/>
      <c r="FR122" s="2032"/>
      <c r="FS122" s="1910"/>
      <c r="FT122" s="715"/>
      <c r="FU122" s="715"/>
      <c r="FV122" s="715"/>
      <c r="FW122" s="366"/>
      <c r="FX122" s="2037"/>
      <c r="FY122" s="1914"/>
      <c r="FZ122" s="1914"/>
      <c r="GA122" s="715"/>
      <c r="GB122" s="366"/>
      <c r="GC122" s="2110"/>
      <c r="GD122" s="2111"/>
      <c r="GE122" s="2111"/>
      <c r="GF122" s="715"/>
      <c r="GG122" s="366"/>
      <c r="GH122" s="2042"/>
      <c r="GI122" s="2043"/>
      <c r="GJ122" s="2043"/>
      <c r="GK122" s="715"/>
      <c r="GL122" s="366"/>
      <c r="GM122" s="2042"/>
      <c r="GN122" s="2043"/>
      <c r="GO122" s="2043"/>
      <c r="GP122" s="715"/>
      <c r="GQ122" s="366"/>
      <c r="GR122" s="2042"/>
      <c r="GS122" s="2043"/>
      <c r="GT122" s="2043"/>
      <c r="GU122" s="715"/>
      <c r="GV122" s="366"/>
      <c r="GW122" s="2042"/>
      <c r="GX122" s="2043"/>
      <c r="GY122" s="2043"/>
      <c r="GZ122" s="715"/>
      <c r="HA122" s="366"/>
      <c r="HB122" s="2042"/>
      <c r="HC122" s="2043"/>
      <c r="HD122" s="2043"/>
      <c r="HE122" s="715"/>
      <c r="HF122" s="366"/>
      <c r="HG122" s="2042"/>
      <c r="HH122" s="2043"/>
      <c r="HI122" s="2043"/>
      <c r="HJ122" s="2113"/>
      <c r="HK122" s="366"/>
      <c r="HL122" s="2042"/>
      <c r="HM122" s="2043"/>
      <c r="HN122" s="2043"/>
      <c r="HO122" s="715"/>
      <c r="HP122" s="366"/>
      <c r="HQ122" s="2114"/>
      <c r="HR122" s="1904"/>
      <c r="HS122" s="1904"/>
      <c r="HT122" s="1904"/>
      <c r="HU122" s="2115"/>
      <c r="HV122" s="2405"/>
      <c r="HW122" s="2406"/>
      <c r="HX122" s="2406"/>
      <c r="HY122" s="2406"/>
      <c r="HZ122" s="1906"/>
      <c r="IA122" s="1907"/>
      <c r="IB122" s="1908"/>
      <c r="IC122" s="1908"/>
      <c r="ID122" s="1909"/>
      <c r="IE122" s="1910"/>
      <c r="IF122" s="1911"/>
      <c r="IG122" s="1912"/>
      <c r="IH122" s="1909"/>
      <c r="II122" s="1907"/>
      <c r="IJ122" s="2116"/>
      <c r="IK122" s="2116"/>
      <c r="IL122" s="693"/>
      <c r="IM122" s="2117"/>
      <c r="IN122" s="2116"/>
      <c r="IO122" s="2116"/>
      <c r="IP122" s="1838"/>
      <c r="IQ122" s="1914"/>
      <c r="IR122" s="2044"/>
      <c r="IS122" s="715"/>
      <c r="IT122" s="715"/>
      <c r="IU122" s="2131"/>
      <c r="IV122" s="2045"/>
      <c r="IW122" s="1910"/>
      <c r="IX122" s="715"/>
      <c r="IY122" s="715"/>
      <c r="IZ122" s="2113"/>
      <c r="JA122" s="2132"/>
      <c r="JB122" s="2407"/>
      <c r="JC122" s="2408"/>
      <c r="JD122" s="2409"/>
      <c r="JE122" s="2113"/>
      <c r="JF122" s="2132"/>
      <c r="JG122" s="2410"/>
      <c r="JH122" s="2043"/>
      <c r="JI122" s="2043"/>
      <c r="JJ122" s="2411"/>
      <c r="JK122" s="2132"/>
      <c r="JL122" s="2129"/>
      <c r="JM122" s="2043"/>
      <c r="JN122" s="2043"/>
      <c r="JO122" s="715"/>
      <c r="JP122" s="2132"/>
      <c r="JQ122" s="2129"/>
      <c r="JR122" s="2130"/>
      <c r="JS122" s="1904"/>
      <c r="JT122" s="2131"/>
      <c r="JU122" s="2132"/>
      <c r="JV122" s="2410"/>
      <c r="JW122" s="2043"/>
      <c r="JX122" s="1904"/>
      <c r="JY122" s="715"/>
      <c r="JZ122" s="2132"/>
      <c r="KA122" s="2410"/>
      <c r="KB122" s="2130"/>
      <c r="KC122" s="2130"/>
      <c r="KD122" s="2414"/>
      <c r="KE122" s="2415"/>
      <c r="KF122" s="2410"/>
      <c r="KG122" s="2130"/>
      <c r="KH122" s="2043"/>
      <c r="KI122" s="2113"/>
      <c r="KJ122" s="2132"/>
      <c r="KK122" s="2410"/>
      <c r="KL122" s="2130"/>
      <c r="KM122" s="2043"/>
      <c r="KN122" s="5255"/>
      <c r="KO122" s="2417"/>
      <c r="KP122" s="2136"/>
      <c r="KQ122" s="2130"/>
      <c r="KR122" s="1904"/>
      <c r="KS122" s="2131"/>
      <c r="KT122" s="2137"/>
      <c r="KU122" s="2114"/>
      <c r="KV122" s="1904"/>
      <c r="KW122" s="1904"/>
      <c r="KX122" s="1904"/>
      <c r="KY122" s="2418"/>
      <c r="KZ122" s="1832"/>
      <c r="LA122" s="622"/>
      <c r="LB122" s="622"/>
      <c r="LC122" s="622"/>
      <c r="LD122" s="239"/>
      <c r="LE122" s="2419"/>
      <c r="LF122" s="2420"/>
      <c r="LG122" s="2420"/>
      <c r="LH122" s="2421"/>
      <c r="LI122" s="2422"/>
      <c r="LJ122" s="2423"/>
      <c r="LK122" s="2419"/>
      <c r="LL122" s="2421"/>
      <c r="LM122" s="1907"/>
      <c r="LN122" s="2116"/>
      <c r="LO122" s="2116"/>
      <c r="LP122" s="2013"/>
      <c r="LQ122" s="2424"/>
      <c r="LR122" s="2116"/>
      <c r="LS122" s="2116"/>
      <c r="LT122" s="1838"/>
      <c r="LU122" s="2425"/>
      <c r="LV122" s="2426"/>
      <c r="LW122" s="436"/>
      <c r="LX122" s="436"/>
      <c r="LY122" s="2427"/>
      <c r="LZ122" s="1588"/>
      <c r="MA122" s="2422"/>
      <c r="MB122" s="1587"/>
      <c r="MC122" s="1587"/>
      <c r="MD122" s="2148"/>
      <c r="ME122" s="2149"/>
      <c r="MF122" s="406"/>
      <c r="MG122" s="2428"/>
      <c r="MH122" s="5114"/>
      <c r="MI122" s="2148"/>
      <c r="MJ122" s="2149"/>
      <c r="MK122" s="2429"/>
      <c r="ML122" s="436"/>
      <c r="MM122" s="1587"/>
      <c r="MN122" s="2148"/>
      <c r="MO122" s="2149"/>
      <c r="MP122" s="2153"/>
      <c r="MQ122" s="1904"/>
      <c r="MR122" s="1904"/>
      <c r="MS122" s="1904"/>
      <c r="MT122" s="787"/>
      <c r="MU122" s="1318"/>
      <c r="MV122" s="395"/>
      <c r="MW122" s="395"/>
      <c r="MX122" s="395"/>
      <c r="MY122" s="655"/>
      <c r="MZ122" s="1318"/>
      <c r="NA122" s="395"/>
      <c r="NB122" s="395"/>
      <c r="NC122" s="395"/>
      <c r="ND122" s="801"/>
      <c r="NE122" s="1318"/>
      <c r="NF122" s="395"/>
      <c r="NG122" s="395"/>
      <c r="NH122" s="395"/>
      <c r="NI122" s="801"/>
      <c r="NJ122" s="1318"/>
      <c r="NK122" s="395"/>
      <c r="NL122" s="395"/>
      <c r="NM122" s="395"/>
      <c r="NN122" s="801"/>
      <c r="NO122" s="2432"/>
      <c r="NP122" s="622"/>
      <c r="NQ122" s="2437"/>
      <c r="NR122" s="395"/>
      <c r="NS122" s="801"/>
      <c r="NT122" s="2432"/>
      <c r="NU122" s="622"/>
      <c r="NV122" s="622"/>
      <c r="NW122" s="395"/>
      <c r="NX122" s="801"/>
      <c r="NY122" s="2432"/>
      <c r="NZ122" s="622"/>
      <c r="OA122" s="622"/>
      <c r="OB122" s="622"/>
      <c r="OC122" s="116"/>
      <c r="OD122" s="2433"/>
      <c r="OE122" s="622"/>
      <c r="OF122" s="622"/>
      <c r="OG122" s="622"/>
      <c r="OH122" s="1576"/>
      <c r="OI122" s="2435"/>
      <c r="OJ122" s="2436"/>
      <c r="OK122" s="2436"/>
      <c r="OL122" s="2436"/>
      <c r="OM122" s="1439"/>
      <c r="ON122" s="622"/>
      <c r="OO122" s="622"/>
      <c r="OP122" s="622"/>
      <c r="OQ122" s="2437"/>
      <c r="OR122" s="421"/>
      <c r="OS122" s="2438"/>
      <c r="OT122" s="2439"/>
      <c r="OU122" s="2439"/>
      <c r="OV122" s="2440"/>
      <c r="OW122" s="460"/>
      <c r="OX122" s="2432"/>
      <c r="OY122" s="622"/>
      <c r="OZ122" s="622"/>
      <c r="PA122" s="2437"/>
      <c r="PB122" s="116"/>
      <c r="PC122" s="2441"/>
      <c r="PD122" s="2426"/>
      <c r="PE122" s="436"/>
      <c r="PF122" s="436"/>
      <c r="PG122" s="115"/>
      <c r="PH122" s="1588"/>
      <c r="PI122" s="401"/>
      <c r="PJ122" s="395"/>
      <c r="PK122" s="395"/>
      <c r="PL122" s="115"/>
      <c r="PM122" s="186"/>
      <c r="PN122" s="2426"/>
      <c r="PO122" s="436"/>
      <c r="PP122" s="1587"/>
      <c r="PQ122" s="2148"/>
      <c r="PR122" s="2149"/>
      <c r="PS122" s="2429"/>
      <c r="PT122" s="436"/>
      <c r="PU122" s="1587"/>
      <c r="PV122" s="2148"/>
      <c r="PW122" s="207"/>
      <c r="PX122" s="2153"/>
      <c r="PY122" s="1904"/>
      <c r="PZ122" s="1904"/>
      <c r="QA122" s="1904"/>
      <c r="QB122" s="787"/>
      <c r="QC122" s="1318"/>
      <c r="QD122" s="395"/>
      <c r="QE122" s="395"/>
      <c r="QF122" s="395"/>
      <c r="QG122" s="655"/>
      <c r="QH122" s="401"/>
      <c r="QI122" s="395"/>
      <c r="QJ122" s="395"/>
      <c r="QK122" s="395"/>
      <c r="QL122" s="801"/>
      <c r="QM122" s="1832"/>
      <c r="QN122" s="622"/>
      <c r="QO122" s="622"/>
      <c r="QP122" s="395"/>
      <c r="QQ122" s="801"/>
      <c r="QR122" s="1318"/>
      <c r="QS122" s="395"/>
      <c r="QT122" s="395"/>
      <c r="QU122" s="395"/>
      <c r="QV122" s="207"/>
      <c r="QW122" s="2002"/>
      <c r="QX122" s="2001"/>
      <c r="QY122" s="2001"/>
      <c r="QZ122" s="2001"/>
      <c r="RA122" s="370"/>
      <c r="RB122" s="156"/>
      <c r="RC122" s="5246"/>
      <c r="RD122" s="208"/>
      <c r="RE122" s="208"/>
      <c r="RF122" s="116"/>
      <c r="RG122" s="1857"/>
      <c r="RH122" s="208"/>
      <c r="RI122" s="208"/>
      <c r="RJ122" s="994"/>
      <c r="RK122" s="114"/>
      <c r="RL122" s="1567"/>
      <c r="RM122" s="1568">
        <f t="shared" si="426"/>
        <v>0</v>
      </c>
      <c r="RN122" s="1568">
        <f t="shared" si="426"/>
        <v>0</v>
      </c>
      <c r="RO122" s="1568">
        <f t="shared" si="426"/>
        <v>0</v>
      </c>
      <c r="RP122" s="220"/>
      <c r="RQ122" s="2435"/>
      <c r="RR122" s="2436"/>
      <c r="RS122" s="2436"/>
      <c r="RT122" s="2436"/>
      <c r="RU122" s="1439"/>
      <c r="RV122" s="622"/>
      <c r="RW122" s="622"/>
      <c r="RX122" s="622"/>
      <c r="RY122" s="2437"/>
      <c r="RZ122" s="421"/>
      <c r="SA122" s="2438"/>
      <c r="SB122" s="2439"/>
      <c r="SC122" s="2439"/>
      <c r="SD122" s="2440"/>
      <c r="SE122" s="460"/>
      <c r="SF122" s="1567"/>
      <c r="SG122" s="358"/>
      <c r="SH122" s="358"/>
      <c r="SI122" s="359"/>
      <c r="SJ122" s="2155"/>
      <c r="SK122" s="1193"/>
      <c r="SL122" s="440"/>
      <c r="SM122" s="435"/>
      <c r="SN122" s="435"/>
      <c r="SO122" s="96"/>
      <c r="SP122" s="78"/>
      <c r="SQ122" s="439"/>
      <c r="SR122" s="208"/>
      <c r="SS122" s="208"/>
      <c r="ST122" s="96"/>
      <c r="SU122" s="78"/>
      <c r="SV122" s="2426"/>
      <c r="SW122" s="436"/>
      <c r="SX122" s="1585"/>
      <c r="SY122" s="2151"/>
      <c r="SZ122" s="1595"/>
      <c r="TA122" s="4103"/>
      <c r="TB122" s="436"/>
      <c r="TC122" s="1585"/>
      <c r="TD122" s="2146"/>
      <c r="TE122" s="94"/>
      <c r="TF122" s="1573"/>
      <c r="TG122" s="395"/>
      <c r="TH122" s="208"/>
      <c r="TI122" s="395"/>
      <c r="TJ122" s="114"/>
      <c r="TK122" s="209"/>
      <c r="TL122" s="208"/>
      <c r="TM122" s="208"/>
      <c r="TN122" s="208"/>
      <c r="TO122" s="114"/>
      <c r="TP122" s="4434"/>
      <c r="TQ122" s="395"/>
      <c r="TR122" s="395"/>
      <c r="TS122" s="994"/>
      <c r="TT122" s="114"/>
      <c r="TU122" s="3900"/>
      <c r="TV122" s="395"/>
      <c r="TW122" s="622"/>
      <c r="TX122" s="772"/>
      <c r="TY122" s="116"/>
      <c r="TZ122" s="2002"/>
      <c r="UA122" s="2001"/>
      <c r="UB122" s="2001"/>
      <c r="UC122" s="2012"/>
      <c r="UD122" s="441"/>
      <c r="UE122" s="1868"/>
      <c r="UF122" s="1575"/>
      <c r="UG122" s="1575"/>
      <c r="UH122" s="1575">
        <f t="shared" si="322"/>
        <v>0</v>
      </c>
      <c r="UI122" s="6495" t="e">
        <f t="shared" si="367"/>
        <v>#DIV/0!</v>
      </c>
      <c r="UJ122" s="156"/>
      <c r="UK122" s="5246"/>
      <c r="UL122" s="208"/>
      <c r="UM122" s="208"/>
      <c r="UN122" s="116"/>
      <c r="UO122" s="1567"/>
      <c r="UP122" s="1568"/>
      <c r="UQ122" s="1568"/>
      <c r="UR122" s="1873"/>
      <c r="US122" s="2050"/>
      <c r="UT122" s="1567"/>
      <c r="UU122" s="358">
        <f t="shared" si="371"/>
        <v>0</v>
      </c>
      <c r="UV122" s="358">
        <f t="shared" si="371"/>
        <v>0</v>
      </c>
      <c r="UW122" s="358">
        <f t="shared" si="371"/>
        <v>0</v>
      </c>
      <c r="UX122" s="220"/>
      <c r="UY122" s="1863"/>
      <c r="UZ122" s="105"/>
      <c r="VA122" s="105"/>
      <c r="VB122" s="105"/>
      <c r="VC122" s="106"/>
      <c r="VD122" s="2288"/>
      <c r="VE122" s="358"/>
      <c r="VF122" s="358"/>
      <c r="VG122" s="359"/>
      <c r="VH122" s="169"/>
      <c r="VI122" s="2292"/>
      <c r="VJ122" s="146">
        <f t="shared" si="373"/>
        <v>0</v>
      </c>
      <c r="VK122" s="146">
        <f t="shared" si="373"/>
        <v>0</v>
      </c>
      <c r="VL122" s="1864">
        <f t="shared" si="373"/>
        <v>0</v>
      </c>
      <c r="VM122" s="2393"/>
      <c r="VN122" s="1571"/>
      <c r="VO122" s="358"/>
      <c r="VP122" s="358"/>
      <c r="VQ122" s="359"/>
      <c r="VR122" s="2155"/>
      <c r="VS122" s="2308"/>
      <c r="VT122" s="2308"/>
      <c r="VU122" s="2308"/>
      <c r="VV122" s="2308"/>
      <c r="VW122" s="2308"/>
      <c r="VX122" s="2308"/>
      <c r="VY122" s="2308"/>
      <c r="VZ122" s="2308"/>
      <c r="WA122" s="2308"/>
      <c r="WB122" s="2308"/>
      <c r="WC122" s="2308"/>
      <c r="WD122" s="2308"/>
      <c r="WE122" s="2308"/>
      <c r="WF122" s="2308"/>
      <c r="WG122" s="2308"/>
      <c r="WH122" s="2308"/>
      <c r="WI122" s="2308"/>
      <c r="WJ122" s="2308"/>
      <c r="WK122" s="2308"/>
      <c r="WL122" s="2308"/>
      <c r="WM122" s="2308"/>
      <c r="WN122" s="2308"/>
      <c r="WO122" s="2308"/>
      <c r="WP122" s="2308"/>
      <c r="WQ122" s="2308"/>
      <c r="WR122" s="2308"/>
      <c r="WS122" s="2308"/>
      <c r="WT122" s="2308"/>
      <c r="WU122" s="2308"/>
      <c r="WV122" s="2308"/>
      <c r="WW122" s="2308"/>
      <c r="WX122" s="2308"/>
      <c r="WY122" s="2308"/>
      <c r="WZ122" s="2308"/>
      <c r="XA122" s="2308"/>
      <c r="XB122" s="2308"/>
      <c r="XC122" s="2308"/>
      <c r="XD122" s="2308"/>
      <c r="XE122" s="2308"/>
      <c r="XF122" s="2308"/>
      <c r="XG122" s="2308"/>
      <c r="XH122" s="2308"/>
      <c r="XI122" s="2308"/>
      <c r="XJ122" s="2308"/>
      <c r="XK122" s="2308"/>
      <c r="XL122" s="2308"/>
      <c r="XM122" s="2308"/>
      <c r="XN122" s="2308"/>
      <c r="XO122" s="2308"/>
      <c r="XP122" s="2308"/>
      <c r="XQ122" s="2308"/>
      <c r="XR122" s="2308"/>
      <c r="XS122" s="2308"/>
      <c r="XT122" s="2308"/>
      <c r="XU122" s="2308"/>
      <c r="XV122" s="2308"/>
      <c r="XW122" s="2308"/>
      <c r="XX122" s="2308"/>
      <c r="XY122" s="2308"/>
      <c r="XZ122" s="2308"/>
      <c r="YA122" s="2308"/>
      <c r="YB122" s="2308"/>
      <c r="YC122" s="2308"/>
      <c r="YD122" s="2308"/>
      <c r="YE122" s="2308"/>
      <c r="YF122" s="2308"/>
      <c r="YG122" s="2308"/>
      <c r="YH122" s="2308"/>
      <c r="YI122" s="2308"/>
      <c r="YJ122" s="2308"/>
      <c r="YK122" s="2308"/>
      <c r="YL122" s="2308"/>
      <c r="YM122" s="2308"/>
      <c r="YN122" s="2308"/>
      <c r="YO122" s="2308"/>
      <c r="YP122" s="2308"/>
      <c r="YQ122" s="2308"/>
      <c r="YR122" s="2308"/>
      <c r="YS122" s="2308"/>
      <c r="YT122" s="2308"/>
      <c r="YU122" s="2308"/>
      <c r="YV122" s="2308"/>
      <c r="YW122" s="2308"/>
      <c r="YX122" s="2308"/>
      <c r="YY122" s="2308"/>
      <c r="YZ122" s="2308"/>
      <c r="ZA122" s="2308"/>
      <c r="ZB122" s="2308"/>
      <c r="ZC122" s="2308"/>
      <c r="ZD122" s="2308"/>
      <c r="ZE122" s="2308"/>
      <c r="ZF122" s="2308"/>
      <c r="ZG122" s="2308"/>
      <c r="ZH122" s="2308"/>
      <c r="ZI122" s="2308"/>
      <c r="ZJ122" s="2308"/>
      <c r="ZK122" s="2308"/>
      <c r="ZL122" s="2308"/>
      <c r="ZM122" s="2308"/>
      <c r="ZN122" s="2308"/>
      <c r="ZO122" s="2308"/>
      <c r="ZP122" s="2308"/>
      <c r="ZQ122" s="2308"/>
      <c r="ZR122" s="2308"/>
      <c r="ZS122" s="2308"/>
      <c r="ZT122" s="2308"/>
      <c r="ZU122" s="2308"/>
      <c r="ZV122" s="2308"/>
      <c r="ZW122" s="2308"/>
      <c r="ZX122" s="2308"/>
      <c r="ZY122" s="2308"/>
      <c r="ZZ122" s="2308"/>
      <c r="AAA122" s="2308"/>
      <c r="AAB122" s="2308"/>
      <c r="AAC122" s="2308"/>
      <c r="AAD122" s="2308"/>
      <c r="AAE122" s="2308"/>
      <c r="AAF122" s="2308"/>
      <c r="AAG122" s="2308"/>
      <c r="AAH122" s="2308"/>
      <c r="AAI122" s="2308"/>
      <c r="AAJ122" s="2308"/>
      <c r="AAK122" s="2308"/>
      <c r="AAL122" s="2308"/>
      <c r="AAM122" s="2308"/>
      <c r="AAN122" s="2308"/>
      <c r="AAO122" s="2308"/>
      <c r="AAP122" s="2308"/>
      <c r="AAQ122" s="2308"/>
      <c r="AAR122" s="2308"/>
      <c r="AAS122" s="2308"/>
      <c r="AAT122" s="2308"/>
      <c r="AAU122" s="2308"/>
      <c r="AAV122" s="2308"/>
      <c r="AAW122" s="2308"/>
      <c r="AAX122" s="2308"/>
      <c r="AAY122" s="2308"/>
      <c r="AAZ122" s="2308"/>
      <c r="ABA122" s="2308"/>
      <c r="ABB122" s="2308"/>
      <c r="ABC122" s="2308"/>
      <c r="ABD122" s="2308"/>
      <c r="ABE122" s="2308"/>
      <c r="ABF122" s="2308"/>
      <c r="ABG122" s="2308"/>
      <c r="ABH122" s="2308"/>
      <c r="ABI122" s="2308"/>
      <c r="ABJ122" s="2308"/>
      <c r="ABK122" s="2308"/>
      <c r="ABL122" s="2308"/>
      <c r="ABM122" s="2308"/>
      <c r="ABN122" s="2308"/>
      <c r="ABO122" s="2308"/>
      <c r="ABP122" s="2308"/>
      <c r="ABQ122" s="2308"/>
    </row>
    <row r="123" spans="1:745" s="2370" customFormat="1" ht="13.45" hidden="1" x14ac:dyDescent="0.3">
      <c r="A123" s="2352"/>
      <c r="B123" s="583"/>
      <c r="C123" s="1991"/>
      <c r="D123" s="1992"/>
      <c r="E123" s="1993"/>
      <c r="F123" s="1993"/>
      <c r="G123" s="1994"/>
      <c r="H123" s="2031"/>
      <c r="I123" s="1914"/>
      <c r="J123" s="1914"/>
      <c r="K123" s="1914"/>
      <c r="L123" s="593"/>
      <c r="M123" s="2031"/>
      <c r="N123" s="1914"/>
      <c r="O123" s="1914"/>
      <c r="P123" s="1914"/>
      <c r="Q123" s="593"/>
      <c r="R123" s="2031"/>
      <c r="S123" s="1914"/>
      <c r="T123" s="1914"/>
      <c r="U123" s="1914"/>
      <c r="V123" s="593"/>
      <c r="W123" s="2031"/>
      <c r="X123" s="1914"/>
      <c r="Y123" s="1914"/>
      <c r="Z123" s="1914"/>
      <c r="AA123" s="2032"/>
      <c r="AB123" s="2031"/>
      <c r="AC123" s="1914"/>
      <c r="AD123" s="1914"/>
      <c r="AE123" s="1914"/>
      <c r="AF123" s="2032"/>
      <c r="AG123" s="1914"/>
      <c r="AH123" s="1914"/>
      <c r="AI123" s="1914"/>
      <c r="AJ123" s="1914"/>
      <c r="AK123" s="593"/>
      <c r="AL123" s="1914"/>
      <c r="AM123" s="1914"/>
      <c r="AN123" s="1914"/>
      <c r="AO123" s="1914"/>
      <c r="AP123" s="593"/>
      <c r="AQ123" s="1914"/>
      <c r="AR123" s="1914"/>
      <c r="AS123" s="1914"/>
      <c r="AT123" s="1914"/>
      <c r="AU123" s="593"/>
      <c r="AV123" s="2033"/>
      <c r="AW123" s="1914"/>
      <c r="AX123" s="1914"/>
      <c r="AY123" s="1914"/>
      <c r="AZ123" s="2032"/>
      <c r="BA123" s="2033"/>
      <c r="BB123" s="1914"/>
      <c r="BC123" s="1914"/>
      <c r="BD123" s="1914"/>
      <c r="BE123" s="2032"/>
      <c r="BF123" s="2033"/>
      <c r="BG123" s="1914"/>
      <c r="BH123" s="1914"/>
      <c r="BI123" s="1914"/>
      <c r="BJ123" s="2032"/>
      <c r="BK123" s="2033"/>
      <c r="BL123" s="1914"/>
      <c r="BM123" s="1914"/>
      <c r="BN123" s="1914"/>
      <c r="BO123" s="2032"/>
      <c r="BP123" s="2034"/>
      <c r="BQ123" s="1914"/>
      <c r="BR123" s="1914"/>
      <c r="BS123" s="1914"/>
      <c r="BT123" s="2035"/>
      <c r="BU123" s="1914"/>
      <c r="BV123" s="1914"/>
      <c r="BW123" s="2036"/>
      <c r="BX123" s="2035"/>
      <c r="BY123" s="1914"/>
      <c r="BZ123" s="1914"/>
      <c r="CA123" s="2010"/>
      <c r="CB123" s="1914"/>
      <c r="CC123" s="1914"/>
      <c r="CD123" s="1914"/>
      <c r="CE123" s="1914"/>
      <c r="CF123" s="2035"/>
      <c r="CG123" s="1914"/>
      <c r="CH123" s="1914"/>
      <c r="CI123" s="2010"/>
      <c r="CJ123" s="2037"/>
      <c r="CK123" s="1914"/>
      <c r="CL123" s="1914"/>
      <c r="CM123" s="1914"/>
      <c r="CN123" s="2036"/>
      <c r="CO123" s="2037"/>
      <c r="CP123" s="2031"/>
      <c r="CQ123" s="2031"/>
      <c r="CR123" s="2031"/>
      <c r="CS123" s="2036"/>
      <c r="CT123" s="2037"/>
      <c r="CU123" s="1914"/>
      <c r="CV123" s="1914"/>
      <c r="CW123" s="1914"/>
      <c r="CX123" s="2036"/>
      <c r="CY123" s="2037"/>
      <c r="CZ123" s="1914"/>
      <c r="DA123" s="1914"/>
      <c r="DB123" s="1914"/>
      <c r="DC123" s="2036"/>
      <c r="DD123" s="2037"/>
      <c r="DE123" s="1914"/>
      <c r="DF123" s="1914"/>
      <c r="DG123" s="1914"/>
      <c r="DH123" s="2038"/>
      <c r="DI123" s="2037"/>
      <c r="DJ123" s="1914"/>
      <c r="DK123" s="1914"/>
      <c r="DL123" s="1914"/>
      <c r="DM123" s="2038"/>
      <c r="DN123" s="2037"/>
      <c r="DO123" s="1914"/>
      <c r="DP123" s="1914"/>
      <c r="DQ123" s="1914"/>
      <c r="DR123" s="2038"/>
      <c r="DS123" s="2037"/>
      <c r="DT123" s="1914"/>
      <c r="DU123" s="1914"/>
      <c r="DV123" s="1914"/>
      <c r="DW123" s="2038"/>
      <c r="DX123" s="2037"/>
      <c r="DY123" s="1914"/>
      <c r="DZ123" s="1914"/>
      <c r="EA123" s="1914"/>
      <c r="EB123" s="2038"/>
      <c r="EC123" s="2037"/>
      <c r="ED123" s="1914"/>
      <c r="EE123" s="1914"/>
      <c r="EF123" s="1914"/>
      <c r="EG123" s="2038"/>
      <c r="EH123" s="2037"/>
      <c r="EI123" s="1914"/>
      <c r="EJ123" s="1914"/>
      <c r="EK123" s="1914"/>
      <c r="EL123" s="2038"/>
      <c r="EM123" s="1910"/>
      <c r="EN123" s="715"/>
      <c r="EO123" s="715"/>
      <c r="EP123" s="715"/>
      <c r="EQ123" s="366"/>
      <c r="ER123" s="2402"/>
      <c r="ES123" s="2403"/>
      <c r="ET123" s="2403"/>
      <c r="EU123" s="2403"/>
      <c r="EV123" s="2404"/>
      <c r="EW123" s="2031"/>
      <c r="EX123" s="2031"/>
      <c r="EY123" s="2031"/>
      <c r="EZ123" s="593"/>
      <c r="FA123" s="2037"/>
      <c r="FB123" s="2031"/>
      <c r="FC123" s="2031"/>
      <c r="FD123" s="2036"/>
      <c r="FE123" s="2031"/>
      <c r="FF123" s="2031"/>
      <c r="FG123" s="2031"/>
      <c r="FH123" s="593"/>
      <c r="FI123" s="2039"/>
      <c r="FJ123" s="2040"/>
      <c r="FK123" s="2041"/>
      <c r="FL123" s="2041"/>
      <c r="FM123" s="693"/>
      <c r="FN123" s="2031"/>
      <c r="FO123" s="1914"/>
      <c r="FP123" s="1914"/>
      <c r="FQ123" s="1914"/>
      <c r="FR123" s="2032"/>
      <c r="FS123" s="1910"/>
      <c r="FT123" s="715"/>
      <c r="FU123" s="715"/>
      <c r="FV123" s="715"/>
      <c r="FW123" s="366"/>
      <c r="FX123" s="2037"/>
      <c r="FY123" s="1914"/>
      <c r="FZ123" s="1914"/>
      <c r="GA123" s="715"/>
      <c r="GB123" s="366"/>
      <c r="GC123" s="2110"/>
      <c r="GD123" s="2111"/>
      <c r="GE123" s="2111"/>
      <c r="GF123" s="715"/>
      <c r="GG123" s="366"/>
      <c r="GH123" s="2042"/>
      <c r="GI123" s="2043"/>
      <c r="GJ123" s="2043"/>
      <c r="GK123" s="715"/>
      <c r="GL123" s="366"/>
      <c r="GM123" s="2042"/>
      <c r="GN123" s="2043"/>
      <c r="GO123" s="2043"/>
      <c r="GP123" s="715"/>
      <c r="GQ123" s="366"/>
      <c r="GR123" s="2042"/>
      <c r="GS123" s="2043"/>
      <c r="GT123" s="2043"/>
      <c r="GU123" s="715"/>
      <c r="GV123" s="366"/>
      <c r="GW123" s="2042"/>
      <c r="GX123" s="2043"/>
      <c r="GY123" s="2043"/>
      <c r="GZ123" s="715"/>
      <c r="HA123" s="366"/>
      <c r="HB123" s="2042"/>
      <c r="HC123" s="2043"/>
      <c r="HD123" s="2043"/>
      <c r="HE123" s="715"/>
      <c r="HF123" s="366"/>
      <c r="HG123" s="2042"/>
      <c r="HH123" s="2043"/>
      <c r="HI123" s="2043"/>
      <c r="HJ123" s="2113"/>
      <c r="HK123" s="366"/>
      <c r="HL123" s="2042"/>
      <c r="HM123" s="2043"/>
      <c r="HN123" s="2043"/>
      <c r="HO123" s="715"/>
      <c r="HP123" s="366"/>
      <c r="HQ123" s="2114"/>
      <c r="HR123" s="1904"/>
      <c r="HS123" s="1904"/>
      <c r="HT123" s="1904"/>
      <c r="HU123" s="2115"/>
      <c r="HV123" s="2405"/>
      <c r="HW123" s="2406"/>
      <c r="HX123" s="2406"/>
      <c r="HY123" s="2406"/>
      <c r="HZ123" s="1906"/>
      <c r="IA123" s="1907"/>
      <c r="IB123" s="1908"/>
      <c r="IC123" s="1908"/>
      <c r="ID123" s="1909"/>
      <c r="IE123" s="1910"/>
      <c r="IF123" s="1911"/>
      <c r="IG123" s="1912"/>
      <c r="IH123" s="1909"/>
      <c r="II123" s="1907"/>
      <c r="IJ123" s="2116"/>
      <c r="IK123" s="2116"/>
      <c r="IL123" s="693"/>
      <c r="IM123" s="2117"/>
      <c r="IN123" s="2116"/>
      <c r="IO123" s="2116"/>
      <c r="IP123" s="1838"/>
      <c r="IQ123" s="1914"/>
      <c r="IR123" s="2044"/>
      <c r="IS123" s="715"/>
      <c r="IT123" s="715"/>
      <c r="IU123" s="2131"/>
      <c r="IV123" s="2045"/>
      <c r="IW123" s="1910"/>
      <c r="IX123" s="715"/>
      <c r="IY123" s="715"/>
      <c r="IZ123" s="2113"/>
      <c r="JA123" s="2132"/>
      <c r="JB123" s="2407"/>
      <c r="JC123" s="2408"/>
      <c r="JD123" s="2409"/>
      <c r="JE123" s="2113"/>
      <c r="JF123" s="2132"/>
      <c r="JG123" s="2410"/>
      <c r="JH123" s="2043"/>
      <c r="JI123" s="2043"/>
      <c r="JJ123" s="2411"/>
      <c r="JK123" s="2132"/>
      <c r="JL123" s="2129"/>
      <c r="JM123" s="2043"/>
      <c r="JN123" s="2043"/>
      <c r="JO123" s="715"/>
      <c r="JP123" s="2132"/>
      <c r="JQ123" s="2129"/>
      <c r="JR123" s="2130"/>
      <c r="JS123" s="1904"/>
      <c r="JT123" s="2131"/>
      <c r="JU123" s="2132"/>
      <c r="JV123" s="2410"/>
      <c r="JW123" s="2043"/>
      <c r="JX123" s="1904"/>
      <c r="JY123" s="715"/>
      <c r="JZ123" s="2132"/>
      <c r="KA123" s="2410"/>
      <c r="KB123" s="2130"/>
      <c r="KC123" s="2130"/>
      <c r="KD123" s="2414"/>
      <c r="KE123" s="2415"/>
      <c r="KF123" s="2410"/>
      <c r="KG123" s="2130"/>
      <c r="KH123" s="2043"/>
      <c r="KI123" s="2113"/>
      <c r="KJ123" s="2132"/>
      <c r="KK123" s="2410"/>
      <c r="KL123" s="2130"/>
      <c r="KM123" s="2043"/>
      <c r="KN123" s="5255"/>
      <c r="KO123" s="2417"/>
      <c r="KP123" s="2136"/>
      <c r="KQ123" s="2130"/>
      <c r="KR123" s="1904"/>
      <c r="KS123" s="2131"/>
      <c r="KT123" s="2137"/>
      <c r="KU123" s="2114"/>
      <c r="KV123" s="1904"/>
      <c r="KW123" s="1904"/>
      <c r="KX123" s="1904"/>
      <c r="KY123" s="2418"/>
      <c r="KZ123" s="1832"/>
      <c r="LA123" s="622"/>
      <c r="LB123" s="622"/>
      <c r="LC123" s="622"/>
      <c r="LD123" s="239"/>
      <c r="LE123" s="2419"/>
      <c r="LF123" s="2420"/>
      <c r="LG123" s="2420"/>
      <c r="LH123" s="2421"/>
      <c r="LI123" s="2422"/>
      <c r="LJ123" s="2423"/>
      <c r="LK123" s="2419"/>
      <c r="LL123" s="2421"/>
      <c r="LM123" s="1907"/>
      <c r="LN123" s="2116"/>
      <c r="LO123" s="2116"/>
      <c r="LP123" s="2013"/>
      <c r="LQ123" s="2424"/>
      <c r="LR123" s="2116"/>
      <c r="LS123" s="2116"/>
      <c r="LT123" s="1838"/>
      <c r="LU123" s="2425"/>
      <c r="LV123" s="2426"/>
      <c r="LW123" s="436"/>
      <c r="LX123" s="436"/>
      <c r="LY123" s="2427"/>
      <c r="LZ123" s="1588"/>
      <c r="MA123" s="2422"/>
      <c r="MB123" s="1587"/>
      <c r="MC123" s="1587"/>
      <c r="MD123" s="2148"/>
      <c r="ME123" s="2149"/>
      <c r="MF123" s="406"/>
      <c r="MG123" s="2428"/>
      <c r="MH123" s="5114"/>
      <c r="MI123" s="2148"/>
      <c r="MJ123" s="2149"/>
      <c r="MK123" s="2429"/>
      <c r="ML123" s="436"/>
      <c r="MM123" s="1587"/>
      <c r="MN123" s="2148"/>
      <c r="MO123" s="2149"/>
      <c r="MP123" s="2153"/>
      <c r="MQ123" s="1904"/>
      <c r="MR123" s="1904"/>
      <c r="MS123" s="1904"/>
      <c r="MT123" s="787"/>
      <c r="MU123" s="1318"/>
      <c r="MV123" s="395"/>
      <c r="MW123" s="395"/>
      <c r="MX123" s="395"/>
      <c r="MY123" s="655"/>
      <c r="MZ123" s="1318"/>
      <c r="NA123" s="395"/>
      <c r="NB123" s="395"/>
      <c r="NC123" s="395"/>
      <c r="ND123" s="801"/>
      <c r="NE123" s="1318"/>
      <c r="NF123" s="395"/>
      <c r="NG123" s="395"/>
      <c r="NH123" s="395"/>
      <c r="NI123" s="801"/>
      <c r="NJ123" s="1318"/>
      <c r="NK123" s="395"/>
      <c r="NL123" s="395"/>
      <c r="NM123" s="395"/>
      <c r="NN123" s="801"/>
      <c r="NO123" s="2432"/>
      <c r="NP123" s="622"/>
      <c r="NQ123" s="2437"/>
      <c r="NR123" s="395"/>
      <c r="NS123" s="801"/>
      <c r="NT123" s="2432"/>
      <c r="NU123" s="622"/>
      <c r="NV123" s="622"/>
      <c r="NW123" s="395"/>
      <c r="NX123" s="801"/>
      <c r="NY123" s="2432"/>
      <c r="NZ123" s="622"/>
      <c r="OA123" s="622"/>
      <c r="OB123" s="622"/>
      <c r="OC123" s="116"/>
      <c r="OD123" s="2433"/>
      <c r="OE123" s="622"/>
      <c r="OF123" s="622"/>
      <c r="OG123" s="622"/>
      <c r="OH123" s="1576"/>
      <c r="OI123" s="2435"/>
      <c r="OJ123" s="2436"/>
      <c r="OK123" s="2436"/>
      <c r="OL123" s="2436"/>
      <c r="OM123" s="1439"/>
      <c r="ON123" s="622"/>
      <c r="OO123" s="622"/>
      <c r="OP123" s="622"/>
      <c r="OQ123" s="2437"/>
      <c r="OR123" s="421"/>
      <c r="OS123" s="2438"/>
      <c r="OT123" s="2439"/>
      <c r="OU123" s="2439"/>
      <c r="OV123" s="2440"/>
      <c r="OW123" s="460"/>
      <c r="OX123" s="2432"/>
      <c r="OY123" s="622"/>
      <c r="OZ123" s="622"/>
      <c r="PA123" s="2437"/>
      <c r="PB123" s="116"/>
      <c r="PC123" s="2441"/>
      <c r="PD123" s="2426"/>
      <c r="PE123" s="436"/>
      <c r="PF123" s="436"/>
      <c r="PG123" s="115"/>
      <c r="PH123" s="1588"/>
      <c r="PI123" s="401"/>
      <c r="PJ123" s="395"/>
      <c r="PK123" s="395"/>
      <c r="PL123" s="115"/>
      <c r="PM123" s="186"/>
      <c r="PN123" s="2426"/>
      <c r="PO123" s="436"/>
      <c r="PP123" s="1587"/>
      <c r="PQ123" s="2148"/>
      <c r="PR123" s="2149"/>
      <c r="PS123" s="2429"/>
      <c r="PT123" s="436"/>
      <c r="PU123" s="1587"/>
      <c r="PV123" s="2148"/>
      <c r="PW123" s="207"/>
      <c r="PX123" s="2153"/>
      <c r="PY123" s="1904"/>
      <c r="PZ123" s="1904"/>
      <c r="QA123" s="1904"/>
      <c r="QB123" s="787"/>
      <c r="QC123" s="1318"/>
      <c r="QD123" s="395"/>
      <c r="QE123" s="395"/>
      <c r="QF123" s="395"/>
      <c r="QG123" s="655"/>
      <c r="QH123" s="401"/>
      <c r="QI123" s="395"/>
      <c r="QJ123" s="395"/>
      <c r="QK123" s="395"/>
      <c r="QL123" s="801"/>
      <c r="QM123" s="1832"/>
      <c r="QN123" s="622"/>
      <c r="QO123" s="622"/>
      <c r="QP123" s="395"/>
      <c r="QQ123" s="801"/>
      <c r="QR123" s="1318"/>
      <c r="QS123" s="395"/>
      <c r="QT123" s="395"/>
      <c r="QU123" s="395"/>
      <c r="QV123" s="207"/>
      <c r="QW123" s="2002"/>
      <c r="QX123" s="2001"/>
      <c r="QY123" s="2001"/>
      <c r="QZ123" s="2001"/>
      <c r="RA123" s="370"/>
      <c r="RB123" s="156"/>
      <c r="RC123" s="5246"/>
      <c r="RD123" s="208"/>
      <c r="RE123" s="208"/>
      <c r="RF123" s="116"/>
      <c r="RG123" s="1857"/>
      <c r="RH123" s="208"/>
      <c r="RI123" s="208"/>
      <c r="RJ123" s="994"/>
      <c r="RK123" s="114"/>
      <c r="RL123" s="1567"/>
      <c r="RM123" s="1568">
        <f t="shared" si="426"/>
        <v>0</v>
      </c>
      <c r="RN123" s="1568">
        <f t="shared" si="426"/>
        <v>0</v>
      </c>
      <c r="RO123" s="1568">
        <f t="shared" si="426"/>
        <v>0</v>
      </c>
      <c r="RP123" s="220"/>
      <c r="RQ123" s="2435"/>
      <c r="RR123" s="2436"/>
      <c r="RS123" s="2436"/>
      <c r="RT123" s="2436"/>
      <c r="RU123" s="1439"/>
      <c r="RV123" s="622"/>
      <c r="RW123" s="622"/>
      <c r="RX123" s="622"/>
      <c r="RY123" s="2437"/>
      <c r="RZ123" s="421"/>
      <c r="SA123" s="2438"/>
      <c r="SB123" s="2439"/>
      <c r="SC123" s="2439"/>
      <c r="SD123" s="2440"/>
      <c r="SE123" s="460"/>
      <c r="SF123" s="1567"/>
      <c r="SG123" s="358"/>
      <c r="SH123" s="358"/>
      <c r="SI123" s="359"/>
      <c r="SJ123" s="2155"/>
      <c r="SK123" s="1193"/>
      <c r="SL123" s="440"/>
      <c r="SM123" s="435"/>
      <c r="SN123" s="435"/>
      <c r="SO123" s="96"/>
      <c r="SP123" s="78"/>
      <c r="SQ123" s="439"/>
      <c r="SR123" s="208"/>
      <c r="SS123" s="208"/>
      <c r="ST123" s="96"/>
      <c r="SU123" s="78"/>
      <c r="SV123" s="2426"/>
      <c r="SW123" s="436"/>
      <c r="SX123" s="1585"/>
      <c r="SY123" s="2151"/>
      <c r="SZ123" s="1595"/>
      <c r="TA123" s="2429"/>
      <c r="TB123" s="436"/>
      <c r="TC123" s="1585"/>
      <c r="TD123" s="2146"/>
      <c r="TE123" s="94"/>
      <c r="TF123" s="2573"/>
      <c r="TG123" s="395"/>
      <c r="TH123" s="395"/>
      <c r="TI123" s="395"/>
      <c r="TJ123" s="114"/>
      <c r="TK123" s="1318"/>
      <c r="TL123" s="395"/>
      <c r="TM123" s="395"/>
      <c r="TN123" s="395"/>
      <c r="TO123" s="114"/>
      <c r="TP123" s="4434"/>
      <c r="TQ123" s="395"/>
      <c r="TR123" s="395"/>
      <c r="TS123" s="772"/>
      <c r="TT123" s="116"/>
      <c r="TU123" s="3900"/>
      <c r="TV123" s="395"/>
      <c r="TW123" s="622"/>
      <c r="TX123" s="772"/>
      <c r="TY123" s="116"/>
      <c r="TZ123" s="2002"/>
      <c r="UA123" s="2001"/>
      <c r="UB123" s="2001"/>
      <c r="UC123" s="2012"/>
      <c r="UD123" s="441"/>
      <c r="UE123" s="1868"/>
      <c r="UF123" s="1575"/>
      <c r="UG123" s="1575"/>
      <c r="UH123" s="1575">
        <f t="shared" si="322"/>
        <v>0</v>
      </c>
      <c r="UI123" s="6495" t="e">
        <f t="shared" si="367"/>
        <v>#DIV/0!</v>
      </c>
      <c r="UJ123" s="156"/>
      <c r="UK123" s="5246"/>
      <c r="UL123" s="208"/>
      <c r="UM123" s="208"/>
      <c r="UN123" s="116"/>
      <c r="UO123" s="1567"/>
      <c r="UP123" s="1568"/>
      <c r="UQ123" s="1568"/>
      <c r="UR123" s="1873"/>
      <c r="US123" s="2050"/>
      <c r="UT123" s="1567"/>
      <c r="UU123" s="358">
        <f t="shared" si="371"/>
        <v>0</v>
      </c>
      <c r="UV123" s="358">
        <f t="shared" si="371"/>
        <v>0</v>
      </c>
      <c r="UW123" s="358">
        <f t="shared" si="371"/>
        <v>0</v>
      </c>
      <c r="UX123" s="220"/>
      <c r="UY123" s="1863">
        <f t="shared" si="324"/>
        <v>0</v>
      </c>
      <c r="UZ123" s="105">
        <f t="shared" si="424"/>
        <v>0</v>
      </c>
      <c r="VA123" s="105">
        <f t="shared" si="424"/>
        <v>0</v>
      </c>
      <c r="VB123" s="105">
        <f t="shared" si="424"/>
        <v>0</v>
      </c>
      <c r="VC123" s="106" t="e">
        <f t="shared" si="325"/>
        <v>#DIV/0!</v>
      </c>
      <c r="VD123" s="2288"/>
      <c r="VE123" s="358">
        <f t="shared" si="423"/>
        <v>0</v>
      </c>
      <c r="VF123" s="358">
        <f t="shared" si="423"/>
        <v>0</v>
      </c>
      <c r="VG123" s="359">
        <f t="shared" si="423"/>
        <v>0</v>
      </c>
      <c r="VH123" s="169" t="e">
        <f t="shared" si="372"/>
        <v>#DIV/0!</v>
      </c>
      <c r="VI123" s="2292"/>
      <c r="VJ123" s="146">
        <f t="shared" si="373"/>
        <v>0</v>
      </c>
      <c r="VK123" s="146">
        <f t="shared" si="373"/>
        <v>0</v>
      </c>
      <c r="VL123" s="1864">
        <f t="shared" si="373"/>
        <v>0</v>
      </c>
      <c r="VM123" s="2393"/>
      <c r="VN123" s="1571"/>
      <c r="VO123" s="358"/>
      <c r="VP123" s="358"/>
      <c r="VQ123" s="359"/>
      <c r="VR123" s="2155"/>
      <c r="VS123" s="2308"/>
      <c r="VT123" s="2308"/>
      <c r="VU123" s="2308"/>
      <c r="VV123" s="2308"/>
      <c r="VW123" s="2308"/>
      <c r="VX123" s="2308"/>
      <c r="VY123" s="2308"/>
      <c r="VZ123" s="2308"/>
      <c r="WA123" s="2308"/>
      <c r="WB123" s="2308"/>
      <c r="WC123" s="2308"/>
      <c r="WD123" s="2308"/>
      <c r="WE123" s="2308"/>
      <c r="WF123" s="2308"/>
      <c r="WG123" s="2308"/>
      <c r="WH123" s="2308"/>
      <c r="WI123" s="2308"/>
      <c r="WJ123" s="2308"/>
      <c r="WK123" s="2308"/>
      <c r="WL123" s="2308"/>
      <c r="WM123" s="2308"/>
      <c r="WN123" s="2308"/>
      <c r="WO123" s="2308"/>
      <c r="WP123" s="2308"/>
      <c r="WQ123" s="2308"/>
      <c r="WR123" s="2308"/>
      <c r="WS123" s="2308"/>
      <c r="WT123" s="2308"/>
      <c r="WU123" s="2308"/>
      <c r="WV123" s="2308"/>
      <c r="WW123" s="2308"/>
      <c r="WX123" s="2308"/>
      <c r="WY123" s="2308"/>
      <c r="WZ123" s="2308"/>
      <c r="XA123" s="2308"/>
      <c r="XB123" s="2308"/>
      <c r="XC123" s="2308"/>
      <c r="XD123" s="2308"/>
      <c r="XE123" s="2308"/>
      <c r="XF123" s="2308"/>
      <c r="XG123" s="2308"/>
      <c r="XH123" s="2308"/>
      <c r="XI123" s="2308"/>
      <c r="XJ123" s="2308"/>
      <c r="XK123" s="2308"/>
      <c r="XL123" s="2308"/>
      <c r="XM123" s="2308"/>
      <c r="XN123" s="2308"/>
      <c r="XO123" s="2308"/>
      <c r="XP123" s="2308"/>
      <c r="XQ123" s="2308"/>
      <c r="XR123" s="2308"/>
      <c r="XS123" s="2308"/>
      <c r="XT123" s="2308"/>
      <c r="XU123" s="2308"/>
      <c r="XV123" s="2308"/>
      <c r="XW123" s="2308"/>
      <c r="XX123" s="2308"/>
      <c r="XY123" s="2308"/>
      <c r="XZ123" s="2308"/>
      <c r="YA123" s="2308"/>
      <c r="YB123" s="2308"/>
      <c r="YC123" s="2308"/>
      <c r="YD123" s="2308"/>
      <c r="YE123" s="2308"/>
      <c r="YF123" s="2308"/>
      <c r="YG123" s="2308"/>
      <c r="YH123" s="2308"/>
      <c r="YI123" s="2308"/>
      <c r="YJ123" s="2308"/>
      <c r="YK123" s="2308"/>
      <c r="YL123" s="2308"/>
      <c r="YM123" s="2308"/>
      <c r="YN123" s="2308"/>
      <c r="YO123" s="2308"/>
      <c r="YP123" s="2308"/>
      <c r="YQ123" s="2308"/>
      <c r="YR123" s="2308"/>
      <c r="YS123" s="2308"/>
      <c r="YT123" s="2308"/>
      <c r="YU123" s="2308"/>
      <c r="YV123" s="2308"/>
      <c r="YW123" s="2308"/>
      <c r="YX123" s="2308"/>
      <c r="YY123" s="2308"/>
      <c r="YZ123" s="2308"/>
      <c r="ZA123" s="2308"/>
      <c r="ZB123" s="2308"/>
      <c r="ZC123" s="2308"/>
      <c r="ZD123" s="2308"/>
      <c r="ZE123" s="2308"/>
      <c r="ZF123" s="2308"/>
      <c r="ZG123" s="2308"/>
      <c r="ZH123" s="2308"/>
      <c r="ZI123" s="2308"/>
      <c r="ZJ123" s="2308"/>
      <c r="ZK123" s="2308"/>
      <c r="ZL123" s="2308"/>
      <c r="ZM123" s="2308"/>
      <c r="ZN123" s="2308"/>
      <c r="ZO123" s="2308"/>
      <c r="ZP123" s="2308"/>
      <c r="ZQ123" s="2308"/>
      <c r="ZR123" s="2308"/>
      <c r="ZS123" s="2308"/>
      <c r="ZT123" s="2308"/>
      <c r="ZU123" s="2308"/>
      <c r="ZV123" s="2308"/>
      <c r="ZW123" s="2308"/>
      <c r="ZX123" s="2308"/>
      <c r="ZY123" s="2308"/>
      <c r="ZZ123" s="2308"/>
      <c r="AAA123" s="2308"/>
      <c r="AAB123" s="2308"/>
      <c r="AAC123" s="2308"/>
      <c r="AAD123" s="2308"/>
      <c r="AAE123" s="2308"/>
      <c r="AAF123" s="2308"/>
      <c r="AAG123" s="2308"/>
      <c r="AAH123" s="2308"/>
      <c r="AAI123" s="2308"/>
      <c r="AAJ123" s="2308"/>
      <c r="AAK123" s="2308"/>
      <c r="AAL123" s="2308"/>
      <c r="AAM123" s="2308"/>
      <c r="AAN123" s="2308"/>
      <c r="AAO123" s="2308"/>
      <c r="AAP123" s="2308"/>
      <c r="AAQ123" s="2308"/>
      <c r="AAR123" s="2308"/>
      <c r="AAS123" s="2308"/>
      <c r="AAT123" s="2308"/>
      <c r="AAU123" s="2308"/>
      <c r="AAV123" s="2308"/>
      <c r="AAW123" s="2308"/>
      <c r="AAX123" s="2308"/>
      <c r="AAY123" s="2308"/>
      <c r="AAZ123" s="2308"/>
      <c r="ABA123" s="2308"/>
      <c r="ABB123" s="2308"/>
      <c r="ABC123" s="2308"/>
      <c r="ABD123" s="2308"/>
      <c r="ABE123" s="2308"/>
      <c r="ABF123" s="2308"/>
      <c r="ABG123" s="2308"/>
      <c r="ABH123" s="2308"/>
      <c r="ABI123" s="2308"/>
      <c r="ABJ123" s="2308"/>
      <c r="ABK123" s="2308"/>
      <c r="ABL123" s="2308"/>
      <c r="ABM123" s="2308"/>
      <c r="ABN123" s="2308"/>
      <c r="ABO123" s="2308"/>
      <c r="ABP123" s="2308"/>
      <c r="ABQ123" s="2308"/>
    </row>
    <row r="124" spans="1:745" s="2370" customFormat="1" ht="13.45" hidden="1" x14ac:dyDescent="0.3">
      <c r="A124" s="2352"/>
      <c r="B124" s="3627"/>
      <c r="C124" s="3628"/>
      <c r="D124" s="1992"/>
      <c r="E124" s="2086"/>
      <c r="F124" s="2086"/>
      <c r="G124" s="1994"/>
      <c r="H124" s="2312"/>
      <c r="I124" s="2307"/>
      <c r="J124" s="2307"/>
      <c r="K124" s="2307"/>
      <c r="L124" s="2313"/>
      <c r="M124" s="2312"/>
      <c r="N124" s="2307"/>
      <c r="O124" s="2307"/>
      <c r="P124" s="2307"/>
      <c r="Q124" s="2313"/>
      <c r="R124" s="2312"/>
      <c r="S124" s="2307"/>
      <c r="T124" s="2307"/>
      <c r="U124" s="2307"/>
      <c r="V124" s="2313"/>
      <c r="W124" s="2312"/>
      <c r="X124" s="2307"/>
      <c r="Y124" s="2307"/>
      <c r="Z124" s="2307"/>
      <c r="AA124" s="2314"/>
      <c r="AB124" s="2312"/>
      <c r="AC124" s="2307"/>
      <c r="AD124" s="2307"/>
      <c r="AE124" s="2307"/>
      <c r="AF124" s="2314"/>
      <c r="AG124" s="2307"/>
      <c r="AH124" s="2307"/>
      <c r="AI124" s="2307"/>
      <c r="AJ124" s="2307"/>
      <c r="AK124" s="2313"/>
      <c r="AL124" s="2307"/>
      <c r="AM124" s="2307"/>
      <c r="AN124" s="2307"/>
      <c r="AO124" s="2307"/>
      <c r="AP124" s="2313"/>
      <c r="AQ124" s="2307"/>
      <c r="AR124" s="2307"/>
      <c r="AS124" s="2307"/>
      <c r="AT124" s="2307"/>
      <c r="AU124" s="2313"/>
      <c r="AV124" s="2315"/>
      <c r="AW124" s="2307"/>
      <c r="AX124" s="2307"/>
      <c r="AY124" s="2307"/>
      <c r="AZ124" s="2314"/>
      <c r="BA124" s="2315"/>
      <c r="BB124" s="2307"/>
      <c r="BC124" s="2307"/>
      <c r="BD124" s="2307"/>
      <c r="BE124" s="2314"/>
      <c r="BF124" s="2315"/>
      <c r="BG124" s="2307"/>
      <c r="BH124" s="2307"/>
      <c r="BI124" s="2307"/>
      <c r="BJ124" s="2314"/>
      <c r="BK124" s="2315"/>
      <c r="BL124" s="2307"/>
      <c r="BM124" s="2307"/>
      <c r="BN124" s="2307"/>
      <c r="BO124" s="2314"/>
      <c r="BP124" s="2316"/>
      <c r="BQ124" s="2307"/>
      <c r="BR124" s="2307"/>
      <c r="BS124" s="2307"/>
      <c r="BT124" s="2317"/>
      <c r="BU124" s="2307"/>
      <c r="BV124" s="2307"/>
      <c r="BW124" s="2318"/>
      <c r="BX124" s="2317"/>
      <c r="BY124" s="2307"/>
      <c r="BZ124" s="2307"/>
      <c r="CA124" s="2319"/>
      <c r="CB124" s="2307"/>
      <c r="CC124" s="2307"/>
      <c r="CD124" s="2307"/>
      <c r="CE124" s="2307"/>
      <c r="CF124" s="2317"/>
      <c r="CG124" s="2307"/>
      <c r="CH124" s="2307"/>
      <c r="CI124" s="2319"/>
      <c r="CJ124" s="2320"/>
      <c r="CK124" s="2307"/>
      <c r="CL124" s="2307"/>
      <c r="CM124" s="2307"/>
      <c r="CN124" s="2318"/>
      <c r="CO124" s="2320"/>
      <c r="CP124" s="2312"/>
      <c r="CQ124" s="2312"/>
      <c r="CR124" s="2312"/>
      <c r="CS124" s="2318"/>
      <c r="CT124" s="2320"/>
      <c r="CU124" s="2307"/>
      <c r="CV124" s="2307"/>
      <c r="CW124" s="2307"/>
      <c r="CX124" s="2318"/>
      <c r="CY124" s="2320"/>
      <c r="CZ124" s="2307"/>
      <c r="DA124" s="2307"/>
      <c r="DB124" s="2307"/>
      <c r="DC124" s="2318"/>
      <c r="DD124" s="2320"/>
      <c r="DE124" s="2307"/>
      <c r="DF124" s="2307"/>
      <c r="DG124" s="2307"/>
      <c r="DH124" s="2321"/>
      <c r="DI124" s="2320"/>
      <c r="DJ124" s="2307"/>
      <c r="DK124" s="2307"/>
      <c r="DL124" s="2307"/>
      <c r="DM124" s="2321"/>
      <c r="DN124" s="2320"/>
      <c r="DO124" s="2307"/>
      <c r="DP124" s="2307"/>
      <c r="DQ124" s="2307"/>
      <c r="DR124" s="2321"/>
      <c r="DS124" s="2320"/>
      <c r="DT124" s="2307"/>
      <c r="DU124" s="2307"/>
      <c r="DV124" s="2307"/>
      <c r="DW124" s="2321"/>
      <c r="DX124" s="2320"/>
      <c r="DY124" s="2307"/>
      <c r="DZ124" s="2307"/>
      <c r="EA124" s="2307"/>
      <c r="EB124" s="2321"/>
      <c r="EC124" s="2320"/>
      <c r="ED124" s="2307"/>
      <c r="EE124" s="2307"/>
      <c r="EF124" s="2307"/>
      <c r="EG124" s="2321"/>
      <c r="EH124" s="2320"/>
      <c r="EI124" s="2307"/>
      <c r="EJ124" s="2307"/>
      <c r="EK124" s="2307"/>
      <c r="EL124" s="2321"/>
      <c r="EM124" s="2302"/>
      <c r="EN124" s="2297"/>
      <c r="EO124" s="2297"/>
      <c r="EP124" s="2297"/>
      <c r="EQ124" s="2322"/>
      <c r="ER124" s="2353"/>
      <c r="ES124" s="2354"/>
      <c r="ET124" s="2354"/>
      <c r="EU124" s="2354"/>
      <c r="EV124" s="2355"/>
      <c r="EW124" s="2312"/>
      <c r="EX124" s="2312"/>
      <c r="EY124" s="2312"/>
      <c r="EZ124" s="2313"/>
      <c r="FA124" s="2320"/>
      <c r="FB124" s="2312"/>
      <c r="FC124" s="2312"/>
      <c r="FD124" s="2318"/>
      <c r="FE124" s="2312"/>
      <c r="FF124" s="2312"/>
      <c r="FG124" s="2312"/>
      <c r="FH124" s="2313"/>
      <c r="FI124" s="2323"/>
      <c r="FJ124" s="2324"/>
      <c r="FK124" s="2325"/>
      <c r="FL124" s="2325"/>
      <c r="FM124" s="2305"/>
      <c r="FN124" s="2312"/>
      <c r="FO124" s="2307"/>
      <c r="FP124" s="2307"/>
      <c r="FQ124" s="2307"/>
      <c r="FR124" s="2314"/>
      <c r="FS124" s="2302"/>
      <c r="FT124" s="2297"/>
      <c r="FU124" s="2297"/>
      <c r="FV124" s="2297"/>
      <c r="FW124" s="2322"/>
      <c r="FX124" s="2320"/>
      <c r="FY124" s="2307"/>
      <c r="FZ124" s="2307"/>
      <c r="GA124" s="2297"/>
      <c r="GB124" s="2322"/>
      <c r="GC124" s="2326"/>
      <c r="GD124" s="2327"/>
      <c r="GE124" s="2327"/>
      <c r="GF124" s="2297"/>
      <c r="GG124" s="2322"/>
      <c r="GH124" s="2328"/>
      <c r="GI124" s="2329"/>
      <c r="GJ124" s="2329"/>
      <c r="GK124" s="2297"/>
      <c r="GL124" s="2322"/>
      <c r="GM124" s="2328"/>
      <c r="GN124" s="2329"/>
      <c r="GO124" s="2329"/>
      <c r="GP124" s="2297"/>
      <c r="GQ124" s="2322"/>
      <c r="GR124" s="2328"/>
      <c r="GS124" s="2329"/>
      <c r="GT124" s="2329"/>
      <c r="GU124" s="2297"/>
      <c r="GV124" s="2322"/>
      <c r="GW124" s="2328"/>
      <c r="GX124" s="2329"/>
      <c r="GY124" s="2329"/>
      <c r="GZ124" s="2297"/>
      <c r="HA124" s="2322"/>
      <c r="HB124" s="2328"/>
      <c r="HC124" s="2329"/>
      <c r="HD124" s="2329"/>
      <c r="HE124" s="2297"/>
      <c r="HF124" s="2322"/>
      <c r="HG124" s="2328"/>
      <c r="HH124" s="2329"/>
      <c r="HI124" s="2329"/>
      <c r="HJ124" s="2330"/>
      <c r="HK124" s="2322"/>
      <c r="HL124" s="2328"/>
      <c r="HM124" s="2329"/>
      <c r="HN124" s="2329"/>
      <c r="HO124" s="2297"/>
      <c r="HP124" s="2322"/>
      <c r="HQ124" s="2331"/>
      <c r="HR124" s="2296"/>
      <c r="HS124" s="2296"/>
      <c r="HT124" s="2296"/>
      <c r="HU124" s="2332"/>
      <c r="HV124" s="2356"/>
      <c r="HW124" s="2357"/>
      <c r="HX124" s="2357"/>
      <c r="HY124" s="2357"/>
      <c r="HZ124" s="2298"/>
      <c r="IA124" s="2299"/>
      <c r="IB124" s="2300"/>
      <c r="IC124" s="2300"/>
      <c r="ID124" s="2301"/>
      <c r="IE124" s="2302"/>
      <c r="IF124" s="2303"/>
      <c r="IG124" s="2304"/>
      <c r="IH124" s="2301"/>
      <c r="II124" s="2299"/>
      <c r="IJ124" s="2333"/>
      <c r="IK124" s="2333"/>
      <c r="IL124" s="2305"/>
      <c r="IM124" s="2334"/>
      <c r="IN124" s="2333"/>
      <c r="IO124" s="2333"/>
      <c r="IP124" s="2306"/>
      <c r="IQ124" s="2307"/>
      <c r="IR124" s="2335"/>
      <c r="IS124" s="2297"/>
      <c r="IT124" s="2297"/>
      <c r="IU124" s="2338"/>
      <c r="IV124" s="2346"/>
      <c r="IW124" s="2302"/>
      <c r="IX124" s="2297"/>
      <c r="IY124" s="2297"/>
      <c r="IZ124" s="2330"/>
      <c r="JA124" s="2339"/>
      <c r="JB124" s="2358"/>
      <c r="JC124" s="2359"/>
      <c r="JD124" s="2360"/>
      <c r="JE124" s="2330"/>
      <c r="JF124" s="2339"/>
      <c r="JG124" s="2361"/>
      <c r="JH124" s="2329"/>
      <c r="JI124" s="2329"/>
      <c r="JJ124" s="2362"/>
      <c r="JK124" s="2339"/>
      <c r="JL124" s="2336"/>
      <c r="JM124" s="2329"/>
      <c r="JN124" s="2329"/>
      <c r="JO124" s="2297"/>
      <c r="JP124" s="2339"/>
      <c r="JQ124" s="2336"/>
      <c r="JR124" s="2337"/>
      <c r="JS124" s="2296"/>
      <c r="JT124" s="2338"/>
      <c r="JU124" s="2339"/>
      <c r="JV124" s="2361"/>
      <c r="JW124" s="2329"/>
      <c r="JX124" s="2296"/>
      <c r="JY124" s="2297"/>
      <c r="JZ124" s="2339"/>
      <c r="KA124" s="2361"/>
      <c r="KB124" s="2337"/>
      <c r="KC124" s="2337"/>
      <c r="KD124" s="2347"/>
      <c r="KE124" s="2348"/>
      <c r="KF124" s="2361"/>
      <c r="KG124" s="2337"/>
      <c r="KH124" s="2329"/>
      <c r="KI124" s="2330"/>
      <c r="KJ124" s="2339"/>
      <c r="KK124" s="2361"/>
      <c r="KL124" s="2337"/>
      <c r="KM124" s="2329"/>
      <c r="KN124" s="3629"/>
      <c r="KO124" s="2363"/>
      <c r="KP124" s="2340"/>
      <c r="KQ124" s="2337"/>
      <c r="KR124" s="2296"/>
      <c r="KS124" s="2338"/>
      <c r="KT124" s="2341"/>
      <c r="KU124" s="2331"/>
      <c r="KV124" s="2296"/>
      <c r="KW124" s="2296"/>
      <c r="KX124" s="2296"/>
      <c r="KY124" s="2342"/>
      <c r="KZ124" s="2349"/>
      <c r="LA124" s="2288"/>
      <c r="LB124" s="2288"/>
      <c r="LC124" s="2288"/>
      <c r="LD124" s="2350"/>
      <c r="LE124" s="2364"/>
      <c r="LF124" s="2365"/>
      <c r="LG124" s="2365"/>
      <c r="LH124" s="2366"/>
      <c r="LI124" s="2367"/>
      <c r="LJ124" s="2368"/>
      <c r="LK124" s="2364"/>
      <c r="LL124" s="2366"/>
      <c r="LM124" s="2299"/>
      <c r="LN124" s="2333"/>
      <c r="LO124" s="2333"/>
      <c r="LP124" s="2369"/>
      <c r="LQ124" s="2345"/>
      <c r="LR124" s="2333"/>
      <c r="LS124" s="2333"/>
      <c r="LT124" s="2306"/>
      <c r="LV124" s="2371"/>
      <c r="LW124" s="2372"/>
      <c r="LX124" s="2372"/>
      <c r="LY124" s="2373"/>
      <c r="LZ124" s="2374"/>
      <c r="MA124" s="2367"/>
      <c r="MB124" s="2375"/>
      <c r="MC124" s="2375"/>
      <c r="MD124" s="2343"/>
      <c r="ME124" s="2376"/>
      <c r="MF124" s="2377"/>
      <c r="MG124" s="2378"/>
      <c r="MH124" s="2379"/>
      <c r="MI124" s="2343"/>
      <c r="MJ124" s="2376"/>
      <c r="MK124" s="2380"/>
      <c r="ML124" s="2372"/>
      <c r="MM124" s="2375"/>
      <c r="MN124" s="2343"/>
      <c r="MO124" s="2376"/>
      <c r="MP124" s="2344"/>
      <c r="MQ124" s="2296"/>
      <c r="MR124" s="2296"/>
      <c r="MS124" s="2296"/>
      <c r="MT124" s="2381"/>
      <c r="MU124" s="2309"/>
      <c r="MV124" s="2285"/>
      <c r="MW124" s="2285"/>
      <c r="MX124" s="2285"/>
      <c r="MY124" s="2294"/>
      <c r="MZ124" s="2309"/>
      <c r="NA124" s="2285"/>
      <c r="NB124" s="2285"/>
      <c r="NC124" s="2285"/>
      <c r="ND124" s="2310"/>
      <c r="NE124" s="2309"/>
      <c r="NF124" s="2285"/>
      <c r="NG124" s="2285"/>
      <c r="NH124" s="2285"/>
      <c r="NI124" s="2310"/>
      <c r="NJ124" s="2309"/>
      <c r="NK124" s="2285"/>
      <c r="NL124" s="2285"/>
      <c r="NM124" s="2285"/>
      <c r="NN124" s="2310"/>
      <c r="NO124" s="2382"/>
      <c r="NP124" s="2288"/>
      <c r="NQ124" s="2383"/>
      <c r="NR124" s="2285"/>
      <c r="NS124" s="2310"/>
      <c r="NT124" s="2382"/>
      <c r="NU124" s="2288"/>
      <c r="NV124" s="2288"/>
      <c r="NW124" s="2285"/>
      <c r="NX124" s="2310"/>
      <c r="NY124" s="2382"/>
      <c r="NZ124" s="2288"/>
      <c r="OA124" s="2288"/>
      <c r="OB124" s="2288"/>
      <c r="OC124" s="2291"/>
      <c r="OD124" s="2384"/>
      <c r="OE124" s="2288"/>
      <c r="OF124" s="2288"/>
      <c r="OG124" s="2288"/>
      <c r="OH124" s="2385"/>
      <c r="OI124" s="2386"/>
      <c r="OJ124" s="2387"/>
      <c r="OK124" s="2387"/>
      <c r="OL124" s="2387"/>
      <c r="OM124" s="2388"/>
      <c r="ON124" s="2288"/>
      <c r="OO124" s="2288"/>
      <c r="OP124" s="2288"/>
      <c r="OQ124" s="2383"/>
      <c r="OR124" s="2389"/>
      <c r="OS124" s="2390"/>
      <c r="OT124" s="2391"/>
      <c r="OU124" s="2391"/>
      <c r="OV124" s="2392"/>
      <c r="OW124" s="2393"/>
      <c r="OX124" s="2382"/>
      <c r="OY124" s="2288"/>
      <c r="OZ124" s="2288"/>
      <c r="PA124" s="2383"/>
      <c r="PB124" s="2291"/>
      <c r="PC124" s="2394"/>
      <c r="PD124" s="2371"/>
      <c r="PE124" s="2372"/>
      <c r="PF124" s="2372"/>
      <c r="PG124" s="2286"/>
      <c r="PH124" s="2374"/>
      <c r="PI124" s="2284"/>
      <c r="PJ124" s="2285"/>
      <c r="PK124" s="2285"/>
      <c r="PL124" s="2286"/>
      <c r="PM124" s="2287"/>
      <c r="PN124" s="2371"/>
      <c r="PO124" s="2372"/>
      <c r="PP124" s="2375"/>
      <c r="PQ124" s="2343"/>
      <c r="PR124" s="2376"/>
      <c r="PS124" s="2380"/>
      <c r="PT124" s="2372"/>
      <c r="PU124" s="2375"/>
      <c r="PV124" s="2343"/>
      <c r="PW124" s="2289"/>
      <c r="PX124" s="2344"/>
      <c r="PY124" s="2296"/>
      <c r="PZ124" s="2296"/>
      <c r="QA124" s="2296"/>
      <c r="QB124" s="2381"/>
      <c r="QC124" s="2309"/>
      <c r="QD124" s="2285"/>
      <c r="QE124" s="2285"/>
      <c r="QF124" s="2285"/>
      <c r="QG124" s="2294"/>
      <c r="QH124" s="2284"/>
      <c r="QI124" s="2285"/>
      <c r="QJ124" s="2285"/>
      <c r="QK124" s="2285"/>
      <c r="QL124" s="2310"/>
      <c r="QM124" s="2349"/>
      <c r="QN124" s="2288"/>
      <c r="QO124" s="2288"/>
      <c r="QP124" s="2285"/>
      <c r="QQ124" s="2310"/>
      <c r="QR124" s="2309"/>
      <c r="QS124" s="2285"/>
      <c r="QT124" s="2285"/>
      <c r="QU124" s="2285"/>
      <c r="QV124" s="2289"/>
      <c r="QW124" s="2395"/>
      <c r="QX124" s="2311"/>
      <c r="QY124" s="2311"/>
      <c r="QZ124" s="2311"/>
      <c r="RA124" s="2396"/>
      <c r="RB124" s="2293"/>
      <c r="RC124" s="2398">
        <v>0</v>
      </c>
      <c r="RD124" s="2290">
        <v>0</v>
      </c>
      <c r="RE124" s="2290">
        <f>RD124-RC124</f>
        <v>0</v>
      </c>
      <c r="RF124" s="2291"/>
      <c r="RG124" s="2282"/>
      <c r="RH124" s="2290"/>
      <c r="RI124" s="2290"/>
      <c r="RJ124" s="3528"/>
      <c r="RK124" s="2351"/>
      <c r="RL124" s="1571"/>
      <c r="RM124" s="1572"/>
      <c r="RN124" s="1572"/>
      <c r="RO124" s="1572"/>
      <c r="RP124" s="2397"/>
      <c r="RQ124" s="3723"/>
      <c r="RR124" s="2286"/>
      <c r="RS124" s="2286"/>
      <c r="RT124" s="2286"/>
      <c r="RU124" s="2291"/>
      <c r="RV124" s="2288"/>
      <c r="RW124" s="2288"/>
      <c r="RX124" s="2288"/>
      <c r="RY124" s="2383"/>
      <c r="RZ124" s="2389"/>
      <c r="SA124" s="3724"/>
      <c r="SB124" s="3725"/>
      <c r="SC124" s="3725"/>
      <c r="SD124" s="3726"/>
      <c r="SE124" s="2389"/>
      <c r="SF124" s="1571"/>
      <c r="SG124" s="358"/>
      <c r="SH124" s="358"/>
      <c r="SI124" s="359"/>
      <c r="SJ124" s="2155"/>
      <c r="SK124" s="2308"/>
      <c r="SL124" s="2377"/>
      <c r="SM124" s="2378"/>
      <c r="SN124" s="2378"/>
      <c r="SO124" s="3523"/>
      <c r="SP124" s="3525"/>
      <c r="SQ124" s="2284"/>
      <c r="SR124" s="2285"/>
      <c r="SS124" s="2285"/>
      <c r="ST124" s="2286"/>
      <c r="SU124" s="3712"/>
      <c r="SV124" s="2426"/>
      <c r="SW124" s="436"/>
      <c r="SX124" s="1587"/>
      <c r="SY124" s="2148"/>
      <c r="SZ124" s="2149"/>
      <c r="TA124" s="2429"/>
      <c r="TB124" s="436"/>
      <c r="TC124" s="1587"/>
      <c r="TD124" s="2427"/>
      <c r="TE124" s="362"/>
      <c r="TF124" s="4105"/>
      <c r="TG124" s="2285"/>
      <c r="TH124" s="2285"/>
      <c r="TI124" s="2285"/>
      <c r="TJ124" s="2291"/>
      <c r="TK124" s="2309"/>
      <c r="TL124" s="2285"/>
      <c r="TM124" s="2285"/>
      <c r="TN124" s="4101"/>
      <c r="TO124" s="114"/>
      <c r="TP124" s="4461"/>
      <c r="TQ124" s="2285"/>
      <c r="TR124" s="2285"/>
      <c r="TS124" s="3528"/>
      <c r="TT124" s="2291"/>
      <c r="TU124" s="5257"/>
      <c r="TV124" s="395"/>
      <c r="TW124" s="622"/>
      <c r="TX124" s="772"/>
      <c r="TY124" s="5259"/>
      <c r="TZ124" s="2395"/>
      <c r="UA124" s="2311"/>
      <c r="UB124" s="2311"/>
      <c r="UC124" s="5258"/>
      <c r="UD124" s="5259"/>
      <c r="UE124" s="1868"/>
      <c r="UF124" s="1575"/>
      <c r="UG124" s="1575"/>
      <c r="UH124" s="1575">
        <f t="shared" si="322"/>
        <v>0</v>
      </c>
      <c r="UI124" s="6495" t="e">
        <f t="shared" si="367"/>
        <v>#DIV/0!</v>
      </c>
      <c r="UJ124" s="2293"/>
      <c r="UK124" s="2398"/>
      <c r="UL124" s="2290"/>
      <c r="UM124" s="2290"/>
      <c r="UN124" s="2291"/>
      <c r="UO124" s="1571"/>
      <c r="UP124" s="1572"/>
      <c r="UQ124" s="1572"/>
      <c r="UR124" s="2295"/>
      <c r="US124" s="2351"/>
      <c r="UT124" s="1571"/>
      <c r="UU124" s="358">
        <f t="shared" ref="UU124:UW125" si="453">UP124+UK124+UF124+UA124+TV124+TQ124+TL124+TG124+TB124+SW124+SR124+SM124</f>
        <v>0</v>
      </c>
      <c r="UV124" s="358">
        <f t="shared" si="453"/>
        <v>0</v>
      </c>
      <c r="UW124" s="358">
        <f t="shared" si="453"/>
        <v>0</v>
      </c>
      <c r="UX124" s="220"/>
      <c r="UY124" s="1863"/>
      <c r="UZ124" s="105"/>
      <c r="VA124" s="105"/>
      <c r="VB124" s="105"/>
      <c r="VC124" s="3713"/>
      <c r="VD124" s="2288"/>
      <c r="VE124" s="358">
        <f t="shared" si="423"/>
        <v>0</v>
      </c>
      <c r="VF124" s="358">
        <f t="shared" si="423"/>
        <v>0</v>
      </c>
      <c r="VG124" s="359">
        <f t="shared" si="423"/>
        <v>0</v>
      </c>
      <c r="VH124" s="169" t="e">
        <f t="shared" si="372"/>
        <v>#DIV/0!</v>
      </c>
      <c r="VI124" s="2292"/>
      <c r="VJ124" s="146">
        <f t="shared" si="373"/>
        <v>0</v>
      </c>
      <c r="VK124" s="146">
        <f t="shared" si="373"/>
        <v>0</v>
      </c>
      <c r="VL124" s="1864">
        <f t="shared" si="373"/>
        <v>0</v>
      </c>
      <c r="VM124" s="2393"/>
      <c r="VN124" s="1571"/>
      <c r="VO124" s="358"/>
      <c r="VP124" s="358"/>
      <c r="VQ124" s="359"/>
      <c r="VR124" s="2155"/>
      <c r="VS124" s="2308"/>
      <c r="VT124" s="2308"/>
      <c r="VU124" s="2308"/>
      <c r="VV124" s="2308"/>
      <c r="VW124" s="2308"/>
      <c r="VX124" s="2308"/>
      <c r="VY124" s="2308"/>
      <c r="VZ124" s="2308"/>
      <c r="WA124" s="2308"/>
      <c r="WB124" s="2308"/>
      <c r="WC124" s="2308"/>
      <c r="WD124" s="2308"/>
      <c r="WE124" s="2308"/>
      <c r="WF124" s="2308"/>
      <c r="WG124" s="2308"/>
      <c r="WH124" s="2308"/>
      <c r="WI124" s="2308"/>
      <c r="WJ124" s="2308"/>
      <c r="WK124" s="2308"/>
      <c r="WL124" s="2308"/>
      <c r="WM124" s="2308"/>
      <c r="WN124" s="2308"/>
      <c r="WO124" s="2308"/>
      <c r="WP124" s="2308"/>
      <c r="WQ124" s="2308"/>
      <c r="WR124" s="2308"/>
      <c r="WS124" s="2308"/>
      <c r="WT124" s="2308"/>
      <c r="WU124" s="2308"/>
      <c r="WV124" s="2308"/>
      <c r="WW124" s="2308"/>
      <c r="WX124" s="2308"/>
      <c r="WY124" s="2308"/>
      <c r="WZ124" s="2308"/>
      <c r="XA124" s="2308"/>
      <c r="XB124" s="2308"/>
      <c r="XC124" s="2308"/>
      <c r="XD124" s="2308"/>
      <c r="XE124" s="2308"/>
      <c r="XF124" s="2308"/>
      <c r="XG124" s="2308"/>
      <c r="XH124" s="2308"/>
      <c r="XI124" s="2308"/>
      <c r="XJ124" s="2308"/>
      <c r="XK124" s="2308"/>
      <c r="XL124" s="2308"/>
      <c r="XM124" s="2308"/>
      <c r="XN124" s="2308"/>
      <c r="XO124" s="2308"/>
      <c r="XP124" s="2308"/>
      <c r="XQ124" s="2308"/>
      <c r="XR124" s="2308"/>
      <c r="XS124" s="2308"/>
      <c r="XT124" s="2308"/>
      <c r="XU124" s="2308"/>
      <c r="XV124" s="2308"/>
      <c r="XW124" s="2308"/>
      <c r="XX124" s="2308"/>
      <c r="XY124" s="2308"/>
      <c r="XZ124" s="2308"/>
      <c r="YA124" s="2308"/>
      <c r="YB124" s="2308"/>
      <c r="YC124" s="2308"/>
      <c r="YD124" s="2308"/>
      <c r="YE124" s="2308"/>
      <c r="YF124" s="2308"/>
      <c r="YG124" s="2308"/>
      <c r="YH124" s="2308"/>
      <c r="YI124" s="2308"/>
      <c r="YJ124" s="2308"/>
      <c r="YK124" s="2308"/>
      <c r="YL124" s="2308"/>
      <c r="YM124" s="2308"/>
      <c r="YN124" s="2308"/>
      <c r="YO124" s="2308"/>
      <c r="YP124" s="2308"/>
      <c r="YQ124" s="2308"/>
      <c r="YR124" s="2308"/>
      <c r="YS124" s="2308"/>
      <c r="YT124" s="2308"/>
      <c r="YU124" s="2308"/>
      <c r="YV124" s="2308"/>
      <c r="YW124" s="2308"/>
      <c r="YX124" s="2308"/>
      <c r="YY124" s="2308"/>
      <c r="YZ124" s="2308"/>
      <c r="ZA124" s="2308"/>
      <c r="ZB124" s="2308"/>
      <c r="ZC124" s="2308"/>
      <c r="ZD124" s="2308"/>
      <c r="ZE124" s="2308"/>
      <c r="ZF124" s="2308"/>
      <c r="ZG124" s="2308"/>
      <c r="ZH124" s="2308"/>
      <c r="ZI124" s="2308"/>
      <c r="ZJ124" s="2308"/>
      <c r="ZK124" s="2308"/>
      <c r="ZL124" s="2308"/>
      <c r="ZM124" s="2308"/>
      <c r="ZN124" s="2308"/>
      <c r="ZO124" s="2308"/>
      <c r="ZP124" s="2308"/>
      <c r="ZQ124" s="2308"/>
      <c r="ZR124" s="2308"/>
      <c r="ZS124" s="2308"/>
      <c r="ZT124" s="2308"/>
      <c r="ZU124" s="2308"/>
      <c r="ZV124" s="2308"/>
      <c r="ZW124" s="2308"/>
      <c r="ZX124" s="2308"/>
      <c r="ZY124" s="2308"/>
      <c r="ZZ124" s="2308"/>
      <c r="AAA124" s="2308"/>
      <c r="AAB124" s="2308"/>
      <c r="AAC124" s="2308"/>
      <c r="AAD124" s="2308"/>
      <c r="AAE124" s="2308"/>
      <c r="AAF124" s="2308"/>
      <c r="AAG124" s="2308"/>
      <c r="AAH124" s="2308"/>
      <c r="AAI124" s="2308"/>
      <c r="AAJ124" s="2308"/>
      <c r="AAK124" s="2308"/>
      <c r="AAL124" s="2308"/>
      <c r="AAM124" s="2308"/>
      <c r="AAN124" s="2308"/>
      <c r="AAO124" s="2308"/>
      <c r="AAP124" s="2308"/>
      <c r="AAQ124" s="2308"/>
      <c r="AAR124" s="2308"/>
      <c r="AAS124" s="2308"/>
      <c r="AAT124" s="2308"/>
      <c r="AAU124" s="2308"/>
      <c r="AAV124" s="2308"/>
      <c r="AAW124" s="2308"/>
      <c r="AAX124" s="2308"/>
      <c r="AAY124" s="2308"/>
      <c r="AAZ124" s="2308"/>
      <c r="ABA124" s="2308"/>
      <c r="ABB124" s="2308"/>
      <c r="ABC124" s="2308"/>
      <c r="ABD124" s="2308"/>
      <c r="ABE124" s="2308"/>
      <c r="ABF124" s="2308"/>
      <c r="ABG124" s="2308"/>
      <c r="ABH124" s="2308"/>
      <c r="ABI124" s="2308"/>
      <c r="ABJ124" s="2308"/>
      <c r="ABK124" s="2308"/>
      <c r="ABL124" s="2308"/>
      <c r="ABM124" s="2308"/>
      <c r="ABN124" s="2308"/>
      <c r="ABO124" s="2308"/>
      <c r="ABP124" s="2308"/>
      <c r="ABQ124" s="2308"/>
    </row>
    <row r="125" spans="1:745" s="2425" customFormat="1" ht="13.45" hidden="1" x14ac:dyDescent="0.3">
      <c r="A125" s="2399"/>
      <c r="B125" s="2400"/>
      <c r="C125" s="2401"/>
      <c r="D125" s="1992"/>
      <c r="E125" s="2086"/>
      <c r="F125" s="2086"/>
      <c r="G125" s="1994"/>
      <c r="H125" s="2093"/>
      <c r="I125" s="2094"/>
      <c r="J125" s="2094"/>
      <c r="K125" s="2094"/>
      <c r="L125" s="2095"/>
      <c r="M125" s="2093"/>
      <c r="N125" s="2094"/>
      <c r="O125" s="2094"/>
      <c r="P125" s="2094"/>
      <c r="Q125" s="2095"/>
      <c r="R125" s="2093"/>
      <c r="S125" s="2094"/>
      <c r="T125" s="2094"/>
      <c r="U125" s="2094"/>
      <c r="V125" s="2095"/>
      <c r="W125" s="2093"/>
      <c r="X125" s="2094"/>
      <c r="Y125" s="2094"/>
      <c r="Z125" s="2094"/>
      <c r="AA125" s="2096"/>
      <c r="AB125" s="2093"/>
      <c r="AC125" s="2094"/>
      <c r="AD125" s="2094"/>
      <c r="AE125" s="2094"/>
      <c r="AF125" s="2096"/>
      <c r="AG125" s="2094"/>
      <c r="AH125" s="2094"/>
      <c r="AI125" s="2094"/>
      <c r="AJ125" s="2094"/>
      <c r="AK125" s="2095"/>
      <c r="AL125" s="2094"/>
      <c r="AM125" s="2094"/>
      <c r="AN125" s="2094"/>
      <c r="AO125" s="2094"/>
      <c r="AP125" s="2095"/>
      <c r="AQ125" s="2094"/>
      <c r="AR125" s="2094"/>
      <c r="AS125" s="2094"/>
      <c r="AT125" s="2094"/>
      <c r="AU125" s="2095"/>
      <c r="AV125" s="2097"/>
      <c r="AW125" s="2094"/>
      <c r="AX125" s="2094"/>
      <c r="AY125" s="2094"/>
      <c r="AZ125" s="2096"/>
      <c r="BA125" s="2097"/>
      <c r="BB125" s="2094"/>
      <c r="BC125" s="2094"/>
      <c r="BD125" s="2094"/>
      <c r="BE125" s="2096"/>
      <c r="BF125" s="2097"/>
      <c r="BG125" s="2094"/>
      <c r="BH125" s="2094"/>
      <c r="BI125" s="2094"/>
      <c r="BJ125" s="2096"/>
      <c r="BK125" s="2097"/>
      <c r="BL125" s="2094"/>
      <c r="BM125" s="2094"/>
      <c r="BN125" s="2094"/>
      <c r="BO125" s="2096"/>
      <c r="BP125" s="2098"/>
      <c r="BQ125" s="2094"/>
      <c r="BR125" s="2094"/>
      <c r="BS125" s="2094"/>
      <c r="BT125" s="2099"/>
      <c r="BU125" s="2094"/>
      <c r="BV125" s="2094"/>
      <c r="BW125" s="2100"/>
      <c r="BX125" s="2099"/>
      <c r="BY125" s="2094"/>
      <c r="BZ125" s="2094"/>
      <c r="CA125" s="2101"/>
      <c r="CB125" s="2094"/>
      <c r="CC125" s="2094"/>
      <c r="CD125" s="2094"/>
      <c r="CE125" s="2094"/>
      <c r="CF125" s="2099"/>
      <c r="CG125" s="2094"/>
      <c r="CH125" s="2094"/>
      <c r="CI125" s="2101"/>
      <c r="CJ125" s="2102"/>
      <c r="CK125" s="2094"/>
      <c r="CL125" s="2094"/>
      <c r="CM125" s="2094"/>
      <c r="CN125" s="2100"/>
      <c r="CO125" s="2102"/>
      <c r="CP125" s="2093"/>
      <c r="CQ125" s="2093"/>
      <c r="CR125" s="2093"/>
      <c r="CS125" s="2100"/>
      <c r="CT125" s="2102"/>
      <c r="CU125" s="2094"/>
      <c r="CV125" s="2094"/>
      <c r="CW125" s="2094"/>
      <c r="CX125" s="2100"/>
      <c r="CY125" s="2102"/>
      <c r="CZ125" s="2094"/>
      <c r="DA125" s="2094"/>
      <c r="DB125" s="2094"/>
      <c r="DC125" s="2100"/>
      <c r="DD125" s="2102"/>
      <c r="DE125" s="2094"/>
      <c r="DF125" s="2094"/>
      <c r="DG125" s="2094"/>
      <c r="DH125" s="2103"/>
      <c r="DI125" s="2102"/>
      <c r="DJ125" s="2094"/>
      <c r="DK125" s="2094"/>
      <c r="DL125" s="2094"/>
      <c r="DM125" s="2103"/>
      <c r="DN125" s="2102"/>
      <c r="DO125" s="2094"/>
      <c r="DP125" s="2094"/>
      <c r="DQ125" s="2094"/>
      <c r="DR125" s="2103"/>
      <c r="DS125" s="2102"/>
      <c r="DT125" s="2094"/>
      <c r="DU125" s="2094"/>
      <c r="DV125" s="2094"/>
      <c r="DW125" s="2103"/>
      <c r="DX125" s="2102"/>
      <c r="DY125" s="2094"/>
      <c r="DZ125" s="2094"/>
      <c r="EA125" s="2094"/>
      <c r="EB125" s="2103"/>
      <c r="EC125" s="2102"/>
      <c r="ED125" s="2094"/>
      <c r="EE125" s="2094"/>
      <c r="EF125" s="2094"/>
      <c r="EG125" s="2103"/>
      <c r="EH125" s="2037"/>
      <c r="EI125" s="1914"/>
      <c r="EJ125" s="1914"/>
      <c r="EK125" s="1914"/>
      <c r="EL125" s="2038"/>
      <c r="EM125" s="1910"/>
      <c r="EN125" s="715"/>
      <c r="EO125" s="715"/>
      <c r="EP125" s="715"/>
      <c r="EQ125" s="366"/>
      <c r="ER125" s="2402">
        <f>(CJ125+CO125+CT125+CY125+DD125+DI125+DN125+DS125+DX125+EC125+EH125+EM125)/12</f>
        <v>0</v>
      </c>
      <c r="ES125" s="2403">
        <f>CK125+CP125+CU125+CZ125+DE125+DJ125+DO125+DT125+DY125+ED125+EI125+EN125</f>
        <v>0</v>
      </c>
      <c r="ET125" s="2403">
        <f>CL125+CQ125+CV125+DA125+DF125+DK125+DP125+DU125+DZ125+EE125+EJ125+EO125</f>
        <v>0</v>
      </c>
      <c r="EU125" s="2403">
        <f>CM125+CR125+CW125+DB125+DG125+DL125+DQ125+DV125+EA125+EF125+EK125+EP125</f>
        <v>0</v>
      </c>
      <c r="EV125" s="2404" t="e">
        <f>EU125/ET125</f>
        <v>#DIV/0!</v>
      </c>
      <c r="EW125" s="2031"/>
      <c r="EX125" s="2031"/>
      <c r="EY125" s="2031"/>
      <c r="EZ125" s="593"/>
      <c r="FA125" s="2037"/>
      <c r="FB125" s="2031"/>
      <c r="FC125" s="2031"/>
      <c r="FD125" s="2036"/>
      <c r="FE125" s="2031"/>
      <c r="FF125" s="2031"/>
      <c r="FG125" s="2031"/>
      <c r="FH125" s="593"/>
      <c r="FI125" s="2039"/>
      <c r="FJ125" s="2040"/>
      <c r="FK125" s="2041"/>
      <c r="FL125" s="2041"/>
      <c r="FM125" s="693"/>
      <c r="FN125" s="2031"/>
      <c r="FO125" s="1914"/>
      <c r="FP125" s="1914"/>
      <c r="FQ125" s="1914"/>
      <c r="FR125" s="2032"/>
      <c r="FS125" s="1910"/>
      <c r="FT125" s="715"/>
      <c r="FU125" s="715"/>
      <c r="FV125" s="715"/>
      <c r="FW125" s="2109"/>
      <c r="FX125" s="2037"/>
      <c r="FY125" s="1914"/>
      <c r="FZ125" s="1914"/>
      <c r="GA125" s="715"/>
      <c r="GB125" s="2109"/>
      <c r="GC125" s="2110"/>
      <c r="GD125" s="2111"/>
      <c r="GE125" s="2111"/>
      <c r="GF125" s="715"/>
      <c r="GG125" s="366"/>
      <c r="GH125" s="2042"/>
      <c r="GI125" s="2043"/>
      <c r="GJ125" s="2043"/>
      <c r="GK125" s="2112"/>
      <c r="GL125" s="2109"/>
      <c r="GM125" s="2042"/>
      <c r="GN125" s="2043"/>
      <c r="GO125" s="2043"/>
      <c r="GP125" s="2112"/>
      <c r="GQ125" s="2109"/>
      <c r="GR125" s="1903"/>
      <c r="GS125" s="1904"/>
      <c r="GT125" s="1904"/>
      <c r="GU125" s="2112"/>
      <c r="GV125" s="2109"/>
      <c r="GW125" s="1903"/>
      <c r="GX125" s="1904"/>
      <c r="GY125" s="1904"/>
      <c r="GZ125" s="2112"/>
      <c r="HA125" s="2109"/>
      <c r="HB125" s="1903"/>
      <c r="HC125" s="1904"/>
      <c r="HD125" s="1904"/>
      <c r="HE125" s="2112"/>
      <c r="HF125" s="2109"/>
      <c r="HG125" s="1903"/>
      <c r="HH125" s="1904"/>
      <c r="HI125" s="1904"/>
      <c r="HJ125" s="2113"/>
      <c r="HK125" s="2109"/>
      <c r="HL125" s="1903"/>
      <c r="HM125" s="1904"/>
      <c r="HN125" s="1904"/>
      <c r="HO125" s="715"/>
      <c r="HP125" s="366"/>
      <c r="HQ125" s="2114"/>
      <c r="HR125" s="1904"/>
      <c r="HS125" s="1904"/>
      <c r="HT125" s="1904"/>
      <c r="HU125" s="2115"/>
      <c r="HV125" s="2405">
        <f>(FN125+FS125+FX125+GC125+GH125+GM125+GR125+GW125+HB125+HG125+HL125+HQ125)/12</f>
        <v>0</v>
      </c>
      <c r="HW125" s="2406">
        <f t="shared" ref="HW125:HY126" si="454">FO125+FT125+FY125+GD125+GI125+GN125+GS125+GX125+HC125+HH125+HM125+HR125</f>
        <v>0</v>
      </c>
      <c r="HX125" s="2406">
        <f t="shared" si="454"/>
        <v>0</v>
      </c>
      <c r="HY125" s="2406">
        <f t="shared" si="454"/>
        <v>0</v>
      </c>
      <c r="HZ125" s="1906"/>
      <c r="IA125" s="1907"/>
      <c r="IB125" s="1908"/>
      <c r="IC125" s="1908"/>
      <c r="ID125" s="1909"/>
      <c r="IE125" s="1910"/>
      <c r="IF125" s="1911"/>
      <c r="IG125" s="1912"/>
      <c r="IH125" s="1909"/>
      <c r="II125" s="1907"/>
      <c r="IJ125" s="2116"/>
      <c r="IK125" s="2116"/>
      <c r="IL125" s="693"/>
      <c r="IM125" s="2117"/>
      <c r="IN125" s="2116"/>
      <c r="IO125" s="2116"/>
      <c r="IP125" s="1838"/>
      <c r="IQ125" s="1914"/>
      <c r="IR125" s="2044"/>
      <c r="IS125" s="2118"/>
      <c r="IT125" s="2118"/>
      <c r="IU125" s="2119"/>
      <c r="IV125" s="2120"/>
      <c r="IW125" s="2121"/>
      <c r="IX125" s="2122"/>
      <c r="IY125" s="2122"/>
      <c r="IZ125" s="2113"/>
      <c r="JA125" s="2132"/>
      <c r="JB125" s="2407"/>
      <c r="JC125" s="2408"/>
      <c r="JD125" s="2409"/>
      <c r="JE125" s="2113"/>
      <c r="JF125" s="2132"/>
      <c r="JG125" s="2410"/>
      <c r="JH125" s="2043"/>
      <c r="JI125" s="2043"/>
      <c r="JJ125" s="2411"/>
      <c r="JK125" s="2132"/>
      <c r="JL125" s="2129"/>
      <c r="JM125" s="2043"/>
      <c r="JN125" s="2043"/>
      <c r="JO125" s="2412"/>
      <c r="JP125" s="2132"/>
      <c r="JQ125" s="2129"/>
      <c r="JR125" s="2130"/>
      <c r="JS125" s="1904"/>
      <c r="JT125" s="2413"/>
      <c r="JU125" s="2132"/>
      <c r="JV125" s="1990"/>
      <c r="JW125" s="2130"/>
      <c r="JX125" s="1904"/>
      <c r="JY125" s="1904"/>
      <c r="JZ125" s="2132"/>
      <c r="KA125" s="1990"/>
      <c r="KB125" s="1904"/>
      <c r="KC125" s="1904"/>
      <c r="KD125" s="2414"/>
      <c r="KE125" s="2415"/>
      <c r="KF125" s="1990"/>
      <c r="KG125" s="1904"/>
      <c r="KH125" s="1904"/>
      <c r="KI125" s="2113"/>
      <c r="KJ125" s="2132"/>
      <c r="KK125" s="1990"/>
      <c r="KL125" s="1904"/>
      <c r="KM125" s="1904"/>
      <c r="KN125" s="2416"/>
      <c r="KO125" s="2417"/>
      <c r="KP125" s="2136"/>
      <c r="KQ125" s="2130"/>
      <c r="KR125" s="1904"/>
      <c r="KS125" s="2131"/>
      <c r="KT125" s="2137"/>
      <c r="KU125" s="2114"/>
      <c r="KV125" s="1904"/>
      <c r="KW125" s="1904"/>
      <c r="KX125" s="1904"/>
      <c r="KY125" s="2418"/>
      <c r="KZ125" s="1832"/>
      <c r="LA125" s="622"/>
      <c r="LB125" s="622"/>
      <c r="LC125" s="622"/>
      <c r="LD125" s="239"/>
      <c r="LE125" s="2419"/>
      <c r="LF125" s="2420"/>
      <c r="LG125" s="2420"/>
      <c r="LH125" s="2421"/>
      <c r="LI125" s="2422"/>
      <c r="LJ125" s="2423"/>
      <c r="LK125" s="2419"/>
      <c r="LL125" s="2421"/>
      <c r="LM125" s="1907"/>
      <c r="LN125" s="2116"/>
      <c r="LO125" s="2116"/>
      <c r="LP125" s="2013"/>
      <c r="LQ125" s="2424"/>
      <c r="LR125" s="2116"/>
      <c r="LS125" s="2116"/>
      <c r="LT125" s="1838"/>
      <c r="LV125" s="2426"/>
      <c r="LW125" s="436"/>
      <c r="LX125" s="436"/>
      <c r="LY125" s="2427"/>
      <c r="LZ125" s="1588"/>
      <c r="MA125" s="2147"/>
      <c r="MB125" s="1592"/>
      <c r="MC125" s="1592"/>
      <c r="MD125" s="2148"/>
      <c r="ME125" s="2149"/>
      <c r="MF125" s="406"/>
      <c r="MG125" s="2428"/>
      <c r="MH125" s="2428"/>
      <c r="MI125" s="2148"/>
      <c r="MJ125" s="2149"/>
      <c r="MK125" s="2429"/>
      <c r="ML125" s="436"/>
      <c r="MM125" s="436"/>
      <c r="MN125" s="2148"/>
      <c r="MO125" s="2149"/>
      <c r="MP125" s="2153"/>
      <c r="MQ125" s="1904"/>
      <c r="MR125" s="1904"/>
      <c r="MS125" s="1904"/>
      <c r="MT125" s="787"/>
      <c r="MU125" s="1318"/>
      <c r="MV125" s="395"/>
      <c r="MW125" s="395"/>
      <c r="MX125" s="395"/>
      <c r="MY125" s="655"/>
      <c r="MZ125" s="1318"/>
      <c r="NA125" s="395"/>
      <c r="NB125" s="395"/>
      <c r="NC125" s="395"/>
      <c r="ND125" s="801"/>
      <c r="NE125" s="1318"/>
      <c r="NF125" s="395"/>
      <c r="NG125" s="395"/>
      <c r="NH125" s="395"/>
      <c r="NI125" s="801"/>
      <c r="NJ125" s="1318"/>
      <c r="NK125" s="395"/>
      <c r="NL125" s="395"/>
      <c r="NM125" s="395"/>
      <c r="NN125" s="801"/>
      <c r="NO125" s="2430"/>
      <c r="NP125" s="1873"/>
      <c r="NQ125" s="2431"/>
      <c r="NR125" s="2001"/>
      <c r="NS125" s="801"/>
      <c r="NT125" s="2432"/>
      <c r="NU125" s="622"/>
      <c r="NV125" s="622"/>
      <c r="NW125" s="395"/>
      <c r="NX125" s="801"/>
      <c r="NY125" s="2430"/>
      <c r="NZ125" s="1873">
        <v>0</v>
      </c>
      <c r="OA125" s="1873">
        <v>0</v>
      </c>
      <c r="OB125" s="1873">
        <f>OA125-NZ125</f>
        <v>0</v>
      </c>
      <c r="OC125" s="116"/>
      <c r="OD125" s="2433"/>
      <c r="OE125" s="622">
        <f t="shared" ref="OE125:OG126" si="455">NZ125+NU125+NP125+NK125+NF125+NA125+MV125+MQ125+ML125+MG125+MB125+LW125</f>
        <v>0</v>
      </c>
      <c r="OF125" s="622">
        <f t="shared" si="455"/>
        <v>0</v>
      </c>
      <c r="OG125" s="622">
        <f t="shared" si="455"/>
        <v>0</v>
      </c>
      <c r="OH125" s="2434"/>
      <c r="OI125" s="2435"/>
      <c r="OJ125" s="2436">
        <f>LW125+MB125+MG125</f>
        <v>0</v>
      </c>
      <c r="OK125" s="2436"/>
      <c r="OL125" s="2436"/>
      <c r="OM125" s="1439"/>
      <c r="ON125" s="622"/>
      <c r="OO125" s="622">
        <f t="shared" ref="OO125:OQ126" si="456">ML125+MQ125+MV125</f>
        <v>0</v>
      </c>
      <c r="OP125" s="622">
        <f t="shared" si="456"/>
        <v>0</v>
      </c>
      <c r="OQ125" s="2437">
        <f t="shared" si="456"/>
        <v>0</v>
      </c>
      <c r="OR125" s="421"/>
      <c r="OS125" s="2438">
        <f>(NJ125+NE125+MZ125)/3</f>
        <v>0</v>
      </c>
      <c r="OT125" s="2439">
        <f t="shared" ref="OT125:OV126" si="457">NK125+NF125+NA125</f>
        <v>0</v>
      </c>
      <c r="OU125" s="2439">
        <f t="shared" si="457"/>
        <v>0</v>
      </c>
      <c r="OV125" s="2440">
        <f t="shared" si="457"/>
        <v>0</v>
      </c>
      <c r="OW125" s="460"/>
      <c r="OX125" s="2432">
        <f>(NO125+NT125+NY125)/3</f>
        <v>0</v>
      </c>
      <c r="OY125" s="622">
        <f t="shared" ref="OY125:PA126" si="458">NP125+NU125+NZ125</f>
        <v>0</v>
      </c>
      <c r="OZ125" s="622">
        <f t="shared" si="458"/>
        <v>0</v>
      </c>
      <c r="PA125" s="2437">
        <f t="shared" si="458"/>
        <v>0</v>
      </c>
      <c r="PB125" s="116"/>
      <c r="PC125" s="2441"/>
      <c r="PD125" s="2426"/>
      <c r="PE125" s="436"/>
      <c r="PF125" s="436"/>
      <c r="PG125" s="115">
        <f>PF125-PE125</f>
        <v>0</v>
      </c>
      <c r="PH125" s="1588"/>
      <c r="PI125" s="401"/>
      <c r="PJ125" s="395"/>
      <c r="PK125" s="395"/>
      <c r="PL125" s="115"/>
      <c r="PM125" s="186"/>
      <c r="PN125" s="406"/>
      <c r="PO125" s="2428"/>
      <c r="PP125" s="2428"/>
      <c r="PQ125" s="2148"/>
      <c r="PR125" s="2149"/>
      <c r="PS125" s="2429"/>
      <c r="PT125" s="436"/>
      <c r="PU125" s="436"/>
      <c r="PV125" s="2148"/>
      <c r="PW125" s="207"/>
      <c r="PX125" s="2153"/>
      <c r="PY125" s="1904"/>
      <c r="PZ125" s="1904"/>
      <c r="QA125" s="1904"/>
      <c r="QB125" s="787"/>
      <c r="QC125" s="2442"/>
      <c r="QD125" s="2443"/>
      <c r="QE125" s="2443"/>
      <c r="QF125" s="2443"/>
      <c r="QG125" s="2444"/>
      <c r="QH125" s="2445"/>
      <c r="QI125" s="2001"/>
      <c r="QJ125" s="2001"/>
      <c r="QK125" s="2001"/>
      <c r="QL125" s="2003"/>
      <c r="QM125" s="401"/>
      <c r="QN125" s="395"/>
      <c r="QO125" s="395"/>
      <c r="QP125" s="395"/>
      <c r="QQ125" s="2003"/>
      <c r="QR125" s="1318"/>
      <c r="QS125" s="395"/>
      <c r="QT125" s="395"/>
      <c r="QU125" s="395"/>
      <c r="QV125" s="370"/>
      <c r="QW125" s="2002"/>
      <c r="QX125" s="2001"/>
      <c r="QY125" s="2001"/>
      <c r="QZ125" s="2001"/>
      <c r="RA125" s="2003"/>
      <c r="RB125" s="2446"/>
      <c r="RC125" s="2398">
        <v>0</v>
      </c>
      <c r="RD125" s="2290">
        <v>0</v>
      </c>
      <c r="RE125" s="2290">
        <f>RD125-RC125</f>
        <v>0</v>
      </c>
      <c r="RF125" s="2449"/>
      <c r="RG125" s="3529"/>
      <c r="RH125" s="3530">
        <v>0</v>
      </c>
      <c r="RI125" s="3530">
        <v>0</v>
      </c>
      <c r="RJ125" s="772">
        <f t="shared" si="369"/>
        <v>0</v>
      </c>
      <c r="RK125" s="2050">
        <v>0</v>
      </c>
      <c r="RL125" s="2450"/>
      <c r="RM125" s="1572">
        <f t="shared" ref="RM125:RO126" si="459">RH125+RC125+QX125+QS125+QN125+QI125+QD125+PY125+PT125+PO125+PJ125+PE125</f>
        <v>0</v>
      </c>
      <c r="RN125" s="1572">
        <f t="shared" si="459"/>
        <v>0</v>
      </c>
      <c r="RO125" s="1572">
        <f t="shared" si="459"/>
        <v>0</v>
      </c>
      <c r="RP125" s="2281">
        <v>0</v>
      </c>
      <c r="RQ125" s="2435"/>
      <c r="RR125" s="2436">
        <f>PE125+PJ125+PO125</f>
        <v>0</v>
      </c>
      <c r="RS125" s="2436"/>
      <c r="RT125" s="2436"/>
      <c r="RU125" s="1439"/>
      <c r="RV125" s="622"/>
      <c r="RW125" s="622">
        <f t="shared" ref="RW125:RY126" si="460">PT125+PY125+QD125</f>
        <v>0</v>
      </c>
      <c r="RX125" s="622">
        <f t="shared" si="460"/>
        <v>0</v>
      </c>
      <c r="RY125" s="2437">
        <f t="shared" si="460"/>
        <v>0</v>
      </c>
      <c r="RZ125" s="421"/>
      <c r="SA125" s="2438">
        <f>(QR125+QM125+QH125)/3</f>
        <v>0</v>
      </c>
      <c r="SB125" s="2439">
        <f t="shared" ref="SB125:SD126" si="461">QS125+QN125+QI125</f>
        <v>0</v>
      </c>
      <c r="SC125" s="2439">
        <f t="shared" si="461"/>
        <v>0</v>
      </c>
      <c r="SD125" s="2440">
        <f t="shared" si="461"/>
        <v>0</v>
      </c>
      <c r="SE125" s="460"/>
      <c r="SF125" s="2450"/>
      <c r="SG125" s="358">
        <f t="shared" si="421"/>
        <v>0</v>
      </c>
      <c r="SH125" s="358">
        <f t="shared" si="421"/>
        <v>0</v>
      </c>
      <c r="SI125" s="359">
        <f t="shared" si="421"/>
        <v>0</v>
      </c>
      <c r="SJ125" s="2155">
        <v>0</v>
      </c>
      <c r="SK125" s="1193"/>
      <c r="SL125" s="406"/>
      <c r="SM125" s="2378"/>
      <c r="SN125" s="2378"/>
      <c r="SO125" s="3523"/>
      <c r="SP125" s="3525"/>
      <c r="SQ125" s="2445"/>
      <c r="SR125" s="2001"/>
      <c r="SS125" s="2001"/>
      <c r="ST125" s="3625"/>
      <c r="SU125" s="3626"/>
      <c r="SV125" s="2426"/>
      <c r="SW125" s="436"/>
      <c r="SX125" s="436"/>
      <c r="SY125" s="2148"/>
      <c r="SZ125" s="2149"/>
      <c r="TA125" s="2429"/>
      <c r="TB125" s="436"/>
      <c r="TC125" s="4463"/>
      <c r="TD125" s="2427"/>
      <c r="TE125" s="362"/>
      <c r="TF125" s="2573"/>
      <c r="TG125" s="395"/>
      <c r="TH125" s="395"/>
      <c r="TI125" s="2285"/>
      <c r="TJ125" s="116"/>
      <c r="TK125" s="2442"/>
      <c r="TL125" s="2443"/>
      <c r="TM125" s="2443"/>
      <c r="TN125" s="4101"/>
      <c r="TO125" s="114"/>
      <c r="TP125" s="4464"/>
      <c r="TQ125" s="2001"/>
      <c r="TR125" s="2001"/>
      <c r="TS125" s="2012"/>
      <c r="TT125" s="441"/>
      <c r="TU125" s="4464"/>
      <c r="TV125" s="2001"/>
      <c r="TW125" s="2001"/>
      <c r="TX125" s="2012"/>
      <c r="TY125" s="441"/>
      <c r="TZ125" s="2002"/>
      <c r="UA125" s="2001"/>
      <c r="UB125" s="2001"/>
      <c r="UC125" s="2012"/>
      <c r="UD125" s="441"/>
      <c r="UE125" s="1868"/>
      <c r="UF125" s="1575"/>
      <c r="UG125" s="1575"/>
      <c r="UH125" s="1575">
        <f t="shared" si="322"/>
        <v>0</v>
      </c>
      <c r="UI125" s="6495" t="e">
        <f t="shared" si="367"/>
        <v>#DIV/0!</v>
      </c>
      <c r="UJ125" s="2446"/>
      <c r="UK125" s="2447"/>
      <c r="UL125" s="2448"/>
      <c r="UM125" s="2448"/>
      <c r="UN125" s="2449"/>
      <c r="UO125" s="2450"/>
      <c r="UP125" s="2451"/>
      <c r="UQ125" s="2451"/>
      <c r="UR125" s="1873">
        <f t="shared" si="323"/>
        <v>0</v>
      </c>
      <c r="US125" s="2050">
        <v>0</v>
      </c>
      <c r="UT125" s="2450"/>
      <c r="UU125" s="358">
        <f t="shared" si="453"/>
        <v>0</v>
      </c>
      <c r="UV125" s="358">
        <f t="shared" si="453"/>
        <v>0</v>
      </c>
      <c r="UW125" s="358">
        <f t="shared" si="453"/>
        <v>0</v>
      </c>
      <c r="UX125" s="2281"/>
      <c r="UY125" s="1863"/>
      <c r="UZ125" s="105"/>
      <c r="VA125" s="105"/>
      <c r="VB125" s="105"/>
      <c r="VC125" s="3713"/>
      <c r="VD125" s="622"/>
      <c r="VE125" s="358">
        <f t="shared" si="423"/>
        <v>0</v>
      </c>
      <c r="VF125" s="358">
        <f t="shared" si="423"/>
        <v>0</v>
      </c>
      <c r="VG125" s="359">
        <f t="shared" si="423"/>
        <v>0</v>
      </c>
      <c r="VH125" s="169" t="e">
        <f t="shared" si="372"/>
        <v>#DIV/0!</v>
      </c>
      <c r="VI125" s="2292"/>
      <c r="VJ125" s="146">
        <f t="shared" si="373"/>
        <v>0</v>
      </c>
      <c r="VK125" s="146">
        <f t="shared" si="373"/>
        <v>0</v>
      </c>
      <c r="VL125" s="1864">
        <f t="shared" si="373"/>
        <v>0</v>
      </c>
      <c r="VM125" s="460"/>
      <c r="VN125" s="2450"/>
      <c r="VO125" s="358">
        <f t="shared" si="368"/>
        <v>0</v>
      </c>
      <c r="VP125" s="358">
        <f t="shared" si="361"/>
        <v>0</v>
      </c>
      <c r="VQ125" s="359">
        <f t="shared" si="361"/>
        <v>0</v>
      </c>
      <c r="VR125" s="2155">
        <v>0</v>
      </c>
      <c r="VS125" s="1193"/>
      <c r="VT125" s="1193"/>
      <c r="VU125" s="1193"/>
      <c r="VV125" s="1193"/>
      <c r="VW125" s="1193"/>
      <c r="VX125" s="1193"/>
      <c r="VY125" s="1193"/>
      <c r="VZ125" s="1193"/>
      <c r="WA125" s="1193"/>
      <c r="WB125" s="1193"/>
      <c r="WC125" s="1193"/>
      <c r="WD125" s="1193"/>
      <c r="WE125" s="1193"/>
      <c r="WF125" s="1193"/>
      <c r="WG125" s="1193"/>
      <c r="WH125" s="1193"/>
      <c r="WI125" s="1193"/>
      <c r="WJ125" s="1193"/>
      <c r="WK125" s="1193"/>
      <c r="WL125" s="1193"/>
      <c r="WM125" s="1193"/>
      <c r="WN125" s="1193"/>
      <c r="WO125" s="1193"/>
      <c r="WP125" s="1193"/>
      <c r="WQ125" s="1193"/>
      <c r="WR125" s="1193"/>
      <c r="WS125" s="1193"/>
      <c r="WT125" s="1193"/>
      <c r="WU125" s="1193"/>
      <c r="WV125" s="1193"/>
      <c r="WW125" s="1193"/>
      <c r="WX125" s="1193"/>
      <c r="WY125" s="1193"/>
      <c r="WZ125" s="1193"/>
      <c r="XA125" s="1193"/>
      <c r="XB125" s="1193"/>
      <c r="XC125" s="1193"/>
      <c r="XD125" s="1193"/>
      <c r="XE125" s="1193"/>
      <c r="XF125" s="1193"/>
      <c r="XG125" s="1193"/>
      <c r="XH125" s="1193"/>
      <c r="XI125" s="1193"/>
      <c r="XJ125" s="1193"/>
      <c r="XK125" s="1193"/>
      <c r="XL125" s="1193"/>
      <c r="XM125" s="1193"/>
      <c r="XN125" s="1193"/>
      <c r="XO125" s="1193"/>
      <c r="XP125" s="1193"/>
      <c r="XQ125" s="1193"/>
      <c r="XR125" s="1193"/>
      <c r="XS125" s="1193"/>
      <c r="XT125" s="1193"/>
      <c r="XU125" s="1193"/>
      <c r="XV125" s="1193"/>
      <c r="XW125" s="1193"/>
      <c r="XX125" s="1193"/>
      <c r="XY125" s="1193"/>
      <c r="XZ125" s="1193"/>
      <c r="YA125" s="1193"/>
      <c r="YB125" s="1193"/>
      <c r="YC125" s="1193"/>
      <c r="YD125" s="1193"/>
      <c r="YE125" s="1193"/>
      <c r="YF125" s="1193"/>
      <c r="YG125" s="1193"/>
      <c r="YH125" s="1193"/>
      <c r="YI125" s="1193"/>
      <c r="YJ125" s="1193"/>
      <c r="YK125" s="1193"/>
      <c r="YL125" s="1193"/>
      <c r="YM125" s="1193"/>
      <c r="YN125" s="1193"/>
      <c r="YO125" s="1193"/>
      <c r="YP125" s="1193"/>
      <c r="YQ125" s="1193"/>
      <c r="YR125" s="1193"/>
      <c r="YS125" s="1193"/>
      <c r="YT125" s="1193"/>
      <c r="YU125" s="1193"/>
      <c r="YV125" s="1193"/>
      <c r="YW125" s="1193"/>
      <c r="YX125" s="1193"/>
      <c r="YY125" s="1193"/>
      <c r="YZ125" s="1193"/>
      <c r="ZA125" s="1193"/>
      <c r="ZB125" s="1193"/>
      <c r="ZC125" s="1193"/>
      <c r="ZD125" s="1193"/>
      <c r="ZE125" s="1193"/>
      <c r="ZF125" s="1193"/>
      <c r="ZG125" s="1193"/>
      <c r="ZH125" s="1193"/>
      <c r="ZI125" s="1193"/>
      <c r="ZJ125" s="1193"/>
      <c r="ZK125" s="1193"/>
      <c r="ZL125" s="1193"/>
      <c r="ZM125" s="1193"/>
      <c r="ZN125" s="1193"/>
      <c r="ZO125" s="1193"/>
      <c r="ZP125" s="1193"/>
      <c r="ZQ125" s="1193"/>
      <c r="ZR125" s="1193"/>
      <c r="ZS125" s="1193"/>
      <c r="ZT125" s="1193"/>
      <c r="ZU125" s="1193"/>
      <c r="ZV125" s="1193"/>
      <c r="ZW125" s="1193"/>
      <c r="ZX125" s="1193"/>
      <c r="ZY125" s="1193"/>
      <c r="ZZ125" s="1193"/>
      <c r="AAA125" s="1193"/>
      <c r="AAB125" s="1193"/>
      <c r="AAC125" s="1193"/>
      <c r="AAD125" s="1193"/>
      <c r="AAE125" s="1193"/>
      <c r="AAF125" s="1193"/>
      <c r="AAG125" s="1193"/>
      <c r="AAH125" s="1193"/>
      <c r="AAI125" s="1193"/>
      <c r="AAJ125" s="1193"/>
      <c r="AAK125" s="1193"/>
      <c r="AAL125" s="1193"/>
      <c r="AAM125" s="1193"/>
      <c r="AAN125" s="1193"/>
      <c r="AAO125" s="1193"/>
      <c r="AAP125" s="1193"/>
      <c r="AAQ125" s="1193"/>
      <c r="AAR125" s="1193"/>
      <c r="AAS125" s="1193"/>
      <c r="AAT125" s="1193"/>
      <c r="AAU125" s="1193"/>
      <c r="AAV125" s="1193"/>
      <c r="AAW125" s="1193"/>
      <c r="AAX125" s="1193"/>
      <c r="AAY125" s="1193"/>
      <c r="AAZ125" s="1193"/>
      <c r="ABA125" s="1193"/>
      <c r="ABB125" s="1193"/>
      <c r="ABC125" s="1193"/>
      <c r="ABD125" s="1193"/>
      <c r="ABE125" s="1193"/>
      <c r="ABF125" s="1193"/>
      <c r="ABG125" s="1193"/>
      <c r="ABH125" s="1193"/>
      <c r="ABI125" s="1193"/>
      <c r="ABJ125" s="1193"/>
      <c r="ABK125" s="1193"/>
      <c r="ABL125" s="1193"/>
      <c r="ABM125" s="1193"/>
      <c r="ABN125" s="1193"/>
      <c r="ABO125" s="1193"/>
      <c r="ABP125" s="1193"/>
      <c r="ABQ125" s="1193"/>
    </row>
    <row r="126" spans="1:745" s="1193" customFormat="1" ht="13.45" x14ac:dyDescent="0.3">
      <c r="A126" s="1297"/>
      <c r="B126" s="2452"/>
      <c r="C126" s="2453"/>
      <c r="D126" s="2454"/>
      <c r="E126" s="2455"/>
      <c r="F126" s="2455"/>
      <c r="G126" s="2456"/>
      <c r="H126" s="2093"/>
      <c r="I126" s="2094"/>
      <c r="J126" s="2094"/>
      <c r="K126" s="2094"/>
      <c r="L126" s="2095"/>
      <c r="M126" s="2093"/>
      <c r="N126" s="2094"/>
      <c r="O126" s="2094"/>
      <c r="P126" s="2094"/>
      <c r="Q126" s="2095"/>
      <c r="R126" s="2093"/>
      <c r="S126" s="2094"/>
      <c r="T126" s="2094"/>
      <c r="U126" s="2094"/>
      <c r="V126" s="2095"/>
      <c r="W126" s="2093"/>
      <c r="X126" s="2094"/>
      <c r="Y126" s="2094"/>
      <c r="Z126" s="2094"/>
      <c r="AA126" s="2096"/>
      <c r="AB126" s="2093"/>
      <c r="AC126" s="2094"/>
      <c r="AD126" s="2094"/>
      <c r="AE126" s="2094"/>
      <c r="AF126" s="2096"/>
      <c r="AG126" s="2094"/>
      <c r="AH126" s="2094"/>
      <c r="AI126" s="2094"/>
      <c r="AJ126" s="2094"/>
      <c r="AK126" s="2095"/>
      <c r="AL126" s="2094"/>
      <c r="AM126" s="2094"/>
      <c r="AN126" s="2094"/>
      <c r="AO126" s="2094"/>
      <c r="AP126" s="2095"/>
      <c r="AQ126" s="2094"/>
      <c r="AR126" s="2094"/>
      <c r="AS126" s="2094"/>
      <c r="AT126" s="2094"/>
      <c r="AU126" s="2095"/>
      <c r="AV126" s="2097"/>
      <c r="AW126" s="2094"/>
      <c r="AX126" s="2094"/>
      <c r="AY126" s="2094"/>
      <c r="AZ126" s="2096"/>
      <c r="BA126" s="2097"/>
      <c r="BB126" s="2094"/>
      <c r="BC126" s="2094"/>
      <c r="BD126" s="2094"/>
      <c r="BE126" s="2096"/>
      <c r="BF126" s="2097"/>
      <c r="BG126" s="2094"/>
      <c r="BH126" s="2094"/>
      <c r="BI126" s="2094"/>
      <c r="BJ126" s="2096"/>
      <c r="BK126" s="2097"/>
      <c r="BL126" s="2094"/>
      <c r="BM126" s="2094"/>
      <c r="BN126" s="2094"/>
      <c r="BO126" s="2096"/>
      <c r="BP126" s="2098"/>
      <c r="BQ126" s="2094"/>
      <c r="BR126" s="2094"/>
      <c r="BS126" s="2094"/>
      <c r="BT126" s="2099"/>
      <c r="BU126" s="2094"/>
      <c r="BV126" s="2094"/>
      <c r="BW126" s="2100"/>
      <c r="BX126" s="2099"/>
      <c r="BY126" s="2094"/>
      <c r="BZ126" s="2094"/>
      <c r="CA126" s="2101"/>
      <c r="CB126" s="2094"/>
      <c r="CC126" s="2094"/>
      <c r="CD126" s="2094"/>
      <c r="CE126" s="2094"/>
      <c r="CF126" s="2099"/>
      <c r="CG126" s="2094"/>
      <c r="CH126" s="2094"/>
      <c r="CI126" s="2101"/>
      <c r="CJ126" s="2102"/>
      <c r="CK126" s="2094"/>
      <c r="CL126" s="2094"/>
      <c r="CM126" s="2094"/>
      <c r="CN126" s="2100"/>
      <c r="CO126" s="2102"/>
      <c r="CP126" s="2093"/>
      <c r="CQ126" s="2093"/>
      <c r="CR126" s="2093"/>
      <c r="CS126" s="2100"/>
      <c r="CT126" s="2102"/>
      <c r="CU126" s="2094"/>
      <c r="CV126" s="2094"/>
      <c r="CW126" s="2094"/>
      <c r="CX126" s="2100"/>
      <c r="CY126" s="2102"/>
      <c r="CZ126" s="2094"/>
      <c r="DA126" s="2094"/>
      <c r="DB126" s="2094"/>
      <c r="DC126" s="2100"/>
      <c r="DD126" s="2102"/>
      <c r="DE126" s="2094"/>
      <c r="DF126" s="2094"/>
      <c r="DG126" s="2094"/>
      <c r="DH126" s="2103"/>
      <c r="DI126" s="2102"/>
      <c r="DJ126" s="2094"/>
      <c r="DK126" s="2094"/>
      <c r="DL126" s="2094"/>
      <c r="DM126" s="2103"/>
      <c r="DN126" s="2102"/>
      <c r="DO126" s="2094"/>
      <c r="DP126" s="2094"/>
      <c r="DQ126" s="2094"/>
      <c r="DR126" s="2103"/>
      <c r="DS126" s="2102"/>
      <c r="DT126" s="2094"/>
      <c r="DU126" s="2094"/>
      <c r="DV126" s="2094"/>
      <c r="DW126" s="2103"/>
      <c r="DX126" s="2102"/>
      <c r="DY126" s="2094"/>
      <c r="DZ126" s="2094"/>
      <c r="EA126" s="2094"/>
      <c r="EB126" s="2103"/>
      <c r="EC126" s="2102"/>
      <c r="ED126" s="2094"/>
      <c r="EE126" s="2094"/>
      <c r="EF126" s="2094"/>
      <c r="EG126" s="2103"/>
      <c r="EH126" s="2037"/>
      <c r="EI126" s="1914"/>
      <c r="EJ126" s="1914"/>
      <c r="EK126" s="1914"/>
      <c r="EL126" s="2038"/>
      <c r="EM126" s="1910"/>
      <c r="EN126" s="715"/>
      <c r="EO126" s="715"/>
      <c r="EP126" s="715"/>
      <c r="EQ126" s="366"/>
      <c r="ER126" s="2457"/>
      <c r="ES126" s="2458"/>
      <c r="ET126" s="2458"/>
      <c r="EU126" s="2458"/>
      <c r="EV126" s="2459"/>
      <c r="EW126" s="2031"/>
      <c r="EX126" s="2031"/>
      <c r="EY126" s="2031"/>
      <c r="EZ126" s="593"/>
      <c r="FA126" s="2037"/>
      <c r="FB126" s="2031"/>
      <c r="FC126" s="2031"/>
      <c r="FD126" s="2036"/>
      <c r="FE126" s="2031"/>
      <c r="FF126" s="2031"/>
      <c r="FG126" s="2031"/>
      <c r="FH126" s="593"/>
      <c r="FI126" s="2039"/>
      <c r="FJ126" s="2040"/>
      <c r="FK126" s="2041"/>
      <c r="FL126" s="2041"/>
      <c r="FM126" s="693"/>
      <c r="FN126" s="2031"/>
      <c r="FO126" s="1914"/>
      <c r="FP126" s="1914"/>
      <c r="FQ126" s="1914"/>
      <c r="FR126" s="2032"/>
      <c r="FS126" s="1910"/>
      <c r="FT126" s="715"/>
      <c r="FU126" s="715"/>
      <c r="FV126" s="715"/>
      <c r="FW126" s="2109"/>
      <c r="FX126" s="2037"/>
      <c r="FY126" s="1914"/>
      <c r="FZ126" s="1914"/>
      <c r="GA126" s="715"/>
      <c r="GB126" s="2109"/>
      <c r="GC126" s="2110"/>
      <c r="GD126" s="2111"/>
      <c r="GE126" s="2111"/>
      <c r="GF126" s="715"/>
      <c r="GG126" s="366"/>
      <c r="GH126" s="2042"/>
      <c r="GI126" s="2043"/>
      <c r="GJ126" s="2043"/>
      <c r="GK126" s="2112"/>
      <c r="GL126" s="2109"/>
      <c r="GM126" s="2042"/>
      <c r="GN126" s="2043"/>
      <c r="GO126" s="2043"/>
      <c r="GP126" s="2112"/>
      <c r="GQ126" s="2109"/>
      <c r="GR126" s="1903"/>
      <c r="GS126" s="1904"/>
      <c r="GT126" s="1904"/>
      <c r="GU126" s="2112"/>
      <c r="GV126" s="2109"/>
      <c r="GW126" s="1903"/>
      <c r="GX126" s="1904"/>
      <c r="GY126" s="1904"/>
      <c r="GZ126" s="2112"/>
      <c r="HA126" s="2109"/>
      <c r="HB126" s="1903"/>
      <c r="HC126" s="1904"/>
      <c r="HD126" s="1904"/>
      <c r="HE126" s="2112"/>
      <c r="HF126" s="2109"/>
      <c r="HG126" s="1903"/>
      <c r="HH126" s="1904"/>
      <c r="HI126" s="1904"/>
      <c r="HJ126" s="2113"/>
      <c r="HK126" s="2109"/>
      <c r="HL126" s="1903"/>
      <c r="HM126" s="1904"/>
      <c r="HN126" s="1904"/>
      <c r="HO126" s="715"/>
      <c r="HP126" s="366"/>
      <c r="HQ126" s="2114"/>
      <c r="HR126" s="1904"/>
      <c r="HS126" s="1904"/>
      <c r="HT126" s="1904"/>
      <c r="HU126" s="2115"/>
      <c r="HV126" s="1827">
        <f>(FN126+FS126+FX126+GC126+GH126+GM126+GR126+GW126+HB126+HG126+HL126+HQ126)/12</f>
        <v>0</v>
      </c>
      <c r="HW126" s="1089">
        <f t="shared" si="454"/>
        <v>0</v>
      </c>
      <c r="HX126" s="1089">
        <f t="shared" si="454"/>
        <v>0</v>
      </c>
      <c r="HY126" s="1089">
        <f t="shared" si="454"/>
        <v>0</v>
      </c>
      <c r="HZ126" s="1906"/>
      <c r="IA126" s="1907"/>
      <c r="IB126" s="1908"/>
      <c r="IC126" s="1908"/>
      <c r="ID126" s="1909"/>
      <c r="IE126" s="1910"/>
      <c r="IF126" s="1911"/>
      <c r="IG126" s="1912"/>
      <c r="IH126" s="1909"/>
      <c r="II126" s="1907"/>
      <c r="IJ126" s="2116"/>
      <c r="IK126" s="2116"/>
      <c r="IL126" s="693"/>
      <c r="IM126" s="2117"/>
      <c r="IN126" s="2116"/>
      <c r="IO126" s="2116"/>
      <c r="IP126" s="1838"/>
      <c r="IQ126" s="1914"/>
      <c r="IR126" s="2044"/>
      <c r="IS126" s="2118"/>
      <c r="IT126" s="2118"/>
      <c r="IU126" s="2119"/>
      <c r="IV126" s="2120"/>
      <c r="IW126" s="2121"/>
      <c r="IX126" s="2122"/>
      <c r="IY126" s="2123"/>
      <c r="IZ126" s="2124"/>
      <c r="JA126" s="2125"/>
      <c r="JB126" s="2046"/>
      <c r="JC126" s="2047"/>
      <c r="JD126" s="2048"/>
      <c r="JE126" s="2124"/>
      <c r="JF126" s="2125"/>
      <c r="JG126" s="1988"/>
      <c r="JH126" s="2049"/>
      <c r="JI126" s="2049"/>
      <c r="JJ126" s="2126"/>
      <c r="JK126" s="2125"/>
      <c r="JL126" s="2127"/>
      <c r="JM126" s="2049"/>
      <c r="JN126" s="2049"/>
      <c r="JO126" s="2128"/>
      <c r="JP126" s="2125"/>
      <c r="JQ126" s="2129"/>
      <c r="JR126" s="2130"/>
      <c r="JS126" s="1904"/>
      <c r="JT126" s="2413"/>
      <c r="JU126" s="2132"/>
      <c r="JV126" s="1849"/>
      <c r="JW126" s="1119"/>
      <c r="JX126" s="1850"/>
      <c r="JY126" s="1850"/>
      <c r="JZ126" s="2125"/>
      <c r="KA126" s="1849"/>
      <c r="KB126" s="1850"/>
      <c r="KC126" s="1850"/>
      <c r="KD126" s="1108"/>
      <c r="KE126" s="2133"/>
      <c r="KF126" s="1849"/>
      <c r="KG126" s="1850"/>
      <c r="KH126" s="1850"/>
      <c r="KI126" s="2124"/>
      <c r="KJ126" s="2125"/>
      <c r="KK126" s="1849"/>
      <c r="KL126" s="1850"/>
      <c r="KM126" s="1850"/>
      <c r="KN126" s="2134"/>
      <c r="KO126" s="2135"/>
      <c r="KP126" s="2136"/>
      <c r="KQ126" s="2130"/>
      <c r="KR126" s="1904"/>
      <c r="KS126" s="2131"/>
      <c r="KT126" s="2137"/>
      <c r="KU126" s="2138"/>
      <c r="KV126" s="1850"/>
      <c r="KW126" s="1850"/>
      <c r="KX126" s="1850"/>
      <c r="KY126" s="81"/>
      <c r="KZ126" s="1857">
        <f>(IR126+IW126+JB126+JG126+JL126+JQ126+JV126+KA126+KF126+KK126+KP126+KU126)/12</f>
        <v>0</v>
      </c>
      <c r="LA126" s="358">
        <f>IS126+IX126+JC126+JH126+JM126+JR126+JW126+KB126+KG126+KL126+KQ126+KV126</f>
        <v>0</v>
      </c>
      <c r="LB126" s="358">
        <f>IT126+IY126+JD126+JI126+JN126+JS126+JX126+KC126+KH126+KM126+KR126+KW126</f>
        <v>0</v>
      </c>
      <c r="LC126" s="358">
        <f>IU126+IZ126+JE126+JJ126+JO126+JT126+JY126+KD126+KI126+KN126+KS126+KX126</f>
        <v>0</v>
      </c>
      <c r="LD126" s="151"/>
      <c r="LE126" s="2139"/>
      <c r="LF126" s="2140"/>
      <c r="LG126" s="2140"/>
      <c r="LH126" s="2141"/>
      <c r="LI126" s="2142"/>
      <c r="LJ126" s="2143"/>
      <c r="LK126" s="2139"/>
      <c r="LL126" s="2141"/>
      <c r="LM126" s="1705"/>
      <c r="LN126" s="2144"/>
      <c r="LO126" s="2144"/>
      <c r="LP126" s="201"/>
      <c r="LQ126" s="2145"/>
      <c r="LR126" s="2144"/>
      <c r="LS126" s="2144"/>
      <c r="LT126" s="1861"/>
      <c r="LV126" s="440"/>
      <c r="LW126" s="435"/>
      <c r="LX126" s="435"/>
      <c r="LY126" s="2146"/>
      <c r="LZ126" s="461"/>
      <c r="MA126" s="2147"/>
      <c r="MB126" s="1592"/>
      <c r="MC126" s="1592"/>
      <c r="MD126" s="2148"/>
      <c r="ME126" s="2149"/>
      <c r="MF126" s="404"/>
      <c r="MG126" s="2150"/>
      <c r="MH126" s="2150"/>
      <c r="MI126" s="2151"/>
      <c r="MJ126" s="1595"/>
      <c r="MK126" s="2460"/>
      <c r="ML126" s="2150"/>
      <c r="MM126" s="2150"/>
      <c r="MN126" s="2151"/>
      <c r="MO126" s="1595"/>
      <c r="MP126" s="2461"/>
      <c r="MQ126" s="2462"/>
      <c r="MR126" s="2462"/>
      <c r="MS126" s="2462"/>
      <c r="MT126" s="2463"/>
      <c r="MU126" s="2464"/>
      <c r="MV126" s="2465"/>
      <c r="MW126" s="2465"/>
      <c r="MX126" s="2465"/>
      <c r="MY126" s="2466"/>
      <c r="MZ126" s="2464"/>
      <c r="NA126" s="2465"/>
      <c r="NB126" s="2465"/>
      <c r="NC126" s="2465"/>
      <c r="ND126" s="2466"/>
      <c r="NE126" s="2464"/>
      <c r="NF126" s="2465"/>
      <c r="NG126" s="2465"/>
      <c r="NH126" s="2465"/>
      <c r="NI126" s="2466"/>
      <c r="NJ126" s="2464"/>
      <c r="NK126" s="2465"/>
      <c r="NL126" s="2465"/>
      <c r="NM126" s="2465"/>
      <c r="NN126" s="2466"/>
      <c r="NO126" s="2467"/>
      <c r="NP126" s="456"/>
      <c r="NQ126" s="2468"/>
      <c r="NR126" s="2469"/>
      <c r="NS126" s="2466"/>
      <c r="NT126" s="2470"/>
      <c r="NU126" s="455"/>
      <c r="NV126" s="455"/>
      <c r="NW126" s="2465"/>
      <c r="NX126" s="2466"/>
      <c r="NY126" s="2467"/>
      <c r="NZ126" s="456"/>
      <c r="OA126" s="456"/>
      <c r="OB126" s="2471"/>
      <c r="OC126" s="427"/>
      <c r="OD126" s="193"/>
      <c r="OE126" s="455">
        <f t="shared" si="455"/>
        <v>0</v>
      </c>
      <c r="OF126" s="455">
        <f t="shared" si="455"/>
        <v>0</v>
      </c>
      <c r="OG126" s="455">
        <f t="shared" si="455"/>
        <v>0</v>
      </c>
      <c r="OH126" s="2472"/>
      <c r="OI126" s="1863"/>
      <c r="OJ126" s="1864"/>
      <c r="OK126" s="105"/>
      <c r="OL126" s="105"/>
      <c r="OM126" s="106"/>
      <c r="ON126" s="358"/>
      <c r="OO126" s="358">
        <f t="shared" si="456"/>
        <v>0</v>
      </c>
      <c r="OP126" s="358">
        <f t="shared" si="456"/>
        <v>0</v>
      </c>
      <c r="OQ126" s="359">
        <f t="shared" si="456"/>
        <v>0</v>
      </c>
      <c r="OR126" s="169"/>
      <c r="OS126" s="686">
        <f>(NJ126+NE126+MZ126)/3</f>
        <v>0</v>
      </c>
      <c r="OT126" s="146">
        <f t="shared" si="457"/>
        <v>0</v>
      </c>
      <c r="OU126" s="146">
        <f t="shared" si="457"/>
        <v>0</v>
      </c>
      <c r="OV126" s="1864">
        <f t="shared" si="457"/>
        <v>0</v>
      </c>
      <c r="OW126" s="203"/>
      <c r="OX126" s="357">
        <f>(NO126+NT126+NY126)/3</f>
        <v>0</v>
      </c>
      <c r="OY126" s="358">
        <f t="shared" si="458"/>
        <v>0</v>
      </c>
      <c r="OZ126" s="358">
        <f t="shared" si="458"/>
        <v>0</v>
      </c>
      <c r="PA126" s="359">
        <f t="shared" si="458"/>
        <v>0</v>
      </c>
      <c r="PB126" s="114"/>
      <c r="PC126" s="79"/>
      <c r="PD126" s="440"/>
      <c r="PE126" s="435"/>
      <c r="PF126" s="435"/>
      <c r="PG126" s="96">
        <f>PF126-PE126</f>
        <v>0</v>
      </c>
      <c r="PH126" s="461"/>
      <c r="PI126" s="2473"/>
      <c r="PJ126" s="2474"/>
      <c r="PK126" s="2474"/>
      <c r="PL126" s="2475"/>
      <c r="PM126" s="2476"/>
      <c r="PN126" s="404"/>
      <c r="PO126" s="2150"/>
      <c r="PP126" s="2150"/>
      <c r="PQ126" s="2151"/>
      <c r="PR126" s="1595"/>
      <c r="PS126" s="2152"/>
      <c r="PT126" s="435"/>
      <c r="PU126" s="435"/>
      <c r="PV126" s="2151"/>
      <c r="PW126" s="1595"/>
      <c r="PX126" s="2461"/>
      <c r="PY126" s="2462"/>
      <c r="PZ126" s="2462"/>
      <c r="QA126" s="2462"/>
      <c r="QB126" s="2463"/>
      <c r="QC126" s="2477"/>
      <c r="QD126" s="2469"/>
      <c r="QE126" s="2478"/>
      <c r="QF126" s="2469"/>
      <c r="QG126" s="2479"/>
      <c r="QH126" s="2480"/>
      <c r="QI126" s="2469"/>
      <c r="QJ126" s="2469"/>
      <c r="QK126" s="2469"/>
      <c r="QL126" s="2479"/>
      <c r="QM126" s="2480"/>
      <c r="QN126" s="2469"/>
      <c r="QO126" s="2469"/>
      <c r="QP126" s="2469"/>
      <c r="QQ126" s="2479"/>
      <c r="QR126" s="2464"/>
      <c r="QS126" s="2465"/>
      <c r="QT126" s="2465"/>
      <c r="QU126" s="2465"/>
      <c r="QV126" s="2481"/>
      <c r="QW126" s="2477"/>
      <c r="QX126" s="2469"/>
      <c r="QY126" s="2469"/>
      <c r="QZ126" s="2469"/>
      <c r="RA126" s="2479"/>
      <c r="RB126" s="2477"/>
      <c r="RC126" s="2469"/>
      <c r="RD126" s="2469"/>
      <c r="RE126" s="2469"/>
      <c r="RF126" s="2479"/>
      <c r="RG126" s="3531"/>
      <c r="RH126" s="2465"/>
      <c r="RI126" s="2465"/>
      <c r="RJ126" s="3533"/>
      <c r="RK126" s="427"/>
      <c r="RL126" s="2482"/>
      <c r="RM126" s="1572">
        <f t="shared" si="459"/>
        <v>0</v>
      </c>
      <c r="RN126" s="1572">
        <f t="shared" si="459"/>
        <v>0</v>
      </c>
      <c r="RO126" s="1572">
        <f t="shared" si="459"/>
        <v>0</v>
      </c>
      <c r="RP126" s="2472"/>
      <c r="RQ126" s="3727"/>
      <c r="RR126" s="3728"/>
      <c r="RS126" s="3729"/>
      <c r="RT126" s="3729"/>
      <c r="RU126" s="3730"/>
      <c r="RV126" s="455"/>
      <c r="RW126" s="455">
        <f t="shared" si="460"/>
        <v>0</v>
      </c>
      <c r="RX126" s="455">
        <f t="shared" si="460"/>
        <v>0</v>
      </c>
      <c r="RY126" s="3532">
        <f t="shared" si="460"/>
        <v>0</v>
      </c>
      <c r="RZ126" s="3731"/>
      <c r="SA126" s="3732">
        <f>(QR126+QM126+QH126)/3</f>
        <v>0</v>
      </c>
      <c r="SB126" s="3733">
        <f t="shared" si="461"/>
        <v>0</v>
      </c>
      <c r="SC126" s="3733">
        <f t="shared" si="461"/>
        <v>0</v>
      </c>
      <c r="SD126" s="3728">
        <f t="shared" si="461"/>
        <v>0</v>
      </c>
      <c r="SE126" s="3734"/>
      <c r="SF126" s="2482"/>
      <c r="SG126" s="455">
        <f>QX126+RC126+RH126</f>
        <v>0</v>
      </c>
      <c r="SH126" s="455">
        <f>QY126+RD126+RI126</f>
        <v>0</v>
      </c>
      <c r="SI126" s="3532">
        <f>QZ126+RE126+RJ126</f>
        <v>0</v>
      </c>
      <c r="SJ126" s="3735">
        <v>0</v>
      </c>
      <c r="SL126" s="404"/>
      <c r="SM126" s="2150"/>
      <c r="SN126" s="2150"/>
      <c r="SO126" s="3523"/>
      <c r="SP126" s="2958"/>
      <c r="SQ126" s="3630"/>
      <c r="SR126" s="2961"/>
      <c r="SS126" s="2961"/>
      <c r="ST126" s="3631"/>
      <c r="SU126" s="3632"/>
      <c r="SV126" s="440"/>
      <c r="SW126" s="435"/>
      <c r="SX126" s="435"/>
      <c r="SY126" s="2151"/>
      <c r="SZ126" s="1595"/>
      <c r="TA126" s="2152"/>
      <c r="TB126" s="435"/>
      <c r="TC126" s="1584"/>
      <c r="TD126" s="2146"/>
      <c r="TE126" s="225"/>
      <c r="TF126" s="4106"/>
      <c r="TG126" s="2465"/>
      <c r="TH126" s="2465"/>
      <c r="TI126" s="2465"/>
      <c r="TJ126" s="238"/>
      <c r="TK126" s="2477"/>
      <c r="TL126" s="2469"/>
      <c r="TM126" s="2478"/>
      <c r="TN126" s="2469"/>
      <c r="TO126" s="2479"/>
      <c r="TP126" s="4465"/>
      <c r="TQ126" s="2469"/>
      <c r="TR126" s="2469"/>
      <c r="TS126" s="3356"/>
      <c r="TT126" s="2479"/>
      <c r="TU126" s="4465"/>
      <c r="TV126" s="2469"/>
      <c r="TW126" s="2469"/>
      <c r="TX126" s="3356"/>
      <c r="TY126" s="2479"/>
      <c r="TZ126" s="2477"/>
      <c r="UA126" s="2469"/>
      <c r="UB126" s="2469"/>
      <c r="UC126" s="3356"/>
      <c r="UD126" s="2479"/>
      <c r="UE126" s="2477"/>
      <c r="UF126" s="2469"/>
      <c r="UG126" s="2469"/>
      <c r="UH126" s="2469"/>
      <c r="UI126" s="2479"/>
      <c r="UJ126" s="2477"/>
      <c r="UK126" s="2469"/>
      <c r="UL126" s="2469"/>
      <c r="UM126" s="2469"/>
      <c r="UN126" s="2479"/>
      <c r="UO126" s="2482"/>
      <c r="UP126" s="456"/>
      <c r="UQ126" s="456"/>
      <c r="UR126" s="2471"/>
      <c r="US126" s="427"/>
      <c r="UT126" s="2482"/>
      <c r="UU126" s="2283"/>
      <c r="UV126" s="2283"/>
      <c r="UW126" s="2283"/>
      <c r="UX126" s="2472"/>
      <c r="UY126" s="1863"/>
      <c r="UZ126" s="1864"/>
      <c r="VA126" s="105"/>
      <c r="VB126" s="105"/>
      <c r="VC126" s="106"/>
      <c r="VD126" s="358"/>
      <c r="VE126" s="358">
        <f>TB126+TG126+TL126</f>
        <v>0</v>
      </c>
      <c r="VF126" s="358">
        <f>TC126+TH126+TM126</f>
        <v>0</v>
      </c>
      <c r="VG126" s="359">
        <f>TD126+TI126+TN126</f>
        <v>0</v>
      </c>
      <c r="VH126" s="169"/>
      <c r="VI126" s="686">
        <f>(TZ126+TU126+TP126)/3</f>
        <v>0</v>
      </c>
      <c r="VJ126" s="146">
        <f>UA126+TV126+TQ126</f>
        <v>0</v>
      </c>
      <c r="VK126" s="146">
        <f>UB126+TW126+TR126</f>
        <v>0</v>
      </c>
      <c r="VL126" s="1864">
        <f>UC126+TX126+TS126</f>
        <v>0</v>
      </c>
      <c r="VM126" s="203"/>
      <c r="VN126" s="2482"/>
      <c r="VO126" s="358">
        <f t="shared" si="368"/>
        <v>0</v>
      </c>
      <c r="VP126" s="358">
        <f t="shared" si="361"/>
        <v>0</v>
      </c>
      <c r="VQ126" s="359">
        <f t="shared" si="361"/>
        <v>0</v>
      </c>
      <c r="VR126" s="2155">
        <v>0</v>
      </c>
    </row>
    <row r="127" spans="1:745" s="1193" customFormat="1" ht="15.6" customHeight="1" x14ac:dyDescent="0.3">
      <c r="A127" s="1297"/>
      <c r="B127" s="4074"/>
      <c r="C127" s="4466"/>
      <c r="D127" s="4467" t="s">
        <v>83</v>
      </c>
      <c r="E127" s="4076"/>
      <c r="F127" s="4076"/>
      <c r="G127" s="4468"/>
      <c r="H127" s="2963"/>
      <c r="I127" s="2964"/>
      <c r="J127" s="2964"/>
      <c r="K127" s="2964"/>
      <c r="L127" s="2965"/>
      <c r="M127" s="2963"/>
      <c r="N127" s="2964"/>
      <c r="O127" s="2964"/>
      <c r="P127" s="2964"/>
      <c r="Q127" s="2965"/>
      <c r="R127" s="2963"/>
      <c r="S127" s="2964"/>
      <c r="T127" s="2964"/>
      <c r="U127" s="2964"/>
      <c r="V127" s="2965"/>
      <c r="W127" s="2963"/>
      <c r="X127" s="2964"/>
      <c r="Y127" s="2964"/>
      <c r="Z127" s="2964"/>
      <c r="AA127" s="2966"/>
      <c r="AB127" s="2963"/>
      <c r="AC127" s="2964"/>
      <c r="AD127" s="2964"/>
      <c r="AE127" s="2964"/>
      <c r="AF127" s="2966"/>
      <c r="AG127" s="2964"/>
      <c r="AH127" s="2964"/>
      <c r="AI127" s="2964"/>
      <c r="AJ127" s="2964"/>
      <c r="AK127" s="2965"/>
      <c r="AL127" s="2964"/>
      <c r="AM127" s="2964"/>
      <c r="AN127" s="2964"/>
      <c r="AO127" s="2964"/>
      <c r="AP127" s="2965"/>
      <c r="AQ127" s="2964"/>
      <c r="AR127" s="2964"/>
      <c r="AS127" s="2964"/>
      <c r="AT127" s="2964"/>
      <c r="AU127" s="2965"/>
      <c r="AV127" s="2967"/>
      <c r="AW127" s="2964"/>
      <c r="AX127" s="2964"/>
      <c r="AY127" s="2964"/>
      <c r="AZ127" s="2966"/>
      <c r="BA127" s="2967"/>
      <c r="BB127" s="2964"/>
      <c r="BC127" s="2964"/>
      <c r="BD127" s="2964"/>
      <c r="BE127" s="2966"/>
      <c r="BF127" s="2967"/>
      <c r="BG127" s="2964"/>
      <c r="BH127" s="2964"/>
      <c r="BI127" s="2964"/>
      <c r="BJ127" s="2966"/>
      <c r="BK127" s="2967"/>
      <c r="BL127" s="2964"/>
      <c r="BM127" s="2964"/>
      <c r="BN127" s="2964"/>
      <c r="BO127" s="2966"/>
      <c r="BP127" s="2968"/>
      <c r="BQ127" s="2964"/>
      <c r="BR127" s="2964"/>
      <c r="BS127" s="2964"/>
      <c r="BT127" s="2969"/>
      <c r="BU127" s="2964"/>
      <c r="BV127" s="2964"/>
      <c r="BW127" s="2970"/>
      <c r="BX127" s="2969"/>
      <c r="BY127" s="2964"/>
      <c r="BZ127" s="2964"/>
      <c r="CA127" s="2971"/>
      <c r="CB127" s="2964"/>
      <c r="CC127" s="2964"/>
      <c r="CD127" s="2964"/>
      <c r="CE127" s="2964"/>
      <c r="CF127" s="2969"/>
      <c r="CG127" s="2964"/>
      <c r="CH127" s="2964"/>
      <c r="CI127" s="2971"/>
      <c r="CJ127" s="2972"/>
      <c r="CK127" s="2964"/>
      <c r="CL127" s="2964"/>
      <c r="CM127" s="2964"/>
      <c r="CN127" s="2970"/>
      <c r="CO127" s="2972"/>
      <c r="CP127" s="2963"/>
      <c r="CQ127" s="2963"/>
      <c r="CR127" s="2963"/>
      <c r="CS127" s="2970"/>
      <c r="CT127" s="2972"/>
      <c r="CU127" s="2964"/>
      <c r="CV127" s="2964"/>
      <c r="CW127" s="2964"/>
      <c r="CX127" s="2970"/>
      <c r="CY127" s="2972"/>
      <c r="CZ127" s="2964"/>
      <c r="DA127" s="2964"/>
      <c r="DB127" s="2964"/>
      <c r="DC127" s="2970"/>
      <c r="DD127" s="2972"/>
      <c r="DE127" s="2964"/>
      <c r="DF127" s="2964"/>
      <c r="DG127" s="2964"/>
      <c r="DH127" s="2973"/>
      <c r="DI127" s="2972"/>
      <c r="DJ127" s="2964"/>
      <c r="DK127" s="2964"/>
      <c r="DL127" s="2964"/>
      <c r="DM127" s="2973"/>
      <c r="DN127" s="2972"/>
      <c r="DO127" s="2964"/>
      <c r="DP127" s="2964"/>
      <c r="DQ127" s="2964"/>
      <c r="DR127" s="2973"/>
      <c r="DS127" s="2972"/>
      <c r="DT127" s="2964"/>
      <c r="DU127" s="2964"/>
      <c r="DV127" s="2964"/>
      <c r="DW127" s="2973"/>
      <c r="DX127" s="2972"/>
      <c r="DY127" s="2964"/>
      <c r="DZ127" s="2964"/>
      <c r="EA127" s="2964"/>
      <c r="EB127" s="2973"/>
      <c r="EC127" s="2972"/>
      <c r="ED127" s="2964"/>
      <c r="EE127" s="2964"/>
      <c r="EF127" s="2964"/>
      <c r="EG127" s="2973"/>
      <c r="EH127" s="2974"/>
      <c r="EI127" s="2975"/>
      <c r="EJ127" s="2975"/>
      <c r="EK127" s="2975"/>
      <c r="EL127" s="100"/>
      <c r="EM127" s="2974"/>
      <c r="EN127" s="2975"/>
      <c r="EO127" s="2975"/>
      <c r="EP127" s="2975"/>
      <c r="EQ127" s="100"/>
      <c r="ER127" s="2976"/>
      <c r="ES127" s="2977"/>
      <c r="ET127" s="2977"/>
      <c r="EU127" s="2977"/>
      <c r="EV127" s="430"/>
      <c r="EW127" s="2978"/>
      <c r="EX127" s="2978"/>
      <c r="EY127" s="2978"/>
      <c r="EZ127" s="2979"/>
      <c r="FA127" s="2974"/>
      <c r="FB127" s="2978"/>
      <c r="FC127" s="2978"/>
      <c r="FD127" s="2980"/>
      <c r="FE127" s="2978"/>
      <c r="FF127" s="2978"/>
      <c r="FG127" s="2978"/>
      <c r="FH127" s="2979"/>
      <c r="FI127" s="4077"/>
      <c r="FJ127" s="4078"/>
      <c r="FK127" s="4079"/>
      <c r="FL127" s="4079"/>
      <c r="FM127" s="2980"/>
      <c r="FN127" s="2978"/>
      <c r="FO127" s="2975"/>
      <c r="FP127" s="2975"/>
      <c r="FQ127" s="2975"/>
      <c r="FR127" s="449"/>
      <c r="FS127" s="2974"/>
      <c r="FT127" s="2975"/>
      <c r="FU127" s="2975"/>
      <c r="FV127" s="2975"/>
      <c r="FW127" s="4082"/>
      <c r="FX127" s="2974"/>
      <c r="FY127" s="2975"/>
      <c r="FZ127" s="2975"/>
      <c r="GA127" s="2975"/>
      <c r="GB127" s="4082"/>
      <c r="GC127" s="2974"/>
      <c r="GD127" s="2975"/>
      <c r="GE127" s="2975"/>
      <c r="GF127" s="2975"/>
      <c r="GG127" s="100"/>
      <c r="GH127" s="2974"/>
      <c r="GI127" s="2975"/>
      <c r="GJ127" s="2975"/>
      <c r="GK127" s="4083"/>
      <c r="GL127" s="4082"/>
      <c r="GM127" s="2974"/>
      <c r="GN127" s="2975"/>
      <c r="GO127" s="2975"/>
      <c r="GP127" s="4083"/>
      <c r="GQ127" s="4082"/>
      <c r="GR127" s="4469"/>
      <c r="GS127" s="2989"/>
      <c r="GT127" s="2989"/>
      <c r="GU127" s="4083"/>
      <c r="GV127" s="4082"/>
      <c r="GW127" s="4469"/>
      <c r="GX127" s="2989"/>
      <c r="GY127" s="2989"/>
      <c r="GZ127" s="4083"/>
      <c r="HA127" s="4082"/>
      <c r="HB127" s="4469"/>
      <c r="HC127" s="2989"/>
      <c r="HD127" s="2989"/>
      <c r="HE127" s="4083"/>
      <c r="HF127" s="4082"/>
      <c r="HG127" s="4469"/>
      <c r="HH127" s="2989"/>
      <c r="HI127" s="2989"/>
      <c r="HJ127" s="2985"/>
      <c r="HK127" s="4082"/>
      <c r="HL127" s="4469"/>
      <c r="HM127" s="2989"/>
      <c r="HN127" s="2989"/>
      <c r="HO127" s="2975"/>
      <c r="HP127" s="100"/>
      <c r="HQ127" s="4470"/>
      <c r="HR127" s="2989"/>
      <c r="HS127" s="2989"/>
      <c r="HT127" s="2989"/>
      <c r="HU127" s="4471"/>
      <c r="HV127" s="4472"/>
      <c r="HW127" s="2975"/>
      <c r="HX127" s="2975"/>
      <c r="HY127" s="2975"/>
      <c r="HZ127" s="4473"/>
      <c r="IA127" s="2984"/>
      <c r="IB127" s="4087"/>
      <c r="IC127" s="4087"/>
      <c r="ID127" s="4088"/>
      <c r="IE127" s="2974"/>
      <c r="IF127" s="2978"/>
      <c r="IG127" s="4474"/>
      <c r="IH127" s="4088"/>
      <c r="II127" s="2984"/>
      <c r="IJ127" s="4475"/>
      <c r="IK127" s="4475"/>
      <c r="IL127" s="2980"/>
      <c r="IM127" s="4476"/>
      <c r="IN127" s="4475"/>
      <c r="IO127" s="4475"/>
      <c r="IP127" s="4477"/>
      <c r="IQ127" s="2975"/>
      <c r="IR127" s="2988"/>
      <c r="IS127" s="2989"/>
      <c r="IT127" s="2989"/>
      <c r="IU127" s="4478"/>
      <c r="IV127" s="4479"/>
      <c r="IW127" s="4080"/>
      <c r="IX127" s="4081"/>
      <c r="IY127" s="4081"/>
      <c r="IZ127" s="2985"/>
      <c r="JA127" s="100"/>
      <c r="JB127" s="4480"/>
      <c r="JC127" s="4481"/>
      <c r="JD127" s="4482"/>
      <c r="JE127" s="2985"/>
      <c r="JF127" s="100"/>
      <c r="JG127" s="4480"/>
      <c r="JH127" s="2975"/>
      <c r="JI127" s="2975"/>
      <c r="JJ127" s="2975"/>
      <c r="JK127" s="100"/>
      <c r="JL127" s="4483"/>
      <c r="JM127" s="2975"/>
      <c r="JN127" s="2975"/>
      <c r="JO127" s="4484"/>
      <c r="JP127" s="100"/>
      <c r="JQ127" s="4483"/>
      <c r="JR127" s="4485"/>
      <c r="JS127" s="2989"/>
      <c r="JT127" s="4486"/>
      <c r="JU127" s="100"/>
      <c r="JV127" s="4487"/>
      <c r="JW127" s="4485"/>
      <c r="JX127" s="2989"/>
      <c r="JY127" s="2989"/>
      <c r="JZ127" s="100"/>
      <c r="KA127" s="4487"/>
      <c r="KB127" s="2989"/>
      <c r="KC127" s="2989"/>
      <c r="KD127" s="2985"/>
      <c r="KE127" s="100"/>
      <c r="KF127" s="4487"/>
      <c r="KG127" s="2989"/>
      <c r="KH127" s="2989"/>
      <c r="KI127" s="2985"/>
      <c r="KJ127" s="100"/>
      <c r="KK127" s="4488">
        <f>SUM(KK65:KK126)</f>
        <v>25</v>
      </c>
      <c r="KL127" s="4086">
        <f>SUM(KL75:KL126)</f>
        <v>705364</v>
      </c>
      <c r="KM127" s="4086">
        <f>SUM(KM75:KM126)</f>
        <v>969931.33000000007</v>
      </c>
      <c r="KN127" s="4086">
        <f>SUM(KN75:KN126)</f>
        <v>264567.33</v>
      </c>
      <c r="KO127" s="4489">
        <f>KN127/KM127</f>
        <v>0.27276913510980205</v>
      </c>
      <c r="KP127" s="4488">
        <f>SUM(KP65:KP126)</f>
        <v>58</v>
      </c>
      <c r="KQ127" s="4086">
        <f>SUM(KQ75:KQ126)</f>
        <v>3675845.25</v>
      </c>
      <c r="KR127" s="4086">
        <f>SUM(KR75:KR126)</f>
        <v>4637300.83</v>
      </c>
      <c r="KS127" s="4086">
        <f>SUM(KS75:KS126)</f>
        <v>961455.58000000007</v>
      </c>
      <c r="KT127" s="4489">
        <f>KS127/KR127</f>
        <v>0.20733086233700307</v>
      </c>
      <c r="KU127" s="4488">
        <f>SUM(KU65:KU126)</f>
        <v>55</v>
      </c>
      <c r="KV127" s="4086">
        <f>SUM(KV75:KV126)</f>
        <v>1845802</v>
      </c>
      <c r="KW127" s="4086">
        <f>SUM(KW75:KW126)</f>
        <v>2474083.9400000004</v>
      </c>
      <c r="KX127" s="4086">
        <f>SUM(KX75:KX126)</f>
        <v>628281.94000000006</v>
      </c>
      <c r="KY127" s="4489">
        <f>KX127/KW127</f>
        <v>0.25394528044994302</v>
      </c>
      <c r="KZ127" s="2974"/>
      <c r="LA127" s="2975"/>
      <c r="LB127" s="2975"/>
      <c r="LC127" s="2975"/>
      <c r="LD127" s="2980"/>
      <c r="LE127" s="4474"/>
      <c r="LF127" s="4087"/>
      <c r="LG127" s="4087"/>
      <c r="LH127" s="4088"/>
      <c r="LI127" s="2974"/>
      <c r="LJ127" s="2978"/>
      <c r="LK127" s="4474"/>
      <c r="LL127" s="4088"/>
      <c r="LM127" s="2984"/>
      <c r="LN127" s="4475"/>
      <c r="LO127" s="4475"/>
      <c r="LP127" s="2980"/>
      <c r="LQ127" s="4488">
        <f>SUM(LQ65:LQ126)</f>
        <v>46</v>
      </c>
      <c r="LR127" s="4086">
        <f>SUM(LR75:LR126)</f>
        <v>8081316.1000000006</v>
      </c>
      <c r="LS127" s="4086">
        <f>SUM(LS75:LS126)</f>
        <v>1854304.85</v>
      </c>
      <c r="LT127" s="4489">
        <f>LS127/LR127</f>
        <v>0.22945579990368153</v>
      </c>
      <c r="LU127" s="2975"/>
      <c r="LV127" s="4488">
        <f>SUM(LV65:LV126)</f>
        <v>58</v>
      </c>
      <c r="LW127" s="4086">
        <f>SUM(LW75:LW126)</f>
        <v>1886762</v>
      </c>
      <c r="LX127" s="4086">
        <f>SUM(LX75:LX126)</f>
        <v>2479544.33</v>
      </c>
      <c r="LY127" s="4086">
        <f>SUM(LY75:LY126)</f>
        <v>592782.33000000007</v>
      </c>
      <c r="LZ127" s="4489">
        <f>LY127/LX127</f>
        <v>0.23906905911216358</v>
      </c>
      <c r="MA127" s="4488">
        <f>SUM(MA65:MA126)</f>
        <v>62</v>
      </c>
      <c r="MB127" s="4086">
        <f>SUM(MB75:MB126)</f>
        <v>2512992</v>
      </c>
      <c r="MC127" s="4086">
        <f>SUM(MC75:MC126)</f>
        <v>3390706.33</v>
      </c>
      <c r="MD127" s="4086">
        <f>SUM(MD75:MD126)</f>
        <v>877714.33000000007</v>
      </c>
      <c r="ME127" s="4489">
        <f>MD127/MC127</f>
        <v>0.25885884667576037</v>
      </c>
      <c r="MF127" s="4488">
        <f>SUM(MF65:MF126)</f>
        <v>72</v>
      </c>
      <c r="MG127" s="4086">
        <f>SUM(MG75:MG126)</f>
        <v>2566811.833333333</v>
      </c>
      <c r="MH127" s="4086">
        <f>SUM(MH75:MH126)</f>
        <v>3307923.59</v>
      </c>
      <c r="MI127" s="4086">
        <f>SUM(MI75:MI126)</f>
        <v>741111.7566666666</v>
      </c>
      <c r="MJ127" s="4489">
        <f>MI127/MH127</f>
        <v>0.22404137716695766</v>
      </c>
      <c r="MK127" s="4490">
        <f>SUM(MK65:MK126)</f>
        <v>54</v>
      </c>
      <c r="ML127" s="4086">
        <f>SUM(ML75:ML126)</f>
        <v>3077527.5483870967</v>
      </c>
      <c r="MM127" s="4086">
        <f>SUM(MM75:MM126)</f>
        <v>3785606.33</v>
      </c>
      <c r="MN127" s="4086">
        <f>SUM(MN75:MN126)</f>
        <v>708078.78161290323</v>
      </c>
      <c r="MO127" s="4489">
        <f>MN127/MM127</f>
        <v>0.18704501205039542</v>
      </c>
      <c r="MP127" s="4490">
        <f>SUM(MP65:MP126)</f>
        <v>54</v>
      </c>
      <c r="MQ127" s="4086">
        <f>SUM(MQ75:MQ126)</f>
        <v>3613111</v>
      </c>
      <c r="MR127" s="4086">
        <f>SUM(MR75:MR126)</f>
        <v>4691606.2733333334</v>
      </c>
      <c r="MS127" s="4086">
        <f>SUM(MS75:MS126)</f>
        <v>1078495.2733333334</v>
      </c>
      <c r="MT127" s="4489">
        <f>MS127/MR127</f>
        <v>0.22987761770705339</v>
      </c>
      <c r="MU127" s="4488">
        <f>SUM(MU65:MU126)</f>
        <v>77</v>
      </c>
      <c r="MV127" s="4086">
        <f>SUM(MV75:MV126)</f>
        <v>3574213</v>
      </c>
      <c r="MW127" s="4086">
        <f>SUM(MW75:MW126)</f>
        <v>4328359.6333333338</v>
      </c>
      <c r="MX127" s="4086">
        <f>SUM(MX75:MX126)</f>
        <v>754146.63333333354</v>
      </c>
      <c r="MY127" s="4489">
        <f>MX127/MW127</f>
        <v>0.17423382001937626</v>
      </c>
      <c r="MZ127" s="4488">
        <f>SUM(MZ65:MZ126)</f>
        <v>48</v>
      </c>
      <c r="NA127" s="4086">
        <f>SUM(NA75:NA126)</f>
        <v>1760030</v>
      </c>
      <c r="NB127" s="4086">
        <f>SUM(NB75:NB126)</f>
        <v>2195549.67</v>
      </c>
      <c r="NC127" s="4086">
        <f>SUM(NC75:NC126)</f>
        <v>435519.67</v>
      </c>
      <c r="ND127" s="4489">
        <f>NC127/NB127</f>
        <v>0.19836475391604327</v>
      </c>
      <c r="NE127" s="4488">
        <f>SUM(NE65:NE126)</f>
        <v>60</v>
      </c>
      <c r="NF127" s="4086">
        <f>SUM(NF75:NF126)</f>
        <v>3696903</v>
      </c>
      <c r="NG127" s="4086">
        <f>SUM(NG75:NG126)</f>
        <v>4725349.67</v>
      </c>
      <c r="NH127" s="4086">
        <f>SUM(NH75:NH126)</f>
        <v>1028446.6699999999</v>
      </c>
      <c r="NI127" s="4489">
        <f>NH127/NG127</f>
        <v>0.2176445642804673</v>
      </c>
      <c r="NJ127" s="4488">
        <f>SUM(NJ65:NJ126)</f>
        <v>78</v>
      </c>
      <c r="NK127" s="4086">
        <f>SUM(NK75:NK126)</f>
        <v>3033678.4193548388</v>
      </c>
      <c r="NL127" s="4086">
        <f>SUM(NL75:NL126)</f>
        <v>3718290.24</v>
      </c>
      <c r="NM127" s="4086">
        <f>SUM(NM75:NM126)</f>
        <v>684611.82064516132</v>
      </c>
      <c r="NN127" s="4489">
        <f>NM127/NL127</f>
        <v>0.18412005961244202</v>
      </c>
      <c r="NO127" s="4488">
        <f>SUM(NO53:NO126)</f>
        <v>79</v>
      </c>
      <c r="NP127" s="4086">
        <f>SUM(NP57:NP126)</f>
        <v>3513054</v>
      </c>
      <c r="NQ127" s="4086">
        <f>SUM(NQ57:NQ126)</f>
        <v>4562490.2300000004</v>
      </c>
      <c r="NR127" s="4086">
        <f>SUM(NR57:NR126)</f>
        <v>1049436.23</v>
      </c>
      <c r="NS127" s="4489">
        <f>NR127/NQ127</f>
        <v>0.23001391281883357</v>
      </c>
      <c r="NT127" s="4488">
        <f>SUM(NT53:NT126)</f>
        <v>84</v>
      </c>
      <c r="NU127" s="4086">
        <f>SUM(NU57:NU126)</f>
        <v>3423519</v>
      </c>
      <c r="NV127" s="4086">
        <f>SUM(NV57:NV126)</f>
        <v>4465231.2300000004</v>
      </c>
      <c r="NW127" s="4086">
        <f>SUM(NW57:NW126)</f>
        <v>1041712.23</v>
      </c>
      <c r="NX127" s="4489">
        <f>NW127/NV127</f>
        <v>0.2332941288686633</v>
      </c>
      <c r="NY127" s="4488">
        <f>SUM(NY53:NY126)</f>
        <v>83</v>
      </c>
      <c r="NZ127" s="4086">
        <f>SUM(NZ57:NZ126)</f>
        <v>3426027</v>
      </c>
      <c r="OA127" s="4086">
        <f>SUM(OA57:OA126)</f>
        <v>4375551.4000000004</v>
      </c>
      <c r="OB127" s="4086">
        <f>SUM(OB57:OB126)</f>
        <v>949524.4</v>
      </c>
      <c r="OC127" s="4489">
        <f>OB127/OA127</f>
        <v>0.21700679827461286</v>
      </c>
      <c r="OD127" s="4491">
        <f>SUM(OD65:OD126)</f>
        <v>83</v>
      </c>
      <c r="OE127" s="2975">
        <f>SUM(OE57:OE126)</f>
        <v>39994879.967741936</v>
      </c>
      <c r="OF127" s="2975">
        <f>SUM(OF57:OF126)</f>
        <v>51101898.526666664</v>
      </c>
      <c r="OG127" s="2975">
        <f>SUM(OG57:OG126)</f>
        <v>11088576.558924731</v>
      </c>
      <c r="OH127" s="4492">
        <f>OG127/OF127</f>
        <v>0.21698952247612374</v>
      </c>
      <c r="OI127" s="4488">
        <f>SUM(OI65:OI126)</f>
        <v>64.000000000000014</v>
      </c>
      <c r="OJ127" s="4086">
        <f>SUM(OJ75:OJ126)</f>
        <v>6966565.833333333</v>
      </c>
      <c r="OK127" s="4086">
        <f>SUM(OK75:OK126)</f>
        <v>9178174.25</v>
      </c>
      <c r="OL127" s="4086">
        <f>SUM(OL75:OL126)</f>
        <v>2211608.416666667</v>
      </c>
      <c r="OM127" s="4493">
        <f>OL127/OK127</f>
        <v>0.24096387325253352</v>
      </c>
      <c r="ON127" s="4488">
        <f>SUM(ON65:ON126)</f>
        <v>63.333333333333336</v>
      </c>
      <c r="OO127" s="4086">
        <f>SUM(OO75:OO126)</f>
        <v>10264851.548387097</v>
      </c>
      <c r="OP127" s="4086">
        <f>SUM(OP75:OP126)</f>
        <v>12805572.236666668</v>
      </c>
      <c r="OQ127" s="4086">
        <f>SUM(OQ75:OQ126)</f>
        <v>2540720.6882795701</v>
      </c>
      <c r="OR127" s="2980">
        <f>OQ127/OP127</f>
        <v>0.19840743086862067</v>
      </c>
      <c r="OS127" s="4488">
        <f>SUM(OS65:OS126)</f>
        <v>62.000000000000007</v>
      </c>
      <c r="OT127" s="4086">
        <f>SUM(OT75:OT126)</f>
        <v>8490611.4193548393</v>
      </c>
      <c r="OU127" s="4086">
        <f>SUM(OU75:OU126)</f>
        <v>10639189.58</v>
      </c>
      <c r="OV127" s="4086">
        <f>SUM(OV75:OV126)</f>
        <v>2148578.1606451613</v>
      </c>
      <c r="OW127" s="2980">
        <f>OV127/OU127</f>
        <v>0.20194941959528098</v>
      </c>
      <c r="OX127" s="4488">
        <f>SUM(OX53:OX126)</f>
        <v>84</v>
      </c>
      <c r="OY127" s="4086">
        <f>SUM(OY57:OY126)</f>
        <v>10362600</v>
      </c>
      <c r="OZ127" s="4086">
        <f>SUM(OZ57:OZ126)</f>
        <v>13403272.859999999</v>
      </c>
      <c r="PA127" s="4086">
        <f>SUM(PA57:PA126)</f>
        <v>3040672.86</v>
      </c>
      <c r="PB127" s="2980">
        <f>PA127/OZ127</f>
        <v>0.22686047592707145</v>
      </c>
      <c r="PC127" s="4494"/>
      <c r="PD127" s="4488">
        <f>SUM(PD65:PD126)</f>
        <v>97</v>
      </c>
      <c r="PE127" s="2975">
        <f>SUM(PE57:PE126)</f>
        <v>4018935.8</v>
      </c>
      <c r="PF127" s="2975">
        <f>SUM(PF57:PF126)</f>
        <v>5219780.24</v>
      </c>
      <c r="PG127" s="2975">
        <f>SUM(PG57:PG126)</f>
        <v>1200844.44</v>
      </c>
      <c r="PH127" s="4489">
        <f>PG127/PF127</f>
        <v>0.23005651287725476</v>
      </c>
      <c r="PI127" s="4488">
        <f>SUM(PI65:PI126)</f>
        <v>98</v>
      </c>
      <c r="PJ127" s="2975">
        <f>SUM(PJ57:PJ126)</f>
        <v>4112686</v>
      </c>
      <c r="PK127" s="2975">
        <f>SUM(PK57:PK126)</f>
        <v>5383457.2379599996</v>
      </c>
      <c r="PL127" s="2975">
        <f>SUM(PL57:PL126)</f>
        <v>1270771.2379600001</v>
      </c>
      <c r="PM127" s="4489">
        <f>PL127/PK127</f>
        <v>0.23605114367761645</v>
      </c>
      <c r="PN127" s="4488">
        <f>SUM(PN65:PN126)</f>
        <v>104</v>
      </c>
      <c r="PO127" s="2975">
        <f>SUM(PO57:PO126)</f>
        <v>4295738.666666667</v>
      </c>
      <c r="PP127" s="2975">
        <f>SUM(PP57:PP126)</f>
        <v>5488840.5300000003</v>
      </c>
      <c r="PQ127" s="2975">
        <f>SUM(PQ57:PQ126)</f>
        <v>1193101.8633333333</v>
      </c>
      <c r="PR127" s="4489">
        <f>PQ127/PP127</f>
        <v>0.21736865132303876</v>
      </c>
      <c r="PS127" s="4086">
        <f>SUM(PS75:PS126)</f>
        <v>99</v>
      </c>
      <c r="PT127" s="2975">
        <f>SUM(PT57:PT126)</f>
        <v>4461648</v>
      </c>
      <c r="PU127" s="2975">
        <f>SUM(PU57:PU126)</f>
        <v>5160055</v>
      </c>
      <c r="PV127" s="2975">
        <f>SUM(PV57:PV126)</f>
        <v>698407</v>
      </c>
      <c r="PW127" s="4489">
        <f>PV127/PU127</f>
        <v>0.13534875112765271</v>
      </c>
      <c r="PX127" s="4490">
        <f>SUM(PX65:PX126)</f>
        <v>110</v>
      </c>
      <c r="PY127" s="2975">
        <f>SUM(PY57:PY126)</f>
        <v>4628287</v>
      </c>
      <c r="PZ127" s="2975">
        <f>SUM(PZ57:PZ126)</f>
        <v>5562996</v>
      </c>
      <c r="QA127" s="2975">
        <f>SUM(QA57:QA126)</f>
        <v>934709</v>
      </c>
      <c r="QB127" s="4489">
        <f>QA127/PZ127</f>
        <v>0.16802259070472098</v>
      </c>
      <c r="QC127" s="4488">
        <f>SUM(QC65:QC126)</f>
        <v>119</v>
      </c>
      <c r="QD127" s="2975">
        <f>SUM(QD57:QD126)</f>
        <v>4751042</v>
      </c>
      <c r="QE127" s="2975">
        <f>SUM(QE57:QE126)</f>
        <v>5647995</v>
      </c>
      <c r="QF127" s="2975">
        <f>SUM(QF57:QF126)</f>
        <v>896953</v>
      </c>
      <c r="QG127" s="4489">
        <f>QF127/QE127</f>
        <v>0.15880909951230482</v>
      </c>
      <c r="QH127" s="4488">
        <f>SUM(QH64:QH126)</f>
        <v>118</v>
      </c>
      <c r="QI127" s="2975">
        <f>SUM(QI57:QI126)</f>
        <v>4820260</v>
      </c>
      <c r="QJ127" s="2975">
        <f>SUM(QJ57:QJ126)</f>
        <v>5795900</v>
      </c>
      <c r="QK127" s="2975">
        <f>SUM(QK57:QK126)</f>
        <v>975640</v>
      </c>
      <c r="QL127" s="4489">
        <f>QK127/QJ127</f>
        <v>0.16833278697009954</v>
      </c>
      <c r="QM127" s="4488">
        <f>SUM(QM64:QM126)</f>
        <v>111</v>
      </c>
      <c r="QN127" s="2975">
        <f>SUM(QN57:QN126)</f>
        <v>4734021</v>
      </c>
      <c r="QO127" s="2975">
        <f>SUM(QO57:QO126)</f>
        <v>5448137.6579999998</v>
      </c>
      <c r="QP127" s="2975">
        <f>SUM(QP57:QP126)</f>
        <v>714116.65800000005</v>
      </c>
      <c r="QQ127" s="4489">
        <f>QP127/QO127</f>
        <v>0.13107536975527723</v>
      </c>
      <c r="QR127" s="2974">
        <f>SUM(QR65:QR126)</f>
        <v>111</v>
      </c>
      <c r="QS127" s="2975">
        <f>SUM(QS57:QS126)</f>
        <v>4543314</v>
      </c>
      <c r="QT127" s="2975">
        <f>SUM(QT57:QT126)</f>
        <v>5437279.6566666663</v>
      </c>
      <c r="QU127" s="2975">
        <f>SUM(QU57:QU126)</f>
        <v>893965.65666666673</v>
      </c>
      <c r="QV127" s="100">
        <f>QU127/QT127</f>
        <v>0.16441413962781418</v>
      </c>
      <c r="QW127" s="2974">
        <f>SUM(QW65:QW126)</f>
        <v>150</v>
      </c>
      <c r="QX127" s="2975">
        <f>SUM(QX61:QX126)</f>
        <v>5477061.8064516131</v>
      </c>
      <c r="QY127" s="2975">
        <f>SUM(QY61:QY126)</f>
        <v>7654314.8500000006</v>
      </c>
      <c r="QZ127" s="2975">
        <f>SUM(QZ61:QZ126)</f>
        <v>2177253.0435483875</v>
      </c>
      <c r="RA127" s="100">
        <f>QZ127/QY127</f>
        <v>0.28444780313007212</v>
      </c>
      <c r="RB127" s="2974">
        <f>SUM(RB65:RB126)</f>
        <v>155</v>
      </c>
      <c r="RC127" s="2975">
        <f>SUM(RC61:RC126)</f>
        <v>5849953</v>
      </c>
      <c r="RD127" s="2975">
        <f>SUM(RD61:RD126)</f>
        <v>8104265.8500000006</v>
      </c>
      <c r="RE127" s="2975">
        <f>SUM(RE61:RE126)</f>
        <v>2254312.85</v>
      </c>
      <c r="RF127" s="100">
        <f>RE127/RD127</f>
        <v>0.27816373397967936</v>
      </c>
      <c r="RG127" s="2974">
        <f>SUM(RG65:RG126)</f>
        <v>192</v>
      </c>
      <c r="RH127" s="2975">
        <f>SUM(RH61:RH126)</f>
        <v>8800959</v>
      </c>
      <c r="RI127" s="2975">
        <f>SUM(RI61:RI126)</f>
        <v>11063642.850000001</v>
      </c>
      <c r="RJ127" s="2975">
        <f>SUM(RJ61:RJ126)</f>
        <v>2262683.85</v>
      </c>
      <c r="RK127" s="100">
        <f>RJ127/RI127</f>
        <v>0.20451526506027803</v>
      </c>
      <c r="RL127" s="4491">
        <f>SUM(RL65:RL126)</f>
        <v>157</v>
      </c>
      <c r="RM127" s="2975">
        <f>SUM(RM57:RM126)</f>
        <v>60493906.27311828</v>
      </c>
      <c r="RN127" s="2975">
        <f>SUM(RN57:RN126)</f>
        <v>75966664.872626662</v>
      </c>
      <c r="RO127" s="2975">
        <f>SUM(RO57:RO126)</f>
        <v>15472758.599508386</v>
      </c>
      <c r="RP127" s="4492">
        <f>RO127/RN127</f>
        <v>0.20367826632183428</v>
      </c>
      <c r="RQ127" s="4491">
        <f>SUM(RQ65:RQ126)</f>
        <v>99.666666666666671</v>
      </c>
      <c r="RR127" s="4495">
        <f>SUM(RR57:RR126)</f>
        <v>12427360.466666667</v>
      </c>
      <c r="RS127" s="4495">
        <f>SUM(RS57:RS126)</f>
        <v>16092078.007959999</v>
      </c>
      <c r="RT127" s="4495">
        <f>SUM(RT57:RT126)</f>
        <v>3664717.5412933333</v>
      </c>
      <c r="RU127" s="4492">
        <f>RT127/RS127</f>
        <v>0.22773426399502716</v>
      </c>
      <c r="RV127" s="4491">
        <f>SUM(RV65:RV126)</f>
        <v>119</v>
      </c>
      <c r="RW127" s="4495">
        <f>SUM(RW57:RW126)</f>
        <v>13840977</v>
      </c>
      <c r="RX127" s="4495">
        <f>SUM(RX57:RX126)</f>
        <v>16371046</v>
      </c>
      <c r="RY127" s="4495">
        <f>SUM(RY57:RY126)</f>
        <v>2530069</v>
      </c>
      <c r="RZ127" s="4492">
        <f>RY127/RX127</f>
        <v>0.15454534792706587</v>
      </c>
      <c r="SA127" s="4491">
        <f>SUM(SA65:SA126)</f>
        <v>111</v>
      </c>
      <c r="SB127" s="4495">
        <f>SUM(SB57:SB126)</f>
        <v>14097595</v>
      </c>
      <c r="SC127" s="4495">
        <f>SUM(SC57:SC126)</f>
        <v>16681317.314666666</v>
      </c>
      <c r="SD127" s="4495">
        <f>SUM(SD57:SD126)</f>
        <v>2583722.314666667</v>
      </c>
      <c r="SE127" s="4492">
        <f>SD127/SC127</f>
        <v>0.15488718702059509</v>
      </c>
      <c r="SF127" s="4491">
        <f>SUM(SF65:SF126)</f>
        <v>128</v>
      </c>
      <c r="SG127" s="4495">
        <f>SUM(SG57:SG126)</f>
        <v>20127973.806451611</v>
      </c>
      <c r="SH127" s="4495">
        <f>SUM(SH57:SH126)</f>
        <v>26822223.550000001</v>
      </c>
      <c r="SI127" s="4495">
        <f>SUM(SI57:SI126)</f>
        <v>6694249.7435483867</v>
      </c>
      <c r="SJ127" s="4492">
        <f>SI127/SH127</f>
        <v>0.24957847849822976</v>
      </c>
      <c r="SL127" s="2974">
        <f>SUM(SL57:SL126)</f>
        <v>232</v>
      </c>
      <c r="SM127" s="2975">
        <f>SUM(SM57:SM126)</f>
        <v>13354489</v>
      </c>
      <c r="SN127" s="2975">
        <f>SUM(SN57:SN126)</f>
        <v>18049756.66</v>
      </c>
      <c r="SO127" s="2975">
        <f>SUM(SO57:SO126)</f>
        <v>4695267.66</v>
      </c>
      <c r="SP127" s="100">
        <f>SO127/SN127</f>
        <v>0.26012913904845963</v>
      </c>
      <c r="SQ127" s="2974">
        <f>SUM(SQ57:SQ126)</f>
        <v>281</v>
      </c>
      <c r="SR127" s="2975">
        <f>SUM(SR57:SR126)</f>
        <v>14115125.64516129</v>
      </c>
      <c r="SS127" s="2975">
        <f>SUM(SS57:SS126)</f>
        <v>19070476.241290323</v>
      </c>
      <c r="ST127" s="2975">
        <f>SUM(ST57:ST126)</f>
        <v>4955350.5961290319</v>
      </c>
      <c r="SU127" s="100">
        <f>ST127/SS127</f>
        <v>0.25984409269234637</v>
      </c>
      <c r="SV127" s="2974">
        <f>SUM(SV57:SV126)</f>
        <v>333</v>
      </c>
      <c r="SW127" s="2975">
        <f>SUM(SW57:SW126)</f>
        <v>16628627</v>
      </c>
      <c r="SX127" s="2975">
        <f>SUM(SX57:SX126)</f>
        <v>19761400.993333332</v>
      </c>
      <c r="SY127" s="2975">
        <f>SUM(SY57:SY126)</f>
        <v>3132773.9933333336</v>
      </c>
      <c r="SZ127" s="100">
        <f>SY127/SX127</f>
        <v>0.15852995414597376</v>
      </c>
      <c r="TA127" s="4496">
        <f>SUM(TA75:TA126)</f>
        <v>351</v>
      </c>
      <c r="TB127" s="4132">
        <f>SUM(TB57:TB126)</f>
        <v>19084504.483870968</v>
      </c>
      <c r="TC127" s="4132">
        <f>SUM(TC57:TC126)</f>
        <v>20099963.340201613</v>
      </c>
      <c r="TD127" s="4496">
        <f>SUM(TD57:TD126)</f>
        <v>1015458.8563306453</v>
      </c>
      <c r="TE127" s="4497">
        <f>TD127/TC127</f>
        <v>5.0520433253708599E-2</v>
      </c>
      <c r="TF127" s="4490">
        <f>SUM(TF65:TF126)</f>
        <v>374</v>
      </c>
      <c r="TG127" s="2975">
        <f>SUM(TG57:TG126)</f>
        <v>20379105</v>
      </c>
      <c r="TH127" s="2975">
        <f>SUM(TH57:TH126)</f>
        <v>21102144.993333332</v>
      </c>
      <c r="TI127" s="2975">
        <f>SUM(TI57:TI126)</f>
        <v>723039.9933333334</v>
      </c>
      <c r="TJ127" s="4489">
        <f>TI127/TH127</f>
        <v>3.4263815055851375E-2</v>
      </c>
      <c r="TK127" s="4488">
        <f>SUM(TK65:TK126)</f>
        <v>401</v>
      </c>
      <c r="TL127" s="2975">
        <f>SUM(TL57:TL126)</f>
        <v>21773132</v>
      </c>
      <c r="TM127" s="2975">
        <f>SUM(TM57:TM126)</f>
        <v>21964978.993333332</v>
      </c>
      <c r="TN127" s="2975">
        <f>SUM(TN57:TN126)</f>
        <v>191846.99333333317</v>
      </c>
      <c r="TO127" s="4489">
        <f>TN127/TM127</f>
        <v>8.7342215711456554E-3</v>
      </c>
      <c r="TP127" s="4498">
        <f>SUM(TP64:TP126)</f>
        <v>404</v>
      </c>
      <c r="TQ127" s="2975">
        <f>SUM(TQ57:TQ126)</f>
        <v>22080005</v>
      </c>
      <c r="TR127" s="2975">
        <f>SUM(TR57:TR126)</f>
        <v>22701395.439999998</v>
      </c>
      <c r="TS127" s="2975">
        <f>SUM(TS57:TS126)</f>
        <v>621390.43999999994</v>
      </c>
      <c r="TT127" s="4489">
        <f>TS127/TR127</f>
        <v>2.7372345530138918E-2</v>
      </c>
      <c r="TU127" s="4498">
        <f>SUM(TU64:TU126)</f>
        <v>425</v>
      </c>
      <c r="TV127" s="2975">
        <f>SUM(TV57:TV126)</f>
        <v>22909228</v>
      </c>
      <c r="TW127" s="2975">
        <f>SUM(TW57:TW126)</f>
        <v>23519466.785999998</v>
      </c>
      <c r="TX127" s="2975">
        <f>SUM(TX57:TX126)</f>
        <v>610238.78599999985</v>
      </c>
      <c r="TY127" s="4489">
        <f>TX127/TW127</f>
        <v>2.5946114831278635E-2</v>
      </c>
      <c r="TZ127" s="2974">
        <f>SUM(TZ65:TZ126)</f>
        <v>427</v>
      </c>
      <c r="UA127" s="2975">
        <f>SUM(UA43:UA126)</f>
        <v>23629520</v>
      </c>
      <c r="UB127" s="2975">
        <f>SUM(UB43:UB126)</f>
        <v>24308102.63036</v>
      </c>
      <c r="UC127" s="2975">
        <f>SUM(UC43:UC126)</f>
        <v>678582.63035999984</v>
      </c>
      <c r="UD127" s="100">
        <f>UC127/UB127</f>
        <v>2.7915902803227144E-2</v>
      </c>
      <c r="UE127" s="2974">
        <f>SUM(UE57:UE126)</f>
        <v>431</v>
      </c>
      <c r="UF127" s="2975">
        <f>SUM(UF57:UF126)</f>
        <v>24560843</v>
      </c>
      <c r="UG127" s="2975">
        <f>SUM(UG57:UG126)</f>
        <v>25526990.560000002</v>
      </c>
      <c r="UH127" s="2975">
        <f>SUM(UH57:UH126)</f>
        <v>966147.56000000052</v>
      </c>
      <c r="UI127" s="100">
        <f>UH127/UG127</f>
        <v>3.7848079182272412E-2</v>
      </c>
      <c r="UJ127" s="2974">
        <f>SUM(UJ65:UJ126)</f>
        <v>0</v>
      </c>
      <c r="UK127" s="2975">
        <f>SUM(UK57:UK126)</f>
        <v>0</v>
      </c>
      <c r="UL127" s="2975">
        <f>SUM(UL57:UL126)</f>
        <v>0</v>
      </c>
      <c r="UM127" s="2975">
        <f>SUM(UM57:UM126)</f>
        <v>0</v>
      </c>
      <c r="UN127" s="100" t="e">
        <f>UM127/UL127</f>
        <v>#DIV/0!</v>
      </c>
      <c r="UO127" s="2974">
        <f>SUM(UO65:UO126)</f>
        <v>0</v>
      </c>
      <c r="UP127" s="2975">
        <f>SUM(UP75:UP126)</f>
        <v>0</v>
      </c>
      <c r="UQ127" s="2975">
        <f>SUM(UQ75:UQ126)</f>
        <v>0</v>
      </c>
      <c r="UR127" s="2975">
        <f>SUM(UR75:UR126)</f>
        <v>0</v>
      </c>
      <c r="US127" s="100" t="e">
        <f>UR127/UQ127</f>
        <v>#DIV/0!</v>
      </c>
      <c r="UT127" s="4491">
        <f>SUM(UT65:UT126)</f>
        <v>0</v>
      </c>
      <c r="UU127" s="2975">
        <f>SUM(UU43:UU126)</f>
        <v>198514579.12903225</v>
      </c>
      <c r="UV127" s="2975">
        <f>SUM(UV43:UV126)</f>
        <v>216104676.63785195</v>
      </c>
      <c r="UW127" s="2975">
        <f>SUM(UW43:UW126)</f>
        <v>17590097.508819677</v>
      </c>
      <c r="UX127" s="4492">
        <f>UW127/UV127</f>
        <v>8.1396190876040816E-2</v>
      </c>
      <c r="UY127" s="2483">
        <f>SUM(UY57:UY126)</f>
        <v>282</v>
      </c>
      <c r="UZ127" s="2484">
        <f>SUM(UZ57:UZ126)</f>
        <v>42241974.645161286</v>
      </c>
      <c r="VA127" s="2484">
        <f>SUM(VA57:VA126)</f>
        <v>56881633.894623652</v>
      </c>
      <c r="VB127" s="2484">
        <f>SUM(VB57:VB126)</f>
        <v>14639659.249462366</v>
      </c>
      <c r="VC127" s="2486">
        <f>VB127/VA127</f>
        <v>0.2573705825079346</v>
      </c>
      <c r="VD127" s="2487">
        <f>SUM(VD65:VD126)</f>
        <v>0</v>
      </c>
      <c r="VE127" s="2488">
        <f>SUM(VE75:VE126)</f>
        <v>58194699.483870968</v>
      </c>
      <c r="VF127" s="2488">
        <f>SUM(VF75:VF126)</f>
        <v>63099019.326868281</v>
      </c>
      <c r="VG127" s="2488">
        <f>SUM(VG75:VG126)</f>
        <v>4904319.8429973116</v>
      </c>
      <c r="VH127" s="2486">
        <f>VG127/VF127</f>
        <v>7.7724184865564094E-2</v>
      </c>
      <c r="VI127" s="2487">
        <f>SUM(VI65:VI126)</f>
        <v>0</v>
      </c>
      <c r="VJ127" s="2488">
        <f>SUM(VJ75:VJ126)</f>
        <v>68021632</v>
      </c>
      <c r="VK127" s="2488">
        <f>SUM(VK75:VK126)</f>
        <v>69751304.856360003</v>
      </c>
      <c r="VL127" s="2488">
        <f>SUM(VL75:VL126)</f>
        <v>1729672.8563599996</v>
      </c>
      <c r="VM127" s="2485">
        <f>VL127/VK127</f>
        <v>2.4797713245966409E-2</v>
      </c>
      <c r="VN127" s="2490">
        <f>SUM(VN65:VN126)</f>
        <v>0</v>
      </c>
      <c r="VO127" s="2488">
        <f>SUM(VO75:VO126)</f>
        <v>18741826</v>
      </c>
      <c r="VP127" s="2488">
        <f>SUM(VP75:VP126)</f>
        <v>20964293.559999999</v>
      </c>
      <c r="VQ127" s="2488">
        <f>SUM(VQ75:VQ126)</f>
        <v>2222467.56</v>
      </c>
      <c r="VR127" s="2486">
        <f>VQ127/VP127</f>
        <v>0.10601204155242712</v>
      </c>
    </row>
    <row r="128" spans="1:745" s="1193" customFormat="1" x14ac:dyDescent="0.3">
      <c r="A128" s="1297"/>
      <c r="B128" s="4499"/>
      <c r="C128" s="4500"/>
      <c r="D128" s="2061"/>
      <c r="E128" s="2492"/>
      <c r="F128" s="2492"/>
      <c r="G128" s="2493"/>
      <c r="H128" s="1874"/>
      <c r="I128" s="1875"/>
      <c r="J128" s="1875"/>
      <c r="K128" s="1875"/>
      <c r="L128" s="1876"/>
      <c r="M128" s="1874"/>
      <c r="N128" s="1875"/>
      <c r="O128" s="1875"/>
      <c r="P128" s="1875"/>
      <c r="Q128" s="1876"/>
      <c r="R128" s="1874"/>
      <c r="S128" s="1875"/>
      <c r="T128" s="1875"/>
      <c r="U128" s="1875"/>
      <c r="V128" s="1876"/>
      <c r="W128" s="1874"/>
      <c r="X128" s="1875"/>
      <c r="Y128" s="1875"/>
      <c r="Z128" s="1875"/>
      <c r="AA128" s="1877"/>
      <c r="AB128" s="1874"/>
      <c r="AC128" s="1875"/>
      <c r="AD128" s="1875"/>
      <c r="AE128" s="1875"/>
      <c r="AF128" s="1877"/>
      <c r="AG128" s="1875"/>
      <c r="AH128" s="1875"/>
      <c r="AI128" s="1875"/>
      <c r="AJ128" s="1875"/>
      <c r="AK128" s="1876"/>
      <c r="AL128" s="1875"/>
      <c r="AM128" s="1875"/>
      <c r="AN128" s="1875"/>
      <c r="AO128" s="1875"/>
      <c r="AP128" s="1876"/>
      <c r="AQ128" s="1875"/>
      <c r="AR128" s="1875"/>
      <c r="AS128" s="1875"/>
      <c r="AT128" s="1875"/>
      <c r="AU128" s="1876"/>
      <c r="AV128" s="1878"/>
      <c r="AW128" s="1875"/>
      <c r="AX128" s="1875"/>
      <c r="AY128" s="1875"/>
      <c r="AZ128" s="1877"/>
      <c r="BA128" s="1878"/>
      <c r="BB128" s="1875"/>
      <c r="BC128" s="1875"/>
      <c r="BD128" s="1875"/>
      <c r="BE128" s="1877"/>
      <c r="BF128" s="1878"/>
      <c r="BG128" s="1875"/>
      <c r="BH128" s="1875"/>
      <c r="BI128" s="1875"/>
      <c r="BJ128" s="1877"/>
      <c r="BK128" s="1878"/>
      <c r="BL128" s="1875"/>
      <c r="BM128" s="1875"/>
      <c r="BN128" s="1875"/>
      <c r="BO128" s="1877"/>
      <c r="BP128" s="1879"/>
      <c r="BQ128" s="1875"/>
      <c r="BR128" s="1875"/>
      <c r="BS128" s="1875"/>
      <c r="BT128" s="1880"/>
      <c r="BU128" s="1875"/>
      <c r="BV128" s="1875"/>
      <c r="BW128" s="1881"/>
      <c r="BX128" s="1880"/>
      <c r="BY128" s="1875"/>
      <c r="BZ128" s="1875"/>
      <c r="CA128" s="1882"/>
      <c r="CB128" s="1875"/>
      <c r="CC128" s="1875"/>
      <c r="CD128" s="1875"/>
      <c r="CE128" s="1875"/>
      <c r="CF128" s="1880"/>
      <c r="CG128" s="1875"/>
      <c r="CH128" s="1875"/>
      <c r="CI128" s="1882"/>
      <c r="CJ128" s="1883"/>
      <c r="CK128" s="1875"/>
      <c r="CL128" s="1875"/>
      <c r="CM128" s="1875"/>
      <c r="CN128" s="1881"/>
      <c r="CO128" s="1883"/>
      <c r="CP128" s="1874"/>
      <c r="CQ128" s="1874"/>
      <c r="CR128" s="1874"/>
      <c r="CS128" s="1881"/>
      <c r="CT128" s="1883"/>
      <c r="CU128" s="1875"/>
      <c r="CV128" s="1875"/>
      <c r="CW128" s="1875"/>
      <c r="CX128" s="1881"/>
      <c r="CY128" s="1883"/>
      <c r="CZ128" s="1875"/>
      <c r="DA128" s="1875"/>
      <c r="DB128" s="1875"/>
      <c r="DC128" s="1881"/>
      <c r="DD128" s="1883"/>
      <c r="DE128" s="1875"/>
      <c r="DF128" s="1875"/>
      <c r="DG128" s="1875"/>
      <c r="DH128" s="1884"/>
      <c r="DI128" s="1883"/>
      <c r="DJ128" s="1875"/>
      <c r="DK128" s="1875"/>
      <c r="DL128" s="1875"/>
      <c r="DM128" s="1884"/>
      <c r="DN128" s="1883"/>
      <c r="DO128" s="1875"/>
      <c r="DP128" s="1875"/>
      <c r="DQ128" s="1875"/>
      <c r="DR128" s="1884"/>
      <c r="DS128" s="1883"/>
      <c r="DT128" s="1875"/>
      <c r="DU128" s="1875"/>
      <c r="DV128" s="1875"/>
      <c r="DW128" s="1884"/>
      <c r="DX128" s="1883"/>
      <c r="DY128" s="1875"/>
      <c r="DZ128" s="1875"/>
      <c r="EA128" s="1875"/>
      <c r="EB128" s="1884"/>
      <c r="EC128" s="1883"/>
      <c r="ED128" s="1875"/>
      <c r="EE128" s="1875"/>
      <c r="EF128" s="1875"/>
      <c r="EG128" s="1884"/>
      <c r="EH128" s="1885"/>
      <c r="EI128" s="1886"/>
      <c r="EJ128" s="1886"/>
      <c r="EK128" s="1886"/>
      <c r="EL128" s="1887"/>
      <c r="EM128" s="1888"/>
      <c r="EN128" s="1889"/>
      <c r="EO128" s="1889"/>
      <c r="EP128" s="1889"/>
      <c r="EQ128" s="166"/>
      <c r="ER128" s="2494"/>
      <c r="ES128" s="2495"/>
      <c r="ET128" s="2495"/>
      <c r="EU128" s="2495"/>
      <c r="EV128" s="2496"/>
      <c r="EW128" s="1890"/>
      <c r="EX128" s="1890"/>
      <c r="EY128" s="1890"/>
      <c r="EZ128" s="1891"/>
      <c r="FA128" s="1885"/>
      <c r="FB128" s="1890"/>
      <c r="FC128" s="1890"/>
      <c r="FD128" s="1892"/>
      <c r="FE128" s="1890"/>
      <c r="FF128" s="1890"/>
      <c r="FG128" s="1890"/>
      <c r="FH128" s="1891"/>
      <c r="FI128" s="1893"/>
      <c r="FJ128" s="1894"/>
      <c r="FK128" s="1895"/>
      <c r="FL128" s="1895"/>
      <c r="FM128" s="1896"/>
      <c r="FN128" s="1890"/>
      <c r="FO128" s="1886"/>
      <c r="FP128" s="1886"/>
      <c r="FQ128" s="1886"/>
      <c r="FR128" s="1897"/>
      <c r="FS128" s="1888"/>
      <c r="FT128" s="1889"/>
      <c r="FU128" s="1889"/>
      <c r="FV128" s="1889"/>
      <c r="FW128" s="1898"/>
      <c r="FX128" s="1885"/>
      <c r="FY128" s="1886"/>
      <c r="FZ128" s="1886"/>
      <c r="GA128" s="1889"/>
      <c r="GB128" s="1898"/>
      <c r="GC128" s="1885"/>
      <c r="GD128" s="1886"/>
      <c r="GE128" s="1886"/>
      <c r="GF128" s="1889"/>
      <c r="GG128" s="166"/>
      <c r="GH128" s="1888"/>
      <c r="GI128" s="1889"/>
      <c r="GJ128" s="1889"/>
      <c r="GK128" s="1902"/>
      <c r="GL128" s="1898"/>
      <c r="GM128" s="1888"/>
      <c r="GN128" s="1889"/>
      <c r="GO128" s="1889"/>
      <c r="GP128" s="1902"/>
      <c r="GQ128" s="1898"/>
      <c r="GR128" s="2497"/>
      <c r="GS128" s="2118"/>
      <c r="GT128" s="2118"/>
      <c r="GU128" s="1902"/>
      <c r="GV128" s="1898"/>
      <c r="GW128" s="2497"/>
      <c r="GX128" s="2118"/>
      <c r="GY128" s="2118"/>
      <c r="GZ128" s="1902"/>
      <c r="HA128" s="1898"/>
      <c r="HB128" s="2497"/>
      <c r="HC128" s="2118"/>
      <c r="HD128" s="2118"/>
      <c r="HE128" s="1902"/>
      <c r="HF128" s="1898"/>
      <c r="HG128" s="2497"/>
      <c r="HH128" s="2118"/>
      <c r="HI128" s="2118"/>
      <c r="HJ128" s="2088"/>
      <c r="HK128" s="1898"/>
      <c r="HL128" s="2497"/>
      <c r="HM128" s="2118"/>
      <c r="HN128" s="2118"/>
      <c r="HO128" s="715"/>
      <c r="HP128" s="166"/>
      <c r="HQ128" s="2498"/>
      <c r="HR128" s="2499"/>
      <c r="HS128" s="2499"/>
      <c r="HT128" s="2499"/>
      <c r="HU128" s="2500"/>
      <c r="HV128" s="2501"/>
      <c r="HW128" s="1307"/>
      <c r="HX128" s="1307"/>
      <c r="HY128" s="1307"/>
      <c r="HZ128" s="2502"/>
      <c r="IA128" s="1907"/>
      <c r="IB128" s="1908"/>
      <c r="IC128" s="1908"/>
      <c r="ID128" s="1909"/>
      <c r="IE128" s="1910"/>
      <c r="IF128" s="1911"/>
      <c r="IG128" s="1912"/>
      <c r="IH128" s="1909"/>
      <c r="II128" s="1835"/>
      <c r="IJ128" s="1836"/>
      <c r="IK128" s="1836"/>
      <c r="IL128" s="693"/>
      <c r="IM128" s="1913"/>
      <c r="IN128" s="1836"/>
      <c r="IO128" s="1836"/>
      <c r="IP128" s="1838"/>
      <c r="IQ128" s="1914"/>
      <c r="IR128" s="1915"/>
      <c r="IS128" s="1916"/>
      <c r="IT128" s="1916"/>
      <c r="IU128" s="2503"/>
      <c r="IV128" s="2504"/>
      <c r="IW128" s="2505"/>
      <c r="IX128" s="2506"/>
      <c r="IY128" s="2507"/>
      <c r="IZ128" s="2064"/>
      <c r="JA128" s="2508"/>
      <c r="JB128" s="1922"/>
      <c r="JC128" s="1923"/>
      <c r="JD128" s="1924"/>
      <c r="JE128" s="2064"/>
      <c r="JF128" s="2508"/>
      <c r="JG128" s="1922"/>
      <c r="JH128" s="1142"/>
      <c r="JI128" s="1142"/>
      <c r="JJ128" s="2509"/>
      <c r="JK128" s="2508"/>
      <c r="JL128" s="2510"/>
      <c r="JM128" s="1142"/>
      <c r="JN128" s="1142"/>
      <c r="JO128" s="2511"/>
      <c r="JP128" s="2508"/>
      <c r="JQ128" s="2512"/>
      <c r="JR128" s="2513"/>
      <c r="JS128" s="1916"/>
      <c r="JT128" s="2514"/>
      <c r="JU128" s="2515"/>
      <c r="JV128" s="2516"/>
      <c r="JW128" s="1137"/>
      <c r="JX128" s="1978"/>
      <c r="JY128" s="1978"/>
      <c r="JZ128" s="2508"/>
      <c r="KA128" s="2517"/>
      <c r="KB128" s="946"/>
      <c r="KC128" s="946"/>
      <c r="KD128" s="937"/>
      <c r="KE128" s="159"/>
      <c r="KF128" s="2516"/>
      <c r="KG128" s="1978"/>
      <c r="KH128" s="1978"/>
      <c r="KI128" s="2064"/>
      <c r="KJ128" s="2508"/>
      <c r="KK128" s="2516"/>
      <c r="KL128" s="1978"/>
      <c r="KM128" s="1978"/>
      <c r="KN128" s="2064"/>
      <c r="KO128" s="2508"/>
      <c r="KP128" s="2067"/>
      <c r="KQ128" s="949"/>
      <c r="KR128" s="946"/>
      <c r="KS128" s="2518"/>
      <c r="KT128" s="2065"/>
      <c r="KU128" s="2519"/>
      <c r="KV128" s="946"/>
      <c r="KW128" s="946"/>
      <c r="KX128" s="946"/>
      <c r="KY128" s="82"/>
      <c r="KZ128" s="2072"/>
      <c r="LA128" s="1089"/>
      <c r="LB128" s="1089"/>
      <c r="LC128" s="1089"/>
      <c r="LD128" s="150"/>
      <c r="LE128" s="2074">
        <f>(IR128+IW128+JB128)/3</f>
        <v>0</v>
      </c>
      <c r="LF128" s="2070">
        <f>IT128+IY128+JD128</f>
        <v>0</v>
      </c>
      <c r="LG128" s="2070">
        <f>IU128+IZ128+JE128</f>
        <v>0</v>
      </c>
      <c r="LH128" s="2071"/>
      <c r="LI128" s="2072">
        <f>(JG128+JL128+JQ128)/3</f>
        <v>0</v>
      </c>
      <c r="LJ128" s="2073">
        <f>(JI128+JN128+JS128)</f>
        <v>0</v>
      </c>
      <c r="LK128" s="2074">
        <f>(JJ128+JO128+JT128)</f>
        <v>0</v>
      </c>
      <c r="LL128" s="2071"/>
      <c r="LM128" s="1859">
        <f>(JV128+KA128+KF128)/3</f>
        <v>0</v>
      </c>
      <c r="LN128" s="1727">
        <f>(JX128+KC128+KH128)</f>
        <v>0</v>
      </c>
      <c r="LO128" s="1727">
        <f>(JY128+KD128+KI128)</f>
        <v>0</v>
      </c>
      <c r="LP128" s="150"/>
      <c r="LQ128" s="1860">
        <f>(KF128+KK128+KP128)/3</f>
        <v>0</v>
      </c>
      <c r="LR128" s="1727">
        <f>(KM128+KR128+KW128)</f>
        <v>0</v>
      </c>
      <c r="LS128" s="1727">
        <f>(KN128+KS128+KX128)</f>
        <v>0</v>
      </c>
      <c r="LT128" s="1861"/>
      <c r="LV128" s="1606"/>
      <c r="LW128" s="1066"/>
      <c r="LX128" s="1066"/>
      <c r="LY128" s="105"/>
      <c r="LZ128" s="365"/>
      <c r="MA128" s="2520"/>
      <c r="MB128" s="1074"/>
      <c r="MC128" s="1074"/>
      <c r="MD128" s="2521"/>
      <c r="ME128" s="170"/>
      <c r="MF128" s="2522"/>
      <c r="MG128" s="2055"/>
      <c r="MH128" s="2055"/>
      <c r="MI128" s="2521"/>
      <c r="MJ128" s="170"/>
      <c r="MK128" s="2058"/>
      <c r="ML128" s="2055"/>
      <c r="MM128" s="2055"/>
      <c r="MN128" s="2521"/>
      <c r="MO128" s="170"/>
      <c r="MP128" s="2523"/>
      <c r="MQ128" s="2524"/>
      <c r="MR128" s="2524"/>
      <c r="MS128" s="2524"/>
      <c r="MT128" s="2525"/>
      <c r="MU128" s="2526"/>
      <c r="MV128" s="2527"/>
      <c r="MW128" s="2527"/>
      <c r="MX128" s="2527"/>
      <c r="MY128" s="2528"/>
      <c r="MZ128" s="2526"/>
      <c r="NA128" s="2527"/>
      <c r="NB128" s="2527"/>
      <c r="NC128" s="2527"/>
      <c r="ND128" s="2528"/>
      <c r="NE128" s="2526"/>
      <c r="NF128" s="2527"/>
      <c r="NG128" s="2527"/>
      <c r="NH128" s="2527"/>
      <c r="NI128" s="2528"/>
      <c r="NJ128" s="2526"/>
      <c r="NK128" s="2527"/>
      <c r="NL128" s="2527"/>
      <c r="NM128" s="2527"/>
      <c r="NN128" s="2528"/>
      <c r="NO128" s="2529"/>
      <c r="NP128" s="2530"/>
      <c r="NQ128" s="2530"/>
      <c r="NR128" s="2527"/>
      <c r="NS128" s="2528"/>
      <c r="NT128" s="2531"/>
      <c r="NU128" s="2532"/>
      <c r="NV128" s="2532"/>
      <c r="NW128" s="2532"/>
      <c r="NX128" s="2533"/>
      <c r="NY128" s="2529"/>
      <c r="NZ128" s="2530"/>
      <c r="OA128" s="2530"/>
      <c r="OB128" s="2530"/>
      <c r="OC128" s="2528"/>
      <c r="OD128" s="2530"/>
      <c r="OE128" s="2530"/>
      <c r="OF128" s="2530"/>
      <c r="OG128" s="2530"/>
      <c r="OH128" s="2534"/>
      <c r="OI128" s="1863"/>
      <c r="OJ128" s="1864"/>
      <c r="OK128" s="105"/>
      <c r="OL128" s="105"/>
      <c r="OM128" s="106"/>
      <c r="ON128" s="2054"/>
      <c r="OO128" s="2057"/>
      <c r="OP128" s="2055"/>
      <c r="OQ128" s="2055"/>
      <c r="OR128" s="2535"/>
      <c r="OS128" s="686">
        <f>NJ128+NE128+MZ128</f>
        <v>0</v>
      </c>
      <c r="OT128" s="146">
        <f>NK128+NF128+NA128</f>
        <v>0</v>
      </c>
      <c r="OU128" s="146">
        <f>NL128+NG128+NB128</f>
        <v>0</v>
      </c>
      <c r="OV128" s="1864">
        <f>NM128+NH128+NC128</f>
        <v>0</v>
      </c>
      <c r="OW128" s="203"/>
      <c r="OX128" s="1047"/>
      <c r="OY128" s="2056"/>
      <c r="OZ128" s="2056"/>
      <c r="PA128" s="2056"/>
      <c r="PB128" s="1064"/>
      <c r="PC128" s="79"/>
      <c r="PD128" s="1606"/>
      <c r="PE128" s="1066"/>
      <c r="PF128" s="1066"/>
      <c r="PG128" s="105"/>
      <c r="PH128" s="365"/>
      <c r="PI128" s="2520"/>
      <c r="PJ128" s="1074"/>
      <c r="PK128" s="1074"/>
      <c r="PL128" s="2521"/>
      <c r="PM128" s="170"/>
      <c r="PN128" s="2522"/>
      <c r="PO128" s="2055"/>
      <c r="PP128" s="2055"/>
      <c r="PQ128" s="2521"/>
      <c r="PR128" s="170"/>
      <c r="PS128" s="2058"/>
      <c r="PT128" s="2055"/>
      <c r="PU128" s="2055"/>
      <c r="PV128" s="2536"/>
      <c r="PW128" s="2537"/>
      <c r="PX128" s="2538"/>
      <c r="PY128" s="2539"/>
      <c r="PZ128" s="2539"/>
      <c r="QA128" s="2539"/>
      <c r="QB128" s="1484"/>
      <c r="QC128" s="2526"/>
      <c r="QD128" s="2527"/>
      <c r="QE128" s="2527"/>
      <c r="QF128" s="2527"/>
      <c r="QG128" s="2528"/>
      <c r="QH128" s="2540"/>
      <c r="QI128" s="2527"/>
      <c r="QJ128" s="2527"/>
      <c r="QK128" s="2527"/>
      <c r="QL128" s="2528"/>
      <c r="QM128" s="2540"/>
      <c r="QN128" s="2527"/>
      <c r="QO128" s="2527"/>
      <c r="QP128" s="2527"/>
      <c r="QQ128" s="2528"/>
      <c r="QR128" s="2526"/>
      <c r="QS128" s="2527"/>
      <c r="QT128" s="2527"/>
      <c r="QU128" s="2527"/>
      <c r="QV128" s="2541"/>
      <c r="QW128" s="2526"/>
      <c r="QX128" s="2527"/>
      <c r="QY128" s="2542"/>
      <c r="QZ128" s="2527"/>
      <c r="RA128" s="2528"/>
      <c r="RB128" s="2531"/>
      <c r="RC128" s="2532"/>
      <c r="RD128" s="2532"/>
      <c r="RE128" s="2532"/>
      <c r="RF128" s="2533"/>
      <c r="RG128" s="2543"/>
      <c r="RH128" s="2530"/>
      <c r="RI128" s="2530"/>
      <c r="RJ128" s="2530"/>
      <c r="RK128" s="2528"/>
      <c r="RL128" s="2530"/>
      <c r="RM128" s="2530"/>
      <c r="RN128" s="2530"/>
      <c r="RO128" s="2530"/>
      <c r="RP128" s="2534"/>
      <c r="RQ128" s="1863"/>
      <c r="RR128" s="1864"/>
      <c r="RS128" s="105"/>
      <c r="RT128" s="105"/>
      <c r="RU128" s="106"/>
      <c r="RV128" s="2054"/>
      <c r="RW128" s="2057"/>
      <c r="RX128" s="2055"/>
      <c r="RY128" s="2055"/>
      <c r="RZ128" s="2535"/>
      <c r="SA128" s="686">
        <f>QR128+QM128+QH128</f>
        <v>0</v>
      </c>
      <c r="SB128" s="146">
        <f>QS128+QN128+QI128</f>
        <v>0</v>
      </c>
      <c r="SC128" s="146">
        <f>QT128+QO128+QJ128</f>
        <v>0</v>
      </c>
      <c r="SD128" s="1864">
        <f>QU128+QP128+QK128</f>
        <v>0</v>
      </c>
      <c r="SE128" s="203"/>
      <c r="SF128" s="2529"/>
      <c r="SG128" s="2057"/>
      <c r="SH128" s="2055"/>
      <c r="SI128" s="2055"/>
      <c r="SJ128" s="2544"/>
      <c r="SL128" s="2522"/>
      <c r="SM128" s="2055"/>
      <c r="SN128" s="2055"/>
      <c r="SO128" s="3222"/>
      <c r="SP128" s="3633"/>
      <c r="SQ128" s="2928"/>
      <c r="SR128" s="2527"/>
      <c r="SS128" s="2527"/>
      <c r="ST128" s="4501"/>
      <c r="SU128" s="218"/>
      <c r="SV128" s="1606"/>
      <c r="SW128" s="1066"/>
      <c r="SX128" s="4502"/>
      <c r="SY128" s="211"/>
      <c r="SZ128" s="95"/>
      <c r="TA128" s="2053"/>
      <c r="TB128" s="1066"/>
      <c r="TC128" s="4502"/>
      <c r="TD128" s="105"/>
      <c r="TE128" s="95"/>
      <c r="TF128" s="4107"/>
      <c r="TG128" s="954"/>
      <c r="TH128" s="954"/>
      <c r="TI128" s="954"/>
      <c r="TJ128" s="126"/>
      <c r="TK128" s="2526"/>
      <c r="TL128" s="2527"/>
      <c r="TM128" s="2527"/>
      <c r="TN128" s="2527"/>
      <c r="TO128" s="2528"/>
      <c r="TP128" s="4503"/>
      <c r="TQ128" s="2527"/>
      <c r="TR128" s="2527"/>
      <c r="TS128" s="2527"/>
      <c r="TT128" s="4504"/>
      <c r="TU128" s="4503"/>
      <c r="TV128" s="2527"/>
      <c r="TW128" s="2527"/>
      <c r="TX128" s="2527"/>
      <c r="TY128" s="2528"/>
      <c r="TZ128" s="2526"/>
      <c r="UA128" s="2527"/>
      <c r="UB128" s="2527"/>
      <c r="UC128" s="2527"/>
      <c r="UD128" s="2541"/>
      <c r="UE128" s="2526"/>
      <c r="UF128" s="2527"/>
      <c r="UG128" s="2542"/>
      <c r="UH128" s="2527"/>
      <c r="UI128" s="2528"/>
      <c r="UJ128" s="2531"/>
      <c r="UK128" s="2532"/>
      <c r="UL128" s="2532"/>
      <c r="UM128" s="2532"/>
      <c r="UN128" s="2533"/>
      <c r="UO128" s="2543"/>
      <c r="UP128" s="2530"/>
      <c r="UQ128" s="2530"/>
      <c r="UR128" s="2530"/>
      <c r="US128" s="2528"/>
      <c r="UT128" s="2530"/>
      <c r="UU128" s="2530"/>
      <c r="UV128" s="2530"/>
      <c r="UW128" s="2530"/>
      <c r="UX128" s="2534"/>
      <c r="UY128" s="1863"/>
      <c r="UZ128" s="1864"/>
      <c r="VA128" s="105"/>
      <c r="VB128" s="105"/>
      <c r="VC128" s="106"/>
      <c r="VD128" s="2054"/>
      <c r="VE128" s="2057"/>
      <c r="VF128" s="2055"/>
      <c r="VG128" s="2055"/>
      <c r="VH128" s="2535"/>
      <c r="VI128" s="686">
        <f>TZ128+TU128+TP128</f>
        <v>0</v>
      </c>
      <c r="VJ128" s="146">
        <f>UA128+TV128+TQ128</f>
        <v>0</v>
      </c>
      <c r="VK128" s="146">
        <f>UB128+TW128+TR128</f>
        <v>0</v>
      </c>
      <c r="VL128" s="1864">
        <f>UC128+TX128+TS128</f>
        <v>0</v>
      </c>
      <c r="VM128" s="203"/>
      <c r="VN128" s="2529"/>
      <c r="VO128" s="2057"/>
      <c r="VP128" s="2055"/>
      <c r="VQ128" s="2055"/>
      <c r="VR128" s="2544"/>
    </row>
    <row r="129" spans="1:590" s="1193" customFormat="1" ht="13.45" hidden="1" x14ac:dyDescent="0.3">
      <c r="A129" s="1297"/>
      <c r="B129" s="4505" t="s">
        <v>84</v>
      </c>
      <c r="C129" s="2545" t="s">
        <v>172</v>
      </c>
      <c r="D129" s="2061" t="s">
        <v>834</v>
      </c>
      <c r="E129" s="2086">
        <v>44417</v>
      </c>
      <c r="F129" s="2086">
        <v>44592</v>
      </c>
      <c r="G129" s="1994">
        <v>5700000</v>
      </c>
      <c r="H129" s="1874"/>
      <c r="I129" s="1875"/>
      <c r="J129" s="1875"/>
      <c r="K129" s="1875"/>
      <c r="L129" s="1876"/>
      <c r="M129" s="1874"/>
      <c r="N129" s="1875"/>
      <c r="O129" s="1875"/>
      <c r="P129" s="1875"/>
      <c r="Q129" s="1876"/>
      <c r="R129" s="1874"/>
      <c r="S129" s="1875"/>
      <c r="T129" s="1875"/>
      <c r="U129" s="1875"/>
      <c r="V129" s="1876"/>
      <c r="W129" s="1874"/>
      <c r="X129" s="1875"/>
      <c r="Y129" s="1875"/>
      <c r="Z129" s="1875"/>
      <c r="AA129" s="1877"/>
      <c r="AB129" s="1874"/>
      <c r="AC129" s="1875"/>
      <c r="AD129" s="1875"/>
      <c r="AE129" s="1875"/>
      <c r="AF129" s="1877"/>
      <c r="AG129" s="1875"/>
      <c r="AH129" s="1875"/>
      <c r="AI129" s="1875"/>
      <c r="AJ129" s="1875"/>
      <c r="AK129" s="1876"/>
      <c r="AL129" s="1875"/>
      <c r="AM129" s="1875"/>
      <c r="AN129" s="1875"/>
      <c r="AO129" s="1875"/>
      <c r="AP129" s="1876"/>
      <c r="AQ129" s="1875"/>
      <c r="AR129" s="1875"/>
      <c r="AS129" s="1875"/>
      <c r="AT129" s="1875"/>
      <c r="AU129" s="1876"/>
      <c r="AV129" s="1878"/>
      <c r="AW129" s="1875"/>
      <c r="AX129" s="1875"/>
      <c r="AY129" s="1875"/>
      <c r="AZ129" s="1877"/>
      <c r="BA129" s="1878"/>
      <c r="BB129" s="1875"/>
      <c r="BC129" s="1875"/>
      <c r="BD129" s="1875"/>
      <c r="BE129" s="1877"/>
      <c r="BF129" s="1878"/>
      <c r="BG129" s="1875"/>
      <c r="BH129" s="1875"/>
      <c r="BI129" s="1875"/>
      <c r="BJ129" s="1877"/>
      <c r="BK129" s="1878"/>
      <c r="BL129" s="1875"/>
      <c r="BM129" s="1875"/>
      <c r="BN129" s="1875"/>
      <c r="BO129" s="1877"/>
      <c r="BP129" s="1879"/>
      <c r="BQ129" s="1875"/>
      <c r="BR129" s="1875"/>
      <c r="BS129" s="1875"/>
      <c r="BT129" s="1880"/>
      <c r="BU129" s="1875"/>
      <c r="BV129" s="1875"/>
      <c r="BW129" s="1881"/>
      <c r="BX129" s="1880"/>
      <c r="BY129" s="1875"/>
      <c r="BZ129" s="1875"/>
      <c r="CA129" s="1882"/>
      <c r="CB129" s="1875"/>
      <c r="CC129" s="1875"/>
      <c r="CD129" s="1875"/>
      <c r="CE129" s="1875"/>
      <c r="CF129" s="1880"/>
      <c r="CG129" s="1875"/>
      <c r="CH129" s="1875"/>
      <c r="CI129" s="1882"/>
      <c r="CJ129" s="1883"/>
      <c r="CK129" s="1875"/>
      <c r="CL129" s="1875"/>
      <c r="CM129" s="1875"/>
      <c r="CN129" s="1881"/>
      <c r="CO129" s="1883"/>
      <c r="CP129" s="1874"/>
      <c r="CQ129" s="1874"/>
      <c r="CR129" s="1874"/>
      <c r="CS129" s="1881"/>
      <c r="CT129" s="1883"/>
      <c r="CU129" s="1875"/>
      <c r="CV129" s="1875"/>
      <c r="CW129" s="1875"/>
      <c r="CX129" s="1881"/>
      <c r="CY129" s="1883"/>
      <c r="CZ129" s="1875"/>
      <c r="DA129" s="1875"/>
      <c r="DB129" s="1875"/>
      <c r="DC129" s="1881"/>
      <c r="DD129" s="1883"/>
      <c r="DE129" s="1875"/>
      <c r="DF129" s="1875"/>
      <c r="DG129" s="1875"/>
      <c r="DH129" s="1884"/>
      <c r="DI129" s="1883"/>
      <c r="DJ129" s="1875"/>
      <c r="DK129" s="1875"/>
      <c r="DL129" s="1875"/>
      <c r="DM129" s="1884"/>
      <c r="DN129" s="1883"/>
      <c r="DO129" s="1875"/>
      <c r="DP129" s="1875"/>
      <c r="DQ129" s="1875"/>
      <c r="DR129" s="1884"/>
      <c r="DS129" s="1883"/>
      <c r="DT129" s="1875"/>
      <c r="DU129" s="1875"/>
      <c r="DV129" s="1875"/>
      <c r="DW129" s="1884"/>
      <c r="DX129" s="1883"/>
      <c r="DY129" s="1875"/>
      <c r="DZ129" s="1875"/>
      <c r="EA129" s="1875"/>
      <c r="EB129" s="1884"/>
      <c r="EC129" s="1883"/>
      <c r="ED129" s="1875"/>
      <c r="EE129" s="1875"/>
      <c r="EF129" s="1875"/>
      <c r="EG129" s="1884"/>
      <c r="EH129" s="1885"/>
      <c r="EI129" s="1886"/>
      <c r="EJ129" s="1886"/>
      <c r="EK129" s="1886"/>
      <c r="EL129" s="1887"/>
      <c r="EM129" s="1888"/>
      <c r="EN129" s="1889"/>
      <c r="EO129" s="1889"/>
      <c r="EP129" s="1889"/>
      <c r="EQ129" s="166"/>
      <c r="ER129" s="1713">
        <f>(CJ129+CO129+CT129+CY129+DD129+DI129+DN129+DS129+DX129+EC129+EH129+EM129)/12</f>
        <v>0</v>
      </c>
      <c r="ES129" s="1714">
        <f t="shared" ref="ES129:EU131" si="462">CK129+CP129+CU129+CZ129+DE129+DJ129+DO129+DT129+DY129+ED129+EI129+EN129</f>
        <v>0</v>
      </c>
      <c r="ET129" s="1714">
        <f t="shared" si="462"/>
        <v>0</v>
      </c>
      <c r="EU129" s="1714">
        <f t="shared" si="462"/>
        <v>0</v>
      </c>
      <c r="EV129" s="1715" t="e">
        <f>EU129/ET129</f>
        <v>#DIV/0!</v>
      </c>
      <c r="EW129" s="1890"/>
      <c r="EX129" s="1890"/>
      <c r="EY129" s="1890"/>
      <c r="EZ129" s="1891"/>
      <c r="FA129" s="1885"/>
      <c r="FB129" s="1890"/>
      <c r="FC129" s="1890"/>
      <c r="FD129" s="1892"/>
      <c r="FE129" s="1890"/>
      <c r="FF129" s="1890"/>
      <c r="FG129" s="1890"/>
      <c r="FH129" s="1891"/>
      <c r="FI129" s="1893"/>
      <c r="FJ129" s="1894"/>
      <c r="FK129" s="1895"/>
      <c r="FL129" s="1895"/>
      <c r="FM129" s="1896"/>
      <c r="FN129" s="1890"/>
      <c r="FO129" s="1886"/>
      <c r="FP129" s="1886"/>
      <c r="FQ129" s="1886"/>
      <c r="FR129" s="1897"/>
      <c r="FS129" s="1888"/>
      <c r="FT129" s="1889"/>
      <c r="FU129" s="1889"/>
      <c r="FV129" s="1889"/>
      <c r="FW129" s="1898"/>
      <c r="FX129" s="1885"/>
      <c r="FY129" s="1886"/>
      <c r="FZ129" s="1886"/>
      <c r="GA129" s="1889"/>
      <c r="GB129" s="1898"/>
      <c r="GC129" s="1899"/>
      <c r="GD129" s="1900"/>
      <c r="GE129" s="1900"/>
      <c r="GF129" s="1889"/>
      <c r="GG129" s="166"/>
      <c r="GH129" s="1901"/>
      <c r="GI129" s="1824"/>
      <c r="GJ129" s="1824"/>
      <c r="GK129" s="1902"/>
      <c r="GL129" s="1898"/>
      <c r="GM129" s="1901"/>
      <c r="GN129" s="1824"/>
      <c r="GO129" s="1824"/>
      <c r="GP129" s="1902"/>
      <c r="GQ129" s="1898"/>
      <c r="GR129" s="1903"/>
      <c r="GS129" s="1904"/>
      <c r="GT129" s="1904"/>
      <c r="GU129" s="1902"/>
      <c r="GV129" s="1898"/>
      <c r="GW129" s="1903"/>
      <c r="GX129" s="1904"/>
      <c r="GY129" s="1904"/>
      <c r="GZ129" s="1902"/>
      <c r="HA129" s="1898"/>
      <c r="HB129" s="1903"/>
      <c r="HC129" s="1904"/>
      <c r="HD129" s="1904"/>
      <c r="HE129" s="1902"/>
      <c r="HF129" s="1898"/>
      <c r="HG129" s="1903"/>
      <c r="HH129" s="1904"/>
      <c r="HI129" s="1904"/>
      <c r="HJ129" s="1818"/>
      <c r="HK129" s="1898"/>
      <c r="HL129" s="1903"/>
      <c r="HM129" s="1904"/>
      <c r="HN129" s="1904"/>
      <c r="HO129" s="715"/>
      <c r="HP129" s="166"/>
      <c r="HQ129" s="1905"/>
      <c r="HR129" s="1248">
        <v>0</v>
      </c>
      <c r="HS129" s="1248">
        <v>0</v>
      </c>
      <c r="HT129" s="1248">
        <v>0</v>
      </c>
      <c r="HU129" s="1826"/>
      <c r="HV129" s="2008">
        <f>(FN129+FS129+FX129+GC129+GH129+GM129+GR129+GW129+HB129+HG129+HL129+HQ129)/12</f>
        <v>0</v>
      </c>
      <c r="HW129" s="208">
        <f t="shared" ref="HW129:HY131" si="463">FO129+FT129+FY129+GD129+GI129+GN129+GS129+GX129+HC129+HH129+HM129+HR129</f>
        <v>0</v>
      </c>
      <c r="HX129" s="208">
        <f t="shared" si="463"/>
        <v>0</v>
      </c>
      <c r="HY129" s="208">
        <f t="shared" si="463"/>
        <v>0</v>
      </c>
      <c r="HZ129" s="2009"/>
      <c r="IA129" s="1907"/>
      <c r="IB129" s="1908"/>
      <c r="IC129" s="1908"/>
      <c r="ID129" s="1909"/>
      <c r="IE129" s="1910"/>
      <c r="IF129" s="1911"/>
      <c r="IG129" s="1912"/>
      <c r="IH129" s="1909"/>
      <c r="II129" s="1835"/>
      <c r="IJ129" s="1836"/>
      <c r="IK129" s="1836"/>
      <c r="IL129" s="693"/>
      <c r="IM129" s="1913"/>
      <c r="IN129" s="1836"/>
      <c r="IO129" s="1836"/>
      <c r="IP129" s="1838"/>
      <c r="IQ129" s="1914"/>
      <c r="IR129" s="1915"/>
      <c r="IS129" s="1916"/>
      <c r="IT129" s="1916"/>
      <c r="IU129" s="1917"/>
      <c r="IV129" s="1918"/>
      <c r="IW129" s="1919"/>
      <c r="IX129" s="1920"/>
      <c r="IY129" s="1921"/>
      <c r="IZ129" s="1719"/>
      <c r="JA129" s="1721"/>
      <c r="JB129" s="1922"/>
      <c r="JC129" s="1923"/>
      <c r="JD129" s="1924"/>
      <c r="JE129" s="1719"/>
      <c r="JF129" s="1721"/>
      <c r="JG129" s="1847"/>
      <c r="JH129" s="1096"/>
      <c r="JI129" s="1096"/>
      <c r="JJ129" s="1756"/>
      <c r="JK129" s="1721"/>
      <c r="JL129" s="1927"/>
      <c r="JM129" s="1096"/>
      <c r="JN129" s="1096"/>
      <c r="JO129" s="1843"/>
      <c r="JP129" s="1721"/>
      <c r="JQ129" s="2546"/>
      <c r="JR129" s="2547">
        <f>1000350+80833</f>
        <v>1081183</v>
      </c>
      <c r="JS129" s="2548">
        <v>2280000</v>
      </c>
      <c r="JT129" s="2549">
        <f>JS129-JR129</f>
        <v>1198817</v>
      </c>
      <c r="JU129" s="2550">
        <f>JT129/JS129</f>
        <v>0.52579692982456139</v>
      </c>
      <c r="JV129" s="1849"/>
      <c r="JW129" s="1119"/>
      <c r="JX129" s="1850">
        <v>0</v>
      </c>
      <c r="JY129" s="1845">
        <f>JX129-JW129</f>
        <v>0</v>
      </c>
      <c r="JZ129" s="1721"/>
      <c r="KA129" s="1846">
        <v>5</v>
      </c>
      <c r="KB129" s="264">
        <f>456000*3</f>
        <v>1368000</v>
      </c>
      <c r="KC129" s="264">
        <v>1710000</v>
      </c>
      <c r="KD129" s="964">
        <f>KC129-KB129</f>
        <v>342000</v>
      </c>
      <c r="KE129" s="1848">
        <f>KD129/KC129</f>
        <v>0.2</v>
      </c>
      <c r="KF129" s="1849"/>
      <c r="KG129" s="1850">
        <v>0</v>
      </c>
      <c r="KH129" s="1850">
        <v>0</v>
      </c>
      <c r="KI129" s="1719">
        <f>KH129-KG129</f>
        <v>0</v>
      </c>
      <c r="KJ129" s="1721"/>
      <c r="KK129" s="1849"/>
      <c r="KL129" s="1850"/>
      <c r="KM129" s="1850">
        <v>0</v>
      </c>
      <c r="KN129" s="1851">
        <f>KM129-KL129</f>
        <v>0</v>
      </c>
      <c r="KO129" s="1852"/>
      <c r="KP129" s="2551"/>
      <c r="KQ129" s="972"/>
      <c r="KR129" s="264"/>
      <c r="KS129" s="1845">
        <f>KR129-KQ129</f>
        <v>0</v>
      </c>
      <c r="KT129" s="1720"/>
      <c r="KU129" s="1853"/>
      <c r="KV129" s="264">
        <v>0</v>
      </c>
      <c r="KW129" s="264">
        <v>0</v>
      </c>
      <c r="KX129" s="264">
        <f>KW129-KV129</f>
        <v>0</v>
      </c>
      <c r="KY129" s="75"/>
      <c r="KZ129" s="1857"/>
      <c r="LA129" s="358">
        <f t="shared" ref="LA129:LC131" si="464">IS129+IX129+JC129+JH129+JM129+JR129+JW129+KB129+KG129+KL129+KQ129+KV129</f>
        <v>2449183</v>
      </c>
      <c r="LB129" s="358">
        <f t="shared" si="464"/>
        <v>3990000</v>
      </c>
      <c r="LC129" s="358">
        <f t="shared" si="464"/>
        <v>1540817</v>
      </c>
      <c r="LD129" s="151">
        <f>LC129/LB129</f>
        <v>0.38616967418546366</v>
      </c>
      <c r="LE129" s="1854">
        <f>(IR129+IW129+JB129)/3</f>
        <v>0</v>
      </c>
      <c r="LF129" s="1855">
        <f t="shared" ref="LF129:LG131" si="465">IT129+IY129+JD129</f>
        <v>0</v>
      </c>
      <c r="LG129" s="1855">
        <f t="shared" si="465"/>
        <v>0</v>
      </c>
      <c r="LH129" s="1856" t="e">
        <f>LG129/LF129</f>
        <v>#DIV/0!</v>
      </c>
      <c r="LI129" s="1857">
        <f>(JG129+JL129+JQ129)/3</f>
        <v>0</v>
      </c>
      <c r="LJ129" s="1858">
        <f t="shared" ref="LJ129:LK131" si="466">(JI129+JN129+JS129)</f>
        <v>2280000</v>
      </c>
      <c r="LK129" s="1854">
        <f t="shared" si="466"/>
        <v>1198817</v>
      </c>
      <c r="LL129" s="1856">
        <f>LK129/LJ129</f>
        <v>0.52579692982456139</v>
      </c>
      <c r="LM129" s="1859">
        <f>(JV129+KA129+KF129)/3</f>
        <v>1.6666666666666667</v>
      </c>
      <c r="LN129" s="1727">
        <f t="shared" ref="LN129:LO131" si="467">(JX129+KC129+KH129)</f>
        <v>1710000</v>
      </c>
      <c r="LO129" s="1727">
        <f t="shared" si="467"/>
        <v>342000</v>
      </c>
      <c r="LP129" s="151">
        <f>LO129/LN129</f>
        <v>0.2</v>
      </c>
      <c r="LQ129" s="1860">
        <f>(KK129+KP129+KU129)/3</f>
        <v>0</v>
      </c>
      <c r="LR129" s="1727">
        <f t="shared" ref="LR129:LS131" si="468">(KM129+KR129+KW129)</f>
        <v>0</v>
      </c>
      <c r="LS129" s="1727">
        <f t="shared" si="468"/>
        <v>0</v>
      </c>
      <c r="LT129" s="1861"/>
      <c r="LV129" s="439"/>
      <c r="LW129" s="208"/>
      <c r="LX129" s="208"/>
      <c r="LY129" s="2146"/>
      <c r="LZ129" s="78"/>
      <c r="MA129" s="2147">
        <v>12</v>
      </c>
      <c r="MB129" s="1592">
        <v>1915618.2258064514</v>
      </c>
      <c r="MC129" s="1592">
        <v>1710000</v>
      </c>
      <c r="MD129" s="2148">
        <f>MC129-MB129</f>
        <v>-205618.2258064514</v>
      </c>
      <c r="ME129" s="157">
        <f>MD129/MC129</f>
        <v>-0.12024457649500082</v>
      </c>
      <c r="MF129" s="439">
        <v>0</v>
      </c>
      <c r="MG129" s="208">
        <v>0</v>
      </c>
      <c r="MH129" s="208">
        <v>0</v>
      </c>
      <c r="MI129" s="371">
        <f>MH129-MG129</f>
        <v>0</v>
      </c>
      <c r="MJ129" s="157"/>
      <c r="MK129" s="354">
        <v>0</v>
      </c>
      <c r="ML129" s="208">
        <v>0</v>
      </c>
      <c r="MM129" s="208">
        <v>0</v>
      </c>
      <c r="MN129" s="371">
        <f>MM129-ML129</f>
        <v>0</v>
      </c>
      <c r="MO129" s="157"/>
      <c r="MP129" s="1579"/>
      <c r="MQ129" s="264">
        <v>0</v>
      </c>
      <c r="MR129" s="264">
        <v>0</v>
      </c>
      <c r="MS129" s="264">
        <f>MR129-MQ129</f>
        <v>0</v>
      </c>
      <c r="MT129" s="597"/>
      <c r="MU129" s="209"/>
      <c r="MV129" s="208"/>
      <c r="MW129" s="208"/>
      <c r="MX129" s="208">
        <f>MW129-MV129</f>
        <v>0</v>
      </c>
      <c r="MY129" s="597"/>
      <c r="MZ129" s="209"/>
      <c r="NA129" s="208"/>
      <c r="NB129" s="208"/>
      <c r="NC129" s="208">
        <f>NB129-NA129</f>
        <v>0</v>
      </c>
      <c r="ND129" s="597"/>
      <c r="NE129" s="209"/>
      <c r="NF129" s="208"/>
      <c r="NG129" s="208"/>
      <c r="NH129" s="208"/>
      <c r="NI129" s="597"/>
      <c r="NJ129" s="209"/>
      <c r="NK129" s="208"/>
      <c r="NL129" s="208"/>
      <c r="NM129" s="208"/>
      <c r="NN129" s="597"/>
      <c r="NO129" s="357"/>
      <c r="NP129" s="358"/>
      <c r="NQ129" s="358"/>
      <c r="NR129" s="208"/>
      <c r="NS129" s="597"/>
      <c r="NT129" s="357"/>
      <c r="NU129" s="358">
        <v>0</v>
      </c>
      <c r="NV129" s="358">
        <v>0</v>
      </c>
      <c r="NW129" s="208">
        <f>NV129-NU129</f>
        <v>0</v>
      </c>
      <c r="NX129" s="597"/>
      <c r="NY129" s="357"/>
      <c r="NZ129" s="358">
        <v>0</v>
      </c>
      <c r="OA129" s="358">
        <v>0</v>
      </c>
      <c r="OB129" s="772">
        <f>OA129-NZ129</f>
        <v>0</v>
      </c>
      <c r="OC129" s="659"/>
      <c r="OD129" s="191"/>
      <c r="OE129" s="358">
        <f t="shared" ref="OE129:OG134" si="469">NZ129+NU129+NP129+NK129+NF129+NA129+MV129+MQ129+ML129+MG129+MB129+LW129</f>
        <v>1915618.2258064514</v>
      </c>
      <c r="OF129" s="358">
        <f t="shared" si="469"/>
        <v>1710000</v>
      </c>
      <c r="OG129" s="1333">
        <f t="shared" si="469"/>
        <v>-205618.2258064514</v>
      </c>
      <c r="OH129" s="1332">
        <f>OG129/OF129</f>
        <v>-0.12024457649500082</v>
      </c>
      <c r="OI129" s="1863">
        <f>(LV129+MA129+MF129)/3</f>
        <v>4</v>
      </c>
      <c r="OJ129" s="105">
        <f>LW129+MB129+MG129</f>
        <v>1915618.2258064514</v>
      </c>
      <c r="OK129" s="105">
        <f>LX129+MC129+MH129</f>
        <v>1710000</v>
      </c>
      <c r="OL129" s="105">
        <f>LY129+MD129+MI129</f>
        <v>-205618.2258064514</v>
      </c>
      <c r="OM129" s="106">
        <f>OL129/OK129</f>
        <v>-0.12024457649500082</v>
      </c>
      <c r="ON129" s="358">
        <f>(MK129+MP129+MU129)/3</f>
        <v>0</v>
      </c>
      <c r="OO129" s="358">
        <f t="shared" ref="OO129:OQ131" si="470">ML129+MQ129+MV129</f>
        <v>0</v>
      </c>
      <c r="OP129" s="358">
        <f t="shared" si="470"/>
        <v>0</v>
      </c>
      <c r="OQ129" s="359">
        <f t="shared" si="470"/>
        <v>0</v>
      </c>
      <c r="OR129" s="169"/>
      <c r="OS129" s="686">
        <f t="shared" ref="OS129:OS134" si="471">(NJ129+NE129+MZ129)/3</f>
        <v>0</v>
      </c>
      <c r="OT129" s="146">
        <f t="shared" ref="OT129:OV131" si="472">NK129+NF129+NA129</f>
        <v>0</v>
      </c>
      <c r="OU129" s="146">
        <f t="shared" si="472"/>
        <v>0</v>
      </c>
      <c r="OV129" s="1864">
        <f t="shared" si="472"/>
        <v>0</v>
      </c>
      <c r="OW129" s="203"/>
      <c r="OX129" s="357">
        <f>(NO129+NT129+NY129)/3</f>
        <v>0</v>
      </c>
      <c r="OY129" s="358">
        <f t="shared" ref="OY129:PA134" si="473">NP129+NU129+NZ129</f>
        <v>0</v>
      </c>
      <c r="OZ129" s="358">
        <f t="shared" si="473"/>
        <v>0</v>
      </c>
      <c r="PA129" s="359">
        <f t="shared" si="473"/>
        <v>0</v>
      </c>
      <c r="PB129" s="114"/>
      <c r="PC129" s="79"/>
      <c r="PD129" s="439"/>
      <c r="PE129" s="208"/>
      <c r="PF129" s="208"/>
      <c r="PG129" s="96"/>
      <c r="PH129" s="224"/>
      <c r="PI129" s="2147"/>
      <c r="PJ129" s="1592"/>
      <c r="PK129" s="1592"/>
      <c r="PL129" s="2148">
        <f t="shared" ref="PL129:PL137" si="474">PK129-PJ129</f>
        <v>0</v>
      </c>
      <c r="PM129" s="157"/>
      <c r="PN129" s="439"/>
      <c r="PO129" s="208"/>
      <c r="PP129" s="208"/>
      <c r="PQ129" s="371">
        <f>PP129-PO129</f>
        <v>0</v>
      </c>
      <c r="PR129" s="157"/>
      <c r="PS129" s="1866"/>
      <c r="PT129" s="1575"/>
      <c r="PU129" s="1575"/>
      <c r="PV129" s="1707">
        <f>PU129-PT129</f>
        <v>0</v>
      </c>
      <c r="PW129" s="1867"/>
      <c r="PX129" s="1579"/>
      <c r="PY129" s="264"/>
      <c r="PZ129" s="264"/>
      <c r="QA129" s="264">
        <f>PZ129-PY129</f>
        <v>0</v>
      </c>
      <c r="QB129" s="597"/>
      <c r="QC129" s="1868"/>
      <c r="QD129" s="1575"/>
      <c r="QE129" s="1575"/>
      <c r="QF129" s="1575">
        <f>QE129-QD129</f>
        <v>0</v>
      </c>
      <c r="QG129" s="1869"/>
      <c r="QH129" s="405"/>
      <c r="QI129" s="1575"/>
      <c r="QJ129" s="1575"/>
      <c r="QK129" s="1575">
        <f>QJ129-QI129</f>
        <v>0</v>
      </c>
      <c r="QL129" s="1869"/>
      <c r="QM129" s="439"/>
      <c r="QN129" s="208"/>
      <c r="QO129" s="208"/>
      <c r="QP129" s="208"/>
      <c r="QQ129" s="597"/>
      <c r="QR129" s="209"/>
      <c r="QS129" s="208"/>
      <c r="QT129" s="208"/>
      <c r="QU129" s="208"/>
      <c r="QV129" s="98"/>
      <c r="QW129" s="1868"/>
      <c r="QX129" s="1575"/>
      <c r="QY129" s="2552"/>
      <c r="QZ129" s="1575"/>
      <c r="RA129" s="1869"/>
      <c r="RB129" s="357"/>
      <c r="RC129" s="358">
        <v>0</v>
      </c>
      <c r="RD129" s="358">
        <v>0</v>
      </c>
      <c r="RE129" s="208">
        <f>RD129-RC129</f>
        <v>0</v>
      </c>
      <c r="RF129" s="597"/>
      <c r="RG129" s="1567"/>
      <c r="RH129" s="1568">
        <v>0</v>
      </c>
      <c r="RI129" s="1568">
        <v>0</v>
      </c>
      <c r="RJ129" s="2012">
        <f>RI129-RH129</f>
        <v>0</v>
      </c>
      <c r="RK129" s="659"/>
      <c r="RL129" s="3708"/>
      <c r="RM129" s="1568">
        <f t="shared" ref="RM129:RO138" si="475">RH129+RC129+QX129+QS129+QN129+QI129+QD129+PY129+PT129+PO129+PJ129+PE129</f>
        <v>0</v>
      </c>
      <c r="RN129" s="1568">
        <f t="shared" si="475"/>
        <v>0</v>
      </c>
      <c r="RO129" s="1568">
        <f t="shared" si="475"/>
        <v>0</v>
      </c>
      <c r="RP129" s="2281">
        <v>0</v>
      </c>
      <c r="RQ129" s="1863">
        <f>(PD129+PI129+PN129)/3</f>
        <v>0</v>
      </c>
      <c r="RR129" s="105">
        <f>PE129+PJ129+PO129</f>
        <v>0</v>
      </c>
      <c r="RS129" s="105">
        <f>PF129+PK129+PP129</f>
        <v>0</v>
      </c>
      <c r="RT129" s="105">
        <f>PG129+PL129+PQ129</f>
        <v>0</v>
      </c>
      <c r="RU129" s="106"/>
      <c r="RV129" s="358">
        <f>(PS129+PX129+QC129)/3</f>
        <v>0</v>
      </c>
      <c r="RW129" s="358">
        <f t="shared" ref="RW129:RY138" si="476">PT129+PY129+QD129</f>
        <v>0</v>
      </c>
      <c r="RX129" s="358">
        <f t="shared" si="476"/>
        <v>0</v>
      </c>
      <c r="RY129" s="359">
        <f t="shared" si="476"/>
        <v>0</v>
      </c>
      <c r="RZ129" s="169"/>
      <c r="SA129" s="686">
        <f>(QR129+QM129+QH129)/3</f>
        <v>0</v>
      </c>
      <c r="SB129" s="146">
        <f t="shared" ref="SB129:SD138" si="477">QS129+QN129+QI129</f>
        <v>0</v>
      </c>
      <c r="SC129" s="146">
        <f t="shared" si="477"/>
        <v>0</v>
      </c>
      <c r="SD129" s="1864">
        <f t="shared" si="477"/>
        <v>0</v>
      </c>
      <c r="SE129" s="203"/>
      <c r="SF129" s="191"/>
      <c r="SG129" s="358">
        <f t="shared" ref="SG129:SI138" si="478">QX129+RC129+RH129</f>
        <v>0</v>
      </c>
      <c r="SH129" s="358">
        <f t="shared" si="478"/>
        <v>0</v>
      </c>
      <c r="SI129" s="359">
        <f t="shared" si="478"/>
        <v>0</v>
      </c>
      <c r="SJ129" s="114"/>
      <c r="SL129" s="405"/>
      <c r="SM129" s="1575"/>
      <c r="SN129" s="1575"/>
      <c r="SO129" s="3523"/>
      <c r="SP129" s="3524"/>
      <c r="SQ129" s="3634"/>
      <c r="SR129" s="3635"/>
      <c r="SS129" s="3635"/>
      <c r="ST129" s="3636">
        <f t="shared" ref="ST129:ST138" si="479">SS129-SR129</f>
        <v>0</v>
      </c>
      <c r="SU129" s="1867"/>
      <c r="SV129" s="439"/>
      <c r="SW129" s="208"/>
      <c r="SX129" s="994"/>
      <c r="SY129" s="96">
        <f>SX129-SW129</f>
        <v>0</v>
      </c>
      <c r="SZ129" s="94"/>
      <c r="TA129" s="354"/>
      <c r="TB129" s="208"/>
      <c r="TC129" s="994"/>
      <c r="TD129" s="96">
        <f>TC129-TB129</f>
        <v>0</v>
      </c>
      <c r="TE129" s="94"/>
      <c r="TF129" s="354"/>
      <c r="TG129" s="208"/>
      <c r="TH129" s="208"/>
      <c r="TI129" s="208">
        <f t="shared" ref="TI129:TI161" si="480">TH129-TG129</f>
        <v>0</v>
      </c>
      <c r="TJ129" s="114"/>
      <c r="TK129" s="1868"/>
      <c r="TL129" s="1575"/>
      <c r="TM129" s="1575"/>
      <c r="TN129" s="1575">
        <f>TM129-TL129</f>
        <v>0</v>
      </c>
      <c r="TO129" s="114"/>
      <c r="TP129" s="4506"/>
      <c r="TQ129" s="1575"/>
      <c r="TR129" s="1575"/>
      <c r="TS129" s="2552">
        <f>TR129-TQ129</f>
        <v>0</v>
      </c>
      <c r="TT129" s="4507"/>
      <c r="TU129" s="4506"/>
      <c r="TV129" s="1575"/>
      <c r="TW129" s="1575"/>
      <c r="TX129" s="1575"/>
      <c r="TY129" s="1869"/>
      <c r="TZ129" s="1868"/>
      <c r="UA129" s="1575"/>
      <c r="UB129" s="1575"/>
      <c r="UC129" s="1575"/>
      <c r="UD129" s="98"/>
      <c r="UE129" s="1868"/>
      <c r="UF129" s="1575"/>
      <c r="UG129" s="2552"/>
      <c r="UH129" s="1575"/>
      <c r="UI129" s="1869"/>
      <c r="UJ129" s="357"/>
      <c r="UK129" s="358"/>
      <c r="UL129" s="358"/>
      <c r="UM129" s="208"/>
      <c r="UN129" s="597"/>
      <c r="UO129" s="1567"/>
      <c r="UP129" s="1568"/>
      <c r="UQ129" s="1568"/>
      <c r="UR129" s="2012"/>
      <c r="US129" s="659"/>
      <c r="UT129" s="191"/>
      <c r="UU129" s="358"/>
      <c r="UV129" s="358"/>
      <c r="UW129" s="358"/>
      <c r="UX129" s="2281"/>
      <c r="UY129" s="1863">
        <f>(SL129+SQ129+SV129)/3</f>
        <v>0</v>
      </c>
      <c r="UZ129" s="105">
        <f>SM129+SR129+SW129</f>
        <v>0</v>
      </c>
      <c r="VA129" s="105">
        <f>SN129+SS129+SX129</f>
        <v>0</v>
      </c>
      <c r="VB129" s="105">
        <f>SO129+ST129+SY129</f>
        <v>0</v>
      </c>
      <c r="VC129" s="106"/>
      <c r="VD129" s="358">
        <f>(TA129+TF129+TK129)/3</f>
        <v>0</v>
      </c>
      <c r="VE129" s="358">
        <f t="shared" ref="VE129:VG138" si="481">TB129+TG129+TL129</f>
        <v>0</v>
      </c>
      <c r="VF129" s="358">
        <f t="shared" si="481"/>
        <v>0</v>
      </c>
      <c r="VG129" s="359">
        <f t="shared" si="481"/>
        <v>0</v>
      </c>
      <c r="VH129" s="169"/>
      <c r="VI129" s="686">
        <f>(TZ129+TU129+TP129)/3</f>
        <v>0</v>
      </c>
      <c r="VJ129" s="146">
        <f t="shared" ref="VJ129:VL138" si="482">UA129+TV129+TQ129</f>
        <v>0</v>
      </c>
      <c r="VK129" s="146">
        <f t="shared" si="482"/>
        <v>0</v>
      </c>
      <c r="VL129" s="1864">
        <f t="shared" si="482"/>
        <v>0</v>
      </c>
      <c r="VM129" s="203"/>
      <c r="VN129" s="190"/>
      <c r="VO129" s="358">
        <f t="shared" ref="VO129:VQ138" si="483">UF129+UK129+UP129</f>
        <v>0</v>
      </c>
      <c r="VP129" s="358">
        <f t="shared" si="483"/>
        <v>0</v>
      </c>
      <c r="VQ129" s="359">
        <f t="shared" si="483"/>
        <v>0</v>
      </c>
      <c r="VR129" s="114"/>
    </row>
    <row r="130" spans="1:590" ht="13.45" hidden="1" x14ac:dyDescent="0.3">
      <c r="A130" s="63"/>
      <c r="B130" s="2020" t="s">
        <v>84</v>
      </c>
      <c r="C130" s="2021" t="s">
        <v>56</v>
      </c>
      <c r="D130" s="2022" t="s">
        <v>835</v>
      </c>
      <c r="E130" s="382">
        <v>44256</v>
      </c>
      <c r="F130" s="382">
        <v>44620</v>
      </c>
      <c r="G130" s="2161">
        <v>40000</v>
      </c>
      <c r="H130" s="1730"/>
      <c r="I130" s="1711"/>
      <c r="J130" s="1711"/>
      <c r="K130" s="1711"/>
      <c r="L130" s="1731"/>
      <c r="M130" s="1732"/>
      <c r="N130" s="1733"/>
      <c r="O130" s="1733"/>
      <c r="P130" s="1733"/>
      <c r="Q130" s="1734"/>
      <c r="R130" s="1734"/>
      <c r="S130" s="1711"/>
      <c r="T130" s="1711"/>
      <c r="U130" s="1711"/>
      <c r="V130" s="1731"/>
      <c r="W130" s="1711"/>
      <c r="X130" s="1711"/>
      <c r="Y130" s="1728"/>
      <c r="Z130" s="1711"/>
      <c r="AA130" s="1760"/>
      <c r="AB130" s="1728"/>
      <c r="AC130" s="1735"/>
      <c r="AD130" s="1769"/>
      <c r="AE130" s="1711"/>
      <c r="AF130" s="1731"/>
      <c r="AG130" s="1729"/>
      <c r="AH130" s="1711"/>
      <c r="AI130" s="1711"/>
      <c r="AJ130" s="1718"/>
      <c r="AK130" s="1731"/>
      <c r="AL130" s="1729"/>
      <c r="AM130" s="1711"/>
      <c r="AN130" s="1711"/>
      <c r="AO130" s="1728"/>
      <c r="AP130" s="1731"/>
      <c r="AQ130" s="1737"/>
      <c r="AR130" s="1764"/>
      <c r="AS130" s="1764"/>
      <c r="AT130" s="1738"/>
      <c r="AU130" s="1731"/>
      <c r="AV130" s="1739"/>
      <c r="AW130" s="1728"/>
      <c r="AX130" s="1728"/>
      <c r="AY130" s="1728"/>
      <c r="AZ130" s="1731"/>
      <c r="BA130" s="1740"/>
      <c r="BB130" s="1770"/>
      <c r="BC130" s="1735"/>
      <c r="BD130" s="1728"/>
      <c r="BE130" s="1734"/>
      <c r="BF130" s="1739"/>
      <c r="BG130" s="1728"/>
      <c r="BH130" s="1711"/>
      <c r="BI130" s="1728"/>
      <c r="BJ130" s="1768"/>
      <c r="BK130" s="1739"/>
      <c r="BL130" s="1728"/>
      <c r="BM130" s="1711"/>
      <c r="BN130" s="1728"/>
      <c r="BO130" s="1771"/>
      <c r="BP130" s="1973"/>
      <c r="BQ130" s="1743"/>
      <c r="BR130" s="1718"/>
      <c r="BS130" s="1744"/>
      <c r="BT130" s="1745"/>
      <c r="BU130" s="1718"/>
      <c r="BV130" s="1718"/>
      <c r="BW130" s="1746"/>
      <c r="BX130" s="1747"/>
      <c r="BY130" s="1718"/>
      <c r="BZ130" s="1718"/>
      <c r="CA130" s="1748"/>
      <c r="CB130" s="1749"/>
      <c r="CC130" s="1718"/>
      <c r="CD130" s="1718"/>
      <c r="CE130" s="1750"/>
      <c r="CF130" s="1747"/>
      <c r="CG130" s="1711"/>
      <c r="CH130" s="1711"/>
      <c r="CI130" s="1748"/>
      <c r="CJ130" s="1710"/>
      <c r="CK130" s="1711"/>
      <c r="CL130" s="1711"/>
      <c r="CM130" s="1711"/>
      <c r="CN130" s="1746"/>
      <c r="CO130" s="1710"/>
      <c r="CP130" s="1711"/>
      <c r="CQ130" s="1711"/>
      <c r="CR130" s="1711"/>
      <c r="CS130" s="1746"/>
      <c r="CT130" s="1710"/>
      <c r="CU130" s="1711"/>
      <c r="CV130" s="1711"/>
      <c r="CW130" s="1711"/>
      <c r="CX130" s="1746"/>
      <c r="CY130" s="1710"/>
      <c r="CZ130" s="1711"/>
      <c r="DA130" s="1711"/>
      <c r="DB130" s="1711"/>
      <c r="DC130" s="1746"/>
      <c r="DD130" s="1751"/>
      <c r="DE130" s="1752"/>
      <c r="DF130" s="1752"/>
      <c r="DG130" s="1735"/>
      <c r="DH130" s="1712"/>
      <c r="DI130" s="1710"/>
      <c r="DJ130" s="1752"/>
      <c r="DK130" s="1752"/>
      <c r="DL130" s="1711"/>
      <c r="DM130" s="1712"/>
      <c r="DN130" s="1710"/>
      <c r="DO130" s="1711"/>
      <c r="DP130" s="1711"/>
      <c r="DQ130" s="1711"/>
      <c r="DR130" s="1712"/>
      <c r="DS130" s="1763"/>
      <c r="DT130" s="1735"/>
      <c r="DU130" s="1735"/>
      <c r="DV130" s="1711"/>
      <c r="DW130" s="1746"/>
      <c r="DX130" s="1710"/>
      <c r="DY130" s="1711"/>
      <c r="DZ130" s="1711"/>
      <c r="EA130" s="1711"/>
      <c r="EB130" s="1712"/>
      <c r="EC130" s="1710"/>
      <c r="ED130" s="1711"/>
      <c r="EE130" s="1711"/>
      <c r="EF130" s="1718"/>
      <c r="EG130" s="1712"/>
      <c r="EH130" s="1710"/>
      <c r="EI130" s="1711"/>
      <c r="EJ130" s="1711"/>
      <c r="EK130" s="1711"/>
      <c r="EL130" s="1712"/>
      <c r="EM130" s="1710"/>
      <c r="EN130" s="1711"/>
      <c r="EO130" s="1711"/>
      <c r="EP130" s="1711"/>
      <c r="EQ130" s="1712"/>
      <c r="ER130" s="1713">
        <f>(CJ130+CO130+CT130+CY130+DD130+DI130+DN130+DS130+DX130+EC130+EH130+EM130)/12</f>
        <v>0</v>
      </c>
      <c r="ES130" s="1714">
        <f t="shared" si="462"/>
        <v>0</v>
      </c>
      <c r="ET130" s="1714">
        <f t="shared" si="462"/>
        <v>0</v>
      </c>
      <c r="EU130" s="1714">
        <f t="shared" si="462"/>
        <v>0</v>
      </c>
      <c r="EV130" s="1715" t="e">
        <f>EU130/ET130</f>
        <v>#DIV/0!</v>
      </c>
      <c r="EW130" s="1974"/>
      <c r="EX130" s="1766"/>
      <c r="EY130" s="1766"/>
      <c r="EZ130" s="1975"/>
      <c r="FA130" s="1976"/>
      <c r="FB130" s="1766"/>
      <c r="FC130" s="1766"/>
      <c r="FD130" s="1977"/>
      <c r="FE130" s="1717"/>
      <c r="FF130" s="1718"/>
      <c r="FG130" s="1718"/>
      <c r="FH130" s="1753"/>
      <c r="FI130" s="1716"/>
      <c r="FJ130" s="1717"/>
      <c r="FK130" s="1718"/>
      <c r="FL130" s="1718"/>
      <c r="FM130" s="1746"/>
      <c r="FN130" s="1754"/>
      <c r="FO130" s="1719"/>
      <c r="FP130" s="1719"/>
      <c r="FQ130" s="1719"/>
      <c r="FR130" s="1720"/>
      <c r="FS130" s="1755"/>
      <c r="FT130" s="1719"/>
      <c r="FU130" s="1719"/>
      <c r="FV130" s="1719"/>
      <c r="FW130" s="1721"/>
      <c r="FX130" s="1755"/>
      <c r="FY130" s="1756"/>
      <c r="FZ130" s="1756"/>
      <c r="GA130" s="1719"/>
      <c r="GB130" s="1721"/>
      <c r="GC130" s="1722"/>
      <c r="GD130" s="1096"/>
      <c r="GE130" s="1096">
        <v>0</v>
      </c>
      <c r="GF130" s="1719">
        <v>0</v>
      </c>
      <c r="GG130" s="1721"/>
      <c r="GH130" s="1722">
        <v>1</v>
      </c>
      <c r="GI130" s="1096">
        <v>30106</v>
      </c>
      <c r="GJ130" s="1096">
        <v>40000</v>
      </c>
      <c r="GK130" s="1719">
        <f>GJ130-GI130</f>
        <v>9894</v>
      </c>
      <c r="GL130" s="1721">
        <f>GK130/GJ130</f>
        <v>0.24734999999999999</v>
      </c>
      <c r="GM130" s="1722">
        <v>1</v>
      </c>
      <c r="GN130" s="1096">
        <v>33333</v>
      </c>
      <c r="GO130" s="1096">
        <v>40000</v>
      </c>
      <c r="GP130" s="1719">
        <f>GO130-GN130</f>
        <v>6667</v>
      </c>
      <c r="GQ130" s="1721">
        <f>GP130/GO130</f>
        <v>0.16667499999999999</v>
      </c>
      <c r="GR130" s="1722">
        <v>1</v>
      </c>
      <c r="GS130" s="1096">
        <v>33333</v>
      </c>
      <c r="GT130" s="1096">
        <v>40000</v>
      </c>
      <c r="GU130" s="1719">
        <f>GT130-GS130</f>
        <v>6667</v>
      </c>
      <c r="GV130" s="1721">
        <f>GU130/GT130</f>
        <v>0.16667499999999999</v>
      </c>
      <c r="GW130" s="1722">
        <v>1</v>
      </c>
      <c r="GX130" s="1096">
        <v>39632</v>
      </c>
      <c r="GY130" s="1096">
        <v>63050</v>
      </c>
      <c r="GZ130" s="1719">
        <f>GY130-GX130</f>
        <v>23418</v>
      </c>
      <c r="HA130" s="1721">
        <f>GZ130/GY130</f>
        <v>0.37141950832672482</v>
      </c>
      <c r="HB130" s="1722">
        <v>1</v>
      </c>
      <c r="HC130" s="1096">
        <v>33333</v>
      </c>
      <c r="HD130" s="1096">
        <v>40000</v>
      </c>
      <c r="HE130" s="1719">
        <f>HD130-HC130</f>
        <v>6667</v>
      </c>
      <c r="HF130" s="1721">
        <f>HE130/HD130</f>
        <v>0.16667499999999999</v>
      </c>
      <c r="HG130" s="1722">
        <v>1</v>
      </c>
      <c r="HH130" s="1096">
        <v>32795</v>
      </c>
      <c r="HI130" s="1096">
        <v>40000</v>
      </c>
      <c r="HJ130" s="1719">
        <f>HI130-HH130</f>
        <v>7205</v>
      </c>
      <c r="HK130" s="1721">
        <f>HJ130/HI130</f>
        <v>0.18012500000000001</v>
      </c>
      <c r="HL130" s="1722">
        <v>1</v>
      </c>
      <c r="HM130" s="1096">
        <v>33333</v>
      </c>
      <c r="HN130" s="1096">
        <v>40000</v>
      </c>
      <c r="HO130" s="1719">
        <f>HN130-HM130</f>
        <v>6667</v>
      </c>
      <c r="HP130" s="1721">
        <f>HO130/HN130</f>
        <v>0.16667499999999999</v>
      </c>
      <c r="HQ130" s="594">
        <v>1</v>
      </c>
      <c r="HR130" s="264">
        <v>33333</v>
      </c>
      <c r="HS130" s="264">
        <v>40000</v>
      </c>
      <c r="HT130" s="264">
        <f>HS130-HR130</f>
        <v>6667</v>
      </c>
      <c r="HU130" s="1933">
        <f>HT130/HS130</f>
        <v>0.16667499999999999</v>
      </c>
      <c r="HV130" s="2008">
        <f>(FN130+FS130+FX130+GC130+GH130+GM130+GR130+GW130+HB130+HG130+HL130+HQ130)/12</f>
        <v>0.66666666666666663</v>
      </c>
      <c r="HW130" s="208">
        <f t="shared" si="463"/>
        <v>269198</v>
      </c>
      <c r="HX130" s="208">
        <f t="shared" si="463"/>
        <v>343050</v>
      </c>
      <c r="HY130" s="208">
        <f t="shared" si="463"/>
        <v>73852</v>
      </c>
      <c r="HZ130" s="2009"/>
      <c r="IA130" s="1934">
        <f>(FN130+FS130+FX130)/3</f>
        <v>0</v>
      </c>
      <c r="IB130" s="1855">
        <f>FP130+FU130+FZ130</f>
        <v>0</v>
      </c>
      <c r="IC130" s="1855">
        <f>FQ130+FV130+GA130</f>
        <v>0</v>
      </c>
      <c r="ID130" s="1856"/>
      <c r="IE130" s="1857">
        <f>(GC130+GH130+GM130)/3</f>
        <v>0.66666666666666663</v>
      </c>
      <c r="IF130" s="1858">
        <f>(GE130+GJ130+GO130)</f>
        <v>80000</v>
      </c>
      <c r="IG130" s="1854">
        <f>(GF130+GK130+GP130)</f>
        <v>16561</v>
      </c>
      <c r="IH130" s="1856">
        <f>IG130/IF130</f>
        <v>0.20701249999999999</v>
      </c>
      <c r="II130" s="1859">
        <f>(GR130+GW130+HB130)/3</f>
        <v>1</v>
      </c>
      <c r="IJ130" s="1727">
        <f>(GT130+GY130+HD130)</f>
        <v>143050</v>
      </c>
      <c r="IK130" s="1727">
        <f>(GU130+GZ130+HE130)</f>
        <v>36752</v>
      </c>
      <c r="IL130" s="151">
        <f>IK130/IJ130</f>
        <v>0.25691716183152746</v>
      </c>
      <c r="IM130" s="1860">
        <f>(HB130+HG130+HL130)/3</f>
        <v>1</v>
      </c>
      <c r="IN130" s="1727">
        <f>(HI130+HN130+HS130)</f>
        <v>120000</v>
      </c>
      <c r="IO130" s="1727">
        <f>(HJ130+HO130+HT130)</f>
        <v>20539</v>
      </c>
      <c r="IP130" s="1861">
        <f>IO130/IN130</f>
        <v>0.17115833333333333</v>
      </c>
      <c r="IQ130" s="69"/>
      <c r="IR130" s="1935">
        <v>1</v>
      </c>
      <c r="IS130" s="1719">
        <v>33333</v>
      </c>
      <c r="IT130" s="1818">
        <v>40000</v>
      </c>
      <c r="IU130" s="1719">
        <f>IT130-IS130</f>
        <v>6667</v>
      </c>
      <c r="IV130" s="1819">
        <f>IU130/IT130</f>
        <v>0.16667499999999999</v>
      </c>
      <c r="IW130" s="1820">
        <v>1</v>
      </c>
      <c r="IX130" s="1818">
        <v>33333</v>
      </c>
      <c r="IY130" s="1818">
        <v>40000</v>
      </c>
      <c r="IZ130" s="1818">
        <f>IY130-IX130</f>
        <v>6667</v>
      </c>
      <c r="JA130" s="1821">
        <f>IZ130/IY130</f>
        <v>0.16667499999999999</v>
      </c>
      <c r="JB130" s="1757">
        <v>1</v>
      </c>
      <c r="JC130" s="1841">
        <v>33333</v>
      </c>
      <c r="JD130" s="1842">
        <v>40000</v>
      </c>
      <c r="JE130" s="1719">
        <f>JD130-JC130</f>
        <v>6667</v>
      </c>
      <c r="JF130" s="1721">
        <f>JE130/JD130</f>
        <v>0.16667499999999999</v>
      </c>
      <c r="JG130" s="1758">
        <v>1</v>
      </c>
      <c r="JH130" s="1096">
        <v>33333</v>
      </c>
      <c r="JI130" s="1096">
        <v>40000</v>
      </c>
      <c r="JJ130" s="1756">
        <f>JI130-JH130</f>
        <v>6667</v>
      </c>
      <c r="JK130" s="1721">
        <f>JJ130/JI130</f>
        <v>0.16667499999999999</v>
      </c>
      <c r="JL130" s="1722">
        <v>1</v>
      </c>
      <c r="JM130" s="1096">
        <v>33333</v>
      </c>
      <c r="JN130" s="1096">
        <v>40000</v>
      </c>
      <c r="JO130" s="1845">
        <f>JN130-JM130</f>
        <v>6667</v>
      </c>
      <c r="JP130" s="1721">
        <f>JO130/JN130</f>
        <v>0.16667499999999999</v>
      </c>
      <c r="JQ130" s="1844">
        <v>1</v>
      </c>
      <c r="JR130" s="972">
        <v>33333</v>
      </c>
      <c r="JS130" s="264">
        <v>40000</v>
      </c>
      <c r="JT130" s="1845">
        <f>JS130-JR130</f>
        <v>6667</v>
      </c>
      <c r="JU130" s="1721">
        <f>JT130/JS130</f>
        <v>0.16667499999999999</v>
      </c>
      <c r="JV130" s="1758">
        <v>1</v>
      </c>
      <c r="JW130" s="1096">
        <v>33333</v>
      </c>
      <c r="JX130" s="264">
        <v>40000</v>
      </c>
      <c r="JY130" s="1845">
        <f>JX130-JW130</f>
        <v>6667</v>
      </c>
      <c r="JZ130" s="1721">
        <f>JY130/JX130</f>
        <v>0.16667499999999999</v>
      </c>
      <c r="KA130" s="1758">
        <v>1</v>
      </c>
      <c r="KB130" s="264">
        <v>33333</v>
      </c>
      <c r="KC130" s="972">
        <v>40000</v>
      </c>
      <c r="KD130" s="964">
        <f>KC130-KB130</f>
        <v>6667</v>
      </c>
      <c r="KE130" s="1848">
        <f>KD130/KC130</f>
        <v>0.16667499999999999</v>
      </c>
      <c r="KF130" s="1988">
        <v>1</v>
      </c>
      <c r="KG130" s="1850">
        <v>33333</v>
      </c>
      <c r="KH130" s="1989">
        <v>40000</v>
      </c>
      <c r="KI130" s="1719">
        <f>KH130-KG130</f>
        <v>6667</v>
      </c>
      <c r="KJ130" s="1721">
        <f>KI130/KH130</f>
        <v>0.16667499999999999</v>
      </c>
      <c r="KK130" s="1849">
        <v>1</v>
      </c>
      <c r="KL130" s="1850">
        <v>33333</v>
      </c>
      <c r="KM130" s="1850">
        <v>40000</v>
      </c>
      <c r="KN130" s="1851">
        <f>KM130-KL130</f>
        <v>6667</v>
      </c>
      <c r="KO130" s="1852">
        <f>KN130/KM130</f>
        <v>0.16667499999999999</v>
      </c>
      <c r="KP130" s="1823"/>
      <c r="KQ130" s="972"/>
      <c r="KR130" s="1248"/>
      <c r="KS130" s="1996">
        <f>KR130-KQ130</f>
        <v>0</v>
      </c>
      <c r="KT130" s="1980"/>
      <c r="KU130" s="1853"/>
      <c r="KV130" s="264">
        <v>0</v>
      </c>
      <c r="KW130" s="264">
        <v>0</v>
      </c>
      <c r="KX130" s="264">
        <v>0</v>
      </c>
      <c r="KY130" s="75"/>
      <c r="KZ130" s="1857"/>
      <c r="LA130" s="358">
        <f t="shared" si="464"/>
        <v>333330</v>
      </c>
      <c r="LB130" s="358">
        <f t="shared" si="464"/>
        <v>400000</v>
      </c>
      <c r="LC130" s="358">
        <f t="shared" si="464"/>
        <v>66670</v>
      </c>
      <c r="LD130" s="151">
        <f>LC130/LB130</f>
        <v>0.16667499999999999</v>
      </c>
      <c r="LE130" s="1854">
        <f>(IR130+IW130+JB130)/3</f>
        <v>1</v>
      </c>
      <c r="LF130" s="1855">
        <f t="shared" si="465"/>
        <v>120000</v>
      </c>
      <c r="LG130" s="1855">
        <f t="shared" si="465"/>
        <v>20001</v>
      </c>
      <c r="LH130" s="1856">
        <f>LG130/LF130</f>
        <v>0.16667499999999999</v>
      </c>
      <c r="LI130" s="1857">
        <f>(JG130+JL130+JQ130)/3</f>
        <v>1</v>
      </c>
      <c r="LJ130" s="1858">
        <f t="shared" si="466"/>
        <v>120000</v>
      </c>
      <c r="LK130" s="1854">
        <f t="shared" si="466"/>
        <v>20001</v>
      </c>
      <c r="LL130" s="1856">
        <f>LK130/LJ130</f>
        <v>0.16667499999999999</v>
      </c>
      <c r="LM130" s="1859">
        <f>(JV130+KA130+KF130)/3</f>
        <v>1</v>
      </c>
      <c r="LN130" s="1727">
        <f t="shared" si="467"/>
        <v>120000</v>
      </c>
      <c r="LO130" s="1727">
        <f t="shared" si="467"/>
        <v>20001</v>
      </c>
      <c r="LP130" s="151">
        <f>LO130/LN130</f>
        <v>0.16667499999999999</v>
      </c>
      <c r="LQ130" s="1860">
        <f>(KK130+KP130+KU130)/3</f>
        <v>0.33333333333333331</v>
      </c>
      <c r="LR130" s="1727">
        <f t="shared" si="468"/>
        <v>40000</v>
      </c>
      <c r="LS130" s="1727">
        <f t="shared" si="468"/>
        <v>6667</v>
      </c>
      <c r="LT130" s="1861">
        <f>LS130/LR130</f>
        <v>0.16667499999999999</v>
      </c>
      <c r="LV130" s="439"/>
      <c r="LW130" s="208">
        <v>0</v>
      </c>
      <c r="LX130" s="208">
        <v>0</v>
      </c>
      <c r="LY130" s="96">
        <f>LX130-LW130</f>
        <v>0</v>
      </c>
      <c r="LZ130" s="78"/>
      <c r="MA130" s="1862"/>
      <c r="MB130" s="265"/>
      <c r="MC130" s="265"/>
      <c r="MD130" s="371">
        <f>MC130-MB130</f>
        <v>0</v>
      </c>
      <c r="ME130" s="157"/>
      <c r="MF130" s="439"/>
      <c r="MG130" s="979">
        <v>0</v>
      </c>
      <c r="MH130" s="979">
        <v>0</v>
      </c>
      <c r="MI130" s="371">
        <v>0</v>
      </c>
      <c r="MJ130" s="157"/>
      <c r="MK130" s="354"/>
      <c r="ML130" s="111"/>
      <c r="MM130" s="111"/>
      <c r="MN130" s="371"/>
      <c r="MO130" s="157"/>
      <c r="MP130" s="1578"/>
      <c r="MQ130" s="970"/>
      <c r="MR130" s="970"/>
      <c r="MS130" s="264"/>
      <c r="MT130" s="597"/>
      <c r="MU130" s="209"/>
      <c r="MV130" s="208"/>
      <c r="MW130" s="208"/>
      <c r="MX130" s="208"/>
      <c r="MY130" s="597"/>
      <c r="MZ130" s="209"/>
      <c r="NA130" s="208"/>
      <c r="NB130" s="208"/>
      <c r="NC130" s="208"/>
      <c r="ND130" s="597"/>
      <c r="NE130" s="209"/>
      <c r="NF130" s="208"/>
      <c r="NG130" s="208"/>
      <c r="NH130" s="208"/>
      <c r="NI130" s="597"/>
      <c r="NJ130" s="209"/>
      <c r="NK130" s="208"/>
      <c r="NL130" s="208"/>
      <c r="NM130" s="208"/>
      <c r="NN130" s="597"/>
      <c r="NO130" s="402"/>
      <c r="NP130" s="358"/>
      <c r="NQ130" s="358"/>
      <c r="NR130" s="208"/>
      <c r="NS130" s="597"/>
      <c r="NT130" s="402"/>
      <c r="NU130" s="149"/>
      <c r="NV130" s="358"/>
      <c r="NW130" s="208"/>
      <c r="NX130" s="597"/>
      <c r="NY130" s="1870"/>
      <c r="NZ130" s="1568"/>
      <c r="OA130" s="1568"/>
      <c r="OB130" s="2012"/>
      <c r="OC130" s="659"/>
      <c r="OD130" s="191">
        <f>(NY130+NT130+NO130+NJ130+NE130+MZ130+MU130+MP130+MK130+MF130+MA130+LV130)/12</f>
        <v>0</v>
      </c>
      <c r="OE130" s="358">
        <f t="shared" si="469"/>
        <v>0</v>
      </c>
      <c r="OF130" s="358">
        <f t="shared" si="469"/>
        <v>0</v>
      </c>
      <c r="OG130" s="358">
        <f t="shared" si="469"/>
        <v>0</v>
      </c>
      <c r="OH130" s="454"/>
      <c r="OI130" s="1863"/>
      <c r="OJ130" s="1864"/>
      <c r="OK130" s="105"/>
      <c r="OL130" s="105"/>
      <c r="OM130" s="106"/>
      <c r="ON130" s="358">
        <f>(MK130+MP130+MU130)/3</f>
        <v>0</v>
      </c>
      <c r="OO130" s="358">
        <f t="shared" si="470"/>
        <v>0</v>
      </c>
      <c r="OP130" s="358">
        <f t="shared" si="470"/>
        <v>0</v>
      </c>
      <c r="OQ130" s="359">
        <f t="shared" si="470"/>
        <v>0</v>
      </c>
      <c r="OR130" s="169" t="e">
        <f>OQ130/OP130</f>
        <v>#DIV/0!</v>
      </c>
      <c r="OS130" s="686">
        <f t="shared" si="471"/>
        <v>0</v>
      </c>
      <c r="OT130" s="146">
        <f t="shared" si="472"/>
        <v>0</v>
      </c>
      <c r="OU130" s="146">
        <f t="shared" si="472"/>
        <v>0</v>
      </c>
      <c r="OV130" s="1864">
        <f t="shared" si="472"/>
        <v>0</v>
      </c>
      <c r="OW130" s="203"/>
      <c r="OX130" s="357">
        <f>(NO130+NT130+NY130)/3</f>
        <v>0</v>
      </c>
      <c r="OY130" s="358">
        <f t="shared" si="473"/>
        <v>0</v>
      </c>
      <c r="OZ130" s="358">
        <f t="shared" si="473"/>
        <v>0</v>
      </c>
      <c r="PA130" s="359">
        <f t="shared" si="473"/>
        <v>0</v>
      </c>
      <c r="PB130" s="114"/>
      <c r="PC130" s="79"/>
      <c r="PD130" s="439"/>
      <c r="PE130" s="208"/>
      <c r="PF130" s="208"/>
      <c r="PG130" s="96"/>
      <c r="PH130" s="224"/>
      <c r="PI130" s="1862"/>
      <c r="PJ130" s="265"/>
      <c r="PK130" s="265"/>
      <c r="PL130" s="371">
        <f t="shared" si="474"/>
        <v>0</v>
      </c>
      <c r="PM130" s="157"/>
      <c r="PN130" s="439"/>
      <c r="PO130" s="979"/>
      <c r="PP130" s="979"/>
      <c r="PQ130" s="371">
        <v>0</v>
      </c>
      <c r="PR130" s="157"/>
      <c r="PS130" s="354"/>
      <c r="PT130" s="111"/>
      <c r="PU130" s="111"/>
      <c r="PV130" s="371"/>
      <c r="PW130" s="157"/>
      <c r="PX130" s="1578"/>
      <c r="PY130" s="970"/>
      <c r="PZ130" s="970"/>
      <c r="QA130" s="264"/>
      <c r="QB130" s="597"/>
      <c r="QC130" s="209"/>
      <c r="QD130" s="208"/>
      <c r="QE130" s="208"/>
      <c r="QF130" s="208"/>
      <c r="QG130" s="597"/>
      <c r="QH130" s="405"/>
      <c r="QI130" s="1575"/>
      <c r="QJ130" s="1575"/>
      <c r="QK130" s="1575"/>
      <c r="QL130" s="1869"/>
      <c r="QM130" s="439"/>
      <c r="QN130" s="208"/>
      <c r="QO130" s="208"/>
      <c r="QP130" s="208"/>
      <c r="QQ130" s="597"/>
      <c r="QR130" s="209"/>
      <c r="QS130" s="208"/>
      <c r="QT130" s="208"/>
      <c r="QU130" s="208"/>
      <c r="QV130" s="98"/>
      <c r="QW130" s="156"/>
      <c r="QX130" s="208"/>
      <c r="QY130" s="994"/>
      <c r="QZ130" s="208"/>
      <c r="RA130" s="2059"/>
      <c r="RB130" s="402"/>
      <c r="RC130" s="149"/>
      <c r="RD130" s="358"/>
      <c r="RE130" s="208"/>
      <c r="RF130" s="729"/>
      <c r="RG130" s="1567"/>
      <c r="RH130" s="1568"/>
      <c r="RI130" s="1568"/>
      <c r="RJ130" s="2012"/>
      <c r="RK130" s="659"/>
      <c r="RL130" s="3708">
        <f>(RG130+RB130+QW130+QR130+QM130+QH130+QC130+PX130+PS130+PN130+PI130+PD130)/12</f>
        <v>0</v>
      </c>
      <c r="RM130" s="1568">
        <f t="shared" si="475"/>
        <v>0</v>
      </c>
      <c r="RN130" s="1568">
        <f t="shared" si="475"/>
        <v>0</v>
      </c>
      <c r="RO130" s="1568">
        <f t="shared" si="475"/>
        <v>0</v>
      </c>
      <c r="RP130" s="3709"/>
      <c r="RQ130" s="1863"/>
      <c r="RR130" s="1864"/>
      <c r="RS130" s="105"/>
      <c r="RT130" s="105"/>
      <c r="RU130" s="106"/>
      <c r="RV130" s="358">
        <f>(PS130+PX130+QC130)/3</f>
        <v>0</v>
      </c>
      <c r="RW130" s="358">
        <f t="shared" si="476"/>
        <v>0</v>
      </c>
      <c r="RX130" s="358">
        <f t="shared" si="476"/>
        <v>0</v>
      </c>
      <c r="RY130" s="359">
        <f t="shared" si="476"/>
        <v>0</v>
      </c>
      <c r="RZ130" s="169"/>
      <c r="SA130" s="686">
        <f>(QR130+QM130+QH130)/3</f>
        <v>0</v>
      </c>
      <c r="SB130" s="146">
        <f t="shared" si="477"/>
        <v>0</v>
      </c>
      <c r="SC130" s="146">
        <f t="shared" si="477"/>
        <v>0</v>
      </c>
      <c r="SD130" s="1864">
        <f t="shared" si="477"/>
        <v>0</v>
      </c>
      <c r="SE130" s="203"/>
      <c r="SF130" s="191">
        <f>(SA130+RV130+RQ130+RL130+RG130+RB130+QW130+QR130+QM130+QH130+QC130+PX130)/12</f>
        <v>0</v>
      </c>
      <c r="SG130" s="358">
        <f t="shared" si="478"/>
        <v>0</v>
      </c>
      <c r="SH130" s="358">
        <f t="shared" si="478"/>
        <v>0</v>
      </c>
      <c r="SI130" s="359">
        <f t="shared" si="478"/>
        <v>0</v>
      </c>
      <c r="SJ130" s="114"/>
      <c r="SL130" s="405"/>
      <c r="SM130" s="1575"/>
      <c r="SN130" s="1575"/>
      <c r="SO130" s="3523"/>
      <c r="SP130" s="3524"/>
      <c r="SQ130" s="3555"/>
      <c r="SR130" s="2015"/>
      <c r="SS130" s="2015"/>
      <c r="ST130" s="1707">
        <f t="shared" si="479"/>
        <v>0</v>
      </c>
      <c r="SU130" s="1867"/>
      <c r="SV130" s="439"/>
      <c r="SW130" s="979"/>
      <c r="SX130" s="978"/>
      <c r="SY130" s="96">
        <v>0</v>
      </c>
      <c r="SZ130" s="94"/>
      <c r="TA130" s="354"/>
      <c r="TB130" s="111"/>
      <c r="TC130" s="4508"/>
      <c r="TD130" s="96"/>
      <c r="TE130" s="94"/>
      <c r="TF130" s="4108"/>
      <c r="TG130" s="111"/>
      <c r="TH130" s="111"/>
      <c r="TI130" s="208">
        <f t="shared" si="480"/>
        <v>0</v>
      </c>
      <c r="TJ130" s="114"/>
      <c r="TK130" s="209"/>
      <c r="TL130" s="208"/>
      <c r="TM130" s="208"/>
      <c r="TN130" s="208"/>
      <c r="TO130" s="114"/>
      <c r="TP130" s="4506"/>
      <c r="TQ130" s="1575"/>
      <c r="TR130" s="1575"/>
      <c r="TS130" s="2552"/>
      <c r="TT130" s="4509"/>
      <c r="TU130" s="4506"/>
      <c r="TV130" s="1575"/>
      <c r="TW130" s="1575"/>
      <c r="TX130" s="1575"/>
      <c r="TY130" s="1869"/>
      <c r="TZ130" s="1868"/>
      <c r="UA130" s="1575"/>
      <c r="UB130" s="1575"/>
      <c r="UC130" s="1575"/>
      <c r="UD130" s="98"/>
      <c r="UE130" s="6498"/>
      <c r="UF130" s="1575"/>
      <c r="UG130" s="2552"/>
      <c r="UH130" s="1575"/>
      <c r="UI130" s="2059"/>
      <c r="UJ130" s="402"/>
      <c r="UK130" s="149"/>
      <c r="UL130" s="358"/>
      <c r="UM130" s="208"/>
      <c r="UN130" s="729"/>
      <c r="UO130" s="1567"/>
      <c r="UP130" s="1568"/>
      <c r="UQ130" s="1568"/>
      <c r="UR130" s="2012"/>
      <c r="US130" s="659"/>
      <c r="UT130" s="191"/>
      <c r="UU130" s="358"/>
      <c r="UV130" s="358"/>
      <c r="UW130" s="358"/>
      <c r="UX130" s="454"/>
      <c r="UY130" s="1863"/>
      <c r="UZ130" s="1864"/>
      <c r="VA130" s="105"/>
      <c r="VB130" s="105"/>
      <c r="VC130" s="106"/>
      <c r="VD130" s="358">
        <f>(TA130+TF130+TK130)/3</f>
        <v>0</v>
      </c>
      <c r="VE130" s="358">
        <f t="shared" si="481"/>
        <v>0</v>
      </c>
      <c r="VF130" s="358">
        <f t="shared" si="481"/>
        <v>0</v>
      </c>
      <c r="VG130" s="359">
        <f t="shared" si="481"/>
        <v>0</v>
      </c>
      <c r="VH130" s="169"/>
      <c r="VI130" s="686"/>
      <c r="VJ130" s="146">
        <f t="shared" si="482"/>
        <v>0</v>
      </c>
      <c r="VK130" s="146">
        <f t="shared" si="482"/>
        <v>0</v>
      </c>
      <c r="VL130" s="1864">
        <f t="shared" si="482"/>
        <v>0</v>
      </c>
      <c r="VM130" s="203"/>
      <c r="VN130" s="190">
        <f>(VI130+VD130+UY130+UT130+UO130+UJ130+UE130+TZ130+TU130+TP130+TK130+TF130)/12</f>
        <v>0</v>
      </c>
      <c r="VO130" s="358">
        <f t="shared" si="483"/>
        <v>0</v>
      </c>
      <c r="VP130" s="358">
        <f t="shared" si="483"/>
        <v>0</v>
      </c>
      <c r="VQ130" s="359">
        <f t="shared" si="483"/>
        <v>0</v>
      </c>
      <c r="VR130" s="114"/>
    </row>
    <row r="131" spans="1:590" s="1193" customFormat="1" ht="13.45" hidden="1" x14ac:dyDescent="0.3">
      <c r="A131" s="1297"/>
      <c r="B131" s="1773" t="s">
        <v>84</v>
      </c>
      <c r="C131" s="2004" t="s">
        <v>90</v>
      </c>
      <c r="D131" s="2005" t="s">
        <v>839</v>
      </c>
      <c r="E131" s="2086">
        <v>45017</v>
      </c>
      <c r="F131" s="2086">
        <v>45382</v>
      </c>
      <c r="G131" s="1994">
        <v>146300</v>
      </c>
      <c r="H131" s="1940"/>
      <c r="I131" s="1941"/>
      <c r="J131" s="1941"/>
      <c r="K131" s="1941"/>
      <c r="L131" s="1942"/>
      <c r="M131" s="1940"/>
      <c r="N131" s="1941"/>
      <c r="O131" s="1941"/>
      <c r="P131" s="1941"/>
      <c r="Q131" s="1942"/>
      <c r="R131" s="1940"/>
      <c r="S131" s="1941"/>
      <c r="T131" s="1941"/>
      <c r="U131" s="1941"/>
      <c r="V131" s="1942"/>
      <c r="W131" s="1940"/>
      <c r="X131" s="1941"/>
      <c r="Y131" s="1941"/>
      <c r="Z131" s="1941"/>
      <c r="AA131" s="1943"/>
      <c r="AB131" s="1940"/>
      <c r="AC131" s="1941"/>
      <c r="AD131" s="1941"/>
      <c r="AE131" s="1941"/>
      <c r="AF131" s="1943"/>
      <c r="AG131" s="1941"/>
      <c r="AH131" s="1941"/>
      <c r="AI131" s="1941"/>
      <c r="AJ131" s="1941"/>
      <c r="AK131" s="1942"/>
      <c r="AL131" s="1941"/>
      <c r="AM131" s="1941"/>
      <c r="AN131" s="1941"/>
      <c r="AO131" s="1941"/>
      <c r="AP131" s="1942"/>
      <c r="AQ131" s="1941"/>
      <c r="AR131" s="1941"/>
      <c r="AS131" s="1941"/>
      <c r="AT131" s="1941"/>
      <c r="AU131" s="1942"/>
      <c r="AV131" s="1944"/>
      <c r="AW131" s="1941"/>
      <c r="AX131" s="1941"/>
      <c r="AY131" s="1941"/>
      <c r="AZ131" s="1943"/>
      <c r="BA131" s="1944"/>
      <c r="BB131" s="1941"/>
      <c r="BC131" s="1941"/>
      <c r="BD131" s="1941"/>
      <c r="BE131" s="1943"/>
      <c r="BF131" s="1944"/>
      <c r="BG131" s="1941"/>
      <c r="BH131" s="1941"/>
      <c r="BI131" s="1941"/>
      <c r="BJ131" s="1943"/>
      <c r="BK131" s="1944"/>
      <c r="BL131" s="1941"/>
      <c r="BM131" s="1941"/>
      <c r="BN131" s="1941"/>
      <c r="BO131" s="1943"/>
      <c r="BP131" s="1945"/>
      <c r="BQ131" s="1941"/>
      <c r="BR131" s="1941"/>
      <c r="BS131" s="1941"/>
      <c r="BT131" s="1946"/>
      <c r="BU131" s="1941"/>
      <c r="BV131" s="1941"/>
      <c r="BW131" s="1947"/>
      <c r="BX131" s="1946"/>
      <c r="BY131" s="1941"/>
      <c r="BZ131" s="1941"/>
      <c r="CA131" s="1948"/>
      <c r="CB131" s="1941"/>
      <c r="CC131" s="1941"/>
      <c r="CD131" s="1941"/>
      <c r="CE131" s="1941"/>
      <c r="CF131" s="1946"/>
      <c r="CG131" s="1941"/>
      <c r="CH131" s="1941"/>
      <c r="CI131" s="1948"/>
      <c r="CJ131" s="1949"/>
      <c r="CK131" s="1941"/>
      <c r="CL131" s="1941"/>
      <c r="CM131" s="1941"/>
      <c r="CN131" s="1947"/>
      <c r="CO131" s="1949"/>
      <c r="CP131" s="1940"/>
      <c r="CQ131" s="1940"/>
      <c r="CR131" s="1940"/>
      <c r="CS131" s="1947"/>
      <c r="CT131" s="1949"/>
      <c r="CU131" s="1941"/>
      <c r="CV131" s="1941"/>
      <c r="CW131" s="1941"/>
      <c r="CX131" s="1947"/>
      <c r="CY131" s="1949"/>
      <c r="CZ131" s="1941"/>
      <c r="DA131" s="1941"/>
      <c r="DB131" s="1941"/>
      <c r="DC131" s="1947"/>
      <c r="DD131" s="1949"/>
      <c r="DE131" s="1941"/>
      <c r="DF131" s="1941"/>
      <c r="DG131" s="1941"/>
      <c r="DH131" s="1950"/>
      <c r="DI131" s="1949"/>
      <c r="DJ131" s="1941"/>
      <c r="DK131" s="1941"/>
      <c r="DL131" s="1941"/>
      <c r="DM131" s="1950"/>
      <c r="DN131" s="1949"/>
      <c r="DO131" s="1941"/>
      <c r="DP131" s="1941"/>
      <c r="DQ131" s="1941"/>
      <c r="DR131" s="1950"/>
      <c r="DS131" s="1949"/>
      <c r="DT131" s="1941"/>
      <c r="DU131" s="1941"/>
      <c r="DV131" s="1941"/>
      <c r="DW131" s="1950"/>
      <c r="DX131" s="1949"/>
      <c r="DY131" s="1941"/>
      <c r="DZ131" s="1941"/>
      <c r="EA131" s="1941"/>
      <c r="EB131" s="1950"/>
      <c r="EC131" s="1949"/>
      <c r="ED131" s="1941"/>
      <c r="EE131" s="1941"/>
      <c r="EF131" s="1941"/>
      <c r="EG131" s="1950"/>
      <c r="EH131" s="1899"/>
      <c r="EI131" s="1900"/>
      <c r="EJ131" s="1900"/>
      <c r="EK131" s="1900"/>
      <c r="EL131" s="1951"/>
      <c r="EM131" s="1901"/>
      <c r="EN131" s="1824"/>
      <c r="EO131" s="1824"/>
      <c r="EP131" s="1824"/>
      <c r="EQ131" s="1952"/>
      <c r="ER131" s="1713">
        <f>(CJ131+CO131+CT131+CY131+DD131+DI131+DN131+DS131+DX131+EC131+EH131+EM131)/12</f>
        <v>0</v>
      </c>
      <c r="ES131" s="1714">
        <f t="shared" si="462"/>
        <v>0</v>
      </c>
      <c r="ET131" s="1714">
        <f t="shared" si="462"/>
        <v>0</v>
      </c>
      <c r="EU131" s="1714">
        <f t="shared" si="462"/>
        <v>0</v>
      </c>
      <c r="EV131" s="1715" t="e">
        <f>EU131/ET131</f>
        <v>#DIV/0!</v>
      </c>
      <c r="EW131" s="1953"/>
      <c r="EX131" s="1953"/>
      <c r="EY131" s="1953"/>
      <c r="EZ131" s="1954"/>
      <c r="FA131" s="1899"/>
      <c r="FB131" s="1953"/>
      <c r="FC131" s="1953"/>
      <c r="FD131" s="1955"/>
      <c r="FE131" s="1953"/>
      <c r="FF131" s="1953"/>
      <c r="FG131" s="1953"/>
      <c r="FH131" s="1954"/>
      <c r="FI131" s="1956"/>
      <c r="FJ131" s="1957"/>
      <c r="FK131" s="1958"/>
      <c r="FL131" s="1958"/>
      <c r="FM131" s="1959"/>
      <c r="FN131" s="1953"/>
      <c r="FO131" s="1900"/>
      <c r="FP131" s="1900"/>
      <c r="FQ131" s="1900"/>
      <c r="FR131" s="1960"/>
      <c r="FS131" s="1919"/>
      <c r="FT131" s="1920"/>
      <c r="FU131" s="1920"/>
      <c r="FV131" s="1920"/>
      <c r="FW131" s="1961"/>
      <c r="FX131" s="1899"/>
      <c r="FY131" s="1900"/>
      <c r="FZ131" s="1900"/>
      <c r="GA131" s="1920"/>
      <c r="GB131" s="1961"/>
      <c r="GC131" s="1899"/>
      <c r="GD131" s="1900"/>
      <c r="GE131" s="1900"/>
      <c r="GF131" s="1824"/>
      <c r="GG131" s="1952"/>
      <c r="GH131" s="1901">
        <v>3</v>
      </c>
      <c r="GI131" s="1824">
        <v>100000</v>
      </c>
      <c r="GJ131" s="1824">
        <v>133000</v>
      </c>
      <c r="GK131" s="1962">
        <f>GJ131-GI131</f>
        <v>33000</v>
      </c>
      <c r="GL131" s="1961">
        <f>GK131/GJ131</f>
        <v>0.24812030075187969</v>
      </c>
      <c r="GM131" s="1901">
        <v>3</v>
      </c>
      <c r="GN131" s="1824">
        <v>100000</v>
      </c>
      <c r="GO131" s="1824">
        <v>133000</v>
      </c>
      <c r="GP131" s="1962">
        <f>GO131-GN131</f>
        <v>33000</v>
      </c>
      <c r="GQ131" s="1961">
        <f>GP131/GO131</f>
        <v>0.24812030075187969</v>
      </c>
      <c r="GR131" s="1903">
        <v>3</v>
      </c>
      <c r="GS131" s="1904">
        <v>100000</v>
      </c>
      <c r="GT131" s="1904">
        <v>133000</v>
      </c>
      <c r="GU131" s="1962">
        <f>GT131-GS131</f>
        <v>33000</v>
      </c>
      <c r="GV131" s="1961">
        <f>GU131/GT131</f>
        <v>0.24812030075187969</v>
      </c>
      <c r="GW131" s="1903">
        <v>3</v>
      </c>
      <c r="GX131" s="1904">
        <v>103000</v>
      </c>
      <c r="GY131" s="1904">
        <v>133000</v>
      </c>
      <c r="GZ131" s="1962">
        <f>GY131-GX131</f>
        <v>30000</v>
      </c>
      <c r="HA131" s="1961">
        <f>GZ131/GY131</f>
        <v>0.22556390977443608</v>
      </c>
      <c r="HB131" s="1903">
        <v>3</v>
      </c>
      <c r="HC131" s="1904">
        <v>100000</v>
      </c>
      <c r="HD131" s="1904">
        <v>133000</v>
      </c>
      <c r="HE131" s="1962">
        <f>HD131-HC131</f>
        <v>33000</v>
      </c>
      <c r="HF131" s="1961">
        <f>HE131/HD131</f>
        <v>0.24812030075187969</v>
      </c>
      <c r="HG131" s="1903">
        <v>3</v>
      </c>
      <c r="HH131" s="1904">
        <v>103000</v>
      </c>
      <c r="HI131" s="1904">
        <v>133000</v>
      </c>
      <c r="HJ131" s="1818">
        <f>HI131-HH131</f>
        <v>30000</v>
      </c>
      <c r="HK131" s="1961">
        <f>HJ131/HI131</f>
        <v>0.22556390977443608</v>
      </c>
      <c r="HL131" s="1903">
        <v>2</v>
      </c>
      <c r="HM131" s="1904">
        <v>70000</v>
      </c>
      <c r="HN131" s="1904">
        <v>93100</v>
      </c>
      <c r="HO131" s="1818">
        <f>HN131-HM131</f>
        <v>23100</v>
      </c>
      <c r="HP131" s="1961">
        <f>HO131/HN131</f>
        <v>0.24812030075187969</v>
      </c>
      <c r="HQ131" s="1905">
        <v>2</v>
      </c>
      <c r="HR131" s="1248">
        <v>70000</v>
      </c>
      <c r="HS131" s="1248">
        <v>93100</v>
      </c>
      <c r="HT131" s="1248">
        <f>HS131-HR131</f>
        <v>23100</v>
      </c>
      <c r="HU131" s="1826">
        <f>HT131/HS131</f>
        <v>0.24812030075187969</v>
      </c>
      <c r="HV131" s="2008">
        <f>(FN131+FS131+FX131+GC131+GH131+GM131+GR131+GW131+HB131+HG131+HL131+HQ131)/12</f>
        <v>1.8333333333333333</v>
      </c>
      <c r="HW131" s="208">
        <f t="shared" si="463"/>
        <v>746000</v>
      </c>
      <c r="HX131" s="208">
        <f t="shared" si="463"/>
        <v>984200</v>
      </c>
      <c r="HY131" s="208">
        <f t="shared" si="463"/>
        <v>238200</v>
      </c>
      <c r="HZ131" s="2009"/>
      <c r="IA131" s="2579">
        <f>(FN131+FS131+FX131)/3</f>
        <v>0</v>
      </c>
      <c r="IB131" s="2420">
        <f>FP131+FU131+FZ131</f>
        <v>0</v>
      </c>
      <c r="IC131" s="2420">
        <f>FQ131+FV131+GA131</f>
        <v>0</v>
      </c>
      <c r="ID131" s="2421"/>
      <c r="IE131" s="2422">
        <f>(GC131+GH131+GM131)/3</f>
        <v>2</v>
      </c>
      <c r="IF131" s="2423">
        <f>(GE131+GJ131+GO131)</f>
        <v>266000</v>
      </c>
      <c r="IG131" s="2419">
        <f>(GF131+GK131+GP131)</f>
        <v>66000</v>
      </c>
      <c r="IH131" s="2421">
        <f>IG131/IF131</f>
        <v>0.24812030075187969</v>
      </c>
      <c r="II131" s="1835">
        <f>(GR131+GW131+HB131)/3</f>
        <v>3</v>
      </c>
      <c r="IJ131" s="1836">
        <f>(GT131+GY131+HD131)</f>
        <v>399000</v>
      </c>
      <c r="IK131" s="1836">
        <f>(GU131+GZ131+HE131)</f>
        <v>96000</v>
      </c>
      <c r="IL131" s="2013">
        <f>IK131/IJ131</f>
        <v>0.24060150375939848</v>
      </c>
      <c r="IM131" s="1913">
        <f>(HB131+HG131+HL131)/3</f>
        <v>2.6666666666666665</v>
      </c>
      <c r="IN131" s="1836">
        <f>(HI131+HN131+HS131)</f>
        <v>319200</v>
      </c>
      <c r="IO131" s="1836">
        <f>(HJ131+HO131+HT131)</f>
        <v>76200</v>
      </c>
      <c r="IP131" s="1838">
        <f>IO131/IN131</f>
        <v>0.2387218045112782</v>
      </c>
      <c r="IQ131" s="1914"/>
      <c r="IR131" s="1969">
        <v>2</v>
      </c>
      <c r="IS131" s="1248">
        <v>69768</v>
      </c>
      <c r="IT131" s="1248">
        <v>93100</v>
      </c>
      <c r="IU131" s="1917">
        <f>IT131-IS131</f>
        <v>23332</v>
      </c>
      <c r="IV131" s="1970">
        <f>IU131/IT131</f>
        <v>0.25061224489795919</v>
      </c>
      <c r="IW131" s="1919">
        <v>2</v>
      </c>
      <c r="IX131" s="1920">
        <v>101667</v>
      </c>
      <c r="IY131" s="1921">
        <v>133000</v>
      </c>
      <c r="IZ131" s="1719">
        <f>IY131-IX131</f>
        <v>31333</v>
      </c>
      <c r="JA131" s="1721">
        <f>IZ131/IY131</f>
        <v>0.23558646616541354</v>
      </c>
      <c r="JB131" s="1847">
        <v>3</v>
      </c>
      <c r="JC131" s="1971">
        <v>101667</v>
      </c>
      <c r="JD131" s="1972">
        <v>133000</v>
      </c>
      <c r="JE131" s="1719">
        <f>JD131-JC131</f>
        <v>31333</v>
      </c>
      <c r="JF131" s="1721">
        <f>JE131/JD131</f>
        <v>0.23558646616541354</v>
      </c>
      <c r="JG131" s="1847">
        <v>3</v>
      </c>
      <c r="JH131" s="1096">
        <v>101667</v>
      </c>
      <c r="JI131" s="1096">
        <v>133000</v>
      </c>
      <c r="JJ131" s="1756">
        <f>JI131-JH131</f>
        <v>31333</v>
      </c>
      <c r="JK131" s="1721">
        <f>JJ131/JI131</f>
        <v>0.23558646616541354</v>
      </c>
      <c r="JL131" s="1927">
        <v>3</v>
      </c>
      <c r="JM131" s="1096">
        <v>101667</v>
      </c>
      <c r="JN131" s="1096">
        <v>133000</v>
      </c>
      <c r="JO131" s="1843">
        <f>JN131-JM131</f>
        <v>31333</v>
      </c>
      <c r="JP131" s="1721">
        <f>JO131/JN131</f>
        <v>0.23558646616541354</v>
      </c>
      <c r="JQ131" s="1927">
        <v>3</v>
      </c>
      <c r="JR131" s="972">
        <v>101667</v>
      </c>
      <c r="JS131" s="264">
        <v>133000</v>
      </c>
      <c r="JT131" s="1845">
        <f>JS131-JR131</f>
        <v>31333</v>
      </c>
      <c r="JU131" s="1721">
        <f>JT131/JS131</f>
        <v>0.23558646616541354</v>
      </c>
      <c r="JV131" s="1849">
        <v>3</v>
      </c>
      <c r="JW131" s="1119">
        <v>101667</v>
      </c>
      <c r="JX131" s="1850">
        <v>133000</v>
      </c>
      <c r="JY131" s="1845">
        <f>JX131-JW131</f>
        <v>31333</v>
      </c>
      <c r="JZ131" s="1721">
        <f>JY131/JX131</f>
        <v>0.23558646616541354</v>
      </c>
      <c r="KA131" s="1847">
        <v>3</v>
      </c>
      <c r="KB131" s="264">
        <v>101667</v>
      </c>
      <c r="KC131" s="264">
        <v>133000</v>
      </c>
      <c r="KD131" s="964">
        <f>KC131-KB131</f>
        <v>31333</v>
      </c>
      <c r="KE131" s="1848">
        <f>KD131/KC131</f>
        <v>0.23558646616541354</v>
      </c>
      <c r="KF131" s="1849">
        <v>3</v>
      </c>
      <c r="KG131" s="1850">
        <v>101667</v>
      </c>
      <c r="KH131" s="1850">
        <v>133000</v>
      </c>
      <c r="KI131" s="1719">
        <f>KH131-KG131</f>
        <v>31333</v>
      </c>
      <c r="KJ131" s="1721">
        <f>KI131/KH131</f>
        <v>0.23558646616541354</v>
      </c>
      <c r="KK131" s="1849">
        <v>3</v>
      </c>
      <c r="KL131" s="1850">
        <v>101667</v>
      </c>
      <c r="KM131" s="1850">
        <v>133000</v>
      </c>
      <c r="KN131" s="1851">
        <f>KM131-KL131</f>
        <v>31333</v>
      </c>
      <c r="KO131" s="1852">
        <f>KN131/KM131</f>
        <v>0.23558646616541354</v>
      </c>
      <c r="KP131" s="1722">
        <v>2</v>
      </c>
      <c r="KQ131" s="972">
        <v>71667</v>
      </c>
      <c r="KR131" s="264">
        <v>133000</v>
      </c>
      <c r="KS131" s="1845">
        <f>KR131-KQ131</f>
        <v>61333</v>
      </c>
      <c r="KT131" s="1720">
        <f>KS131/KR131</f>
        <v>0.46115037593984964</v>
      </c>
      <c r="KU131" s="1853">
        <v>3</v>
      </c>
      <c r="KV131" s="264">
        <v>104833</v>
      </c>
      <c r="KW131" s="264">
        <v>133000</v>
      </c>
      <c r="KX131" s="264">
        <f>KW131-KV131</f>
        <v>28167</v>
      </c>
      <c r="KY131" s="75">
        <f>KX131/KW131</f>
        <v>0.21178195488721804</v>
      </c>
      <c r="KZ131" s="1857">
        <v>3</v>
      </c>
      <c r="LA131" s="358">
        <f t="shared" si="464"/>
        <v>1161271</v>
      </c>
      <c r="LB131" s="358">
        <f t="shared" si="464"/>
        <v>1556100</v>
      </c>
      <c r="LC131" s="358">
        <f t="shared" si="464"/>
        <v>394829</v>
      </c>
      <c r="LD131" s="151">
        <f>LC131/LB131</f>
        <v>0.25372983741404792</v>
      </c>
      <c r="LE131" s="1854">
        <f>(IR131+IW131+JB131)/3</f>
        <v>2.3333333333333335</v>
      </c>
      <c r="LF131" s="1855">
        <f t="shared" si="465"/>
        <v>359100</v>
      </c>
      <c r="LG131" s="1855">
        <f t="shared" si="465"/>
        <v>85998</v>
      </c>
      <c r="LH131" s="1856">
        <f>LG131/LF131</f>
        <v>0.23948203842940685</v>
      </c>
      <c r="LI131" s="1857">
        <f>(JG131+JL131+JQ131)/3</f>
        <v>3</v>
      </c>
      <c r="LJ131" s="1858">
        <f t="shared" si="466"/>
        <v>399000</v>
      </c>
      <c r="LK131" s="1854">
        <f t="shared" si="466"/>
        <v>93999</v>
      </c>
      <c r="LL131" s="1856">
        <f>LK131/LJ131</f>
        <v>0.23558646616541354</v>
      </c>
      <c r="LM131" s="1859">
        <f>(JV131+KA131+KF131)/3</f>
        <v>3</v>
      </c>
      <c r="LN131" s="1727">
        <f t="shared" si="467"/>
        <v>399000</v>
      </c>
      <c r="LO131" s="1727">
        <f t="shared" si="467"/>
        <v>93999</v>
      </c>
      <c r="LP131" s="151">
        <f>LO131/LN131</f>
        <v>0.23558646616541354</v>
      </c>
      <c r="LQ131" s="1860">
        <f>(KK131+KP131+KU131)/3</f>
        <v>2.6666666666666665</v>
      </c>
      <c r="LR131" s="1727">
        <f t="shared" si="468"/>
        <v>399000</v>
      </c>
      <c r="LS131" s="1727">
        <f t="shared" si="468"/>
        <v>120833</v>
      </c>
      <c r="LT131" s="1861">
        <f>LS131/LR131</f>
        <v>0.30283959899749374</v>
      </c>
      <c r="LV131" s="439">
        <v>3</v>
      </c>
      <c r="LW131" s="208">
        <v>104833</v>
      </c>
      <c r="LX131" s="208">
        <v>133000</v>
      </c>
      <c r="LY131" s="96">
        <f>LX131-LW131</f>
        <v>28167</v>
      </c>
      <c r="LZ131" s="78">
        <f>LY131/LX131</f>
        <v>0.21178195488721804</v>
      </c>
      <c r="MA131" s="1862">
        <v>3</v>
      </c>
      <c r="MB131" s="265">
        <v>104833</v>
      </c>
      <c r="MC131" s="265">
        <v>133000</v>
      </c>
      <c r="MD131" s="371">
        <f>MC131-MB131</f>
        <v>28167</v>
      </c>
      <c r="ME131" s="157">
        <f>MD131/MC131</f>
        <v>0.21178195488721804</v>
      </c>
      <c r="MF131" s="439">
        <v>4</v>
      </c>
      <c r="MG131" s="208">
        <v>146500</v>
      </c>
      <c r="MH131" s="208">
        <v>133000</v>
      </c>
      <c r="MI131" s="2566">
        <f>MH131-MG131</f>
        <v>-13500</v>
      </c>
      <c r="MJ131" s="157">
        <f>MI131/MH131</f>
        <v>-0.10150375939849623</v>
      </c>
      <c r="MK131" s="354">
        <v>3</v>
      </c>
      <c r="ML131" s="208">
        <v>104833</v>
      </c>
      <c r="MM131" s="208">
        <v>133000</v>
      </c>
      <c r="MN131" s="371">
        <f>MM131-ML131</f>
        <v>28167</v>
      </c>
      <c r="MO131" s="157">
        <f>MN131/MM131</f>
        <v>0.21178195488721804</v>
      </c>
      <c r="MP131" s="1579">
        <v>4</v>
      </c>
      <c r="MQ131" s="264">
        <v>131715</v>
      </c>
      <c r="MR131" s="264">
        <v>146300</v>
      </c>
      <c r="MS131" s="264">
        <f>MR131-MQ131</f>
        <v>14585</v>
      </c>
      <c r="MT131" s="597">
        <f>MS131/MR131</f>
        <v>9.9692412850307582E-2</v>
      </c>
      <c r="MU131" s="209">
        <v>3</v>
      </c>
      <c r="MV131" s="208">
        <v>104833</v>
      </c>
      <c r="MW131" s="208">
        <v>146300</v>
      </c>
      <c r="MX131" s="208">
        <f>MW131-MV131</f>
        <v>41467</v>
      </c>
      <c r="MY131" s="597">
        <f>MX131/MW131</f>
        <v>0.28343814080656188</v>
      </c>
      <c r="MZ131" s="209">
        <v>3</v>
      </c>
      <c r="NA131" s="208">
        <v>104833</v>
      </c>
      <c r="NB131" s="208">
        <v>146300</v>
      </c>
      <c r="NC131" s="208">
        <f>NB131-NA131</f>
        <v>41467</v>
      </c>
      <c r="ND131" s="597">
        <f>NC131/NB131</f>
        <v>0.28343814080656188</v>
      </c>
      <c r="NE131" s="1318">
        <v>2</v>
      </c>
      <c r="NF131" s="395">
        <v>60833</v>
      </c>
      <c r="NG131" s="395">
        <v>146300</v>
      </c>
      <c r="NH131" s="395">
        <f>NG131-NF131</f>
        <v>85467</v>
      </c>
      <c r="NI131" s="655">
        <f>NH131/NG131</f>
        <v>0.58419002050580993</v>
      </c>
      <c r="NJ131" s="1318">
        <v>4</v>
      </c>
      <c r="NK131" s="395">
        <v>140001</v>
      </c>
      <c r="NL131" s="395">
        <v>146300</v>
      </c>
      <c r="NM131" s="395">
        <f>NL131-NK131</f>
        <v>6299</v>
      </c>
      <c r="NN131" s="655">
        <f>NM131/NL131</f>
        <v>4.3055365686944631E-2</v>
      </c>
      <c r="NO131" s="357">
        <v>4</v>
      </c>
      <c r="NP131" s="358">
        <v>140001</v>
      </c>
      <c r="NQ131" s="358">
        <v>146300</v>
      </c>
      <c r="NR131" s="395">
        <f>NQ131-NP131</f>
        <v>6299</v>
      </c>
      <c r="NS131" s="655">
        <f>NR131/NQ131</f>
        <v>4.3055365686944631E-2</v>
      </c>
      <c r="NT131" s="357">
        <v>5</v>
      </c>
      <c r="NU131" s="358">
        <v>156072</v>
      </c>
      <c r="NV131" s="358">
        <v>146300</v>
      </c>
      <c r="NW131" s="1338">
        <f>NV131-NU131</f>
        <v>-9772</v>
      </c>
      <c r="NX131" s="2580">
        <f>NW131/NV131</f>
        <v>-6.6794258373205739E-2</v>
      </c>
      <c r="NY131" s="357">
        <v>3</v>
      </c>
      <c r="NZ131" s="358">
        <v>94167</v>
      </c>
      <c r="OA131" s="358">
        <v>146300</v>
      </c>
      <c r="OB131" s="772">
        <f>OA131-NZ131</f>
        <v>52133</v>
      </c>
      <c r="OC131" s="659">
        <f>OB131/OA131</f>
        <v>0.35634313055365685</v>
      </c>
      <c r="OD131" s="191">
        <v>3</v>
      </c>
      <c r="OE131" s="358">
        <f t="shared" si="469"/>
        <v>1393454</v>
      </c>
      <c r="OF131" s="358">
        <f t="shared" si="469"/>
        <v>1702400</v>
      </c>
      <c r="OG131" s="358">
        <f t="shared" si="469"/>
        <v>308946</v>
      </c>
      <c r="OH131" s="220">
        <f>OG131/OF131</f>
        <v>0.1814767387218045</v>
      </c>
      <c r="OI131" s="1863">
        <f>(LV131+MA131+MF131)/3</f>
        <v>3.3333333333333335</v>
      </c>
      <c r="OJ131" s="105">
        <f>LW131+MB131+MG131</f>
        <v>356166</v>
      </c>
      <c r="OK131" s="105">
        <f>LX131+MC131+MH131</f>
        <v>399000</v>
      </c>
      <c r="OL131" s="105">
        <f>LY131+MD131+MI131</f>
        <v>42834</v>
      </c>
      <c r="OM131" s="106">
        <f>OL131/OK131</f>
        <v>0.10735338345864662</v>
      </c>
      <c r="ON131" s="358">
        <f>(MK131+MP131+MU131)/3</f>
        <v>3.3333333333333335</v>
      </c>
      <c r="OO131" s="358">
        <f t="shared" si="470"/>
        <v>341381</v>
      </c>
      <c r="OP131" s="358">
        <f t="shared" si="470"/>
        <v>425600</v>
      </c>
      <c r="OQ131" s="359">
        <f t="shared" si="470"/>
        <v>84219</v>
      </c>
      <c r="OR131" s="169">
        <f>OQ131/OP131</f>
        <v>0.19788298872180451</v>
      </c>
      <c r="OS131" s="686">
        <f t="shared" si="471"/>
        <v>3</v>
      </c>
      <c r="OT131" s="146">
        <f t="shared" si="472"/>
        <v>305667</v>
      </c>
      <c r="OU131" s="146">
        <f t="shared" si="472"/>
        <v>438900</v>
      </c>
      <c r="OV131" s="1864">
        <f t="shared" si="472"/>
        <v>133233</v>
      </c>
      <c r="OW131" s="203">
        <f>OV131/OU131</f>
        <v>0.30356117566643881</v>
      </c>
      <c r="OX131" s="357">
        <v>3</v>
      </c>
      <c r="OY131" s="358">
        <f t="shared" si="473"/>
        <v>390240</v>
      </c>
      <c r="OZ131" s="358">
        <f t="shared" si="473"/>
        <v>438900</v>
      </c>
      <c r="PA131" s="359">
        <f t="shared" si="473"/>
        <v>48660</v>
      </c>
      <c r="PB131" s="114">
        <f>PA131/OZ131</f>
        <v>0.11086807928913192</v>
      </c>
      <c r="PC131" s="79"/>
      <c r="PD131" s="439">
        <v>3</v>
      </c>
      <c r="PE131" s="208">
        <v>94167</v>
      </c>
      <c r="PF131" s="208">
        <v>146300</v>
      </c>
      <c r="PG131" s="96">
        <f t="shared" ref="PG131:PG137" si="484">PF131-PE131</f>
        <v>52133</v>
      </c>
      <c r="PH131" s="224">
        <f t="shared" ref="PH131:PH137" si="485">PG131/PF131</f>
        <v>0.35634313055365685</v>
      </c>
      <c r="PI131" s="1862">
        <v>3</v>
      </c>
      <c r="PJ131" s="265">
        <v>94167</v>
      </c>
      <c r="PK131" s="265">
        <v>146300</v>
      </c>
      <c r="PL131" s="371">
        <f t="shared" si="474"/>
        <v>52133</v>
      </c>
      <c r="PM131" s="157">
        <f t="shared" ref="PM131:PM137" si="486">PL131/PK131</f>
        <v>0.35634313055365685</v>
      </c>
      <c r="PN131" s="439">
        <v>3</v>
      </c>
      <c r="PO131" s="208">
        <v>94167</v>
      </c>
      <c r="PP131" s="208">
        <v>146300</v>
      </c>
      <c r="PQ131" s="371">
        <f t="shared" ref="PQ131:PQ137" si="487">PP131-PO131</f>
        <v>52133</v>
      </c>
      <c r="PR131" s="157">
        <f>PQ131/PP131</f>
        <v>0.35634313055365685</v>
      </c>
      <c r="PS131" s="2573">
        <v>2</v>
      </c>
      <c r="PT131" s="395">
        <v>60833</v>
      </c>
      <c r="PU131" s="395">
        <v>146300</v>
      </c>
      <c r="PV131" s="372">
        <f>PU131-PT131</f>
        <v>85467</v>
      </c>
      <c r="PW131" s="207">
        <f>PV131/PU131</f>
        <v>0.58419002050580993</v>
      </c>
      <c r="PX131" s="1579">
        <v>2</v>
      </c>
      <c r="PY131" s="264">
        <v>66209</v>
      </c>
      <c r="PZ131" s="264">
        <v>146300</v>
      </c>
      <c r="QA131" s="264">
        <f>PZ131-PY131</f>
        <v>80091</v>
      </c>
      <c r="QB131" s="597">
        <f>QA131/PZ131</f>
        <v>0.5474436090225564</v>
      </c>
      <c r="QC131" s="209">
        <v>3</v>
      </c>
      <c r="QD131" s="208">
        <v>66254</v>
      </c>
      <c r="QE131" s="208">
        <v>146300</v>
      </c>
      <c r="QF131" s="208">
        <f t="shared" ref="QF131:QF138" si="488">QE131-QD131</f>
        <v>80046</v>
      </c>
      <c r="QG131" s="597">
        <f>QF131/QE131</f>
        <v>0.54713602187286403</v>
      </c>
      <c r="QH131" s="439">
        <v>3</v>
      </c>
      <c r="QI131" s="208">
        <v>92500</v>
      </c>
      <c r="QJ131" s="208">
        <v>146300</v>
      </c>
      <c r="QK131" s="208">
        <f>QJ131-QI131</f>
        <v>53800</v>
      </c>
      <c r="QL131" s="597">
        <f>QK131/QJ131</f>
        <v>0.36773752563226247</v>
      </c>
      <c r="QM131" s="401">
        <v>3</v>
      </c>
      <c r="QN131" s="395">
        <v>92500</v>
      </c>
      <c r="QO131" s="395">
        <v>146300</v>
      </c>
      <c r="QP131" s="395">
        <f t="shared" ref="QP131:QP138" si="489">QO131-QN131</f>
        <v>53800</v>
      </c>
      <c r="QQ131" s="2019">
        <f>QP131/QO131</f>
        <v>0.36773752563226247</v>
      </c>
      <c r="QR131" s="1318">
        <v>3</v>
      </c>
      <c r="QS131" s="395">
        <v>92500</v>
      </c>
      <c r="QT131" s="395">
        <v>146300</v>
      </c>
      <c r="QU131" s="395">
        <f>QT131-QS131</f>
        <v>53800</v>
      </c>
      <c r="QV131" s="77">
        <f>QU131/QT131</f>
        <v>0.36773752563226247</v>
      </c>
      <c r="QW131" s="2561">
        <v>3</v>
      </c>
      <c r="QX131" s="2562">
        <v>92500</v>
      </c>
      <c r="QY131" s="2562">
        <v>146300</v>
      </c>
      <c r="QZ131" s="395">
        <f>QY131-QX131</f>
        <v>53800</v>
      </c>
      <c r="RA131" s="207">
        <f>QZ131/QY131</f>
        <v>0.36773752563226247</v>
      </c>
      <c r="RB131" s="357">
        <v>3</v>
      </c>
      <c r="RC131" s="358">
        <v>92500</v>
      </c>
      <c r="RD131" s="358">
        <v>146300</v>
      </c>
      <c r="RE131" s="208">
        <f t="shared" ref="RE131:RE138" si="490">RD131-RC131</f>
        <v>53800</v>
      </c>
      <c r="RF131" s="1313">
        <f>RE131/RD131</f>
        <v>0.36773752563226247</v>
      </c>
      <c r="RG131" s="1567">
        <v>3</v>
      </c>
      <c r="RH131" s="1568">
        <v>92500</v>
      </c>
      <c r="RI131" s="1568">
        <v>146300</v>
      </c>
      <c r="RJ131" s="2012">
        <f t="shared" ref="RJ131:RJ138" si="491">RI131-RH131</f>
        <v>53800</v>
      </c>
      <c r="RK131" s="659">
        <f>RJ131/RI131</f>
        <v>0.36773752563226247</v>
      </c>
      <c r="RL131" s="1567">
        <v>3</v>
      </c>
      <c r="RM131" s="1568">
        <f t="shared" si="475"/>
        <v>1030797</v>
      </c>
      <c r="RN131" s="1568">
        <f t="shared" si="475"/>
        <v>1755600</v>
      </c>
      <c r="RO131" s="1568">
        <f t="shared" si="475"/>
        <v>724803</v>
      </c>
      <c r="RP131" s="220">
        <f t="shared" ref="RP131:RP138" si="492">RO131/RN131</f>
        <v>0.41285201640464797</v>
      </c>
      <c r="RQ131" s="1863">
        <f t="shared" ref="RQ131:RQ138" si="493">(PD131+PI131+PN131)/3</f>
        <v>3</v>
      </c>
      <c r="RR131" s="105">
        <f t="shared" ref="RR131:RT138" si="494">PE131+PJ131+PO131</f>
        <v>282501</v>
      </c>
      <c r="RS131" s="105">
        <f t="shared" si="494"/>
        <v>438900</v>
      </c>
      <c r="RT131" s="105">
        <f t="shared" si="494"/>
        <v>156399</v>
      </c>
      <c r="RU131" s="106">
        <f t="shared" ref="RU131:RU137" si="495">RT131/RS131</f>
        <v>0.35634313055365685</v>
      </c>
      <c r="RV131" s="1868">
        <v>3</v>
      </c>
      <c r="RW131" s="358">
        <f t="shared" si="476"/>
        <v>193296</v>
      </c>
      <c r="RX131" s="358">
        <f t="shared" si="476"/>
        <v>438900</v>
      </c>
      <c r="RY131" s="359">
        <f t="shared" si="476"/>
        <v>245604</v>
      </c>
      <c r="RZ131" s="169">
        <f>RY131/RX131</f>
        <v>0.55958988380041008</v>
      </c>
      <c r="SA131" s="686">
        <v>3</v>
      </c>
      <c r="SB131" s="146">
        <f t="shared" si="477"/>
        <v>277500</v>
      </c>
      <c r="SC131" s="146">
        <f t="shared" si="477"/>
        <v>438900</v>
      </c>
      <c r="SD131" s="1864">
        <f t="shared" si="477"/>
        <v>161400</v>
      </c>
      <c r="SE131" s="203">
        <f>SD131/SC131</f>
        <v>0.36773752563226247</v>
      </c>
      <c r="SF131" s="1567">
        <v>3</v>
      </c>
      <c r="SG131" s="358">
        <f t="shared" si="478"/>
        <v>277500</v>
      </c>
      <c r="SH131" s="358">
        <f t="shared" si="478"/>
        <v>438900</v>
      </c>
      <c r="SI131" s="359">
        <f t="shared" si="478"/>
        <v>161400</v>
      </c>
      <c r="SJ131" s="114">
        <f>SI131/SH131</f>
        <v>0.36773752563226247</v>
      </c>
      <c r="SL131" s="2445"/>
      <c r="SM131" s="2001">
        <v>0</v>
      </c>
      <c r="SN131" s="2001">
        <v>0</v>
      </c>
      <c r="SO131" s="3534">
        <f t="shared" ref="SO131:SO138" si="496">SN131-SM131</f>
        <v>0</v>
      </c>
      <c r="SP131" s="3637" t="s">
        <v>68</v>
      </c>
      <c r="SQ131" s="3555"/>
      <c r="SR131" s="2015"/>
      <c r="SS131" s="2015"/>
      <c r="ST131" s="1707">
        <f t="shared" si="479"/>
        <v>0</v>
      </c>
      <c r="SU131" s="1867" t="e">
        <f>ST131/SS131</f>
        <v>#DIV/0!</v>
      </c>
      <c r="SV131" s="439"/>
      <c r="SW131" s="208"/>
      <c r="SX131" s="994"/>
      <c r="SY131" s="96">
        <f t="shared" ref="SY131:SY137" si="497">SX131-SW131</f>
        <v>0</v>
      </c>
      <c r="SZ131" s="94" t="e">
        <f>SY131/SX131</f>
        <v>#DIV/0!</v>
      </c>
      <c r="TA131" s="2573"/>
      <c r="TB131" s="395"/>
      <c r="TC131" s="772"/>
      <c r="TD131" s="115">
        <f t="shared" ref="TD131:TD138" si="498">TC131-TB131</f>
        <v>0</v>
      </c>
      <c r="TE131" s="362" t="e">
        <f>TD131/TC131</f>
        <v>#DIV/0!</v>
      </c>
      <c r="TF131" s="354"/>
      <c r="TG131" s="208"/>
      <c r="TH131" s="208"/>
      <c r="TI131" s="208">
        <f t="shared" si="480"/>
        <v>0</v>
      </c>
      <c r="TJ131" s="114"/>
      <c r="TK131" s="209"/>
      <c r="TL131" s="208"/>
      <c r="TM131" s="208"/>
      <c r="TN131" s="208">
        <f t="shared" ref="TN131:TN138" si="499">TM131-TL131</f>
        <v>0</v>
      </c>
      <c r="TO131" s="114"/>
      <c r="TP131" s="4432"/>
      <c r="TQ131" s="208"/>
      <c r="TR131" s="208"/>
      <c r="TS131" s="994">
        <f>TR131-TQ131</f>
        <v>0</v>
      </c>
      <c r="TT131" s="114"/>
      <c r="TU131" s="4464"/>
      <c r="TV131" s="2001"/>
      <c r="TW131" s="2001"/>
      <c r="TX131" s="2001"/>
      <c r="TY131" s="2019"/>
      <c r="TZ131" s="2002"/>
      <c r="UA131" s="2001"/>
      <c r="UB131" s="2001"/>
      <c r="UC131" s="2001"/>
      <c r="UD131" s="6056"/>
      <c r="UE131" s="6505"/>
      <c r="UF131" s="6506"/>
      <c r="UG131" s="6506"/>
      <c r="UH131" s="2001"/>
      <c r="UI131" s="370"/>
      <c r="UJ131" s="357"/>
      <c r="UK131" s="358"/>
      <c r="UL131" s="358"/>
      <c r="UM131" s="208"/>
      <c r="UN131" s="1313"/>
      <c r="UO131" s="1567"/>
      <c r="UP131" s="1568"/>
      <c r="UQ131" s="1568"/>
      <c r="UR131" s="2012"/>
      <c r="US131" s="659"/>
      <c r="UT131" s="1567"/>
      <c r="UU131" s="358"/>
      <c r="UV131" s="358"/>
      <c r="UW131" s="358"/>
      <c r="UX131" s="220"/>
      <c r="UY131" s="1863">
        <f t="shared" ref="UY131:UY138" si="500">(SL131+SQ131+SV131)/3</f>
        <v>0</v>
      </c>
      <c r="UZ131" s="105">
        <f t="shared" ref="UZ131:VB138" si="501">SM131+SR131+SW131</f>
        <v>0</v>
      </c>
      <c r="VA131" s="105">
        <f t="shared" si="501"/>
        <v>0</v>
      </c>
      <c r="VB131" s="105">
        <f t="shared" si="501"/>
        <v>0</v>
      </c>
      <c r="VC131" s="106" t="e">
        <f t="shared" ref="VC131:VC137" si="502">VB131/VA131</f>
        <v>#DIV/0!</v>
      </c>
      <c r="VD131" s="1868"/>
      <c r="VE131" s="358">
        <f t="shared" si="481"/>
        <v>0</v>
      </c>
      <c r="VF131" s="358">
        <f t="shared" si="481"/>
        <v>0</v>
      </c>
      <c r="VG131" s="359">
        <f t="shared" si="481"/>
        <v>0</v>
      </c>
      <c r="VH131" s="169" t="e">
        <f>VG131/VF131</f>
        <v>#DIV/0!</v>
      </c>
      <c r="VI131" s="686"/>
      <c r="VJ131" s="146">
        <f t="shared" si="482"/>
        <v>0</v>
      </c>
      <c r="VK131" s="146">
        <f t="shared" si="482"/>
        <v>0</v>
      </c>
      <c r="VL131" s="1864">
        <f t="shared" si="482"/>
        <v>0</v>
      </c>
      <c r="VM131" s="203" t="e">
        <f>VL131/VK131</f>
        <v>#DIV/0!</v>
      </c>
      <c r="VN131" s="1567"/>
      <c r="VO131" s="358">
        <f t="shared" si="483"/>
        <v>0</v>
      </c>
      <c r="VP131" s="358">
        <f t="shared" si="483"/>
        <v>0</v>
      </c>
      <c r="VQ131" s="359">
        <f t="shared" si="483"/>
        <v>0</v>
      </c>
      <c r="VR131" s="114" t="e">
        <f>VQ131/VP131</f>
        <v>#DIV/0!</v>
      </c>
    </row>
    <row r="132" spans="1:590" s="1193" customFormat="1" ht="13.45" hidden="1" x14ac:dyDescent="0.3">
      <c r="A132" s="1297"/>
      <c r="B132" s="2020" t="s">
        <v>84</v>
      </c>
      <c r="C132" s="2581" t="s">
        <v>90</v>
      </c>
      <c r="D132" s="2061" t="s">
        <v>274</v>
      </c>
      <c r="E132" s="2086">
        <v>44986</v>
      </c>
      <c r="F132" s="2086">
        <v>45412</v>
      </c>
      <c r="G132" s="1994" t="s">
        <v>275</v>
      </c>
      <c r="H132" s="1874"/>
      <c r="I132" s="1875"/>
      <c r="J132" s="1875"/>
      <c r="K132" s="1875"/>
      <c r="L132" s="1876"/>
      <c r="M132" s="1874"/>
      <c r="N132" s="1875"/>
      <c r="O132" s="1875"/>
      <c r="P132" s="1875"/>
      <c r="Q132" s="1876"/>
      <c r="R132" s="1874"/>
      <c r="S132" s="1875"/>
      <c r="T132" s="1875"/>
      <c r="U132" s="1875"/>
      <c r="V132" s="1876"/>
      <c r="W132" s="1874"/>
      <c r="X132" s="1875"/>
      <c r="Y132" s="1875"/>
      <c r="Z132" s="1875"/>
      <c r="AA132" s="1877"/>
      <c r="AB132" s="1874"/>
      <c r="AC132" s="1875"/>
      <c r="AD132" s="1875"/>
      <c r="AE132" s="1875"/>
      <c r="AF132" s="1877"/>
      <c r="AG132" s="1875"/>
      <c r="AH132" s="1875"/>
      <c r="AI132" s="1875"/>
      <c r="AJ132" s="1875"/>
      <c r="AK132" s="1876"/>
      <c r="AL132" s="1875"/>
      <c r="AM132" s="1875"/>
      <c r="AN132" s="1875"/>
      <c r="AO132" s="1875"/>
      <c r="AP132" s="1876"/>
      <c r="AQ132" s="1875"/>
      <c r="AR132" s="1875"/>
      <c r="AS132" s="1875"/>
      <c r="AT132" s="1875"/>
      <c r="AU132" s="1876"/>
      <c r="AV132" s="1878"/>
      <c r="AW132" s="1875"/>
      <c r="AX132" s="1875"/>
      <c r="AY132" s="1875"/>
      <c r="AZ132" s="1877"/>
      <c r="BA132" s="1878"/>
      <c r="BB132" s="1875"/>
      <c r="BC132" s="1875"/>
      <c r="BD132" s="1875"/>
      <c r="BE132" s="1877"/>
      <c r="BF132" s="1878"/>
      <c r="BG132" s="1875"/>
      <c r="BH132" s="1875"/>
      <c r="BI132" s="1875"/>
      <c r="BJ132" s="1877"/>
      <c r="BK132" s="1878"/>
      <c r="BL132" s="1875"/>
      <c r="BM132" s="1875"/>
      <c r="BN132" s="1875"/>
      <c r="BO132" s="1877"/>
      <c r="BP132" s="1879"/>
      <c r="BQ132" s="1875"/>
      <c r="BR132" s="1875"/>
      <c r="BS132" s="1875"/>
      <c r="BT132" s="1880"/>
      <c r="BU132" s="1875"/>
      <c r="BV132" s="1875"/>
      <c r="BW132" s="1881"/>
      <c r="BX132" s="1880"/>
      <c r="BY132" s="1875"/>
      <c r="BZ132" s="1875"/>
      <c r="CA132" s="1882"/>
      <c r="CB132" s="1875"/>
      <c r="CC132" s="1875"/>
      <c r="CD132" s="1875"/>
      <c r="CE132" s="1875"/>
      <c r="CF132" s="1880"/>
      <c r="CG132" s="1875"/>
      <c r="CH132" s="1875"/>
      <c r="CI132" s="1882"/>
      <c r="CJ132" s="1883"/>
      <c r="CK132" s="1875"/>
      <c r="CL132" s="1875"/>
      <c r="CM132" s="1875"/>
      <c r="CN132" s="1881"/>
      <c r="CO132" s="1883"/>
      <c r="CP132" s="1874"/>
      <c r="CQ132" s="1874"/>
      <c r="CR132" s="1874"/>
      <c r="CS132" s="1881"/>
      <c r="CT132" s="1883"/>
      <c r="CU132" s="1875"/>
      <c r="CV132" s="1875"/>
      <c r="CW132" s="1875"/>
      <c r="CX132" s="1881"/>
      <c r="CY132" s="1883"/>
      <c r="CZ132" s="1875"/>
      <c r="DA132" s="1875"/>
      <c r="DB132" s="1875"/>
      <c r="DC132" s="1881"/>
      <c r="DD132" s="1883"/>
      <c r="DE132" s="1875"/>
      <c r="DF132" s="1875"/>
      <c r="DG132" s="1875"/>
      <c r="DH132" s="1884"/>
      <c r="DI132" s="1883"/>
      <c r="DJ132" s="1875"/>
      <c r="DK132" s="1875"/>
      <c r="DL132" s="1875"/>
      <c r="DM132" s="1884"/>
      <c r="DN132" s="1883"/>
      <c r="DO132" s="1875"/>
      <c r="DP132" s="1875"/>
      <c r="DQ132" s="1875"/>
      <c r="DR132" s="1884"/>
      <c r="DS132" s="1883"/>
      <c r="DT132" s="1875"/>
      <c r="DU132" s="1875"/>
      <c r="DV132" s="1875"/>
      <c r="DW132" s="1884"/>
      <c r="DX132" s="1883"/>
      <c r="DY132" s="1875"/>
      <c r="DZ132" s="1875"/>
      <c r="EA132" s="1875"/>
      <c r="EB132" s="1884"/>
      <c r="EC132" s="1883"/>
      <c r="ED132" s="1875"/>
      <c r="EE132" s="1875"/>
      <c r="EF132" s="1875"/>
      <c r="EG132" s="1884"/>
      <c r="EH132" s="1885"/>
      <c r="EI132" s="1886"/>
      <c r="EJ132" s="1886"/>
      <c r="EK132" s="1886"/>
      <c r="EL132" s="1887"/>
      <c r="EM132" s="1888"/>
      <c r="EN132" s="1889"/>
      <c r="EO132" s="1889"/>
      <c r="EP132" s="1889"/>
      <c r="EQ132" s="166"/>
      <c r="ER132" s="1713"/>
      <c r="ES132" s="1714"/>
      <c r="ET132" s="1714"/>
      <c r="EU132" s="1714"/>
      <c r="EV132" s="1715"/>
      <c r="EW132" s="1890"/>
      <c r="EX132" s="1890"/>
      <c r="EY132" s="1890"/>
      <c r="EZ132" s="1891"/>
      <c r="FA132" s="1885"/>
      <c r="FB132" s="1890"/>
      <c r="FC132" s="1890"/>
      <c r="FD132" s="1892"/>
      <c r="FE132" s="1890"/>
      <c r="FF132" s="1890"/>
      <c r="FG132" s="1890"/>
      <c r="FH132" s="1891"/>
      <c r="FI132" s="1893"/>
      <c r="FJ132" s="1894"/>
      <c r="FK132" s="1895"/>
      <c r="FL132" s="1895"/>
      <c r="FM132" s="1896"/>
      <c r="FN132" s="1890"/>
      <c r="FO132" s="1886"/>
      <c r="FP132" s="1886"/>
      <c r="FQ132" s="1886"/>
      <c r="FR132" s="1897"/>
      <c r="FS132" s="1888"/>
      <c r="FT132" s="1889"/>
      <c r="FU132" s="1889"/>
      <c r="FV132" s="1889"/>
      <c r="FW132" s="1898"/>
      <c r="FX132" s="1885"/>
      <c r="FY132" s="1886"/>
      <c r="FZ132" s="1886"/>
      <c r="GA132" s="1889"/>
      <c r="GB132" s="1898"/>
      <c r="GC132" s="1899"/>
      <c r="GD132" s="1900"/>
      <c r="GE132" s="1900"/>
      <c r="GF132" s="1889"/>
      <c r="GG132" s="166"/>
      <c r="GH132" s="1901"/>
      <c r="GI132" s="1824"/>
      <c r="GJ132" s="1824"/>
      <c r="GK132" s="1902"/>
      <c r="GL132" s="1898"/>
      <c r="GM132" s="1901"/>
      <c r="GN132" s="1824"/>
      <c r="GO132" s="1824"/>
      <c r="GP132" s="1902"/>
      <c r="GQ132" s="1898"/>
      <c r="GR132" s="1903"/>
      <c r="GS132" s="1904"/>
      <c r="GT132" s="1904"/>
      <c r="GU132" s="1902"/>
      <c r="GV132" s="1898"/>
      <c r="GW132" s="1903"/>
      <c r="GX132" s="1904"/>
      <c r="GY132" s="1904"/>
      <c r="GZ132" s="1902"/>
      <c r="HA132" s="1898"/>
      <c r="HB132" s="1903"/>
      <c r="HC132" s="1904"/>
      <c r="HD132" s="1904"/>
      <c r="HE132" s="1902"/>
      <c r="HF132" s="1898"/>
      <c r="HG132" s="1903"/>
      <c r="HH132" s="1904"/>
      <c r="HI132" s="1904"/>
      <c r="HJ132" s="1818"/>
      <c r="HK132" s="1898"/>
      <c r="HL132" s="1903"/>
      <c r="HM132" s="1904"/>
      <c r="HN132" s="1904"/>
      <c r="HO132" s="715"/>
      <c r="HP132" s="166"/>
      <c r="HQ132" s="1905"/>
      <c r="HR132" s="1248"/>
      <c r="HS132" s="1248"/>
      <c r="HT132" s="1248"/>
      <c r="HU132" s="1826"/>
      <c r="HV132" s="2008"/>
      <c r="HW132" s="208"/>
      <c r="HX132" s="208"/>
      <c r="HY132" s="208"/>
      <c r="HZ132" s="2009"/>
      <c r="IA132" s="1907"/>
      <c r="IB132" s="1908"/>
      <c r="IC132" s="1908"/>
      <c r="ID132" s="1909"/>
      <c r="IE132" s="1910"/>
      <c r="IF132" s="1911"/>
      <c r="IG132" s="1912"/>
      <c r="IH132" s="1909"/>
      <c r="II132" s="1835"/>
      <c r="IJ132" s="1836"/>
      <c r="IK132" s="1836"/>
      <c r="IL132" s="693"/>
      <c r="IM132" s="1913"/>
      <c r="IN132" s="1836"/>
      <c r="IO132" s="1836"/>
      <c r="IP132" s="1838"/>
      <c r="IQ132" s="1914"/>
      <c r="IR132" s="1915"/>
      <c r="IS132" s="1916"/>
      <c r="IT132" s="1916"/>
      <c r="IU132" s="1917"/>
      <c r="IV132" s="1970"/>
      <c r="IW132" s="1919"/>
      <c r="IX132" s="1920"/>
      <c r="IY132" s="1921"/>
      <c r="IZ132" s="1719"/>
      <c r="JA132" s="1721"/>
      <c r="JB132" s="1922"/>
      <c r="JC132" s="1923"/>
      <c r="JD132" s="1924"/>
      <c r="JE132" s="1719"/>
      <c r="JF132" s="1721"/>
      <c r="JG132" s="1847"/>
      <c r="JH132" s="1096"/>
      <c r="JI132" s="1096"/>
      <c r="JJ132" s="1756"/>
      <c r="JK132" s="1721"/>
      <c r="JL132" s="1927"/>
      <c r="JM132" s="1096"/>
      <c r="JN132" s="1096"/>
      <c r="JO132" s="1843"/>
      <c r="JP132" s="1721"/>
      <c r="JQ132" s="1927"/>
      <c r="JR132" s="972"/>
      <c r="JS132" s="264"/>
      <c r="JT132" s="1845"/>
      <c r="JU132" s="1721"/>
      <c r="JV132" s="1849"/>
      <c r="JW132" s="1119"/>
      <c r="JX132" s="1850"/>
      <c r="JY132" s="1845"/>
      <c r="JZ132" s="1721"/>
      <c r="KA132" s="1847"/>
      <c r="KB132" s="264"/>
      <c r="KC132" s="264"/>
      <c r="KD132" s="964"/>
      <c r="KE132" s="1848"/>
      <c r="KF132" s="1849"/>
      <c r="KG132" s="1850"/>
      <c r="KH132" s="1850"/>
      <c r="KI132" s="1719"/>
      <c r="KJ132" s="1721"/>
      <c r="KK132" s="1849"/>
      <c r="KL132" s="1850"/>
      <c r="KM132" s="1850"/>
      <c r="KN132" s="1851"/>
      <c r="KO132" s="1852"/>
      <c r="KP132" s="1722"/>
      <c r="KQ132" s="972"/>
      <c r="KR132" s="264"/>
      <c r="KS132" s="1845"/>
      <c r="KT132" s="1720"/>
      <c r="KU132" s="1853"/>
      <c r="KV132" s="264"/>
      <c r="KW132" s="264"/>
      <c r="KX132" s="264"/>
      <c r="KY132" s="75"/>
      <c r="KZ132" s="1857"/>
      <c r="LA132" s="358">
        <v>0</v>
      </c>
      <c r="LB132" s="358">
        <v>0</v>
      </c>
      <c r="LC132" s="358">
        <v>0</v>
      </c>
      <c r="LD132" s="151"/>
      <c r="LE132" s="1854"/>
      <c r="LF132" s="1855"/>
      <c r="LG132" s="1855"/>
      <c r="LH132" s="1856"/>
      <c r="LI132" s="1857"/>
      <c r="LJ132" s="1858"/>
      <c r="LK132" s="1854"/>
      <c r="LL132" s="1856"/>
      <c r="LM132" s="1859"/>
      <c r="LN132" s="1727"/>
      <c r="LO132" s="1727"/>
      <c r="LP132" s="151"/>
      <c r="LQ132" s="1860"/>
      <c r="LR132" s="1727"/>
      <c r="LS132" s="1727"/>
      <c r="LT132" s="1861"/>
      <c r="LV132" s="439"/>
      <c r="LW132" s="208"/>
      <c r="LX132" s="208"/>
      <c r="LY132" s="96"/>
      <c r="LZ132" s="78"/>
      <c r="MA132" s="1862"/>
      <c r="MB132" s="265"/>
      <c r="MC132" s="265"/>
      <c r="MD132" s="371"/>
      <c r="ME132" s="157"/>
      <c r="MF132" s="439"/>
      <c r="MG132" s="208"/>
      <c r="MH132" s="208"/>
      <c r="MI132" s="2566"/>
      <c r="MJ132" s="157"/>
      <c r="MK132" s="354"/>
      <c r="ML132" s="208"/>
      <c r="MM132" s="208"/>
      <c r="MN132" s="371"/>
      <c r="MO132" s="157"/>
      <c r="MP132" s="1579"/>
      <c r="MQ132" s="264"/>
      <c r="MR132" s="264"/>
      <c r="MS132" s="264"/>
      <c r="MT132" s="597"/>
      <c r="MU132" s="209"/>
      <c r="MV132" s="208"/>
      <c r="MW132" s="208"/>
      <c r="MX132" s="208"/>
      <c r="MY132" s="597"/>
      <c r="MZ132" s="209"/>
      <c r="NA132" s="208"/>
      <c r="NB132" s="208"/>
      <c r="NC132" s="208"/>
      <c r="ND132" s="597"/>
      <c r="NE132" s="1318"/>
      <c r="NF132" s="395"/>
      <c r="NG132" s="395"/>
      <c r="NH132" s="395"/>
      <c r="NI132" s="655"/>
      <c r="NJ132" s="1318"/>
      <c r="NK132" s="395"/>
      <c r="NL132" s="395"/>
      <c r="NM132" s="395"/>
      <c r="NN132" s="655"/>
      <c r="NO132" s="357"/>
      <c r="NP132" s="358"/>
      <c r="NQ132" s="358"/>
      <c r="NR132" s="395"/>
      <c r="NS132" s="655"/>
      <c r="NT132" s="357"/>
      <c r="NU132" s="358"/>
      <c r="NV132" s="358"/>
      <c r="NW132" s="1338"/>
      <c r="NX132" s="2580"/>
      <c r="NY132" s="357">
        <v>2</v>
      </c>
      <c r="NZ132" s="358">
        <v>95834</v>
      </c>
      <c r="OA132" s="358">
        <v>234000</v>
      </c>
      <c r="OB132" s="994">
        <f>OA132-NZ132</f>
        <v>138166</v>
      </c>
      <c r="OC132" s="602">
        <f>OB132/OA132</f>
        <v>0.59045299145299146</v>
      </c>
      <c r="OD132" s="191">
        <v>2</v>
      </c>
      <c r="OE132" s="358">
        <f t="shared" si="469"/>
        <v>95834</v>
      </c>
      <c r="OF132" s="358">
        <f t="shared" si="469"/>
        <v>234000</v>
      </c>
      <c r="OG132" s="358">
        <f t="shared" si="469"/>
        <v>138166</v>
      </c>
      <c r="OH132" s="220">
        <f>OG132/OF132</f>
        <v>0.59045299145299146</v>
      </c>
      <c r="OI132" s="1863"/>
      <c r="OJ132" s="105"/>
      <c r="OK132" s="105"/>
      <c r="OL132" s="105"/>
      <c r="OM132" s="106"/>
      <c r="ON132" s="358"/>
      <c r="OO132" s="358"/>
      <c r="OP132" s="358"/>
      <c r="OQ132" s="359"/>
      <c r="OR132" s="169"/>
      <c r="OS132" s="686">
        <f t="shared" si="471"/>
        <v>0</v>
      </c>
      <c r="OT132" s="146"/>
      <c r="OU132" s="146"/>
      <c r="OV132" s="1864"/>
      <c r="OW132" s="203"/>
      <c r="OX132" s="357">
        <v>2</v>
      </c>
      <c r="OY132" s="358">
        <f t="shared" si="473"/>
        <v>95834</v>
      </c>
      <c r="OZ132" s="358">
        <f t="shared" si="473"/>
        <v>234000</v>
      </c>
      <c r="PA132" s="359">
        <f t="shared" si="473"/>
        <v>138166</v>
      </c>
      <c r="PB132" s="114">
        <f>PA132/OZ132</f>
        <v>0.59045299145299146</v>
      </c>
      <c r="PC132" s="79"/>
      <c r="PD132" s="439">
        <v>2</v>
      </c>
      <c r="PE132" s="208">
        <v>95834</v>
      </c>
      <c r="PF132" s="208">
        <v>234000</v>
      </c>
      <c r="PG132" s="96">
        <f t="shared" si="484"/>
        <v>138166</v>
      </c>
      <c r="PH132" s="224">
        <f t="shared" si="485"/>
        <v>0.59045299145299146</v>
      </c>
      <c r="PI132" s="2582">
        <v>2</v>
      </c>
      <c r="PJ132" s="2583">
        <v>95834</v>
      </c>
      <c r="PK132" s="2583">
        <v>142000</v>
      </c>
      <c r="PL132" s="2584">
        <f t="shared" si="474"/>
        <v>46166</v>
      </c>
      <c r="PM132" s="2585">
        <f t="shared" si="486"/>
        <v>0.32511267605633803</v>
      </c>
      <c r="PN132" s="439">
        <v>2</v>
      </c>
      <c r="PO132" s="208">
        <v>95834</v>
      </c>
      <c r="PP132" s="208">
        <v>142000</v>
      </c>
      <c r="PQ132" s="371">
        <f t="shared" si="487"/>
        <v>46166</v>
      </c>
      <c r="PR132" s="157">
        <f>PQ132/PP132</f>
        <v>0.32511267605633803</v>
      </c>
      <c r="PS132" s="2573">
        <v>2</v>
      </c>
      <c r="PT132" s="395">
        <v>95834</v>
      </c>
      <c r="PU132" s="395">
        <v>142000</v>
      </c>
      <c r="PV132" s="372">
        <f>PU132-PT132</f>
        <v>46166</v>
      </c>
      <c r="PW132" s="207">
        <f>PV132/PU132</f>
        <v>0.32511267605633803</v>
      </c>
      <c r="PX132" s="1579">
        <v>2</v>
      </c>
      <c r="PY132" s="264">
        <v>95834</v>
      </c>
      <c r="PZ132" s="264">
        <v>142000</v>
      </c>
      <c r="QA132" s="264">
        <f>PZ132-PY132</f>
        <v>46166</v>
      </c>
      <c r="QB132" s="597">
        <f>QA132/PZ132</f>
        <v>0.32511267605633803</v>
      </c>
      <c r="QC132" s="209">
        <v>2</v>
      </c>
      <c r="QD132" s="208">
        <v>95834</v>
      </c>
      <c r="QE132" s="208">
        <v>142000</v>
      </c>
      <c r="QF132" s="208">
        <f t="shared" si="488"/>
        <v>46166</v>
      </c>
      <c r="QG132" s="597">
        <f>QF132/QE132</f>
        <v>0.32511267605633803</v>
      </c>
      <c r="QH132" s="439">
        <v>2</v>
      </c>
      <c r="QI132" s="208">
        <v>95834</v>
      </c>
      <c r="QJ132" s="208">
        <v>142000</v>
      </c>
      <c r="QK132" s="208">
        <f>QJ132-QI132</f>
        <v>46166</v>
      </c>
      <c r="QL132" s="597">
        <f>QK132/QJ132</f>
        <v>0.32511267605633803</v>
      </c>
      <c r="QM132" s="401">
        <v>2</v>
      </c>
      <c r="QN132" s="395">
        <v>95033</v>
      </c>
      <c r="QO132" s="395">
        <v>142000</v>
      </c>
      <c r="QP132" s="395">
        <f t="shared" si="489"/>
        <v>46967</v>
      </c>
      <c r="QQ132" s="2019">
        <f>QP132/QO132</f>
        <v>0.33075352112676054</v>
      </c>
      <c r="QR132" s="1318">
        <v>2</v>
      </c>
      <c r="QS132" s="395">
        <v>95834</v>
      </c>
      <c r="QT132" s="395">
        <v>142000</v>
      </c>
      <c r="QU132" s="395">
        <f>QT132-QS132</f>
        <v>46166</v>
      </c>
      <c r="QV132" s="77">
        <f>QU132/QT132</f>
        <v>0.32511267605633803</v>
      </c>
      <c r="QW132" s="2561">
        <v>2</v>
      </c>
      <c r="QX132" s="2562">
        <v>95834</v>
      </c>
      <c r="QY132" s="2562">
        <v>142000</v>
      </c>
      <c r="QZ132" s="395">
        <f>QY132-QX132</f>
        <v>46166</v>
      </c>
      <c r="RA132" s="207">
        <f>QZ132/QY132</f>
        <v>0.32511267605633803</v>
      </c>
      <c r="RB132" s="357">
        <v>2</v>
      </c>
      <c r="RC132" s="358">
        <v>95834</v>
      </c>
      <c r="RD132" s="358">
        <v>142000</v>
      </c>
      <c r="RE132" s="208">
        <f t="shared" si="490"/>
        <v>46166</v>
      </c>
      <c r="RF132" s="1313">
        <f>RE132/RD132</f>
        <v>0.32511267605633803</v>
      </c>
      <c r="RG132" s="1567">
        <v>2</v>
      </c>
      <c r="RH132" s="1568">
        <v>95834</v>
      </c>
      <c r="RI132" s="1568">
        <v>142000</v>
      </c>
      <c r="RJ132" s="2552">
        <f t="shared" si="491"/>
        <v>46166</v>
      </c>
      <c r="RK132" s="602">
        <f>RJ132/RI132</f>
        <v>0.32511267605633803</v>
      </c>
      <c r="RL132" s="1567">
        <v>2</v>
      </c>
      <c r="RM132" s="1568">
        <f t="shared" si="475"/>
        <v>1149207</v>
      </c>
      <c r="RN132" s="1568">
        <f t="shared" si="475"/>
        <v>1796000</v>
      </c>
      <c r="RO132" s="1568">
        <f t="shared" si="475"/>
        <v>646793</v>
      </c>
      <c r="RP132" s="220">
        <f t="shared" si="492"/>
        <v>0.36012973273942095</v>
      </c>
      <c r="RQ132" s="1863">
        <f t="shared" si="493"/>
        <v>2</v>
      </c>
      <c r="RR132" s="105">
        <f t="shared" si="494"/>
        <v>287502</v>
      </c>
      <c r="RS132" s="105">
        <f t="shared" si="494"/>
        <v>518000</v>
      </c>
      <c r="RT132" s="105">
        <f t="shared" si="494"/>
        <v>230498</v>
      </c>
      <c r="RU132" s="106">
        <f t="shared" si="495"/>
        <v>0.44497683397683396</v>
      </c>
      <c r="RV132" s="1868">
        <v>2</v>
      </c>
      <c r="RW132" s="358">
        <f t="shared" si="476"/>
        <v>287502</v>
      </c>
      <c r="RX132" s="358">
        <f t="shared" si="476"/>
        <v>426000</v>
      </c>
      <c r="RY132" s="359">
        <f t="shared" si="476"/>
        <v>138498</v>
      </c>
      <c r="RZ132" s="169">
        <f>RY132/RX132</f>
        <v>0.32511267605633803</v>
      </c>
      <c r="SA132" s="686">
        <v>2</v>
      </c>
      <c r="SB132" s="146">
        <f t="shared" si="477"/>
        <v>286701</v>
      </c>
      <c r="SC132" s="146">
        <f t="shared" si="477"/>
        <v>426000</v>
      </c>
      <c r="SD132" s="1864">
        <f t="shared" si="477"/>
        <v>139299</v>
      </c>
      <c r="SE132" s="203">
        <f>SD132/SC132</f>
        <v>0.32699295774647885</v>
      </c>
      <c r="SF132" s="1567">
        <v>2</v>
      </c>
      <c r="SG132" s="358">
        <f t="shared" si="478"/>
        <v>287502</v>
      </c>
      <c r="SH132" s="358">
        <f t="shared" si="478"/>
        <v>426000</v>
      </c>
      <c r="SI132" s="359">
        <f t="shared" si="478"/>
        <v>138498</v>
      </c>
      <c r="SJ132" s="114">
        <f>SI132/SH132</f>
        <v>0.32511267605633803</v>
      </c>
      <c r="SL132" s="2445"/>
      <c r="SM132" s="2001">
        <v>0</v>
      </c>
      <c r="SN132" s="2001">
        <v>0</v>
      </c>
      <c r="SO132" s="3534">
        <f t="shared" si="496"/>
        <v>0</v>
      </c>
      <c r="SP132" s="3637" t="s">
        <v>68</v>
      </c>
      <c r="SQ132" s="3638"/>
      <c r="SR132" s="3639"/>
      <c r="SS132" s="3639"/>
      <c r="ST132" s="3640">
        <f t="shared" si="479"/>
        <v>0</v>
      </c>
      <c r="SU132" s="3641" t="e">
        <f>ST132/SS132</f>
        <v>#DIV/0!</v>
      </c>
      <c r="SV132" s="439"/>
      <c r="SW132" s="208"/>
      <c r="SX132" s="994"/>
      <c r="SY132" s="96">
        <f t="shared" si="497"/>
        <v>0</v>
      </c>
      <c r="SZ132" s="94" t="e">
        <f>SY132/SX132</f>
        <v>#DIV/0!</v>
      </c>
      <c r="TA132" s="2573"/>
      <c r="TB132" s="395"/>
      <c r="TC132" s="772"/>
      <c r="TD132" s="115">
        <f t="shared" si="498"/>
        <v>0</v>
      </c>
      <c r="TE132" s="362" t="e">
        <f>TD132/TC132</f>
        <v>#DIV/0!</v>
      </c>
      <c r="TF132" s="354"/>
      <c r="TG132" s="208"/>
      <c r="TH132" s="208"/>
      <c r="TI132" s="208">
        <f t="shared" si="480"/>
        <v>0</v>
      </c>
      <c r="TJ132" s="114"/>
      <c r="TK132" s="209"/>
      <c r="TL132" s="208"/>
      <c r="TM132" s="208"/>
      <c r="TN132" s="208">
        <f t="shared" si="499"/>
        <v>0</v>
      </c>
      <c r="TO132" s="114"/>
      <c r="TP132" s="4432"/>
      <c r="TQ132" s="208"/>
      <c r="TR132" s="208"/>
      <c r="TS132" s="994">
        <f>TR132-TQ132</f>
        <v>0</v>
      </c>
      <c r="TT132" s="114"/>
      <c r="TU132" s="4464"/>
      <c r="TV132" s="2001"/>
      <c r="TW132" s="2001"/>
      <c r="TX132" s="2001"/>
      <c r="TY132" s="2019"/>
      <c r="TZ132" s="2002"/>
      <c r="UA132" s="2001"/>
      <c r="UB132" s="2001"/>
      <c r="UC132" s="2001"/>
      <c r="UD132" s="6056"/>
      <c r="UE132" s="6505"/>
      <c r="UF132" s="6506"/>
      <c r="UG132" s="6506"/>
      <c r="UH132" s="2001"/>
      <c r="UI132" s="370"/>
      <c r="UJ132" s="357"/>
      <c r="UK132" s="358"/>
      <c r="UL132" s="358"/>
      <c r="UM132" s="208"/>
      <c r="UN132" s="1313"/>
      <c r="UO132" s="1567"/>
      <c r="UP132" s="1568"/>
      <c r="UQ132" s="1568"/>
      <c r="UR132" s="2552"/>
      <c r="US132" s="602"/>
      <c r="UT132" s="1567"/>
      <c r="UU132" s="358"/>
      <c r="UV132" s="358"/>
      <c r="UW132" s="358"/>
      <c r="UX132" s="220"/>
      <c r="UY132" s="1863">
        <f t="shared" si="500"/>
        <v>0</v>
      </c>
      <c r="UZ132" s="105">
        <f t="shared" si="501"/>
        <v>0</v>
      </c>
      <c r="VA132" s="105">
        <f t="shared" si="501"/>
        <v>0</v>
      </c>
      <c r="VB132" s="105">
        <f t="shared" si="501"/>
        <v>0</v>
      </c>
      <c r="VC132" s="106" t="e">
        <f t="shared" si="502"/>
        <v>#DIV/0!</v>
      </c>
      <c r="VD132" s="1868"/>
      <c r="VE132" s="358">
        <f t="shared" si="481"/>
        <v>0</v>
      </c>
      <c r="VF132" s="358">
        <f t="shared" si="481"/>
        <v>0</v>
      </c>
      <c r="VG132" s="359">
        <f t="shared" si="481"/>
        <v>0</v>
      </c>
      <c r="VH132" s="169" t="e">
        <f>VG132/VF132</f>
        <v>#DIV/0!</v>
      </c>
      <c r="VI132" s="686"/>
      <c r="VJ132" s="146">
        <f t="shared" si="482"/>
        <v>0</v>
      </c>
      <c r="VK132" s="146">
        <f t="shared" si="482"/>
        <v>0</v>
      </c>
      <c r="VL132" s="1864">
        <f t="shared" si="482"/>
        <v>0</v>
      </c>
      <c r="VM132" s="203" t="e">
        <f>VL132/VK132</f>
        <v>#DIV/0!</v>
      </c>
      <c r="VN132" s="1567"/>
      <c r="VO132" s="358">
        <f t="shared" si="483"/>
        <v>0</v>
      </c>
      <c r="VP132" s="358">
        <f t="shared" si="483"/>
        <v>0</v>
      </c>
      <c r="VQ132" s="359">
        <f t="shared" si="483"/>
        <v>0</v>
      </c>
      <c r="VR132" s="114" t="e">
        <f>VQ132/VP132</f>
        <v>#DIV/0!</v>
      </c>
    </row>
    <row r="133" spans="1:590" ht="13.45" hidden="1" x14ac:dyDescent="0.3">
      <c r="B133" s="1773" t="s">
        <v>84</v>
      </c>
      <c r="C133" s="1774" t="s">
        <v>88</v>
      </c>
      <c r="D133" s="2016" t="s">
        <v>838</v>
      </c>
      <c r="E133" s="2575">
        <v>45108</v>
      </c>
      <c r="F133" s="2576">
        <v>45473</v>
      </c>
      <c r="G133" s="2007">
        <v>511500</v>
      </c>
      <c r="H133" s="1775"/>
      <c r="I133" s="1776"/>
      <c r="J133" s="1776"/>
      <c r="K133" s="1776"/>
      <c r="L133" s="1777"/>
      <c r="M133" s="1778"/>
      <c r="N133" s="1779"/>
      <c r="O133" s="1779"/>
      <c r="P133" s="1779"/>
      <c r="Q133" s="1780"/>
      <c r="R133" s="1780"/>
      <c r="S133" s="1776"/>
      <c r="T133" s="1776"/>
      <c r="U133" s="1776"/>
      <c r="V133" s="1777"/>
      <c r="W133" s="1776"/>
      <c r="X133" s="1776"/>
      <c r="Y133" s="1781"/>
      <c r="Z133" s="1776"/>
      <c r="AA133" s="1782"/>
      <c r="AB133" s="1781"/>
      <c r="AC133" s="1783"/>
      <c r="AD133" s="1784"/>
      <c r="AE133" s="1776"/>
      <c r="AF133" s="1777"/>
      <c r="AG133" s="1785"/>
      <c r="AH133" s="1776"/>
      <c r="AI133" s="1776"/>
      <c r="AJ133" s="1786"/>
      <c r="AK133" s="1777"/>
      <c r="AL133" s="1785"/>
      <c r="AM133" s="1776"/>
      <c r="AN133" s="1776"/>
      <c r="AO133" s="1781"/>
      <c r="AP133" s="1777"/>
      <c r="AQ133" s="1787"/>
      <c r="AR133" s="1788"/>
      <c r="AS133" s="1788"/>
      <c r="AT133" s="1789"/>
      <c r="AU133" s="1777"/>
      <c r="AV133" s="1790"/>
      <c r="AW133" s="1781"/>
      <c r="AX133" s="1781"/>
      <c r="AY133" s="1781"/>
      <c r="AZ133" s="1777"/>
      <c r="BA133" s="1791"/>
      <c r="BB133" s="1792"/>
      <c r="BC133" s="1783"/>
      <c r="BD133" s="1781"/>
      <c r="BE133" s="1780"/>
      <c r="BF133" s="1790"/>
      <c r="BG133" s="1781"/>
      <c r="BH133" s="1776"/>
      <c r="BI133" s="1781"/>
      <c r="BJ133" s="1793"/>
      <c r="BK133" s="1790"/>
      <c r="BL133" s="1781"/>
      <c r="BM133" s="1776"/>
      <c r="BN133" s="1781"/>
      <c r="BO133" s="1794"/>
      <c r="BP133" s="1937">
        <f>(AV133+AQ133+AL133+AG133+AB133+W133+R133+M133+H133+BA133+BF133+BK133)/12</f>
        <v>0</v>
      </c>
      <c r="BQ133" s="1796">
        <f>AW133+AR133+AM133+AH133+AC133+X133+S133+N133+I133+BB133+BG133+BL133</f>
        <v>0</v>
      </c>
      <c r="BR133" s="1786">
        <f>AX133+AS133+AN133+AI133+AD133+Y133+T133+O133+J133+BC133+BH133+BM133</f>
        <v>0</v>
      </c>
      <c r="BS133" s="1797">
        <f>BR133-BQ133</f>
        <v>0</v>
      </c>
      <c r="BT133" s="1798"/>
      <c r="BU133" s="1786"/>
      <c r="BV133" s="1786"/>
      <c r="BW133" s="1799"/>
      <c r="BX133" s="1800"/>
      <c r="BY133" s="1786"/>
      <c r="BZ133" s="1786"/>
      <c r="CA133" s="1801"/>
      <c r="CB133" s="1802"/>
      <c r="CC133" s="1786"/>
      <c r="CD133" s="1786"/>
      <c r="CE133" s="1803"/>
      <c r="CF133" s="1800"/>
      <c r="CG133" s="1776"/>
      <c r="CH133" s="1776"/>
      <c r="CI133" s="1801"/>
      <c r="CJ133" s="1804"/>
      <c r="CK133" s="1776"/>
      <c r="CL133" s="1776"/>
      <c r="CM133" s="1776"/>
      <c r="CN133" s="1799"/>
      <c r="CO133" s="1804"/>
      <c r="CP133" s="1776"/>
      <c r="CQ133" s="1776"/>
      <c r="CR133" s="1776"/>
      <c r="CS133" s="1799"/>
      <c r="CT133" s="1804"/>
      <c r="CU133" s="1776"/>
      <c r="CV133" s="1776"/>
      <c r="CW133" s="1776">
        <f>CV133-CU133</f>
        <v>0</v>
      </c>
      <c r="CX133" s="1801"/>
      <c r="CY133" s="1804"/>
      <c r="CZ133" s="1776"/>
      <c r="DA133" s="1776"/>
      <c r="DB133" s="1776">
        <f>DA133-CZ133</f>
        <v>0</v>
      </c>
      <c r="DC133" s="1801"/>
      <c r="DD133" s="1805"/>
      <c r="DE133" s="1806"/>
      <c r="DF133" s="1806"/>
      <c r="DG133" s="1783">
        <f>DF133-DE133</f>
        <v>0</v>
      </c>
      <c r="DH133" s="1938"/>
      <c r="DI133" s="1804"/>
      <c r="DJ133" s="1806"/>
      <c r="DK133" s="1806"/>
      <c r="DL133" s="1776">
        <f>DK133-DJ133</f>
        <v>0</v>
      </c>
      <c r="DM133" s="1938"/>
      <c r="DN133" s="1804"/>
      <c r="DO133" s="1806"/>
      <c r="DP133" s="1806"/>
      <c r="DQ133" s="1776">
        <f>DP133-DO133</f>
        <v>0</v>
      </c>
      <c r="DR133" s="1938"/>
      <c r="DS133" s="1808">
        <v>3</v>
      </c>
      <c r="DT133" s="2577">
        <v>59980</v>
      </c>
      <c r="DU133" s="2577">
        <v>117000</v>
      </c>
      <c r="DV133" s="1776">
        <f>DU133-DT133</f>
        <v>57020</v>
      </c>
      <c r="DW133" s="1799">
        <f>DV133/DU133</f>
        <v>0.48735042735042733</v>
      </c>
      <c r="DX133" s="1804">
        <v>2</v>
      </c>
      <c r="DY133" s="1776">
        <v>57512</v>
      </c>
      <c r="DZ133" s="1776">
        <v>78000</v>
      </c>
      <c r="EA133" s="1776">
        <f>DZ133-DY133</f>
        <v>20488</v>
      </c>
      <c r="EB133" s="1807">
        <f>EA133/DZ133</f>
        <v>0.26266666666666666</v>
      </c>
      <c r="EC133" s="1804">
        <v>3</v>
      </c>
      <c r="ED133" s="1776">
        <v>79743</v>
      </c>
      <c r="EE133" s="1776">
        <v>112970</v>
      </c>
      <c r="EF133" s="1786">
        <f>EE133-ED133</f>
        <v>33227</v>
      </c>
      <c r="EG133" s="1807">
        <f>EF133/EE133</f>
        <v>0.29412233336283972</v>
      </c>
      <c r="EH133" s="1804">
        <v>3</v>
      </c>
      <c r="EI133" s="1776">
        <v>81038</v>
      </c>
      <c r="EJ133" s="1776">
        <v>112970</v>
      </c>
      <c r="EK133" s="1776">
        <f>EJ133-EI133</f>
        <v>31932</v>
      </c>
      <c r="EL133" s="1807">
        <f>EK133/EJ133</f>
        <v>0.28265911303885988</v>
      </c>
      <c r="EM133" s="1804">
        <v>3</v>
      </c>
      <c r="EN133" s="1776">
        <v>80220</v>
      </c>
      <c r="EO133" s="1776">
        <v>112970</v>
      </c>
      <c r="EP133" s="1776">
        <f>EO133-EN133</f>
        <v>32750</v>
      </c>
      <c r="EQ133" s="1807">
        <f>EP133/EO133</f>
        <v>0.28989997344427726</v>
      </c>
      <c r="ER133" s="1713">
        <f>(CJ133+CO133+CT133+CY133+DD133+DI133+DN133+DS133+DX133+EC133+EH133+EM133)/12</f>
        <v>1.1666666666666667</v>
      </c>
      <c r="ES133" s="1714">
        <f t="shared" ref="ES133:EU134" si="503">CK133+CP133+CU133+CZ133+DE133+DJ133+DO133+DT133+DY133+ED133+EI133+EN133</f>
        <v>358493</v>
      </c>
      <c r="ET133" s="1714">
        <f t="shared" si="503"/>
        <v>533910</v>
      </c>
      <c r="EU133" s="1714">
        <f t="shared" si="503"/>
        <v>175417</v>
      </c>
      <c r="EV133" s="1715">
        <f>EU133/ET133</f>
        <v>0.32855162855162856</v>
      </c>
      <c r="EW133" s="1814">
        <f>(CJ133+CO133+CT133)/3</f>
        <v>0</v>
      </c>
      <c r="EX133" s="1776">
        <f>CL133+CQ133+CV133</f>
        <v>0</v>
      </c>
      <c r="EY133" s="1776">
        <f>CM133+CR133+CW133</f>
        <v>0</v>
      </c>
      <c r="EZ133" s="1815"/>
      <c r="FA133" s="1939">
        <f>(CY133+DD133+DI133)/3</f>
        <v>0</v>
      </c>
      <c r="FB133" s="1786">
        <f>DK133+DF133+DA133</f>
        <v>0</v>
      </c>
      <c r="FC133" s="1786">
        <f>DL133+DG133+DB133</f>
        <v>0</v>
      </c>
      <c r="FD133" s="1799">
        <v>0</v>
      </c>
      <c r="FE133" s="1814">
        <f>(DN133+DS133+DX133)/3</f>
        <v>1.6666666666666667</v>
      </c>
      <c r="FF133" s="1786">
        <f>DP133+DU133+DZ133</f>
        <v>195000</v>
      </c>
      <c r="FG133" s="1786">
        <f>DQ133+DV133+EA133</f>
        <v>77508</v>
      </c>
      <c r="FH133" s="1815">
        <f>FG133/FF133</f>
        <v>0.39747692307692306</v>
      </c>
      <c r="FI133" s="1816">
        <f>(EC133+EH133+EM133)/3</f>
        <v>3</v>
      </c>
      <c r="FJ133" s="1814"/>
      <c r="FK133" s="1786">
        <f>EE133+EJ133+EO133</f>
        <v>338910</v>
      </c>
      <c r="FL133" s="1786">
        <f>EF133+EK133+EP133</f>
        <v>97909</v>
      </c>
      <c r="FM133" s="1799">
        <f>FL133/FK133</f>
        <v>0.2888938066153256</v>
      </c>
      <c r="FN133" s="1817">
        <v>3</v>
      </c>
      <c r="FO133" s="1818">
        <v>81976</v>
      </c>
      <c r="FP133" s="1818">
        <v>112970</v>
      </c>
      <c r="FQ133" s="1818">
        <f>FP133-FO133</f>
        <v>30994</v>
      </c>
      <c r="FR133" s="1819">
        <f>FQ133/FP133</f>
        <v>0.27435602372311235</v>
      </c>
      <c r="FS133" s="1820">
        <v>3</v>
      </c>
      <c r="FT133" s="1818">
        <v>81976</v>
      </c>
      <c r="FU133" s="1818">
        <v>112970</v>
      </c>
      <c r="FV133" s="1818">
        <f>FU133-FT133</f>
        <v>30994</v>
      </c>
      <c r="FW133" s="1821">
        <f>FV133/FU133</f>
        <v>0.27435602372311235</v>
      </c>
      <c r="FX133" s="1820">
        <v>3</v>
      </c>
      <c r="FY133" s="1822">
        <v>78318</v>
      </c>
      <c r="FZ133" s="1822">
        <v>112970</v>
      </c>
      <c r="GA133" s="1818">
        <f>FZ133-FY133</f>
        <v>34652</v>
      </c>
      <c r="GB133" s="1821">
        <f>GA133/FZ133</f>
        <v>0.30673630167301053</v>
      </c>
      <c r="GC133" s="1823">
        <v>3</v>
      </c>
      <c r="GD133" s="1824">
        <v>81976</v>
      </c>
      <c r="GE133" s="1824">
        <v>112970</v>
      </c>
      <c r="GF133" s="1818">
        <f>GE133-GD133</f>
        <v>30994</v>
      </c>
      <c r="GG133" s="1821">
        <f>GF133/GE133</f>
        <v>0.27435602372311235</v>
      </c>
      <c r="GH133" s="1823">
        <v>3</v>
      </c>
      <c r="GI133" s="1824">
        <v>81976</v>
      </c>
      <c r="GJ133" s="1824">
        <v>112970</v>
      </c>
      <c r="GK133" s="1818">
        <f>GJ133-GI133</f>
        <v>30994</v>
      </c>
      <c r="GL133" s="1821">
        <f>GK133/GJ133</f>
        <v>0.27435602372311235</v>
      </c>
      <c r="GM133" s="1823">
        <v>3</v>
      </c>
      <c r="GN133" s="1824">
        <v>81976</v>
      </c>
      <c r="GO133" s="1824">
        <v>112970</v>
      </c>
      <c r="GP133" s="1818">
        <f>GO133-GN133</f>
        <v>30994</v>
      </c>
      <c r="GQ133" s="1821">
        <f>GP133/GO133</f>
        <v>0.27435602372311235</v>
      </c>
      <c r="GR133" s="1823">
        <v>3</v>
      </c>
      <c r="GS133" s="1824">
        <v>74524</v>
      </c>
      <c r="GT133" s="1824">
        <v>101530</v>
      </c>
      <c r="GU133" s="1818">
        <f>GT133-GS133</f>
        <v>27006</v>
      </c>
      <c r="GV133" s="1821">
        <f>GU133/GT133</f>
        <v>0.26599034768048851</v>
      </c>
      <c r="GW133" s="1823">
        <v>8</v>
      </c>
      <c r="GX133" s="1824">
        <v>164195.20000000001</v>
      </c>
      <c r="GY133" s="1824">
        <v>213624</v>
      </c>
      <c r="GZ133" s="1818">
        <f>GY133-GX133</f>
        <v>49428.799999999988</v>
      </c>
      <c r="HA133" s="1821">
        <f>GZ133/GY133</f>
        <v>0.23138224169568958</v>
      </c>
      <c r="HB133" s="1823">
        <v>11</v>
      </c>
      <c r="HC133" s="1824">
        <v>278270</v>
      </c>
      <c r="HD133" s="1824">
        <v>469200</v>
      </c>
      <c r="HE133" s="1818">
        <f>HD133-HC133</f>
        <v>190930</v>
      </c>
      <c r="HF133" s="1821">
        <f>HE133/HD133</f>
        <v>0.40692668371696505</v>
      </c>
      <c r="HG133" s="1823">
        <v>12</v>
      </c>
      <c r="HH133" s="1824">
        <v>306609</v>
      </c>
      <c r="HI133" s="1824">
        <v>414000</v>
      </c>
      <c r="HJ133" s="1818">
        <f>HI133-HH133</f>
        <v>107391</v>
      </c>
      <c r="HK133" s="1821">
        <f>HJ133/HI133</f>
        <v>0.25939855072463769</v>
      </c>
      <c r="HL133" s="1823">
        <v>13</v>
      </c>
      <c r="HM133" s="1824">
        <v>348112</v>
      </c>
      <c r="HN133" s="1824">
        <v>414000</v>
      </c>
      <c r="HO133" s="1818">
        <f>HN133-HM133</f>
        <v>65888</v>
      </c>
      <c r="HP133" s="1821">
        <f>HO133/HN133</f>
        <v>0.15914975845410628</v>
      </c>
      <c r="HQ133" s="654">
        <v>12</v>
      </c>
      <c r="HR133" s="1248">
        <v>340371</v>
      </c>
      <c r="HS133" s="1248">
        <v>414000</v>
      </c>
      <c r="HT133" s="1248">
        <f>HS133-HR133</f>
        <v>73629</v>
      </c>
      <c r="HU133" s="1826">
        <f>HT133/HS133</f>
        <v>0.17784782608695651</v>
      </c>
      <c r="HV133" s="2008">
        <f>(FN133+FS133+FX133+GC133+GH133+GM133+GR133+GW133+HB133+HG133+HL133+HQ133)/12</f>
        <v>6.416666666666667</v>
      </c>
      <c r="HW133" s="208">
        <f t="shared" ref="HW133:HY134" si="504">FO133+FT133+FY133+GD133+GI133+GN133+GS133+GX133+HC133+HH133+HM133+HR133</f>
        <v>2000279.2</v>
      </c>
      <c r="HX133" s="208">
        <f t="shared" si="504"/>
        <v>2704174</v>
      </c>
      <c r="HY133" s="208">
        <f t="shared" si="504"/>
        <v>703894.8</v>
      </c>
      <c r="HZ133" s="2009"/>
      <c r="IA133" s="1829">
        <f>(FN133+FS133+FX133)/3</f>
        <v>3</v>
      </c>
      <c r="IB133" s="1830">
        <f>FP133+FU133+FZ133</f>
        <v>338910</v>
      </c>
      <c r="IC133" s="1830">
        <f>FQ133+FV133+GA133</f>
        <v>96640</v>
      </c>
      <c r="ID133" s="1831">
        <f>IC133/IB133</f>
        <v>0.28514944970641171</v>
      </c>
      <c r="IE133" s="1832">
        <f>(GC133+GH133+GM133)/3</f>
        <v>3</v>
      </c>
      <c r="IF133" s="1833">
        <f>(GE133+GJ133+GO133)</f>
        <v>338910</v>
      </c>
      <c r="IG133" s="1834">
        <f>(GF133+GK133+GP133)</f>
        <v>92982</v>
      </c>
      <c r="IH133" s="1831">
        <f>IG133/IF133</f>
        <v>0.27435602372311235</v>
      </c>
      <c r="II133" s="1835">
        <f>(GR133+GW133+HB133)/3</f>
        <v>7.333333333333333</v>
      </c>
      <c r="IJ133" s="1836">
        <f>(GT133+GY133+HD133)</f>
        <v>784354</v>
      </c>
      <c r="IK133" s="1836">
        <f>(GU133+GZ133+HE133)</f>
        <v>267364.8</v>
      </c>
      <c r="IL133" s="239">
        <f>IK133/IJ133</f>
        <v>0.34087261619115855</v>
      </c>
      <c r="IM133" s="1837">
        <f>(HB133+HG133+HL133)/3</f>
        <v>12</v>
      </c>
      <c r="IN133" s="1836">
        <f>(HI133+HN133+HS133)</f>
        <v>1242000</v>
      </c>
      <c r="IO133" s="1836">
        <f>(HJ133+HO133+HT133)</f>
        <v>246908</v>
      </c>
      <c r="IP133" s="1838">
        <f>IO133/IN133</f>
        <v>0.1987987117552335</v>
      </c>
      <c r="IQ133" s="1839"/>
      <c r="IR133" s="1840">
        <v>12</v>
      </c>
      <c r="IS133" s="1818">
        <v>338282</v>
      </c>
      <c r="IT133" s="1818">
        <v>414000</v>
      </c>
      <c r="IU133" s="1818">
        <f>IT133-IS133</f>
        <v>75718</v>
      </c>
      <c r="IV133" s="1819">
        <f>IU133/IT133</f>
        <v>0.18289371980676328</v>
      </c>
      <c r="IW133" s="1820">
        <v>12</v>
      </c>
      <c r="IX133" s="1818">
        <v>369771</v>
      </c>
      <c r="IY133" s="1719">
        <v>414000</v>
      </c>
      <c r="IZ133" s="1719">
        <f>IY133-IX133</f>
        <v>44229</v>
      </c>
      <c r="JA133" s="1721">
        <f>IZ133/IY133</f>
        <v>0.10683333333333334</v>
      </c>
      <c r="JB133" s="1757">
        <v>14</v>
      </c>
      <c r="JC133" s="1841">
        <v>383295</v>
      </c>
      <c r="JD133" s="1842">
        <v>414000</v>
      </c>
      <c r="JE133" s="1719">
        <f>JD133-JC133</f>
        <v>30705</v>
      </c>
      <c r="JF133" s="1721">
        <f>JE133/JD133</f>
        <v>7.4166666666666672E-2</v>
      </c>
      <c r="JG133" s="1758">
        <v>12</v>
      </c>
      <c r="JH133" s="1096">
        <v>336567</v>
      </c>
      <c r="JI133" s="1096">
        <v>414000</v>
      </c>
      <c r="JJ133" s="1756">
        <f>JI133-JH133</f>
        <v>77433</v>
      </c>
      <c r="JK133" s="1721">
        <f>JJ133/JI133</f>
        <v>0.18703623188405796</v>
      </c>
      <c r="JL133" s="1722">
        <v>12</v>
      </c>
      <c r="JM133" s="1096">
        <v>352952</v>
      </c>
      <c r="JN133" s="1096">
        <v>414000</v>
      </c>
      <c r="JO133" s="1843">
        <f>JN133-JM133</f>
        <v>61048</v>
      </c>
      <c r="JP133" s="1721">
        <f>JO133/JN133</f>
        <v>0.14745893719806763</v>
      </c>
      <c r="JQ133" s="1844">
        <v>12</v>
      </c>
      <c r="JR133" s="972">
        <v>353963</v>
      </c>
      <c r="JS133" s="264">
        <v>414000</v>
      </c>
      <c r="JT133" s="1845">
        <f>JS133-JR133</f>
        <v>60037</v>
      </c>
      <c r="JU133" s="1721">
        <f>JT133/JS133</f>
        <v>0.14501690821256039</v>
      </c>
      <c r="JV133" s="1758">
        <v>13</v>
      </c>
      <c r="JW133" s="1096">
        <v>377285</v>
      </c>
      <c r="JX133" s="264">
        <v>414000</v>
      </c>
      <c r="JY133" s="1845">
        <f>JX133-JW133</f>
        <v>36715</v>
      </c>
      <c r="JZ133" s="1721">
        <f>JY133/JX133</f>
        <v>8.8683574879227053E-2</v>
      </c>
      <c r="KA133" s="1758">
        <v>12</v>
      </c>
      <c r="KB133" s="264">
        <f>382844-29111</f>
        <v>353733</v>
      </c>
      <c r="KC133" s="972">
        <v>552000</v>
      </c>
      <c r="KD133" s="964">
        <f>KC133-KB133</f>
        <v>198267</v>
      </c>
      <c r="KE133" s="1848">
        <f>KD133/KC133</f>
        <v>0.35917934782608696</v>
      </c>
      <c r="KF133" s="1758">
        <v>12</v>
      </c>
      <c r="KG133" s="1096">
        <v>353678</v>
      </c>
      <c r="KH133" s="1096">
        <v>552000</v>
      </c>
      <c r="KI133" s="1719">
        <f>KH133-KG133</f>
        <v>198322</v>
      </c>
      <c r="KJ133" s="1721">
        <f>KI133/KH133</f>
        <v>0.35927898550724635</v>
      </c>
      <c r="KK133" s="1849">
        <v>14</v>
      </c>
      <c r="KL133" s="1850">
        <v>423869</v>
      </c>
      <c r="KM133" s="1850">
        <v>552000</v>
      </c>
      <c r="KN133" s="1851">
        <f>KM133-KL133</f>
        <v>128131</v>
      </c>
      <c r="KO133" s="1852">
        <f>KN133/KM133</f>
        <v>0.2321213768115942</v>
      </c>
      <c r="KP133" s="1722">
        <v>15</v>
      </c>
      <c r="KQ133" s="972">
        <v>450355</v>
      </c>
      <c r="KR133" s="264">
        <v>552000</v>
      </c>
      <c r="KS133" s="1845">
        <f>KR133-KQ133</f>
        <v>101645</v>
      </c>
      <c r="KT133" s="1720">
        <f>KS133/KR133</f>
        <v>0.18413949275362318</v>
      </c>
      <c r="KU133" s="1853">
        <v>16</v>
      </c>
      <c r="KV133" s="264">
        <v>455572</v>
      </c>
      <c r="KW133" s="264">
        <v>552000</v>
      </c>
      <c r="KX133" s="264">
        <f>KW133-KV133</f>
        <v>96428</v>
      </c>
      <c r="KY133" s="75">
        <f>KX133/KW133</f>
        <v>0.17468840579710146</v>
      </c>
      <c r="KZ133" s="1857">
        <v>16</v>
      </c>
      <c r="LA133" s="358">
        <f t="shared" ref="LA133:LC134" si="505">IS133+IX133+JC133+JH133+JM133+JR133+JW133+KB133+KG133+KL133+KQ133+KV133</f>
        <v>4549322</v>
      </c>
      <c r="LB133" s="358">
        <f t="shared" si="505"/>
        <v>5658000</v>
      </c>
      <c r="LC133" s="358">
        <f t="shared" si="505"/>
        <v>1108678</v>
      </c>
      <c r="LD133" s="151">
        <f>LC133/LB133</f>
        <v>0.19594874513962532</v>
      </c>
      <c r="LE133" s="1854">
        <f>(IR133+IW133+JB133)/3</f>
        <v>12.666666666666666</v>
      </c>
      <c r="LF133" s="1855">
        <f>IT133+IY133+JD133</f>
        <v>1242000</v>
      </c>
      <c r="LG133" s="1855">
        <f>IU133+IZ133+JE133</f>
        <v>150652</v>
      </c>
      <c r="LH133" s="1856">
        <f>LG133/LF133</f>
        <v>0.12129790660225442</v>
      </c>
      <c r="LI133" s="1857">
        <f>(JG133+JL133+JQ133)/3</f>
        <v>12</v>
      </c>
      <c r="LJ133" s="1858">
        <f>(JI133+JN133+JS133)</f>
        <v>1242000</v>
      </c>
      <c r="LK133" s="1854">
        <f>(JJ133+JO133+JT133)</f>
        <v>198518</v>
      </c>
      <c r="LL133" s="1856">
        <f>LK133/LJ133</f>
        <v>0.15983735909822866</v>
      </c>
      <c r="LM133" s="1859">
        <f>(JV133+KA133+KF133)/3</f>
        <v>12.333333333333334</v>
      </c>
      <c r="LN133" s="1727">
        <f>(JX133+KC133+KH133)</f>
        <v>1518000</v>
      </c>
      <c r="LO133" s="1727">
        <f>(JY133+KD133+KI133)</f>
        <v>433304</v>
      </c>
      <c r="LP133" s="151">
        <f>LO133/LN133</f>
        <v>0.28544400527009223</v>
      </c>
      <c r="LQ133" s="1860">
        <f>(KK133+KP133+KU133)/3</f>
        <v>15</v>
      </c>
      <c r="LR133" s="1727">
        <f>(KM133+KR133+KW133)</f>
        <v>1656000</v>
      </c>
      <c r="LS133" s="1727">
        <f>(KN133+KS133+KX133)</f>
        <v>326204</v>
      </c>
      <c r="LT133" s="1861">
        <f>LS133/LR133</f>
        <v>0.19698309178743961</v>
      </c>
      <c r="LV133" s="439">
        <v>16</v>
      </c>
      <c r="LW133" s="208">
        <v>452462</v>
      </c>
      <c r="LX133" s="208">
        <v>552000</v>
      </c>
      <c r="LY133" s="96">
        <f>LX133-LW133</f>
        <v>99538</v>
      </c>
      <c r="LZ133" s="78">
        <f>LY133/LX133</f>
        <v>0.18032246376811595</v>
      </c>
      <c r="MA133" s="1862">
        <v>15</v>
      </c>
      <c r="MB133" s="265">
        <v>402276</v>
      </c>
      <c r="MC133" s="265">
        <v>552000</v>
      </c>
      <c r="MD133" s="371">
        <f>MC133-MB133</f>
        <v>149724</v>
      </c>
      <c r="ME133" s="157">
        <f>MD133/MC133</f>
        <v>0.27123913043478259</v>
      </c>
      <c r="MF133" s="439">
        <v>15</v>
      </c>
      <c r="MG133" s="208">
        <v>407156</v>
      </c>
      <c r="MH133" s="208">
        <v>552000</v>
      </c>
      <c r="MI133" s="371">
        <f>MH133-MG133</f>
        <v>144844</v>
      </c>
      <c r="MJ133" s="157">
        <f>MI133/MH133</f>
        <v>0.26239855072463769</v>
      </c>
      <c r="MK133" s="354">
        <v>15</v>
      </c>
      <c r="ML133" s="208">
        <v>449678</v>
      </c>
      <c r="MM133" s="208">
        <v>552000</v>
      </c>
      <c r="MN133" s="371">
        <f>MM133-ML133</f>
        <v>102322</v>
      </c>
      <c r="MO133" s="157">
        <f>MN133/MM133</f>
        <v>0.18536594202898551</v>
      </c>
      <c r="MP133" s="1578">
        <v>15</v>
      </c>
      <c r="MQ133" s="264">
        <v>444788</v>
      </c>
      <c r="MR133" s="264">
        <v>552000</v>
      </c>
      <c r="MS133" s="264">
        <f>MR133-MQ133</f>
        <v>107212</v>
      </c>
      <c r="MT133" s="597">
        <f>MS133/MR133</f>
        <v>0.19422463768115941</v>
      </c>
      <c r="MU133" s="209">
        <v>15</v>
      </c>
      <c r="MV133" s="208">
        <v>438140</v>
      </c>
      <c r="MW133" s="208">
        <v>552000</v>
      </c>
      <c r="MX133" s="208">
        <f>MW133-MV133</f>
        <v>113860</v>
      </c>
      <c r="MY133" s="597">
        <f>MX133/MW133</f>
        <v>0.20626811594202898</v>
      </c>
      <c r="MZ133" s="209">
        <v>15</v>
      </c>
      <c r="NA133" s="208">
        <v>438140</v>
      </c>
      <c r="NB133" s="208">
        <v>552000</v>
      </c>
      <c r="NC133" s="208">
        <f>NB133-NA133</f>
        <v>113860</v>
      </c>
      <c r="ND133" s="597">
        <f>NC133/NB133</f>
        <v>0.20626811594202898</v>
      </c>
      <c r="NE133" s="209">
        <v>14</v>
      </c>
      <c r="NF133" s="208">
        <v>424750</v>
      </c>
      <c r="NG133" s="208">
        <v>552000</v>
      </c>
      <c r="NH133" s="208">
        <f>NG133-NF133</f>
        <v>127250</v>
      </c>
      <c r="NI133" s="597">
        <f>NH133/NG133</f>
        <v>0.23052536231884058</v>
      </c>
      <c r="NJ133" s="209">
        <v>16</v>
      </c>
      <c r="NK133" s="208">
        <v>487654</v>
      </c>
      <c r="NL133" s="208">
        <v>552000</v>
      </c>
      <c r="NM133" s="208">
        <f>NL133-NK133</f>
        <v>64346</v>
      </c>
      <c r="NN133" s="597">
        <f>NM133/NL133</f>
        <v>0.11656884057971015</v>
      </c>
      <c r="NO133" s="402">
        <v>15</v>
      </c>
      <c r="NP133" s="358">
        <v>474750</v>
      </c>
      <c r="NQ133" s="358">
        <v>552000</v>
      </c>
      <c r="NR133" s="208">
        <f>NQ133-NP133</f>
        <v>77250</v>
      </c>
      <c r="NS133" s="597">
        <f>NR133/NQ133</f>
        <v>0.13994565217391305</v>
      </c>
      <c r="NT133" s="402">
        <v>16</v>
      </c>
      <c r="NU133" s="358">
        <v>489246</v>
      </c>
      <c r="NV133" s="358">
        <v>552000</v>
      </c>
      <c r="NW133" s="208">
        <f>NV133-NU133</f>
        <v>62754</v>
      </c>
      <c r="NX133" s="597">
        <f>NW133/NV133</f>
        <v>0.11368478260869565</v>
      </c>
      <c r="NY133" s="402">
        <v>15</v>
      </c>
      <c r="NZ133" s="358">
        <v>475891</v>
      </c>
      <c r="OA133" s="358">
        <v>552000</v>
      </c>
      <c r="OB133" s="772">
        <f>OA133-NZ133</f>
        <v>76109</v>
      </c>
      <c r="OC133" s="659">
        <f>OB133/OA133</f>
        <v>0.1378786231884058</v>
      </c>
      <c r="OD133" s="191">
        <v>15</v>
      </c>
      <c r="OE133" s="358">
        <f t="shared" si="469"/>
        <v>5384931</v>
      </c>
      <c r="OF133" s="358">
        <f t="shared" si="469"/>
        <v>6624000</v>
      </c>
      <c r="OG133" s="358">
        <f t="shared" si="469"/>
        <v>1239069</v>
      </c>
      <c r="OH133" s="220">
        <f>OG133/OF133</f>
        <v>0.18705751811594204</v>
      </c>
      <c r="OI133" s="1863">
        <f>(LV133+MA133+MF133)/3</f>
        <v>15.333333333333334</v>
      </c>
      <c r="OJ133" s="105">
        <f t="shared" ref="OJ133:OL134" si="506">LW133+MB133+MG133</f>
        <v>1261894</v>
      </c>
      <c r="OK133" s="105">
        <f t="shared" si="506"/>
        <v>1656000</v>
      </c>
      <c r="OL133" s="105">
        <f t="shared" si="506"/>
        <v>394106</v>
      </c>
      <c r="OM133" s="106">
        <f>OL133/OK133</f>
        <v>0.23798671497584542</v>
      </c>
      <c r="ON133" s="358">
        <f>(MK133+MP133+MU133)/3</f>
        <v>15</v>
      </c>
      <c r="OO133" s="358">
        <f t="shared" ref="OO133:OQ134" si="507">ML133+MQ133+MV133</f>
        <v>1332606</v>
      </c>
      <c r="OP133" s="358">
        <f t="shared" si="507"/>
        <v>1656000</v>
      </c>
      <c r="OQ133" s="359">
        <f t="shared" si="507"/>
        <v>323394</v>
      </c>
      <c r="OR133" s="169">
        <f>OQ133/OP133</f>
        <v>0.19528623188405797</v>
      </c>
      <c r="OS133" s="686">
        <f t="shared" si="471"/>
        <v>15</v>
      </c>
      <c r="OT133" s="146">
        <f t="shared" ref="OT133:OV134" si="508">NK133+NF133+NA133</f>
        <v>1350544</v>
      </c>
      <c r="OU133" s="146">
        <f t="shared" si="508"/>
        <v>1656000</v>
      </c>
      <c r="OV133" s="1864">
        <f t="shared" si="508"/>
        <v>305456</v>
      </c>
      <c r="OW133" s="203">
        <f>OV133/OU133</f>
        <v>0.18445410628019324</v>
      </c>
      <c r="OX133" s="357">
        <v>15</v>
      </c>
      <c r="OY133" s="358">
        <f t="shared" si="473"/>
        <v>1439887</v>
      </c>
      <c r="OZ133" s="358">
        <f t="shared" si="473"/>
        <v>1656000</v>
      </c>
      <c r="PA133" s="359">
        <f t="shared" si="473"/>
        <v>216113</v>
      </c>
      <c r="PB133" s="114">
        <f>PA133/OZ133</f>
        <v>0.1305030193236715</v>
      </c>
      <c r="PC133" s="79"/>
      <c r="PD133" s="439">
        <v>16</v>
      </c>
      <c r="PE133" s="208">
        <v>474116</v>
      </c>
      <c r="PF133" s="208">
        <v>552000</v>
      </c>
      <c r="PG133" s="96">
        <f t="shared" si="484"/>
        <v>77884</v>
      </c>
      <c r="PH133" s="224">
        <f t="shared" si="485"/>
        <v>0.14109420289855074</v>
      </c>
      <c r="PI133" s="1862">
        <v>16</v>
      </c>
      <c r="PJ133" s="265">
        <v>497594</v>
      </c>
      <c r="PK133" s="265">
        <v>552000</v>
      </c>
      <c r="PL133" s="371">
        <f t="shared" si="474"/>
        <v>54406</v>
      </c>
      <c r="PM133" s="157">
        <f t="shared" si="486"/>
        <v>9.8561594202898548E-2</v>
      </c>
      <c r="PN133" s="439">
        <v>16</v>
      </c>
      <c r="PO133" s="208">
        <v>514661.33333333331</v>
      </c>
      <c r="PP133" s="208">
        <v>552000</v>
      </c>
      <c r="PQ133" s="371">
        <f t="shared" si="487"/>
        <v>37338.666666666686</v>
      </c>
      <c r="PR133" s="157">
        <f>PQ133/PP133</f>
        <v>6.7642512077294728E-2</v>
      </c>
      <c r="PS133" s="354">
        <v>16</v>
      </c>
      <c r="PT133" s="208">
        <v>491736.93548387097</v>
      </c>
      <c r="PU133" s="208">
        <v>511500</v>
      </c>
      <c r="PV133" s="371">
        <f>PU133-PT133</f>
        <v>19763.06451612903</v>
      </c>
      <c r="PW133" s="157">
        <f>PV133/PU133</f>
        <v>3.8637467284709737E-2</v>
      </c>
      <c r="PX133" s="1578">
        <v>15</v>
      </c>
      <c r="PY133" s="264">
        <v>449222.41935483873</v>
      </c>
      <c r="PZ133" s="264">
        <v>511500</v>
      </c>
      <c r="QA133" s="264">
        <f>PZ133-PY133</f>
        <v>62277.580645161273</v>
      </c>
      <c r="QB133" s="597">
        <f>QA133/PZ133</f>
        <v>0.12175480087030552</v>
      </c>
      <c r="QC133" s="209">
        <v>14</v>
      </c>
      <c r="QD133" s="208">
        <v>431524</v>
      </c>
      <c r="QE133" s="208">
        <v>511500</v>
      </c>
      <c r="QF133" s="208">
        <f t="shared" si="488"/>
        <v>79976</v>
      </c>
      <c r="QG133" s="597">
        <f>QF133/QE133</f>
        <v>0.15635581622678396</v>
      </c>
      <c r="QH133" s="439">
        <v>15</v>
      </c>
      <c r="QI133" s="208">
        <v>469583</v>
      </c>
      <c r="QJ133" s="208">
        <v>511500</v>
      </c>
      <c r="QK133" s="208">
        <f>QJ133-QI133</f>
        <v>41917</v>
      </c>
      <c r="QL133" s="597">
        <f>QK133/QJ133</f>
        <v>8.1949169110459436E-2</v>
      </c>
      <c r="QM133" s="439">
        <v>15</v>
      </c>
      <c r="QN133" s="208">
        <v>483249</v>
      </c>
      <c r="QO133" s="208">
        <v>511500</v>
      </c>
      <c r="QP133" s="208">
        <f t="shared" si="489"/>
        <v>28251</v>
      </c>
      <c r="QQ133" s="1869">
        <f>QP133/QO133</f>
        <v>5.5231671554252203E-2</v>
      </c>
      <c r="QR133" s="209">
        <v>15</v>
      </c>
      <c r="QS133" s="208">
        <v>483249</v>
      </c>
      <c r="QT133" s="208">
        <v>511500</v>
      </c>
      <c r="QU133" s="208">
        <f>QT133-QS133</f>
        <v>28251</v>
      </c>
      <c r="QV133" s="75">
        <f>QU133/QT133</f>
        <v>5.5231671554252203E-2</v>
      </c>
      <c r="QW133" s="156">
        <v>15</v>
      </c>
      <c r="QX133" s="2562">
        <v>483249</v>
      </c>
      <c r="QY133" s="2562">
        <v>511500</v>
      </c>
      <c r="QZ133" s="208">
        <f>QY133-QX133</f>
        <v>28251</v>
      </c>
      <c r="RA133" s="157">
        <f>QZ133/QY133</f>
        <v>5.5231671554252203E-2</v>
      </c>
      <c r="RB133" s="402">
        <v>15</v>
      </c>
      <c r="RC133" s="358">
        <v>486248</v>
      </c>
      <c r="RD133" s="358">
        <v>511500</v>
      </c>
      <c r="RE133" s="208">
        <f t="shared" si="490"/>
        <v>25252</v>
      </c>
      <c r="RF133" s="1313">
        <f>RE133/RD133</f>
        <v>4.9368523949169109E-2</v>
      </c>
      <c r="RG133" s="1567">
        <v>15</v>
      </c>
      <c r="RH133" s="1568">
        <v>486251</v>
      </c>
      <c r="RI133" s="1568">
        <v>511500</v>
      </c>
      <c r="RJ133" s="2012">
        <f t="shared" si="491"/>
        <v>25249</v>
      </c>
      <c r="RK133" s="659">
        <f>RJ133/RI133</f>
        <v>4.9362658846529815E-2</v>
      </c>
      <c r="RL133" s="1567">
        <v>15</v>
      </c>
      <c r="RM133" s="1568">
        <f t="shared" si="475"/>
        <v>5750683.6881720424</v>
      </c>
      <c r="RN133" s="1568">
        <f t="shared" si="475"/>
        <v>6259500</v>
      </c>
      <c r="RO133" s="1568">
        <f t="shared" si="475"/>
        <v>508816.31182795699</v>
      </c>
      <c r="RP133" s="220">
        <f t="shared" si="492"/>
        <v>8.1287053571045126E-2</v>
      </c>
      <c r="RQ133" s="1863">
        <f t="shared" si="493"/>
        <v>16</v>
      </c>
      <c r="RR133" s="105">
        <f t="shared" si="494"/>
        <v>1486371.3333333333</v>
      </c>
      <c r="RS133" s="105">
        <f t="shared" si="494"/>
        <v>1656000</v>
      </c>
      <c r="RT133" s="105">
        <f t="shared" si="494"/>
        <v>169628.66666666669</v>
      </c>
      <c r="RU133" s="106">
        <f t="shared" si="495"/>
        <v>0.102432769726248</v>
      </c>
      <c r="RV133" s="1868">
        <v>14</v>
      </c>
      <c r="RW133" s="358">
        <f t="shared" si="476"/>
        <v>1372483.3548387098</v>
      </c>
      <c r="RX133" s="358">
        <f t="shared" si="476"/>
        <v>1534500</v>
      </c>
      <c r="RY133" s="359">
        <f t="shared" si="476"/>
        <v>162016.6451612903</v>
      </c>
      <c r="RZ133" s="169">
        <f>RY133/RX133</f>
        <v>0.10558269479393308</v>
      </c>
      <c r="SA133" s="686">
        <v>15</v>
      </c>
      <c r="SB133" s="146">
        <f t="shared" si="477"/>
        <v>1436081</v>
      </c>
      <c r="SC133" s="146">
        <f t="shared" si="477"/>
        <v>1534500</v>
      </c>
      <c r="SD133" s="1864">
        <f t="shared" si="477"/>
        <v>98419</v>
      </c>
      <c r="SE133" s="203">
        <f>SD133/SC133</f>
        <v>6.4137504072987947E-2</v>
      </c>
      <c r="SF133" s="1567">
        <v>15</v>
      </c>
      <c r="SG133" s="358">
        <f t="shared" si="478"/>
        <v>1455748</v>
      </c>
      <c r="SH133" s="358">
        <f t="shared" si="478"/>
        <v>1534500</v>
      </c>
      <c r="SI133" s="359">
        <f t="shared" si="478"/>
        <v>78752</v>
      </c>
      <c r="SJ133" s="114">
        <f>SI133/SH133</f>
        <v>5.1320951449983707E-2</v>
      </c>
      <c r="SL133" s="405"/>
      <c r="SM133" s="1575">
        <v>0</v>
      </c>
      <c r="SN133" s="1575">
        <v>0</v>
      </c>
      <c r="SO133" s="3523">
        <f t="shared" si="496"/>
        <v>0</v>
      </c>
      <c r="SP133" s="3642" t="s">
        <v>68</v>
      </c>
      <c r="SQ133" s="3555"/>
      <c r="SR133" s="2015"/>
      <c r="SS133" s="2015"/>
      <c r="ST133" s="1707">
        <f t="shared" si="479"/>
        <v>0</v>
      </c>
      <c r="SU133" s="1867" t="e">
        <f>ST133/SS133</f>
        <v>#DIV/0!</v>
      </c>
      <c r="SV133" s="439"/>
      <c r="SW133" s="208"/>
      <c r="SX133" s="994"/>
      <c r="SY133" s="96">
        <f t="shared" si="497"/>
        <v>0</v>
      </c>
      <c r="SZ133" s="94" t="e">
        <f>SY133/SX133</f>
        <v>#DIV/0!</v>
      </c>
      <c r="TA133" s="354"/>
      <c r="TB133" s="208"/>
      <c r="TC133" s="994"/>
      <c r="TD133" s="96">
        <f t="shared" si="498"/>
        <v>0</v>
      </c>
      <c r="TE133" s="94" t="e">
        <f>TD133/TC133</f>
        <v>#DIV/0!</v>
      </c>
      <c r="TF133" s="4108"/>
      <c r="TG133" s="208"/>
      <c r="TH133" s="208"/>
      <c r="TI133" s="208">
        <f t="shared" si="480"/>
        <v>0</v>
      </c>
      <c r="TJ133" s="114"/>
      <c r="TK133" s="209"/>
      <c r="TL133" s="208"/>
      <c r="TM133" s="208"/>
      <c r="TN133" s="208">
        <f t="shared" si="499"/>
        <v>0</v>
      </c>
      <c r="TO133" s="114"/>
      <c r="TP133" s="4432"/>
      <c r="TQ133" s="208"/>
      <c r="TR133" s="208"/>
      <c r="TS133" s="994">
        <f>TR133-TQ133</f>
        <v>0</v>
      </c>
      <c r="TT133" s="114"/>
      <c r="TU133" s="4506"/>
      <c r="TV133" s="1575"/>
      <c r="TW133" s="1575"/>
      <c r="TX133" s="1575"/>
      <c r="TY133" s="1869"/>
      <c r="TZ133" s="1868"/>
      <c r="UA133" s="1575"/>
      <c r="UB133" s="1575"/>
      <c r="UC133" s="1575"/>
      <c r="UD133" s="98"/>
      <c r="UE133" s="6498"/>
      <c r="UF133" s="6506"/>
      <c r="UG133" s="6506"/>
      <c r="UH133" s="1575"/>
      <c r="UI133" s="1867"/>
      <c r="UJ133" s="402"/>
      <c r="UK133" s="358"/>
      <c r="UL133" s="358"/>
      <c r="UM133" s="208"/>
      <c r="UN133" s="1313"/>
      <c r="UO133" s="1567"/>
      <c r="UP133" s="1568"/>
      <c r="UQ133" s="1568"/>
      <c r="UR133" s="2012"/>
      <c r="US133" s="659"/>
      <c r="UT133" s="1567"/>
      <c r="UU133" s="358"/>
      <c r="UV133" s="358"/>
      <c r="UW133" s="358"/>
      <c r="UX133" s="220"/>
      <c r="UY133" s="1863">
        <f t="shared" si="500"/>
        <v>0</v>
      </c>
      <c r="UZ133" s="105">
        <f t="shared" si="501"/>
        <v>0</v>
      </c>
      <c r="VA133" s="105">
        <f t="shared" si="501"/>
        <v>0</v>
      </c>
      <c r="VB133" s="105">
        <f t="shared" si="501"/>
        <v>0</v>
      </c>
      <c r="VC133" s="106" t="e">
        <f t="shared" si="502"/>
        <v>#DIV/0!</v>
      </c>
      <c r="VD133" s="1868"/>
      <c r="VE133" s="358">
        <f t="shared" si="481"/>
        <v>0</v>
      </c>
      <c r="VF133" s="358">
        <f t="shared" si="481"/>
        <v>0</v>
      </c>
      <c r="VG133" s="359">
        <f t="shared" si="481"/>
        <v>0</v>
      </c>
      <c r="VH133" s="169" t="e">
        <f>VG133/VF133</f>
        <v>#DIV/0!</v>
      </c>
      <c r="VI133" s="686"/>
      <c r="VJ133" s="146">
        <f t="shared" si="482"/>
        <v>0</v>
      </c>
      <c r="VK133" s="146">
        <f t="shared" si="482"/>
        <v>0</v>
      </c>
      <c r="VL133" s="1864">
        <f t="shared" si="482"/>
        <v>0</v>
      </c>
      <c r="VM133" s="203" t="e">
        <f>VL133/VK133</f>
        <v>#DIV/0!</v>
      </c>
      <c r="VN133" s="1567"/>
      <c r="VO133" s="358">
        <f t="shared" si="483"/>
        <v>0</v>
      </c>
      <c r="VP133" s="358">
        <f t="shared" si="483"/>
        <v>0</v>
      </c>
      <c r="VQ133" s="359">
        <f t="shared" si="483"/>
        <v>0</v>
      </c>
      <c r="VR133" s="114" t="e">
        <f>VQ133/VP133</f>
        <v>#DIV/0!</v>
      </c>
    </row>
    <row r="134" spans="1:590" s="1193" customFormat="1" ht="13.45" hidden="1" x14ac:dyDescent="0.3">
      <c r="A134" s="1297"/>
      <c r="B134" s="1773" t="s">
        <v>84</v>
      </c>
      <c r="C134" s="2004" t="s">
        <v>89</v>
      </c>
      <c r="D134" s="2005" t="s">
        <v>272</v>
      </c>
      <c r="E134" s="2006">
        <v>45060</v>
      </c>
      <c r="F134" s="2006">
        <v>45425</v>
      </c>
      <c r="G134" s="2007">
        <v>108333</v>
      </c>
      <c r="H134" s="1940"/>
      <c r="I134" s="1941"/>
      <c r="J134" s="1941"/>
      <c r="K134" s="1941"/>
      <c r="L134" s="1942"/>
      <c r="M134" s="1940"/>
      <c r="N134" s="1941"/>
      <c r="O134" s="1941"/>
      <c r="P134" s="1941"/>
      <c r="Q134" s="1942"/>
      <c r="R134" s="1940"/>
      <c r="S134" s="1941"/>
      <c r="T134" s="1941"/>
      <c r="U134" s="1941"/>
      <c r="V134" s="1942"/>
      <c r="W134" s="1940"/>
      <c r="X134" s="1941"/>
      <c r="Y134" s="1941"/>
      <c r="Z134" s="1941"/>
      <c r="AA134" s="1943"/>
      <c r="AB134" s="1940"/>
      <c r="AC134" s="1941"/>
      <c r="AD134" s="1941"/>
      <c r="AE134" s="1941"/>
      <c r="AF134" s="1943"/>
      <c r="AG134" s="1941"/>
      <c r="AH134" s="1941"/>
      <c r="AI134" s="1941"/>
      <c r="AJ134" s="1941"/>
      <c r="AK134" s="1942"/>
      <c r="AL134" s="1941"/>
      <c r="AM134" s="1941"/>
      <c r="AN134" s="1941"/>
      <c r="AO134" s="1941"/>
      <c r="AP134" s="1942"/>
      <c r="AQ134" s="1941"/>
      <c r="AR134" s="1941"/>
      <c r="AS134" s="1941"/>
      <c r="AT134" s="1941"/>
      <c r="AU134" s="1942"/>
      <c r="AV134" s="1944"/>
      <c r="AW134" s="1941"/>
      <c r="AX134" s="1941"/>
      <c r="AY134" s="1941"/>
      <c r="AZ134" s="1943"/>
      <c r="BA134" s="1944"/>
      <c r="BB134" s="1941"/>
      <c r="BC134" s="1941"/>
      <c r="BD134" s="1941"/>
      <c r="BE134" s="1943"/>
      <c r="BF134" s="1944"/>
      <c r="BG134" s="1941"/>
      <c r="BH134" s="1941"/>
      <c r="BI134" s="1941"/>
      <c r="BJ134" s="1943"/>
      <c r="BK134" s="1944"/>
      <c r="BL134" s="1941"/>
      <c r="BM134" s="1941"/>
      <c r="BN134" s="1941"/>
      <c r="BO134" s="1943"/>
      <c r="BP134" s="1945"/>
      <c r="BQ134" s="1941"/>
      <c r="BR134" s="1941"/>
      <c r="BS134" s="1941"/>
      <c r="BT134" s="1946"/>
      <c r="BU134" s="1941"/>
      <c r="BV134" s="1941"/>
      <c r="BW134" s="1947"/>
      <c r="BX134" s="1946"/>
      <c r="BY134" s="1941"/>
      <c r="BZ134" s="1941"/>
      <c r="CA134" s="1948"/>
      <c r="CB134" s="1941"/>
      <c r="CC134" s="1941"/>
      <c r="CD134" s="1941"/>
      <c r="CE134" s="1941"/>
      <c r="CF134" s="1946"/>
      <c r="CG134" s="1941"/>
      <c r="CH134" s="1941"/>
      <c r="CI134" s="1948"/>
      <c r="CJ134" s="1949"/>
      <c r="CK134" s="1941"/>
      <c r="CL134" s="1941"/>
      <c r="CM134" s="1941"/>
      <c r="CN134" s="1947"/>
      <c r="CO134" s="1949"/>
      <c r="CP134" s="1940"/>
      <c r="CQ134" s="1940"/>
      <c r="CR134" s="1940"/>
      <c r="CS134" s="1947"/>
      <c r="CT134" s="1949"/>
      <c r="CU134" s="1941"/>
      <c r="CV134" s="1941"/>
      <c r="CW134" s="1941"/>
      <c r="CX134" s="1947"/>
      <c r="CY134" s="1949"/>
      <c r="CZ134" s="1941"/>
      <c r="DA134" s="1941"/>
      <c r="DB134" s="1941"/>
      <c r="DC134" s="1947"/>
      <c r="DD134" s="1949"/>
      <c r="DE134" s="1941"/>
      <c r="DF134" s="1941"/>
      <c r="DG134" s="1941"/>
      <c r="DH134" s="1950"/>
      <c r="DI134" s="1949"/>
      <c r="DJ134" s="1941"/>
      <c r="DK134" s="1941"/>
      <c r="DL134" s="1941"/>
      <c r="DM134" s="1950"/>
      <c r="DN134" s="1949"/>
      <c r="DO134" s="1941"/>
      <c r="DP134" s="1941"/>
      <c r="DQ134" s="1941"/>
      <c r="DR134" s="1950"/>
      <c r="DS134" s="1949"/>
      <c r="DT134" s="1941"/>
      <c r="DU134" s="1941"/>
      <c r="DV134" s="1941"/>
      <c r="DW134" s="1950"/>
      <c r="DX134" s="1949"/>
      <c r="DY134" s="1941"/>
      <c r="DZ134" s="1941"/>
      <c r="EA134" s="1941"/>
      <c r="EB134" s="1950"/>
      <c r="EC134" s="1949"/>
      <c r="ED134" s="1941"/>
      <c r="EE134" s="1941"/>
      <c r="EF134" s="1941"/>
      <c r="EG134" s="1950"/>
      <c r="EH134" s="1899"/>
      <c r="EI134" s="1900"/>
      <c r="EJ134" s="1900"/>
      <c r="EK134" s="1900"/>
      <c r="EL134" s="1951"/>
      <c r="EM134" s="1901"/>
      <c r="EN134" s="1824"/>
      <c r="EO134" s="1824"/>
      <c r="EP134" s="1824"/>
      <c r="EQ134" s="1952"/>
      <c r="ER134" s="1713">
        <f>(CJ134+CO134+CT134+CY134+DD134+DI134+DN134+DS134+DX134+EC134+EH134+EM134)/12</f>
        <v>0</v>
      </c>
      <c r="ES134" s="1714">
        <f t="shared" si="503"/>
        <v>0</v>
      </c>
      <c r="ET134" s="1714">
        <f t="shared" si="503"/>
        <v>0</v>
      </c>
      <c r="EU134" s="1714">
        <f t="shared" si="503"/>
        <v>0</v>
      </c>
      <c r="EV134" s="1715" t="e">
        <f>EU134/ET134</f>
        <v>#DIV/0!</v>
      </c>
      <c r="EW134" s="1953"/>
      <c r="EX134" s="1953"/>
      <c r="EY134" s="1953"/>
      <c r="EZ134" s="1954"/>
      <c r="FA134" s="1899"/>
      <c r="FB134" s="1953"/>
      <c r="FC134" s="1953"/>
      <c r="FD134" s="1955"/>
      <c r="FE134" s="1953"/>
      <c r="FF134" s="1953"/>
      <c r="FG134" s="1953"/>
      <c r="FH134" s="1954"/>
      <c r="FI134" s="1956"/>
      <c r="FJ134" s="1957"/>
      <c r="FK134" s="1958"/>
      <c r="FL134" s="1958"/>
      <c r="FM134" s="1959"/>
      <c r="FN134" s="1953"/>
      <c r="FO134" s="1900"/>
      <c r="FP134" s="1900"/>
      <c r="FQ134" s="1900"/>
      <c r="FR134" s="1960"/>
      <c r="FS134" s="1919"/>
      <c r="FT134" s="1920"/>
      <c r="FU134" s="1920"/>
      <c r="FV134" s="1920"/>
      <c r="FW134" s="1961"/>
      <c r="FX134" s="1899"/>
      <c r="FY134" s="1900"/>
      <c r="FZ134" s="1900"/>
      <c r="GA134" s="1920"/>
      <c r="GB134" s="1961"/>
      <c r="GC134" s="1899"/>
      <c r="GD134" s="1900"/>
      <c r="GE134" s="1900"/>
      <c r="GF134" s="1824"/>
      <c r="GG134" s="1952"/>
      <c r="GH134" s="1901"/>
      <c r="GI134" s="1824"/>
      <c r="GJ134" s="1824"/>
      <c r="GK134" s="1962"/>
      <c r="GL134" s="1961"/>
      <c r="GM134" s="1901"/>
      <c r="GN134" s="1824"/>
      <c r="GO134" s="1824"/>
      <c r="GP134" s="1962"/>
      <c r="GQ134" s="1961"/>
      <c r="GR134" s="715"/>
      <c r="GS134" s="715"/>
      <c r="GT134" s="715"/>
      <c r="GU134" s="1962"/>
      <c r="GV134" s="1961"/>
      <c r="GW134" s="715"/>
      <c r="GX134" s="715"/>
      <c r="GY134" s="715"/>
      <c r="GZ134" s="1962"/>
      <c r="HA134" s="1961"/>
      <c r="HB134" s="715"/>
      <c r="HC134" s="715"/>
      <c r="HD134" s="715"/>
      <c r="HE134" s="1962"/>
      <c r="HF134" s="1961"/>
      <c r="HG134" s="715"/>
      <c r="HH134" s="715"/>
      <c r="HI134" s="715"/>
      <c r="HJ134" s="715"/>
      <c r="HK134" s="1961"/>
      <c r="HL134" s="715"/>
      <c r="HM134" s="715"/>
      <c r="HN134" s="715"/>
      <c r="HO134" s="715"/>
      <c r="HP134" s="1961"/>
      <c r="HQ134" s="1963"/>
      <c r="HR134" s="1248">
        <v>0</v>
      </c>
      <c r="HS134" s="1248">
        <v>0</v>
      </c>
      <c r="HT134" s="1248">
        <v>0</v>
      </c>
      <c r="HU134" s="1826"/>
      <c r="HV134" s="2008">
        <f>(FN134+FS134+FX134+GC134+GH134+GM134+GR134+GW134+HB134+HG134+HL134+HQ134)/12</f>
        <v>0</v>
      </c>
      <c r="HW134" s="208">
        <f t="shared" si="504"/>
        <v>0</v>
      </c>
      <c r="HX134" s="208">
        <f t="shared" si="504"/>
        <v>0</v>
      </c>
      <c r="HY134" s="208">
        <f t="shared" si="504"/>
        <v>0</v>
      </c>
      <c r="HZ134" s="2009"/>
      <c r="IA134" s="1907"/>
      <c r="IB134" s="1908"/>
      <c r="IC134" s="1908"/>
      <c r="ID134" s="1909"/>
      <c r="IE134" s="1914"/>
      <c r="IF134" s="1914"/>
      <c r="IG134" s="1964"/>
      <c r="IH134" s="1965"/>
      <c r="II134" s="1966"/>
      <c r="IJ134" s="1964"/>
      <c r="IK134" s="1964"/>
      <c r="IL134" s="2010"/>
      <c r="IM134" s="1967"/>
      <c r="IN134" s="1964"/>
      <c r="IO134" s="1964"/>
      <c r="IP134" s="1968"/>
      <c r="IQ134" s="1914"/>
      <c r="IR134" s="1969"/>
      <c r="IS134" s="1248">
        <v>0</v>
      </c>
      <c r="IT134" s="1248">
        <v>0</v>
      </c>
      <c r="IU134" s="1917">
        <v>0</v>
      </c>
      <c r="IV134" s="1918">
        <v>0</v>
      </c>
      <c r="IW134" s="1820">
        <v>1</v>
      </c>
      <c r="IX134" s="1920">
        <v>33452</v>
      </c>
      <c r="IY134" s="1920">
        <v>41800</v>
      </c>
      <c r="IZ134" s="1818">
        <f>IY134-IX134</f>
        <v>8348</v>
      </c>
      <c r="JA134" s="1821">
        <f>IZ134/IY134</f>
        <v>0.19971291866028709</v>
      </c>
      <c r="JB134" s="1847">
        <v>1</v>
      </c>
      <c r="JC134" s="1971">
        <f>83333+10760</f>
        <v>94093</v>
      </c>
      <c r="JD134" s="1972">
        <v>108333</v>
      </c>
      <c r="JE134" s="1719">
        <f>JD134-JC134</f>
        <v>14240</v>
      </c>
      <c r="JF134" s="1721">
        <f>JE134/JD134</f>
        <v>0.13144655829710244</v>
      </c>
      <c r="JG134" s="1847">
        <v>1</v>
      </c>
      <c r="JH134" s="1096">
        <f>83333+7500</f>
        <v>90833</v>
      </c>
      <c r="JI134" s="1096">
        <v>108333</v>
      </c>
      <c r="JJ134" s="1756">
        <f>JI134-JH134</f>
        <v>17500</v>
      </c>
      <c r="JK134" s="1721">
        <f>JJ134/JI134</f>
        <v>0.16153895858141101</v>
      </c>
      <c r="JL134" s="1722">
        <v>1</v>
      </c>
      <c r="JM134" s="1096">
        <v>83333</v>
      </c>
      <c r="JN134" s="1096">
        <v>108333</v>
      </c>
      <c r="JO134" s="1843">
        <f>JN134-JM134</f>
        <v>25000</v>
      </c>
      <c r="JP134" s="1721">
        <f>JO134/JN134</f>
        <v>0.23076994083058716</v>
      </c>
      <c r="JQ134" s="1927">
        <v>1</v>
      </c>
      <c r="JR134" s="972">
        <v>83333</v>
      </c>
      <c r="JS134" s="264">
        <v>108333</v>
      </c>
      <c r="JT134" s="1845">
        <f>JS134-JR134</f>
        <v>25000</v>
      </c>
      <c r="JU134" s="1721">
        <f>JT134/JS134</f>
        <v>0.23076994083058716</v>
      </c>
      <c r="JV134" s="1846">
        <v>1</v>
      </c>
      <c r="JW134" s="972">
        <v>86693.903225806498</v>
      </c>
      <c r="JX134" s="264">
        <v>108333</v>
      </c>
      <c r="JY134" s="1845">
        <f>JX134-JW134</f>
        <v>21639.096774193502</v>
      </c>
      <c r="JZ134" s="1721">
        <f>JY134/JX134</f>
        <v>0.19974612328831937</v>
      </c>
      <c r="KA134" s="1847">
        <v>1</v>
      </c>
      <c r="KB134" s="264">
        <v>104910</v>
      </c>
      <c r="KC134" s="264">
        <v>108333</v>
      </c>
      <c r="KD134" s="964">
        <f>KC134-KB134</f>
        <v>3423</v>
      </c>
      <c r="KE134" s="1848">
        <f>KD134/KC134</f>
        <v>3.1597020298523994E-2</v>
      </c>
      <c r="KF134" s="1849">
        <v>1</v>
      </c>
      <c r="KG134" s="1850">
        <v>104910</v>
      </c>
      <c r="KH134" s="1850">
        <v>108333</v>
      </c>
      <c r="KI134" s="1719">
        <f>KH134-KG134</f>
        <v>3423</v>
      </c>
      <c r="KJ134" s="1721">
        <f>KI134/KH134</f>
        <v>3.1597020298523994E-2</v>
      </c>
      <c r="KK134" s="1990">
        <v>1</v>
      </c>
      <c r="KL134" s="1904">
        <v>62500</v>
      </c>
      <c r="KM134" s="1904">
        <v>108333</v>
      </c>
      <c r="KN134" s="2023">
        <f>KM134-KL134</f>
        <v>45833</v>
      </c>
      <c r="KO134" s="1852">
        <f>KN134/KM134</f>
        <v>0.42307514792353207</v>
      </c>
      <c r="KP134" s="1722">
        <v>1</v>
      </c>
      <c r="KQ134" s="972">
        <f>62500+13750</f>
        <v>76250</v>
      </c>
      <c r="KR134" s="264">
        <v>108333</v>
      </c>
      <c r="KS134" s="1845">
        <f>KR134-KQ134</f>
        <v>32083</v>
      </c>
      <c r="KT134" s="1720">
        <f>KS134/KR134</f>
        <v>0.29615168046670914</v>
      </c>
      <c r="KU134" s="1853">
        <v>1</v>
      </c>
      <c r="KV134" s="264">
        <v>76250</v>
      </c>
      <c r="KW134" s="264">
        <v>108333</v>
      </c>
      <c r="KX134" s="264">
        <f>KW134-KV134</f>
        <v>32083</v>
      </c>
      <c r="KY134" s="75">
        <f>KX134/KW134</f>
        <v>0.29615168046670914</v>
      </c>
      <c r="KZ134" s="1857">
        <v>1</v>
      </c>
      <c r="LA134" s="358">
        <f t="shared" si="505"/>
        <v>896557.90322580654</v>
      </c>
      <c r="LB134" s="358">
        <f t="shared" si="505"/>
        <v>1125130</v>
      </c>
      <c r="LC134" s="358">
        <f t="shared" si="505"/>
        <v>228572.09677419352</v>
      </c>
      <c r="LD134" s="151">
        <f>LC134/LB134</f>
        <v>0.20315172182253918</v>
      </c>
      <c r="LE134" s="1854">
        <f>(IR134+IW134+JB134)/3</f>
        <v>0.66666666666666663</v>
      </c>
      <c r="LF134" s="1855">
        <f>IT134+IY134+JD134</f>
        <v>150133</v>
      </c>
      <c r="LG134" s="1855">
        <f>IU134+IZ134+JE134</f>
        <v>22588</v>
      </c>
      <c r="LH134" s="1856">
        <f>LG134/LF134</f>
        <v>0.15045326477190224</v>
      </c>
      <c r="LI134" s="1857">
        <f>(JG134+JL134+JQ134)/3</f>
        <v>1</v>
      </c>
      <c r="LJ134" s="1858">
        <f>(JI134+JN134+JS134)</f>
        <v>324999</v>
      </c>
      <c r="LK134" s="1854">
        <f>(JJ134+JO134+JT134)</f>
        <v>67500</v>
      </c>
      <c r="LL134" s="1856">
        <f>LK134/LJ134</f>
        <v>0.20769294674752845</v>
      </c>
      <c r="LM134" s="1859">
        <f>(JV134+KA134+KF134)/3</f>
        <v>1</v>
      </c>
      <c r="LN134" s="1727">
        <f>(JX134+KC134+KH134)</f>
        <v>324999</v>
      </c>
      <c r="LO134" s="1727">
        <f>(JY134+KD134+KI134)</f>
        <v>28485.096774193502</v>
      </c>
      <c r="LP134" s="151">
        <f>LO134/LN134</f>
        <v>8.7646721295122451E-2</v>
      </c>
      <c r="LQ134" s="1860">
        <f>(KK134+KP134+KU134)/3</f>
        <v>1</v>
      </c>
      <c r="LR134" s="1727">
        <f>(KM134+KR134+KW134)</f>
        <v>324999</v>
      </c>
      <c r="LS134" s="1727">
        <f>(KN134+KS134+KX134)</f>
        <v>109999</v>
      </c>
      <c r="LT134" s="1861">
        <f>LS134/LR134</f>
        <v>0.33845950295231675</v>
      </c>
      <c r="LV134" s="439">
        <v>1</v>
      </c>
      <c r="LW134" s="208">
        <v>76250</v>
      </c>
      <c r="LX134" s="208">
        <v>108333</v>
      </c>
      <c r="LY134" s="96">
        <f>LX134-LW134</f>
        <v>32083</v>
      </c>
      <c r="LZ134" s="78">
        <f>LY134/LX134</f>
        <v>0.29615168046670914</v>
      </c>
      <c r="MA134" s="1862">
        <v>1</v>
      </c>
      <c r="MB134" s="265">
        <v>76250</v>
      </c>
      <c r="MC134" s="265">
        <v>108333</v>
      </c>
      <c r="MD134" s="371">
        <f>MC134-MB134</f>
        <v>32083</v>
      </c>
      <c r="ME134" s="157">
        <f>MD134/MC134</f>
        <v>0.29615168046670914</v>
      </c>
      <c r="MF134" s="439">
        <v>1</v>
      </c>
      <c r="MG134" s="208">
        <v>76250</v>
      </c>
      <c r="MH134" s="208">
        <v>108333</v>
      </c>
      <c r="MI134" s="371">
        <f>MH134-MG134</f>
        <v>32083</v>
      </c>
      <c r="MJ134" s="157">
        <f>MI134/MH134</f>
        <v>0.29615168046670914</v>
      </c>
      <c r="MK134" s="354">
        <v>1</v>
      </c>
      <c r="ML134" s="208">
        <v>76250</v>
      </c>
      <c r="MM134" s="208">
        <v>108333</v>
      </c>
      <c r="MN134" s="371">
        <f>MM134-ML134</f>
        <v>32083</v>
      </c>
      <c r="MO134" s="157">
        <f>MN134/MM134</f>
        <v>0.29615168046670914</v>
      </c>
      <c r="MP134" s="1579">
        <v>1</v>
      </c>
      <c r="MQ134" s="264">
        <v>76250</v>
      </c>
      <c r="MR134" s="264">
        <v>108333</v>
      </c>
      <c r="MS134" s="264">
        <f>MR134-MQ134</f>
        <v>32083</v>
      </c>
      <c r="MT134" s="597">
        <f>MS134/MR134</f>
        <v>0.29615168046670914</v>
      </c>
      <c r="MU134" s="209">
        <v>1</v>
      </c>
      <c r="MV134" s="208">
        <v>76250</v>
      </c>
      <c r="MW134" s="208">
        <v>108333</v>
      </c>
      <c r="MX134" s="208">
        <f>MW134-MV134</f>
        <v>32083</v>
      </c>
      <c r="MY134" s="597">
        <f>MX134/MW134</f>
        <v>0.29615168046670914</v>
      </c>
      <c r="MZ134" s="209">
        <v>1</v>
      </c>
      <c r="NA134" s="208">
        <v>76250</v>
      </c>
      <c r="NB134" s="208">
        <v>108333</v>
      </c>
      <c r="NC134" s="208">
        <f>NB134-NA134</f>
        <v>32083</v>
      </c>
      <c r="ND134" s="597">
        <f>NC134/NB134</f>
        <v>0.29615168046670914</v>
      </c>
      <c r="NE134" s="209">
        <v>1</v>
      </c>
      <c r="NF134" s="208">
        <v>76250</v>
      </c>
      <c r="NG134" s="208">
        <v>108333</v>
      </c>
      <c r="NH134" s="208">
        <f>NG134-NF134</f>
        <v>32083</v>
      </c>
      <c r="NI134" s="597">
        <f>NH134/NG134</f>
        <v>0.29615168046670914</v>
      </c>
      <c r="NJ134" s="209">
        <v>1</v>
      </c>
      <c r="NK134" s="208">
        <v>76250</v>
      </c>
      <c r="NL134" s="208">
        <v>108333</v>
      </c>
      <c r="NM134" s="208">
        <f>NL134-NK134</f>
        <v>32083</v>
      </c>
      <c r="NN134" s="597">
        <f>NM134/NL134</f>
        <v>0.29615168046670914</v>
      </c>
      <c r="NO134" s="357">
        <v>1</v>
      </c>
      <c r="NP134" s="358">
        <v>76250</v>
      </c>
      <c r="NQ134" s="358">
        <v>108333</v>
      </c>
      <c r="NR134" s="208">
        <f>NQ134-NP134</f>
        <v>32083</v>
      </c>
      <c r="NS134" s="597">
        <f>NR134/NQ134</f>
        <v>0.29615168046670914</v>
      </c>
      <c r="NT134" s="357">
        <v>1</v>
      </c>
      <c r="NU134" s="358">
        <v>76250</v>
      </c>
      <c r="NV134" s="358">
        <v>108333</v>
      </c>
      <c r="NW134" s="208">
        <f>NV134-NU134</f>
        <v>32083</v>
      </c>
      <c r="NX134" s="597">
        <f>NW134/NV134</f>
        <v>0.29615168046670914</v>
      </c>
      <c r="NY134" s="357">
        <v>1</v>
      </c>
      <c r="NZ134" s="358">
        <v>76250</v>
      </c>
      <c r="OA134" s="358">
        <v>108333</v>
      </c>
      <c r="OB134" s="772">
        <f>OA134-NZ134</f>
        <v>32083</v>
      </c>
      <c r="OC134" s="659">
        <f>OB134/OA134</f>
        <v>0.29615168046670914</v>
      </c>
      <c r="OD134" s="191">
        <v>1</v>
      </c>
      <c r="OE134" s="358">
        <f t="shared" si="469"/>
        <v>915000</v>
      </c>
      <c r="OF134" s="358">
        <f t="shared" si="469"/>
        <v>1299996</v>
      </c>
      <c r="OG134" s="358">
        <f t="shared" si="469"/>
        <v>384996</v>
      </c>
      <c r="OH134" s="220">
        <f>OG134/OF134</f>
        <v>0.29615168046670914</v>
      </c>
      <c r="OI134" s="1863">
        <f>(LV134+MA134+MF134)/3</f>
        <v>1</v>
      </c>
      <c r="OJ134" s="105">
        <f t="shared" si="506"/>
        <v>228750</v>
      </c>
      <c r="OK134" s="105">
        <f t="shared" si="506"/>
        <v>324999</v>
      </c>
      <c r="OL134" s="105">
        <f t="shared" si="506"/>
        <v>96249</v>
      </c>
      <c r="OM134" s="106">
        <f>OL134/OK134</f>
        <v>0.29615168046670914</v>
      </c>
      <c r="ON134" s="358">
        <f>(MK134+MP134+MU134)/3</f>
        <v>1</v>
      </c>
      <c r="OO134" s="358">
        <f t="shared" si="507"/>
        <v>228750</v>
      </c>
      <c r="OP134" s="358">
        <f t="shared" si="507"/>
        <v>324999</v>
      </c>
      <c r="OQ134" s="359">
        <f t="shared" si="507"/>
        <v>96249</v>
      </c>
      <c r="OR134" s="169">
        <f>OQ134/OP134</f>
        <v>0.29615168046670914</v>
      </c>
      <c r="OS134" s="686">
        <f t="shared" si="471"/>
        <v>1</v>
      </c>
      <c r="OT134" s="146">
        <f t="shared" si="508"/>
        <v>228750</v>
      </c>
      <c r="OU134" s="146">
        <f t="shared" si="508"/>
        <v>324999</v>
      </c>
      <c r="OV134" s="1864">
        <f t="shared" si="508"/>
        <v>96249</v>
      </c>
      <c r="OW134" s="203">
        <f>OV134/OU134</f>
        <v>0.29615168046670914</v>
      </c>
      <c r="OX134" s="357">
        <v>1</v>
      </c>
      <c r="OY134" s="358">
        <f t="shared" si="473"/>
        <v>228750</v>
      </c>
      <c r="OZ134" s="358">
        <f t="shared" si="473"/>
        <v>324999</v>
      </c>
      <c r="PA134" s="359">
        <f t="shared" si="473"/>
        <v>96249</v>
      </c>
      <c r="PB134" s="114">
        <f>PA134/OZ134</f>
        <v>0.29615168046670914</v>
      </c>
      <c r="PC134" s="79"/>
      <c r="PD134" s="439">
        <v>1</v>
      </c>
      <c r="PE134" s="208">
        <v>76250</v>
      </c>
      <c r="PF134" s="208">
        <v>108333</v>
      </c>
      <c r="PG134" s="96">
        <f t="shared" si="484"/>
        <v>32083</v>
      </c>
      <c r="PH134" s="224">
        <f t="shared" si="485"/>
        <v>0.29615168046670914</v>
      </c>
      <c r="PI134" s="1862">
        <v>1</v>
      </c>
      <c r="PJ134" s="265">
        <v>76250</v>
      </c>
      <c r="PK134" s="265">
        <v>108224.667</v>
      </c>
      <c r="PL134" s="371">
        <f t="shared" si="474"/>
        <v>31974.667000000001</v>
      </c>
      <c r="PM134" s="157">
        <f t="shared" si="486"/>
        <v>0.29544712759430342</v>
      </c>
      <c r="PN134" s="439">
        <v>1</v>
      </c>
      <c r="PO134" s="208">
        <v>62500</v>
      </c>
      <c r="PP134" s="208">
        <v>108333</v>
      </c>
      <c r="PQ134" s="371">
        <f t="shared" si="487"/>
        <v>45833</v>
      </c>
      <c r="PR134" s="157">
        <f>PQ134/PP134</f>
        <v>0.42307514792353207</v>
      </c>
      <c r="PS134" s="354">
        <v>1</v>
      </c>
      <c r="PT134" s="208">
        <v>76250</v>
      </c>
      <c r="PU134" s="208">
        <v>108333</v>
      </c>
      <c r="PV134" s="371">
        <f>PU134-PT134</f>
        <v>32083</v>
      </c>
      <c r="PW134" s="157">
        <f>PV134/PU134</f>
        <v>0.29615168046670914</v>
      </c>
      <c r="PX134" s="1579">
        <v>1</v>
      </c>
      <c r="PY134" s="264">
        <v>76250</v>
      </c>
      <c r="PZ134" s="264">
        <v>108333</v>
      </c>
      <c r="QA134" s="264">
        <f>PZ134-PY134</f>
        <v>32083</v>
      </c>
      <c r="QB134" s="597">
        <f>QA134/PZ134</f>
        <v>0.29615168046670914</v>
      </c>
      <c r="QC134" s="209">
        <v>1</v>
      </c>
      <c r="QD134" s="208">
        <v>76250</v>
      </c>
      <c r="QE134" s="208">
        <v>108333</v>
      </c>
      <c r="QF134" s="208">
        <f t="shared" si="488"/>
        <v>32083</v>
      </c>
      <c r="QG134" s="597">
        <f>QF134/QE134</f>
        <v>0.29615168046670914</v>
      </c>
      <c r="QH134" s="439">
        <v>1</v>
      </c>
      <c r="QI134" s="208">
        <v>70202</v>
      </c>
      <c r="QJ134" s="208">
        <v>97824.7</v>
      </c>
      <c r="QK134" s="208">
        <f>QJ134-QI134</f>
        <v>27622.699999999997</v>
      </c>
      <c r="QL134" s="597">
        <f>QK134/QJ134</f>
        <v>0.28236938114811494</v>
      </c>
      <c r="QM134" s="439"/>
      <c r="QN134" s="208"/>
      <c r="QO134" s="208"/>
      <c r="QP134" s="208">
        <f t="shared" si="489"/>
        <v>0</v>
      </c>
      <c r="QQ134" s="80" t="s">
        <v>68</v>
      </c>
      <c r="QR134" s="209"/>
      <c r="QS134" s="208">
        <v>0</v>
      </c>
      <c r="QT134" s="208">
        <v>0</v>
      </c>
      <c r="QU134" s="208">
        <v>0</v>
      </c>
      <c r="QV134" s="75" t="s">
        <v>68</v>
      </c>
      <c r="QW134" s="209"/>
      <c r="QX134" s="208"/>
      <c r="QY134" s="994"/>
      <c r="QZ134" s="208">
        <v>0</v>
      </c>
      <c r="RA134" s="157" t="s">
        <v>68</v>
      </c>
      <c r="RB134" s="357"/>
      <c r="RC134" s="358">
        <v>0</v>
      </c>
      <c r="RD134" s="358">
        <v>0</v>
      </c>
      <c r="RE134" s="208">
        <f t="shared" si="490"/>
        <v>0</v>
      </c>
      <c r="RF134" s="2578">
        <v>0</v>
      </c>
      <c r="RG134" s="1567"/>
      <c r="RH134" s="1568">
        <v>0</v>
      </c>
      <c r="RI134" s="1568">
        <v>0</v>
      </c>
      <c r="RJ134" s="2012">
        <f t="shared" si="491"/>
        <v>0</v>
      </c>
      <c r="RK134" s="659">
        <v>0</v>
      </c>
      <c r="RL134" s="1567"/>
      <c r="RM134" s="1568">
        <f t="shared" si="475"/>
        <v>513952</v>
      </c>
      <c r="RN134" s="1568">
        <f t="shared" si="475"/>
        <v>747714.36699999997</v>
      </c>
      <c r="RO134" s="1568">
        <f t="shared" si="475"/>
        <v>233762.36700000003</v>
      </c>
      <c r="RP134" s="220">
        <f t="shared" si="492"/>
        <v>0.31263591729273277</v>
      </c>
      <c r="RQ134" s="1863">
        <f t="shared" si="493"/>
        <v>1</v>
      </c>
      <c r="RR134" s="105">
        <f t="shared" si="494"/>
        <v>215000</v>
      </c>
      <c r="RS134" s="105">
        <f t="shared" si="494"/>
        <v>324890.66700000002</v>
      </c>
      <c r="RT134" s="105">
        <f t="shared" si="494"/>
        <v>109890.667</v>
      </c>
      <c r="RU134" s="106">
        <f t="shared" si="495"/>
        <v>0.33823891592429151</v>
      </c>
      <c r="RV134" s="1868">
        <v>1</v>
      </c>
      <c r="RW134" s="358">
        <f t="shared" si="476"/>
        <v>228750</v>
      </c>
      <c r="RX134" s="358">
        <f t="shared" si="476"/>
        <v>324999</v>
      </c>
      <c r="RY134" s="359">
        <f t="shared" si="476"/>
        <v>96249</v>
      </c>
      <c r="RZ134" s="169">
        <f>RY134/RX134</f>
        <v>0.29615168046670914</v>
      </c>
      <c r="SA134" s="686"/>
      <c r="SB134" s="146">
        <f t="shared" si="477"/>
        <v>70202</v>
      </c>
      <c r="SC134" s="146">
        <f t="shared" si="477"/>
        <v>97824.7</v>
      </c>
      <c r="SD134" s="1864">
        <f t="shared" si="477"/>
        <v>27622.699999999997</v>
      </c>
      <c r="SE134" s="203">
        <f>SD134/SC134</f>
        <v>0.28236938114811494</v>
      </c>
      <c r="SF134" s="1567"/>
      <c r="SG134" s="358">
        <f t="shared" si="478"/>
        <v>0</v>
      </c>
      <c r="SH134" s="358">
        <f t="shared" si="478"/>
        <v>0</v>
      </c>
      <c r="SI134" s="359">
        <f t="shared" si="478"/>
        <v>0</v>
      </c>
      <c r="SJ134" s="114">
        <v>0</v>
      </c>
      <c r="SL134" s="405"/>
      <c r="SM134" s="1575">
        <v>0</v>
      </c>
      <c r="SN134" s="1575">
        <v>0</v>
      </c>
      <c r="SO134" s="3523">
        <f t="shared" si="496"/>
        <v>0</v>
      </c>
      <c r="SP134" s="3643">
        <v>0</v>
      </c>
      <c r="SQ134" s="3555"/>
      <c r="SR134" s="2015"/>
      <c r="SS134" s="2015"/>
      <c r="ST134" s="1707">
        <f t="shared" si="479"/>
        <v>0</v>
      </c>
      <c r="SU134" s="1867" t="e">
        <f>ST134/SS134</f>
        <v>#DIV/0!</v>
      </c>
      <c r="SV134" s="439"/>
      <c r="SW134" s="208"/>
      <c r="SX134" s="994"/>
      <c r="SY134" s="96">
        <f t="shared" si="497"/>
        <v>0</v>
      </c>
      <c r="SZ134" s="94" t="e">
        <f>SY134/SX134</f>
        <v>#DIV/0!</v>
      </c>
      <c r="TA134" s="354"/>
      <c r="TB134" s="208"/>
      <c r="TC134" s="994"/>
      <c r="TD134" s="96">
        <f t="shared" si="498"/>
        <v>0</v>
      </c>
      <c r="TE134" s="94" t="e">
        <f>TD134/TC134</f>
        <v>#DIV/0!</v>
      </c>
      <c r="TF134" s="354"/>
      <c r="TG134" s="208"/>
      <c r="TH134" s="208"/>
      <c r="TI134" s="208">
        <f t="shared" si="480"/>
        <v>0</v>
      </c>
      <c r="TJ134" s="114"/>
      <c r="TK134" s="209"/>
      <c r="TL134" s="208"/>
      <c r="TM134" s="208"/>
      <c r="TN134" s="208">
        <f t="shared" si="499"/>
        <v>0</v>
      </c>
      <c r="TO134" s="114"/>
      <c r="TP134" s="4432"/>
      <c r="TQ134" s="208"/>
      <c r="TR134" s="208"/>
      <c r="TS134" s="994">
        <f>TR134-TQ134</f>
        <v>0</v>
      </c>
      <c r="TT134" s="114"/>
      <c r="TU134" s="4506"/>
      <c r="TV134" s="1575"/>
      <c r="TW134" s="1575"/>
      <c r="TX134" s="1575"/>
      <c r="TY134" s="80"/>
      <c r="TZ134" s="1868"/>
      <c r="UA134" s="1575"/>
      <c r="UB134" s="1575"/>
      <c r="UC134" s="1575"/>
      <c r="UD134" s="98"/>
      <c r="UE134" s="1868"/>
      <c r="UF134" s="1575"/>
      <c r="UG134" s="2552"/>
      <c r="UH134" s="1575"/>
      <c r="UI134" s="1867"/>
      <c r="UJ134" s="357"/>
      <c r="UK134" s="358"/>
      <c r="UL134" s="358"/>
      <c r="UM134" s="208"/>
      <c r="UN134" s="2578"/>
      <c r="UO134" s="1567"/>
      <c r="UP134" s="1568"/>
      <c r="UQ134" s="1568"/>
      <c r="UR134" s="2012"/>
      <c r="US134" s="659"/>
      <c r="UT134" s="1567"/>
      <c r="UU134" s="358"/>
      <c r="UV134" s="358"/>
      <c r="UW134" s="358"/>
      <c r="UX134" s="220"/>
      <c r="UY134" s="1863">
        <f t="shared" si="500"/>
        <v>0</v>
      </c>
      <c r="UZ134" s="105">
        <f t="shared" si="501"/>
        <v>0</v>
      </c>
      <c r="VA134" s="105">
        <f t="shared" si="501"/>
        <v>0</v>
      </c>
      <c r="VB134" s="105">
        <f t="shared" si="501"/>
        <v>0</v>
      </c>
      <c r="VC134" s="106" t="e">
        <f t="shared" si="502"/>
        <v>#DIV/0!</v>
      </c>
      <c r="VD134" s="1868"/>
      <c r="VE134" s="358">
        <f t="shared" si="481"/>
        <v>0</v>
      </c>
      <c r="VF134" s="358">
        <f t="shared" si="481"/>
        <v>0</v>
      </c>
      <c r="VG134" s="359">
        <f t="shared" si="481"/>
        <v>0</v>
      </c>
      <c r="VH134" s="169" t="e">
        <f>VG134/VF134</f>
        <v>#DIV/0!</v>
      </c>
      <c r="VI134" s="686"/>
      <c r="VJ134" s="146">
        <f t="shared" si="482"/>
        <v>0</v>
      </c>
      <c r="VK134" s="146">
        <f t="shared" si="482"/>
        <v>0</v>
      </c>
      <c r="VL134" s="1864">
        <f t="shared" si="482"/>
        <v>0</v>
      </c>
      <c r="VM134" s="203" t="e">
        <f>VL134/VK134</f>
        <v>#DIV/0!</v>
      </c>
      <c r="VN134" s="1567"/>
      <c r="VO134" s="358">
        <f t="shared" si="483"/>
        <v>0</v>
      </c>
      <c r="VP134" s="358">
        <f t="shared" si="483"/>
        <v>0</v>
      </c>
      <c r="VQ134" s="359">
        <f t="shared" si="483"/>
        <v>0</v>
      </c>
      <c r="VR134" s="114">
        <v>0</v>
      </c>
    </row>
    <row r="135" spans="1:590" s="1193" customFormat="1" ht="13.45" hidden="1" x14ac:dyDescent="0.3">
      <c r="A135" s="1297"/>
      <c r="B135" s="2020" t="s">
        <v>84</v>
      </c>
      <c r="C135" s="2060" t="s">
        <v>100</v>
      </c>
      <c r="D135" s="2603" t="s">
        <v>278</v>
      </c>
      <c r="E135" s="2604"/>
      <c r="F135" s="2604"/>
      <c r="G135" s="2605">
        <v>0</v>
      </c>
      <c r="H135" s="2606"/>
      <c r="I135" s="1700"/>
      <c r="J135" s="1700"/>
      <c r="K135" s="1700"/>
      <c r="L135" s="2607"/>
      <c r="M135" s="2606"/>
      <c r="N135" s="1700"/>
      <c r="O135" s="1700"/>
      <c r="P135" s="1700"/>
      <c r="Q135" s="2607"/>
      <c r="R135" s="2606"/>
      <c r="S135" s="1700"/>
      <c r="T135" s="1700"/>
      <c r="U135" s="1700"/>
      <c r="V135" s="2607"/>
      <c r="W135" s="2606"/>
      <c r="X135" s="1700"/>
      <c r="Y135" s="1700"/>
      <c r="Z135" s="1700"/>
      <c r="AA135" s="2608"/>
      <c r="AB135" s="2606"/>
      <c r="AC135" s="1700"/>
      <c r="AD135" s="1700"/>
      <c r="AE135" s="1700"/>
      <c r="AF135" s="2608"/>
      <c r="AG135" s="1700"/>
      <c r="AH135" s="1700"/>
      <c r="AI135" s="1700"/>
      <c r="AJ135" s="1700"/>
      <c r="AK135" s="2607"/>
      <c r="AL135" s="1700"/>
      <c r="AM135" s="1700"/>
      <c r="AN135" s="1700"/>
      <c r="AO135" s="1700"/>
      <c r="AP135" s="2607"/>
      <c r="AQ135" s="1700"/>
      <c r="AR135" s="1700"/>
      <c r="AS135" s="1700"/>
      <c r="AT135" s="1700"/>
      <c r="AU135" s="2607"/>
      <c r="AV135" s="2609"/>
      <c r="AW135" s="1700"/>
      <c r="AX135" s="1700"/>
      <c r="AY135" s="1700"/>
      <c r="AZ135" s="2608"/>
      <c r="BA135" s="2609"/>
      <c r="BB135" s="1700"/>
      <c r="BC135" s="1700"/>
      <c r="BD135" s="1700"/>
      <c r="BE135" s="2608"/>
      <c r="BF135" s="2609"/>
      <c r="BG135" s="1700"/>
      <c r="BH135" s="1700"/>
      <c r="BI135" s="1700"/>
      <c r="BJ135" s="2608"/>
      <c r="BK135" s="2609"/>
      <c r="BL135" s="1700"/>
      <c r="BM135" s="1700"/>
      <c r="BN135" s="1700"/>
      <c r="BO135" s="2608"/>
      <c r="BP135" s="2610"/>
      <c r="BQ135" s="1700"/>
      <c r="BR135" s="1700"/>
      <c r="BS135" s="1700"/>
      <c r="BT135" s="1699"/>
      <c r="BU135" s="1700"/>
      <c r="BV135" s="1700"/>
      <c r="BW135" s="2611"/>
      <c r="BX135" s="1699"/>
      <c r="BY135" s="1700"/>
      <c r="BZ135" s="1700"/>
      <c r="CA135" s="2612"/>
      <c r="CB135" s="1700"/>
      <c r="CC135" s="1700"/>
      <c r="CD135" s="1700"/>
      <c r="CE135" s="1700"/>
      <c r="CF135" s="1699"/>
      <c r="CG135" s="1700"/>
      <c r="CH135" s="1700"/>
      <c r="CI135" s="2612"/>
      <c r="CJ135" s="1701"/>
      <c r="CK135" s="1700"/>
      <c r="CL135" s="1700"/>
      <c r="CM135" s="1700"/>
      <c r="CN135" s="2611"/>
      <c r="CO135" s="1701"/>
      <c r="CP135" s="2606"/>
      <c r="CQ135" s="2606"/>
      <c r="CR135" s="2606"/>
      <c r="CS135" s="2611"/>
      <c r="CT135" s="1701"/>
      <c r="CU135" s="1700"/>
      <c r="CV135" s="1700"/>
      <c r="CW135" s="1700"/>
      <c r="CX135" s="2611"/>
      <c r="CY135" s="1701"/>
      <c r="CZ135" s="1700"/>
      <c r="DA135" s="1700"/>
      <c r="DB135" s="1700"/>
      <c r="DC135" s="2611"/>
      <c r="DD135" s="1701"/>
      <c r="DE135" s="1700"/>
      <c r="DF135" s="1700"/>
      <c r="DG135" s="1700"/>
      <c r="DH135" s="2613"/>
      <c r="DI135" s="1701"/>
      <c r="DJ135" s="1700"/>
      <c r="DK135" s="1700"/>
      <c r="DL135" s="1700"/>
      <c r="DM135" s="2613"/>
      <c r="DN135" s="1701"/>
      <c r="DO135" s="1700"/>
      <c r="DP135" s="1700"/>
      <c r="DQ135" s="1700"/>
      <c r="DR135" s="2613"/>
      <c r="DS135" s="1701"/>
      <c r="DT135" s="1700"/>
      <c r="DU135" s="1700"/>
      <c r="DV135" s="1700"/>
      <c r="DW135" s="2613"/>
      <c r="DX135" s="1701"/>
      <c r="DY135" s="1700"/>
      <c r="DZ135" s="1700"/>
      <c r="EA135" s="1700"/>
      <c r="EB135" s="2613"/>
      <c r="EC135" s="1701"/>
      <c r="ED135" s="1700"/>
      <c r="EE135" s="1700"/>
      <c r="EF135" s="1700"/>
      <c r="EG135" s="2613"/>
      <c r="EH135" s="1708"/>
      <c r="EI135" s="453"/>
      <c r="EJ135" s="453"/>
      <c r="EK135" s="453"/>
      <c r="EL135" s="432"/>
      <c r="EM135" s="1637"/>
      <c r="EN135" s="823"/>
      <c r="EO135" s="823"/>
      <c r="EP135" s="823"/>
      <c r="EQ135" s="7"/>
      <c r="ER135" s="2614"/>
      <c r="ES135" s="2615"/>
      <c r="ET135" s="2615"/>
      <c r="EU135" s="2615"/>
      <c r="EV135" s="144"/>
      <c r="EW135" s="2616"/>
      <c r="EX135" s="2616"/>
      <c r="EY135" s="2616"/>
      <c r="EZ135" s="236"/>
      <c r="FA135" s="1708"/>
      <c r="FB135" s="2616"/>
      <c r="FC135" s="2616"/>
      <c r="FD135" s="76"/>
      <c r="FE135" s="2616"/>
      <c r="FF135" s="2616"/>
      <c r="FG135" s="2616"/>
      <c r="FH135" s="236"/>
      <c r="FI135" s="627"/>
      <c r="FJ135" s="626"/>
      <c r="FK135" s="644"/>
      <c r="FL135" s="644"/>
      <c r="FM135" s="73"/>
      <c r="FN135" s="2616"/>
      <c r="FO135" s="453"/>
      <c r="FP135" s="453"/>
      <c r="FQ135" s="453"/>
      <c r="FR135" s="423"/>
      <c r="FS135" s="1637"/>
      <c r="FT135" s="823"/>
      <c r="FU135" s="823"/>
      <c r="FV135" s="823"/>
      <c r="FW135" s="2617"/>
      <c r="FX135" s="1708"/>
      <c r="FY135" s="453"/>
      <c r="FZ135" s="453"/>
      <c r="GA135" s="823"/>
      <c r="GB135" s="2617"/>
      <c r="GC135" s="2618"/>
      <c r="GD135" s="2619"/>
      <c r="GE135" s="2619"/>
      <c r="GF135" s="823"/>
      <c r="GG135" s="7"/>
      <c r="GH135" s="2620"/>
      <c r="GI135" s="2049"/>
      <c r="GJ135" s="2049"/>
      <c r="GK135" s="2621"/>
      <c r="GL135" s="2617"/>
      <c r="GM135" s="2620"/>
      <c r="GN135" s="2049"/>
      <c r="GO135" s="2049"/>
      <c r="GP135" s="2621"/>
      <c r="GQ135" s="2617"/>
      <c r="GR135" s="2188"/>
      <c r="GS135" s="1850"/>
      <c r="GT135" s="1850"/>
      <c r="GU135" s="2621"/>
      <c r="GV135" s="2617"/>
      <c r="GW135" s="2188"/>
      <c r="GX135" s="1850"/>
      <c r="GY135" s="1850"/>
      <c r="GZ135" s="2621"/>
      <c r="HA135" s="2617"/>
      <c r="HB135" s="2188"/>
      <c r="HC135" s="1850"/>
      <c r="HD135" s="1850"/>
      <c r="HE135" s="2621"/>
      <c r="HF135" s="2617"/>
      <c r="HG135" s="2188"/>
      <c r="HH135" s="1850"/>
      <c r="HI135" s="1850"/>
      <c r="HJ135" s="2124"/>
      <c r="HK135" s="2617"/>
      <c r="HL135" s="2188"/>
      <c r="HM135" s="1850"/>
      <c r="HN135" s="1850"/>
      <c r="HO135" s="823"/>
      <c r="HP135" s="7"/>
      <c r="HQ135" s="2622"/>
      <c r="HR135" s="1978"/>
      <c r="HS135" s="1978"/>
      <c r="HT135" s="1978"/>
      <c r="HU135" s="2623"/>
      <c r="HV135" s="2624"/>
      <c r="HW135" s="435"/>
      <c r="HX135" s="435"/>
      <c r="HY135" s="435"/>
      <c r="HZ135" s="2625"/>
      <c r="IA135" s="1702"/>
      <c r="IB135" s="1703"/>
      <c r="IC135" s="1703"/>
      <c r="ID135" s="1704"/>
      <c r="IE135" s="1637"/>
      <c r="IF135" s="1693"/>
      <c r="IG135" s="1702"/>
      <c r="IH135" s="1704"/>
      <c r="II135" s="1705"/>
      <c r="IJ135" s="2144"/>
      <c r="IK135" s="2144"/>
      <c r="IL135" s="73"/>
      <c r="IM135" s="2626"/>
      <c r="IN135" s="2144"/>
      <c r="IO135" s="2144"/>
      <c r="IP135" s="1861"/>
      <c r="IQ135" s="453"/>
      <c r="IR135" s="2627"/>
      <c r="IS135" s="1978"/>
      <c r="IT135" s="1978"/>
      <c r="IU135" s="2628"/>
      <c r="IV135" s="2629"/>
      <c r="IW135" s="2630"/>
      <c r="IX135" s="2123"/>
      <c r="IY135" s="2123"/>
      <c r="IZ135" s="2124"/>
      <c r="JA135" s="2125"/>
      <c r="JB135" s="2046"/>
      <c r="JC135" s="2047"/>
      <c r="JD135" s="2048"/>
      <c r="JE135" s="2124"/>
      <c r="JF135" s="2125"/>
      <c r="JG135" s="1988"/>
      <c r="JH135" s="2049"/>
      <c r="JI135" s="2049"/>
      <c r="JJ135" s="2126"/>
      <c r="JK135" s="2125"/>
      <c r="JL135" s="2127"/>
      <c r="JM135" s="2049"/>
      <c r="JN135" s="2049"/>
      <c r="JO135" s="2128"/>
      <c r="JP135" s="2125"/>
      <c r="JQ135" s="2127"/>
      <c r="JR135" s="1119"/>
      <c r="JS135" s="1850"/>
      <c r="JT135" s="2631"/>
      <c r="JU135" s="2125"/>
      <c r="JV135" s="1849"/>
      <c r="JW135" s="1119"/>
      <c r="JX135" s="1850"/>
      <c r="JY135" s="1850"/>
      <c r="JZ135" s="2125"/>
      <c r="KA135" s="1849"/>
      <c r="KB135" s="1850"/>
      <c r="KC135" s="1850"/>
      <c r="KD135" s="1108"/>
      <c r="KE135" s="2133"/>
      <c r="KF135" s="1849"/>
      <c r="KG135" s="1850"/>
      <c r="KH135" s="1850"/>
      <c r="KI135" s="2124"/>
      <c r="KJ135" s="2125"/>
      <c r="KK135" s="1849"/>
      <c r="KL135" s="1850"/>
      <c r="KM135" s="1850"/>
      <c r="KN135" s="2134"/>
      <c r="KO135" s="2135"/>
      <c r="KP135" s="2596"/>
      <c r="KQ135" s="1119"/>
      <c r="KR135" s="1850"/>
      <c r="KS135" s="2597"/>
      <c r="KT135" s="2598"/>
      <c r="KU135" s="2138"/>
      <c r="KV135" s="1850"/>
      <c r="KW135" s="1850"/>
      <c r="KX135" s="1850"/>
      <c r="KY135" s="81"/>
      <c r="KZ135" s="1857"/>
      <c r="LA135" s="358"/>
      <c r="LB135" s="358"/>
      <c r="LC135" s="358"/>
      <c r="LD135" s="151"/>
      <c r="LE135" s="2139"/>
      <c r="LF135" s="2140"/>
      <c r="LG135" s="2140"/>
      <c r="LH135" s="2141"/>
      <c r="LI135" s="2142"/>
      <c r="LJ135" s="2143"/>
      <c r="LK135" s="2139"/>
      <c r="LL135" s="2141"/>
      <c r="LM135" s="1859"/>
      <c r="LN135" s="1727"/>
      <c r="LO135" s="1727"/>
      <c r="LP135" s="151"/>
      <c r="LQ135" s="1860"/>
      <c r="LR135" s="1727"/>
      <c r="LS135" s="1727"/>
      <c r="LT135" s="1861"/>
      <c r="LV135" s="2599"/>
      <c r="LW135" s="2198"/>
      <c r="LX135" s="2198"/>
      <c r="LY135" s="700"/>
      <c r="LZ135" s="2600"/>
      <c r="MA135" s="2188"/>
      <c r="MB135" s="1850"/>
      <c r="MC135" s="1850"/>
      <c r="MD135" s="2632"/>
      <c r="ME135" s="81"/>
      <c r="MF135" s="404"/>
      <c r="MG135" s="435"/>
      <c r="MH135" s="435"/>
      <c r="MI135" s="227"/>
      <c r="MJ135" s="1595"/>
      <c r="MK135" s="2152"/>
      <c r="ML135" s="435"/>
      <c r="MM135" s="435"/>
      <c r="MN135" s="2151"/>
      <c r="MO135" s="1595"/>
      <c r="MP135" s="2602"/>
      <c r="MQ135" s="1850"/>
      <c r="MR135" s="1850"/>
      <c r="MS135" s="1850"/>
      <c r="MT135" s="790"/>
      <c r="MU135" s="1596"/>
      <c r="MV135" s="435"/>
      <c r="MW135" s="435"/>
      <c r="MX135" s="435"/>
      <c r="MY135" s="790"/>
      <c r="MZ135" s="1596"/>
      <c r="NA135" s="435"/>
      <c r="NB135" s="435"/>
      <c r="NC135" s="435"/>
      <c r="ND135" s="790"/>
      <c r="NE135" s="1596"/>
      <c r="NF135" s="435"/>
      <c r="NG135" s="435"/>
      <c r="NH135" s="435"/>
      <c r="NI135" s="790"/>
      <c r="NJ135" s="1596"/>
      <c r="NK135" s="435"/>
      <c r="NL135" s="435"/>
      <c r="NM135" s="435"/>
      <c r="NN135" s="790"/>
      <c r="NO135" s="2633"/>
      <c r="NP135" s="1585"/>
      <c r="NQ135" s="1585"/>
      <c r="NR135" s="435"/>
      <c r="NS135" s="790"/>
      <c r="NT135" s="357"/>
      <c r="NU135" s="358"/>
      <c r="NV135" s="358"/>
      <c r="NW135" s="435"/>
      <c r="NX135" s="790"/>
      <c r="NY135" s="357"/>
      <c r="NZ135" s="358"/>
      <c r="OA135" s="358"/>
      <c r="OB135" s="994"/>
      <c r="OC135" s="602"/>
      <c r="OD135" s="197"/>
      <c r="OE135" s="1585"/>
      <c r="OF135" s="1585"/>
      <c r="OG135" s="1585"/>
      <c r="OH135" s="1600"/>
      <c r="OI135" s="1868"/>
      <c r="OJ135" s="105"/>
      <c r="OK135" s="1575"/>
      <c r="OL135" s="1575"/>
      <c r="OM135" s="375"/>
      <c r="ON135" s="358"/>
      <c r="OO135" s="358"/>
      <c r="OP135" s="358"/>
      <c r="OQ135" s="359"/>
      <c r="OR135" s="169"/>
      <c r="OS135" s="686"/>
      <c r="OT135" s="146"/>
      <c r="OU135" s="146"/>
      <c r="OV135" s="1864"/>
      <c r="OW135" s="203"/>
      <c r="OX135" s="2633"/>
      <c r="OY135" s="1585"/>
      <c r="OZ135" s="1585"/>
      <c r="PA135" s="2634"/>
      <c r="PB135" s="117"/>
      <c r="PC135" s="79"/>
      <c r="PD135" s="1606">
        <v>1</v>
      </c>
      <c r="PE135" s="1066">
        <v>9156</v>
      </c>
      <c r="PF135" s="1066">
        <v>12760</v>
      </c>
      <c r="PG135" s="96">
        <f t="shared" si="484"/>
        <v>3604</v>
      </c>
      <c r="PH135" s="224">
        <f t="shared" si="485"/>
        <v>0.28244514106583074</v>
      </c>
      <c r="PI135" s="2188">
        <v>1</v>
      </c>
      <c r="PJ135" s="1850">
        <v>37500</v>
      </c>
      <c r="PK135" s="1850">
        <v>55000</v>
      </c>
      <c r="PL135" s="371">
        <f t="shared" si="474"/>
        <v>17500</v>
      </c>
      <c r="PM135" s="157">
        <f t="shared" si="486"/>
        <v>0.31818181818181818</v>
      </c>
      <c r="PN135" s="440">
        <v>1</v>
      </c>
      <c r="PO135" s="435">
        <v>37500</v>
      </c>
      <c r="PP135" s="435">
        <v>55000</v>
      </c>
      <c r="PQ135" s="371">
        <f t="shared" si="487"/>
        <v>17500</v>
      </c>
      <c r="PR135" s="157">
        <f>PQ135/PP135</f>
        <v>0.31818181818181818</v>
      </c>
      <c r="PS135" s="2152">
        <v>2</v>
      </c>
      <c r="PT135" s="435">
        <v>41532.193548387098</v>
      </c>
      <c r="PU135" s="435">
        <v>55000</v>
      </c>
      <c r="PV135" s="371">
        <v>13467.806451612902</v>
      </c>
      <c r="PW135" s="157">
        <f>PV135/PU135</f>
        <v>0.24486920821114366</v>
      </c>
      <c r="PX135" s="2602"/>
      <c r="PY135" s="1850"/>
      <c r="PZ135" s="1850"/>
      <c r="QA135" s="264"/>
      <c r="QB135" s="597"/>
      <c r="QC135" s="1596"/>
      <c r="QD135" s="435"/>
      <c r="QE135" s="435"/>
      <c r="QF135" s="208">
        <f t="shared" si="488"/>
        <v>0</v>
      </c>
      <c r="QG135" s="597"/>
      <c r="QH135" s="440"/>
      <c r="QI135" s="435"/>
      <c r="QJ135" s="435"/>
      <c r="QK135" s="208">
        <v>0</v>
      </c>
      <c r="QL135" s="597"/>
      <c r="QM135" s="440"/>
      <c r="QN135" s="435"/>
      <c r="QO135" s="435"/>
      <c r="QP135" s="208">
        <f t="shared" si="489"/>
        <v>0</v>
      </c>
      <c r="QQ135" s="1869"/>
      <c r="QR135" s="1596"/>
      <c r="QS135" s="435"/>
      <c r="QT135" s="435"/>
      <c r="QU135" s="395"/>
      <c r="QV135" s="75"/>
      <c r="QW135" s="2561"/>
      <c r="QX135" s="2586"/>
      <c r="QY135" s="2586"/>
      <c r="QZ135" s="395"/>
      <c r="RA135" s="157"/>
      <c r="RB135" s="357"/>
      <c r="RC135" s="358"/>
      <c r="RD135" s="358"/>
      <c r="RE135" s="208">
        <f t="shared" si="490"/>
        <v>0</v>
      </c>
      <c r="RF135" s="2578">
        <v>0</v>
      </c>
      <c r="RG135" s="1567"/>
      <c r="RH135" s="1568"/>
      <c r="RI135" s="1568"/>
      <c r="RJ135" s="2012">
        <f t="shared" si="491"/>
        <v>0</v>
      </c>
      <c r="RK135" s="659">
        <v>0</v>
      </c>
      <c r="RL135" s="1567"/>
      <c r="RM135" s="1568">
        <f t="shared" si="475"/>
        <v>125688.19354838709</v>
      </c>
      <c r="RN135" s="1568">
        <f t="shared" si="475"/>
        <v>177760</v>
      </c>
      <c r="RO135" s="1568">
        <f t="shared" si="475"/>
        <v>52071.806451612902</v>
      </c>
      <c r="RP135" s="220">
        <f t="shared" si="492"/>
        <v>0.29293320461078365</v>
      </c>
      <c r="RQ135" s="1863">
        <f t="shared" si="493"/>
        <v>1</v>
      </c>
      <c r="RR135" s="105">
        <f t="shared" si="494"/>
        <v>84156</v>
      </c>
      <c r="RS135" s="105">
        <f t="shared" si="494"/>
        <v>122760</v>
      </c>
      <c r="RT135" s="105">
        <f t="shared" si="494"/>
        <v>38604</v>
      </c>
      <c r="RU135" s="106">
        <f t="shared" si="495"/>
        <v>0.31446725317693058</v>
      </c>
      <c r="RV135" s="2635"/>
      <c r="RW135" s="358">
        <f t="shared" si="476"/>
        <v>41532.193548387098</v>
      </c>
      <c r="RX135" s="358">
        <f t="shared" si="476"/>
        <v>55000</v>
      </c>
      <c r="RY135" s="359">
        <f t="shared" si="476"/>
        <v>13467.806451612902</v>
      </c>
      <c r="RZ135" s="169">
        <f>RY135/RX135</f>
        <v>0.24486920821114366</v>
      </c>
      <c r="SA135" s="686"/>
      <c r="SB135" s="146">
        <f t="shared" si="477"/>
        <v>0</v>
      </c>
      <c r="SC135" s="146">
        <f t="shared" si="477"/>
        <v>0</v>
      </c>
      <c r="SD135" s="1864">
        <f t="shared" si="477"/>
        <v>0</v>
      </c>
      <c r="SE135" s="203"/>
      <c r="SF135" s="1567"/>
      <c r="SG135" s="358">
        <f t="shared" si="478"/>
        <v>0</v>
      </c>
      <c r="SH135" s="358">
        <f t="shared" si="478"/>
        <v>0</v>
      </c>
      <c r="SI135" s="359">
        <f t="shared" si="478"/>
        <v>0</v>
      </c>
      <c r="SJ135" s="114">
        <v>0</v>
      </c>
      <c r="SL135" s="2522"/>
      <c r="SM135" s="2055"/>
      <c r="SN135" s="2055"/>
      <c r="SO135" s="3523">
        <f t="shared" si="496"/>
        <v>0</v>
      </c>
      <c r="SP135" s="3643">
        <v>0</v>
      </c>
      <c r="SQ135" s="3644"/>
      <c r="SR135" s="2763"/>
      <c r="SS135" s="2763"/>
      <c r="ST135" s="1707">
        <f t="shared" si="479"/>
        <v>0</v>
      </c>
      <c r="SU135" s="1867">
        <v>0</v>
      </c>
      <c r="SV135" s="440"/>
      <c r="SW135" s="435"/>
      <c r="SX135" s="1584"/>
      <c r="SY135" s="96">
        <f t="shared" si="497"/>
        <v>0</v>
      </c>
      <c r="SZ135" s="94" t="e">
        <f>SY135/SX135</f>
        <v>#DIV/0!</v>
      </c>
      <c r="TA135" s="2152"/>
      <c r="TB135" s="435"/>
      <c r="TC135" s="1584"/>
      <c r="TD135" s="96">
        <f t="shared" si="498"/>
        <v>0</v>
      </c>
      <c r="TE135" s="94" t="e">
        <f>TD135/TC135</f>
        <v>#DIV/0!</v>
      </c>
      <c r="TF135" s="354"/>
      <c r="TG135" s="208"/>
      <c r="TH135" s="208"/>
      <c r="TI135" s="208">
        <f t="shared" si="480"/>
        <v>0</v>
      </c>
      <c r="TJ135" s="114"/>
      <c r="TK135" s="1596"/>
      <c r="TL135" s="435"/>
      <c r="TM135" s="435"/>
      <c r="TN135" s="208">
        <f t="shared" si="499"/>
        <v>0</v>
      </c>
      <c r="TO135" s="114"/>
      <c r="TP135" s="4510"/>
      <c r="TQ135" s="435"/>
      <c r="TR135" s="435"/>
      <c r="TS135" s="994">
        <v>0</v>
      </c>
      <c r="TT135" s="114"/>
      <c r="TU135" s="4516"/>
      <c r="TV135" s="2150"/>
      <c r="TW135" s="2150"/>
      <c r="TX135" s="1575"/>
      <c r="TY135" s="1869"/>
      <c r="TZ135" s="2635"/>
      <c r="UA135" s="2150"/>
      <c r="UB135" s="2150"/>
      <c r="UC135" s="2001"/>
      <c r="UD135" s="98"/>
      <c r="UE135" s="6505"/>
      <c r="UF135" s="6507"/>
      <c r="UG135" s="6507"/>
      <c r="UH135" s="2001"/>
      <c r="UI135" s="1867"/>
      <c r="UJ135" s="357"/>
      <c r="UK135" s="358"/>
      <c r="UL135" s="358"/>
      <c r="UM135" s="208"/>
      <c r="UN135" s="2578"/>
      <c r="UO135" s="1567"/>
      <c r="UP135" s="1568"/>
      <c r="UQ135" s="1568"/>
      <c r="UR135" s="2012"/>
      <c r="US135" s="659"/>
      <c r="UT135" s="1567"/>
      <c r="UU135" s="358"/>
      <c r="UV135" s="358"/>
      <c r="UW135" s="358"/>
      <c r="UX135" s="220"/>
      <c r="UY135" s="1863">
        <f t="shared" si="500"/>
        <v>0</v>
      </c>
      <c r="UZ135" s="105">
        <f t="shared" si="501"/>
        <v>0</v>
      </c>
      <c r="VA135" s="105">
        <f t="shared" si="501"/>
        <v>0</v>
      </c>
      <c r="VB135" s="105">
        <f t="shared" si="501"/>
        <v>0</v>
      </c>
      <c r="VC135" s="106" t="e">
        <f t="shared" si="502"/>
        <v>#DIV/0!</v>
      </c>
      <c r="VD135" s="2635"/>
      <c r="VE135" s="358">
        <f t="shared" si="481"/>
        <v>0</v>
      </c>
      <c r="VF135" s="358">
        <f t="shared" si="481"/>
        <v>0</v>
      </c>
      <c r="VG135" s="359">
        <f t="shared" si="481"/>
        <v>0</v>
      </c>
      <c r="VH135" s="169" t="e">
        <f>VG135/VF135</f>
        <v>#DIV/0!</v>
      </c>
      <c r="VI135" s="686"/>
      <c r="VJ135" s="146">
        <f t="shared" si="482"/>
        <v>0</v>
      </c>
      <c r="VK135" s="146">
        <f t="shared" si="482"/>
        <v>0</v>
      </c>
      <c r="VL135" s="1864">
        <f t="shared" si="482"/>
        <v>0</v>
      </c>
      <c r="VM135" s="203"/>
      <c r="VN135" s="1567"/>
      <c r="VO135" s="358">
        <f t="shared" si="483"/>
        <v>0</v>
      </c>
      <c r="VP135" s="358">
        <f t="shared" si="483"/>
        <v>0</v>
      </c>
      <c r="VQ135" s="359">
        <f t="shared" si="483"/>
        <v>0</v>
      </c>
      <c r="VR135" s="114">
        <v>0</v>
      </c>
    </row>
    <row r="136" spans="1:590" s="1193" customFormat="1" ht="13.45" hidden="1" x14ac:dyDescent="0.3">
      <c r="A136" s="1297"/>
      <c r="B136" s="1773" t="s">
        <v>84</v>
      </c>
      <c r="C136" s="2060" t="s">
        <v>95</v>
      </c>
      <c r="D136" s="2061" t="s">
        <v>96</v>
      </c>
      <c r="E136" s="2086">
        <v>44713</v>
      </c>
      <c r="F136" s="2086">
        <v>45077</v>
      </c>
      <c r="G136" s="1994">
        <v>305000</v>
      </c>
      <c r="H136" s="1874"/>
      <c r="I136" s="1875"/>
      <c r="J136" s="1875"/>
      <c r="K136" s="1875"/>
      <c r="L136" s="1876"/>
      <c r="M136" s="1874"/>
      <c r="N136" s="1875"/>
      <c r="O136" s="1875"/>
      <c r="P136" s="1875"/>
      <c r="Q136" s="1876"/>
      <c r="R136" s="1874"/>
      <c r="S136" s="1875"/>
      <c r="T136" s="1875"/>
      <c r="U136" s="1875"/>
      <c r="V136" s="1876"/>
      <c r="W136" s="1874"/>
      <c r="X136" s="1875"/>
      <c r="Y136" s="1875"/>
      <c r="Z136" s="1875"/>
      <c r="AA136" s="1877"/>
      <c r="AB136" s="1874"/>
      <c r="AC136" s="1875"/>
      <c r="AD136" s="1875"/>
      <c r="AE136" s="1875"/>
      <c r="AF136" s="1877"/>
      <c r="AG136" s="1875"/>
      <c r="AH136" s="1875"/>
      <c r="AI136" s="1875"/>
      <c r="AJ136" s="1875"/>
      <c r="AK136" s="1876"/>
      <c r="AL136" s="1875"/>
      <c r="AM136" s="1875"/>
      <c r="AN136" s="1875"/>
      <c r="AO136" s="1875"/>
      <c r="AP136" s="1876"/>
      <c r="AQ136" s="1875"/>
      <c r="AR136" s="1875"/>
      <c r="AS136" s="1875"/>
      <c r="AT136" s="1875"/>
      <c r="AU136" s="1876"/>
      <c r="AV136" s="1878"/>
      <c r="AW136" s="1875"/>
      <c r="AX136" s="1875"/>
      <c r="AY136" s="1875"/>
      <c r="AZ136" s="1877"/>
      <c r="BA136" s="1878"/>
      <c r="BB136" s="1875"/>
      <c r="BC136" s="1875"/>
      <c r="BD136" s="1875"/>
      <c r="BE136" s="1877"/>
      <c r="BF136" s="1878"/>
      <c r="BG136" s="1875"/>
      <c r="BH136" s="1875"/>
      <c r="BI136" s="1875"/>
      <c r="BJ136" s="1877"/>
      <c r="BK136" s="1878"/>
      <c r="BL136" s="1875"/>
      <c r="BM136" s="1875"/>
      <c r="BN136" s="1875"/>
      <c r="BO136" s="1877"/>
      <c r="BP136" s="1879"/>
      <c r="BQ136" s="1875"/>
      <c r="BR136" s="1875"/>
      <c r="BS136" s="1875"/>
      <c r="BT136" s="1880"/>
      <c r="BU136" s="1875"/>
      <c r="BV136" s="1875"/>
      <c r="BW136" s="1881"/>
      <c r="BX136" s="1880"/>
      <c r="BY136" s="1875"/>
      <c r="BZ136" s="1875"/>
      <c r="CA136" s="1882"/>
      <c r="CB136" s="1875"/>
      <c r="CC136" s="1875"/>
      <c r="CD136" s="1875"/>
      <c r="CE136" s="1875"/>
      <c r="CF136" s="1880"/>
      <c r="CG136" s="1875"/>
      <c r="CH136" s="1875"/>
      <c r="CI136" s="1882"/>
      <c r="CJ136" s="1883"/>
      <c r="CK136" s="1875"/>
      <c r="CL136" s="1875"/>
      <c r="CM136" s="1875"/>
      <c r="CN136" s="1881"/>
      <c r="CO136" s="1883"/>
      <c r="CP136" s="1874"/>
      <c r="CQ136" s="1874"/>
      <c r="CR136" s="1874"/>
      <c r="CS136" s="1881"/>
      <c r="CT136" s="1883"/>
      <c r="CU136" s="1875"/>
      <c r="CV136" s="1875"/>
      <c r="CW136" s="1875"/>
      <c r="CX136" s="1881"/>
      <c r="CY136" s="1883"/>
      <c r="CZ136" s="1875"/>
      <c r="DA136" s="1875"/>
      <c r="DB136" s="1875"/>
      <c r="DC136" s="1881"/>
      <c r="DD136" s="1883"/>
      <c r="DE136" s="1875"/>
      <c r="DF136" s="1875"/>
      <c r="DG136" s="1875"/>
      <c r="DH136" s="1884"/>
      <c r="DI136" s="1883"/>
      <c r="DJ136" s="1875"/>
      <c r="DK136" s="1875"/>
      <c r="DL136" s="1875"/>
      <c r="DM136" s="1884"/>
      <c r="DN136" s="1883"/>
      <c r="DO136" s="1875"/>
      <c r="DP136" s="1875"/>
      <c r="DQ136" s="1875"/>
      <c r="DR136" s="1884"/>
      <c r="DS136" s="1883"/>
      <c r="DT136" s="1875"/>
      <c r="DU136" s="1875"/>
      <c r="DV136" s="1875"/>
      <c r="DW136" s="1884"/>
      <c r="DX136" s="1883"/>
      <c r="DY136" s="1875"/>
      <c r="DZ136" s="1875"/>
      <c r="EA136" s="1875"/>
      <c r="EB136" s="1884"/>
      <c r="EC136" s="1883"/>
      <c r="ED136" s="1875"/>
      <c r="EE136" s="1875"/>
      <c r="EF136" s="1875"/>
      <c r="EG136" s="1884"/>
      <c r="EH136" s="1885"/>
      <c r="EI136" s="1886"/>
      <c r="EJ136" s="1886"/>
      <c r="EK136" s="1886"/>
      <c r="EL136" s="1887"/>
      <c r="EM136" s="1888"/>
      <c r="EN136" s="1889"/>
      <c r="EO136" s="1889"/>
      <c r="EP136" s="1889"/>
      <c r="EQ136" s="166"/>
      <c r="ER136" s="1713">
        <f>(CJ136+CO136+CT136+CY136+DD136+DI136+DN136+DS136+DX136+EC136+EH136+EM136)/12</f>
        <v>0</v>
      </c>
      <c r="ES136" s="1714">
        <f t="shared" ref="ES136:EU137" si="509">CK136+CP136+CU136+CZ136+DE136+DJ136+DO136+DT136+DY136+ED136+EI136+EN136</f>
        <v>0</v>
      </c>
      <c r="ET136" s="1714">
        <f t="shared" si="509"/>
        <v>0</v>
      </c>
      <c r="EU136" s="1714">
        <f t="shared" si="509"/>
        <v>0</v>
      </c>
      <c r="EV136" s="1715" t="e">
        <f>EU136/ET136</f>
        <v>#DIV/0!</v>
      </c>
      <c r="EW136" s="1890"/>
      <c r="EX136" s="1890"/>
      <c r="EY136" s="1890"/>
      <c r="EZ136" s="1891"/>
      <c r="FA136" s="1885"/>
      <c r="FB136" s="1890"/>
      <c r="FC136" s="1890"/>
      <c r="FD136" s="1892"/>
      <c r="FE136" s="1890"/>
      <c r="FF136" s="1890"/>
      <c r="FG136" s="1890"/>
      <c r="FH136" s="1891"/>
      <c r="FI136" s="1893"/>
      <c r="FJ136" s="1894"/>
      <c r="FK136" s="1895"/>
      <c r="FL136" s="1895"/>
      <c r="FM136" s="1896"/>
      <c r="FN136" s="1890"/>
      <c r="FO136" s="1886"/>
      <c r="FP136" s="1886"/>
      <c r="FQ136" s="1886"/>
      <c r="FR136" s="1897"/>
      <c r="FS136" s="1888"/>
      <c r="FT136" s="1889"/>
      <c r="FU136" s="1889"/>
      <c r="FV136" s="1889"/>
      <c r="FW136" s="1898"/>
      <c r="FX136" s="1885"/>
      <c r="FY136" s="1886"/>
      <c r="FZ136" s="1886"/>
      <c r="GA136" s="1889"/>
      <c r="GB136" s="1898"/>
      <c r="GC136" s="1899"/>
      <c r="GD136" s="1900"/>
      <c r="GE136" s="1900"/>
      <c r="GF136" s="1889"/>
      <c r="GG136" s="166"/>
      <c r="GH136" s="1901"/>
      <c r="GI136" s="1824"/>
      <c r="GJ136" s="1824"/>
      <c r="GK136" s="1902"/>
      <c r="GL136" s="1898"/>
      <c r="GM136" s="1901"/>
      <c r="GN136" s="1824"/>
      <c r="GO136" s="1824"/>
      <c r="GP136" s="1902"/>
      <c r="GQ136" s="1898"/>
      <c r="GR136" s="1903"/>
      <c r="GS136" s="1904"/>
      <c r="GT136" s="1904"/>
      <c r="GU136" s="1902"/>
      <c r="GV136" s="1898"/>
      <c r="GW136" s="1903"/>
      <c r="GX136" s="1904"/>
      <c r="GY136" s="1904"/>
      <c r="GZ136" s="1902"/>
      <c r="HA136" s="1898"/>
      <c r="HB136" s="1903"/>
      <c r="HC136" s="1904"/>
      <c r="HD136" s="1904"/>
      <c r="HE136" s="1902"/>
      <c r="HF136" s="1898"/>
      <c r="HG136" s="1903"/>
      <c r="HH136" s="1904"/>
      <c r="HI136" s="1904"/>
      <c r="HJ136" s="1818"/>
      <c r="HK136" s="1898"/>
      <c r="HL136" s="1903"/>
      <c r="HM136" s="1904"/>
      <c r="HN136" s="1904"/>
      <c r="HO136" s="715"/>
      <c r="HP136" s="166"/>
      <c r="HQ136" s="2587"/>
      <c r="HR136" s="1916"/>
      <c r="HS136" s="1916"/>
      <c r="HT136" s="1916"/>
      <c r="HU136" s="2588"/>
      <c r="HV136" s="2008">
        <f>(FN136+FS136+FX136+GC136+GH136+GM136+GR136+GW136+HB136+HG136+HL136+HQ136)/12</f>
        <v>0</v>
      </c>
      <c r="HW136" s="208">
        <f t="shared" ref="HW136:HY137" si="510">FO136+FT136+FY136+GD136+GI136+GN136+GS136+GX136+HC136+HH136+HM136+HR136</f>
        <v>0</v>
      </c>
      <c r="HX136" s="208">
        <f t="shared" si="510"/>
        <v>0</v>
      </c>
      <c r="HY136" s="208">
        <f t="shared" si="510"/>
        <v>0</v>
      </c>
      <c r="HZ136" s="2009"/>
      <c r="IA136" s="1907"/>
      <c r="IB136" s="1908"/>
      <c r="IC136" s="1908"/>
      <c r="ID136" s="1909"/>
      <c r="IE136" s="1910"/>
      <c r="IF136" s="1911"/>
      <c r="IG136" s="1912"/>
      <c r="IH136" s="1909"/>
      <c r="II136" s="1835"/>
      <c r="IJ136" s="1836"/>
      <c r="IK136" s="1836"/>
      <c r="IL136" s="693"/>
      <c r="IM136" s="1913"/>
      <c r="IN136" s="1836"/>
      <c r="IO136" s="1836"/>
      <c r="IP136" s="1838"/>
      <c r="IQ136" s="1914"/>
      <c r="IR136" s="1915"/>
      <c r="IS136" s="1916"/>
      <c r="IT136" s="1916"/>
      <c r="IU136" s="1917"/>
      <c r="IV136" s="1918"/>
      <c r="IW136" s="1919"/>
      <c r="IX136" s="1920"/>
      <c r="IY136" s="1921"/>
      <c r="IZ136" s="1719"/>
      <c r="JA136" s="1721"/>
      <c r="JB136" s="1922"/>
      <c r="JC136" s="1923"/>
      <c r="JD136" s="1924"/>
      <c r="JE136" s="1719"/>
      <c r="JF136" s="1721"/>
      <c r="JG136" s="1847"/>
      <c r="JH136" s="1096"/>
      <c r="JI136" s="1096"/>
      <c r="JJ136" s="1756"/>
      <c r="JK136" s="1721"/>
      <c r="JL136" s="1927"/>
      <c r="JM136" s="1096"/>
      <c r="JN136" s="1096"/>
      <c r="JO136" s="1843"/>
      <c r="JP136" s="1721"/>
      <c r="JQ136" s="2546"/>
      <c r="JR136" s="2547"/>
      <c r="JS136" s="2548"/>
      <c r="JT136" s="2549"/>
      <c r="JU136" s="2550"/>
      <c r="JV136" s="1849"/>
      <c r="JW136" s="1119"/>
      <c r="JX136" s="1850"/>
      <c r="JY136" s="823"/>
      <c r="JZ136" s="1721"/>
      <c r="KA136" s="1846"/>
      <c r="KB136" s="264"/>
      <c r="KC136" s="264"/>
      <c r="KD136" s="964"/>
      <c r="KE136" s="1848"/>
      <c r="KF136" s="1849"/>
      <c r="KG136" s="1850"/>
      <c r="KH136" s="1850"/>
      <c r="KI136" s="1719"/>
      <c r="KJ136" s="1721"/>
      <c r="KK136" s="1849"/>
      <c r="KL136" s="1850"/>
      <c r="KM136" s="1850"/>
      <c r="KN136" s="1851"/>
      <c r="KO136" s="1852"/>
      <c r="KP136" s="2551"/>
      <c r="KQ136" s="972"/>
      <c r="KR136" s="264"/>
      <c r="KS136" s="1845"/>
      <c r="KT136" s="1720"/>
      <c r="KU136" s="1853"/>
      <c r="KV136" s="264">
        <v>0</v>
      </c>
      <c r="KW136" s="264">
        <v>0</v>
      </c>
      <c r="KX136" s="264">
        <f>KW136-KV136</f>
        <v>0</v>
      </c>
      <c r="KY136" s="75"/>
      <c r="KZ136" s="1857">
        <f>(IR136+IW136+JB136+JG136+JL136+JQ136+JV136+KA136+KF136+KK136+KP136+KU136)/12</f>
        <v>0</v>
      </c>
      <c r="LA136" s="358">
        <f t="shared" ref="LA136:LC137" si="511">IS136+IX136+JC136+JH136+JM136+JR136+JW136+KB136+KG136+KL136+KQ136+KV136</f>
        <v>0</v>
      </c>
      <c r="LB136" s="358">
        <f t="shared" si="511"/>
        <v>0</v>
      </c>
      <c r="LC136" s="358">
        <f t="shared" si="511"/>
        <v>0</v>
      </c>
      <c r="LD136" s="151"/>
      <c r="LE136" s="1854">
        <f>(IR136+IW136+JB136)/3</f>
        <v>0</v>
      </c>
      <c r="LF136" s="1855">
        <f>IT136+IY136+JD136</f>
        <v>0</v>
      </c>
      <c r="LG136" s="1855">
        <f>IU136+IZ136+JE136</f>
        <v>0</v>
      </c>
      <c r="LH136" s="1856" t="e">
        <f>LG136/LF136</f>
        <v>#DIV/0!</v>
      </c>
      <c r="LI136" s="1857">
        <f>(JG136+JL136+JQ136)/3</f>
        <v>0</v>
      </c>
      <c r="LJ136" s="1858">
        <f>(JI136+JN136+JS136)</f>
        <v>0</v>
      </c>
      <c r="LK136" s="1854">
        <f>(JJ136+JO136+JT136)</f>
        <v>0</v>
      </c>
      <c r="LL136" s="1856"/>
      <c r="LM136" s="1859">
        <f>(JV136+KA136+KF136)/3</f>
        <v>0</v>
      </c>
      <c r="LN136" s="1727">
        <f>(JX136+KC136+KH136)</f>
        <v>0</v>
      </c>
      <c r="LO136" s="1727">
        <f>(JY136+KD136+KI136)</f>
        <v>0</v>
      </c>
      <c r="LP136" s="151"/>
      <c r="LQ136" s="1860">
        <f>(KK136+KP136+KU136)/3</f>
        <v>0</v>
      </c>
      <c r="LR136" s="1727">
        <f>(KM136+KR136+KW136)</f>
        <v>0</v>
      </c>
      <c r="LS136" s="1727">
        <f>(KN136+KS136+KX136)</f>
        <v>0</v>
      </c>
      <c r="LT136" s="1861"/>
      <c r="LV136" s="439"/>
      <c r="LW136" s="208"/>
      <c r="LX136" s="208"/>
      <c r="LY136" s="96"/>
      <c r="LZ136" s="78"/>
      <c r="MA136" s="2087"/>
      <c r="MB136" s="1248"/>
      <c r="MC136" s="1248"/>
      <c r="MD136" s="2589"/>
      <c r="ME136" s="75"/>
      <c r="MF136" s="439"/>
      <c r="MG136" s="208">
        <v>0</v>
      </c>
      <c r="MH136" s="208">
        <v>0</v>
      </c>
      <c r="MI136" s="371">
        <v>0</v>
      </c>
      <c r="MJ136" s="157"/>
      <c r="MK136" s="354">
        <v>2</v>
      </c>
      <c r="ML136" s="208">
        <v>82374</v>
      </c>
      <c r="MM136" s="208">
        <v>120780</v>
      </c>
      <c r="MN136" s="371">
        <f>MM136-ML136</f>
        <v>38406</v>
      </c>
      <c r="MO136" s="157">
        <f>MN136/MM136</f>
        <v>0.3179831097863885</v>
      </c>
      <c r="MP136" s="1577">
        <v>4</v>
      </c>
      <c r="MQ136" s="1248">
        <v>117203</v>
      </c>
      <c r="MR136" s="1248">
        <v>165920</v>
      </c>
      <c r="MS136" s="1248">
        <f>MR136-MQ136</f>
        <v>48717</v>
      </c>
      <c r="MT136" s="655">
        <f>MS136/MR136</f>
        <v>0.29361740597878494</v>
      </c>
      <c r="MU136" s="209">
        <v>3</v>
      </c>
      <c r="MV136" s="208">
        <v>154167</v>
      </c>
      <c r="MW136" s="208">
        <v>271755</v>
      </c>
      <c r="MX136" s="208">
        <f>MW136-MV136</f>
        <v>117588</v>
      </c>
      <c r="MY136" s="655">
        <f>MX136/MW136</f>
        <v>0.43269857040348841</v>
      </c>
      <c r="MZ136" s="209">
        <v>3</v>
      </c>
      <c r="NA136" s="208">
        <v>154167</v>
      </c>
      <c r="NB136" s="208">
        <v>271755</v>
      </c>
      <c r="NC136" s="208">
        <f>NB136-NA136</f>
        <v>117588</v>
      </c>
      <c r="ND136" s="655">
        <f>NC136/NB136</f>
        <v>0.43269857040348841</v>
      </c>
      <c r="NE136" s="209">
        <v>3</v>
      </c>
      <c r="NF136" s="208">
        <v>154167</v>
      </c>
      <c r="NG136" s="208">
        <v>198860</v>
      </c>
      <c r="NH136" s="208">
        <f>NG136-NF136</f>
        <v>44693</v>
      </c>
      <c r="NI136" s="655">
        <f>NH136/NG136</f>
        <v>0.2247460524992457</v>
      </c>
      <c r="NJ136" s="209">
        <v>3</v>
      </c>
      <c r="NK136" s="208">
        <v>154167</v>
      </c>
      <c r="NL136" s="208">
        <v>174460</v>
      </c>
      <c r="NM136" s="208">
        <f>NL136-NK136</f>
        <v>20293</v>
      </c>
      <c r="NN136" s="655">
        <f>NM136/NL136</f>
        <v>0.11631892697466469</v>
      </c>
      <c r="NO136" s="357">
        <v>3</v>
      </c>
      <c r="NP136" s="358">
        <v>154167</v>
      </c>
      <c r="NQ136" s="358">
        <v>196420</v>
      </c>
      <c r="NR136" s="208">
        <f>NQ136-NP136</f>
        <v>42253</v>
      </c>
      <c r="NS136" s="655">
        <f>NR136/NQ136</f>
        <v>0.21511556867936055</v>
      </c>
      <c r="NT136" s="357">
        <v>3</v>
      </c>
      <c r="NU136" s="358">
        <v>154167</v>
      </c>
      <c r="NV136" s="358">
        <v>191845</v>
      </c>
      <c r="NW136" s="208">
        <f>NV136-NU136</f>
        <v>37678</v>
      </c>
      <c r="NX136" s="655">
        <f>NW136/NV136</f>
        <v>0.1963981339101879</v>
      </c>
      <c r="NY136" s="357">
        <v>3</v>
      </c>
      <c r="NZ136" s="358">
        <v>154167</v>
      </c>
      <c r="OA136" s="358">
        <v>198860</v>
      </c>
      <c r="OB136" s="772">
        <f>OA136-NZ136</f>
        <v>44693</v>
      </c>
      <c r="OC136" s="659">
        <f>OB136/OA136</f>
        <v>0.2247460524992457</v>
      </c>
      <c r="OD136" s="191">
        <v>3</v>
      </c>
      <c r="OE136" s="358">
        <f t="shared" ref="OE136:OG137" si="512">NZ136+NU136+NP136+NK136+NF136+NA136+MV136+MQ136+ML136+MG136+MB136+LW136</f>
        <v>1278746</v>
      </c>
      <c r="OF136" s="358">
        <f t="shared" si="512"/>
        <v>1790655</v>
      </c>
      <c r="OG136" s="358">
        <f t="shared" si="512"/>
        <v>511909</v>
      </c>
      <c r="OH136" s="220">
        <f>OG136/OF136</f>
        <v>0.28587807254887176</v>
      </c>
      <c r="OI136" s="1863">
        <f>(LV136+MA136+MF136)/3</f>
        <v>0</v>
      </c>
      <c r="OJ136" s="105">
        <f t="shared" ref="OJ136:OL137" si="513">LW136+MB136+MG136</f>
        <v>0</v>
      </c>
      <c r="OK136" s="105">
        <f t="shared" si="513"/>
        <v>0</v>
      </c>
      <c r="OL136" s="105">
        <f t="shared" si="513"/>
        <v>0</v>
      </c>
      <c r="OM136" s="106"/>
      <c r="ON136" s="358">
        <f>(MK136+MP136+MU136)/3</f>
        <v>3</v>
      </c>
      <c r="OO136" s="358">
        <f t="shared" ref="OO136:OQ137" si="514">ML136+MQ136+MV136</f>
        <v>353744</v>
      </c>
      <c r="OP136" s="358">
        <f t="shared" si="514"/>
        <v>558455</v>
      </c>
      <c r="OQ136" s="359">
        <f t="shared" si="514"/>
        <v>204711</v>
      </c>
      <c r="OR136" s="169">
        <f>OQ136/OP136</f>
        <v>0.36656668845296397</v>
      </c>
      <c r="OS136" s="686">
        <f>(NJ136+NE136+MZ136)/3</f>
        <v>3</v>
      </c>
      <c r="OT136" s="146">
        <f t="shared" ref="OT136:OV137" si="515">NK136+NF136+NA136</f>
        <v>462501</v>
      </c>
      <c r="OU136" s="146">
        <f t="shared" si="515"/>
        <v>645075</v>
      </c>
      <c r="OV136" s="1864">
        <f t="shared" si="515"/>
        <v>182574</v>
      </c>
      <c r="OW136" s="203">
        <f>OV136/OU136</f>
        <v>0.2830275549354726</v>
      </c>
      <c r="OX136" s="357">
        <v>3</v>
      </c>
      <c r="OY136" s="358">
        <f t="shared" ref="OY136:PA137" si="516">NP136+NU136+NZ136</f>
        <v>462501</v>
      </c>
      <c r="OZ136" s="358">
        <f t="shared" si="516"/>
        <v>587125</v>
      </c>
      <c r="PA136" s="359">
        <f t="shared" si="516"/>
        <v>124624</v>
      </c>
      <c r="PB136" s="114">
        <f>PA136/OZ136</f>
        <v>0.21226144347455822</v>
      </c>
      <c r="PC136" s="79"/>
      <c r="PD136" s="439">
        <v>3</v>
      </c>
      <c r="PE136" s="208">
        <v>154167</v>
      </c>
      <c r="PF136" s="208">
        <v>176900</v>
      </c>
      <c r="PG136" s="96">
        <f t="shared" si="484"/>
        <v>22733</v>
      </c>
      <c r="PH136" s="224">
        <f t="shared" si="485"/>
        <v>0.12850763143018654</v>
      </c>
      <c r="PI136" s="2087">
        <v>3</v>
      </c>
      <c r="PJ136" s="1248">
        <v>154167</v>
      </c>
      <c r="PK136" s="1248">
        <v>186965</v>
      </c>
      <c r="PL136" s="371">
        <f t="shared" si="474"/>
        <v>32798</v>
      </c>
      <c r="PM136" s="157">
        <f t="shared" si="486"/>
        <v>0.17542320755221566</v>
      </c>
      <c r="PN136" s="439"/>
      <c r="PO136" s="208">
        <v>0</v>
      </c>
      <c r="PP136" s="208">
        <v>0</v>
      </c>
      <c r="PQ136" s="371">
        <f t="shared" si="487"/>
        <v>0</v>
      </c>
      <c r="PR136" s="157" t="s">
        <v>68</v>
      </c>
      <c r="PS136" s="354"/>
      <c r="PT136" s="208"/>
      <c r="PU136" s="208"/>
      <c r="PV136" s="371"/>
      <c r="PW136" s="157"/>
      <c r="PX136" s="1577"/>
      <c r="PY136" s="1248"/>
      <c r="PZ136" s="1248"/>
      <c r="QA136" s="1248">
        <f>PZ136-PY136</f>
        <v>0</v>
      </c>
      <c r="QB136" s="655"/>
      <c r="QC136" s="209"/>
      <c r="QD136" s="208"/>
      <c r="QE136" s="208"/>
      <c r="QF136" s="208">
        <f t="shared" si="488"/>
        <v>0</v>
      </c>
      <c r="QG136" s="655"/>
      <c r="QH136" s="439"/>
      <c r="QI136" s="208"/>
      <c r="QJ136" s="208"/>
      <c r="QK136" s="208">
        <v>0</v>
      </c>
      <c r="QL136" s="655"/>
      <c r="QM136" s="439"/>
      <c r="QN136" s="208">
        <v>0</v>
      </c>
      <c r="QO136" s="208">
        <v>0</v>
      </c>
      <c r="QP136" s="208">
        <f t="shared" si="489"/>
        <v>0</v>
      </c>
      <c r="QQ136" s="2019"/>
      <c r="QR136" s="209"/>
      <c r="QS136" s="208"/>
      <c r="QT136" s="208"/>
      <c r="QU136" s="395">
        <f>QT136-QS136</f>
        <v>0</v>
      </c>
      <c r="QV136" s="77"/>
      <c r="QW136" s="209"/>
      <c r="QX136" s="208"/>
      <c r="QY136" s="994"/>
      <c r="QZ136" s="395">
        <f>QY136-QX136</f>
        <v>0</v>
      </c>
      <c r="RA136" s="207"/>
      <c r="RB136" s="357"/>
      <c r="RC136" s="358"/>
      <c r="RD136" s="358"/>
      <c r="RE136" s="208">
        <f t="shared" si="490"/>
        <v>0</v>
      </c>
      <c r="RF136" s="2578">
        <v>0</v>
      </c>
      <c r="RG136" s="1567"/>
      <c r="RH136" s="1568"/>
      <c r="RI136" s="1568"/>
      <c r="RJ136" s="2012">
        <f t="shared" si="491"/>
        <v>0</v>
      </c>
      <c r="RK136" s="659">
        <v>0</v>
      </c>
      <c r="RL136" s="1567"/>
      <c r="RM136" s="1568">
        <f t="shared" si="475"/>
        <v>308334</v>
      </c>
      <c r="RN136" s="1568">
        <f t="shared" si="475"/>
        <v>363865</v>
      </c>
      <c r="RO136" s="1568">
        <f t="shared" si="475"/>
        <v>55531</v>
      </c>
      <c r="RP136" s="220">
        <f t="shared" si="492"/>
        <v>0.15261429376279664</v>
      </c>
      <c r="RQ136" s="1863">
        <f t="shared" si="493"/>
        <v>2</v>
      </c>
      <c r="RR136" s="105">
        <f t="shared" si="494"/>
        <v>308334</v>
      </c>
      <c r="RS136" s="105">
        <f t="shared" si="494"/>
        <v>363865</v>
      </c>
      <c r="RT136" s="105">
        <f t="shared" si="494"/>
        <v>55531</v>
      </c>
      <c r="RU136" s="106">
        <f t="shared" si="495"/>
        <v>0.15261429376279664</v>
      </c>
      <c r="RV136" s="1868"/>
      <c r="RW136" s="358">
        <f t="shared" si="476"/>
        <v>0</v>
      </c>
      <c r="RX136" s="358">
        <f t="shared" si="476"/>
        <v>0</v>
      </c>
      <c r="RY136" s="359">
        <f t="shared" si="476"/>
        <v>0</v>
      </c>
      <c r="RZ136" s="169"/>
      <c r="SA136" s="686"/>
      <c r="SB136" s="146">
        <f t="shared" si="477"/>
        <v>0</v>
      </c>
      <c r="SC136" s="146">
        <f t="shared" si="477"/>
        <v>0</v>
      </c>
      <c r="SD136" s="1864">
        <f t="shared" si="477"/>
        <v>0</v>
      </c>
      <c r="SE136" s="203"/>
      <c r="SF136" s="1567"/>
      <c r="SG136" s="358">
        <f t="shared" si="478"/>
        <v>0</v>
      </c>
      <c r="SH136" s="358">
        <f t="shared" si="478"/>
        <v>0</v>
      </c>
      <c r="SI136" s="359">
        <f t="shared" si="478"/>
        <v>0</v>
      </c>
      <c r="SJ136" s="114">
        <v>0</v>
      </c>
      <c r="SL136" s="405"/>
      <c r="SM136" s="1575"/>
      <c r="SN136" s="1575"/>
      <c r="SO136" s="3523">
        <f t="shared" si="496"/>
        <v>0</v>
      </c>
      <c r="SP136" s="3643">
        <v>0</v>
      </c>
      <c r="SQ136" s="3645"/>
      <c r="SR136" s="2897"/>
      <c r="SS136" s="2897"/>
      <c r="ST136" s="1707">
        <f t="shared" si="479"/>
        <v>0</v>
      </c>
      <c r="SU136" s="1867" t="e">
        <f>ST136/SS136</f>
        <v>#DIV/0!</v>
      </c>
      <c r="SV136" s="439"/>
      <c r="SW136" s="208"/>
      <c r="SX136" s="994"/>
      <c r="SY136" s="96">
        <f t="shared" si="497"/>
        <v>0</v>
      </c>
      <c r="SZ136" s="94" t="s">
        <v>68</v>
      </c>
      <c r="TA136" s="354"/>
      <c r="TB136" s="208"/>
      <c r="TC136" s="994"/>
      <c r="TD136" s="96">
        <f t="shared" si="498"/>
        <v>0</v>
      </c>
      <c r="TE136" s="94"/>
      <c r="TF136" s="2573"/>
      <c r="TG136" s="395"/>
      <c r="TH136" s="395"/>
      <c r="TI136" s="208">
        <f t="shared" si="480"/>
        <v>0</v>
      </c>
      <c r="TJ136" s="116"/>
      <c r="TK136" s="209"/>
      <c r="TL136" s="208"/>
      <c r="TM136" s="208"/>
      <c r="TN136" s="208">
        <f t="shared" si="499"/>
        <v>0</v>
      </c>
      <c r="TO136" s="114"/>
      <c r="TP136" s="4432"/>
      <c r="TQ136" s="208"/>
      <c r="TR136" s="208"/>
      <c r="TS136" s="994">
        <v>0</v>
      </c>
      <c r="TT136" s="116"/>
      <c r="TU136" s="4506"/>
      <c r="TV136" s="1575"/>
      <c r="TW136" s="1575"/>
      <c r="TX136" s="1575"/>
      <c r="TY136" s="2019"/>
      <c r="TZ136" s="1868"/>
      <c r="UA136" s="1575"/>
      <c r="UB136" s="1575"/>
      <c r="UC136" s="2001"/>
      <c r="UD136" s="6056"/>
      <c r="UE136" s="1868"/>
      <c r="UF136" s="1575"/>
      <c r="UG136" s="2552"/>
      <c r="UH136" s="2001"/>
      <c r="UI136" s="370"/>
      <c r="UJ136" s="357"/>
      <c r="UK136" s="358"/>
      <c r="UL136" s="358"/>
      <c r="UM136" s="208"/>
      <c r="UN136" s="2578"/>
      <c r="UO136" s="1567"/>
      <c r="UP136" s="1568"/>
      <c r="UQ136" s="1568"/>
      <c r="UR136" s="2012"/>
      <c r="US136" s="659"/>
      <c r="UT136" s="1567"/>
      <c r="UU136" s="358"/>
      <c r="UV136" s="358"/>
      <c r="UW136" s="358"/>
      <c r="UX136" s="220"/>
      <c r="UY136" s="1863">
        <f t="shared" si="500"/>
        <v>0</v>
      </c>
      <c r="UZ136" s="105">
        <f t="shared" si="501"/>
        <v>0</v>
      </c>
      <c r="VA136" s="105">
        <f t="shared" si="501"/>
        <v>0</v>
      </c>
      <c r="VB136" s="105">
        <f t="shared" si="501"/>
        <v>0</v>
      </c>
      <c r="VC136" s="106" t="e">
        <f t="shared" si="502"/>
        <v>#DIV/0!</v>
      </c>
      <c r="VD136" s="1868"/>
      <c r="VE136" s="358">
        <f t="shared" si="481"/>
        <v>0</v>
      </c>
      <c r="VF136" s="358">
        <f t="shared" si="481"/>
        <v>0</v>
      </c>
      <c r="VG136" s="359">
        <f t="shared" si="481"/>
        <v>0</v>
      </c>
      <c r="VH136" s="169"/>
      <c r="VI136" s="686"/>
      <c r="VJ136" s="146">
        <f t="shared" si="482"/>
        <v>0</v>
      </c>
      <c r="VK136" s="146">
        <f t="shared" si="482"/>
        <v>0</v>
      </c>
      <c r="VL136" s="1864">
        <f t="shared" si="482"/>
        <v>0</v>
      </c>
      <c r="VM136" s="203"/>
      <c r="VN136" s="1567"/>
      <c r="VO136" s="358">
        <f t="shared" si="483"/>
        <v>0</v>
      </c>
      <c r="VP136" s="358">
        <f t="shared" si="483"/>
        <v>0</v>
      </c>
      <c r="VQ136" s="359">
        <f t="shared" si="483"/>
        <v>0</v>
      </c>
      <c r="VR136" s="114">
        <v>0</v>
      </c>
    </row>
    <row r="137" spans="1:590" s="1193" customFormat="1" ht="13.45" hidden="1" x14ac:dyDescent="0.3">
      <c r="A137" s="1297"/>
      <c r="B137" s="1773" t="s">
        <v>84</v>
      </c>
      <c r="C137" s="2060" t="s">
        <v>97</v>
      </c>
      <c r="D137" s="2061" t="s">
        <v>99</v>
      </c>
      <c r="E137" s="2086">
        <v>44743</v>
      </c>
      <c r="F137" s="2086">
        <v>45107</v>
      </c>
      <c r="G137" s="1994">
        <v>0</v>
      </c>
      <c r="H137" s="1874"/>
      <c r="I137" s="1875"/>
      <c r="J137" s="1875"/>
      <c r="K137" s="1875"/>
      <c r="L137" s="1876"/>
      <c r="M137" s="1874"/>
      <c r="N137" s="1875"/>
      <c r="O137" s="1875"/>
      <c r="P137" s="1875"/>
      <c r="Q137" s="1876"/>
      <c r="R137" s="1874"/>
      <c r="S137" s="1875"/>
      <c r="T137" s="1875"/>
      <c r="U137" s="1875"/>
      <c r="V137" s="1876"/>
      <c r="W137" s="1874"/>
      <c r="X137" s="1875"/>
      <c r="Y137" s="1875"/>
      <c r="Z137" s="1875"/>
      <c r="AA137" s="1877"/>
      <c r="AB137" s="1874"/>
      <c r="AC137" s="1875"/>
      <c r="AD137" s="1875"/>
      <c r="AE137" s="1875"/>
      <c r="AF137" s="1877"/>
      <c r="AG137" s="1875"/>
      <c r="AH137" s="1875"/>
      <c r="AI137" s="1875"/>
      <c r="AJ137" s="1875"/>
      <c r="AK137" s="1876"/>
      <c r="AL137" s="1875"/>
      <c r="AM137" s="1875"/>
      <c r="AN137" s="1875"/>
      <c r="AO137" s="1875"/>
      <c r="AP137" s="1876"/>
      <c r="AQ137" s="1875"/>
      <c r="AR137" s="1875"/>
      <c r="AS137" s="1875"/>
      <c r="AT137" s="1875"/>
      <c r="AU137" s="1876"/>
      <c r="AV137" s="1878"/>
      <c r="AW137" s="1875"/>
      <c r="AX137" s="1875"/>
      <c r="AY137" s="1875"/>
      <c r="AZ137" s="1877"/>
      <c r="BA137" s="1878"/>
      <c r="BB137" s="1875"/>
      <c r="BC137" s="1875"/>
      <c r="BD137" s="1875"/>
      <c r="BE137" s="1877"/>
      <c r="BF137" s="1878"/>
      <c r="BG137" s="1875"/>
      <c r="BH137" s="1875"/>
      <c r="BI137" s="1875"/>
      <c r="BJ137" s="1877"/>
      <c r="BK137" s="1878"/>
      <c r="BL137" s="1875"/>
      <c r="BM137" s="1875"/>
      <c r="BN137" s="1875"/>
      <c r="BO137" s="1877"/>
      <c r="BP137" s="1879"/>
      <c r="BQ137" s="1875"/>
      <c r="BR137" s="1875"/>
      <c r="BS137" s="1875"/>
      <c r="BT137" s="1880"/>
      <c r="BU137" s="1875"/>
      <c r="BV137" s="1875"/>
      <c r="BW137" s="1881"/>
      <c r="BX137" s="1880"/>
      <c r="BY137" s="1875"/>
      <c r="BZ137" s="1875"/>
      <c r="CA137" s="1882"/>
      <c r="CB137" s="1875"/>
      <c r="CC137" s="1875"/>
      <c r="CD137" s="1875"/>
      <c r="CE137" s="1875"/>
      <c r="CF137" s="1880"/>
      <c r="CG137" s="1875"/>
      <c r="CH137" s="1875"/>
      <c r="CI137" s="1882"/>
      <c r="CJ137" s="1883"/>
      <c r="CK137" s="1875"/>
      <c r="CL137" s="1875"/>
      <c r="CM137" s="1875"/>
      <c r="CN137" s="1881"/>
      <c r="CO137" s="1883"/>
      <c r="CP137" s="1874"/>
      <c r="CQ137" s="1874"/>
      <c r="CR137" s="1874"/>
      <c r="CS137" s="1881"/>
      <c r="CT137" s="1883"/>
      <c r="CU137" s="1875"/>
      <c r="CV137" s="1875"/>
      <c r="CW137" s="1875"/>
      <c r="CX137" s="1881"/>
      <c r="CY137" s="1883"/>
      <c r="CZ137" s="1875"/>
      <c r="DA137" s="1875"/>
      <c r="DB137" s="1875"/>
      <c r="DC137" s="1881"/>
      <c r="DD137" s="1883"/>
      <c r="DE137" s="1875"/>
      <c r="DF137" s="1875"/>
      <c r="DG137" s="1875"/>
      <c r="DH137" s="1884"/>
      <c r="DI137" s="1883"/>
      <c r="DJ137" s="1875"/>
      <c r="DK137" s="1875"/>
      <c r="DL137" s="1875"/>
      <c r="DM137" s="1884"/>
      <c r="DN137" s="1883"/>
      <c r="DO137" s="1875"/>
      <c r="DP137" s="1875"/>
      <c r="DQ137" s="1875"/>
      <c r="DR137" s="1884"/>
      <c r="DS137" s="1883"/>
      <c r="DT137" s="1875"/>
      <c r="DU137" s="1875"/>
      <c r="DV137" s="1875"/>
      <c r="DW137" s="1884"/>
      <c r="DX137" s="1883"/>
      <c r="DY137" s="1875"/>
      <c r="DZ137" s="1875"/>
      <c r="EA137" s="1875"/>
      <c r="EB137" s="1884"/>
      <c r="EC137" s="1883"/>
      <c r="ED137" s="1875"/>
      <c r="EE137" s="1875"/>
      <c r="EF137" s="1875"/>
      <c r="EG137" s="1884"/>
      <c r="EH137" s="1885"/>
      <c r="EI137" s="1886"/>
      <c r="EJ137" s="1886"/>
      <c r="EK137" s="1886"/>
      <c r="EL137" s="1887"/>
      <c r="EM137" s="1888"/>
      <c r="EN137" s="1889"/>
      <c r="EO137" s="1889"/>
      <c r="EP137" s="1889"/>
      <c r="EQ137" s="166"/>
      <c r="ER137" s="1713">
        <f>(CJ137+CO137+CT137+CY137+DD137+DI137+DN137+DS137+DX137+EC137+EH137+EM137)/12</f>
        <v>0</v>
      </c>
      <c r="ES137" s="1714">
        <f t="shared" si="509"/>
        <v>0</v>
      </c>
      <c r="ET137" s="1714">
        <f t="shared" si="509"/>
        <v>0</v>
      </c>
      <c r="EU137" s="1714">
        <f t="shared" si="509"/>
        <v>0</v>
      </c>
      <c r="EV137" s="1715" t="e">
        <f>EU137/ET137</f>
        <v>#DIV/0!</v>
      </c>
      <c r="EW137" s="1890"/>
      <c r="EX137" s="1890"/>
      <c r="EY137" s="1890"/>
      <c r="EZ137" s="1891"/>
      <c r="FA137" s="1885"/>
      <c r="FB137" s="1890"/>
      <c r="FC137" s="1890"/>
      <c r="FD137" s="1892"/>
      <c r="FE137" s="1890"/>
      <c r="FF137" s="1890"/>
      <c r="FG137" s="1890"/>
      <c r="FH137" s="1891"/>
      <c r="FI137" s="1893"/>
      <c r="FJ137" s="1894"/>
      <c r="FK137" s="1895"/>
      <c r="FL137" s="1895"/>
      <c r="FM137" s="1896"/>
      <c r="FN137" s="1890"/>
      <c r="FO137" s="1886"/>
      <c r="FP137" s="1886"/>
      <c r="FQ137" s="1886"/>
      <c r="FR137" s="1897"/>
      <c r="FS137" s="1888"/>
      <c r="FT137" s="1889"/>
      <c r="FU137" s="1889"/>
      <c r="FV137" s="1889"/>
      <c r="FW137" s="1898"/>
      <c r="FX137" s="1885"/>
      <c r="FY137" s="1886"/>
      <c r="FZ137" s="1886"/>
      <c r="GA137" s="1889"/>
      <c r="GB137" s="1898"/>
      <c r="GC137" s="1899"/>
      <c r="GD137" s="1900"/>
      <c r="GE137" s="1900"/>
      <c r="GF137" s="1889"/>
      <c r="GG137" s="166"/>
      <c r="GH137" s="1901"/>
      <c r="GI137" s="1824"/>
      <c r="GJ137" s="1824"/>
      <c r="GK137" s="1902"/>
      <c r="GL137" s="1898"/>
      <c r="GM137" s="1901"/>
      <c r="GN137" s="1824"/>
      <c r="GO137" s="1824"/>
      <c r="GP137" s="1902"/>
      <c r="GQ137" s="1898"/>
      <c r="GR137" s="1903"/>
      <c r="GS137" s="1904"/>
      <c r="GT137" s="1904"/>
      <c r="GU137" s="1902"/>
      <c r="GV137" s="1898"/>
      <c r="GW137" s="1903"/>
      <c r="GX137" s="1904"/>
      <c r="GY137" s="1904"/>
      <c r="GZ137" s="1902"/>
      <c r="HA137" s="1898"/>
      <c r="HB137" s="1903"/>
      <c r="HC137" s="1904"/>
      <c r="HD137" s="1904"/>
      <c r="HE137" s="1902"/>
      <c r="HF137" s="1898"/>
      <c r="HG137" s="1903"/>
      <c r="HH137" s="1904"/>
      <c r="HI137" s="1904"/>
      <c r="HJ137" s="1818"/>
      <c r="HK137" s="1898"/>
      <c r="HL137" s="1903"/>
      <c r="HM137" s="1904"/>
      <c r="HN137" s="1904"/>
      <c r="HO137" s="715"/>
      <c r="HP137" s="166"/>
      <c r="HQ137" s="2587"/>
      <c r="HR137" s="1916"/>
      <c r="HS137" s="1916"/>
      <c r="HT137" s="1916"/>
      <c r="HU137" s="2588"/>
      <c r="HV137" s="2008">
        <f>(FN137+FS137+FX137+GC137+GH137+GM137+GR137+GW137+HB137+HG137+HL137+HQ137)/12</f>
        <v>0</v>
      </c>
      <c r="HW137" s="208">
        <f t="shared" si="510"/>
        <v>0</v>
      </c>
      <c r="HX137" s="208">
        <f t="shared" si="510"/>
        <v>0</v>
      </c>
      <c r="HY137" s="208">
        <f t="shared" si="510"/>
        <v>0</v>
      </c>
      <c r="HZ137" s="2009"/>
      <c r="IA137" s="1907"/>
      <c r="IB137" s="1908"/>
      <c r="IC137" s="1908"/>
      <c r="ID137" s="1909"/>
      <c r="IE137" s="1910"/>
      <c r="IF137" s="1911"/>
      <c r="IG137" s="1912"/>
      <c r="IH137" s="1909"/>
      <c r="II137" s="1835"/>
      <c r="IJ137" s="1836"/>
      <c r="IK137" s="1836"/>
      <c r="IL137" s="693"/>
      <c r="IM137" s="1913"/>
      <c r="IN137" s="1836"/>
      <c r="IO137" s="1836"/>
      <c r="IP137" s="1838"/>
      <c r="IQ137" s="1914"/>
      <c r="IR137" s="1915"/>
      <c r="IS137" s="1916"/>
      <c r="IT137" s="1916"/>
      <c r="IU137" s="1917"/>
      <c r="IV137" s="1918"/>
      <c r="IW137" s="1919"/>
      <c r="IX137" s="1920"/>
      <c r="IY137" s="1921"/>
      <c r="IZ137" s="1719"/>
      <c r="JA137" s="1721"/>
      <c r="JB137" s="1922"/>
      <c r="JC137" s="1923"/>
      <c r="JD137" s="1924"/>
      <c r="JE137" s="1719"/>
      <c r="JF137" s="1721"/>
      <c r="JG137" s="1847"/>
      <c r="JH137" s="1096"/>
      <c r="JI137" s="1096"/>
      <c r="JJ137" s="1756"/>
      <c r="JK137" s="1721"/>
      <c r="JL137" s="1927"/>
      <c r="JM137" s="1096"/>
      <c r="JN137" s="1096"/>
      <c r="JO137" s="1843"/>
      <c r="JP137" s="1721"/>
      <c r="JQ137" s="2546"/>
      <c r="JR137" s="2547"/>
      <c r="JS137" s="2548"/>
      <c r="JT137" s="2549"/>
      <c r="JU137" s="2550"/>
      <c r="JV137" s="1849"/>
      <c r="JW137" s="1119"/>
      <c r="JX137" s="1850"/>
      <c r="JY137" s="823"/>
      <c r="JZ137" s="1721"/>
      <c r="KA137" s="1846"/>
      <c r="KB137" s="264"/>
      <c r="KC137" s="264"/>
      <c r="KD137" s="964"/>
      <c r="KE137" s="1848"/>
      <c r="KF137" s="1849"/>
      <c r="KG137" s="1850"/>
      <c r="KH137" s="1850"/>
      <c r="KI137" s="1719"/>
      <c r="KJ137" s="1721"/>
      <c r="KK137" s="1849"/>
      <c r="KL137" s="1850"/>
      <c r="KM137" s="1850"/>
      <c r="KN137" s="1851"/>
      <c r="KO137" s="1852"/>
      <c r="KP137" s="2551"/>
      <c r="KQ137" s="972"/>
      <c r="KR137" s="264"/>
      <c r="KS137" s="1845"/>
      <c r="KT137" s="1720"/>
      <c r="KU137" s="1853"/>
      <c r="KV137" s="264">
        <v>0</v>
      </c>
      <c r="KW137" s="264">
        <v>0</v>
      </c>
      <c r="KX137" s="264">
        <f>KW137-KV137</f>
        <v>0</v>
      </c>
      <c r="KY137" s="75"/>
      <c r="KZ137" s="1857">
        <f>(IR137+IW137+JB137+JG137+JL137+JQ137+JV137+KA137+KF137+KK137+KP137+KU137)/12</f>
        <v>0</v>
      </c>
      <c r="LA137" s="358">
        <f t="shared" si="511"/>
        <v>0</v>
      </c>
      <c r="LB137" s="358">
        <f t="shared" si="511"/>
        <v>0</v>
      </c>
      <c r="LC137" s="358">
        <f t="shared" si="511"/>
        <v>0</v>
      </c>
      <c r="LD137" s="151"/>
      <c r="LE137" s="1854">
        <f>(IR137+IW137+JB137)/3</f>
        <v>0</v>
      </c>
      <c r="LF137" s="1855">
        <f>IT137+IY137+JD137</f>
        <v>0</v>
      </c>
      <c r="LG137" s="1855">
        <f>IU137+IZ137+JE137</f>
        <v>0</v>
      </c>
      <c r="LH137" s="1856" t="e">
        <f>LG137/LF137</f>
        <v>#DIV/0!</v>
      </c>
      <c r="LI137" s="1857">
        <f>(JG137+JL137+JQ137)/3</f>
        <v>0</v>
      </c>
      <c r="LJ137" s="1858">
        <f>(JI137+JN137+JS137)</f>
        <v>0</v>
      </c>
      <c r="LK137" s="1854">
        <f>(JJ137+JO137+JT137)</f>
        <v>0</v>
      </c>
      <c r="LL137" s="1856"/>
      <c r="LM137" s="1859">
        <f>(JV137+KA137+KF137)/3</f>
        <v>0</v>
      </c>
      <c r="LN137" s="1727">
        <f>(JX137+KC137+KH137)</f>
        <v>0</v>
      </c>
      <c r="LO137" s="1727">
        <f>(JY137+KD137+KI137)</f>
        <v>0</v>
      </c>
      <c r="LP137" s="151"/>
      <c r="LQ137" s="1860">
        <f>(KK137+KP137+KU137)/3</f>
        <v>0</v>
      </c>
      <c r="LR137" s="1727">
        <f>(KM137+KR137+KW137)</f>
        <v>0</v>
      </c>
      <c r="LS137" s="1727">
        <f>(KN137+KS137+KX137)</f>
        <v>0</v>
      </c>
      <c r="LT137" s="1861"/>
      <c r="LV137" s="439"/>
      <c r="LW137" s="208"/>
      <c r="LX137" s="208"/>
      <c r="LY137" s="96"/>
      <c r="LZ137" s="78"/>
      <c r="MA137" s="2087"/>
      <c r="MB137" s="1248"/>
      <c r="MC137" s="1248"/>
      <c r="MD137" s="2589"/>
      <c r="ME137" s="75"/>
      <c r="MF137" s="439"/>
      <c r="MG137" s="208">
        <v>0</v>
      </c>
      <c r="MH137" s="208">
        <v>0</v>
      </c>
      <c r="MI137" s="371">
        <v>0</v>
      </c>
      <c r="MJ137" s="157"/>
      <c r="MK137" s="354">
        <v>3</v>
      </c>
      <c r="ML137" s="208">
        <v>62354</v>
      </c>
      <c r="MM137" s="208">
        <v>136404</v>
      </c>
      <c r="MN137" s="371">
        <f>MM137-ML137</f>
        <v>74050</v>
      </c>
      <c r="MO137" s="157">
        <f>MN137/MM137</f>
        <v>0.54287264303099614</v>
      </c>
      <c r="MP137" s="1579">
        <v>5</v>
      </c>
      <c r="MQ137" s="264">
        <v>114830</v>
      </c>
      <c r="MR137" s="264">
        <v>149688</v>
      </c>
      <c r="MS137" s="264">
        <f>MR137-MQ137</f>
        <v>34858</v>
      </c>
      <c r="MT137" s="597">
        <f>MS137/MR137</f>
        <v>0.23287103842659398</v>
      </c>
      <c r="MU137" s="209">
        <v>6</v>
      </c>
      <c r="MV137" s="208">
        <v>152330</v>
      </c>
      <c r="MW137" s="208">
        <v>207684</v>
      </c>
      <c r="MX137" s="208">
        <f>MW137-MV137</f>
        <v>55354</v>
      </c>
      <c r="MY137" s="597">
        <f>MX137/MW137</f>
        <v>0.26652992045607748</v>
      </c>
      <c r="MZ137" s="209">
        <v>6</v>
      </c>
      <c r="NA137" s="208">
        <v>152334</v>
      </c>
      <c r="NB137" s="208">
        <v>207684</v>
      </c>
      <c r="NC137" s="208">
        <f>NB137-NA137</f>
        <v>55350</v>
      </c>
      <c r="ND137" s="597">
        <f>NC137/NB137</f>
        <v>0.26651066042641708</v>
      </c>
      <c r="NE137" s="209">
        <v>7</v>
      </c>
      <c r="NF137" s="208">
        <v>187916</v>
      </c>
      <c r="NG137" s="208">
        <v>246888</v>
      </c>
      <c r="NH137" s="208">
        <f>NG137-NF137</f>
        <v>58972</v>
      </c>
      <c r="NI137" s="597">
        <f>NH137/NG137</f>
        <v>0.23886134603544928</v>
      </c>
      <c r="NJ137" s="209">
        <v>7</v>
      </c>
      <c r="NK137" s="208">
        <v>202330</v>
      </c>
      <c r="NL137" s="208">
        <v>263736</v>
      </c>
      <c r="NM137" s="208">
        <f>NL137-NK137</f>
        <v>61406</v>
      </c>
      <c r="NN137" s="597">
        <f>NM137/NL137</f>
        <v>0.2328313161646495</v>
      </c>
      <c r="NO137" s="357">
        <v>7</v>
      </c>
      <c r="NP137" s="358">
        <v>177582</v>
      </c>
      <c r="NQ137" s="358">
        <v>263736</v>
      </c>
      <c r="NR137" s="208">
        <f>NQ137-NP137</f>
        <v>86154</v>
      </c>
      <c r="NS137" s="597">
        <f>NR137/NQ137</f>
        <v>0.32666757666757668</v>
      </c>
      <c r="NT137" s="357">
        <v>7</v>
      </c>
      <c r="NU137" s="358">
        <v>209530</v>
      </c>
      <c r="NV137" s="358">
        <v>293868</v>
      </c>
      <c r="NW137" s="208">
        <f>NV137-NU137</f>
        <v>84338</v>
      </c>
      <c r="NX137" s="597">
        <f>NW137/NV137</f>
        <v>0.28699279948820561</v>
      </c>
      <c r="NY137" s="357">
        <v>7</v>
      </c>
      <c r="NZ137" s="358">
        <v>202330</v>
      </c>
      <c r="OA137" s="358">
        <v>264060</v>
      </c>
      <c r="OB137" s="772">
        <f>OA137-NZ137</f>
        <v>61730</v>
      </c>
      <c r="OC137" s="659">
        <f>OB137/OA137</f>
        <v>0.23377262743315913</v>
      </c>
      <c r="OD137" s="191">
        <v>7</v>
      </c>
      <c r="OE137" s="358">
        <f t="shared" si="512"/>
        <v>1461536</v>
      </c>
      <c r="OF137" s="358">
        <f t="shared" si="512"/>
        <v>2033748</v>
      </c>
      <c r="OG137" s="358">
        <f t="shared" si="512"/>
        <v>572212</v>
      </c>
      <c r="OH137" s="220">
        <f>OG137/OF137</f>
        <v>0.28135835904940043</v>
      </c>
      <c r="OI137" s="1863">
        <f>(LV137+MA137+MF137)/3</f>
        <v>0</v>
      </c>
      <c r="OJ137" s="105">
        <f t="shared" si="513"/>
        <v>0</v>
      </c>
      <c r="OK137" s="105">
        <f t="shared" si="513"/>
        <v>0</v>
      </c>
      <c r="OL137" s="105">
        <f t="shared" si="513"/>
        <v>0</v>
      </c>
      <c r="OM137" s="106"/>
      <c r="ON137" s="358">
        <f>(MK137+MP137+MU137)/3</f>
        <v>4.666666666666667</v>
      </c>
      <c r="OO137" s="358">
        <f t="shared" si="514"/>
        <v>329514</v>
      </c>
      <c r="OP137" s="358">
        <f t="shared" si="514"/>
        <v>493776</v>
      </c>
      <c r="OQ137" s="359">
        <f t="shared" si="514"/>
        <v>164262</v>
      </c>
      <c r="OR137" s="169">
        <f>OQ137/OP137</f>
        <v>0.33266501409546029</v>
      </c>
      <c r="OS137" s="686">
        <f>(NJ137+NE137+MZ137)/3</f>
        <v>6.666666666666667</v>
      </c>
      <c r="OT137" s="146">
        <f t="shared" si="515"/>
        <v>542580</v>
      </c>
      <c r="OU137" s="146">
        <f t="shared" si="515"/>
        <v>718308</v>
      </c>
      <c r="OV137" s="1864">
        <f t="shared" si="515"/>
        <v>175728</v>
      </c>
      <c r="OW137" s="203">
        <f>OV137/OU137</f>
        <v>0.24464157436642778</v>
      </c>
      <c r="OX137" s="357">
        <v>7</v>
      </c>
      <c r="OY137" s="358">
        <f t="shared" si="516"/>
        <v>589442</v>
      </c>
      <c r="OZ137" s="358">
        <f t="shared" si="516"/>
        <v>821664</v>
      </c>
      <c r="PA137" s="359">
        <f t="shared" si="516"/>
        <v>232222</v>
      </c>
      <c r="PB137" s="114">
        <f>PA137/OZ137</f>
        <v>0.28262404097051835</v>
      </c>
      <c r="PC137" s="79"/>
      <c r="PD137" s="439">
        <v>6</v>
      </c>
      <c r="PE137" s="208">
        <v>224724</v>
      </c>
      <c r="PF137" s="208">
        <v>324000</v>
      </c>
      <c r="PG137" s="96">
        <f t="shared" si="484"/>
        <v>99276</v>
      </c>
      <c r="PH137" s="224">
        <f t="shared" si="485"/>
        <v>0.30640740740740741</v>
      </c>
      <c r="PI137" s="1862">
        <v>6</v>
      </c>
      <c r="PJ137" s="265">
        <v>152683</v>
      </c>
      <c r="PK137" s="265">
        <v>218000</v>
      </c>
      <c r="PL137" s="371">
        <f t="shared" si="474"/>
        <v>65317</v>
      </c>
      <c r="PM137" s="157">
        <f t="shared" si="486"/>
        <v>0.29961926605504585</v>
      </c>
      <c r="PN137" s="439">
        <v>6</v>
      </c>
      <c r="PO137" s="208">
        <v>160669</v>
      </c>
      <c r="PP137" s="208">
        <v>218000</v>
      </c>
      <c r="PQ137" s="371">
        <f t="shared" si="487"/>
        <v>57331</v>
      </c>
      <c r="PR137" s="157">
        <f>PQ137/PP137</f>
        <v>0.26298623853211012</v>
      </c>
      <c r="PS137" s="2573"/>
      <c r="PT137" s="395"/>
      <c r="PU137" s="395"/>
      <c r="PV137" s="372">
        <f>PU137-PT137</f>
        <v>0</v>
      </c>
      <c r="PW137" s="2590">
        <v>0</v>
      </c>
      <c r="PX137" s="1579"/>
      <c r="PY137" s="264"/>
      <c r="PZ137" s="264"/>
      <c r="QA137" s="264">
        <f>PZ137-PY137</f>
        <v>0</v>
      </c>
      <c r="QB137" s="597"/>
      <c r="QC137" s="209"/>
      <c r="QD137" s="208"/>
      <c r="QE137" s="208"/>
      <c r="QF137" s="208">
        <f t="shared" si="488"/>
        <v>0</v>
      </c>
      <c r="QG137" s="597"/>
      <c r="QH137" s="439"/>
      <c r="QI137" s="208"/>
      <c r="QJ137" s="208"/>
      <c r="QK137" s="208">
        <v>0</v>
      </c>
      <c r="QL137" s="597"/>
      <c r="QM137" s="439"/>
      <c r="QN137" s="208">
        <v>0</v>
      </c>
      <c r="QO137" s="208">
        <v>0</v>
      </c>
      <c r="QP137" s="208">
        <f t="shared" si="489"/>
        <v>0</v>
      </c>
      <c r="QQ137" s="1869"/>
      <c r="QR137" s="209"/>
      <c r="QS137" s="208"/>
      <c r="QT137" s="208"/>
      <c r="QU137" s="395">
        <f>QT137-QS137</f>
        <v>0</v>
      </c>
      <c r="QV137" s="75"/>
      <c r="QW137" s="209"/>
      <c r="QX137" s="208"/>
      <c r="QY137" s="994"/>
      <c r="QZ137" s="395">
        <f>QY137-QX137</f>
        <v>0</v>
      </c>
      <c r="RA137" s="157"/>
      <c r="RB137" s="357"/>
      <c r="RC137" s="358"/>
      <c r="RD137" s="358"/>
      <c r="RE137" s="208">
        <f t="shared" si="490"/>
        <v>0</v>
      </c>
      <c r="RF137" s="2578">
        <v>0</v>
      </c>
      <c r="RG137" s="1567"/>
      <c r="RH137" s="1568"/>
      <c r="RI137" s="1568"/>
      <c r="RJ137" s="2012">
        <f t="shared" si="491"/>
        <v>0</v>
      </c>
      <c r="RK137" s="659">
        <v>0</v>
      </c>
      <c r="RL137" s="1567"/>
      <c r="RM137" s="1568">
        <f t="shared" si="475"/>
        <v>538076</v>
      </c>
      <c r="RN137" s="1568">
        <f t="shared" si="475"/>
        <v>760000</v>
      </c>
      <c r="RO137" s="1568">
        <f t="shared" si="475"/>
        <v>221924</v>
      </c>
      <c r="RP137" s="220">
        <f t="shared" si="492"/>
        <v>0.29200526315789471</v>
      </c>
      <c r="RQ137" s="1863">
        <f t="shared" si="493"/>
        <v>6</v>
      </c>
      <c r="RR137" s="105">
        <f t="shared" si="494"/>
        <v>538076</v>
      </c>
      <c r="RS137" s="105">
        <f t="shared" si="494"/>
        <v>760000</v>
      </c>
      <c r="RT137" s="105">
        <f t="shared" si="494"/>
        <v>221924</v>
      </c>
      <c r="RU137" s="106">
        <f t="shared" si="495"/>
        <v>0.29200526315789471</v>
      </c>
      <c r="RV137" s="1868"/>
      <c r="RW137" s="358">
        <f t="shared" si="476"/>
        <v>0</v>
      </c>
      <c r="RX137" s="358">
        <f t="shared" si="476"/>
        <v>0</v>
      </c>
      <c r="RY137" s="359">
        <f t="shared" si="476"/>
        <v>0</v>
      </c>
      <c r="RZ137" s="169"/>
      <c r="SA137" s="686"/>
      <c r="SB137" s="146">
        <f t="shared" si="477"/>
        <v>0</v>
      </c>
      <c r="SC137" s="146">
        <f t="shared" si="477"/>
        <v>0</v>
      </c>
      <c r="SD137" s="1864">
        <f t="shared" si="477"/>
        <v>0</v>
      </c>
      <c r="SE137" s="203"/>
      <c r="SF137" s="1567"/>
      <c r="SG137" s="358">
        <f t="shared" si="478"/>
        <v>0</v>
      </c>
      <c r="SH137" s="358">
        <f t="shared" si="478"/>
        <v>0</v>
      </c>
      <c r="SI137" s="359">
        <f t="shared" si="478"/>
        <v>0</v>
      </c>
      <c r="SJ137" s="114">
        <v>0</v>
      </c>
      <c r="SL137" s="405"/>
      <c r="SM137" s="1575"/>
      <c r="SN137" s="1575"/>
      <c r="SO137" s="3523">
        <f t="shared" si="496"/>
        <v>0</v>
      </c>
      <c r="SP137" s="3524">
        <v>0</v>
      </c>
      <c r="SQ137" s="3555"/>
      <c r="SR137" s="2015"/>
      <c r="SS137" s="2015"/>
      <c r="ST137" s="1707">
        <f t="shared" si="479"/>
        <v>0</v>
      </c>
      <c r="SU137" s="1867" t="e">
        <f>ST137/SS137</f>
        <v>#DIV/0!</v>
      </c>
      <c r="SV137" s="439"/>
      <c r="SW137" s="208"/>
      <c r="SX137" s="994"/>
      <c r="SY137" s="96">
        <f t="shared" si="497"/>
        <v>0</v>
      </c>
      <c r="SZ137" s="94" t="e">
        <f>SY137/SX137</f>
        <v>#DIV/0!</v>
      </c>
      <c r="TA137" s="2573"/>
      <c r="TB137" s="395"/>
      <c r="TC137" s="772"/>
      <c r="TD137" s="96">
        <f t="shared" si="498"/>
        <v>0</v>
      </c>
      <c r="TE137" s="4462">
        <v>0</v>
      </c>
      <c r="TF137" s="354"/>
      <c r="TG137" s="208"/>
      <c r="TH137" s="208"/>
      <c r="TI137" s="208">
        <f t="shared" si="480"/>
        <v>0</v>
      </c>
      <c r="TJ137" s="114"/>
      <c r="TK137" s="209"/>
      <c r="TL137" s="208"/>
      <c r="TM137" s="208"/>
      <c r="TN137" s="208">
        <f t="shared" si="499"/>
        <v>0</v>
      </c>
      <c r="TO137" s="114"/>
      <c r="TP137" s="4432"/>
      <c r="TQ137" s="208"/>
      <c r="TR137" s="208"/>
      <c r="TS137" s="994">
        <v>0</v>
      </c>
      <c r="TT137" s="114"/>
      <c r="TU137" s="4506"/>
      <c r="TV137" s="1575"/>
      <c r="TW137" s="1575"/>
      <c r="TX137" s="1575"/>
      <c r="TY137" s="1869"/>
      <c r="TZ137" s="1868"/>
      <c r="UA137" s="1575"/>
      <c r="UB137" s="1575"/>
      <c r="UC137" s="2001"/>
      <c r="UD137" s="98"/>
      <c r="UE137" s="1868"/>
      <c r="UF137" s="1575"/>
      <c r="UG137" s="2552"/>
      <c r="UH137" s="2001"/>
      <c r="UI137" s="1867"/>
      <c r="UJ137" s="357"/>
      <c r="UK137" s="358"/>
      <c r="UL137" s="358"/>
      <c r="UM137" s="208"/>
      <c r="UN137" s="2578"/>
      <c r="UO137" s="1567"/>
      <c r="UP137" s="1568"/>
      <c r="UQ137" s="1568"/>
      <c r="UR137" s="2012"/>
      <c r="US137" s="659"/>
      <c r="UT137" s="1567"/>
      <c r="UU137" s="358"/>
      <c r="UV137" s="358"/>
      <c r="UW137" s="358"/>
      <c r="UX137" s="220"/>
      <c r="UY137" s="1863">
        <f t="shared" si="500"/>
        <v>0</v>
      </c>
      <c r="UZ137" s="105">
        <f t="shared" si="501"/>
        <v>0</v>
      </c>
      <c r="VA137" s="105">
        <f t="shared" si="501"/>
        <v>0</v>
      </c>
      <c r="VB137" s="105">
        <f t="shared" si="501"/>
        <v>0</v>
      </c>
      <c r="VC137" s="106" t="e">
        <f t="shared" si="502"/>
        <v>#DIV/0!</v>
      </c>
      <c r="VD137" s="1868"/>
      <c r="VE137" s="358">
        <f t="shared" si="481"/>
        <v>0</v>
      </c>
      <c r="VF137" s="358">
        <f t="shared" si="481"/>
        <v>0</v>
      </c>
      <c r="VG137" s="359">
        <f t="shared" si="481"/>
        <v>0</v>
      </c>
      <c r="VH137" s="169"/>
      <c r="VI137" s="686"/>
      <c r="VJ137" s="146">
        <f t="shared" si="482"/>
        <v>0</v>
      </c>
      <c r="VK137" s="146">
        <f t="shared" si="482"/>
        <v>0</v>
      </c>
      <c r="VL137" s="1864">
        <f t="shared" si="482"/>
        <v>0</v>
      </c>
      <c r="VM137" s="203"/>
      <c r="VN137" s="1567"/>
      <c r="VO137" s="358">
        <f t="shared" si="483"/>
        <v>0</v>
      </c>
      <c r="VP137" s="358">
        <f t="shared" si="483"/>
        <v>0</v>
      </c>
      <c r="VQ137" s="359">
        <f t="shared" si="483"/>
        <v>0</v>
      </c>
      <c r="VR137" s="114">
        <v>0</v>
      </c>
    </row>
    <row r="138" spans="1:590" s="1193" customFormat="1" ht="13.45" hidden="1" x14ac:dyDescent="0.3">
      <c r="A138" s="1297"/>
      <c r="B138" s="1773" t="s">
        <v>84</v>
      </c>
      <c r="C138" s="2636" t="s">
        <v>293</v>
      </c>
      <c r="D138" s="1992" t="s">
        <v>294</v>
      </c>
      <c r="E138" s="2591">
        <v>45108</v>
      </c>
      <c r="F138" s="2591">
        <v>45382</v>
      </c>
      <c r="G138" s="1994">
        <v>487665</v>
      </c>
      <c r="H138" s="2093"/>
      <c r="I138" s="2094"/>
      <c r="J138" s="2094"/>
      <c r="K138" s="2094"/>
      <c r="L138" s="2095"/>
      <c r="M138" s="2093"/>
      <c r="N138" s="2094"/>
      <c r="O138" s="2094"/>
      <c r="P138" s="2094"/>
      <c r="Q138" s="2095"/>
      <c r="R138" s="2093"/>
      <c r="S138" s="2094"/>
      <c r="T138" s="2094"/>
      <c r="U138" s="2094"/>
      <c r="V138" s="2095"/>
      <c r="W138" s="2093"/>
      <c r="X138" s="2094"/>
      <c r="Y138" s="2094"/>
      <c r="Z138" s="2094"/>
      <c r="AA138" s="2096"/>
      <c r="AB138" s="2093"/>
      <c r="AC138" s="2094"/>
      <c r="AD138" s="2094"/>
      <c r="AE138" s="2094"/>
      <c r="AF138" s="2096"/>
      <c r="AG138" s="2094"/>
      <c r="AH138" s="2094"/>
      <c r="AI138" s="2094"/>
      <c r="AJ138" s="2094"/>
      <c r="AK138" s="2095"/>
      <c r="AL138" s="2094"/>
      <c r="AM138" s="2094"/>
      <c r="AN138" s="2094"/>
      <c r="AO138" s="2094"/>
      <c r="AP138" s="2095"/>
      <c r="AQ138" s="2094"/>
      <c r="AR138" s="2094"/>
      <c r="AS138" s="2094"/>
      <c r="AT138" s="2094"/>
      <c r="AU138" s="2095"/>
      <c r="AV138" s="2097"/>
      <c r="AW138" s="2094"/>
      <c r="AX138" s="2094"/>
      <c r="AY138" s="2094"/>
      <c r="AZ138" s="2096"/>
      <c r="BA138" s="2097"/>
      <c r="BB138" s="2094"/>
      <c r="BC138" s="2094"/>
      <c r="BD138" s="2094"/>
      <c r="BE138" s="2096"/>
      <c r="BF138" s="2097"/>
      <c r="BG138" s="2094"/>
      <c r="BH138" s="2094"/>
      <c r="BI138" s="2094"/>
      <c r="BJ138" s="2096"/>
      <c r="BK138" s="2097"/>
      <c r="BL138" s="2094"/>
      <c r="BM138" s="2094"/>
      <c r="BN138" s="2094"/>
      <c r="BO138" s="2096"/>
      <c r="BP138" s="2098"/>
      <c r="BQ138" s="2094"/>
      <c r="BR138" s="2094"/>
      <c r="BS138" s="2094"/>
      <c r="BT138" s="2099"/>
      <c r="BU138" s="2094"/>
      <c r="BV138" s="2094"/>
      <c r="BW138" s="2100"/>
      <c r="BX138" s="2099"/>
      <c r="BY138" s="2094"/>
      <c r="BZ138" s="2094"/>
      <c r="CA138" s="2101"/>
      <c r="CB138" s="2094"/>
      <c r="CC138" s="2094"/>
      <c r="CD138" s="2094"/>
      <c r="CE138" s="2094"/>
      <c r="CF138" s="2099"/>
      <c r="CG138" s="2094"/>
      <c r="CH138" s="2094"/>
      <c r="CI138" s="2101"/>
      <c r="CJ138" s="2102"/>
      <c r="CK138" s="2094"/>
      <c r="CL138" s="2094"/>
      <c r="CM138" s="2094"/>
      <c r="CN138" s="2100"/>
      <c r="CO138" s="2102"/>
      <c r="CP138" s="2093"/>
      <c r="CQ138" s="2093"/>
      <c r="CR138" s="2093"/>
      <c r="CS138" s="2100"/>
      <c r="CT138" s="2102"/>
      <c r="CU138" s="2094"/>
      <c r="CV138" s="2094"/>
      <c r="CW138" s="2094"/>
      <c r="CX138" s="2100"/>
      <c r="CY138" s="2102"/>
      <c r="CZ138" s="2094"/>
      <c r="DA138" s="2094"/>
      <c r="DB138" s="2094"/>
      <c r="DC138" s="2100"/>
      <c r="DD138" s="2102"/>
      <c r="DE138" s="2094"/>
      <c r="DF138" s="2094"/>
      <c r="DG138" s="2094"/>
      <c r="DH138" s="2103"/>
      <c r="DI138" s="2102"/>
      <c r="DJ138" s="2094"/>
      <c r="DK138" s="2094"/>
      <c r="DL138" s="2094"/>
      <c r="DM138" s="2103"/>
      <c r="DN138" s="2102"/>
      <c r="DO138" s="2094"/>
      <c r="DP138" s="2094"/>
      <c r="DQ138" s="2094"/>
      <c r="DR138" s="2103"/>
      <c r="DS138" s="2102"/>
      <c r="DT138" s="2094"/>
      <c r="DU138" s="2094"/>
      <c r="DV138" s="2094"/>
      <c r="DW138" s="2103"/>
      <c r="DX138" s="2102"/>
      <c r="DY138" s="2094"/>
      <c r="DZ138" s="2094"/>
      <c r="EA138" s="2094"/>
      <c r="EB138" s="2103"/>
      <c r="EC138" s="2102"/>
      <c r="ED138" s="2094"/>
      <c r="EE138" s="2094"/>
      <c r="EF138" s="2094"/>
      <c r="EG138" s="2103"/>
      <c r="EH138" s="2037"/>
      <c r="EI138" s="1914"/>
      <c r="EJ138" s="1914"/>
      <c r="EK138" s="1914"/>
      <c r="EL138" s="2038"/>
      <c r="EM138" s="1910"/>
      <c r="EN138" s="715"/>
      <c r="EO138" s="715"/>
      <c r="EP138" s="715"/>
      <c r="EQ138" s="366"/>
      <c r="ER138" s="2614"/>
      <c r="ES138" s="2615"/>
      <c r="ET138" s="2615"/>
      <c r="EU138" s="2615"/>
      <c r="EV138" s="144"/>
      <c r="EW138" s="2031"/>
      <c r="EX138" s="2031"/>
      <c r="EY138" s="2031"/>
      <c r="EZ138" s="593"/>
      <c r="FA138" s="2037"/>
      <c r="FB138" s="2031"/>
      <c r="FC138" s="2031"/>
      <c r="FD138" s="2036"/>
      <c r="FE138" s="2031"/>
      <c r="FF138" s="2031"/>
      <c r="FG138" s="2031"/>
      <c r="FH138" s="593"/>
      <c r="FI138" s="2039"/>
      <c r="FJ138" s="2040"/>
      <c r="FK138" s="2041"/>
      <c r="FL138" s="2041"/>
      <c r="FM138" s="693"/>
      <c r="FN138" s="2031"/>
      <c r="FO138" s="1914"/>
      <c r="FP138" s="1914"/>
      <c r="FQ138" s="1914"/>
      <c r="FR138" s="2032"/>
      <c r="FS138" s="1910"/>
      <c r="FT138" s="715"/>
      <c r="FU138" s="715"/>
      <c r="FV138" s="715"/>
      <c r="FW138" s="2109"/>
      <c r="FX138" s="2037"/>
      <c r="FY138" s="1914"/>
      <c r="FZ138" s="1914"/>
      <c r="GA138" s="715"/>
      <c r="GB138" s="2109"/>
      <c r="GC138" s="2110"/>
      <c r="GD138" s="2111"/>
      <c r="GE138" s="2111"/>
      <c r="GF138" s="715"/>
      <c r="GG138" s="366"/>
      <c r="GH138" s="2042"/>
      <c r="GI138" s="2043"/>
      <c r="GJ138" s="2043"/>
      <c r="GK138" s="2112"/>
      <c r="GL138" s="2109"/>
      <c r="GM138" s="2042"/>
      <c r="GN138" s="2043"/>
      <c r="GO138" s="2043"/>
      <c r="GP138" s="2112"/>
      <c r="GQ138" s="2109"/>
      <c r="GR138" s="1903"/>
      <c r="GS138" s="1904"/>
      <c r="GT138" s="1904"/>
      <c r="GU138" s="2112"/>
      <c r="GV138" s="2109"/>
      <c r="GW138" s="1903"/>
      <c r="GX138" s="1904"/>
      <c r="GY138" s="1904"/>
      <c r="GZ138" s="2112"/>
      <c r="HA138" s="2109"/>
      <c r="HB138" s="1903"/>
      <c r="HC138" s="1904"/>
      <c r="HD138" s="1904"/>
      <c r="HE138" s="2112"/>
      <c r="HF138" s="2109"/>
      <c r="HG138" s="1903"/>
      <c r="HH138" s="1904"/>
      <c r="HI138" s="1904"/>
      <c r="HJ138" s="2113"/>
      <c r="HK138" s="2109"/>
      <c r="HL138" s="1903"/>
      <c r="HM138" s="1904"/>
      <c r="HN138" s="1904"/>
      <c r="HO138" s="715"/>
      <c r="HP138" s="366"/>
      <c r="HQ138" s="2592"/>
      <c r="HR138" s="2118"/>
      <c r="HS138" s="2118"/>
      <c r="HT138" s="2118"/>
      <c r="HU138" s="2593"/>
      <c r="HV138" s="2624"/>
      <c r="HW138" s="435"/>
      <c r="HX138" s="435"/>
      <c r="HY138" s="435"/>
      <c r="HZ138" s="2625"/>
      <c r="IA138" s="1912"/>
      <c r="IB138" s="1908"/>
      <c r="IC138" s="1908"/>
      <c r="ID138" s="1909"/>
      <c r="IE138" s="1910"/>
      <c r="IF138" s="1911"/>
      <c r="IG138" s="1912"/>
      <c r="IH138" s="1909"/>
      <c r="II138" s="1907"/>
      <c r="IJ138" s="2116"/>
      <c r="IK138" s="2116"/>
      <c r="IL138" s="693"/>
      <c r="IM138" s="2117"/>
      <c r="IN138" s="2116"/>
      <c r="IO138" s="2116"/>
      <c r="IP138" s="1838"/>
      <c r="IQ138" s="1914"/>
      <c r="IR138" s="2044"/>
      <c r="IS138" s="2118"/>
      <c r="IT138" s="2118"/>
      <c r="IU138" s="2119"/>
      <c r="IV138" s="2120"/>
      <c r="IW138" s="2121"/>
      <c r="IX138" s="2122"/>
      <c r="IY138" s="2123"/>
      <c r="IZ138" s="2124"/>
      <c r="JA138" s="2125"/>
      <c r="JB138" s="2046"/>
      <c r="JC138" s="2047"/>
      <c r="JD138" s="2048"/>
      <c r="JE138" s="2124"/>
      <c r="JF138" s="2125"/>
      <c r="JG138" s="1988"/>
      <c r="JH138" s="2049"/>
      <c r="JI138" s="2049"/>
      <c r="JJ138" s="2126"/>
      <c r="JK138" s="2125"/>
      <c r="JL138" s="2127"/>
      <c r="JM138" s="2049"/>
      <c r="JN138" s="2049"/>
      <c r="JO138" s="2128"/>
      <c r="JP138" s="2125"/>
      <c r="JQ138" s="2129"/>
      <c r="JR138" s="2130"/>
      <c r="JS138" s="1904"/>
      <c r="JT138" s="2413"/>
      <c r="JU138" s="2132"/>
      <c r="JV138" s="1849"/>
      <c r="JW138" s="1119"/>
      <c r="JX138" s="1850"/>
      <c r="JY138" s="1850"/>
      <c r="JZ138" s="2125"/>
      <c r="KA138" s="1849"/>
      <c r="KB138" s="1850"/>
      <c r="KC138" s="1850"/>
      <c r="KD138" s="1108"/>
      <c r="KE138" s="2133"/>
      <c r="KF138" s="1849"/>
      <c r="KG138" s="1850"/>
      <c r="KH138" s="1850"/>
      <c r="KI138" s="2124"/>
      <c r="KJ138" s="2125"/>
      <c r="KK138" s="1849"/>
      <c r="KL138" s="1850"/>
      <c r="KM138" s="1850"/>
      <c r="KN138" s="2134"/>
      <c r="KO138" s="2135"/>
      <c r="KP138" s="2596"/>
      <c r="KQ138" s="1119"/>
      <c r="KR138" s="1850"/>
      <c r="KS138" s="2597"/>
      <c r="KT138" s="2598"/>
      <c r="KU138" s="2138"/>
      <c r="KV138" s="1850"/>
      <c r="KW138" s="1850"/>
      <c r="KX138" s="1850"/>
      <c r="KY138" s="81"/>
      <c r="KZ138" s="1857"/>
      <c r="LA138" s="358"/>
      <c r="LB138" s="358"/>
      <c r="LC138" s="358"/>
      <c r="LD138" s="151"/>
      <c r="LE138" s="2139"/>
      <c r="LF138" s="2140"/>
      <c r="LG138" s="2140"/>
      <c r="LH138" s="2141"/>
      <c r="LI138" s="2142"/>
      <c r="LJ138" s="2143"/>
      <c r="LK138" s="2139"/>
      <c r="LL138" s="2141"/>
      <c r="LM138" s="1859"/>
      <c r="LN138" s="1727"/>
      <c r="LO138" s="1727"/>
      <c r="LP138" s="151"/>
      <c r="LQ138" s="1860"/>
      <c r="LR138" s="1727"/>
      <c r="LS138" s="1727"/>
      <c r="LT138" s="1861"/>
      <c r="LV138" s="2599"/>
      <c r="LW138" s="2198"/>
      <c r="LX138" s="2198"/>
      <c r="LY138" s="700"/>
      <c r="LZ138" s="2600"/>
      <c r="MA138" s="1903"/>
      <c r="MB138" s="1904"/>
      <c r="MC138" s="1904"/>
      <c r="MD138" s="2601"/>
      <c r="ME138" s="81"/>
      <c r="MF138" s="404"/>
      <c r="MG138" s="435"/>
      <c r="MH138" s="435"/>
      <c r="MI138" s="227"/>
      <c r="MJ138" s="1595"/>
      <c r="MK138" s="2152"/>
      <c r="ML138" s="435"/>
      <c r="MM138" s="435"/>
      <c r="MN138" s="2151"/>
      <c r="MO138" s="1595"/>
      <c r="MP138" s="2602"/>
      <c r="MQ138" s="1850"/>
      <c r="MR138" s="1850"/>
      <c r="MS138" s="1850"/>
      <c r="MT138" s="790"/>
      <c r="MU138" s="1596"/>
      <c r="MV138" s="435"/>
      <c r="MW138" s="435"/>
      <c r="MX138" s="435"/>
      <c r="MY138" s="790"/>
      <c r="MZ138" s="1596"/>
      <c r="NA138" s="435"/>
      <c r="NB138" s="435"/>
      <c r="NC138" s="435"/>
      <c r="ND138" s="790"/>
      <c r="NE138" s="1596"/>
      <c r="NF138" s="435"/>
      <c r="NG138" s="435"/>
      <c r="NH138" s="435"/>
      <c r="NI138" s="790"/>
      <c r="NJ138" s="1596"/>
      <c r="NK138" s="435"/>
      <c r="NL138" s="435"/>
      <c r="NM138" s="435"/>
      <c r="NN138" s="790"/>
      <c r="NO138" s="2633"/>
      <c r="NP138" s="1585"/>
      <c r="NQ138" s="1585"/>
      <c r="NR138" s="435"/>
      <c r="NS138" s="790"/>
      <c r="NT138" s="357"/>
      <c r="NU138" s="358"/>
      <c r="NV138" s="358"/>
      <c r="NW138" s="435"/>
      <c r="NX138" s="790"/>
      <c r="NY138" s="357"/>
      <c r="NZ138" s="358"/>
      <c r="OA138" s="358"/>
      <c r="OB138" s="772"/>
      <c r="OC138" s="659"/>
      <c r="OD138" s="197"/>
      <c r="OE138" s="1585"/>
      <c r="OF138" s="1585"/>
      <c r="OG138" s="1585"/>
      <c r="OH138" s="1600"/>
      <c r="OI138" s="1868"/>
      <c r="OJ138" s="105"/>
      <c r="OK138" s="1575"/>
      <c r="OL138" s="1575"/>
      <c r="OM138" s="375"/>
      <c r="ON138" s="358"/>
      <c r="OO138" s="358"/>
      <c r="OP138" s="358"/>
      <c r="OQ138" s="359"/>
      <c r="OR138" s="169"/>
      <c r="OS138" s="686"/>
      <c r="OT138" s="146"/>
      <c r="OU138" s="146"/>
      <c r="OV138" s="1864"/>
      <c r="OW138" s="203"/>
      <c r="OX138" s="2633"/>
      <c r="OY138" s="1585"/>
      <c r="OZ138" s="1585"/>
      <c r="PA138" s="2634"/>
      <c r="PB138" s="117"/>
      <c r="PC138" s="79"/>
      <c r="PD138" s="439"/>
      <c r="PE138" s="208"/>
      <c r="PF138" s="208"/>
      <c r="PG138" s="96"/>
      <c r="PH138" s="78"/>
      <c r="PI138" s="2188"/>
      <c r="PJ138" s="1850"/>
      <c r="PK138" s="1850"/>
      <c r="PL138" s="371"/>
      <c r="PM138" s="157"/>
      <c r="PN138" s="404"/>
      <c r="PO138" s="435">
        <v>0</v>
      </c>
      <c r="PP138" s="435">
        <v>0</v>
      </c>
      <c r="PQ138" s="227">
        <v>0</v>
      </c>
      <c r="PR138" s="1595"/>
      <c r="PS138" s="2152">
        <v>1</v>
      </c>
      <c r="PT138" s="435">
        <v>26035</v>
      </c>
      <c r="PU138" s="435">
        <v>29612.903225806451</v>
      </c>
      <c r="PV138" s="371">
        <f>PU138-PT138</f>
        <v>3577.9032258064508</v>
      </c>
      <c r="PW138" s="157">
        <f>PV138/PU138</f>
        <v>0.12082244008714595</v>
      </c>
      <c r="PX138" s="2602">
        <v>4</v>
      </c>
      <c r="PY138" s="1850">
        <v>153128</v>
      </c>
      <c r="PZ138" s="1850">
        <v>179896</v>
      </c>
      <c r="QA138" s="264">
        <f>PZ138-PY138</f>
        <v>26768</v>
      </c>
      <c r="QB138" s="597">
        <f>QA138/PZ138</f>
        <v>0.14879708275892739</v>
      </c>
      <c r="QC138" s="1596">
        <v>4</v>
      </c>
      <c r="QD138" s="435">
        <v>207307</v>
      </c>
      <c r="QE138" s="435">
        <v>277000</v>
      </c>
      <c r="QF138" s="208">
        <f t="shared" si="488"/>
        <v>69693</v>
      </c>
      <c r="QG138" s="597">
        <f>QF138/QE138</f>
        <v>0.25159927797833936</v>
      </c>
      <c r="QH138" s="440">
        <v>4</v>
      </c>
      <c r="QI138" s="435">
        <v>231667</v>
      </c>
      <c r="QJ138" s="435">
        <v>277000</v>
      </c>
      <c r="QK138" s="208">
        <f>QJ138-QI138</f>
        <v>45333</v>
      </c>
      <c r="QL138" s="597">
        <f>QK138/QJ138</f>
        <v>0.16365703971119133</v>
      </c>
      <c r="QM138" s="440">
        <v>5</v>
      </c>
      <c r="QN138" s="435">
        <v>283928</v>
      </c>
      <c r="QO138" s="435">
        <v>347665</v>
      </c>
      <c r="QP138" s="208">
        <f t="shared" si="489"/>
        <v>63737</v>
      </c>
      <c r="QQ138" s="1869">
        <f>QP138/QO138</f>
        <v>0.18332877914083962</v>
      </c>
      <c r="QR138" s="1596">
        <v>5</v>
      </c>
      <c r="QS138" s="435">
        <v>294167</v>
      </c>
      <c r="QT138" s="435">
        <v>355000</v>
      </c>
      <c r="QU138" s="208">
        <f>QT138-QS138</f>
        <v>60833</v>
      </c>
      <c r="QV138" s="75">
        <f>QU138/QT138</f>
        <v>0.17136056338028169</v>
      </c>
      <c r="QW138" s="2561">
        <v>5</v>
      </c>
      <c r="QX138" s="2586">
        <v>279167</v>
      </c>
      <c r="QY138" s="2586">
        <v>329623</v>
      </c>
      <c r="QZ138" s="208">
        <f>QY138-QX138</f>
        <v>50456</v>
      </c>
      <c r="RA138" s="157">
        <f>QZ138/QY138</f>
        <v>0.15307184268088089</v>
      </c>
      <c r="RB138" s="357">
        <v>2</v>
      </c>
      <c r="RC138" s="358">
        <v>126667</v>
      </c>
      <c r="RD138" s="358">
        <v>153000</v>
      </c>
      <c r="RE138" s="208">
        <f t="shared" si="490"/>
        <v>26333</v>
      </c>
      <c r="RF138" s="1313">
        <f>RE138/RD138</f>
        <v>0.1721111111111111</v>
      </c>
      <c r="RG138" s="1567">
        <v>2</v>
      </c>
      <c r="RH138" s="1568">
        <v>126667</v>
      </c>
      <c r="RI138" s="1568">
        <v>153000</v>
      </c>
      <c r="RJ138" s="2012">
        <f t="shared" si="491"/>
        <v>26333</v>
      </c>
      <c r="RK138" s="659">
        <f>RJ138/RI138</f>
        <v>0.1721111111111111</v>
      </c>
      <c r="RL138" s="1567">
        <v>2</v>
      </c>
      <c r="RM138" s="1568">
        <f t="shared" si="475"/>
        <v>1728733</v>
      </c>
      <c r="RN138" s="1568">
        <f t="shared" si="475"/>
        <v>2101796.9032258065</v>
      </c>
      <c r="RO138" s="1568">
        <f t="shared" si="475"/>
        <v>373063.90322580643</v>
      </c>
      <c r="RP138" s="220">
        <f t="shared" si="492"/>
        <v>0.17749759867532086</v>
      </c>
      <c r="RQ138" s="1863">
        <f t="shared" si="493"/>
        <v>0</v>
      </c>
      <c r="RR138" s="105">
        <f t="shared" si="494"/>
        <v>0</v>
      </c>
      <c r="RS138" s="105">
        <f t="shared" si="494"/>
        <v>0</v>
      </c>
      <c r="RT138" s="105">
        <f t="shared" si="494"/>
        <v>0</v>
      </c>
      <c r="RU138" s="106"/>
      <c r="RV138" s="2635">
        <v>4</v>
      </c>
      <c r="RW138" s="358">
        <f t="shared" si="476"/>
        <v>386470</v>
      </c>
      <c r="RX138" s="358">
        <f t="shared" si="476"/>
        <v>486508.90322580643</v>
      </c>
      <c r="RY138" s="359">
        <f t="shared" si="476"/>
        <v>100038.90322580645</v>
      </c>
      <c r="RZ138" s="169">
        <f>RY138/RX138</f>
        <v>0.20562604828502959</v>
      </c>
      <c r="SA138" s="686">
        <v>5</v>
      </c>
      <c r="SB138" s="146">
        <f t="shared" si="477"/>
        <v>809762</v>
      </c>
      <c r="SC138" s="146">
        <f t="shared" si="477"/>
        <v>979665</v>
      </c>
      <c r="SD138" s="1864">
        <f t="shared" si="477"/>
        <v>169903</v>
      </c>
      <c r="SE138" s="203">
        <f>SD138/SC138</f>
        <v>0.1734296928031521</v>
      </c>
      <c r="SF138" s="1567">
        <v>2</v>
      </c>
      <c r="SG138" s="358">
        <f t="shared" si="478"/>
        <v>532501</v>
      </c>
      <c r="SH138" s="358">
        <f t="shared" si="478"/>
        <v>635623</v>
      </c>
      <c r="SI138" s="359">
        <f t="shared" si="478"/>
        <v>103122</v>
      </c>
      <c r="SJ138" s="114">
        <f>SI138/SH138</f>
        <v>0.16223767862396421</v>
      </c>
      <c r="SL138" s="405"/>
      <c r="SM138" s="1575"/>
      <c r="SN138" s="1575"/>
      <c r="SO138" s="3523">
        <f t="shared" si="496"/>
        <v>0</v>
      </c>
      <c r="SP138" s="3646" t="s">
        <v>68</v>
      </c>
      <c r="SQ138" s="3644"/>
      <c r="SR138" s="2763"/>
      <c r="SS138" s="2763"/>
      <c r="ST138" s="1707">
        <f t="shared" si="479"/>
        <v>0</v>
      </c>
      <c r="SU138" s="1867"/>
      <c r="SV138" s="440"/>
      <c r="SW138" s="435"/>
      <c r="SX138" s="1584"/>
      <c r="SY138" s="2146">
        <v>0</v>
      </c>
      <c r="SZ138" s="225"/>
      <c r="TA138" s="2152"/>
      <c r="TB138" s="435"/>
      <c r="TC138" s="1584"/>
      <c r="TD138" s="96">
        <f t="shared" si="498"/>
        <v>0</v>
      </c>
      <c r="TE138" s="94" t="e">
        <f>TD138/TC138</f>
        <v>#DIV/0!</v>
      </c>
      <c r="TF138" s="354"/>
      <c r="TG138" s="208"/>
      <c r="TH138" s="208"/>
      <c r="TI138" s="208">
        <f t="shared" si="480"/>
        <v>0</v>
      </c>
      <c r="TJ138" s="114"/>
      <c r="TK138" s="1596"/>
      <c r="TL138" s="435"/>
      <c r="TM138" s="435"/>
      <c r="TN138" s="208">
        <f t="shared" si="499"/>
        <v>0</v>
      </c>
      <c r="TO138" s="114"/>
      <c r="TP138" s="4510"/>
      <c r="TQ138" s="435"/>
      <c r="TR138" s="435"/>
      <c r="TS138" s="994">
        <f>TR138-TQ138</f>
        <v>0</v>
      </c>
      <c r="TT138" s="114"/>
      <c r="TU138" s="4516"/>
      <c r="TV138" s="2150"/>
      <c r="TW138" s="2150"/>
      <c r="TX138" s="1575"/>
      <c r="TY138" s="1869"/>
      <c r="TZ138" s="2635"/>
      <c r="UA138" s="2150"/>
      <c r="UB138" s="2150"/>
      <c r="UC138" s="1575"/>
      <c r="UD138" s="98"/>
      <c r="UE138" s="6505"/>
      <c r="UF138" s="6507"/>
      <c r="UG138" s="6507"/>
      <c r="UH138" s="1575"/>
      <c r="UI138" s="1867"/>
      <c r="UJ138" s="357"/>
      <c r="UK138" s="358"/>
      <c r="UL138" s="358"/>
      <c r="UM138" s="208"/>
      <c r="UN138" s="1313"/>
      <c r="UO138" s="1567"/>
      <c r="UP138" s="1568"/>
      <c r="UQ138" s="1568"/>
      <c r="UR138" s="2012"/>
      <c r="US138" s="659"/>
      <c r="UT138" s="1567"/>
      <c r="UU138" s="358"/>
      <c r="UV138" s="358"/>
      <c r="UW138" s="358"/>
      <c r="UX138" s="220"/>
      <c r="UY138" s="1863">
        <f t="shared" si="500"/>
        <v>0</v>
      </c>
      <c r="UZ138" s="105">
        <f t="shared" si="501"/>
        <v>0</v>
      </c>
      <c r="VA138" s="105">
        <f t="shared" si="501"/>
        <v>0</v>
      </c>
      <c r="VB138" s="105">
        <f t="shared" si="501"/>
        <v>0</v>
      </c>
      <c r="VC138" s="106"/>
      <c r="VD138" s="2635"/>
      <c r="VE138" s="358">
        <f t="shared" si="481"/>
        <v>0</v>
      </c>
      <c r="VF138" s="358">
        <f t="shared" si="481"/>
        <v>0</v>
      </c>
      <c r="VG138" s="359">
        <f t="shared" si="481"/>
        <v>0</v>
      </c>
      <c r="VH138" s="169" t="e">
        <f>VG138/VF138</f>
        <v>#DIV/0!</v>
      </c>
      <c r="VI138" s="686"/>
      <c r="VJ138" s="146">
        <f t="shared" si="482"/>
        <v>0</v>
      </c>
      <c r="VK138" s="146">
        <f t="shared" si="482"/>
        <v>0</v>
      </c>
      <c r="VL138" s="1864">
        <f t="shared" si="482"/>
        <v>0</v>
      </c>
      <c r="VM138" s="203" t="e">
        <f>VL138/VK138</f>
        <v>#DIV/0!</v>
      </c>
      <c r="VN138" s="1567"/>
      <c r="VO138" s="358">
        <f t="shared" si="483"/>
        <v>0</v>
      </c>
      <c r="VP138" s="358">
        <f t="shared" si="483"/>
        <v>0</v>
      </c>
      <c r="VQ138" s="359">
        <f t="shared" si="483"/>
        <v>0</v>
      </c>
      <c r="VR138" s="114" t="e">
        <f>VQ138/VP138</f>
        <v>#DIV/0!</v>
      </c>
    </row>
    <row r="139" spans="1:590" s="1193" customFormat="1" hidden="1" x14ac:dyDescent="0.3">
      <c r="A139" s="1297"/>
      <c r="B139" s="2491"/>
      <c r="C139" s="3647"/>
      <c r="D139" s="2061"/>
      <c r="E139" s="2091"/>
      <c r="F139" s="2091"/>
      <c r="G139" s="2092"/>
      <c r="H139" s="1874"/>
      <c r="I139" s="1875"/>
      <c r="J139" s="1875"/>
      <c r="K139" s="1875"/>
      <c r="L139" s="1876"/>
      <c r="M139" s="1874"/>
      <c r="N139" s="1875"/>
      <c r="O139" s="1875"/>
      <c r="P139" s="1875"/>
      <c r="Q139" s="1876"/>
      <c r="R139" s="1874"/>
      <c r="S139" s="1875"/>
      <c r="T139" s="1875"/>
      <c r="U139" s="1875"/>
      <c r="V139" s="1876"/>
      <c r="W139" s="1874"/>
      <c r="X139" s="1875"/>
      <c r="Y139" s="1875"/>
      <c r="Z139" s="1875"/>
      <c r="AA139" s="1877"/>
      <c r="AB139" s="1874"/>
      <c r="AC139" s="1875"/>
      <c r="AD139" s="1875"/>
      <c r="AE139" s="1875"/>
      <c r="AF139" s="1877"/>
      <c r="AG139" s="1875"/>
      <c r="AH139" s="1875"/>
      <c r="AI139" s="1875"/>
      <c r="AJ139" s="1875"/>
      <c r="AK139" s="1876"/>
      <c r="AL139" s="1875"/>
      <c r="AM139" s="1875"/>
      <c r="AN139" s="1875"/>
      <c r="AO139" s="1875"/>
      <c r="AP139" s="1876"/>
      <c r="AQ139" s="1875"/>
      <c r="AR139" s="1875"/>
      <c r="AS139" s="1875"/>
      <c r="AT139" s="1875"/>
      <c r="AU139" s="1876"/>
      <c r="AV139" s="1878"/>
      <c r="AW139" s="1875"/>
      <c r="AX139" s="1875"/>
      <c r="AY139" s="1875"/>
      <c r="AZ139" s="1877"/>
      <c r="BA139" s="1878"/>
      <c r="BB139" s="1875"/>
      <c r="BC139" s="1875"/>
      <c r="BD139" s="1875"/>
      <c r="BE139" s="1877"/>
      <c r="BF139" s="1878"/>
      <c r="BG139" s="1875"/>
      <c r="BH139" s="1875"/>
      <c r="BI139" s="1875"/>
      <c r="BJ139" s="1877"/>
      <c r="BK139" s="1878"/>
      <c r="BL139" s="1875"/>
      <c r="BM139" s="1875"/>
      <c r="BN139" s="1875"/>
      <c r="BO139" s="1877"/>
      <c r="BP139" s="1879"/>
      <c r="BQ139" s="1875"/>
      <c r="BR139" s="1875"/>
      <c r="BS139" s="1875"/>
      <c r="BT139" s="1880"/>
      <c r="BU139" s="1875"/>
      <c r="BV139" s="1875"/>
      <c r="BW139" s="1881"/>
      <c r="BX139" s="1880"/>
      <c r="BY139" s="1875"/>
      <c r="BZ139" s="1875"/>
      <c r="CA139" s="1882"/>
      <c r="CB139" s="1875"/>
      <c r="CC139" s="1875"/>
      <c r="CD139" s="1875"/>
      <c r="CE139" s="1875"/>
      <c r="CF139" s="1880"/>
      <c r="CG139" s="1875"/>
      <c r="CH139" s="1875"/>
      <c r="CI139" s="1882"/>
      <c r="CJ139" s="1883"/>
      <c r="CK139" s="1875"/>
      <c r="CL139" s="1875"/>
      <c r="CM139" s="1875"/>
      <c r="CN139" s="1881"/>
      <c r="CO139" s="1883"/>
      <c r="CP139" s="1874"/>
      <c r="CQ139" s="1874"/>
      <c r="CR139" s="1874"/>
      <c r="CS139" s="1881"/>
      <c r="CT139" s="1883"/>
      <c r="CU139" s="1875"/>
      <c r="CV139" s="1875"/>
      <c r="CW139" s="1875"/>
      <c r="CX139" s="1881"/>
      <c r="CY139" s="1883"/>
      <c r="CZ139" s="1875"/>
      <c r="DA139" s="1875"/>
      <c r="DB139" s="1875"/>
      <c r="DC139" s="1881"/>
      <c r="DD139" s="1883"/>
      <c r="DE139" s="1875"/>
      <c r="DF139" s="1875"/>
      <c r="DG139" s="1875"/>
      <c r="DH139" s="1884"/>
      <c r="DI139" s="1883"/>
      <c r="DJ139" s="1875"/>
      <c r="DK139" s="1875"/>
      <c r="DL139" s="1875"/>
      <c r="DM139" s="1884"/>
      <c r="DN139" s="1883"/>
      <c r="DO139" s="1875"/>
      <c r="DP139" s="1875"/>
      <c r="DQ139" s="1875"/>
      <c r="DR139" s="1884"/>
      <c r="DS139" s="1883"/>
      <c r="DT139" s="1875"/>
      <c r="DU139" s="1875"/>
      <c r="DV139" s="1875"/>
      <c r="DW139" s="1884"/>
      <c r="DX139" s="1883"/>
      <c r="DY139" s="1875"/>
      <c r="DZ139" s="1875"/>
      <c r="EA139" s="1875"/>
      <c r="EB139" s="1884"/>
      <c r="EC139" s="1883"/>
      <c r="ED139" s="1875"/>
      <c r="EE139" s="1875"/>
      <c r="EF139" s="1875"/>
      <c r="EG139" s="1884"/>
      <c r="EH139" s="1885"/>
      <c r="EI139" s="1886"/>
      <c r="EJ139" s="1886"/>
      <c r="EK139" s="1886"/>
      <c r="EL139" s="1887"/>
      <c r="EM139" s="1888"/>
      <c r="EN139" s="1889"/>
      <c r="EO139" s="1889"/>
      <c r="EP139" s="1889"/>
      <c r="EQ139" s="166"/>
      <c r="ER139" s="2457"/>
      <c r="ES139" s="2458"/>
      <c r="ET139" s="2458"/>
      <c r="EU139" s="2458"/>
      <c r="EV139" s="2459"/>
      <c r="EW139" s="1890"/>
      <c r="EX139" s="1890"/>
      <c r="EY139" s="1890"/>
      <c r="EZ139" s="1891"/>
      <c r="FA139" s="1885"/>
      <c r="FB139" s="1890"/>
      <c r="FC139" s="1890"/>
      <c r="FD139" s="1892"/>
      <c r="FE139" s="1890"/>
      <c r="FF139" s="1890"/>
      <c r="FG139" s="1890"/>
      <c r="FH139" s="1891"/>
      <c r="FI139" s="1893"/>
      <c r="FJ139" s="1894"/>
      <c r="FK139" s="1895"/>
      <c r="FL139" s="1895"/>
      <c r="FM139" s="1896"/>
      <c r="FN139" s="1890"/>
      <c r="FO139" s="1886"/>
      <c r="FP139" s="1886"/>
      <c r="FQ139" s="1886"/>
      <c r="FR139" s="1897"/>
      <c r="FS139" s="1888"/>
      <c r="FT139" s="1889"/>
      <c r="FU139" s="1889"/>
      <c r="FV139" s="1889"/>
      <c r="FW139" s="1898"/>
      <c r="FX139" s="1885"/>
      <c r="FY139" s="1886"/>
      <c r="FZ139" s="1886"/>
      <c r="GA139" s="1889"/>
      <c r="GB139" s="1898"/>
      <c r="GC139" s="1885"/>
      <c r="GD139" s="1886"/>
      <c r="GE139" s="1886"/>
      <c r="GF139" s="1889"/>
      <c r="GG139" s="166"/>
      <c r="GH139" s="1888"/>
      <c r="GI139" s="1889"/>
      <c r="GJ139" s="1889"/>
      <c r="GK139" s="1902"/>
      <c r="GL139" s="1898"/>
      <c r="GM139" s="1888"/>
      <c r="GN139" s="1889"/>
      <c r="GO139" s="1889"/>
      <c r="GP139" s="1902"/>
      <c r="GQ139" s="1898"/>
      <c r="GR139" s="2497"/>
      <c r="GS139" s="2118"/>
      <c r="GT139" s="2118"/>
      <c r="GU139" s="1902"/>
      <c r="GV139" s="1898"/>
      <c r="GW139" s="2497"/>
      <c r="GX139" s="2118"/>
      <c r="GY139" s="2118"/>
      <c r="GZ139" s="1902"/>
      <c r="HA139" s="1898"/>
      <c r="HB139" s="2497"/>
      <c r="HC139" s="2118"/>
      <c r="HD139" s="2118"/>
      <c r="HE139" s="1902"/>
      <c r="HF139" s="1898"/>
      <c r="HG139" s="2497"/>
      <c r="HH139" s="2118"/>
      <c r="HI139" s="2118"/>
      <c r="HJ139" s="2088"/>
      <c r="HK139" s="1898"/>
      <c r="HL139" s="2497"/>
      <c r="HM139" s="2118"/>
      <c r="HN139" s="2118"/>
      <c r="HO139" s="715"/>
      <c r="HP139" s="166"/>
      <c r="HQ139" s="2592"/>
      <c r="HR139" s="2118"/>
      <c r="HS139" s="2118"/>
      <c r="HT139" s="2118"/>
      <c r="HU139" s="3648"/>
      <c r="HV139" s="3649"/>
      <c r="HW139" s="459"/>
      <c r="HX139" s="459"/>
      <c r="HY139" s="459"/>
      <c r="HZ139" s="3650"/>
      <c r="IA139" s="1907"/>
      <c r="IB139" s="1908"/>
      <c r="IC139" s="1908"/>
      <c r="ID139" s="1909"/>
      <c r="IE139" s="1910"/>
      <c r="IF139" s="1911"/>
      <c r="IG139" s="1912"/>
      <c r="IH139" s="1909"/>
      <c r="II139" s="1835"/>
      <c r="IJ139" s="1836"/>
      <c r="IK139" s="1836"/>
      <c r="IL139" s="693"/>
      <c r="IM139" s="1913"/>
      <c r="IN139" s="1836"/>
      <c r="IO139" s="1836"/>
      <c r="IP139" s="1838"/>
      <c r="IQ139" s="1914"/>
      <c r="IR139" s="1915"/>
      <c r="IS139" s="1916"/>
      <c r="IT139" s="1916"/>
      <c r="IU139" s="2503"/>
      <c r="IV139" s="2504"/>
      <c r="IW139" s="2505"/>
      <c r="IX139" s="2506"/>
      <c r="IY139" s="2507"/>
      <c r="IZ139" s="2064"/>
      <c r="JA139" s="2508"/>
      <c r="JB139" s="1922"/>
      <c r="JC139" s="1923"/>
      <c r="JD139" s="1924"/>
      <c r="JE139" s="2064"/>
      <c r="JF139" s="2508"/>
      <c r="JG139" s="1922"/>
      <c r="JH139" s="1142"/>
      <c r="JI139" s="1142"/>
      <c r="JJ139" s="2509"/>
      <c r="JK139" s="2508"/>
      <c r="JL139" s="2510"/>
      <c r="JM139" s="1142"/>
      <c r="JN139" s="1142"/>
      <c r="JO139" s="2511"/>
      <c r="JP139" s="2508"/>
      <c r="JQ139" s="2512"/>
      <c r="JR139" s="2513"/>
      <c r="JS139" s="1916"/>
      <c r="JT139" s="2514"/>
      <c r="JU139" s="2515"/>
      <c r="JV139" s="2516"/>
      <c r="JW139" s="1137"/>
      <c r="JX139" s="1978"/>
      <c r="JY139" s="1978"/>
      <c r="JZ139" s="2508"/>
      <c r="KA139" s="2517"/>
      <c r="KB139" s="946"/>
      <c r="KC139" s="946"/>
      <c r="KD139" s="937"/>
      <c r="KE139" s="159"/>
      <c r="KF139" s="2516"/>
      <c r="KG139" s="1978"/>
      <c r="KH139" s="1978"/>
      <c r="KI139" s="2064"/>
      <c r="KJ139" s="2508"/>
      <c r="KK139" s="2516"/>
      <c r="KL139" s="1978"/>
      <c r="KM139" s="1978"/>
      <c r="KN139" s="2064"/>
      <c r="KO139" s="2508"/>
      <c r="KP139" s="2067"/>
      <c r="KQ139" s="949"/>
      <c r="KR139" s="946"/>
      <c r="KS139" s="2518"/>
      <c r="KT139" s="2065"/>
      <c r="KU139" s="2519"/>
      <c r="KV139" s="946"/>
      <c r="KW139" s="946"/>
      <c r="KX139" s="946"/>
      <c r="KY139" s="82"/>
      <c r="KZ139" s="2072"/>
      <c r="LA139" s="1089"/>
      <c r="LB139" s="1089"/>
      <c r="LC139" s="1089"/>
      <c r="LD139" s="150"/>
      <c r="LE139" s="2074"/>
      <c r="LF139" s="2070"/>
      <c r="LG139" s="2070"/>
      <c r="LH139" s="2071"/>
      <c r="LI139" s="2072"/>
      <c r="LJ139" s="2073"/>
      <c r="LK139" s="2074"/>
      <c r="LL139" s="2071"/>
      <c r="LM139" s="1859"/>
      <c r="LN139" s="1727"/>
      <c r="LO139" s="1727"/>
      <c r="LP139" s="150"/>
      <c r="LQ139" s="1860"/>
      <c r="LR139" s="1727"/>
      <c r="LS139" s="1727"/>
      <c r="LT139" s="1861"/>
      <c r="LV139" s="2599"/>
      <c r="LW139" s="2198"/>
      <c r="LX139" s="2198"/>
      <c r="LY139" s="700"/>
      <c r="LZ139" s="2600"/>
      <c r="MA139" s="2716"/>
      <c r="MB139" s="1978"/>
      <c r="MC139" s="1978"/>
      <c r="MD139" s="367"/>
      <c r="ME139" s="3651"/>
      <c r="MF139" s="3347"/>
      <c r="MG139" s="3348"/>
      <c r="MH139" s="3348"/>
      <c r="MI139" s="2521"/>
      <c r="MJ139" s="170"/>
      <c r="MK139" s="3652"/>
      <c r="ML139" s="3348"/>
      <c r="MM139" s="3348"/>
      <c r="MN139" s="2521"/>
      <c r="MO139" s="170"/>
      <c r="MP139" s="3653"/>
      <c r="MQ139" s="1928"/>
      <c r="MR139" s="1928"/>
      <c r="MS139" s="1928"/>
      <c r="MT139" s="3654"/>
      <c r="MU139" s="2054"/>
      <c r="MV139" s="2055"/>
      <c r="MW139" s="2055"/>
      <c r="MX139" s="2055"/>
      <c r="MY139" s="1929"/>
      <c r="MZ139" s="2054"/>
      <c r="NA139" s="2055"/>
      <c r="NB139" s="2055"/>
      <c r="NC139" s="2055"/>
      <c r="ND139" s="1929"/>
      <c r="NE139" s="2054"/>
      <c r="NF139" s="2055"/>
      <c r="NG139" s="2055"/>
      <c r="NH139" s="2055"/>
      <c r="NI139" s="1929"/>
      <c r="NJ139" s="2054"/>
      <c r="NK139" s="2055"/>
      <c r="NL139" s="2055"/>
      <c r="NM139" s="2055"/>
      <c r="NN139" s="1929"/>
      <c r="NO139" s="1047"/>
      <c r="NP139" s="2056"/>
      <c r="NQ139" s="2056"/>
      <c r="NR139" s="2055"/>
      <c r="NS139" s="1929"/>
      <c r="NT139" s="1698"/>
      <c r="NU139" s="1089"/>
      <c r="NV139" s="1089"/>
      <c r="NW139" s="1089"/>
      <c r="NX139" s="1931"/>
      <c r="NY139" s="1047"/>
      <c r="NZ139" s="2056"/>
      <c r="OA139" s="2056"/>
      <c r="OB139" s="2056"/>
      <c r="OC139" s="3655"/>
      <c r="OD139" s="2056"/>
      <c r="OE139" s="2056"/>
      <c r="OF139" s="2056"/>
      <c r="OG139" s="2056"/>
      <c r="OH139" s="1064"/>
      <c r="OI139" s="1863"/>
      <c r="OJ139" s="1864"/>
      <c r="OK139" s="105"/>
      <c r="OL139" s="105"/>
      <c r="OM139" s="106"/>
      <c r="ON139" s="2056"/>
      <c r="OO139" s="2056"/>
      <c r="OP139" s="2056"/>
      <c r="OQ139" s="2057"/>
      <c r="OR139" s="2535"/>
      <c r="OS139" s="686"/>
      <c r="OT139" s="146"/>
      <c r="OU139" s="146"/>
      <c r="OV139" s="1864"/>
      <c r="OW139" s="203"/>
      <c r="OX139" s="1047"/>
      <c r="OY139" s="2056"/>
      <c r="OZ139" s="2056"/>
      <c r="PA139" s="2056"/>
      <c r="PB139" s="1064"/>
      <c r="PC139" s="79"/>
      <c r="PD139" s="2599"/>
      <c r="PE139" s="2198"/>
      <c r="PF139" s="1089"/>
      <c r="PG139" s="105"/>
      <c r="PH139" s="2600"/>
      <c r="PI139" s="2072"/>
      <c r="PJ139" s="1089"/>
      <c r="PK139" s="1089"/>
      <c r="PL139" s="146"/>
      <c r="PM139" s="95"/>
      <c r="PN139" s="3347"/>
      <c r="PO139" s="3348"/>
      <c r="PP139" s="3348"/>
      <c r="PQ139" s="2521"/>
      <c r="PR139" s="170"/>
      <c r="PS139" s="3652"/>
      <c r="PT139" s="3348"/>
      <c r="PU139" s="3348"/>
      <c r="PV139" s="2536"/>
      <c r="PW139" s="2537"/>
      <c r="PX139" s="3616"/>
      <c r="PY139" s="946"/>
      <c r="PZ139" s="946"/>
      <c r="QA139" s="946"/>
      <c r="QB139" s="747"/>
      <c r="QC139" s="2054"/>
      <c r="QD139" s="2055"/>
      <c r="QE139" s="2055"/>
      <c r="QF139" s="2055"/>
      <c r="QG139" s="1929"/>
      <c r="QH139" s="2522"/>
      <c r="QI139" s="2055"/>
      <c r="QJ139" s="2055"/>
      <c r="QK139" s="2055"/>
      <c r="QL139" s="1929"/>
      <c r="QM139" s="2522"/>
      <c r="QN139" s="2055"/>
      <c r="QO139" s="2055"/>
      <c r="QP139" s="2055"/>
      <c r="QQ139" s="1929"/>
      <c r="QR139" s="2054"/>
      <c r="QS139" s="2055"/>
      <c r="QT139" s="2055"/>
      <c r="QU139" s="2055"/>
      <c r="QV139" s="3099"/>
      <c r="QW139" s="2054"/>
      <c r="QX139" s="2055"/>
      <c r="QY139" s="3656"/>
      <c r="QZ139" s="2055"/>
      <c r="RA139" s="1064"/>
      <c r="RB139" s="1698"/>
      <c r="RC139" s="1089"/>
      <c r="RD139" s="1089"/>
      <c r="RE139" s="1089"/>
      <c r="RF139" s="3154"/>
      <c r="RG139" s="2928"/>
      <c r="RH139" s="2056"/>
      <c r="RI139" s="2056"/>
      <c r="RJ139" s="2056"/>
      <c r="RK139" s="3655"/>
      <c r="RL139" s="2056"/>
      <c r="RM139" s="2056"/>
      <c r="RN139" s="2056"/>
      <c r="RO139" s="2056"/>
      <c r="RP139" s="1064"/>
      <c r="RQ139" s="1863"/>
      <c r="RR139" s="1864"/>
      <c r="RS139" s="105"/>
      <c r="RT139" s="105"/>
      <c r="RU139" s="106"/>
      <c r="RV139" s="2054"/>
      <c r="RW139" s="2056"/>
      <c r="RX139" s="2056"/>
      <c r="RY139" s="2057"/>
      <c r="RZ139" s="2535"/>
      <c r="SA139" s="686"/>
      <c r="SB139" s="146"/>
      <c r="SC139" s="146"/>
      <c r="SD139" s="1864"/>
      <c r="SE139" s="203"/>
      <c r="SF139" s="2056"/>
      <c r="SG139" s="2056"/>
      <c r="SH139" s="2056"/>
      <c r="SI139" s="2057"/>
      <c r="SJ139" s="2544"/>
      <c r="SL139" s="3347"/>
      <c r="SM139" s="3348"/>
      <c r="SN139" s="2056"/>
      <c r="SO139" s="3222"/>
      <c r="SP139" s="3657"/>
      <c r="SQ139" s="2928"/>
      <c r="SR139" s="2056"/>
      <c r="SS139" s="2056"/>
      <c r="ST139" s="1613"/>
      <c r="SU139" s="3658"/>
      <c r="SV139" s="2599"/>
      <c r="SW139" s="2198"/>
      <c r="SX139" s="3550"/>
      <c r="SY139" s="105"/>
      <c r="SZ139" s="95"/>
      <c r="TA139" s="4109"/>
      <c r="TB139" s="2198"/>
      <c r="TC139" s="3550"/>
      <c r="TD139" s="105"/>
      <c r="TE139" s="95"/>
      <c r="TF139" s="354"/>
      <c r="TG139" s="208"/>
      <c r="TH139" s="208"/>
      <c r="TI139" s="208">
        <f t="shared" si="480"/>
        <v>0</v>
      </c>
      <c r="TJ139" s="114"/>
      <c r="TK139" s="2054"/>
      <c r="TL139" s="2055"/>
      <c r="TM139" s="2055"/>
      <c r="TN139" s="2055"/>
      <c r="TO139" s="114"/>
      <c r="TP139" s="4511"/>
      <c r="TQ139" s="2055"/>
      <c r="TR139" s="2055"/>
      <c r="TS139" s="3656"/>
      <c r="TT139" s="2674"/>
      <c r="TU139" s="4511"/>
      <c r="TV139" s="2055"/>
      <c r="TW139" s="2055"/>
      <c r="TX139" s="2055"/>
      <c r="TY139" s="1929"/>
      <c r="TZ139" s="2054"/>
      <c r="UA139" s="2055"/>
      <c r="UB139" s="2055"/>
      <c r="UC139" s="2055"/>
      <c r="UD139" s="3099"/>
      <c r="UE139" s="2054"/>
      <c r="UF139" s="2055"/>
      <c r="UG139" s="3656"/>
      <c r="UH139" s="2055"/>
      <c r="UI139" s="1064"/>
      <c r="UJ139" s="1698"/>
      <c r="UK139" s="1089"/>
      <c r="UL139" s="1089"/>
      <c r="UM139" s="1089"/>
      <c r="UN139" s="3154"/>
      <c r="UO139" s="2928"/>
      <c r="UP139" s="2056"/>
      <c r="UQ139" s="2056"/>
      <c r="UR139" s="2056"/>
      <c r="US139" s="3655"/>
      <c r="UT139" s="2056"/>
      <c r="UU139" s="2056"/>
      <c r="UV139" s="2056"/>
      <c r="UW139" s="2056"/>
      <c r="UX139" s="1064"/>
      <c r="UY139" s="1863"/>
      <c r="UZ139" s="1864"/>
      <c r="VA139" s="105"/>
      <c r="VB139" s="105"/>
      <c r="VC139" s="106"/>
      <c r="VD139" s="2054"/>
      <c r="VE139" s="2056"/>
      <c r="VF139" s="2056"/>
      <c r="VG139" s="2057"/>
      <c r="VH139" s="2535"/>
      <c r="VI139" s="686"/>
      <c r="VJ139" s="146"/>
      <c r="VK139" s="146"/>
      <c r="VL139" s="1864"/>
      <c r="VM139" s="203"/>
      <c r="VN139" s="1047"/>
      <c r="VO139" s="2056"/>
      <c r="VP139" s="2056"/>
      <c r="VQ139" s="2057"/>
      <c r="VR139" s="2544"/>
    </row>
    <row r="140" spans="1:590" s="1193" customFormat="1" ht="13.45" x14ac:dyDescent="0.3">
      <c r="A140" s="1297"/>
      <c r="B140" s="113" t="s">
        <v>84</v>
      </c>
      <c r="C140" s="2642" t="s">
        <v>241</v>
      </c>
      <c r="D140" s="3777" t="s">
        <v>840</v>
      </c>
      <c r="E140" s="384">
        <v>45130</v>
      </c>
      <c r="F140" s="384">
        <v>45495</v>
      </c>
      <c r="G140" s="2161">
        <v>150000</v>
      </c>
      <c r="H140" s="2162"/>
      <c r="I140" s="2163"/>
      <c r="J140" s="2163"/>
      <c r="K140" s="2163"/>
      <c r="L140" s="2164"/>
      <c r="M140" s="2162"/>
      <c r="N140" s="2163"/>
      <c r="O140" s="2163"/>
      <c r="P140" s="2163"/>
      <c r="Q140" s="2164"/>
      <c r="R140" s="2162"/>
      <c r="S140" s="2163"/>
      <c r="T140" s="2163"/>
      <c r="U140" s="2163"/>
      <c r="V140" s="2164"/>
      <c r="W140" s="2162"/>
      <c r="X140" s="2163"/>
      <c r="Y140" s="2163"/>
      <c r="Z140" s="2163"/>
      <c r="AA140" s="2165"/>
      <c r="AB140" s="2162"/>
      <c r="AC140" s="2163"/>
      <c r="AD140" s="2163"/>
      <c r="AE140" s="2163"/>
      <c r="AF140" s="2165"/>
      <c r="AG140" s="2163"/>
      <c r="AH140" s="2163"/>
      <c r="AI140" s="2163"/>
      <c r="AJ140" s="2163"/>
      <c r="AK140" s="2164"/>
      <c r="AL140" s="2163"/>
      <c r="AM140" s="2163"/>
      <c r="AN140" s="2163"/>
      <c r="AO140" s="2163"/>
      <c r="AP140" s="2164"/>
      <c r="AQ140" s="2163"/>
      <c r="AR140" s="2163"/>
      <c r="AS140" s="2163"/>
      <c r="AT140" s="2163"/>
      <c r="AU140" s="2164"/>
      <c r="AV140" s="2166"/>
      <c r="AW140" s="2163"/>
      <c r="AX140" s="2163"/>
      <c r="AY140" s="2163"/>
      <c r="AZ140" s="2165"/>
      <c r="BA140" s="2166"/>
      <c r="BB140" s="2163"/>
      <c r="BC140" s="2163"/>
      <c r="BD140" s="2163"/>
      <c r="BE140" s="2165"/>
      <c r="BF140" s="2166"/>
      <c r="BG140" s="2163"/>
      <c r="BH140" s="2163"/>
      <c r="BI140" s="2163"/>
      <c r="BJ140" s="2165"/>
      <c r="BK140" s="2166"/>
      <c r="BL140" s="2163"/>
      <c r="BM140" s="2163"/>
      <c r="BN140" s="2163"/>
      <c r="BO140" s="2165"/>
      <c r="BP140" s="2167"/>
      <c r="BQ140" s="2163"/>
      <c r="BR140" s="2163"/>
      <c r="BS140" s="2163"/>
      <c r="BT140" s="2168"/>
      <c r="BU140" s="2163"/>
      <c r="BV140" s="2163"/>
      <c r="BW140" s="2169"/>
      <c r="BX140" s="2168"/>
      <c r="BY140" s="2163"/>
      <c r="BZ140" s="2163"/>
      <c r="CA140" s="2170"/>
      <c r="CB140" s="2163"/>
      <c r="CC140" s="2163"/>
      <c r="CD140" s="2163"/>
      <c r="CE140" s="2163"/>
      <c r="CF140" s="2168"/>
      <c r="CG140" s="2163"/>
      <c r="CH140" s="2163"/>
      <c r="CI140" s="2170"/>
      <c r="CJ140" s="2171"/>
      <c r="CK140" s="2163"/>
      <c r="CL140" s="2163"/>
      <c r="CM140" s="2163"/>
      <c r="CN140" s="2169"/>
      <c r="CO140" s="2171"/>
      <c r="CP140" s="2162"/>
      <c r="CQ140" s="2162"/>
      <c r="CR140" s="2162"/>
      <c r="CS140" s="2169"/>
      <c r="CT140" s="2171"/>
      <c r="CU140" s="2163"/>
      <c r="CV140" s="2163"/>
      <c r="CW140" s="2163"/>
      <c r="CX140" s="2169"/>
      <c r="CY140" s="2171"/>
      <c r="CZ140" s="2163"/>
      <c r="DA140" s="2163"/>
      <c r="DB140" s="2163"/>
      <c r="DC140" s="2169"/>
      <c r="DD140" s="2171"/>
      <c r="DE140" s="2163"/>
      <c r="DF140" s="2163"/>
      <c r="DG140" s="2163"/>
      <c r="DH140" s="2172"/>
      <c r="DI140" s="2171"/>
      <c r="DJ140" s="2163"/>
      <c r="DK140" s="2163"/>
      <c r="DL140" s="2163"/>
      <c r="DM140" s="2172"/>
      <c r="DN140" s="2171"/>
      <c r="DO140" s="2163"/>
      <c r="DP140" s="2163"/>
      <c r="DQ140" s="2163"/>
      <c r="DR140" s="2172"/>
      <c r="DS140" s="2171"/>
      <c r="DT140" s="2163"/>
      <c r="DU140" s="2163"/>
      <c r="DV140" s="2163"/>
      <c r="DW140" s="2172"/>
      <c r="DX140" s="2171"/>
      <c r="DY140" s="2163"/>
      <c r="DZ140" s="2163"/>
      <c r="EA140" s="2163"/>
      <c r="EB140" s="2172"/>
      <c r="EC140" s="2171"/>
      <c r="ED140" s="2163"/>
      <c r="EE140" s="2163"/>
      <c r="EF140" s="2163"/>
      <c r="EG140" s="2172"/>
      <c r="EH140" s="2173"/>
      <c r="EI140" s="2174"/>
      <c r="EJ140" s="2174"/>
      <c r="EK140" s="2174"/>
      <c r="EL140" s="2175"/>
      <c r="EM140" s="2176"/>
      <c r="EN140" s="1142"/>
      <c r="EO140" s="1142"/>
      <c r="EP140" s="1142"/>
      <c r="EQ140" s="159"/>
      <c r="ER140" s="1713">
        <f>(CJ140+CO140+CT140+CY140+DD140+DI140+DN140+DS140+DX140+EC140+EH140+EM140)/12</f>
        <v>0</v>
      </c>
      <c r="ES140" s="1714">
        <f t="shared" ref="ES140:EU143" si="517">CK140+CP140+CU140+CZ140+DE140+DJ140+DO140+DT140+DY140+ED140+EI140+EN140</f>
        <v>0</v>
      </c>
      <c r="ET140" s="1714">
        <f t="shared" si="517"/>
        <v>0</v>
      </c>
      <c r="EU140" s="1714">
        <f t="shared" si="517"/>
        <v>0</v>
      </c>
      <c r="EV140" s="1715" t="e">
        <f>EU140/ET140</f>
        <v>#DIV/0!</v>
      </c>
      <c r="EW140" s="2177"/>
      <c r="EX140" s="2177"/>
      <c r="EY140" s="2177"/>
      <c r="EZ140" s="2178"/>
      <c r="FA140" s="2173"/>
      <c r="FB140" s="2177"/>
      <c r="FC140" s="2177"/>
      <c r="FD140" s="2179"/>
      <c r="FE140" s="2177"/>
      <c r="FF140" s="2177"/>
      <c r="FG140" s="2177"/>
      <c r="FH140" s="2178"/>
      <c r="FI140" s="2180"/>
      <c r="FJ140" s="2181"/>
      <c r="FK140" s="2182"/>
      <c r="FL140" s="2182"/>
      <c r="FM140" s="2183"/>
      <c r="FN140" s="2177"/>
      <c r="FO140" s="2174"/>
      <c r="FP140" s="2174"/>
      <c r="FQ140" s="2174"/>
      <c r="FR140" s="431"/>
      <c r="FS140" s="2176"/>
      <c r="FT140" s="1142"/>
      <c r="FU140" s="1142"/>
      <c r="FV140" s="1142"/>
      <c r="FW140" s="2184"/>
      <c r="FX140" s="2173"/>
      <c r="FY140" s="2174"/>
      <c r="FZ140" s="2174"/>
      <c r="GA140" s="1142"/>
      <c r="GB140" s="2184"/>
      <c r="GC140" s="2185"/>
      <c r="GD140" s="2186"/>
      <c r="GE140" s="2186"/>
      <c r="GF140" s="1142"/>
      <c r="GG140" s="159"/>
      <c r="GH140" s="2011"/>
      <c r="GI140" s="1096"/>
      <c r="GJ140" s="1096"/>
      <c r="GK140" s="2187"/>
      <c r="GL140" s="2184"/>
      <c r="GM140" s="2011"/>
      <c r="GN140" s="1096"/>
      <c r="GO140" s="1096"/>
      <c r="GP140" s="2187"/>
      <c r="GQ140" s="2184"/>
      <c r="GR140" s="2188"/>
      <c r="GS140" s="1850"/>
      <c r="GT140" s="1850"/>
      <c r="GU140" s="2187"/>
      <c r="GV140" s="2184"/>
      <c r="GW140" s="2188"/>
      <c r="GX140" s="1850"/>
      <c r="GY140" s="1850"/>
      <c r="GZ140" s="2187"/>
      <c r="HA140" s="2184"/>
      <c r="HB140" s="2188"/>
      <c r="HC140" s="1850"/>
      <c r="HD140" s="1850"/>
      <c r="HE140" s="2187"/>
      <c r="HF140" s="2184"/>
      <c r="HG140" s="2188"/>
      <c r="HH140" s="1850"/>
      <c r="HI140" s="1850"/>
      <c r="HJ140" s="1719"/>
      <c r="HK140" s="2184"/>
      <c r="HL140" s="2188"/>
      <c r="HM140" s="1850"/>
      <c r="HN140" s="1850"/>
      <c r="HO140" s="823"/>
      <c r="HP140" s="159"/>
      <c r="HQ140" s="1853"/>
      <c r="HR140" s="264">
        <v>0</v>
      </c>
      <c r="HS140" s="264">
        <v>0</v>
      </c>
      <c r="HT140" s="264">
        <v>0</v>
      </c>
      <c r="HU140" s="1933"/>
      <c r="HV140" s="2008">
        <f>(FN140+FS140+FX140+GC140+GH140+GM140+GR140+GW140+HB140+HG140+HL140+HQ140)/12</f>
        <v>0</v>
      </c>
      <c r="HW140" s="208">
        <f t="shared" ref="HW140:HY143" si="518">FO140+FT140+FY140+GD140+GI140+GN140+GS140+GX140+HC140+HH140+HM140+HR140</f>
        <v>0</v>
      </c>
      <c r="HX140" s="208">
        <f t="shared" si="518"/>
        <v>0</v>
      </c>
      <c r="HY140" s="208">
        <f t="shared" si="518"/>
        <v>0</v>
      </c>
      <c r="HZ140" s="2009"/>
      <c r="IA140" s="1705"/>
      <c r="IB140" s="1703"/>
      <c r="IC140" s="1703"/>
      <c r="ID140" s="1704"/>
      <c r="IE140" s="1637"/>
      <c r="IF140" s="1693"/>
      <c r="IG140" s="1702"/>
      <c r="IH140" s="1704"/>
      <c r="II140" s="1859"/>
      <c r="IJ140" s="1727"/>
      <c r="IK140" s="1727"/>
      <c r="IL140" s="73"/>
      <c r="IM140" s="1979"/>
      <c r="IN140" s="1727"/>
      <c r="IO140" s="1727"/>
      <c r="IP140" s="1861"/>
      <c r="IQ140" s="453"/>
      <c r="IR140" s="2190"/>
      <c r="IS140" s="946"/>
      <c r="IT140" s="946"/>
      <c r="IU140" s="2191"/>
      <c r="IV140" s="2192"/>
      <c r="IW140" s="2193"/>
      <c r="IX140" s="1921"/>
      <c r="IY140" s="1921"/>
      <c r="IZ140" s="1719"/>
      <c r="JA140" s="1721"/>
      <c r="JB140" s="1922"/>
      <c r="JC140" s="1923"/>
      <c r="JD140" s="1924"/>
      <c r="JE140" s="1719"/>
      <c r="JF140" s="1721"/>
      <c r="JG140" s="1847"/>
      <c r="JH140" s="1096"/>
      <c r="JI140" s="1096"/>
      <c r="JJ140" s="1756"/>
      <c r="JK140" s="1721"/>
      <c r="JL140" s="1927"/>
      <c r="JM140" s="1096"/>
      <c r="JN140" s="1096"/>
      <c r="JO140" s="1843"/>
      <c r="JP140" s="1721"/>
      <c r="JQ140" s="1927">
        <v>1</v>
      </c>
      <c r="JR140" s="972">
        <v>37909</v>
      </c>
      <c r="JS140" s="264">
        <v>51333</v>
      </c>
      <c r="JT140" s="1845">
        <f>JS140-JR140</f>
        <v>13424</v>
      </c>
      <c r="JU140" s="1721">
        <f>JT140/JS140</f>
        <v>0.26150819161163386</v>
      </c>
      <c r="JV140" s="1849">
        <v>1</v>
      </c>
      <c r="JW140" s="1119">
        <v>78000</v>
      </c>
      <c r="JX140" s="1850">
        <v>105000</v>
      </c>
      <c r="JY140" s="1845">
        <f>JX140-JW140</f>
        <v>27000</v>
      </c>
      <c r="JZ140" s="1721">
        <f>JY140/JX140</f>
        <v>0.25714285714285712</v>
      </c>
      <c r="KA140" s="1846"/>
      <c r="KB140" s="264">
        <v>0</v>
      </c>
      <c r="KC140" s="264">
        <v>0</v>
      </c>
      <c r="KD140" s="964">
        <f>KC140-KB140</f>
        <v>0</v>
      </c>
      <c r="KE140" s="1848"/>
      <c r="KF140" s="1849">
        <v>1</v>
      </c>
      <c r="KG140" s="1850">
        <v>47366</v>
      </c>
      <c r="KH140" s="1850">
        <v>101500</v>
      </c>
      <c r="KI140" s="1719">
        <f>KH140-KG140</f>
        <v>54134</v>
      </c>
      <c r="KJ140" s="1721">
        <f>KI140/KH140</f>
        <v>0.5333399014778325</v>
      </c>
      <c r="KK140" s="1849">
        <v>1</v>
      </c>
      <c r="KL140" s="1850">
        <v>49052</v>
      </c>
      <c r="KM140" s="1850">
        <v>105000</v>
      </c>
      <c r="KN140" s="1851">
        <f>KM140-KL140</f>
        <v>55948</v>
      </c>
      <c r="KO140" s="1852">
        <f>KN140/KM140</f>
        <v>0.53283809523809522</v>
      </c>
      <c r="KP140" s="1722">
        <v>1</v>
      </c>
      <c r="KQ140" s="972">
        <v>49052</v>
      </c>
      <c r="KR140" s="264">
        <v>105000</v>
      </c>
      <c r="KS140" s="1845">
        <f>KR140-KQ140</f>
        <v>55948</v>
      </c>
      <c r="KT140" s="1720">
        <f>KS140/KR140</f>
        <v>0.53283809523809522</v>
      </c>
      <c r="KU140" s="1853">
        <v>1</v>
      </c>
      <c r="KV140" s="264">
        <v>31646.451612903227</v>
      </c>
      <c r="KW140" s="264">
        <v>105000</v>
      </c>
      <c r="KX140" s="264">
        <f>KW140-KV140</f>
        <v>73353.548387096773</v>
      </c>
      <c r="KY140" s="75">
        <f>KX140/KW140</f>
        <v>0.69860522273425496</v>
      </c>
      <c r="KZ140" s="1857">
        <v>1</v>
      </c>
      <c r="LA140" s="358">
        <f t="shared" ref="LA140:LC143" si="519">IS140+IX140+JC140+JH140+JM140+JR140+JW140+KB140+KG140+KL140+KQ140+KV140</f>
        <v>293025.45161290321</v>
      </c>
      <c r="LB140" s="358">
        <f t="shared" si="519"/>
        <v>572833</v>
      </c>
      <c r="LC140" s="358">
        <f t="shared" si="519"/>
        <v>279807.54838709679</v>
      </c>
      <c r="LD140" s="151">
        <f>LC140/LB140</f>
        <v>0.48846269049984337</v>
      </c>
      <c r="LE140" s="1854">
        <f>(IR140+IW140+JB140)/3</f>
        <v>0</v>
      </c>
      <c r="LF140" s="1855">
        <f t="shared" ref="LF140:LG143" si="520">IT140+IY140+JD140</f>
        <v>0</v>
      </c>
      <c r="LG140" s="1855">
        <f t="shared" si="520"/>
        <v>0</v>
      </c>
      <c r="LH140" s="1856" t="e">
        <f>LG140/LF140</f>
        <v>#DIV/0!</v>
      </c>
      <c r="LI140" s="1857">
        <f>(JG140+JL140+JQ140)/3</f>
        <v>0.33333333333333331</v>
      </c>
      <c r="LJ140" s="1858">
        <f t="shared" ref="LJ140:LK143" si="521">(JI140+JN140+JS140)</f>
        <v>51333</v>
      </c>
      <c r="LK140" s="1854">
        <f t="shared" si="521"/>
        <v>13424</v>
      </c>
      <c r="LL140" s="1856">
        <f>LK140/LJ140</f>
        <v>0.26150819161163386</v>
      </c>
      <c r="LM140" s="1859">
        <f>(JV140+KA140+KF140)/3</f>
        <v>0.66666666666666663</v>
      </c>
      <c r="LN140" s="1727">
        <f t="shared" ref="LN140:LO143" si="522">(JX140+KC140+KH140)</f>
        <v>206500</v>
      </c>
      <c r="LO140" s="1727">
        <f t="shared" si="522"/>
        <v>81134</v>
      </c>
      <c r="LP140" s="151">
        <f>LO140/LN140</f>
        <v>0.39290072639225182</v>
      </c>
      <c r="LQ140" s="1860">
        <f>(KK140+KP140+KU140)/3</f>
        <v>1</v>
      </c>
      <c r="LR140" s="1727">
        <f t="shared" ref="LR140:LS143" si="523">(KM140+KR140+KW140)</f>
        <v>315000</v>
      </c>
      <c r="LS140" s="1727">
        <f t="shared" si="523"/>
        <v>185249.54838709679</v>
      </c>
      <c r="LT140" s="1861">
        <f>LS140/LR140</f>
        <v>0.58809380440348191</v>
      </c>
      <c r="LV140" s="439">
        <v>1</v>
      </c>
      <c r="LW140" s="208">
        <v>66667</v>
      </c>
      <c r="LX140" s="208">
        <v>105000</v>
      </c>
      <c r="LY140" s="96">
        <f>LX140-LW140</f>
        <v>38333</v>
      </c>
      <c r="LZ140" s="78">
        <f>LY140/LX140</f>
        <v>0.3650761904761905</v>
      </c>
      <c r="MA140" s="1862">
        <v>1</v>
      </c>
      <c r="MB140" s="265">
        <v>66667</v>
      </c>
      <c r="MC140" s="265">
        <v>105000</v>
      </c>
      <c r="MD140" s="371">
        <f>MC140-MB140</f>
        <v>38333</v>
      </c>
      <c r="ME140" s="157">
        <f>MD140/MC140</f>
        <v>0.3650761904761905</v>
      </c>
      <c r="MF140" s="439">
        <v>1</v>
      </c>
      <c r="MG140" s="208">
        <v>66667</v>
      </c>
      <c r="MH140" s="208">
        <v>105000</v>
      </c>
      <c r="MI140" s="371">
        <f>MH140-MG140</f>
        <v>38333</v>
      </c>
      <c r="MJ140" s="157">
        <f>MI140/MH140</f>
        <v>0.3650761904761905</v>
      </c>
      <c r="MK140" s="354">
        <v>1</v>
      </c>
      <c r="ML140" s="208">
        <v>66667</v>
      </c>
      <c r="MM140" s="208">
        <v>74550</v>
      </c>
      <c r="MN140" s="371">
        <f>MM140-ML140</f>
        <v>7883</v>
      </c>
      <c r="MO140" s="157">
        <f>MN140/MM140</f>
        <v>0.10574111334674716</v>
      </c>
      <c r="MP140" s="1579">
        <v>1</v>
      </c>
      <c r="MQ140" s="264">
        <v>85000</v>
      </c>
      <c r="MR140" s="264">
        <v>120000</v>
      </c>
      <c r="MS140" s="264">
        <f>MR140-MQ140</f>
        <v>35000</v>
      </c>
      <c r="MT140" s="597">
        <f>MS140/MR140</f>
        <v>0.29166666666666669</v>
      </c>
      <c r="MU140" s="209">
        <v>1</v>
      </c>
      <c r="MV140" s="208">
        <v>85000</v>
      </c>
      <c r="MW140" s="208">
        <v>105000</v>
      </c>
      <c r="MX140" s="208">
        <f>MW140-MV140</f>
        <v>20000</v>
      </c>
      <c r="MY140" s="597">
        <f>MX140/MW140</f>
        <v>0.19047619047619047</v>
      </c>
      <c r="MZ140" s="209">
        <v>1</v>
      </c>
      <c r="NA140" s="208">
        <v>85000</v>
      </c>
      <c r="NB140" s="208">
        <v>120000</v>
      </c>
      <c r="NC140" s="208">
        <f>NB140-NA140</f>
        <v>35000</v>
      </c>
      <c r="ND140" s="597">
        <f>NC140/NB140</f>
        <v>0.29166666666666669</v>
      </c>
      <c r="NE140" s="209">
        <v>1</v>
      </c>
      <c r="NF140" s="208">
        <v>66667</v>
      </c>
      <c r="NG140" s="208">
        <v>105000</v>
      </c>
      <c r="NH140" s="208">
        <f>NG140-NF140</f>
        <v>38333</v>
      </c>
      <c r="NI140" s="597">
        <f>NH140/NG140</f>
        <v>0.3650761904761905</v>
      </c>
      <c r="NJ140" s="209">
        <v>1</v>
      </c>
      <c r="NK140" s="208">
        <v>66667</v>
      </c>
      <c r="NL140" s="208">
        <v>105000</v>
      </c>
      <c r="NM140" s="208">
        <f>NL140-NK140</f>
        <v>38333</v>
      </c>
      <c r="NN140" s="597">
        <f>NM140/NL140</f>
        <v>0.3650761904761905</v>
      </c>
      <c r="NO140" s="357">
        <v>2</v>
      </c>
      <c r="NP140" s="358">
        <v>103964</v>
      </c>
      <c r="NQ140" s="358">
        <v>155610</v>
      </c>
      <c r="NR140" s="208">
        <f>NQ140-NP140</f>
        <v>51646</v>
      </c>
      <c r="NS140" s="597">
        <f>NR140/NQ140</f>
        <v>0.33189383715699505</v>
      </c>
      <c r="NT140" s="357">
        <v>2</v>
      </c>
      <c r="NU140" s="358">
        <v>141667</v>
      </c>
      <c r="NV140" s="358">
        <v>210000</v>
      </c>
      <c r="NW140" s="208">
        <f>NV140-NU140</f>
        <v>68333</v>
      </c>
      <c r="NX140" s="597">
        <f>NW140/NV140</f>
        <v>0.32539523809523807</v>
      </c>
      <c r="NY140" s="357">
        <v>2</v>
      </c>
      <c r="NZ140" s="358">
        <v>164650.96774193548</v>
      </c>
      <c r="OA140" s="358">
        <v>210000</v>
      </c>
      <c r="OB140" s="994">
        <f>OA140-NZ140</f>
        <v>45349.032258064515</v>
      </c>
      <c r="OC140" s="602">
        <f>OB140/OA140</f>
        <v>0.21594777265745008</v>
      </c>
      <c r="OD140" s="191">
        <v>2</v>
      </c>
      <c r="OE140" s="358">
        <f t="shared" ref="OE140:OG143" si="524">NZ140+NU140+NP140+NK140+NF140+NA140+MV140+MQ140+ML140+MG140+MB140+LW140</f>
        <v>1065283.9677419355</v>
      </c>
      <c r="OF140" s="358">
        <f t="shared" si="524"/>
        <v>1520160</v>
      </c>
      <c r="OG140" s="358">
        <f t="shared" si="524"/>
        <v>454876.03225806449</v>
      </c>
      <c r="OH140" s="220">
        <f>OG140/OF140</f>
        <v>0.29922904974349046</v>
      </c>
      <c r="OI140" s="1863">
        <f>(LV140+MA140+MF140)/3</f>
        <v>1</v>
      </c>
      <c r="OJ140" s="105">
        <f t="shared" ref="OJ140:OL141" si="525">LW140+MB140+MG140</f>
        <v>200001</v>
      </c>
      <c r="OK140" s="105">
        <f t="shared" si="525"/>
        <v>315000</v>
      </c>
      <c r="OL140" s="105">
        <f t="shared" si="525"/>
        <v>114999</v>
      </c>
      <c r="OM140" s="106">
        <f>OL140/OK140</f>
        <v>0.3650761904761905</v>
      </c>
      <c r="ON140" s="358">
        <f>(MK140+MP140+MU140)/3</f>
        <v>1</v>
      </c>
      <c r="OO140" s="358">
        <f t="shared" ref="OO140:OQ143" si="526">ML140+MQ140+MV140</f>
        <v>236667</v>
      </c>
      <c r="OP140" s="358">
        <f t="shared" si="526"/>
        <v>299550</v>
      </c>
      <c r="OQ140" s="359">
        <f t="shared" si="526"/>
        <v>62883</v>
      </c>
      <c r="OR140" s="169">
        <f>OQ140/OP140</f>
        <v>0.20992488733099648</v>
      </c>
      <c r="OS140" s="686">
        <f>(NJ140+NE140+MZ140)/3</f>
        <v>1</v>
      </c>
      <c r="OT140" s="146">
        <f t="shared" ref="OT140:OV143" si="527">NK140+NF140+NA140</f>
        <v>218334</v>
      </c>
      <c r="OU140" s="146">
        <f t="shared" si="527"/>
        <v>330000</v>
      </c>
      <c r="OV140" s="1864">
        <f t="shared" si="527"/>
        <v>111666</v>
      </c>
      <c r="OW140" s="203">
        <f>OV140/OU140</f>
        <v>0.33838181818181817</v>
      </c>
      <c r="OX140" s="357">
        <v>2</v>
      </c>
      <c r="OY140" s="358">
        <f t="shared" ref="OY140:PA143" si="528">NP140+NU140+NZ140</f>
        <v>410281.96774193551</v>
      </c>
      <c r="OZ140" s="358">
        <f t="shared" si="528"/>
        <v>575610</v>
      </c>
      <c r="PA140" s="359">
        <f t="shared" si="528"/>
        <v>165328.03225806452</v>
      </c>
      <c r="PB140" s="114">
        <f>PA140/OZ140</f>
        <v>0.28722230721854125</v>
      </c>
      <c r="PC140" s="79"/>
      <c r="PD140" s="439">
        <v>2</v>
      </c>
      <c r="PE140" s="358">
        <v>154167</v>
      </c>
      <c r="PF140" s="358">
        <v>210000</v>
      </c>
      <c r="PG140" s="96">
        <f>PF140-PE140</f>
        <v>55833</v>
      </c>
      <c r="PH140" s="224">
        <f>PG140/PF140</f>
        <v>0.26587142857142859</v>
      </c>
      <c r="PI140" s="1862">
        <v>2</v>
      </c>
      <c r="PJ140" s="265">
        <v>124166</v>
      </c>
      <c r="PK140" s="265">
        <v>150000</v>
      </c>
      <c r="PL140" s="371">
        <f t="shared" ref="PL140:PL154" si="529">PK140-PJ140</f>
        <v>25834</v>
      </c>
      <c r="PM140" s="157">
        <f t="shared" ref="PM140:PM154" si="530">PL140/PK140</f>
        <v>0.17222666666666667</v>
      </c>
      <c r="PN140" s="439">
        <v>2</v>
      </c>
      <c r="PO140" s="208">
        <v>124166</v>
      </c>
      <c r="PP140" s="208">
        <v>150000</v>
      </c>
      <c r="PQ140" s="371">
        <f t="shared" ref="PQ140:PQ154" si="531">PP140-PO140</f>
        <v>25834</v>
      </c>
      <c r="PR140" s="157">
        <f t="shared" ref="PR140:PR153" si="532">PQ140/PP140</f>
        <v>0.17222666666666667</v>
      </c>
      <c r="PS140" s="354">
        <v>2</v>
      </c>
      <c r="PT140" s="208">
        <v>124166</v>
      </c>
      <c r="PU140" s="208">
        <v>150000</v>
      </c>
      <c r="PV140" s="371">
        <f t="shared" ref="PV140:PV153" si="533">PU140-PT140</f>
        <v>25834</v>
      </c>
      <c r="PW140" s="157">
        <f t="shared" ref="PW140:PW153" si="534">PV140/PU140</f>
        <v>0.17222666666666667</v>
      </c>
      <c r="PX140" s="1579">
        <v>1</v>
      </c>
      <c r="PY140" s="264">
        <v>61666</v>
      </c>
      <c r="PZ140" s="264">
        <v>124166</v>
      </c>
      <c r="QA140" s="264">
        <f t="shared" ref="QA140:QA154" si="535">PZ140-PY140</f>
        <v>62500</v>
      </c>
      <c r="QB140" s="597">
        <f t="shared" ref="QB140:QB153" si="536">QA140/PZ140</f>
        <v>0.50335840729346193</v>
      </c>
      <c r="QC140" s="209">
        <v>2</v>
      </c>
      <c r="QD140" s="208">
        <v>124166</v>
      </c>
      <c r="QE140" s="208">
        <v>150000</v>
      </c>
      <c r="QF140" s="208">
        <f t="shared" ref="QF140:QF155" si="537">QE140-QD140</f>
        <v>25834</v>
      </c>
      <c r="QG140" s="597">
        <f t="shared" ref="QG140:QG153" si="538">QF140/QE140</f>
        <v>0.17222666666666667</v>
      </c>
      <c r="QH140" s="401">
        <v>2</v>
      </c>
      <c r="QI140" s="395">
        <v>124166</v>
      </c>
      <c r="QJ140" s="395">
        <v>150000</v>
      </c>
      <c r="QK140" s="395">
        <f t="shared" ref="QK140:QK153" si="539">QJ140-QI140</f>
        <v>25834</v>
      </c>
      <c r="QL140" s="655">
        <f t="shared" ref="QL140:QL153" si="540">QK140/QJ140</f>
        <v>0.17222666666666667</v>
      </c>
      <c r="QM140" s="439">
        <v>2</v>
      </c>
      <c r="QN140" s="208">
        <v>124166</v>
      </c>
      <c r="QO140" s="208">
        <v>150000</v>
      </c>
      <c r="QP140" s="395">
        <f t="shared" ref="QP140:QP154" si="541">QO140-QN140</f>
        <v>25834</v>
      </c>
      <c r="QQ140" s="2019">
        <f t="shared" ref="QQ140:QQ154" si="542">QP140/QO140</f>
        <v>0.17222666666666667</v>
      </c>
      <c r="QR140" s="209">
        <v>2</v>
      </c>
      <c r="QS140" s="208">
        <v>124166</v>
      </c>
      <c r="QT140" s="208">
        <v>150000</v>
      </c>
      <c r="QU140" s="395">
        <f t="shared" ref="QU140:QU154" si="543">QT140-QS140</f>
        <v>25834</v>
      </c>
      <c r="QV140" s="77">
        <f t="shared" ref="QV140:QV154" si="544">QU140/QT140</f>
        <v>0.17222666666666667</v>
      </c>
      <c r="QW140" s="2561">
        <v>2</v>
      </c>
      <c r="QX140" s="2562">
        <v>110240</v>
      </c>
      <c r="QY140" s="2562">
        <v>133064.51</v>
      </c>
      <c r="QZ140" s="208">
        <f t="shared" ref="QZ140:QZ157" si="545">QY140-QX140</f>
        <v>22824.510000000009</v>
      </c>
      <c r="RA140" s="157">
        <f t="shared" ref="RA140:RA155" si="546">QZ140/QY140</f>
        <v>0.17152965880985102</v>
      </c>
      <c r="RB140" s="2432">
        <v>1</v>
      </c>
      <c r="RC140" s="358">
        <v>62500</v>
      </c>
      <c r="RD140" s="622">
        <v>75000</v>
      </c>
      <c r="RE140" s="208">
        <f t="shared" ref="RE140:RE157" si="547">RD140-RC140</f>
        <v>12500</v>
      </c>
      <c r="RF140" s="1313">
        <f t="shared" ref="RF140:RF157" si="548">RE140/RD140</f>
        <v>0.16666666666666666</v>
      </c>
      <c r="RG140" s="1857">
        <v>1</v>
      </c>
      <c r="RH140" s="358">
        <v>62500</v>
      </c>
      <c r="RI140" s="358">
        <v>75000</v>
      </c>
      <c r="RJ140" s="994">
        <f t="shared" ref="RJ140:RJ157" si="549">RI140-RH140</f>
        <v>12500</v>
      </c>
      <c r="RK140" s="602">
        <f t="shared" ref="RK140:RK155" si="550">RJ140/RI140</f>
        <v>0.16666666666666666</v>
      </c>
      <c r="RL140" s="1567">
        <v>1</v>
      </c>
      <c r="RM140" s="1568">
        <f t="shared" ref="RM140:RO155" si="551">RH140+RC140+QX140+QS140+QN140+QI140+QD140+PY140+PT140+PO140+PJ140+PE140</f>
        <v>1320235</v>
      </c>
      <c r="RN140" s="1568">
        <f t="shared" si="551"/>
        <v>1667230.51</v>
      </c>
      <c r="RO140" s="1568">
        <f t="shared" si="551"/>
        <v>346995.51</v>
      </c>
      <c r="RP140" s="220">
        <f t="shared" ref="RP140:RP157" si="552">RO140/RN140</f>
        <v>0.20812689542251719</v>
      </c>
      <c r="RQ140" s="1863">
        <f t="shared" ref="RQ140:RQ162" si="553">(PD140+PI140+PN140)/3</f>
        <v>2</v>
      </c>
      <c r="RR140" s="105">
        <f t="shared" ref="RR140:RT155" si="554">PE140+PJ140+PO140</f>
        <v>402499</v>
      </c>
      <c r="RS140" s="105">
        <f t="shared" si="554"/>
        <v>510000</v>
      </c>
      <c r="RT140" s="105">
        <f t="shared" si="554"/>
        <v>107501</v>
      </c>
      <c r="RU140" s="106">
        <f t="shared" ref="RU140:RU154" si="555">RT140/RS140</f>
        <v>0.21078627450980392</v>
      </c>
      <c r="RV140" s="1868">
        <v>2</v>
      </c>
      <c r="RW140" s="358">
        <f t="shared" ref="RW140:RY155" si="556">PT140+PY140+QD140</f>
        <v>309998</v>
      </c>
      <c r="RX140" s="358">
        <f t="shared" si="556"/>
        <v>424166</v>
      </c>
      <c r="RY140" s="359">
        <f t="shared" si="556"/>
        <v>114168</v>
      </c>
      <c r="RZ140" s="169">
        <f t="shared" ref="RZ140:RZ155" si="557">RY140/RX140</f>
        <v>0.26915877274463301</v>
      </c>
      <c r="SA140" s="686">
        <v>2</v>
      </c>
      <c r="SB140" s="146">
        <f t="shared" ref="SB140:SD155" si="558">QS140+QN140+QI140</f>
        <v>372498</v>
      </c>
      <c r="SC140" s="146">
        <f t="shared" si="558"/>
        <v>450000</v>
      </c>
      <c r="SD140" s="1864">
        <f t="shared" si="558"/>
        <v>77502</v>
      </c>
      <c r="SE140" s="203">
        <f t="shared" ref="SE140:SE157" si="559">SD140/SC140</f>
        <v>0.17222666666666667</v>
      </c>
      <c r="SF140" s="1567">
        <v>1</v>
      </c>
      <c r="SG140" s="358">
        <f t="shared" ref="SG140:SI155" si="560">QX140+RC140+RH140</f>
        <v>235240</v>
      </c>
      <c r="SH140" s="358">
        <f t="shared" si="560"/>
        <v>283064.51</v>
      </c>
      <c r="SI140" s="359">
        <f t="shared" si="560"/>
        <v>47824.510000000009</v>
      </c>
      <c r="SJ140" s="114">
        <f t="shared" ref="SJ140:SJ157" si="561">SI140/SH140</f>
        <v>0.16895268855851978</v>
      </c>
      <c r="SL140" s="439">
        <v>1</v>
      </c>
      <c r="SM140" s="358">
        <v>62500</v>
      </c>
      <c r="SN140" s="358">
        <v>75000</v>
      </c>
      <c r="SO140" s="96">
        <f t="shared" ref="SO140:SO158" si="562">SN140-SM140</f>
        <v>12500</v>
      </c>
      <c r="SP140" s="78">
        <f t="shared" ref="SP140:SP157" si="563">SO140/SN140</f>
        <v>0.16666666666666666</v>
      </c>
      <c r="SQ140" s="439">
        <v>1</v>
      </c>
      <c r="SR140" s="208">
        <v>62500</v>
      </c>
      <c r="SS140" s="208">
        <v>75000</v>
      </c>
      <c r="ST140" s="96">
        <f t="shared" ref="ST140:ST157" si="564">SS140-SR140</f>
        <v>12500</v>
      </c>
      <c r="SU140" s="78">
        <f>ST140/SS140</f>
        <v>0.16666666666666666</v>
      </c>
      <c r="SV140" s="439">
        <v>1</v>
      </c>
      <c r="SW140" s="208">
        <v>62500</v>
      </c>
      <c r="SX140" s="994">
        <v>75000</v>
      </c>
      <c r="SY140" s="96">
        <f t="shared" ref="SY140:SY157" si="565">SX140-SW140</f>
        <v>12500</v>
      </c>
      <c r="SZ140" s="94">
        <f>SY140/SX140</f>
        <v>0.16666666666666666</v>
      </c>
      <c r="TA140" s="354">
        <v>1</v>
      </c>
      <c r="TB140" s="208">
        <v>62500</v>
      </c>
      <c r="TC140" s="994">
        <v>75000</v>
      </c>
      <c r="TD140" s="96">
        <f t="shared" ref="TD140:TD155" si="566">TC140-TB140</f>
        <v>12500</v>
      </c>
      <c r="TE140" s="94">
        <f>TD140/TC140</f>
        <v>0.16666666666666666</v>
      </c>
      <c r="TF140" s="354">
        <v>1</v>
      </c>
      <c r="TG140" s="208">
        <v>62500</v>
      </c>
      <c r="TH140" s="208">
        <v>75000</v>
      </c>
      <c r="TI140" s="208">
        <f t="shared" si="480"/>
        <v>12500</v>
      </c>
      <c r="TJ140" s="114">
        <f>TI140/TH140</f>
        <v>0.16666666666666666</v>
      </c>
      <c r="TK140" s="209"/>
      <c r="TL140" s="208">
        <v>0</v>
      </c>
      <c r="TM140" s="208">
        <v>0</v>
      </c>
      <c r="TN140" s="208">
        <f>TM140-TL140</f>
        <v>0</v>
      </c>
      <c r="TO140" s="2155">
        <v>0</v>
      </c>
      <c r="TP140" s="4434"/>
      <c r="TQ140" s="395"/>
      <c r="TR140" s="395"/>
      <c r="TS140" s="772">
        <f>TR140-TQ140</f>
        <v>0</v>
      </c>
      <c r="TT140" s="114"/>
      <c r="TU140" s="4432"/>
      <c r="TV140" s="208">
        <v>0</v>
      </c>
      <c r="TW140" s="208">
        <v>0</v>
      </c>
      <c r="TX140" s="772">
        <f t="shared" ref="TX140:TX162" si="567">TW140-TV140</f>
        <v>0</v>
      </c>
      <c r="TY140" s="2050">
        <v>0</v>
      </c>
      <c r="TZ140" s="1868"/>
      <c r="UA140" s="1575">
        <v>0</v>
      </c>
      <c r="UB140" s="1575">
        <v>0</v>
      </c>
      <c r="UC140" s="2012">
        <f t="shared" ref="UC140:UC162" si="568">UB140-UA140</f>
        <v>0</v>
      </c>
      <c r="UD140" s="4933">
        <v>0</v>
      </c>
      <c r="UE140" s="6505"/>
      <c r="UF140" s="1575">
        <v>0</v>
      </c>
      <c r="UG140" s="1575">
        <v>0</v>
      </c>
      <c r="UH140" s="2012">
        <f t="shared" ref="UH140:UH162" si="569">UG140-UF140</f>
        <v>0</v>
      </c>
      <c r="UI140" s="6508">
        <v>0</v>
      </c>
      <c r="UJ140" s="2432"/>
      <c r="UK140" s="358"/>
      <c r="UL140" s="622"/>
      <c r="UM140" s="208">
        <f t="shared" ref="UM140:UM157" si="570">UL140-UK140</f>
        <v>0</v>
      </c>
      <c r="UN140" s="1313" t="e">
        <f t="shared" ref="UN140:UN155" si="571">UM140/UL140</f>
        <v>#DIV/0!</v>
      </c>
      <c r="UO140" s="1567"/>
      <c r="UP140" s="1568"/>
      <c r="UQ140" s="1568"/>
      <c r="UR140" s="2552">
        <f t="shared" ref="UR140:UR162" si="572">UQ140-UP140</f>
        <v>0</v>
      </c>
      <c r="US140" s="602" t="e">
        <f t="shared" ref="US140:US155" si="573">UR140/UQ140</f>
        <v>#DIV/0!</v>
      </c>
      <c r="UT140" s="1567"/>
      <c r="UU140" s="358">
        <f t="shared" ref="UU140:UW145" si="574">UP140+UK140+UF140+UA140+TV140+TQ140+TL140+TG140+TB140+SW140+SR140+SM140</f>
        <v>312500</v>
      </c>
      <c r="UV140" s="358">
        <f t="shared" si="574"/>
        <v>375000</v>
      </c>
      <c r="UW140" s="358">
        <f t="shared" si="574"/>
        <v>62500</v>
      </c>
      <c r="UX140" s="220">
        <f t="shared" ref="UX140:UX161" si="575">UW140/UV140</f>
        <v>0.16666666666666666</v>
      </c>
      <c r="UY140" s="1863">
        <f t="shared" ref="UY140:UY154" si="576">(SL140+SQ140+SV140)/3</f>
        <v>1</v>
      </c>
      <c r="UZ140" s="105">
        <f t="shared" ref="UZ140:VB155" si="577">SM140+SR140+SW140</f>
        <v>187500</v>
      </c>
      <c r="VA140" s="105">
        <f t="shared" si="577"/>
        <v>225000</v>
      </c>
      <c r="VB140" s="105">
        <f t="shared" si="577"/>
        <v>37500</v>
      </c>
      <c r="VC140" s="106">
        <f t="shared" ref="VC140:VC151" si="578">VB140/VA140</f>
        <v>0.16666666666666666</v>
      </c>
      <c r="VD140" s="1868"/>
      <c r="VE140" s="358">
        <f t="shared" ref="VE140:VG145" si="579">TB140+TG140+TL140</f>
        <v>125000</v>
      </c>
      <c r="VF140" s="358">
        <f t="shared" si="579"/>
        <v>150000</v>
      </c>
      <c r="VG140" s="359">
        <f t="shared" si="579"/>
        <v>25000</v>
      </c>
      <c r="VH140" s="169">
        <f t="shared" ref="VH140:VH162" si="580">VG140/VF140</f>
        <v>0.16666666666666666</v>
      </c>
      <c r="VI140" s="686"/>
      <c r="VJ140" s="146">
        <f t="shared" ref="VJ140:VL155" si="581">UA140+TV140+TQ140</f>
        <v>0</v>
      </c>
      <c r="VK140" s="146">
        <f t="shared" si="581"/>
        <v>0</v>
      </c>
      <c r="VL140" s="1864">
        <f t="shared" si="581"/>
        <v>0</v>
      </c>
      <c r="VM140" s="203" t="e">
        <f t="shared" ref="VM140:VM153" si="582">VL140/VK140</f>
        <v>#DIV/0!</v>
      </c>
      <c r="VN140" s="1567"/>
      <c r="VO140" s="358">
        <f t="shared" ref="VO140:VQ155" si="583">UF140+UK140+UP140</f>
        <v>0</v>
      </c>
      <c r="VP140" s="358">
        <f t="shared" si="583"/>
        <v>0</v>
      </c>
      <c r="VQ140" s="359">
        <f t="shared" si="583"/>
        <v>0</v>
      </c>
      <c r="VR140" s="114" t="e">
        <f t="shared" ref="VR140:VR155" si="584">VQ140/VP140</f>
        <v>#DIV/0!</v>
      </c>
    </row>
    <row r="141" spans="1:590" s="1193" customFormat="1" ht="13.45" x14ac:dyDescent="0.3">
      <c r="A141" s="1297"/>
      <c r="B141" s="583" t="s">
        <v>84</v>
      </c>
      <c r="C141" s="1991" t="s">
        <v>89</v>
      </c>
      <c r="D141" s="1992" t="s">
        <v>273</v>
      </c>
      <c r="E141" s="2006">
        <v>45070</v>
      </c>
      <c r="F141" s="2006">
        <v>45425</v>
      </c>
      <c r="G141" s="2007">
        <v>81000</v>
      </c>
      <c r="H141" s="1940"/>
      <c r="I141" s="1941"/>
      <c r="J141" s="1941"/>
      <c r="K141" s="1941"/>
      <c r="L141" s="1942"/>
      <c r="M141" s="1940"/>
      <c r="N141" s="1941"/>
      <c r="O141" s="1941"/>
      <c r="P141" s="1941"/>
      <c r="Q141" s="1942"/>
      <c r="R141" s="1940"/>
      <c r="S141" s="1941"/>
      <c r="T141" s="1941"/>
      <c r="U141" s="1941"/>
      <c r="V141" s="1942"/>
      <c r="W141" s="1940"/>
      <c r="X141" s="1941"/>
      <c r="Y141" s="1941"/>
      <c r="Z141" s="1941"/>
      <c r="AA141" s="1943"/>
      <c r="AB141" s="1940"/>
      <c r="AC141" s="1941"/>
      <c r="AD141" s="1941"/>
      <c r="AE141" s="1941"/>
      <c r="AF141" s="1943"/>
      <c r="AG141" s="1941"/>
      <c r="AH141" s="1941"/>
      <c r="AI141" s="1941"/>
      <c r="AJ141" s="1941"/>
      <c r="AK141" s="1942"/>
      <c r="AL141" s="1941"/>
      <c r="AM141" s="1941"/>
      <c r="AN141" s="1941"/>
      <c r="AO141" s="1941"/>
      <c r="AP141" s="1942"/>
      <c r="AQ141" s="1941"/>
      <c r="AR141" s="1941"/>
      <c r="AS141" s="1941"/>
      <c r="AT141" s="1941"/>
      <c r="AU141" s="1942"/>
      <c r="AV141" s="1944"/>
      <c r="AW141" s="1941"/>
      <c r="AX141" s="1941"/>
      <c r="AY141" s="1941"/>
      <c r="AZ141" s="1943"/>
      <c r="BA141" s="1944"/>
      <c r="BB141" s="1941"/>
      <c r="BC141" s="1941"/>
      <c r="BD141" s="1941"/>
      <c r="BE141" s="1943"/>
      <c r="BF141" s="1944"/>
      <c r="BG141" s="1941"/>
      <c r="BH141" s="1941"/>
      <c r="BI141" s="1941"/>
      <c r="BJ141" s="1943"/>
      <c r="BK141" s="1944"/>
      <c r="BL141" s="1941"/>
      <c r="BM141" s="1941"/>
      <c r="BN141" s="1941"/>
      <c r="BO141" s="1943"/>
      <c r="BP141" s="1945"/>
      <c r="BQ141" s="1941"/>
      <c r="BR141" s="1941"/>
      <c r="BS141" s="1941"/>
      <c r="BT141" s="1946"/>
      <c r="BU141" s="1941"/>
      <c r="BV141" s="1941"/>
      <c r="BW141" s="1947"/>
      <c r="BX141" s="1946"/>
      <c r="BY141" s="1941"/>
      <c r="BZ141" s="1941"/>
      <c r="CA141" s="1948"/>
      <c r="CB141" s="1941"/>
      <c r="CC141" s="1941"/>
      <c r="CD141" s="1941"/>
      <c r="CE141" s="1941"/>
      <c r="CF141" s="1946"/>
      <c r="CG141" s="1941"/>
      <c r="CH141" s="1941"/>
      <c r="CI141" s="1948"/>
      <c r="CJ141" s="1949"/>
      <c r="CK141" s="1941"/>
      <c r="CL141" s="1941"/>
      <c r="CM141" s="1941"/>
      <c r="CN141" s="1947"/>
      <c r="CO141" s="1949"/>
      <c r="CP141" s="1940"/>
      <c r="CQ141" s="1940"/>
      <c r="CR141" s="1940"/>
      <c r="CS141" s="1947"/>
      <c r="CT141" s="1949"/>
      <c r="CU141" s="1941"/>
      <c r="CV141" s="1941"/>
      <c r="CW141" s="1941"/>
      <c r="CX141" s="1947"/>
      <c r="CY141" s="1949"/>
      <c r="CZ141" s="1941"/>
      <c r="DA141" s="1941"/>
      <c r="DB141" s="1941"/>
      <c r="DC141" s="1947"/>
      <c r="DD141" s="1949"/>
      <c r="DE141" s="1941"/>
      <c r="DF141" s="1941"/>
      <c r="DG141" s="1941"/>
      <c r="DH141" s="1950"/>
      <c r="DI141" s="1949"/>
      <c r="DJ141" s="1941"/>
      <c r="DK141" s="1941"/>
      <c r="DL141" s="1941"/>
      <c r="DM141" s="1950"/>
      <c r="DN141" s="1949"/>
      <c r="DO141" s="1941"/>
      <c r="DP141" s="1941"/>
      <c r="DQ141" s="1941"/>
      <c r="DR141" s="1950"/>
      <c r="DS141" s="1949"/>
      <c r="DT141" s="1941"/>
      <c r="DU141" s="1941"/>
      <c r="DV141" s="1941"/>
      <c r="DW141" s="1950"/>
      <c r="DX141" s="1949"/>
      <c r="DY141" s="1941"/>
      <c r="DZ141" s="1941"/>
      <c r="EA141" s="1941"/>
      <c r="EB141" s="1950"/>
      <c r="EC141" s="1949"/>
      <c r="ED141" s="1941"/>
      <c r="EE141" s="1941"/>
      <c r="EF141" s="1941"/>
      <c r="EG141" s="1950"/>
      <c r="EH141" s="1899"/>
      <c r="EI141" s="1900"/>
      <c r="EJ141" s="1900"/>
      <c r="EK141" s="1900"/>
      <c r="EL141" s="1951"/>
      <c r="EM141" s="1901"/>
      <c r="EN141" s="1824"/>
      <c r="EO141" s="1824"/>
      <c r="EP141" s="1824"/>
      <c r="EQ141" s="1952"/>
      <c r="ER141" s="1713">
        <f>(CJ141+CO141+CT141+CY141+DD141+DI141+DN141+DS141+DX141+EC141+EH141+EM141)/12</f>
        <v>0</v>
      </c>
      <c r="ES141" s="1714">
        <f t="shared" si="517"/>
        <v>0</v>
      </c>
      <c r="ET141" s="1714">
        <f t="shared" si="517"/>
        <v>0</v>
      </c>
      <c r="EU141" s="1714">
        <f t="shared" si="517"/>
        <v>0</v>
      </c>
      <c r="EV141" s="1715" t="e">
        <f>EU141/ET141</f>
        <v>#DIV/0!</v>
      </c>
      <c r="EW141" s="1953"/>
      <c r="EX141" s="1953"/>
      <c r="EY141" s="1953"/>
      <c r="EZ141" s="1954"/>
      <c r="FA141" s="1899"/>
      <c r="FB141" s="1953"/>
      <c r="FC141" s="1953"/>
      <c r="FD141" s="1955"/>
      <c r="FE141" s="1953"/>
      <c r="FF141" s="1953"/>
      <c r="FG141" s="1953"/>
      <c r="FH141" s="1954"/>
      <c r="FI141" s="1956"/>
      <c r="FJ141" s="1957"/>
      <c r="FK141" s="1958"/>
      <c r="FL141" s="1958"/>
      <c r="FM141" s="1959"/>
      <c r="FN141" s="1953"/>
      <c r="FO141" s="1900"/>
      <c r="FP141" s="1900"/>
      <c r="FQ141" s="1900"/>
      <c r="FR141" s="1960"/>
      <c r="FS141" s="1919"/>
      <c r="FT141" s="1920"/>
      <c r="FU141" s="1920"/>
      <c r="FV141" s="1920"/>
      <c r="FW141" s="1961"/>
      <c r="FX141" s="1899"/>
      <c r="FY141" s="1900"/>
      <c r="FZ141" s="1900"/>
      <c r="GA141" s="1920"/>
      <c r="GB141" s="1961"/>
      <c r="GC141" s="1899"/>
      <c r="GD141" s="1900"/>
      <c r="GE141" s="1900"/>
      <c r="GF141" s="1824"/>
      <c r="GG141" s="1952"/>
      <c r="GH141" s="1901"/>
      <c r="GI141" s="1824"/>
      <c r="GJ141" s="1824"/>
      <c r="GK141" s="1962"/>
      <c r="GL141" s="1961"/>
      <c r="GM141" s="1901"/>
      <c r="GN141" s="1824"/>
      <c r="GO141" s="1824"/>
      <c r="GP141" s="1962"/>
      <c r="GQ141" s="1961"/>
      <c r="GR141" s="715"/>
      <c r="GS141" s="715"/>
      <c r="GT141" s="715"/>
      <c r="GU141" s="1962"/>
      <c r="GV141" s="1961"/>
      <c r="GW141" s="715"/>
      <c r="GX141" s="715"/>
      <c r="GY141" s="715"/>
      <c r="GZ141" s="1962"/>
      <c r="HA141" s="1961"/>
      <c r="HB141" s="715"/>
      <c r="HC141" s="715"/>
      <c r="HD141" s="715"/>
      <c r="HE141" s="1962"/>
      <c r="HF141" s="1961"/>
      <c r="HG141" s="715"/>
      <c r="HH141" s="715"/>
      <c r="HI141" s="715"/>
      <c r="HJ141" s="715"/>
      <c r="HK141" s="1961"/>
      <c r="HL141" s="715"/>
      <c r="HM141" s="715"/>
      <c r="HN141" s="715"/>
      <c r="HO141" s="715"/>
      <c r="HP141" s="1961"/>
      <c r="HQ141" s="1963"/>
      <c r="HR141" s="1248">
        <v>0</v>
      </c>
      <c r="HS141" s="1248">
        <v>0</v>
      </c>
      <c r="HT141" s="1248">
        <v>0</v>
      </c>
      <c r="HU141" s="1826"/>
      <c r="HV141" s="2008">
        <f>(FN141+FS141+FX141+GC141+GH141+GM141+GR141+GW141+HB141+HG141+HL141+HQ141)/12</f>
        <v>0</v>
      </c>
      <c r="HW141" s="208">
        <f t="shared" si="518"/>
        <v>0</v>
      </c>
      <c r="HX141" s="208">
        <f t="shared" si="518"/>
        <v>0</v>
      </c>
      <c r="HY141" s="208">
        <f t="shared" si="518"/>
        <v>0</v>
      </c>
      <c r="HZ141" s="2009"/>
      <c r="IA141" s="1907"/>
      <c r="IB141" s="1908"/>
      <c r="IC141" s="1908"/>
      <c r="ID141" s="1909"/>
      <c r="IE141" s="1914"/>
      <c r="IF141" s="1914"/>
      <c r="IG141" s="1964"/>
      <c r="IH141" s="1965"/>
      <c r="II141" s="1966"/>
      <c r="IJ141" s="1964"/>
      <c r="IK141" s="1964"/>
      <c r="IL141" s="2010"/>
      <c r="IM141" s="1967"/>
      <c r="IN141" s="1964"/>
      <c r="IO141" s="1964"/>
      <c r="IP141" s="1968"/>
      <c r="IQ141" s="1914"/>
      <c r="IR141" s="1969"/>
      <c r="IS141" s="1248">
        <v>0</v>
      </c>
      <c r="IT141" s="1248">
        <v>0</v>
      </c>
      <c r="IU141" s="1917">
        <v>0</v>
      </c>
      <c r="IV141" s="1918">
        <v>0</v>
      </c>
      <c r="IW141" s="1919"/>
      <c r="IX141" s="1920">
        <v>0</v>
      </c>
      <c r="IY141" s="1921">
        <v>0</v>
      </c>
      <c r="IZ141" s="1719">
        <f>IY141-IX141</f>
        <v>0</v>
      </c>
      <c r="JA141" s="1721"/>
      <c r="JB141" s="1847">
        <v>1</v>
      </c>
      <c r="JC141" s="1971">
        <f>29248+19010+8260</f>
        <v>56518</v>
      </c>
      <c r="JD141" s="1972">
        <v>56700</v>
      </c>
      <c r="JE141" s="1719">
        <f>JD141-JC141</f>
        <v>182</v>
      </c>
      <c r="JF141" s="1721">
        <f>JE141/JD141</f>
        <v>3.2098765432098763E-3</v>
      </c>
      <c r="JG141" s="1847">
        <v>1</v>
      </c>
      <c r="JH141" s="1096">
        <f>37136+11800</f>
        <v>48936</v>
      </c>
      <c r="JI141" s="1096">
        <v>60480</v>
      </c>
      <c r="JJ141" s="1756">
        <f>JI141-JH141</f>
        <v>11544</v>
      </c>
      <c r="JK141" s="1721">
        <f>JJ141/JI141</f>
        <v>0.19087301587301586</v>
      </c>
      <c r="JL141" s="1722">
        <v>1</v>
      </c>
      <c r="JM141" s="1096">
        <v>41667</v>
      </c>
      <c r="JN141" s="1096">
        <v>81000</v>
      </c>
      <c r="JO141" s="1843">
        <f>JN141-JM141</f>
        <v>39333</v>
      </c>
      <c r="JP141" s="1721">
        <f>JO141/JN141</f>
        <v>0.48559259259259258</v>
      </c>
      <c r="JQ141" s="1927">
        <v>1</v>
      </c>
      <c r="JR141" s="972">
        <v>41667</v>
      </c>
      <c r="JS141" s="264">
        <v>81000</v>
      </c>
      <c r="JT141" s="1845">
        <f>JS141-JR141</f>
        <v>39333</v>
      </c>
      <c r="JU141" s="1721">
        <f>JT141/JS141</f>
        <v>0.48559259259259258</v>
      </c>
      <c r="JV141" s="1846">
        <v>1</v>
      </c>
      <c r="JW141" s="972">
        <v>41667</v>
      </c>
      <c r="JX141" s="264">
        <v>81000</v>
      </c>
      <c r="JY141" s="1845">
        <f>JX141-JW141</f>
        <v>39333</v>
      </c>
      <c r="JZ141" s="1721">
        <f>JY141/JX141</f>
        <v>0.48559259259259258</v>
      </c>
      <c r="KA141" s="1847">
        <v>1</v>
      </c>
      <c r="KB141" s="264">
        <v>40746.699999999997</v>
      </c>
      <c r="KC141" s="264">
        <v>8100</v>
      </c>
      <c r="KD141" s="964">
        <f>KC141-KB141</f>
        <v>-32646.699999999997</v>
      </c>
      <c r="KE141" s="1848">
        <f>KD141/KC141</f>
        <v>-4.0304567901234565</v>
      </c>
      <c r="KF141" s="1990">
        <v>1</v>
      </c>
      <c r="KG141" s="1904">
        <v>30889</v>
      </c>
      <c r="KH141" s="1904">
        <v>49653</v>
      </c>
      <c r="KI141" s="1818">
        <f>KH141-KG141</f>
        <v>18764</v>
      </c>
      <c r="KJ141" s="1721">
        <f>KI141/KH141</f>
        <v>0.37790264435180149</v>
      </c>
      <c r="KK141" s="1990">
        <v>1</v>
      </c>
      <c r="KL141" s="1904">
        <v>49166</v>
      </c>
      <c r="KM141" s="1904">
        <v>81000</v>
      </c>
      <c r="KN141" s="2023">
        <f>KM141-KL141</f>
        <v>31834</v>
      </c>
      <c r="KO141" s="1852">
        <f>KN141/KM141</f>
        <v>0.39301234567901233</v>
      </c>
      <c r="KP141" s="1722">
        <v>1</v>
      </c>
      <c r="KQ141" s="972">
        <f>49166+4000</f>
        <v>53166</v>
      </c>
      <c r="KR141" s="264">
        <v>81000</v>
      </c>
      <c r="KS141" s="1845">
        <f>KR141-KQ141</f>
        <v>27834</v>
      </c>
      <c r="KT141" s="1720">
        <f>KS141/KR141</f>
        <v>0.34362962962962962</v>
      </c>
      <c r="KU141" s="1853">
        <v>1</v>
      </c>
      <c r="KV141" s="264">
        <v>53166</v>
      </c>
      <c r="KW141" s="264">
        <v>81000</v>
      </c>
      <c r="KX141" s="264">
        <f>KW141-KV141</f>
        <v>27834</v>
      </c>
      <c r="KY141" s="75">
        <f>KX141/KW141</f>
        <v>0.34362962962962962</v>
      </c>
      <c r="KZ141" s="1857">
        <v>1</v>
      </c>
      <c r="LA141" s="358">
        <f t="shared" si="519"/>
        <v>457588.7</v>
      </c>
      <c r="LB141" s="358">
        <f t="shared" si="519"/>
        <v>660933</v>
      </c>
      <c r="LC141" s="358">
        <f t="shared" si="519"/>
        <v>203344.3</v>
      </c>
      <c r="LD141" s="151">
        <f>LC141/LB141</f>
        <v>0.30766250134279871</v>
      </c>
      <c r="LE141" s="1854">
        <f>(IR141+IW141+JB141)/3</f>
        <v>0.33333333333333331</v>
      </c>
      <c r="LF141" s="1855">
        <f t="shared" si="520"/>
        <v>56700</v>
      </c>
      <c r="LG141" s="1855">
        <f t="shared" si="520"/>
        <v>182</v>
      </c>
      <c r="LH141" s="1856">
        <f>LG141/LF141</f>
        <v>3.2098765432098763E-3</v>
      </c>
      <c r="LI141" s="1857">
        <f>(JG141+JL141+JQ141)/3</f>
        <v>1</v>
      </c>
      <c r="LJ141" s="1858">
        <f t="shared" si="521"/>
        <v>222480</v>
      </c>
      <c r="LK141" s="1854">
        <f t="shared" si="521"/>
        <v>90210</v>
      </c>
      <c r="LL141" s="1856">
        <f>LK141/LJ141</f>
        <v>0.40547464940668826</v>
      </c>
      <c r="LM141" s="1859">
        <f>(JV141+KA141+KF141)/3</f>
        <v>1</v>
      </c>
      <c r="LN141" s="1727">
        <f t="shared" si="522"/>
        <v>138753</v>
      </c>
      <c r="LO141" s="1727">
        <f t="shared" si="522"/>
        <v>25450.300000000003</v>
      </c>
      <c r="LP141" s="151">
        <f>LO141/LN141</f>
        <v>0.18342161971272694</v>
      </c>
      <c r="LQ141" s="1860">
        <f>(KK141+KP141+KU141)/3</f>
        <v>1</v>
      </c>
      <c r="LR141" s="1727">
        <f t="shared" si="523"/>
        <v>243000</v>
      </c>
      <c r="LS141" s="1727">
        <f t="shared" si="523"/>
        <v>87502</v>
      </c>
      <c r="LT141" s="1861">
        <f>LS141/LR141</f>
        <v>0.36009053497942389</v>
      </c>
      <c r="LV141" s="439">
        <v>1</v>
      </c>
      <c r="LW141" s="208">
        <v>53166</v>
      </c>
      <c r="LX141" s="208">
        <v>81000</v>
      </c>
      <c r="LY141" s="96">
        <f>LX141-LW141</f>
        <v>27834</v>
      </c>
      <c r="LZ141" s="78">
        <f>LY141/LX141</f>
        <v>0.34362962962962962</v>
      </c>
      <c r="MA141" s="1862">
        <v>1</v>
      </c>
      <c r="MB141" s="265">
        <v>53166</v>
      </c>
      <c r="MC141" s="265">
        <v>81000</v>
      </c>
      <c r="MD141" s="371">
        <f>MC141-MB141</f>
        <v>27834</v>
      </c>
      <c r="ME141" s="157">
        <f>MD141/MC141</f>
        <v>0.34362962962962962</v>
      </c>
      <c r="MF141" s="439">
        <v>1</v>
      </c>
      <c r="MG141" s="208">
        <v>53166</v>
      </c>
      <c r="MH141" s="208">
        <v>81000</v>
      </c>
      <c r="MI141" s="371">
        <f>MH141-MG141</f>
        <v>27834</v>
      </c>
      <c r="MJ141" s="157">
        <f>MI141/MH141</f>
        <v>0.34362962962962962</v>
      </c>
      <c r="MK141" s="354">
        <v>1</v>
      </c>
      <c r="ML141" s="208">
        <v>53166</v>
      </c>
      <c r="MM141" s="208">
        <v>81000</v>
      </c>
      <c r="MN141" s="371">
        <f>MM141-ML141</f>
        <v>27834</v>
      </c>
      <c r="MO141" s="157">
        <f>MN141/MM141</f>
        <v>0.34362962962962962</v>
      </c>
      <c r="MP141" s="1579">
        <v>1</v>
      </c>
      <c r="MQ141" s="264">
        <v>53166</v>
      </c>
      <c r="MR141" s="264">
        <v>81000</v>
      </c>
      <c r="MS141" s="264">
        <f>MR141-MQ141</f>
        <v>27834</v>
      </c>
      <c r="MT141" s="597">
        <f>MS141/MR141</f>
        <v>0.34362962962962962</v>
      </c>
      <c r="MU141" s="209">
        <v>1</v>
      </c>
      <c r="MV141" s="208">
        <v>53166</v>
      </c>
      <c r="MW141" s="208">
        <v>81000</v>
      </c>
      <c r="MX141" s="208">
        <f>MW141-MV141</f>
        <v>27834</v>
      </c>
      <c r="MY141" s="597">
        <f>MX141/MW141</f>
        <v>0.34362962962962962</v>
      </c>
      <c r="MZ141" s="209">
        <v>1</v>
      </c>
      <c r="NA141" s="208">
        <v>53166</v>
      </c>
      <c r="NB141" s="208">
        <v>81000</v>
      </c>
      <c r="NC141" s="208">
        <f>NB141-NA141</f>
        <v>27834</v>
      </c>
      <c r="ND141" s="597">
        <f>NC141/NB141</f>
        <v>0.34362962962962962</v>
      </c>
      <c r="NE141" s="209">
        <v>1</v>
      </c>
      <c r="NF141" s="208">
        <v>53166</v>
      </c>
      <c r="NG141" s="208">
        <v>81000</v>
      </c>
      <c r="NH141" s="208">
        <f>NG141-NF141</f>
        <v>27834</v>
      </c>
      <c r="NI141" s="597">
        <f>NH141/NG141</f>
        <v>0.34362962962962962</v>
      </c>
      <c r="NJ141" s="209">
        <v>1</v>
      </c>
      <c r="NK141" s="208">
        <v>53166</v>
      </c>
      <c r="NL141" s="208">
        <v>81000</v>
      </c>
      <c r="NM141" s="208">
        <f>NL141-NK141</f>
        <v>27834</v>
      </c>
      <c r="NN141" s="597">
        <f>NM141/NL141</f>
        <v>0.34362962962962962</v>
      </c>
      <c r="NO141" s="357">
        <v>1</v>
      </c>
      <c r="NP141" s="358">
        <v>53166</v>
      </c>
      <c r="NQ141" s="358">
        <v>81000</v>
      </c>
      <c r="NR141" s="208">
        <f>NQ141-NP141</f>
        <v>27834</v>
      </c>
      <c r="NS141" s="597">
        <f>NR141/NQ141</f>
        <v>0.34362962962962962</v>
      </c>
      <c r="NT141" s="357">
        <v>1</v>
      </c>
      <c r="NU141" s="358">
        <v>53166</v>
      </c>
      <c r="NV141" s="358">
        <v>81000</v>
      </c>
      <c r="NW141" s="208">
        <f>NV141-NU141</f>
        <v>27834</v>
      </c>
      <c r="NX141" s="597">
        <f>NW141/NV141</f>
        <v>0.34362962962962962</v>
      </c>
      <c r="NY141" s="357">
        <v>1</v>
      </c>
      <c r="NZ141" s="358">
        <v>53166</v>
      </c>
      <c r="OA141" s="358">
        <v>81000</v>
      </c>
      <c r="OB141" s="772">
        <f>OA141-NZ141</f>
        <v>27834</v>
      </c>
      <c r="OC141" s="659">
        <f>OB141/OA141</f>
        <v>0.34362962962962962</v>
      </c>
      <c r="OD141" s="191">
        <v>1</v>
      </c>
      <c r="OE141" s="358">
        <f t="shared" si="524"/>
        <v>637992</v>
      </c>
      <c r="OF141" s="358">
        <f t="shared" si="524"/>
        <v>972000</v>
      </c>
      <c r="OG141" s="358">
        <f t="shared" si="524"/>
        <v>334008</v>
      </c>
      <c r="OH141" s="220">
        <f>OG141/OF141</f>
        <v>0.34362962962962962</v>
      </c>
      <c r="OI141" s="1863">
        <f>(LV141+MA141+MF141)/3</f>
        <v>1</v>
      </c>
      <c r="OJ141" s="105">
        <f t="shared" si="525"/>
        <v>159498</v>
      </c>
      <c r="OK141" s="105">
        <f t="shared" si="525"/>
        <v>243000</v>
      </c>
      <c r="OL141" s="105">
        <f t="shared" si="525"/>
        <v>83502</v>
      </c>
      <c r="OM141" s="106">
        <f>OL141/OK141</f>
        <v>0.34362962962962962</v>
      </c>
      <c r="ON141" s="358">
        <f>(MK141+MP141+MU141)/3</f>
        <v>1</v>
      </c>
      <c r="OO141" s="358">
        <f t="shared" si="526"/>
        <v>159498</v>
      </c>
      <c r="OP141" s="358">
        <f t="shared" si="526"/>
        <v>243000</v>
      </c>
      <c r="OQ141" s="359">
        <f t="shared" si="526"/>
        <v>83502</v>
      </c>
      <c r="OR141" s="169">
        <f>OQ141/OP141</f>
        <v>0.34362962962962962</v>
      </c>
      <c r="OS141" s="686">
        <f>(NJ141+NE141+MZ141)/3</f>
        <v>1</v>
      </c>
      <c r="OT141" s="146">
        <f t="shared" si="527"/>
        <v>159498</v>
      </c>
      <c r="OU141" s="146">
        <f t="shared" si="527"/>
        <v>243000</v>
      </c>
      <c r="OV141" s="1864">
        <f t="shared" si="527"/>
        <v>83502</v>
      </c>
      <c r="OW141" s="203">
        <f>OV141/OU141</f>
        <v>0.34362962962962962</v>
      </c>
      <c r="OX141" s="357">
        <v>1</v>
      </c>
      <c r="OY141" s="358">
        <f t="shared" si="528"/>
        <v>159498</v>
      </c>
      <c r="OZ141" s="358">
        <f t="shared" si="528"/>
        <v>243000</v>
      </c>
      <c r="PA141" s="359">
        <f t="shared" si="528"/>
        <v>83502</v>
      </c>
      <c r="PB141" s="114">
        <f>PA141/OZ141</f>
        <v>0.34362962962962962</v>
      </c>
      <c r="PC141" s="79"/>
      <c r="PD141" s="439">
        <v>1</v>
      </c>
      <c r="PE141" s="208">
        <v>53166</v>
      </c>
      <c r="PF141" s="208">
        <v>81000</v>
      </c>
      <c r="PG141" s="96">
        <f>PF141-PE141</f>
        <v>27834</v>
      </c>
      <c r="PH141" s="224">
        <f>PG141/PF141</f>
        <v>0.34362962962962962</v>
      </c>
      <c r="PI141" s="1862">
        <v>1</v>
      </c>
      <c r="PJ141" s="265">
        <v>53166</v>
      </c>
      <c r="PK141" s="265">
        <v>81000</v>
      </c>
      <c r="PL141" s="371">
        <f t="shared" si="529"/>
        <v>27834</v>
      </c>
      <c r="PM141" s="157">
        <f t="shared" si="530"/>
        <v>0.34362962962962962</v>
      </c>
      <c r="PN141" s="439">
        <v>1</v>
      </c>
      <c r="PO141" s="208">
        <v>47900</v>
      </c>
      <c r="PP141" s="208">
        <v>62046</v>
      </c>
      <c r="PQ141" s="371">
        <f t="shared" si="531"/>
        <v>14146</v>
      </c>
      <c r="PR141" s="157">
        <f t="shared" si="532"/>
        <v>0.22799213486767883</v>
      </c>
      <c r="PS141" s="354">
        <v>1</v>
      </c>
      <c r="PT141" s="208">
        <v>60667</v>
      </c>
      <c r="PU141" s="208">
        <v>81000</v>
      </c>
      <c r="PV141" s="371">
        <f t="shared" si="533"/>
        <v>20333</v>
      </c>
      <c r="PW141" s="157">
        <f t="shared" si="534"/>
        <v>0.25102469135802469</v>
      </c>
      <c r="PX141" s="1579">
        <v>1</v>
      </c>
      <c r="PY141" s="264">
        <v>60667</v>
      </c>
      <c r="PZ141" s="264">
        <v>81000</v>
      </c>
      <c r="QA141" s="264">
        <f t="shared" si="535"/>
        <v>20333</v>
      </c>
      <c r="QB141" s="597">
        <f t="shared" si="536"/>
        <v>0.25102469135802469</v>
      </c>
      <c r="QC141" s="209">
        <v>1</v>
      </c>
      <c r="QD141" s="208">
        <v>60667</v>
      </c>
      <c r="QE141" s="208">
        <v>81000</v>
      </c>
      <c r="QF141" s="208">
        <f t="shared" si="537"/>
        <v>20333</v>
      </c>
      <c r="QG141" s="597">
        <f t="shared" si="538"/>
        <v>0.25102469135802469</v>
      </c>
      <c r="QH141" s="439">
        <v>1</v>
      </c>
      <c r="QI141" s="208">
        <v>60667</v>
      </c>
      <c r="QJ141" s="208">
        <v>81000</v>
      </c>
      <c r="QK141" s="208">
        <f t="shared" si="539"/>
        <v>20333</v>
      </c>
      <c r="QL141" s="597">
        <f t="shared" si="540"/>
        <v>0.25102469135802469</v>
      </c>
      <c r="QM141" s="439">
        <v>1</v>
      </c>
      <c r="QN141" s="208">
        <v>62500</v>
      </c>
      <c r="QO141" s="208">
        <v>75000</v>
      </c>
      <c r="QP141" s="208">
        <f t="shared" si="541"/>
        <v>12500</v>
      </c>
      <c r="QQ141" s="1869">
        <f t="shared" si="542"/>
        <v>0.16666666666666666</v>
      </c>
      <c r="QR141" s="209">
        <v>1</v>
      </c>
      <c r="QS141" s="208">
        <v>69535</v>
      </c>
      <c r="QT141" s="208">
        <v>81000</v>
      </c>
      <c r="QU141" s="208">
        <f t="shared" si="543"/>
        <v>11465</v>
      </c>
      <c r="QV141" s="75">
        <f t="shared" si="544"/>
        <v>0.1415432098765432</v>
      </c>
      <c r="QW141" s="2561">
        <v>1</v>
      </c>
      <c r="QX141" s="2562">
        <v>70417</v>
      </c>
      <c r="QY141" s="2562">
        <v>81000</v>
      </c>
      <c r="QZ141" s="208">
        <f t="shared" si="545"/>
        <v>10583</v>
      </c>
      <c r="RA141" s="157">
        <f t="shared" si="546"/>
        <v>0.13065432098765431</v>
      </c>
      <c r="RB141" s="357">
        <v>1</v>
      </c>
      <c r="RC141" s="358">
        <f>56667+13750</f>
        <v>70417</v>
      </c>
      <c r="RD141" s="358">
        <v>81000</v>
      </c>
      <c r="RE141" s="208">
        <f t="shared" si="547"/>
        <v>10583</v>
      </c>
      <c r="RF141" s="1313">
        <f t="shared" si="548"/>
        <v>0.13065432098765431</v>
      </c>
      <c r="RG141" s="1857">
        <v>1</v>
      </c>
      <c r="RH141" s="358">
        <v>60667</v>
      </c>
      <c r="RI141" s="358">
        <v>81000</v>
      </c>
      <c r="RJ141" s="772">
        <f t="shared" si="549"/>
        <v>20333</v>
      </c>
      <c r="RK141" s="659">
        <f t="shared" si="550"/>
        <v>0.25102469135802469</v>
      </c>
      <c r="RL141" s="1567">
        <v>1</v>
      </c>
      <c r="RM141" s="1568">
        <f t="shared" si="551"/>
        <v>730436</v>
      </c>
      <c r="RN141" s="1568">
        <f t="shared" si="551"/>
        <v>947046</v>
      </c>
      <c r="RO141" s="1568">
        <f t="shared" si="551"/>
        <v>216610</v>
      </c>
      <c r="RP141" s="220">
        <f t="shared" si="552"/>
        <v>0.22872173051784178</v>
      </c>
      <c r="RQ141" s="1863">
        <f t="shared" si="553"/>
        <v>1</v>
      </c>
      <c r="RR141" s="105">
        <f t="shared" si="554"/>
        <v>154232</v>
      </c>
      <c r="RS141" s="105">
        <f t="shared" si="554"/>
        <v>224046</v>
      </c>
      <c r="RT141" s="105">
        <f t="shared" si="554"/>
        <v>69814</v>
      </c>
      <c r="RU141" s="106">
        <f t="shared" si="555"/>
        <v>0.31160565241066568</v>
      </c>
      <c r="RV141" s="1868">
        <v>1</v>
      </c>
      <c r="RW141" s="358">
        <f t="shared" si="556"/>
        <v>182001</v>
      </c>
      <c r="RX141" s="358">
        <f t="shared" si="556"/>
        <v>243000</v>
      </c>
      <c r="RY141" s="359">
        <f t="shared" si="556"/>
        <v>60999</v>
      </c>
      <c r="RZ141" s="169">
        <f t="shared" si="557"/>
        <v>0.25102469135802469</v>
      </c>
      <c r="SA141" s="686">
        <v>1</v>
      </c>
      <c r="SB141" s="146">
        <f t="shared" si="558"/>
        <v>192702</v>
      </c>
      <c r="SC141" s="146">
        <f t="shared" si="558"/>
        <v>237000</v>
      </c>
      <c r="SD141" s="1864">
        <f t="shared" si="558"/>
        <v>44298</v>
      </c>
      <c r="SE141" s="203">
        <f t="shared" si="559"/>
        <v>0.1869113924050633</v>
      </c>
      <c r="SF141" s="1567">
        <v>1</v>
      </c>
      <c r="SG141" s="358">
        <f t="shared" si="560"/>
        <v>201501</v>
      </c>
      <c r="SH141" s="358">
        <f t="shared" si="560"/>
        <v>243000</v>
      </c>
      <c r="SI141" s="359">
        <f t="shared" si="560"/>
        <v>41499</v>
      </c>
      <c r="SJ141" s="114">
        <f t="shared" si="561"/>
        <v>0.17077777777777778</v>
      </c>
      <c r="SL141" s="401">
        <v>1</v>
      </c>
      <c r="SM141" s="395">
        <v>60667</v>
      </c>
      <c r="SN141" s="395">
        <v>81000</v>
      </c>
      <c r="SO141" s="115">
        <f t="shared" si="562"/>
        <v>20333</v>
      </c>
      <c r="SP141" s="186">
        <f t="shared" si="563"/>
        <v>0.25102469135802469</v>
      </c>
      <c r="SQ141" s="439">
        <v>1</v>
      </c>
      <c r="SR141" s="208">
        <v>60667</v>
      </c>
      <c r="SS141" s="208">
        <v>81000</v>
      </c>
      <c r="ST141" s="96">
        <f t="shared" si="564"/>
        <v>20333</v>
      </c>
      <c r="SU141" s="78">
        <f>ST141/SS141</f>
        <v>0.25102469135802469</v>
      </c>
      <c r="SV141" s="439">
        <v>1</v>
      </c>
      <c r="SW141" s="208">
        <v>60667</v>
      </c>
      <c r="SX141" s="994">
        <v>81000</v>
      </c>
      <c r="SY141" s="96">
        <f t="shared" si="565"/>
        <v>20333</v>
      </c>
      <c r="SZ141" s="94">
        <f>SY141/SX141</f>
        <v>0.25102469135802469</v>
      </c>
      <c r="TA141" s="2573"/>
      <c r="TB141" s="395">
        <v>0</v>
      </c>
      <c r="TC141" s="772">
        <v>0</v>
      </c>
      <c r="TD141" s="115">
        <f t="shared" si="566"/>
        <v>0</v>
      </c>
      <c r="TE141" s="94" t="s">
        <v>819</v>
      </c>
      <c r="TF141" s="354"/>
      <c r="TG141" s="208">
        <v>0</v>
      </c>
      <c r="TH141" s="208">
        <v>0</v>
      </c>
      <c r="TI141" s="208">
        <f t="shared" si="480"/>
        <v>0</v>
      </c>
      <c r="TJ141" s="2155">
        <v>0</v>
      </c>
      <c r="TK141" s="209"/>
      <c r="TL141" s="208"/>
      <c r="TM141" s="208"/>
      <c r="TN141" s="208">
        <f>TM141-TL141</f>
        <v>0</v>
      </c>
      <c r="TO141" s="2155">
        <v>0</v>
      </c>
      <c r="TP141" s="4432"/>
      <c r="TQ141" s="208"/>
      <c r="TR141" s="208"/>
      <c r="TS141" s="994">
        <f>TR141-TQ141</f>
        <v>0</v>
      </c>
      <c r="TT141" s="114"/>
      <c r="TU141" s="4432"/>
      <c r="TV141" s="208">
        <v>0</v>
      </c>
      <c r="TW141" s="208">
        <v>0</v>
      </c>
      <c r="TX141" s="994">
        <f t="shared" si="567"/>
        <v>0</v>
      </c>
      <c r="TY141" s="2155">
        <v>0</v>
      </c>
      <c r="TZ141" s="1868"/>
      <c r="UA141" s="1575">
        <v>0</v>
      </c>
      <c r="UB141" s="1575">
        <v>0</v>
      </c>
      <c r="UC141" s="2552">
        <f t="shared" si="568"/>
        <v>0</v>
      </c>
      <c r="UD141" s="5261">
        <v>0</v>
      </c>
      <c r="UE141" s="6505"/>
      <c r="UF141" s="1575">
        <v>0</v>
      </c>
      <c r="UG141" s="1575">
        <v>0</v>
      </c>
      <c r="UH141" s="2552">
        <f t="shared" si="569"/>
        <v>0</v>
      </c>
      <c r="UI141" s="6508">
        <v>0</v>
      </c>
      <c r="UJ141" s="357"/>
      <c r="UK141" s="358"/>
      <c r="UL141" s="358"/>
      <c r="UM141" s="208">
        <f t="shared" si="570"/>
        <v>0</v>
      </c>
      <c r="UN141" s="1313" t="e">
        <f t="shared" si="571"/>
        <v>#DIV/0!</v>
      </c>
      <c r="UO141" s="1567"/>
      <c r="UP141" s="1568"/>
      <c r="UQ141" s="1568"/>
      <c r="UR141" s="2012">
        <f t="shared" si="572"/>
        <v>0</v>
      </c>
      <c r="US141" s="659" t="e">
        <f t="shared" si="573"/>
        <v>#DIV/0!</v>
      </c>
      <c r="UT141" s="1567"/>
      <c r="UU141" s="358">
        <f t="shared" si="574"/>
        <v>182001</v>
      </c>
      <c r="UV141" s="358">
        <f t="shared" si="574"/>
        <v>243000</v>
      </c>
      <c r="UW141" s="358">
        <f t="shared" si="574"/>
        <v>60999</v>
      </c>
      <c r="UX141" s="220">
        <f t="shared" si="575"/>
        <v>0.25102469135802469</v>
      </c>
      <c r="UY141" s="1863">
        <f t="shared" si="576"/>
        <v>1</v>
      </c>
      <c r="UZ141" s="105">
        <f t="shared" si="577"/>
        <v>182001</v>
      </c>
      <c r="VA141" s="105">
        <f t="shared" si="577"/>
        <v>243000</v>
      </c>
      <c r="VB141" s="105">
        <f t="shared" si="577"/>
        <v>60999</v>
      </c>
      <c r="VC141" s="106">
        <f t="shared" si="578"/>
        <v>0.25102469135802469</v>
      </c>
      <c r="VD141" s="1868"/>
      <c r="VE141" s="358">
        <f t="shared" si="579"/>
        <v>0</v>
      </c>
      <c r="VF141" s="358">
        <f t="shared" si="579"/>
        <v>0</v>
      </c>
      <c r="VG141" s="359">
        <f t="shared" si="579"/>
        <v>0</v>
      </c>
      <c r="VH141" s="169" t="e">
        <f t="shared" si="580"/>
        <v>#DIV/0!</v>
      </c>
      <c r="VI141" s="686"/>
      <c r="VJ141" s="146">
        <f t="shared" si="581"/>
        <v>0</v>
      </c>
      <c r="VK141" s="146">
        <f t="shared" si="581"/>
        <v>0</v>
      </c>
      <c r="VL141" s="1864">
        <f t="shared" si="581"/>
        <v>0</v>
      </c>
      <c r="VM141" s="203" t="e">
        <f t="shared" si="582"/>
        <v>#DIV/0!</v>
      </c>
      <c r="VN141" s="1567"/>
      <c r="VO141" s="358">
        <f t="shared" si="583"/>
        <v>0</v>
      </c>
      <c r="VP141" s="358">
        <f t="shared" si="583"/>
        <v>0</v>
      </c>
      <c r="VQ141" s="359">
        <f t="shared" si="583"/>
        <v>0</v>
      </c>
      <c r="VR141" s="114" t="e">
        <f t="shared" si="584"/>
        <v>#DIV/0!</v>
      </c>
    </row>
    <row r="142" spans="1:590" s="1193" customFormat="1" ht="13.45" x14ac:dyDescent="0.3">
      <c r="A142" s="1297"/>
      <c r="B142" s="583" t="s">
        <v>84</v>
      </c>
      <c r="C142" s="2636" t="s">
        <v>100</v>
      </c>
      <c r="D142" s="1992" t="s">
        <v>277</v>
      </c>
      <c r="E142" s="2591">
        <v>45042</v>
      </c>
      <c r="F142" s="2591">
        <v>45407</v>
      </c>
      <c r="G142" s="1994">
        <v>245333</v>
      </c>
      <c r="H142" s="1874"/>
      <c r="I142" s="1875"/>
      <c r="J142" s="1875"/>
      <c r="K142" s="1875"/>
      <c r="L142" s="1876"/>
      <c r="M142" s="1874"/>
      <c r="N142" s="1875"/>
      <c r="O142" s="1875"/>
      <c r="P142" s="1875"/>
      <c r="Q142" s="1876"/>
      <c r="R142" s="1874"/>
      <c r="S142" s="1875"/>
      <c r="T142" s="1875"/>
      <c r="U142" s="1875"/>
      <c r="V142" s="1876"/>
      <c r="W142" s="1874"/>
      <c r="X142" s="1875"/>
      <c r="Y142" s="1875"/>
      <c r="Z142" s="1875"/>
      <c r="AA142" s="1877"/>
      <c r="AB142" s="1874"/>
      <c r="AC142" s="1875"/>
      <c r="AD142" s="1875"/>
      <c r="AE142" s="1875"/>
      <c r="AF142" s="1877"/>
      <c r="AG142" s="1875"/>
      <c r="AH142" s="1875"/>
      <c r="AI142" s="1875"/>
      <c r="AJ142" s="1875"/>
      <c r="AK142" s="1876"/>
      <c r="AL142" s="1875"/>
      <c r="AM142" s="1875"/>
      <c r="AN142" s="1875"/>
      <c r="AO142" s="1875"/>
      <c r="AP142" s="1876"/>
      <c r="AQ142" s="1875"/>
      <c r="AR142" s="1875"/>
      <c r="AS142" s="1875"/>
      <c r="AT142" s="1875"/>
      <c r="AU142" s="1876"/>
      <c r="AV142" s="1878"/>
      <c r="AW142" s="1875"/>
      <c r="AX142" s="1875"/>
      <c r="AY142" s="1875"/>
      <c r="AZ142" s="1877"/>
      <c r="BA142" s="1878"/>
      <c r="BB142" s="1875"/>
      <c r="BC142" s="1875"/>
      <c r="BD142" s="1875"/>
      <c r="BE142" s="1877"/>
      <c r="BF142" s="1878"/>
      <c r="BG142" s="1875"/>
      <c r="BH142" s="1875"/>
      <c r="BI142" s="1875"/>
      <c r="BJ142" s="1877"/>
      <c r="BK142" s="1878"/>
      <c r="BL142" s="1875"/>
      <c r="BM142" s="1875"/>
      <c r="BN142" s="1875"/>
      <c r="BO142" s="1877"/>
      <c r="BP142" s="1879"/>
      <c r="BQ142" s="1875"/>
      <c r="BR142" s="1875"/>
      <c r="BS142" s="1875"/>
      <c r="BT142" s="1880"/>
      <c r="BU142" s="1875"/>
      <c r="BV142" s="1875"/>
      <c r="BW142" s="1881"/>
      <c r="BX142" s="1880"/>
      <c r="BY142" s="1875"/>
      <c r="BZ142" s="1875"/>
      <c r="CA142" s="1882"/>
      <c r="CB142" s="1875"/>
      <c r="CC142" s="1875"/>
      <c r="CD142" s="1875"/>
      <c r="CE142" s="1875"/>
      <c r="CF142" s="1880"/>
      <c r="CG142" s="1875"/>
      <c r="CH142" s="1875"/>
      <c r="CI142" s="1882"/>
      <c r="CJ142" s="1883"/>
      <c r="CK142" s="1875"/>
      <c r="CL142" s="1875"/>
      <c r="CM142" s="1875"/>
      <c r="CN142" s="1881"/>
      <c r="CO142" s="1883"/>
      <c r="CP142" s="1874"/>
      <c r="CQ142" s="1874"/>
      <c r="CR142" s="1874"/>
      <c r="CS142" s="1881"/>
      <c r="CT142" s="1883"/>
      <c r="CU142" s="1875"/>
      <c r="CV142" s="1875"/>
      <c r="CW142" s="1875"/>
      <c r="CX142" s="1881"/>
      <c r="CY142" s="1883"/>
      <c r="CZ142" s="1875"/>
      <c r="DA142" s="1875"/>
      <c r="DB142" s="1875"/>
      <c r="DC142" s="1881"/>
      <c r="DD142" s="1883"/>
      <c r="DE142" s="1875"/>
      <c r="DF142" s="1875"/>
      <c r="DG142" s="1875"/>
      <c r="DH142" s="1884"/>
      <c r="DI142" s="1883"/>
      <c r="DJ142" s="1875"/>
      <c r="DK142" s="1875"/>
      <c r="DL142" s="1875"/>
      <c r="DM142" s="1884"/>
      <c r="DN142" s="1883"/>
      <c r="DO142" s="1875"/>
      <c r="DP142" s="1875"/>
      <c r="DQ142" s="1875"/>
      <c r="DR142" s="1884"/>
      <c r="DS142" s="1883"/>
      <c r="DT142" s="1875"/>
      <c r="DU142" s="1875"/>
      <c r="DV142" s="1875"/>
      <c r="DW142" s="1884"/>
      <c r="DX142" s="1883"/>
      <c r="DY142" s="1875"/>
      <c r="DZ142" s="1875"/>
      <c r="EA142" s="1875"/>
      <c r="EB142" s="1884"/>
      <c r="EC142" s="1883"/>
      <c r="ED142" s="1875"/>
      <c r="EE142" s="1875"/>
      <c r="EF142" s="1875"/>
      <c r="EG142" s="1884"/>
      <c r="EH142" s="1885"/>
      <c r="EI142" s="1886"/>
      <c r="EJ142" s="1886"/>
      <c r="EK142" s="1886"/>
      <c r="EL142" s="1887"/>
      <c r="EM142" s="1888"/>
      <c r="EN142" s="1889"/>
      <c r="EO142" s="1889"/>
      <c r="EP142" s="1889"/>
      <c r="EQ142" s="166"/>
      <c r="ER142" s="1713">
        <f>(CJ142+CO142+CT142+CY142+DD142+DI142+DN142+DS142+DX142+EC142+EH142+EM142)/12</f>
        <v>0</v>
      </c>
      <c r="ES142" s="1714">
        <f t="shared" si="517"/>
        <v>0</v>
      </c>
      <c r="ET142" s="1714">
        <f t="shared" si="517"/>
        <v>0</v>
      </c>
      <c r="EU142" s="1714">
        <f t="shared" si="517"/>
        <v>0</v>
      </c>
      <c r="EV142" s="1715" t="e">
        <f>EU142/ET142</f>
        <v>#DIV/0!</v>
      </c>
      <c r="EW142" s="1890"/>
      <c r="EX142" s="1890"/>
      <c r="EY142" s="1890"/>
      <c r="EZ142" s="1891"/>
      <c r="FA142" s="1885"/>
      <c r="FB142" s="1890"/>
      <c r="FC142" s="1890"/>
      <c r="FD142" s="1892"/>
      <c r="FE142" s="1890"/>
      <c r="FF142" s="1890"/>
      <c r="FG142" s="1890"/>
      <c r="FH142" s="1891"/>
      <c r="FI142" s="1893"/>
      <c r="FJ142" s="1894"/>
      <c r="FK142" s="1895"/>
      <c r="FL142" s="1895"/>
      <c r="FM142" s="1896"/>
      <c r="FN142" s="1890"/>
      <c r="FO142" s="1886"/>
      <c r="FP142" s="1886"/>
      <c r="FQ142" s="1886"/>
      <c r="FR142" s="1897"/>
      <c r="FS142" s="1888"/>
      <c r="FT142" s="1889"/>
      <c r="FU142" s="1889"/>
      <c r="FV142" s="1889"/>
      <c r="FW142" s="1898"/>
      <c r="FX142" s="1885"/>
      <c r="FY142" s="1886"/>
      <c r="FZ142" s="1886"/>
      <c r="GA142" s="1889"/>
      <c r="GB142" s="1898"/>
      <c r="GC142" s="1899"/>
      <c r="GD142" s="1900"/>
      <c r="GE142" s="1900"/>
      <c r="GF142" s="1889"/>
      <c r="GG142" s="166"/>
      <c r="GH142" s="1901"/>
      <c r="GI142" s="1824"/>
      <c r="GJ142" s="1824"/>
      <c r="GK142" s="1902"/>
      <c r="GL142" s="1898"/>
      <c r="GM142" s="1901"/>
      <c r="GN142" s="1824"/>
      <c r="GO142" s="1824"/>
      <c r="GP142" s="1902"/>
      <c r="GQ142" s="1898"/>
      <c r="GR142" s="1903"/>
      <c r="GS142" s="1904"/>
      <c r="GT142" s="1904"/>
      <c r="GU142" s="1902"/>
      <c r="GV142" s="1898"/>
      <c r="GW142" s="1903"/>
      <c r="GX142" s="1904"/>
      <c r="GY142" s="1904"/>
      <c r="GZ142" s="1902"/>
      <c r="HA142" s="1898"/>
      <c r="HB142" s="1903"/>
      <c r="HC142" s="1904"/>
      <c r="HD142" s="1904"/>
      <c r="HE142" s="1902"/>
      <c r="HF142" s="1898"/>
      <c r="HG142" s="1903"/>
      <c r="HH142" s="1904"/>
      <c r="HI142" s="1904"/>
      <c r="HJ142" s="1818"/>
      <c r="HK142" s="1898"/>
      <c r="HL142" s="1903"/>
      <c r="HM142" s="1904"/>
      <c r="HN142" s="1904"/>
      <c r="HO142" s="715"/>
      <c r="HP142" s="166"/>
      <c r="HQ142" s="2587"/>
      <c r="HR142" s="1916"/>
      <c r="HS142" s="1916"/>
      <c r="HT142" s="1916"/>
      <c r="HU142" s="2588"/>
      <c r="HV142" s="2008">
        <f>(FN142+FS142+FX142+GC142+GH142+GM142+GR142+GW142+HB142+HG142+HL142+HQ142)/12</f>
        <v>0</v>
      </c>
      <c r="HW142" s="208">
        <f t="shared" si="518"/>
        <v>0</v>
      </c>
      <c r="HX142" s="208">
        <f t="shared" si="518"/>
        <v>0</v>
      </c>
      <c r="HY142" s="208">
        <f t="shared" si="518"/>
        <v>0</v>
      </c>
      <c r="HZ142" s="2009"/>
      <c r="IA142" s="1907"/>
      <c r="IB142" s="1908"/>
      <c r="IC142" s="1908"/>
      <c r="ID142" s="1909"/>
      <c r="IE142" s="1910"/>
      <c r="IF142" s="1911"/>
      <c r="IG142" s="1912"/>
      <c r="IH142" s="1909"/>
      <c r="II142" s="1835"/>
      <c r="IJ142" s="1836"/>
      <c r="IK142" s="1836"/>
      <c r="IL142" s="693"/>
      <c r="IM142" s="1913"/>
      <c r="IN142" s="1836"/>
      <c r="IO142" s="1836"/>
      <c r="IP142" s="1838"/>
      <c r="IQ142" s="1914"/>
      <c r="IR142" s="1915"/>
      <c r="IS142" s="1916"/>
      <c r="IT142" s="1916"/>
      <c r="IU142" s="1917"/>
      <c r="IV142" s="1918"/>
      <c r="IW142" s="1919"/>
      <c r="IX142" s="1920"/>
      <c r="IY142" s="1921"/>
      <c r="IZ142" s="1719"/>
      <c r="JA142" s="1721"/>
      <c r="JB142" s="1922"/>
      <c r="JC142" s="1923"/>
      <c r="JD142" s="1924"/>
      <c r="JE142" s="1719"/>
      <c r="JF142" s="1721"/>
      <c r="JG142" s="1847"/>
      <c r="JH142" s="1096"/>
      <c r="JI142" s="1096"/>
      <c r="JJ142" s="1756"/>
      <c r="JK142" s="1721"/>
      <c r="JL142" s="1927"/>
      <c r="JM142" s="1096"/>
      <c r="JN142" s="1096"/>
      <c r="JO142" s="1843"/>
      <c r="JP142" s="1721"/>
      <c r="JQ142" s="1926"/>
      <c r="JR142" s="1982"/>
      <c r="JS142" s="1248"/>
      <c r="JT142" s="1995"/>
      <c r="JU142" s="1821"/>
      <c r="JV142" s="1849"/>
      <c r="JW142" s="1119"/>
      <c r="JX142" s="1850"/>
      <c r="JY142" s="1850"/>
      <c r="JZ142" s="1721"/>
      <c r="KA142" s="1846"/>
      <c r="KB142" s="264"/>
      <c r="KC142" s="264"/>
      <c r="KD142" s="964"/>
      <c r="KE142" s="1848"/>
      <c r="KF142" s="1849"/>
      <c r="KG142" s="1850"/>
      <c r="KH142" s="1850"/>
      <c r="KI142" s="1719"/>
      <c r="KJ142" s="1721"/>
      <c r="KK142" s="1849"/>
      <c r="KL142" s="1850"/>
      <c r="KM142" s="1850"/>
      <c r="KN142" s="1851"/>
      <c r="KO142" s="1852"/>
      <c r="KP142" s="1722"/>
      <c r="KQ142" s="972"/>
      <c r="KR142" s="264"/>
      <c r="KS142" s="1845"/>
      <c r="KT142" s="1720"/>
      <c r="KU142" s="1853"/>
      <c r="KV142" s="264">
        <v>0</v>
      </c>
      <c r="KW142" s="264">
        <v>0</v>
      </c>
      <c r="KX142" s="264">
        <f>KW142-KV142</f>
        <v>0</v>
      </c>
      <c r="KY142" s="75"/>
      <c r="KZ142" s="1857">
        <f>(IR142+IW142+JB142+JG142+JL142+JQ142+JV142+KA142+KF142+KK142+KP142+KU142)/12</f>
        <v>0</v>
      </c>
      <c r="LA142" s="358">
        <f t="shared" si="519"/>
        <v>0</v>
      </c>
      <c r="LB142" s="358">
        <f t="shared" si="519"/>
        <v>0</v>
      </c>
      <c r="LC142" s="358">
        <f t="shared" si="519"/>
        <v>0</v>
      </c>
      <c r="LD142" s="151"/>
      <c r="LE142" s="1854">
        <f>(IR142+IW142+JB142)/3</f>
        <v>0</v>
      </c>
      <c r="LF142" s="1855">
        <f t="shared" si="520"/>
        <v>0</v>
      </c>
      <c r="LG142" s="1855">
        <f t="shared" si="520"/>
        <v>0</v>
      </c>
      <c r="LH142" s="1856" t="e">
        <f>LG142/LF142</f>
        <v>#DIV/0!</v>
      </c>
      <c r="LI142" s="1857">
        <f>(JG142+JL142+JQ142)/3</f>
        <v>0</v>
      </c>
      <c r="LJ142" s="1858">
        <f t="shared" si="521"/>
        <v>0</v>
      </c>
      <c r="LK142" s="1854">
        <f t="shared" si="521"/>
        <v>0</v>
      </c>
      <c r="LL142" s="1856"/>
      <c r="LM142" s="1859">
        <f>(JV142+KA142+KF142)/3</f>
        <v>0</v>
      </c>
      <c r="LN142" s="1727">
        <f t="shared" si="522"/>
        <v>0</v>
      </c>
      <c r="LO142" s="1727">
        <f t="shared" si="522"/>
        <v>0</v>
      </c>
      <c r="LP142" s="151"/>
      <c r="LQ142" s="1860">
        <f>(KK142+KP142+KU142)/3</f>
        <v>0</v>
      </c>
      <c r="LR142" s="1727">
        <f t="shared" si="523"/>
        <v>0</v>
      </c>
      <c r="LS142" s="1727">
        <f t="shared" si="523"/>
        <v>0</v>
      </c>
      <c r="LT142" s="1861"/>
      <c r="LV142" s="439"/>
      <c r="LW142" s="208"/>
      <c r="LX142" s="208"/>
      <c r="LY142" s="96"/>
      <c r="LZ142" s="78"/>
      <c r="MA142" s="2087"/>
      <c r="MB142" s="1248"/>
      <c r="MC142" s="1248"/>
      <c r="MD142" s="2589"/>
      <c r="ME142" s="75"/>
      <c r="MF142" s="405"/>
      <c r="MG142" s="208">
        <v>0</v>
      </c>
      <c r="MH142" s="208">
        <v>0</v>
      </c>
      <c r="MI142" s="371">
        <v>0</v>
      </c>
      <c r="MJ142" s="157"/>
      <c r="MK142" s="354">
        <v>2</v>
      </c>
      <c r="ML142" s="208">
        <v>54167</v>
      </c>
      <c r="MM142" s="208">
        <v>92000</v>
      </c>
      <c r="MN142" s="371">
        <f>MM142-ML142</f>
        <v>37833</v>
      </c>
      <c r="MO142" s="157">
        <f>MN142/MM142</f>
        <v>0.41122826086956521</v>
      </c>
      <c r="MP142" s="1579">
        <v>1</v>
      </c>
      <c r="MQ142" s="264">
        <v>54167</v>
      </c>
      <c r="MR142" s="264">
        <v>92000</v>
      </c>
      <c r="MS142" s="264">
        <f>MR142-MQ142</f>
        <v>37833</v>
      </c>
      <c r="MT142" s="597">
        <f>MS142/MR142</f>
        <v>0.41122826086956521</v>
      </c>
      <c r="MU142" s="209">
        <v>1</v>
      </c>
      <c r="MV142" s="208">
        <v>54167</v>
      </c>
      <c r="MW142" s="208">
        <v>92000</v>
      </c>
      <c r="MX142" s="208">
        <f>MW142-MV142</f>
        <v>37833</v>
      </c>
      <c r="MY142" s="597">
        <f>MX142/MW142</f>
        <v>0.41122826086956521</v>
      </c>
      <c r="MZ142" s="209">
        <v>2</v>
      </c>
      <c r="NA142" s="208">
        <v>54167</v>
      </c>
      <c r="NB142" s="208">
        <v>148040</v>
      </c>
      <c r="NC142" s="208">
        <f>NB142-NA142</f>
        <v>93873</v>
      </c>
      <c r="ND142" s="597">
        <f>NC142/NB142</f>
        <v>0.63410564712239936</v>
      </c>
      <c r="NE142" s="209">
        <v>2</v>
      </c>
      <c r="NF142" s="208">
        <v>87501</v>
      </c>
      <c r="NG142" s="208">
        <v>152000</v>
      </c>
      <c r="NH142" s="208">
        <f>NG142-NF142</f>
        <v>64499</v>
      </c>
      <c r="NI142" s="597">
        <f>NH142/NG142</f>
        <v>0.42433552631578947</v>
      </c>
      <c r="NJ142" s="209">
        <v>4</v>
      </c>
      <c r="NK142" s="208">
        <v>141786</v>
      </c>
      <c r="NL142" s="208">
        <v>241000</v>
      </c>
      <c r="NM142" s="208">
        <f>NL142-NK142</f>
        <v>99214</v>
      </c>
      <c r="NN142" s="597">
        <f>NM142/NL142</f>
        <v>0.41167634854771784</v>
      </c>
      <c r="NO142" s="357">
        <v>4</v>
      </c>
      <c r="NP142" s="358">
        <v>145835</v>
      </c>
      <c r="NQ142" s="358">
        <v>245333</v>
      </c>
      <c r="NR142" s="208">
        <f>NQ142-NP142</f>
        <v>99498</v>
      </c>
      <c r="NS142" s="597">
        <f>NR142/NQ142</f>
        <v>0.40556305103675411</v>
      </c>
      <c r="NT142" s="357">
        <v>4</v>
      </c>
      <c r="NU142" s="358">
        <v>145835</v>
      </c>
      <c r="NV142" s="358">
        <v>245333</v>
      </c>
      <c r="NW142" s="208">
        <f>NV142-NU142</f>
        <v>99498</v>
      </c>
      <c r="NX142" s="597">
        <f>NW142/NV142</f>
        <v>0.40556305103675411</v>
      </c>
      <c r="NY142" s="357">
        <v>4</v>
      </c>
      <c r="NZ142" s="358">
        <v>145835</v>
      </c>
      <c r="OA142" s="358">
        <v>245333</v>
      </c>
      <c r="OB142" s="772">
        <f>OA142-NZ142</f>
        <v>99498</v>
      </c>
      <c r="OC142" s="659">
        <f>OB142/OA142</f>
        <v>0.40556305103675411</v>
      </c>
      <c r="OD142" s="191">
        <v>4</v>
      </c>
      <c r="OE142" s="358">
        <f t="shared" si="524"/>
        <v>883460</v>
      </c>
      <c r="OF142" s="358">
        <f t="shared" si="524"/>
        <v>1553039</v>
      </c>
      <c r="OG142" s="358">
        <f t="shared" si="524"/>
        <v>669579</v>
      </c>
      <c r="OH142" s="220">
        <f>OG142/OF142</f>
        <v>0.43114113682914595</v>
      </c>
      <c r="OI142" s="1868"/>
      <c r="OJ142" s="105">
        <f>LW142+MB142+MG142</f>
        <v>0</v>
      </c>
      <c r="OK142" s="1575"/>
      <c r="OL142" s="1575"/>
      <c r="OM142" s="83"/>
      <c r="ON142" s="358">
        <f>(MK142+MP142+MU142)/3</f>
        <v>1.3333333333333333</v>
      </c>
      <c r="OO142" s="358">
        <f t="shared" si="526"/>
        <v>162501</v>
      </c>
      <c r="OP142" s="358">
        <f t="shared" si="526"/>
        <v>276000</v>
      </c>
      <c r="OQ142" s="359">
        <f t="shared" si="526"/>
        <v>113499</v>
      </c>
      <c r="OR142" s="169">
        <f>OQ142/OP142</f>
        <v>0.41122826086956521</v>
      </c>
      <c r="OS142" s="686">
        <f>(NJ142+NE142+MZ142)/3</f>
        <v>2.6666666666666665</v>
      </c>
      <c r="OT142" s="146">
        <f t="shared" si="527"/>
        <v>283454</v>
      </c>
      <c r="OU142" s="146">
        <f t="shared" si="527"/>
        <v>541040</v>
      </c>
      <c r="OV142" s="1864">
        <f t="shared" si="527"/>
        <v>257586</v>
      </c>
      <c r="OW142" s="203">
        <f>OV142/OU142</f>
        <v>0.47609418896939226</v>
      </c>
      <c r="OX142" s="357">
        <v>4</v>
      </c>
      <c r="OY142" s="358">
        <f t="shared" si="528"/>
        <v>437505</v>
      </c>
      <c r="OZ142" s="358">
        <f t="shared" si="528"/>
        <v>735999</v>
      </c>
      <c r="PA142" s="359">
        <f t="shared" si="528"/>
        <v>298494</v>
      </c>
      <c r="PB142" s="114">
        <f>PA142/OZ142</f>
        <v>0.40556305103675411</v>
      </c>
      <c r="PC142" s="79"/>
      <c r="PD142" s="439">
        <v>4</v>
      </c>
      <c r="PE142" s="208">
        <v>145835</v>
      </c>
      <c r="PF142" s="208">
        <v>245088</v>
      </c>
      <c r="PG142" s="96">
        <f>PF142-PE142</f>
        <v>99253</v>
      </c>
      <c r="PH142" s="224">
        <f>PG142/PF142</f>
        <v>0.40496882752317537</v>
      </c>
      <c r="PI142" s="2087">
        <v>4</v>
      </c>
      <c r="PJ142" s="1248">
        <v>145835</v>
      </c>
      <c r="PK142" s="1248">
        <v>245333</v>
      </c>
      <c r="PL142" s="371">
        <f t="shared" si="529"/>
        <v>99498</v>
      </c>
      <c r="PM142" s="157">
        <f t="shared" si="530"/>
        <v>0.40556305103675411</v>
      </c>
      <c r="PN142" s="439">
        <v>4</v>
      </c>
      <c r="PO142" s="208">
        <v>145835</v>
      </c>
      <c r="PP142" s="208">
        <v>245333</v>
      </c>
      <c r="PQ142" s="371">
        <f t="shared" si="531"/>
        <v>99498</v>
      </c>
      <c r="PR142" s="157">
        <f t="shared" si="532"/>
        <v>0.40556305103675411</v>
      </c>
      <c r="PS142" s="354">
        <v>4</v>
      </c>
      <c r="PT142" s="208">
        <v>145835</v>
      </c>
      <c r="PU142" s="208">
        <v>245333</v>
      </c>
      <c r="PV142" s="371">
        <f t="shared" si="533"/>
        <v>99498</v>
      </c>
      <c r="PW142" s="157">
        <f t="shared" si="534"/>
        <v>0.40556305103675411</v>
      </c>
      <c r="PX142" s="1579">
        <v>4</v>
      </c>
      <c r="PY142" s="264">
        <v>145835</v>
      </c>
      <c r="PZ142" s="264">
        <v>245333</v>
      </c>
      <c r="QA142" s="264">
        <f t="shared" si="535"/>
        <v>99498</v>
      </c>
      <c r="QB142" s="597">
        <f t="shared" si="536"/>
        <v>0.40556305103675411</v>
      </c>
      <c r="QC142" s="209">
        <v>4</v>
      </c>
      <c r="QD142" s="208">
        <v>145835</v>
      </c>
      <c r="QE142" s="208">
        <v>245333</v>
      </c>
      <c r="QF142" s="208">
        <f t="shared" si="537"/>
        <v>99498</v>
      </c>
      <c r="QG142" s="597">
        <f t="shared" si="538"/>
        <v>0.40556305103675411</v>
      </c>
      <c r="QH142" s="439">
        <v>4</v>
      </c>
      <c r="QI142" s="208">
        <v>145835</v>
      </c>
      <c r="QJ142" s="208">
        <v>245333</v>
      </c>
      <c r="QK142" s="208">
        <f t="shared" si="539"/>
        <v>99498</v>
      </c>
      <c r="QL142" s="597">
        <f t="shared" si="540"/>
        <v>0.40556305103675411</v>
      </c>
      <c r="QM142" s="439">
        <v>4</v>
      </c>
      <c r="QN142" s="208">
        <v>145835</v>
      </c>
      <c r="QO142" s="208">
        <v>245333</v>
      </c>
      <c r="QP142" s="208">
        <f t="shared" si="541"/>
        <v>99498</v>
      </c>
      <c r="QQ142" s="1869">
        <f t="shared" si="542"/>
        <v>0.40556305103675411</v>
      </c>
      <c r="QR142" s="209">
        <v>4</v>
      </c>
      <c r="QS142" s="208">
        <v>145835</v>
      </c>
      <c r="QT142" s="208">
        <v>245333</v>
      </c>
      <c r="QU142" s="395">
        <f t="shared" si="543"/>
        <v>99498</v>
      </c>
      <c r="QV142" s="75">
        <f t="shared" si="544"/>
        <v>0.40556305103675411</v>
      </c>
      <c r="QW142" s="2561">
        <v>4</v>
      </c>
      <c r="QX142" s="2586">
        <v>151252</v>
      </c>
      <c r="QY142" s="2586">
        <v>245333</v>
      </c>
      <c r="QZ142" s="395">
        <f t="shared" si="545"/>
        <v>94081</v>
      </c>
      <c r="RA142" s="157">
        <f t="shared" si="546"/>
        <v>0.38348285799301357</v>
      </c>
      <c r="RB142" s="357">
        <v>4</v>
      </c>
      <c r="RC142" s="358">
        <v>151252</v>
      </c>
      <c r="RD142" s="358">
        <v>245333</v>
      </c>
      <c r="RE142" s="208">
        <f t="shared" si="547"/>
        <v>94081</v>
      </c>
      <c r="RF142" s="1313">
        <f t="shared" si="548"/>
        <v>0.38348285799301357</v>
      </c>
      <c r="RG142" s="1857">
        <v>4</v>
      </c>
      <c r="RH142" s="358">
        <v>151252</v>
      </c>
      <c r="RI142" s="358">
        <v>245333</v>
      </c>
      <c r="RJ142" s="772">
        <f t="shared" si="549"/>
        <v>94081</v>
      </c>
      <c r="RK142" s="659">
        <f t="shared" si="550"/>
        <v>0.38348285799301357</v>
      </c>
      <c r="RL142" s="1567">
        <v>4</v>
      </c>
      <c r="RM142" s="1568">
        <f t="shared" si="551"/>
        <v>1766271</v>
      </c>
      <c r="RN142" s="1568">
        <f t="shared" si="551"/>
        <v>2943751</v>
      </c>
      <c r="RO142" s="1568">
        <f t="shared" si="551"/>
        <v>1177480</v>
      </c>
      <c r="RP142" s="220">
        <f t="shared" si="552"/>
        <v>0.3999930700660484</v>
      </c>
      <c r="RQ142" s="1863">
        <f t="shared" si="553"/>
        <v>4</v>
      </c>
      <c r="RR142" s="105">
        <f t="shared" si="554"/>
        <v>437505</v>
      </c>
      <c r="RS142" s="105">
        <f t="shared" si="554"/>
        <v>735754</v>
      </c>
      <c r="RT142" s="105">
        <f t="shared" si="554"/>
        <v>298249</v>
      </c>
      <c r="RU142" s="106">
        <f t="shared" si="555"/>
        <v>0.4053651084465732</v>
      </c>
      <c r="RV142" s="1868">
        <v>4</v>
      </c>
      <c r="RW142" s="358">
        <f t="shared" si="556"/>
        <v>437505</v>
      </c>
      <c r="RX142" s="358">
        <f t="shared" si="556"/>
        <v>735999</v>
      </c>
      <c r="RY142" s="359">
        <f t="shared" si="556"/>
        <v>298494</v>
      </c>
      <c r="RZ142" s="169">
        <f t="shared" si="557"/>
        <v>0.40556305103675411</v>
      </c>
      <c r="SA142" s="686">
        <v>4</v>
      </c>
      <c r="SB142" s="146">
        <f t="shared" si="558"/>
        <v>437505</v>
      </c>
      <c r="SC142" s="146">
        <f t="shared" si="558"/>
        <v>735999</v>
      </c>
      <c r="SD142" s="1864">
        <f t="shared" si="558"/>
        <v>298494</v>
      </c>
      <c r="SE142" s="203">
        <f t="shared" si="559"/>
        <v>0.40556305103675411</v>
      </c>
      <c r="SF142" s="1567">
        <v>4</v>
      </c>
      <c r="SG142" s="358">
        <f t="shared" si="560"/>
        <v>453756</v>
      </c>
      <c r="SH142" s="358">
        <f t="shared" si="560"/>
        <v>735999</v>
      </c>
      <c r="SI142" s="359">
        <f t="shared" si="560"/>
        <v>282243</v>
      </c>
      <c r="SJ142" s="114">
        <f t="shared" si="561"/>
        <v>0.38348285799301357</v>
      </c>
      <c r="SL142" s="439">
        <v>4</v>
      </c>
      <c r="SM142" s="208">
        <v>151252</v>
      </c>
      <c r="SN142" s="208">
        <v>245333</v>
      </c>
      <c r="SO142" s="96">
        <f t="shared" si="562"/>
        <v>94081</v>
      </c>
      <c r="SP142" s="78">
        <f t="shared" si="563"/>
        <v>0.38348285799301357</v>
      </c>
      <c r="SQ142" s="401">
        <v>4</v>
      </c>
      <c r="SR142" s="395">
        <v>151252</v>
      </c>
      <c r="SS142" s="395">
        <v>245333</v>
      </c>
      <c r="ST142" s="96">
        <f t="shared" si="564"/>
        <v>94081</v>
      </c>
      <c r="SU142" s="78">
        <f>ST142/SS142</f>
        <v>0.38348285799301357</v>
      </c>
      <c r="SV142" s="439">
        <v>4</v>
      </c>
      <c r="SW142" s="208">
        <v>163752</v>
      </c>
      <c r="SX142" s="994">
        <v>221333</v>
      </c>
      <c r="SY142" s="96">
        <f t="shared" si="565"/>
        <v>57581</v>
      </c>
      <c r="SZ142" s="94">
        <f>SY142/SX142</f>
        <v>0.26015551228239803</v>
      </c>
      <c r="TA142" s="354">
        <v>4</v>
      </c>
      <c r="TB142" s="208">
        <v>163752</v>
      </c>
      <c r="TC142" s="994">
        <v>221333</v>
      </c>
      <c r="TD142" s="96">
        <f t="shared" si="566"/>
        <v>57581</v>
      </c>
      <c r="TE142" s="94">
        <f>TD142/TC142</f>
        <v>0.26015551228239803</v>
      </c>
      <c r="TF142" s="354"/>
      <c r="TG142" s="208">
        <v>0</v>
      </c>
      <c r="TH142" s="208">
        <v>0</v>
      </c>
      <c r="TI142" s="208">
        <f t="shared" si="480"/>
        <v>0</v>
      </c>
      <c r="TJ142" s="2155">
        <v>0</v>
      </c>
      <c r="TK142" s="209"/>
      <c r="TL142" s="208"/>
      <c r="TM142" s="208"/>
      <c r="TN142" s="208">
        <f>TM142-TL142</f>
        <v>0</v>
      </c>
      <c r="TO142" s="114"/>
      <c r="TP142" s="4432"/>
      <c r="TQ142" s="208">
        <v>0</v>
      </c>
      <c r="TR142" s="208">
        <v>0</v>
      </c>
      <c r="TS142" s="772">
        <f>TR142-TQ142</f>
        <v>0</v>
      </c>
      <c r="TT142" s="114"/>
      <c r="TU142" s="4432"/>
      <c r="TV142" s="208"/>
      <c r="TW142" s="208"/>
      <c r="TX142" s="994">
        <f t="shared" si="567"/>
        <v>0</v>
      </c>
      <c r="TY142" s="2155">
        <v>0</v>
      </c>
      <c r="TZ142" s="1868"/>
      <c r="UA142" s="1575">
        <v>0</v>
      </c>
      <c r="UB142" s="1575">
        <v>0</v>
      </c>
      <c r="UC142" s="2552">
        <f t="shared" si="568"/>
        <v>0</v>
      </c>
      <c r="UD142" s="5261">
        <v>0</v>
      </c>
      <c r="UE142" s="6505"/>
      <c r="UF142" s="1575">
        <v>0</v>
      </c>
      <c r="UG142" s="1575">
        <v>0</v>
      </c>
      <c r="UH142" s="2552">
        <f t="shared" si="569"/>
        <v>0</v>
      </c>
      <c r="UI142" s="6508">
        <v>0</v>
      </c>
      <c r="UJ142" s="357"/>
      <c r="UK142" s="358"/>
      <c r="UL142" s="358"/>
      <c r="UM142" s="208">
        <f t="shared" si="570"/>
        <v>0</v>
      </c>
      <c r="UN142" s="1313" t="e">
        <f t="shared" si="571"/>
        <v>#DIV/0!</v>
      </c>
      <c r="UO142" s="1567"/>
      <c r="UP142" s="1568"/>
      <c r="UQ142" s="1568"/>
      <c r="UR142" s="2012">
        <f t="shared" si="572"/>
        <v>0</v>
      </c>
      <c r="US142" s="659" t="e">
        <f t="shared" si="573"/>
        <v>#DIV/0!</v>
      </c>
      <c r="UT142" s="1567"/>
      <c r="UU142" s="358">
        <f t="shared" si="574"/>
        <v>630008</v>
      </c>
      <c r="UV142" s="358">
        <f t="shared" si="574"/>
        <v>933332</v>
      </c>
      <c r="UW142" s="358">
        <f t="shared" si="574"/>
        <v>303324</v>
      </c>
      <c r="UX142" s="220">
        <f t="shared" si="575"/>
        <v>0.32499046427209183</v>
      </c>
      <c r="UY142" s="1863">
        <f t="shared" si="576"/>
        <v>4</v>
      </c>
      <c r="UZ142" s="105">
        <f t="shared" si="577"/>
        <v>466256</v>
      </c>
      <c r="VA142" s="105">
        <f t="shared" si="577"/>
        <v>711999</v>
      </c>
      <c r="VB142" s="105">
        <f t="shared" si="577"/>
        <v>245743</v>
      </c>
      <c r="VC142" s="106">
        <f t="shared" si="578"/>
        <v>0.3451451476757692</v>
      </c>
      <c r="VD142" s="1868"/>
      <c r="VE142" s="358">
        <f t="shared" si="579"/>
        <v>163752</v>
      </c>
      <c r="VF142" s="358">
        <f t="shared" si="579"/>
        <v>221333</v>
      </c>
      <c r="VG142" s="359">
        <f t="shared" si="579"/>
        <v>57581</v>
      </c>
      <c r="VH142" s="169">
        <f t="shared" si="580"/>
        <v>0.26015551228239803</v>
      </c>
      <c r="VI142" s="686"/>
      <c r="VJ142" s="146">
        <f t="shared" si="581"/>
        <v>0</v>
      </c>
      <c r="VK142" s="146">
        <f t="shared" si="581"/>
        <v>0</v>
      </c>
      <c r="VL142" s="1864">
        <f t="shared" si="581"/>
        <v>0</v>
      </c>
      <c r="VM142" s="203" t="e">
        <f t="shared" si="582"/>
        <v>#DIV/0!</v>
      </c>
      <c r="VN142" s="1567"/>
      <c r="VO142" s="358">
        <f t="shared" si="583"/>
        <v>0</v>
      </c>
      <c r="VP142" s="358">
        <f t="shared" si="583"/>
        <v>0</v>
      </c>
      <c r="VQ142" s="359">
        <f t="shared" si="583"/>
        <v>0</v>
      </c>
      <c r="VR142" s="114" t="e">
        <f t="shared" si="584"/>
        <v>#DIV/0!</v>
      </c>
    </row>
    <row r="143" spans="1:590" s="1193" customFormat="1" ht="13.45" x14ac:dyDescent="0.3">
      <c r="A143" s="1297"/>
      <c r="B143" s="583" t="s">
        <v>84</v>
      </c>
      <c r="C143" s="2636" t="s">
        <v>100</v>
      </c>
      <c r="D143" s="2277" t="s">
        <v>841</v>
      </c>
      <c r="E143" s="2591">
        <v>45139</v>
      </c>
      <c r="F143" s="2591">
        <v>45504</v>
      </c>
      <c r="G143" s="1994">
        <v>580000</v>
      </c>
      <c r="H143" s="2093"/>
      <c r="I143" s="2094"/>
      <c r="J143" s="2094"/>
      <c r="K143" s="2094"/>
      <c r="L143" s="2095"/>
      <c r="M143" s="2093"/>
      <c r="N143" s="2094"/>
      <c r="O143" s="2094"/>
      <c r="P143" s="2094"/>
      <c r="Q143" s="2095"/>
      <c r="R143" s="2093"/>
      <c r="S143" s="2094"/>
      <c r="T143" s="2094"/>
      <c r="U143" s="2094"/>
      <c r="V143" s="2095"/>
      <c r="W143" s="2093"/>
      <c r="X143" s="2094"/>
      <c r="Y143" s="2094"/>
      <c r="Z143" s="2094"/>
      <c r="AA143" s="2096"/>
      <c r="AB143" s="2093"/>
      <c r="AC143" s="2094"/>
      <c r="AD143" s="2094"/>
      <c r="AE143" s="2094"/>
      <c r="AF143" s="2096"/>
      <c r="AG143" s="2094"/>
      <c r="AH143" s="2094"/>
      <c r="AI143" s="2094"/>
      <c r="AJ143" s="2094"/>
      <c r="AK143" s="2095"/>
      <c r="AL143" s="2094"/>
      <c r="AM143" s="2094"/>
      <c r="AN143" s="2094"/>
      <c r="AO143" s="2094"/>
      <c r="AP143" s="2095"/>
      <c r="AQ143" s="2094"/>
      <c r="AR143" s="2094"/>
      <c r="AS143" s="2094"/>
      <c r="AT143" s="2094"/>
      <c r="AU143" s="2095"/>
      <c r="AV143" s="2097"/>
      <c r="AW143" s="2094"/>
      <c r="AX143" s="2094"/>
      <c r="AY143" s="2094"/>
      <c r="AZ143" s="2096"/>
      <c r="BA143" s="2097"/>
      <c r="BB143" s="2094"/>
      <c r="BC143" s="2094"/>
      <c r="BD143" s="2094"/>
      <c r="BE143" s="2096"/>
      <c r="BF143" s="2097"/>
      <c r="BG143" s="2094"/>
      <c r="BH143" s="2094"/>
      <c r="BI143" s="2094"/>
      <c r="BJ143" s="2096"/>
      <c r="BK143" s="2097"/>
      <c r="BL143" s="2094"/>
      <c r="BM143" s="2094"/>
      <c r="BN143" s="2094"/>
      <c r="BO143" s="2096"/>
      <c r="BP143" s="2098"/>
      <c r="BQ143" s="2094"/>
      <c r="BR143" s="2094"/>
      <c r="BS143" s="2094"/>
      <c r="BT143" s="2099"/>
      <c r="BU143" s="2094"/>
      <c r="BV143" s="2094"/>
      <c r="BW143" s="2100"/>
      <c r="BX143" s="2099"/>
      <c r="BY143" s="2094"/>
      <c r="BZ143" s="2094"/>
      <c r="CA143" s="2101"/>
      <c r="CB143" s="2094"/>
      <c r="CC143" s="2094"/>
      <c r="CD143" s="2094"/>
      <c r="CE143" s="2094"/>
      <c r="CF143" s="2099"/>
      <c r="CG143" s="2094"/>
      <c r="CH143" s="2094"/>
      <c r="CI143" s="2101"/>
      <c r="CJ143" s="2102"/>
      <c r="CK143" s="2094"/>
      <c r="CL143" s="2094"/>
      <c r="CM143" s="2094"/>
      <c r="CN143" s="2100"/>
      <c r="CO143" s="2102"/>
      <c r="CP143" s="2093"/>
      <c r="CQ143" s="2093"/>
      <c r="CR143" s="2093"/>
      <c r="CS143" s="2100"/>
      <c r="CT143" s="2102"/>
      <c r="CU143" s="2094"/>
      <c r="CV143" s="2094"/>
      <c r="CW143" s="2094"/>
      <c r="CX143" s="2100"/>
      <c r="CY143" s="2102"/>
      <c r="CZ143" s="2094"/>
      <c r="DA143" s="2094"/>
      <c r="DB143" s="2094"/>
      <c r="DC143" s="2100"/>
      <c r="DD143" s="2102"/>
      <c r="DE143" s="2094"/>
      <c r="DF143" s="2094"/>
      <c r="DG143" s="2094"/>
      <c r="DH143" s="2103"/>
      <c r="DI143" s="2102"/>
      <c r="DJ143" s="2094"/>
      <c r="DK143" s="2094"/>
      <c r="DL143" s="2094"/>
      <c r="DM143" s="2103"/>
      <c r="DN143" s="2102"/>
      <c r="DO143" s="2094"/>
      <c r="DP143" s="2094"/>
      <c r="DQ143" s="2094"/>
      <c r="DR143" s="2103"/>
      <c r="DS143" s="2102"/>
      <c r="DT143" s="2094"/>
      <c r="DU143" s="2094"/>
      <c r="DV143" s="2094"/>
      <c r="DW143" s="2103"/>
      <c r="DX143" s="2102"/>
      <c r="DY143" s="2094"/>
      <c r="DZ143" s="2094"/>
      <c r="EA143" s="2094"/>
      <c r="EB143" s="2103"/>
      <c r="EC143" s="2102"/>
      <c r="ED143" s="2094"/>
      <c r="EE143" s="2094"/>
      <c r="EF143" s="2094"/>
      <c r="EG143" s="2103"/>
      <c r="EH143" s="2037"/>
      <c r="EI143" s="1914"/>
      <c r="EJ143" s="1914"/>
      <c r="EK143" s="1914"/>
      <c r="EL143" s="2038"/>
      <c r="EM143" s="1910"/>
      <c r="EN143" s="715"/>
      <c r="EO143" s="715"/>
      <c r="EP143" s="715"/>
      <c r="EQ143" s="366"/>
      <c r="ER143" s="1713">
        <f>(CJ143+CO143+CT143+CY143+DD143+DI143+DN143+DS143+DX143+EC143+EH143+EM143)/12</f>
        <v>0</v>
      </c>
      <c r="ES143" s="1714">
        <f t="shared" si="517"/>
        <v>0</v>
      </c>
      <c r="ET143" s="1714">
        <f t="shared" si="517"/>
        <v>0</v>
      </c>
      <c r="EU143" s="1714">
        <f t="shared" si="517"/>
        <v>0</v>
      </c>
      <c r="EV143" s="1715" t="e">
        <f>EU143/ET143</f>
        <v>#DIV/0!</v>
      </c>
      <c r="EW143" s="2031"/>
      <c r="EX143" s="2031"/>
      <c r="EY143" s="2031"/>
      <c r="EZ143" s="593"/>
      <c r="FA143" s="2037"/>
      <c r="FB143" s="2031"/>
      <c r="FC143" s="2031"/>
      <c r="FD143" s="2036"/>
      <c r="FE143" s="2031"/>
      <c r="FF143" s="2031"/>
      <c r="FG143" s="2031"/>
      <c r="FH143" s="593"/>
      <c r="FI143" s="2039"/>
      <c r="FJ143" s="2040"/>
      <c r="FK143" s="2041"/>
      <c r="FL143" s="2041"/>
      <c r="FM143" s="693"/>
      <c r="FN143" s="2031"/>
      <c r="FO143" s="1914"/>
      <c r="FP143" s="1914"/>
      <c r="FQ143" s="1914"/>
      <c r="FR143" s="2032"/>
      <c r="FS143" s="1910"/>
      <c r="FT143" s="715"/>
      <c r="FU143" s="715"/>
      <c r="FV143" s="715"/>
      <c r="FW143" s="2109"/>
      <c r="FX143" s="2037"/>
      <c r="FY143" s="1914"/>
      <c r="FZ143" s="1914"/>
      <c r="GA143" s="715"/>
      <c r="GB143" s="2109"/>
      <c r="GC143" s="2110"/>
      <c r="GD143" s="2111"/>
      <c r="GE143" s="2111"/>
      <c r="GF143" s="715"/>
      <c r="GG143" s="366"/>
      <c r="GH143" s="2042"/>
      <c r="GI143" s="2043"/>
      <c r="GJ143" s="2043"/>
      <c r="GK143" s="2112"/>
      <c r="GL143" s="2109"/>
      <c r="GM143" s="2042"/>
      <c r="GN143" s="2043"/>
      <c r="GO143" s="2043"/>
      <c r="GP143" s="2112"/>
      <c r="GQ143" s="2109"/>
      <c r="GR143" s="1903"/>
      <c r="GS143" s="1904"/>
      <c r="GT143" s="1904"/>
      <c r="GU143" s="2112"/>
      <c r="GV143" s="2109"/>
      <c r="GW143" s="1903"/>
      <c r="GX143" s="1904"/>
      <c r="GY143" s="1904"/>
      <c r="GZ143" s="2112"/>
      <c r="HA143" s="2109"/>
      <c r="HB143" s="1903"/>
      <c r="HC143" s="1904"/>
      <c r="HD143" s="1904"/>
      <c r="HE143" s="2112"/>
      <c r="HF143" s="2109"/>
      <c r="HG143" s="1903"/>
      <c r="HH143" s="1904"/>
      <c r="HI143" s="1904"/>
      <c r="HJ143" s="2113"/>
      <c r="HK143" s="2109"/>
      <c r="HL143" s="1903"/>
      <c r="HM143" s="1904"/>
      <c r="HN143" s="1904"/>
      <c r="HO143" s="715"/>
      <c r="HP143" s="366"/>
      <c r="HQ143" s="2592"/>
      <c r="HR143" s="2118"/>
      <c r="HS143" s="2118"/>
      <c r="HT143" s="2118"/>
      <c r="HU143" s="2593"/>
      <c r="HV143" s="2594">
        <f>(FN143+FS143+FX143+GC143+GH143+GM143+GR143+GW143+HB143+HG143+HL143+HQ143)/12</f>
        <v>0</v>
      </c>
      <c r="HW143" s="208">
        <f t="shared" si="518"/>
        <v>0</v>
      </c>
      <c r="HX143" s="208">
        <f t="shared" si="518"/>
        <v>0</v>
      </c>
      <c r="HY143" s="208">
        <f t="shared" si="518"/>
        <v>0</v>
      </c>
      <c r="HZ143" s="2595"/>
      <c r="IA143" s="1912"/>
      <c r="IB143" s="1908"/>
      <c r="IC143" s="1908"/>
      <c r="ID143" s="1909"/>
      <c r="IE143" s="1910"/>
      <c r="IF143" s="1911"/>
      <c r="IG143" s="1912"/>
      <c r="IH143" s="1909"/>
      <c r="II143" s="1907"/>
      <c r="IJ143" s="2116"/>
      <c r="IK143" s="2116"/>
      <c r="IL143" s="693"/>
      <c r="IM143" s="2117"/>
      <c r="IN143" s="2116"/>
      <c r="IO143" s="2116"/>
      <c r="IP143" s="1838"/>
      <c r="IQ143" s="1914"/>
      <c r="IR143" s="2044"/>
      <c r="IS143" s="2118"/>
      <c r="IT143" s="2118"/>
      <c r="IU143" s="2119"/>
      <c r="IV143" s="2120"/>
      <c r="IW143" s="2121"/>
      <c r="IX143" s="2122"/>
      <c r="IY143" s="2123"/>
      <c r="IZ143" s="2124"/>
      <c r="JA143" s="2125"/>
      <c r="JB143" s="2046"/>
      <c r="JC143" s="2047"/>
      <c r="JD143" s="2048"/>
      <c r="JE143" s="2124"/>
      <c r="JF143" s="2125"/>
      <c r="JG143" s="1988"/>
      <c r="JH143" s="2049"/>
      <c r="JI143" s="2049"/>
      <c r="JJ143" s="2126"/>
      <c r="JK143" s="2125"/>
      <c r="JL143" s="2127"/>
      <c r="JM143" s="2049"/>
      <c r="JN143" s="2049"/>
      <c r="JO143" s="2128"/>
      <c r="JP143" s="2125"/>
      <c r="JQ143" s="2129"/>
      <c r="JR143" s="2130"/>
      <c r="JS143" s="1904"/>
      <c r="JT143" s="2413"/>
      <c r="JU143" s="2132"/>
      <c r="JV143" s="1849"/>
      <c r="JW143" s="1119"/>
      <c r="JX143" s="1850"/>
      <c r="JY143" s="1850"/>
      <c r="JZ143" s="2125"/>
      <c r="KA143" s="1849"/>
      <c r="KB143" s="1850"/>
      <c r="KC143" s="1850"/>
      <c r="KD143" s="1108"/>
      <c r="KE143" s="2133"/>
      <c r="KF143" s="1849"/>
      <c r="KG143" s="1850"/>
      <c r="KH143" s="1850"/>
      <c r="KI143" s="2124"/>
      <c r="KJ143" s="2125"/>
      <c r="KK143" s="1849"/>
      <c r="KL143" s="1850"/>
      <c r="KM143" s="1850"/>
      <c r="KN143" s="2134"/>
      <c r="KO143" s="2135"/>
      <c r="KP143" s="2596"/>
      <c r="KQ143" s="1119"/>
      <c r="KR143" s="1850"/>
      <c r="KS143" s="2597"/>
      <c r="KT143" s="2598"/>
      <c r="KU143" s="2138"/>
      <c r="KV143" s="264">
        <v>0</v>
      </c>
      <c r="KW143" s="264">
        <v>0</v>
      </c>
      <c r="KX143" s="264">
        <f>KW143-KV143</f>
        <v>0</v>
      </c>
      <c r="KY143" s="81"/>
      <c r="KZ143" s="1857">
        <f>(IR143+IW143+JB143+JG143+JL143+JQ143+JV143+KA143+KF143+KK143+KP143+KU143)/12</f>
        <v>0</v>
      </c>
      <c r="LA143" s="358">
        <f t="shared" si="519"/>
        <v>0</v>
      </c>
      <c r="LB143" s="358">
        <f t="shared" si="519"/>
        <v>0</v>
      </c>
      <c r="LC143" s="358">
        <f t="shared" si="519"/>
        <v>0</v>
      </c>
      <c r="LD143" s="151"/>
      <c r="LE143" s="1854">
        <f>(IR143+IW143+JB143)/3</f>
        <v>0</v>
      </c>
      <c r="LF143" s="1855">
        <f t="shared" si="520"/>
        <v>0</v>
      </c>
      <c r="LG143" s="1855">
        <f t="shared" si="520"/>
        <v>0</v>
      </c>
      <c r="LH143" s="1856" t="e">
        <f>LG143/LF143</f>
        <v>#DIV/0!</v>
      </c>
      <c r="LI143" s="1857">
        <f>(JG143+JL143+JQ143)/3</f>
        <v>0</v>
      </c>
      <c r="LJ143" s="1858">
        <f t="shared" si="521"/>
        <v>0</v>
      </c>
      <c r="LK143" s="1854">
        <f t="shared" si="521"/>
        <v>0</v>
      </c>
      <c r="LL143" s="1856"/>
      <c r="LM143" s="1859">
        <f>(JV143+KA143+KF143)/3</f>
        <v>0</v>
      </c>
      <c r="LN143" s="1727">
        <f t="shared" si="522"/>
        <v>0</v>
      </c>
      <c r="LO143" s="1727">
        <f t="shared" si="522"/>
        <v>0</v>
      </c>
      <c r="LP143" s="151"/>
      <c r="LQ143" s="1860">
        <f>(KK143+KP143+KU143)/3</f>
        <v>0</v>
      </c>
      <c r="LR143" s="1727">
        <f t="shared" si="523"/>
        <v>0</v>
      </c>
      <c r="LS143" s="1727">
        <f t="shared" si="523"/>
        <v>0</v>
      </c>
      <c r="LT143" s="1861"/>
      <c r="LV143" s="2599"/>
      <c r="LW143" s="2198"/>
      <c r="LX143" s="2198"/>
      <c r="LY143" s="700"/>
      <c r="LZ143" s="2600"/>
      <c r="MA143" s="1903"/>
      <c r="MB143" s="1904"/>
      <c r="MC143" s="1904"/>
      <c r="MD143" s="2601"/>
      <c r="ME143" s="81"/>
      <c r="MF143" s="404"/>
      <c r="MG143" s="435"/>
      <c r="MH143" s="435"/>
      <c r="MI143" s="227"/>
      <c r="MJ143" s="1595"/>
      <c r="MK143" s="2152"/>
      <c r="ML143" s="435"/>
      <c r="MM143" s="435"/>
      <c r="MN143" s="2151"/>
      <c r="MO143" s="1595"/>
      <c r="MP143" s="2602">
        <v>2</v>
      </c>
      <c r="MQ143" s="1850">
        <v>113613</v>
      </c>
      <c r="MR143" s="1850">
        <v>140790</v>
      </c>
      <c r="MS143" s="264">
        <f>MR143-MQ143</f>
        <v>27177</v>
      </c>
      <c r="MT143" s="597">
        <f>MS143/MR143</f>
        <v>0.19303217558065203</v>
      </c>
      <c r="MU143" s="209">
        <v>4</v>
      </c>
      <c r="MV143" s="208">
        <v>197838</v>
      </c>
      <c r="MW143" s="208">
        <v>295000</v>
      </c>
      <c r="MX143" s="208">
        <f>MW143-MV143</f>
        <v>97162</v>
      </c>
      <c r="MY143" s="597">
        <f>MX143/MW143</f>
        <v>0.3293627118644068</v>
      </c>
      <c r="MZ143" s="209">
        <v>4</v>
      </c>
      <c r="NA143" s="208">
        <v>197838</v>
      </c>
      <c r="NB143" s="208">
        <v>295000</v>
      </c>
      <c r="NC143" s="208">
        <f>NB143-NA143</f>
        <v>97162</v>
      </c>
      <c r="ND143" s="597">
        <f>NC143/NB143</f>
        <v>0.3293627118644068</v>
      </c>
      <c r="NE143" s="209">
        <v>4</v>
      </c>
      <c r="NF143" s="208">
        <v>229168</v>
      </c>
      <c r="NG143" s="208">
        <v>295000</v>
      </c>
      <c r="NH143" s="208">
        <f>NG143-NF143</f>
        <v>65832</v>
      </c>
      <c r="NI143" s="597">
        <f>NH143/NG143</f>
        <v>0.22315932203389829</v>
      </c>
      <c r="NJ143" s="209">
        <v>4</v>
      </c>
      <c r="NK143" s="208">
        <v>229168</v>
      </c>
      <c r="NL143" s="208">
        <v>310000</v>
      </c>
      <c r="NM143" s="208">
        <f>NL143-NK143</f>
        <v>80832</v>
      </c>
      <c r="NN143" s="597">
        <f>NM143/NL143</f>
        <v>0.26074838709677417</v>
      </c>
      <c r="NO143" s="357">
        <v>4</v>
      </c>
      <c r="NP143" s="358">
        <v>229168</v>
      </c>
      <c r="NQ143" s="358">
        <v>310000</v>
      </c>
      <c r="NR143" s="208">
        <f>NQ143-NP143</f>
        <v>80832</v>
      </c>
      <c r="NS143" s="597">
        <f>NR143/NQ143</f>
        <v>0.26074838709677417</v>
      </c>
      <c r="NT143" s="357">
        <v>4</v>
      </c>
      <c r="NU143" s="358">
        <v>229168</v>
      </c>
      <c r="NV143" s="358">
        <v>310000</v>
      </c>
      <c r="NW143" s="208">
        <f>NV143-NU143</f>
        <v>80832</v>
      </c>
      <c r="NX143" s="597">
        <f>NW143/NV143</f>
        <v>0.26074838709677417</v>
      </c>
      <c r="NY143" s="357">
        <v>5</v>
      </c>
      <c r="NZ143" s="358">
        <v>263677</v>
      </c>
      <c r="OA143" s="358">
        <v>372900</v>
      </c>
      <c r="OB143" s="772">
        <f>OA143-NZ143</f>
        <v>109223</v>
      </c>
      <c r="OC143" s="659">
        <f>OB143/OA143</f>
        <v>0.29290158219361762</v>
      </c>
      <c r="OD143" s="191">
        <v>5</v>
      </c>
      <c r="OE143" s="358">
        <f t="shared" si="524"/>
        <v>1689638</v>
      </c>
      <c r="OF143" s="358">
        <f t="shared" si="524"/>
        <v>2328690</v>
      </c>
      <c r="OG143" s="358">
        <f t="shared" si="524"/>
        <v>639052</v>
      </c>
      <c r="OH143" s="220">
        <f>OG143/OF143</f>
        <v>0.27442553538684838</v>
      </c>
      <c r="OI143" s="1868"/>
      <c r="OJ143" s="105">
        <f>LW143+MB143+MG143</f>
        <v>0</v>
      </c>
      <c r="OK143" s="1575"/>
      <c r="OL143" s="1575"/>
      <c r="OM143" s="83"/>
      <c r="ON143" s="358">
        <f>(MK143+MP143+MU143)/3</f>
        <v>2</v>
      </c>
      <c r="OO143" s="358">
        <f t="shared" si="526"/>
        <v>311451</v>
      </c>
      <c r="OP143" s="358">
        <f t="shared" si="526"/>
        <v>435790</v>
      </c>
      <c r="OQ143" s="359">
        <f t="shared" si="526"/>
        <v>124339</v>
      </c>
      <c r="OR143" s="169">
        <f>OQ143/OP143</f>
        <v>0.28531861676495562</v>
      </c>
      <c r="OS143" s="686">
        <f>(NJ143+NE143+MZ143)/3</f>
        <v>4</v>
      </c>
      <c r="OT143" s="146">
        <f t="shared" si="527"/>
        <v>656174</v>
      </c>
      <c r="OU143" s="146">
        <f t="shared" si="527"/>
        <v>900000</v>
      </c>
      <c r="OV143" s="1864">
        <f t="shared" si="527"/>
        <v>243826</v>
      </c>
      <c r="OW143" s="203">
        <f>OV143/OU143</f>
        <v>0.27091777777777776</v>
      </c>
      <c r="OX143" s="357">
        <v>5</v>
      </c>
      <c r="OY143" s="358">
        <f t="shared" si="528"/>
        <v>722013</v>
      </c>
      <c r="OZ143" s="358">
        <f t="shared" si="528"/>
        <v>992900</v>
      </c>
      <c r="PA143" s="359">
        <f t="shared" si="528"/>
        <v>270887</v>
      </c>
      <c r="PB143" s="114">
        <f>PA143/OZ143</f>
        <v>0.27282405076039884</v>
      </c>
      <c r="PC143" s="79"/>
      <c r="PD143" s="439">
        <v>5</v>
      </c>
      <c r="PE143" s="208">
        <v>275002</v>
      </c>
      <c r="PF143" s="208">
        <v>395000</v>
      </c>
      <c r="PG143" s="96">
        <f>PF143-PE143</f>
        <v>119998</v>
      </c>
      <c r="PH143" s="224">
        <f>PG143/PF143</f>
        <v>0.30379240506329114</v>
      </c>
      <c r="PI143" s="1903">
        <v>5</v>
      </c>
      <c r="PJ143" s="1904">
        <v>275002</v>
      </c>
      <c r="PK143" s="1904">
        <v>395000</v>
      </c>
      <c r="PL143" s="371">
        <f t="shared" si="529"/>
        <v>119998</v>
      </c>
      <c r="PM143" s="157">
        <f t="shared" si="530"/>
        <v>0.30379240506329114</v>
      </c>
      <c r="PN143" s="440">
        <v>5</v>
      </c>
      <c r="PO143" s="435">
        <v>275002</v>
      </c>
      <c r="PP143" s="435">
        <v>395000</v>
      </c>
      <c r="PQ143" s="371">
        <f t="shared" si="531"/>
        <v>119998</v>
      </c>
      <c r="PR143" s="157">
        <f t="shared" si="532"/>
        <v>0.30379240506329114</v>
      </c>
      <c r="PS143" s="2429">
        <v>5</v>
      </c>
      <c r="PT143" s="436">
        <v>275002</v>
      </c>
      <c r="PU143" s="436">
        <v>395000</v>
      </c>
      <c r="PV143" s="372">
        <f t="shared" si="533"/>
        <v>119998</v>
      </c>
      <c r="PW143" s="207">
        <f t="shared" si="534"/>
        <v>0.30379240506329114</v>
      </c>
      <c r="PX143" s="2153">
        <v>7</v>
      </c>
      <c r="PY143" s="1904">
        <v>340039</v>
      </c>
      <c r="PZ143" s="1904">
        <v>513683</v>
      </c>
      <c r="QA143" s="1248">
        <f t="shared" si="535"/>
        <v>173644</v>
      </c>
      <c r="QB143" s="655">
        <f t="shared" si="536"/>
        <v>0.33803727201406314</v>
      </c>
      <c r="QC143" s="209">
        <v>7</v>
      </c>
      <c r="QD143" s="208">
        <v>346176</v>
      </c>
      <c r="QE143" s="208">
        <v>524700</v>
      </c>
      <c r="QF143" s="208">
        <f t="shared" si="537"/>
        <v>178524</v>
      </c>
      <c r="QG143" s="597">
        <f t="shared" si="538"/>
        <v>0.34024013722126928</v>
      </c>
      <c r="QH143" s="439">
        <v>7</v>
      </c>
      <c r="QI143" s="208">
        <v>347502</v>
      </c>
      <c r="QJ143" s="208">
        <v>524700</v>
      </c>
      <c r="QK143" s="208">
        <f t="shared" si="539"/>
        <v>177198</v>
      </c>
      <c r="QL143" s="597">
        <f t="shared" si="540"/>
        <v>0.3377129788450543</v>
      </c>
      <c r="QM143" s="439">
        <v>8</v>
      </c>
      <c r="QN143" s="208">
        <v>347502</v>
      </c>
      <c r="QO143" s="208">
        <v>524700</v>
      </c>
      <c r="QP143" s="208">
        <f t="shared" si="541"/>
        <v>177198</v>
      </c>
      <c r="QQ143" s="1869">
        <f t="shared" si="542"/>
        <v>0.3377129788450543</v>
      </c>
      <c r="QR143" s="209">
        <v>7</v>
      </c>
      <c r="QS143" s="208">
        <v>344635</v>
      </c>
      <c r="QT143" s="208">
        <v>524700</v>
      </c>
      <c r="QU143" s="395">
        <f t="shared" si="543"/>
        <v>180065</v>
      </c>
      <c r="QV143" s="75">
        <f t="shared" si="544"/>
        <v>0.34317705355441203</v>
      </c>
      <c r="QW143" s="2561">
        <v>7</v>
      </c>
      <c r="QX143" s="2586">
        <v>370418</v>
      </c>
      <c r="QY143" s="2586">
        <v>545000</v>
      </c>
      <c r="QZ143" s="395">
        <f t="shared" si="545"/>
        <v>174582</v>
      </c>
      <c r="RA143" s="157">
        <f t="shared" si="546"/>
        <v>0.32033394495412842</v>
      </c>
      <c r="RB143" s="357">
        <v>7</v>
      </c>
      <c r="RC143" s="358">
        <v>370418</v>
      </c>
      <c r="RD143" s="358">
        <v>524700</v>
      </c>
      <c r="RE143" s="208">
        <f t="shared" si="547"/>
        <v>154282</v>
      </c>
      <c r="RF143" s="1313">
        <f t="shared" si="548"/>
        <v>0.29403849818944161</v>
      </c>
      <c r="RG143" s="1857">
        <v>7</v>
      </c>
      <c r="RH143" s="358">
        <v>370418</v>
      </c>
      <c r="RI143" s="358">
        <v>524700</v>
      </c>
      <c r="RJ143" s="772">
        <f t="shared" si="549"/>
        <v>154282</v>
      </c>
      <c r="RK143" s="659">
        <f t="shared" si="550"/>
        <v>0.29403849818944161</v>
      </c>
      <c r="RL143" s="1567">
        <v>7</v>
      </c>
      <c r="RM143" s="1568">
        <f t="shared" si="551"/>
        <v>3937116</v>
      </c>
      <c r="RN143" s="1568">
        <f t="shared" si="551"/>
        <v>5786883</v>
      </c>
      <c r="RO143" s="1568">
        <f t="shared" si="551"/>
        <v>1849767</v>
      </c>
      <c r="RP143" s="220">
        <f t="shared" si="552"/>
        <v>0.31964824586914925</v>
      </c>
      <c r="RQ143" s="1863">
        <f t="shared" si="553"/>
        <v>5</v>
      </c>
      <c r="RR143" s="105">
        <f t="shared" si="554"/>
        <v>825006</v>
      </c>
      <c r="RS143" s="105">
        <f t="shared" si="554"/>
        <v>1185000</v>
      </c>
      <c r="RT143" s="105">
        <f t="shared" si="554"/>
        <v>359994</v>
      </c>
      <c r="RU143" s="106">
        <f t="shared" si="555"/>
        <v>0.30379240506329114</v>
      </c>
      <c r="RV143" s="1868">
        <v>7</v>
      </c>
      <c r="RW143" s="358">
        <f t="shared" si="556"/>
        <v>961217</v>
      </c>
      <c r="RX143" s="358">
        <f t="shared" si="556"/>
        <v>1433383</v>
      </c>
      <c r="RY143" s="359">
        <f t="shared" si="556"/>
        <v>472166</v>
      </c>
      <c r="RZ143" s="169">
        <f t="shared" si="557"/>
        <v>0.32940672520882414</v>
      </c>
      <c r="SA143" s="686">
        <v>7</v>
      </c>
      <c r="SB143" s="146">
        <f t="shared" si="558"/>
        <v>1039639</v>
      </c>
      <c r="SC143" s="146">
        <f t="shared" si="558"/>
        <v>1574100</v>
      </c>
      <c r="SD143" s="1864">
        <f t="shared" si="558"/>
        <v>534461</v>
      </c>
      <c r="SE143" s="203">
        <f t="shared" si="559"/>
        <v>0.33953433708150688</v>
      </c>
      <c r="SF143" s="1567">
        <v>7</v>
      </c>
      <c r="SG143" s="358">
        <f t="shared" si="560"/>
        <v>1111254</v>
      </c>
      <c r="SH143" s="358">
        <f t="shared" si="560"/>
        <v>1594400</v>
      </c>
      <c r="SI143" s="359">
        <f t="shared" si="560"/>
        <v>483146</v>
      </c>
      <c r="SJ143" s="114">
        <f t="shared" si="561"/>
        <v>0.30302684395383844</v>
      </c>
      <c r="SL143" s="439">
        <v>8</v>
      </c>
      <c r="SM143" s="208">
        <v>404746</v>
      </c>
      <c r="SN143" s="208">
        <v>580000</v>
      </c>
      <c r="SO143" s="96">
        <f t="shared" si="562"/>
        <v>175254</v>
      </c>
      <c r="SP143" s="78">
        <f t="shared" si="563"/>
        <v>0.30216206896551723</v>
      </c>
      <c r="SQ143" s="401">
        <v>8</v>
      </c>
      <c r="SR143" s="395">
        <v>416852</v>
      </c>
      <c r="SS143" s="395">
        <v>580000</v>
      </c>
      <c r="ST143" s="96">
        <f t="shared" si="564"/>
        <v>163148</v>
      </c>
      <c r="SU143" s="78">
        <f>ST143/SS143</f>
        <v>0.28128965517241378</v>
      </c>
      <c r="SV143" s="440">
        <v>8</v>
      </c>
      <c r="SW143" s="435">
        <v>403752</v>
      </c>
      <c r="SX143" s="1584">
        <v>583000</v>
      </c>
      <c r="SY143" s="96">
        <f t="shared" si="565"/>
        <v>179248</v>
      </c>
      <c r="SZ143" s="94">
        <f>SY143/SX143</f>
        <v>0.30745797598627789</v>
      </c>
      <c r="TA143" s="2429">
        <v>8</v>
      </c>
      <c r="TB143" s="436">
        <v>403752</v>
      </c>
      <c r="TC143" s="4463">
        <v>583000</v>
      </c>
      <c r="TD143" s="96">
        <f t="shared" si="566"/>
        <v>179248</v>
      </c>
      <c r="TE143" s="362">
        <f>TD143/TC143</f>
        <v>0.30745797598627789</v>
      </c>
      <c r="TF143" s="2573"/>
      <c r="TG143" s="395">
        <v>0</v>
      </c>
      <c r="TH143" s="395">
        <v>0</v>
      </c>
      <c r="TI143" s="395">
        <f t="shared" si="480"/>
        <v>0</v>
      </c>
      <c r="TJ143" s="2050">
        <v>0</v>
      </c>
      <c r="TK143" s="209"/>
      <c r="TL143" s="208"/>
      <c r="TM143" s="208"/>
      <c r="TN143" s="208">
        <f>TM143-TL143</f>
        <v>0</v>
      </c>
      <c r="TO143" s="114"/>
      <c r="TP143" s="4432"/>
      <c r="TQ143" s="208">
        <v>0</v>
      </c>
      <c r="TR143" s="208">
        <v>0</v>
      </c>
      <c r="TS143" s="772">
        <f>TR143-TQ143</f>
        <v>0</v>
      </c>
      <c r="TT143" s="114"/>
      <c r="TU143" s="4432"/>
      <c r="TV143" s="208">
        <v>0</v>
      </c>
      <c r="TW143" s="208">
        <v>0</v>
      </c>
      <c r="TX143" s="994">
        <f t="shared" si="567"/>
        <v>0</v>
      </c>
      <c r="TY143" s="2155">
        <v>0</v>
      </c>
      <c r="TZ143" s="1868"/>
      <c r="UA143" s="1575">
        <v>0</v>
      </c>
      <c r="UB143" s="1575">
        <v>0</v>
      </c>
      <c r="UC143" s="2552">
        <f t="shared" si="568"/>
        <v>0</v>
      </c>
      <c r="UD143" s="5261">
        <v>0</v>
      </c>
      <c r="UE143" s="6505"/>
      <c r="UF143" s="1575">
        <v>0</v>
      </c>
      <c r="UG143" s="1575">
        <v>0</v>
      </c>
      <c r="UH143" s="2552">
        <f t="shared" si="569"/>
        <v>0</v>
      </c>
      <c r="UI143" s="6508">
        <v>0</v>
      </c>
      <c r="UJ143" s="357"/>
      <c r="UK143" s="358"/>
      <c r="UL143" s="358"/>
      <c r="UM143" s="208">
        <f t="shared" si="570"/>
        <v>0</v>
      </c>
      <c r="UN143" s="1313" t="e">
        <f t="shared" si="571"/>
        <v>#DIV/0!</v>
      </c>
      <c r="UO143" s="1567"/>
      <c r="UP143" s="1568"/>
      <c r="UQ143" s="1568"/>
      <c r="UR143" s="2012">
        <f t="shared" si="572"/>
        <v>0</v>
      </c>
      <c r="US143" s="659" t="e">
        <f t="shared" si="573"/>
        <v>#DIV/0!</v>
      </c>
      <c r="UT143" s="1567"/>
      <c r="UU143" s="358">
        <f t="shared" si="574"/>
        <v>1629102</v>
      </c>
      <c r="UV143" s="358">
        <f t="shared" si="574"/>
        <v>2326000</v>
      </c>
      <c r="UW143" s="358">
        <f t="shared" si="574"/>
        <v>696898</v>
      </c>
      <c r="UX143" s="220">
        <f t="shared" si="575"/>
        <v>0.29961220980223557</v>
      </c>
      <c r="UY143" s="1863">
        <f t="shared" si="576"/>
        <v>8</v>
      </c>
      <c r="UZ143" s="105">
        <f t="shared" si="577"/>
        <v>1225350</v>
      </c>
      <c r="VA143" s="105">
        <f t="shared" si="577"/>
        <v>1743000</v>
      </c>
      <c r="VB143" s="105">
        <f t="shared" si="577"/>
        <v>517650</v>
      </c>
      <c r="VC143" s="106">
        <f t="shared" si="578"/>
        <v>0.29698795180722892</v>
      </c>
      <c r="VD143" s="1868"/>
      <c r="VE143" s="358">
        <f t="shared" si="579"/>
        <v>403752</v>
      </c>
      <c r="VF143" s="358">
        <f t="shared" si="579"/>
        <v>583000</v>
      </c>
      <c r="VG143" s="359">
        <f t="shared" si="579"/>
        <v>179248</v>
      </c>
      <c r="VH143" s="169">
        <f t="shared" si="580"/>
        <v>0.30745797598627789</v>
      </c>
      <c r="VI143" s="686"/>
      <c r="VJ143" s="146">
        <f t="shared" si="581"/>
        <v>0</v>
      </c>
      <c r="VK143" s="146">
        <f t="shared" si="581"/>
        <v>0</v>
      </c>
      <c r="VL143" s="1864">
        <f t="shared" si="581"/>
        <v>0</v>
      </c>
      <c r="VM143" s="203" t="e">
        <f t="shared" si="582"/>
        <v>#DIV/0!</v>
      </c>
      <c r="VN143" s="1567"/>
      <c r="VO143" s="358">
        <f t="shared" si="583"/>
        <v>0</v>
      </c>
      <c r="VP143" s="358">
        <f t="shared" si="583"/>
        <v>0</v>
      </c>
      <c r="VQ143" s="359">
        <f t="shared" si="583"/>
        <v>0</v>
      </c>
      <c r="VR143" s="114" t="e">
        <f t="shared" si="584"/>
        <v>#DIV/0!</v>
      </c>
    </row>
    <row r="144" spans="1:590" s="1193" customFormat="1" ht="15.6" customHeight="1" x14ac:dyDescent="0.3">
      <c r="A144" s="1297"/>
      <c r="B144" s="583" t="s">
        <v>84</v>
      </c>
      <c r="C144" s="2636" t="s">
        <v>242</v>
      </c>
      <c r="D144" s="1992" t="s">
        <v>243</v>
      </c>
      <c r="E144" s="2591">
        <v>45017</v>
      </c>
      <c r="F144" s="2591">
        <v>45199</v>
      </c>
      <c r="G144" s="1994">
        <v>176000</v>
      </c>
      <c r="H144" s="2093"/>
      <c r="I144" s="2094"/>
      <c r="J144" s="2094"/>
      <c r="K144" s="2094"/>
      <c r="L144" s="2095"/>
      <c r="M144" s="2093"/>
      <c r="N144" s="2094"/>
      <c r="O144" s="2094"/>
      <c r="P144" s="2094"/>
      <c r="Q144" s="2095"/>
      <c r="R144" s="2093"/>
      <c r="S144" s="2094"/>
      <c r="T144" s="2094"/>
      <c r="U144" s="2094"/>
      <c r="V144" s="2095"/>
      <c r="W144" s="2093"/>
      <c r="X144" s="2094"/>
      <c r="Y144" s="2094"/>
      <c r="Z144" s="2094"/>
      <c r="AA144" s="2096"/>
      <c r="AB144" s="2093"/>
      <c r="AC144" s="2094"/>
      <c r="AD144" s="2094"/>
      <c r="AE144" s="2094"/>
      <c r="AF144" s="2096"/>
      <c r="AG144" s="2094"/>
      <c r="AH144" s="2094"/>
      <c r="AI144" s="2094"/>
      <c r="AJ144" s="2094"/>
      <c r="AK144" s="2095"/>
      <c r="AL144" s="2094"/>
      <c r="AM144" s="2094"/>
      <c r="AN144" s="2094"/>
      <c r="AO144" s="2094"/>
      <c r="AP144" s="2095"/>
      <c r="AQ144" s="2094"/>
      <c r="AR144" s="2094"/>
      <c r="AS144" s="2094"/>
      <c r="AT144" s="2094"/>
      <c r="AU144" s="2095"/>
      <c r="AV144" s="2097"/>
      <c r="AW144" s="2094"/>
      <c r="AX144" s="2094"/>
      <c r="AY144" s="2094"/>
      <c r="AZ144" s="2096"/>
      <c r="BA144" s="2097"/>
      <c r="BB144" s="2094"/>
      <c r="BC144" s="2094"/>
      <c r="BD144" s="2094"/>
      <c r="BE144" s="2096"/>
      <c r="BF144" s="2097"/>
      <c r="BG144" s="2094"/>
      <c r="BH144" s="2094"/>
      <c r="BI144" s="2094"/>
      <c r="BJ144" s="2096"/>
      <c r="BK144" s="2097"/>
      <c r="BL144" s="2094"/>
      <c r="BM144" s="2094"/>
      <c r="BN144" s="2094"/>
      <c r="BO144" s="2096"/>
      <c r="BP144" s="2098"/>
      <c r="BQ144" s="2094"/>
      <c r="BR144" s="2094"/>
      <c r="BS144" s="2094"/>
      <c r="BT144" s="2099"/>
      <c r="BU144" s="2094"/>
      <c r="BV144" s="2094"/>
      <c r="BW144" s="2100"/>
      <c r="BX144" s="2099"/>
      <c r="BY144" s="2094"/>
      <c r="BZ144" s="2094"/>
      <c r="CA144" s="2101"/>
      <c r="CB144" s="2094"/>
      <c r="CC144" s="2094"/>
      <c r="CD144" s="2094"/>
      <c r="CE144" s="2094"/>
      <c r="CF144" s="2099"/>
      <c r="CG144" s="2094"/>
      <c r="CH144" s="2094"/>
      <c r="CI144" s="2101"/>
      <c r="CJ144" s="2102"/>
      <c r="CK144" s="2094"/>
      <c r="CL144" s="2094"/>
      <c r="CM144" s="2094"/>
      <c r="CN144" s="2100"/>
      <c r="CO144" s="2102"/>
      <c r="CP144" s="2093"/>
      <c r="CQ144" s="2093"/>
      <c r="CR144" s="2093"/>
      <c r="CS144" s="2100"/>
      <c r="CT144" s="2102"/>
      <c r="CU144" s="2094"/>
      <c r="CV144" s="2094"/>
      <c r="CW144" s="2094"/>
      <c r="CX144" s="2100"/>
      <c r="CY144" s="2102"/>
      <c r="CZ144" s="2094"/>
      <c r="DA144" s="2094"/>
      <c r="DB144" s="2094"/>
      <c r="DC144" s="2100"/>
      <c r="DD144" s="2102"/>
      <c r="DE144" s="2094"/>
      <c r="DF144" s="2094"/>
      <c r="DG144" s="2094"/>
      <c r="DH144" s="2103"/>
      <c r="DI144" s="2102"/>
      <c r="DJ144" s="2094"/>
      <c r="DK144" s="2094"/>
      <c r="DL144" s="2094"/>
      <c r="DM144" s="2103"/>
      <c r="DN144" s="2102"/>
      <c r="DO144" s="2094"/>
      <c r="DP144" s="2094"/>
      <c r="DQ144" s="2094"/>
      <c r="DR144" s="2103"/>
      <c r="DS144" s="2102"/>
      <c r="DT144" s="2094"/>
      <c r="DU144" s="2094"/>
      <c r="DV144" s="2094"/>
      <c r="DW144" s="2103"/>
      <c r="DX144" s="2102"/>
      <c r="DY144" s="2094"/>
      <c r="DZ144" s="2094"/>
      <c r="EA144" s="2094"/>
      <c r="EB144" s="2103"/>
      <c r="EC144" s="2102"/>
      <c r="ED144" s="2094"/>
      <c r="EE144" s="2094"/>
      <c r="EF144" s="2094"/>
      <c r="EG144" s="2103"/>
      <c r="EH144" s="2037"/>
      <c r="EI144" s="1914"/>
      <c r="EJ144" s="1914"/>
      <c r="EK144" s="1914"/>
      <c r="EL144" s="2038"/>
      <c r="EM144" s="1910"/>
      <c r="EN144" s="715"/>
      <c r="EO144" s="715"/>
      <c r="EP144" s="715"/>
      <c r="EQ144" s="366"/>
      <c r="ER144" s="2614"/>
      <c r="ES144" s="2615"/>
      <c r="ET144" s="2615"/>
      <c r="EU144" s="2615"/>
      <c r="EV144" s="144"/>
      <c r="EW144" s="2031"/>
      <c r="EX144" s="2031"/>
      <c r="EY144" s="2031"/>
      <c r="EZ144" s="593"/>
      <c r="FA144" s="2037"/>
      <c r="FB144" s="2031"/>
      <c r="FC144" s="2031"/>
      <c r="FD144" s="2036"/>
      <c r="FE144" s="2031"/>
      <c r="FF144" s="2031"/>
      <c r="FG144" s="2031"/>
      <c r="FH144" s="593"/>
      <c r="FI144" s="2039"/>
      <c r="FJ144" s="2040"/>
      <c r="FK144" s="2041"/>
      <c r="FL144" s="2041"/>
      <c r="FM144" s="693"/>
      <c r="FN144" s="2031"/>
      <c r="FO144" s="1914"/>
      <c r="FP144" s="1914"/>
      <c r="FQ144" s="1914"/>
      <c r="FR144" s="2032"/>
      <c r="FS144" s="1910"/>
      <c r="FT144" s="715"/>
      <c r="FU144" s="715"/>
      <c r="FV144" s="715"/>
      <c r="FW144" s="2109"/>
      <c r="FX144" s="2037"/>
      <c r="FY144" s="1914"/>
      <c r="FZ144" s="1914"/>
      <c r="GA144" s="715"/>
      <c r="GB144" s="2109"/>
      <c r="GC144" s="2110"/>
      <c r="GD144" s="2111"/>
      <c r="GE144" s="2111"/>
      <c r="GF144" s="715"/>
      <c r="GG144" s="366"/>
      <c r="GH144" s="2042"/>
      <c r="GI144" s="2043"/>
      <c r="GJ144" s="2043"/>
      <c r="GK144" s="2112"/>
      <c r="GL144" s="2109"/>
      <c r="GM144" s="2042"/>
      <c r="GN144" s="2043"/>
      <c r="GO144" s="2043"/>
      <c r="GP144" s="2112"/>
      <c r="GQ144" s="2109"/>
      <c r="GR144" s="1903"/>
      <c r="GS144" s="1904"/>
      <c r="GT144" s="1904"/>
      <c r="GU144" s="2112"/>
      <c r="GV144" s="2109"/>
      <c r="GW144" s="1903"/>
      <c r="GX144" s="1904"/>
      <c r="GY144" s="1904"/>
      <c r="GZ144" s="2112"/>
      <c r="HA144" s="2109"/>
      <c r="HB144" s="1903"/>
      <c r="HC144" s="1904"/>
      <c r="HD144" s="1904"/>
      <c r="HE144" s="2112"/>
      <c r="HF144" s="2109"/>
      <c r="HG144" s="1903"/>
      <c r="HH144" s="1904"/>
      <c r="HI144" s="1904"/>
      <c r="HJ144" s="2113"/>
      <c r="HK144" s="2109"/>
      <c r="HL144" s="1903"/>
      <c r="HM144" s="1904"/>
      <c r="HN144" s="1904"/>
      <c r="HO144" s="715"/>
      <c r="HP144" s="366"/>
      <c r="HQ144" s="2592"/>
      <c r="HR144" s="2118"/>
      <c r="HS144" s="2118"/>
      <c r="HT144" s="2118"/>
      <c r="HU144" s="2593"/>
      <c r="HV144" s="2624"/>
      <c r="HW144" s="435"/>
      <c r="HX144" s="435"/>
      <c r="HY144" s="435"/>
      <c r="HZ144" s="2625"/>
      <c r="IA144" s="1912"/>
      <c r="IB144" s="1908"/>
      <c r="IC144" s="1908"/>
      <c r="ID144" s="1909"/>
      <c r="IE144" s="1910"/>
      <c r="IF144" s="1911"/>
      <c r="IG144" s="1912"/>
      <c r="IH144" s="1909"/>
      <c r="II144" s="1907"/>
      <c r="IJ144" s="2116"/>
      <c r="IK144" s="2116"/>
      <c r="IL144" s="693"/>
      <c r="IM144" s="2117"/>
      <c r="IN144" s="2116"/>
      <c r="IO144" s="2116"/>
      <c r="IP144" s="1838"/>
      <c r="IQ144" s="1914"/>
      <c r="IR144" s="2044"/>
      <c r="IS144" s="2118"/>
      <c r="IT144" s="2118"/>
      <c r="IU144" s="2119"/>
      <c r="IV144" s="2120"/>
      <c r="IW144" s="2121"/>
      <c r="IX144" s="2122"/>
      <c r="IY144" s="2123"/>
      <c r="IZ144" s="2124"/>
      <c r="JA144" s="2125"/>
      <c r="JB144" s="2046"/>
      <c r="JC144" s="2047"/>
      <c r="JD144" s="2048"/>
      <c r="JE144" s="2124"/>
      <c r="JF144" s="2125"/>
      <c r="JG144" s="1988"/>
      <c r="JH144" s="2049"/>
      <c r="JI144" s="2049"/>
      <c r="JJ144" s="2126"/>
      <c r="JK144" s="2125"/>
      <c r="JL144" s="2127"/>
      <c r="JM144" s="2049"/>
      <c r="JN144" s="2049"/>
      <c r="JO144" s="2128"/>
      <c r="JP144" s="2125"/>
      <c r="JQ144" s="2129"/>
      <c r="JR144" s="2130"/>
      <c r="JS144" s="1904"/>
      <c r="JT144" s="2413"/>
      <c r="JU144" s="2132"/>
      <c r="JV144" s="1849"/>
      <c r="JW144" s="1119"/>
      <c r="JX144" s="1850"/>
      <c r="JY144" s="1850"/>
      <c r="JZ144" s="2125"/>
      <c r="KA144" s="1849"/>
      <c r="KB144" s="1850"/>
      <c r="KC144" s="1850"/>
      <c r="KD144" s="1108"/>
      <c r="KE144" s="2133"/>
      <c r="KF144" s="1849"/>
      <c r="KG144" s="1850"/>
      <c r="KH144" s="1850"/>
      <c r="KI144" s="2124"/>
      <c r="KJ144" s="2125"/>
      <c r="KK144" s="1849"/>
      <c r="KL144" s="1850"/>
      <c r="KM144" s="1850"/>
      <c r="KN144" s="2134"/>
      <c r="KO144" s="2135"/>
      <c r="KP144" s="2596"/>
      <c r="KQ144" s="1119"/>
      <c r="KR144" s="1850"/>
      <c r="KS144" s="2597"/>
      <c r="KT144" s="2598"/>
      <c r="KU144" s="2138"/>
      <c r="KV144" s="1850"/>
      <c r="KW144" s="1850"/>
      <c r="KX144" s="1850"/>
      <c r="KY144" s="81"/>
      <c r="KZ144" s="1857"/>
      <c r="LA144" s="358"/>
      <c r="LB144" s="358"/>
      <c r="LC144" s="358"/>
      <c r="LD144" s="151"/>
      <c r="LE144" s="2139"/>
      <c r="LF144" s="2140"/>
      <c r="LG144" s="2140"/>
      <c r="LH144" s="2141"/>
      <c r="LI144" s="2142"/>
      <c r="LJ144" s="2143"/>
      <c r="LK144" s="2139"/>
      <c r="LL144" s="2141"/>
      <c r="LM144" s="1859"/>
      <c r="LN144" s="1727"/>
      <c r="LO144" s="1727"/>
      <c r="LP144" s="151"/>
      <c r="LQ144" s="1860"/>
      <c r="LR144" s="1727"/>
      <c r="LS144" s="1727"/>
      <c r="LT144" s="1861"/>
      <c r="LV144" s="2599"/>
      <c r="LW144" s="2198"/>
      <c r="LX144" s="2198"/>
      <c r="LY144" s="700"/>
      <c r="LZ144" s="2600"/>
      <c r="MA144" s="1903"/>
      <c r="MB144" s="1904"/>
      <c r="MC144" s="1904"/>
      <c r="MD144" s="2601"/>
      <c r="ME144" s="81"/>
      <c r="MF144" s="404"/>
      <c r="MG144" s="435"/>
      <c r="MH144" s="435"/>
      <c r="MI144" s="227"/>
      <c r="MJ144" s="1595"/>
      <c r="MK144" s="2152"/>
      <c r="ML144" s="435"/>
      <c r="MM144" s="435"/>
      <c r="MN144" s="2151"/>
      <c r="MO144" s="1595"/>
      <c r="MP144" s="2602"/>
      <c r="MQ144" s="1850"/>
      <c r="MR144" s="1850"/>
      <c r="MS144" s="1850"/>
      <c r="MT144" s="790"/>
      <c r="MU144" s="1596"/>
      <c r="MV144" s="435"/>
      <c r="MW144" s="435"/>
      <c r="MX144" s="435"/>
      <c r="MY144" s="790"/>
      <c r="MZ144" s="1596"/>
      <c r="NA144" s="435"/>
      <c r="NB144" s="435"/>
      <c r="NC144" s="435"/>
      <c r="ND144" s="790"/>
      <c r="NE144" s="1596"/>
      <c r="NF144" s="435"/>
      <c r="NG144" s="435"/>
      <c r="NH144" s="435"/>
      <c r="NI144" s="790"/>
      <c r="NJ144" s="1596"/>
      <c r="NK144" s="435"/>
      <c r="NL144" s="435"/>
      <c r="NM144" s="435"/>
      <c r="NN144" s="790"/>
      <c r="NO144" s="2633"/>
      <c r="NP144" s="1585"/>
      <c r="NQ144" s="1585"/>
      <c r="NR144" s="435"/>
      <c r="NS144" s="790"/>
      <c r="NT144" s="357"/>
      <c r="NU144" s="358"/>
      <c r="NV144" s="358"/>
      <c r="NW144" s="435"/>
      <c r="NX144" s="790"/>
      <c r="NY144" s="357"/>
      <c r="NZ144" s="358"/>
      <c r="OA144" s="358"/>
      <c r="OB144" s="772"/>
      <c r="OC144" s="659"/>
      <c r="OD144" s="197"/>
      <c r="OE144" s="1585"/>
      <c r="OF144" s="1585"/>
      <c r="OG144" s="1585"/>
      <c r="OH144" s="1600"/>
      <c r="OI144" s="1868"/>
      <c r="OJ144" s="105"/>
      <c r="OK144" s="1575"/>
      <c r="OL144" s="1575"/>
      <c r="OM144" s="375"/>
      <c r="ON144" s="358"/>
      <c r="OO144" s="358"/>
      <c r="OP144" s="358"/>
      <c r="OQ144" s="359"/>
      <c r="OR144" s="169"/>
      <c r="OS144" s="686"/>
      <c r="OT144" s="146"/>
      <c r="OU144" s="146"/>
      <c r="OV144" s="1864"/>
      <c r="OW144" s="203"/>
      <c r="OX144" s="2633"/>
      <c r="OY144" s="1585"/>
      <c r="OZ144" s="1585"/>
      <c r="PA144" s="2634"/>
      <c r="PB144" s="117"/>
      <c r="PC144" s="79"/>
      <c r="PD144" s="1606">
        <v>1</v>
      </c>
      <c r="PE144" s="1066">
        <v>35780</v>
      </c>
      <c r="PF144" s="1066">
        <v>55616</v>
      </c>
      <c r="PG144" s="96">
        <f>PF144-PE144</f>
        <v>19836</v>
      </c>
      <c r="PH144" s="224">
        <f>PG144/PF144</f>
        <v>0.35665995397008055</v>
      </c>
      <c r="PI144" s="2188">
        <v>2</v>
      </c>
      <c r="PJ144" s="1850">
        <v>77585</v>
      </c>
      <c r="PK144" s="1850">
        <v>176000</v>
      </c>
      <c r="PL144" s="371">
        <f t="shared" si="529"/>
        <v>98415</v>
      </c>
      <c r="PM144" s="157">
        <f t="shared" si="530"/>
        <v>0.55917613636363639</v>
      </c>
      <c r="PN144" s="440">
        <v>2</v>
      </c>
      <c r="PO144" s="435">
        <v>119894</v>
      </c>
      <c r="PP144" s="435">
        <v>176000</v>
      </c>
      <c r="PQ144" s="371">
        <f t="shared" si="531"/>
        <v>56106</v>
      </c>
      <c r="PR144" s="157">
        <f t="shared" si="532"/>
        <v>0.31878409090909093</v>
      </c>
      <c r="PS144" s="2152">
        <v>2</v>
      </c>
      <c r="PT144" s="435">
        <v>120834</v>
      </c>
      <c r="PU144" s="435">
        <v>176000</v>
      </c>
      <c r="PV144" s="371">
        <f t="shared" si="533"/>
        <v>55166</v>
      </c>
      <c r="PW144" s="157">
        <f t="shared" si="534"/>
        <v>0.31344318181818182</v>
      </c>
      <c r="PX144" s="2602">
        <v>2</v>
      </c>
      <c r="PY144" s="1850">
        <v>119924</v>
      </c>
      <c r="PZ144" s="1850">
        <v>176000</v>
      </c>
      <c r="QA144" s="264">
        <f t="shared" si="535"/>
        <v>56076</v>
      </c>
      <c r="QB144" s="597">
        <f t="shared" si="536"/>
        <v>0.31861363636363638</v>
      </c>
      <c r="QC144" s="1596">
        <v>1</v>
      </c>
      <c r="QD144" s="435">
        <v>57394</v>
      </c>
      <c r="QE144" s="435">
        <v>82016</v>
      </c>
      <c r="QF144" s="208">
        <f t="shared" si="537"/>
        <v>24622</v>
      </c>
      <c r="QG144" s="597">
        <f t="shared" si="538"/>
        <v>0.30020971517752632</v>
      </c>
      <c r="QH144" s="440">
        <v>1</v>
      </c>
      <c r="QI144" s="435">
        <v>37503</v>
      </c>
      <c r="QJ144" s="435">
        <v>116610</v>
      </c>
      <c r="QK144" s="208">
        <f t="shared" si="539"/>
        <v>79107</v>
      </c>
      <c r="QL144" s="597">
        <f t="shared" si="540"/>
        <v>0.67838950347311555</v>
      </c>
      <c r="QM144" s="440">
        <v>1</v>
      </c>
      <c r="QN144" s="435">
        <v>70834</v>
      </c>
      <c r="QO144" s="435">
        <v>97500</v>
      </c>
      <c r="QP144" s="208">
        <f t="shared" si="541"/>
        <v>26666</v>
      </c>
      <c r="QQ144" s="1869">
        <f t="shared" si="542"/>
        <v>0.27349743589743591</v>
      </c>
      <c r="QR144" s="1596">
        <v>1</v>
      </c>
      <c r="QS144" s="435">
        <v>70834</v>
      </c>
      <c r="QT144" s="435">
        <v>97500</v>
      </c>
      <c r="QU144" s="395">
        <f t="shared" si="543"/>
        <v>26666</v>
      </c>
      <c r="QV144" s="75">
        <f t="shared" si="544"/>
        <v>0.27349743589743591</v>
      </c>
      <c r="QW144" s="2561">
        <v>1</v>
      </c>
      <c r="QX144" s="2586">
        <v>70834</v>
      </c>
      <c r="QY144" s="2586">
        <v>97500</v>
      </c>
      <c r="QZ144" s="395">
        <f t="shared" si="545"/>
        <v>26666</v>
      </c>
      <c r="RA144" s="157">
        <f t="shared" si="546"/>
        <v>0.27349743589743591</v>
      </c>
      <c r="RB144" s="357">
        <v>1</v>
      </c>
      <c r="RC144" s="358">
        <v>70834</v>
      </c>
      <c r="RD144" s="358">
        <v>97500</v>
      </c>
      <c r="RE144" s="208">
        <f t="shared" si="547"/>
        <v>26666</v>
      </c>
      <c r="RF144" s="1313">
        <f t="shared" si="548"/>
        <v>0.27349743589743591</v>
      </c>
      <c r="RG144" s="1857">
        <v>1</v>
      </c>
      <c r="RH144" s="358">
        <v>70834</v>
      </c>
      <c r="RI144" s="358">
        <v>97500</v>
      </c>
      <c r="RJ144" s="772">
        <f t="shared" si="549"/>
        <v>26666</v>
      </c>
      <c r="RK144" s="659">
        <f t="shared" si="550"/>
        <v>0.27349743589743591</v>
      </c>
      <c r="RL144" s="1567">
        <v>1</v>
      </c>
      <c r="RM144" s="1568">
        <f t="shared" si="551"/>
        <v>923084</v>
      </c>
      <c r="RN144" s="1568">
        <f t="shared" si="551"/>
        <v>1445742</v>
      </c>
      <c r="RO144" s="1568">
        <f t="shared" si="551"/>
        <v>522658</v>
      </c>
      <c r="RP144" s="220">
        <f t="shared" si="552"/>
        <v>0.36151540177984731</v>
      </c>
      <c r="RQ144" s="1863">
        <f t="shared" si="553"/>
        <v>1.6666666666666667</v>
      </c>
      <c r="RR144" s="105">
        <f t="shared" si="554"/>
        <v>233259</v>
      </c>
      <c r="RS144" s="105">
        <f t="shared" si="554"/>
        <v>407616</v>
      </c>
      <c r="RT144" s="105">
        <f t="shared" si="554"/>
        <v>174357</v>
      </c>
      <c r="RU144" s="106">
        <f t="shared" si="555"/>
        <v>0.42774817475270843</v>
      </c>
      <c r="RV144" s="2635">
        <v>1</v>
      </c>
      <c r="RW144" s="358">
        <f t="shared" si="556"/>
        <v>298152</v>
      </c>
      <c r="RX144" s="358">
        <f t="shared" si="556"/>
        <v>434016</v>
      </c>
      <c r="RY144" s="359">
        <f t="shared" si="556"/>
        <v>135864</v>
      </c>
      <c r="RZ144" s="169">
        <f t="shared" si="557"/>
        <v>0.31303915063039151</v>
      </c>
      <c r="SA144" s="686">
        <v>1</v>
      </c>
      <c r="SB144" s="146">
        <f t="shared" si="558"/>
        <v>179171</v>
      </c>
      <c r="SC144" s="146">
        <f t="shared" si="558"/>
        <v>311610</v>
      </c>
      <c r="SD144" s="1864">
        <f t="shared" si="558"/>
        <v>132439</v>
      </c>
      <c r="SE144" s="203">
        <f t="shared" si="559"/>
        <v>0.42501524341324093</v>
      </c>
      <c r="SF144" s="1567">
        <v>1</v>
      </c>
      <c r="SG144" s="358">
        <f t="shared" si="560"/>
        <v>212502</v>
      </c>
      <c r="SH144" s="358">
        <f t="shared" si="560"/>
        <v>292500</v>
      </c>
      <c r="SI144" s="359">
        <f t="shared" si="560"/>
        <v>79998</v>
      </c>
      <c r="SJ144" s="114">
        <f t="shared" si="561"/>
        <v>0.27349743589743591</v>
      </c>
      <c r="SL144" s="3660">
        <v>1</v>
      </c>
      <c r="SM144" s="459">
        <v>69685</v>
      </c>
      <c r="SN144" s="459">
        <v>97500</v>
      </c>
      <c r="SO144" s="115">
        <f t="shared" si="562"/>
        <v>27815</v>
      </c>
      <c r="SP144" s="78">
        <f t="shared" si="563"/>
        <v>0.28528205128205131</v>
      </c>
      <c r="SQ144" s="439">
        <v>1</v>
      </c>
      <c r="SR144" s="208">
        <v>70834</v>
      </c>
      <c r="SS144" s="208">
        <v>97500</v>
      </c>
      <c r="ST144" s="96">
        <f t="shared" si="564"/>
        <v>26666</v>
      </c>
      <c r="SU144" s="78">
        <f>ST144/SS144</f>
        <v>0.27349743589743591</v>
      </c>
      <c r="SV144" s="440">
        <v>1</v>
      </c>
      <c r="SW144" s="435">
        <v>70834</v>
      </c>
      <c r="SX144" s="1584">
        <v>97500</v>
      </c>
      <c r="SY144" s="96">
        <f t="shared" si="565"/>
        <v>26666</v>
      </c>
      <c r="SZ144" s="94">
        <f>SY144/SX144</f>
        <v>0.27349743589743591</v>
      </c>
      <c r="TA144" s="2152">
        <v>1</v>
      </c>
      <c r="TB144" s="435">
        <v>70834</v>
      </c>
      <c r="TC144" s="1584">
        <v>97500</v>
      </c>
      <c r="TD144" s="96">
        <f t="shared" si="566"/>
        <v>26666</v>
      </c>
      <c r="TE144" s="94">
        <f>TD144/TC144</f>
        <v>0.27349743589743591</v>
      </c>
      <c r="TF144" s="354">
        <v>1</v>
      </c>
      <c r="TG144" s="208">
        <v>70834</v>
      </c>
      <c r="TH144" s="208">
        <v>97500</v>
      </c>
      <c r="TI144" s="208">
        <f t="shared" si="480"/>
        <v>26666</v>
      </c>
      <c r="TJ144" s="114">
        <f>TI144/TH144</f>
        <v>0.27349743589743591</v>
      </c>
      <c r="TK144" s="1596">
        <v>1</v>
      </c>
      <c r="TL144" s="435">
        <v>70834</v>
      </c>
      <c r="TM144" s="435">
        <v>97500</v>
      </c>
      <c r="TN144" s="208">
        <f>TM144-TL144</f>
        <v>26666</v>
      </c>
      <c r="TO144" s="114">
        <f>TN144/TM144</f>
        <v>0.27349743589743591</v>
      </c>
      <c r="TP144" s="4515"/>
      <c r="TQ144" s="208">
        <v>0</v>
      </c>
      <c r="TR144" s="208">
        <v>0</v>
      </c>
      <c r="TS144" s="772">
        <f>TR144-TQ144</f>
        <v>0</v>
      </c>
      <c r="TT144" s="186"/>
      <c r="TU144" s="4432"/>
      <c r="TV144" s="208">
        <v>0</v>
      </c>
      <c r="TW144" s="208">
        <v>0</v>
      </c>
      <c r="TX144" s="994">
        <f t="shared" si="567"/>
        <v>0</v>
      </c>
      <c r="TY144" s="2155">
        <v>0</v>
      </c>
      <c r="TZ144" s="2635"/>
      <c r="UA144" s="1575">
        <v>0</v>
      </c>
      <c r="UB144" s="1575">
        <v>0</v>
      </c>
      <c r="UC144" s="2552">
        <f t="shared" si="568"/>
        <v>0</v>
      </c>
      <c r="UD144" s="5261">
        <v>0</v>
      </c>
      <c r="UE144" s="6505"/>
      <c r="UF144" s="1575">
        <v>0</v>
      </c>
      <c r="UG144" s="1575">
        <v>0</v>
      </c>
      <c r="UH144" s="2552">
        <f t="shared" si="569"/>
        <v>0</v>
      </c>
      <c r="UI144" s="6508">
        <v>0</v>
      </c>
      <c r="UJ144" s="357"/>
      <c r="UK144" s="358"/>
      <c r="UL144" s="358"/>
      <c r="UM144" s="208">
        <f t="shared" si="570"/>
        <v>0</v>
      </c>
      <c r="UN144" s="1313" t="e">
        <f t="shared" si="571"/>
        <v>#DIV/0!</v>
      </c>
      <c r="UO144" s="1567"/>
      <c r="UP144" s="1568"/>
      <c r="UQ144" s="1568"/>
      <c r="UR144" s="2012">
        <f t="shared" si="572"/>
        <v>0</v>
      </c>
      <c r="US144" s="659" t="e">
        <f t="shared" si="573"/>
        <v>#DIV/0!</v>
      </c>
      <c r="UT144" s="1567"/>
      <c r="UU144" s="358">
        <f t="shared" si="574"/>
        <v>423855</v>
      </c>
      <c r="UV144" s="358">
        <f t="shared" si="574"/>
        <v>585000</v>
      </c>
      <c r="UW144" s="358">
        <f t="shared" si="574"/>
        <v>161145</v>
      </c>
      <c r="UX144" s="220">
        <f t="shared" si="575"/>
        <v>0.27546153846153848</v>
      </c>
      <c r="UY144" s="1863">
        <f t="shared" si="576"/>
        <v>1</v>
      </c>
      <c r="UZ144" s="105">
        <f t="shared" si="577"/>
        <v>211353</v>
      </c>
      <c r="VA144" s="105">
        <f t="shared" si="577"/>
        <v>292500</v>
      </c>
      <c r="VB144" s="105">
        <f t="shared" si="577"/>
        <v>81147</v>
      </c>
      <c r="VC144" s="106">
        <f t="shared" si="578"/>
        <v>0.27742564102564105</v>
      </c>
      <c r="VD144" s="2635"/>
      <c r="VE144" s="358">
        <f t="shared" si="579"/>
        <v>212502</v>
      </c>
      <c r="VF144" s="358">
        <f t="shared" si="579"/>
        <v>292500</v>
      </c>
      <c r="VG144" s="359">
        <f t="shared" si="579"/>
        <v>79998</v>
      </c>
      <c r="VH144" s="169">
        <f t="shared" si="580"/>
        <v>0.27349743589743591</v>
      </c>
      <c r="VI144" s="686"/>
      <c r="VJ144" s="146">
        <f t="shared" si="581"/>
        <v>0</v>
      </c>
      <c r="VK144" s="146">
        <f t="shared" si="581"/>
        <v>0</v>
      </c>
      <c r="VL144" s="1864">
        <f t="shared" si="581"/>
        <v>0</v>
      </c>
      <c r="VM144" s="203" t="e">
        <f t="shared" si="582"/>
        <v>#DIV/0!</v>
      </c>
      <c r="VN144" s="1567"/>
      <c r="VO144" s="358">
        <f t="shared" si="583"/>
        <v>0</v>
      </c>
      <c r="VP144" s="358">
        <f t="shared" si="583"/>
        <v>0</v>
      </c>
      <c r="VQ144" s="359">
        <f t="shared" si="583"/>
        <v>0</v>
      </c>
      <c r="VR144" s="114" t="e">
        <f t="shared" si="584"/>
        <v>#DIV/0!</v>
      </c>
    </row>
    <row r="145" spans="1:590" s="1193" customFormat="1" ht="13.45" x14ac:dyDescent="0.3">
      <c r="A145" s="1297"/>
      <c r="B145" s="583" t="s">
        <v>84</v>
      </c>
      <c r="C145" s="2636" t="s">
        <v>261</v>
      </c>
      <c r="D145" s="1992" t="s">
        <v>279</v>
      </c>
      <c r="E145" s="2591">
        <v>45047</v>
      </c>
      <c r="F145" s="2591">
        <v>45412</v>
      </c>
      <c r="G145" s="1994">
        <v>996500</v>
      </c>
      <c r="H145" s="2093"/>
      <c r="I145" s="2094"/>
      <c r="J145" s="2094"/>
      <c r="K145" s="2094"/>
      <c r="L145" s="2095"/>
      <c r="M145" s="2093"/>
      <c r="N145" s="2094"/>
      <c r="O145" s="2094"/>
      <c r="P145" s="2094"/>
      <c r="Q145" s="2095"/>
      <c r="R145" s="2093"/>
      <c r="S145" s="2094"/>
      <c r="T145" s="2094"/>
      <c r="U145" s="2094"/>
      <c r="V145" s="2095"/>
      <c r="W145" s="2093"/>
      <c r="X145" s="2094"/>
      <c r="Y145" s="2094"/>
      <c r="Z145" s="2094"/>
      <c r="AA145" s="2096"/>
      <c r="AB145" s="2093"/>
      <c r="AC145" s="2094"/>
      <c r="AD145" s="2094"/>
      <c r="AE145" s="2094"/>
      <c r="AF145" s="2096"/>
      <c r="AG145" s="2094"/>
      <c r="AH145" s="2094"/>
      <c r="AI145" s="2094"/>
      <c r="AJ145" s="2094"/>
      <c r="AK145" s="2095"/>
      <c r="AL145" s="2094"/>
      <c r="AM145" s="2094"/>
      <c r="AN145" s="2094"/>
      <c r="AO145" s="2094"/>
      <c r="AP145" s="2095"/>
      <c r="AQ145" s="2094"/>
      <c r="AR145" s="2094"/>
      <c r="AS145" s="2094"/>
      <c r="AT145" s="2094"/>
      <c r="AU145" s="2095"/>
      <c r="AV145" s="2097"/>
      <c r="AW145" s="2094"/>
      <c r="AX145" s="2094"/>
      <c r="AY145" s="2094"/>
      <c r="AZ145" s="2096"/>
      <c r="BA145" s="2097"/>
      <c r="BB145" s="2094"/>
      <c r="BC145" s="2094"/>
      <c r="BD145" s="2094"/>
      <c r="BE145" s="2096"/>
      <c r="BF145" s="2097"/>
      <c r="BG145" s="2094"/>
      <c r="BH145" s="2094"/>
      <c r="BI145" s="2094"/>
      <c r="BJ145" s="2096"/>
      <c r="BK145" s="2097"/>
      <c r="BL145" s="2094"/>
      <c r="BM145" s="2094"/>
      <c r="BN145" s="2094"/>
      <c r="BO145" s="2096"/>
      <c r="BP145" s="2098"/>
      <c r="BQ145" s="2094"/>
      <c r="BR145" s="2094"/>
      <c r="BS145" s="2094"/>
      <c r="BT145" s="2099"/>
      <c r="BU145" s="2094"/>
      <c r="BV145" s="2094"/>
      <c r="BW145" s="2100"/>
      <c r="BX145" s="2099"/>
      <c r="BY145" s="2094"/>
      <c r="BZ145" s="2094"/>
      <c r="CA145" s="2101"/>
      <c r="CB145" s="2094"/>
      <c r="CC145" s="2094"/>
      <c r="CD145" s="2094"/>
      <c r="CE145" s="2094"/>
      <c r="CF145" s="2099"/>
      <c r="CG145" s="2094"/>
      <c r="CH145" s="2094"/>
      <c r="CI145" s="2101"/>
      <c r="CJ145" s="2102"/>
      <c r="CK145" s="2094"/>
      <c r="CL145" s="2094"/>
      <c r="CM145" s="2094"/>
      <c r="CN145" s="2100"/>
      <c r="CO145" s="2102"/>
      <c r="CP145" s="2093"/>
      <c r="CQ145" s="2093"/>
      <c r="CR145" s="2093"/>
      <c r="CS145" s="2100"/>
      <c r="CT145" s="2102"/>
      <c r="CU145" s="2094"/>
      <c r="CV145" s="2094"/>
      <c r="CW145" s="2094"/>
      <c r="CX145" s="2100"/>
      <c r="CY145" s="2102"/>
      <c r="CZ145" s="2094"/>
      <c r="DA145" s="2094"/>
      <c r="DB145" s="2094"/>
      <c r="DC145" s="2100"/>
      <c r="DD145" s="2102"/>
      <c r="DE145" s="2094"/>
      <c r="DF145" s="2094"/>
      <c r="DG145" s="2094"/>
      <c r="DH145" s="2103"/>
      <c r="DI145" s="2102"/>
      <c r="DJ145" s="2094"/>
      <c r="DK145" s="2094"/>
      <c r="DL145" s="2094"/>
      <c r="DM145" s="2103"/>
      <c r="DN145" s="2102"/>
      <c r="DO145" s="2094"/>
      <c r="DP145" s="2094"/>
      <c r="DQ145" s="2094"/>
      <c r="DR145" s="2103"/>
      <c r="DS145" s="2102"/>
      <c r="DT145" s="2094"/>
      <c r="DU145" s="2094"/>
      <c r="DV145" s="2094"/>
      <c r="DW145" s="2103"/>
      <c r="DX145" s="2102"/>
      <c r="DY145" s="2094"/>
      <c r="DZ145" s="2094"/>
      <c r="EA145" s="2094"/>
      <c r="EB145" s="2103"/>
      <c r="EC145" s="2102"/>
      <c r="ED145" s="2094"/>
      <c r="EE145" s="2094"/>
      <c r="EF145" s="2094"/>
      <c r="EG145" s="2103"/>
      <c r="EH145" s="2037"/>
      <c r="EI145" s="1914"/>
      <c r="EJ145" s="1914"/>
      <c r="EK145" s="1914"/>
      <c r="EL145" s="2038"/>
      <c r="EM145" s="1910"/>
      <c r="EN145" s="715"/>
      <c r="EO145" s="715"/>
      <c r="EP145" s="715"/>
      <c r="EQ145" s="366"/>
      <c r="ER145" s="2614"/>
      <c r="ES145" s="2615"/>
      <c r="ET145" s="2615"/>
      <c r="EU145" s="2615"/>
      <c r="EV145" s="144"/>
      <c r="EW145" s="2031"/>
      <c r="EX145" s="2031"/>
      <c r="EY145" s="2031"/>
      <c r="EZ145" s="593"/>
      <c r="FA145" s="2037"/>
      <c r="FB145" s="2031"/>
      <c r="FC145" s="2031"/>
      <c r="FD145" s="2036"/>
      <c r="FE145" s="2031"/>
      <c r="FF145" s="2031"/>
      <c r="FG145" s="2031"/>
      <c r="FH145" s="593"/>
      <c r="FI145" s="2039"/>
      <c r="FJ145" s="2040"/>
      <c r="FK145" s="2041"/>
      <c r="FL145" s="2041"/>
      <c r="FM145" s="693"/>
      <c r="FN145" s="2031"/>
      <c r="FO145" s="1914"/>
      <c r="FP145" s="1914"/>
      <c r="FQ145" s="1914"/>
      <c r="FR145" s="2032"/>
      <c r="FS145" s="1910"/>
      <c r="FT145" s="715"/>
      <c r="FU145" s="715"/>
      <c r="FV145" s="715"/>
      <c r="FW145" s="2109"/>
      <c r="FX145" s="2037"/>
      <c r="FY145" s="1914"/>
      <c r="FZ145" s="1914"/>
      <c r="GA145" s="715"/>
      <c r="GB145" s="2109"/>
      <c r="GC145" s="2110"/>
      <c r="GD145" s="2111"/>
      <c r="GE145" s="2111"/>
      <c r="GF145" s="715"/>
      <c r="GG145" s="366"/>
      <c r="GH145" s="2042"/>
      <c r="GI145" s="2043"/>
      <c r="GJ145" s="2043"/>
      <c r="GK145" s="2112"/>
      <c r="GL145" s="2109"/>
      <c r="GM145" s="2042"/>
      <c r="GN145" s="2043"/>
      <c r="GO145" s="2043"/>
      <c r="GP145" s="2112"/>
      <c r="GQ145" s="2109"/>
      <c r="GR145" s="1903"/>
      <c r="GS145" s="1904"/>
      <c r="GT145" s="1904"/>
      <c r="GU145" s="2112"/>
      <c r="GV145" s="2109"/>
      <c r="GW145" s="1903"/>
      <c r="GX145" s="1904"/>
      <c r="GY145" s="1904"/>
      <c r="GZ145" s="2112"/>
      <c r="HA145" s="2109"/>
      <c r="HB145" s="1903"/>
      <c r="HC145" s="1904"/>
      <c r="HD145" s="1904"/>
      <c r="HE145" s="2112"/>
      <c r="HF145" s="2109"/>
      <c r="HG145" s="1903"/>
      <c r="HH145" s="1904"/>
      <c r="HI145" s="1904"/>
      <c r="HJ145" s="2113"/>
      <c r="HK145" s="2109"/>
      <c r="HL145" s="1903"/>
      <c r="HM145" s="1904"/>
      <c r="HN145" s="1904"/>
      <c r="HO145" s="715"/>
      <c r="HP145" s="366"/>
      <c r="HQ145" s="2592"/>
      <c r="HR145" s="2118"/>
      <c r="HS145" s="2118"/>
      <c r="HT145" s="2118"/>
      <c r="HU145" s="2593"/>
      <c r="HV145" s="2624"/>
      <c r="HW145" s="435"/>
      <c r="HX145" s="435"/>
      <c r="HY145" s="435"/>
      <c r="HZ145" s="2625"/>
      <c r="IA145" s="1912"/>
      <c r="IB145" s="1908"/>
      <c r="IC145" s="1908"/>
      <c r="ID145" s="1909"/>
      <c r="IE145" s="1910"/>
      <c r="IF145" s="1911"/>
      <c r="IG145" s="1912"/>
      <c r="IH145" s="1909"/>
      <c r="II145" s="1907"/>
      <c r="IJ145" s="2116"/>
      <c r="IK145" s="2116"/>
      <c r="IL145" s="693"/>
      <c r="IM145" s="2117"/>
      <c r="IN145" s="2116"/>
      <c r="IO145" s="2116"/>
      <c r="IP145" s="1838"/>
      <c r="IQ145" s="1914"/>
      <c r="IR145" s="2044"/>
      <c r="IS145" s="2118"/>
      <c r="IT145" s="2118"/>
      <c r="IU145" s="2119"/>
      <c r="IV145" s="2120"/>
      <c r="IW145" s="2121"/>
      <c r="IX145" s="2122"/>
      <c r="IY145" s="2123"/>
      <c r="IZ145" s="2124"/>
      <c r="JA145" s="2125"/>
      <c r="JB145" s="2046"/>
      <c r="JC145" s="2047"/>
      <c r="JD145" s="2048"/>
      <c r="JE145" s="2124"/>
      <c r="JF145" s="2125"/>
      <c r="JG145" s="1988"/>
      <c r="JH145" s="2049"/>
      <c r="JI145" s="2049"/>
      <c r="JJ145" s="2126"/>
      <c r="JK145" s="2125"/>
      <c r="JL145" s="2127"/>
      <c r="JM145" s="2049"/>
      <c r="JN145" s="2049"/>
      <c r="JO145" s="2128"/>
      <c r="JP145" s="2125"/>
      <c r="JQ145" s="2129"/>
      <c r="JR145" s="2130"/>
      <c r="JS145" s="1904"/>
      <c r="JT145" s="2413"/>
      <c r="JU145" s="2132"/>
      <c r="JV145" s="1849"/>
      <c r="JW145" s="1119"/>
      <c r="JX145" s="1850"/>
      <c r="JY145" s="1850"/>
      <c r="JZ145" s="2125"/>
      <c r="KA145" s="1849"/>
      <c r="KB145" s="1850"/>
      <c r="KC145" s="1850"/>
      <c r="KD145" s="1108"/>
      <c r="KE145" s="2133"/>
      <c r="KF145" s="1849"/>
      <c r="KG145" s="1850"/>
      <c r="KH145" s="1850"/>
      <c r="KI145" s="2124"/>
      <c r="KJ145" s="2125"/>
      <c r="KK145" s="1849"/>
      <c r="KL145" s="1850"/>
      <c r="KM145" s="1850"/>
      <c r="KN145" s="2134"/>
      <c r="KO145" s="2135"/>
      <c r="KP145" s="2596"/>
      <c r="KQ145" s="1119"/>
      <c r="KR145" s="1850"/>
      <c r="KS145" s="2597"/>
      <c r="KT145" s="2598"/>
      <c r="KU145" s="2138"/>
      <c r="KV145" s="1850"/>
      <c r="KW145" s="1850"/>
      <c r="KX145" s="1850"/>
      <c r="KY145" s="81"/>
      <c r="KZ145" s="1857"/>
      <c r="LA145" s="358"/>
      <c r="LB145" s="358"/>
      <c r="LC145" s="358"/>
      <c r="LD145" s="151"/>
      <c r="LE145" s="2139"/>
      <c r="LF145" s="2140"/>
      <c r="LG145" s="2140"/>
      <c r="LH145" s="2141"/>
      <c r="LI145" s="2142"/>
      <c r="LJ145" s="2143"/>
      <c r="LK145" s="2139"/>
      <c r="LL145" s="2141"/>
      <c r="LM145" s="1859"/>
      <c r="LN145" s="1727"/>
      <c r="LO145" s="1727"/>
      <c r="LP145" s="151"/>
      <c r="LQ145" s="1860"/>
      <c r="LR145" s="1727"/>
      <c r="LS145" s="1727"/>
      <c r="LT145" s="1861"/>
      <c r="LV145" s="2599"/>
      <c r="LW145" s="2198"/>
      <c r="LX145" s="2198"/>
      <c r="LY145" s="700"/>
      <c r="LZ145" s="2600"/>
      <c r="MA145" s="1903"/>
      <c r="MB145" s="1904"/>
      <c r="MC145" s="1904"/>
      <c r="MD145" s="2601"/>
      <c r="ME145" s="81"/>
      <c r="MF145" s="404"/>
      <c r="MG145" s="435"/>
      <c r="MH145" s="435"/>
      <c r="MI145" s="227"/>
      <c r="MJ145" s="1595"/>
      <c r="MK145" s="2152"/>
      <c r="ML145" s="435"/>
      <c r="MM145" s="435"/>
      <c r="MN145" s="2151"/>
      <c r="MO145" s="1595"/>
      <c r="MP145" s="2602"/>
      <c r="MQ145" s="1850"/>
      <c r="MR145" s="1850"/>
      <c r="MS145" s="1850"/>
      <c r="MT145" s="790"/>
      <c r="MU145" s="1596"/>
      <c r="MV145" s="435"/>
      <c r="MW145" s="435"/>
      <c r="MX145" s="435"/>
      <c r="MY145" s="790"/>
      <c r="MZ145" s="1596"/>
      <c r="NA145" s="435"/>
      <c r="NB145" s="435"/>
      <c r="NC145" s="435"/>
      <c r="ND145" s="790"/>
      <c r="NE145" s="1596"/>
      <c r="NF145" s="435"/>
      <c r="NG145" s="435"/>
      <c r="NH145" s="435"/>
      <c r="NI145" s="790"/>
      <c r="NJ145" s="1596"/>
      <c r="NK145" s="435"/>
      <c r="NL145" s="435"/>
      <c r="NM145" s="435"/>
      <c r="NN145" s="790"/>
      <c r="NO145" s="2633"/>
      <c r="NP145" s="1585"/>
      <c r="NQ145" s="1585"/>
      <c r="NR145" s="435"/>
      <c r="NS145" s="790"/>
      <c r="NT145" s="357"/>
      <c r="NU145" s="358"/>
      <c r="NV145" s="358"/>
      <c r="NW145" s="435"/>
      <c r="NX145" s="790"/>
      <c r="NY145" s="357"/>
      <c r="NZ145" s="358"/>
      <c r="OA145" s="358"/>
      <c r="OB145" s="772"/>
      <c r="OC145" s="659"/>
      <c r="OD145" s="197"/>
      <c r="OE145" s="1585"/>
      <c r="OF145" s="1585"/>
      <c r="OG145" s="1585"/>
      <c r="OH145" s="1600"/>
      <c r="OI145" s="1868"/>
      <c r="OJ145" s="105"/>
      <c r="OK145" s="1575"/>
      <c r="OL145" s="1575"/>
      <c r="OM145" s="375"/>
      <c r="ON145" s="358"/>
      <c r="OO145" s="358"/>
      <c r="OP145" s="358"/>
      <c r="OQ145" s="359"/>
      <c r="OR145" s="169"/>
      <c r="OS145" s="686"/>
      <c r="OT145" s="146"/>
      <c r="OU145" s="146"/>
      <c r="OV145" s="1864"/>
      <c r="OW145" s="203"/>
      <c r="OX145" s="2633"/>
      <c r="OY145" s="1585"/>
      <c r="OZ145" s="1585"/>
      <c r="PA145" s="2634"/>
      <c r="PB145" s="117"/>
      <c r="PC145" s="79"/>
      <c r="PD145" s="439"/>
      <c r="PE145" s="208"/>
      <c r="PF145" s="208"/>
      <c r="PG145" s="96"/>
      <c r="PH145" s="78"/>
      <c r="PI145" s="2188">
        <v>3</v>
      </c>
      <c r="PJ145" s="1850">
        <v>94906</v>
      </c>
      <c r="PK145" s="1850">
        <v>132000</v>
      </c>
      <c r="PL145" s="371">
        <f t="shared" si="529"/>
        <v>37094</v>
      </c>
      <c r="PM145" s="157">
        <f t="shared" si="530"/>
        <v>0.2810151515151515</v>
      </c>
      <c r="PN145" s="440">
        <v>3</v>
      </c>
      <c r="PO145" s="435">
        <v>97398</v>
      </c>
      <c r="PP145" s="435">
        <v>131538</v>
      </c>
      <c r="PQ145" s="371">
        <f t="shared" si="531"/>
        <v>34140</v>
      </c>
      <c r="PR145" s="157">
        <f t="shared" si="532"/>
        <v>0.25954477033252749</v>
      </c>
      <c r="PS145" s="2152">
        <v>5</v>
      </c>
      <c r="PT145" s="435">
        <v>109215.16129032258</v>
      </c>
      <c r="PU145" s="435">
        <v>132000</v>
      </c>
      <c r="PV145" s="371">
        <f t="shared" si="533"/>
        <v>22784.838709677424</v>
      </c>
      <c r="PW145" s="157">
        <f t="shared" si="534"/>
        <v>0.1726124144672532</v>
      </c>
      <c r="PX145" s="2637">
        <v>9</v>
      </c>
      <c r="PY145" s="1904">
        <v>222436</v>
      </c>
      <c r="PZ145" s="1904">
        <v>299946</v>
      </c>
      <c r="QA145" s="1248">
        <f t="shared" si="535"/>
        <v>77510</v>
      </c>
      <c r="QB145" s="655">
        <f t="shared" si="536"/>
        <v>0.25841318103925376</v>
      </c>
      <c r="QC145" s="1596">
        <v>11</v>
      </c>
      <c r="QD145" s="435">
        <v>419984</v>
      </c>
      <c r="QE145" s="435">
        <v>550068</v>
      </c>
      <c r="QF145" s="208">
        <f t="shared" si="537"/>
        <v>130084</v>
      </c>
      <c r="QG145" s="597">
        <f t="shared" si="538"/>
        <v>0.2364871252281536</v>
      </c>
      <c r="QH145" s="440">
        <v>11</v>
      </c>
      <c r="QI145" s="435">
        <v>432993</v>
      </c>
      <c r="QJ145" s="435">
        <v>569998</v>
      </c>
      <c r="QK145" s="208">
        <f t="shared" si="539"/>
        <v>137005</v>
      </c>
      <c r="QL145" s="597">
        <f t="shared" si="540"/>
        <v>0.24036049249295613</v>
      </c>
      <c r="QM145" s="440">
        <v>12</v>
      </c>
      <c r="QN145" s="435">
        <v>440968</v>
      </c>
      <c r="QO145" s="435">
        <v>576974</v>
      </c>
      <c r="QP145" s="208">
        <f t="shared" si="541"/>
        <v>136006</v>
      </c>
      <c r="QQ145" s="1869">
        <f t="shared" si="542"/>
        <v>0.23572292685632282</v>
      </c>
      <c r="QR145" s="1596">
        <v>15</v>
      </c>
      <c r="QS145" s="435">
        <v>572819</v>
      </c>
      <c r="QT145" s="435">
        <v>743389</v>
      </c>
      <c r="QU145" s="395">
        <f t="shared" si="543"/>
        <v>170570</v>
      </c>
      <c r="QV145" s="75">
        <f t="shared" si="544"/>
        <v>0.22944918474715123</v>
      </c>
      <c r="QW145" s="2561">
        <v>15</v>
      </c>
      <c r="QX145" s="2586">
        <v>665701</v>
      </c>
      <c r="QY145" s="2586">
        <v>850000</v>
      </c>
      <c r="QZ145" s="395">
        <f t="shared" si="545"/>
        <v>184299</v>
      </c>
      <c r="RA145" s="157">
        <f t="shared" si="546"/>
        <v>0.21682235294117647</v>
      </c>
      <c r="RB145" s="357">
        <v>15</v>
      </c>
      <c r="RC145" s="358">
        <v>604981</v>
      </c>
      <c r="RD145" s="358">
        <v>778266.5</v>
      </c>
      <c r="RE145" s="208">
        <f t="shared" si="547"/>
        <v>173285.5</v>
      </c>
      <c r="RF145" s="1313">
        <f t="shared" si="548"/>
        <v>0.22265573553532111</v>
      </c>
      <c r="RG145" s="1857">
        <v>16</v>
      </c>
      <c r="RH145" s="358">
        <v>634094</v>
      </c>
      <c r="RI145" s="358">
        <v>822112.5</v>
      </c>
      <c r="RJ145" s="772">
        <f t="shared" si="549"/>
        <v>188018.5</v>
      </c>
      <c r="RK145" s="659">
        <f t="shared" si="550"/>
        <v>0.22870166795906885</v>
      </c>
      <c r="RL145" s="1567">
        <v>16</v>
      </c>
      <c r="RM145" s="1568">
        <f t="shared" si="551"/>
        <v>4295495.1612903224</v>
      </c>
      <c r="RN145" s="1568">
        <f t="shared" si="551"/>
        <v>5586292</v>
      </c>
      <c r="RO145" s="1568">
        <f t="shared" si="551"/>
        <v>1290796.8387096773</v>
      </c>
      <c r="RP145" s="220">
        <f t="shared" si="552"/>
        <v>0.23106504971628361</v>
      </c>
      <c r="RQ145" s="1863">
        <f t="shared" si="553"/>
        <v>2</v>
      </c>
      <c r="RR145" s="105">
        <f t="shared" si="554"/>
        <v>192304</v>
      </c>
      <c r="RS145" s="105">
        <f t="shared" si="554"/>
        <v>263538</v>
      </c>
      <c r="RT145" s="105">
        <f t="shared" si="554"/>
        <v>71234</v>
      </c>
      <c r="RU145" s="106">
        <f t="shared" si="555"/>
        <v>0.27029878044153027</v>
      </c>
      <c r="RV145" s="2635">
        <v>11</v>
      </c>
      <c r="RW145" s="358">
        <f t="shared" si="556"/>
        <v>751635.16129032255</v>
      </c>
      <c r="RX145" s="358">
        <f t="shared" si="556"/>
        <v>982014</v>
      </c>
      <c r="RY145" s="359">
        <f t="shared" si="556"/>
        <v>230378.83870967742</v>
      </c>
      <c r="RZ145" s="169">
        <f t="shared" si="557"/>
        <v>0.23459832416816606</v>
      </c>
      <c r="SA145" s="686">
        <v>15</v>
      </c>
      <c r="SB145" s="146">
        <f t="shared" si="558"/>
        <v>1446780</v>
      </c>
      <c r="SC145" s="146">
        <f t="shared" si="558"/>
        <v>1890361</v>
      </c>
      <c r="SD145" s="1864">
        <f t="shared" si="558"/>
        <v>443581</v>
      </c>
      <c r="SE145" s="203">
        <f t="shared" si="559"/>
        <v>0.23465412162015614</v>
      </c>
      <c r="SF145" s="1567">
        <v>16</v>
      </c>
      <c r="SG145" s="358">
        <f t="shared" si="560"/>
        <v>1904776</v>
      </c>
      <c r="SH145" s="358">
        <f t="shared" si="560"/>
        <v>2450379</v>
      </c>
      <c r="SI145" s="359">
        <f t="shared" si="560"/>
        <v>545603</v>
      </c>
      <c r="SJ145" s="114">
        <f t="shared" si="561"/>
        <v>0.22266065780028313</v>
      </c>
      <c r="SL145" s="439">
        <v>13</v>
      </c>
      <c r="SM145" s="208">
        <v>590865</v>
      </c>
      <c r="SN145" s="208">
        <v>786238.5</v>
      </c>
      <c r="SO145" s="96">
        <f t="shared" si="562"/>
        <v>195373.5</v>
      </c>
      <c r="SP145" s="78">
        <f t="shared" si="563"/>
        <v>0.24849139287887836</v>
      </c>
      <c r="SQ145" s="439"/>
      <c r="SR145" s="208">
        <v>0</v>
      </c>
      <c r="SS145" s="208">
        <v>0</v>
      </c>
      <c r="ST145" s="96">
        <f t="shared" si="564"/>
        <v>0</v>
      </c>
      <c r="SU145" s="4112" t="s">
        <v>68</v>
      </c>
      <c r="SV145" s="440"/>
      <c r="SW145" s="435">
        <v>0</v>
      </c>
      <c r="SX145" s="1584">
        <v>0</v>
      </c>
      <c r="SY145" s="96">
        <f t="shared" si="565"/>
        <v>0</v>
      </c>
      <c r="SZ145" s="4435">
        <v>0</v>
      </c>
      <c r="TA145" s="2152"/>
      <c r="TB145" s="435">
        <v>0</v>
      </c>
      <c r="TC145" s="1584">
        <v>0</v>
      </c>
      <c r="TD145" s="96">
        <f t="shared" si="566"/>
        <v>0</v>
      </c>
      <c r="TE145" s="4435">
        <v>0</v>
      </c>
      <c r="TF145" s="1573"/>
      <c r="TG145" s="395">
        <v>0</v>
      </c>
      <c r="TH145" s="395">
        <v>0</v>
      </c>
      <c r="TI145" s="395">
        <f t="shared" si="480"/>
        <v>0</v>
      </c>
      <c r="TJ145" s="116"/>
      <c r="TK145" s="1596"/>
      <c r="TL145" s="435"/>
      <c r="TM145" s="435"/>
      <c r="TN145" s="208"/>
      <c r="TO145" s="114"/>
      <c r="TP145" s="4510"/>
      <c r="TQ145" s="208">
        <v>0</v>
      </c>
      <c r="TR145" s="208">
        <v>0</v>
      </c>
      <c r="TS145" s="994">
        <v>0</v>
      </c>
      <c r="TT145" s="114"/>
      <c r="TU145" s="4432"/>
      <c r="TV145" s="208">
        <v>0</v>
      </c>
      <c r="TW145" s="208">
        <v>0</v>
      </c>
      <c r="TX145" s="994">
        <f t="shared" si="567"/>
        <v>0</v>
      </c>
      <c r="TY145" s="2155">
        <v>0</v>
      </c>
      <c r="TZ145" s="2635"/>
      <c r="UA145" s="1575">
        <v>0</v>
      </c>
      <c r="UB145" s="1575">
        <v>0</v>
      </c>
      <c r="UC145" s="2552">
        <f t="shared" si="568"/>
        <v>0</v>
      </c>
      <c r="UD145" s="5261">
        <v>0</v>
      </c>
      <c r="UE145" s="6505"/>
      <c r="UF145" s="1575">
        <v>0</v>
      </c>
      <c r="UG145" s="1575">
        <v>0</v>
      </c>
      <c r="UH145" s="2552">
        <f t="shared" si="569"/>
        <v>0</v>
      </c>
      <c r="UI145" s="6508">
        <v>0</v>
      </c>
      <c r="UJ145" s="357"/>
      <c r="UK145" s="358"/>
      <c r="UL145" s="358"/>
      <c r="UM145" s="208">
        <f t="shared" si="570"/>
        <v>0</v>
      </c>
      <c r="UN145" s="1313" t="e">
        <f t="shared" si="571"/>
        <v>#DIV/0!</v>
      </c>
      <c r="UO145" s="1567"/>
      <c r="UP145" s="1568"/>
      <c r="UQ145" s="1568"/>
      <c r="UR145" s="2012">
        <f t="shared" si="572"/>
        <v>0</v>
      </c>
      <c r="US145" s="659" t="e">
        <f t="shared" si="573"/>
        <v>#DIV/0!</v>
      </c>
      <c r="UT145" s="1567"/>
      <c r="UU145" s="358">
        <f t="shared" si="574"/>
        <v>590865</v>
      </c>
      <c r="UV145" s="358">
        <f t="shared" si="574"/>
        <v>786238.5</v>
      </c>
      <c r="UW145" s="358">
        <f t="shared" si="574"/>
        <v>195373.5</v>
      </c>
      <c r="UX145" s="220">
        <f t="shared" si="575"/>
        <v>0.24849139287887836</v>
      </c>
      <c r="UY145" s="1863">
        <f t="shared" si="576"/>
        <v>4.333333333333333</v>
      </c>
      <c r="UZ145" s="105">
        <f t="shared" si="577"/>
        <v>590865</v>
      </c>
      <c r="VA145" s="105">
        <f t="shared" si="577"/>
        <v>786238.5</v>
      </c>
      <c r="VB145" s="105">
        <f t="shared" si="577"/>
        <v>195373.5</v>
      </c>
      <c r="VC145" s="106">
        <f t="shared" si="578"/>
        <v>0.24849139287887836</v>
      </c>
      <c r="VD145" s="2635"/>
      <c r="VE145" s="358">
        <f t="shared" si="579"/>
        <v>0</v>
      </c>
      <c r="VF145" s="358">
        <f t="shared" si="579"/>
        <v>0</v>
      </c>
      <c r="VG145" s="359">
        <f t="shared" si="579"/>
        <v>0</v>
      </c>
      <c r="VH145" s="169" t="e">
        <f t="shared" si="580"/>
        <v>#DIV/0!</v>
      </c>
      <c r="VI145" s="686"/>
      <c r="VJ145" s="146">
        <f t="shared" si="581"/>
        <v>0</v>
      </c>
      <c r="VK145" s="146">
        <f t="shared" si="581"/>
        <v>0</v>
      </c>
      <c r="VL145" s="1864">
        <f t="shared" si="581"/>
        <v>0</v>
      </c>
      <c r="VM145" s="203" t="e">
        <f t="shared" si="582"/>
        <v>#DIV/0!</v>
      </c>
      <c r="VN145" s="1567"/>
      <c r="VO145" s="358">
        <f t="shared" si="583"/>
        <v>0</v>
      </c>
      <c r="VP145" s="358">
        <f t="shared" si="583"/>
        <v>0</v>
      </c>
      <c r="VQ145" s="359">
        <f t="shared" si="583"/>
        <v>0</v>
      </c>
      <c r="VR145" s="114" t="e">
        <f t="shared" si="584"/>
        <v>#DIV/0!</v>
      </c>
    </row>
    <row r="146" spans="1:590" s="1193" customFormat="1" ht="13.45" x14ac:dyDescent="0.3">
      <c r="A146" s="1297"/>
      <c r="B146" s="3773" t="s">
        <v>84</v>
      </c>
      <c r="C146" s="3774" t="s">
        <v>56</v>
      </c>
      <c r="D146" s="4512" t="s">
        <v>1016</v>
      </c>
      <c r="E146" s="2086">
        <v>45366</v>
      </c>
      <c r="F146" s="2086">
        <v>45730</v>
      </c>
      <c r="G146" s="1994">
        <v>207500</v>
      </c>
      <c r="H146" s="1874"/>
      <c r="I146" s="1875"/>
      <c r="J146" s="1875"/>
      <c r="K146" s="1875"/>
      <c r="L146" s="1876"/>
      <c r="M146" s="1874"/>
      <c r="N146" s="1875"/>
      <c r="O146" s="1875"/>
      <c r="P146" s="1875"/>
      <c r="Q146" s="1876"/>
      <c r="R146" s="1874"/>
      <c r="S146" s="1875"/>
      <c r="T146" s="1875"/>
      <c r="U146" s="1875"/>
      <c r="V146" s="1876"/>
      <c r="W146" s="1874"/>
      <c r="X146" s="1875"/>
      <c r="Y146" s="1875"/>
      <c r="Z146" s="1875"/>
      <c r="AA146" s="1877"/>
      <c r="AB146" s="1874"/>
      <c r="AC146" s="1875"/>
      <c r="AD146" s="1875"/>
      <c r="AE146" s="1875"/>
      <c r="AF146" s="1877"/>
      <c r="AG146" s="1875"/>
      <c r="AH146" s="1875"/>
      <c r="AI146" s="1875"/>
      <c r="AJ146" s="1875"/>
      <c r="AK146" s="1876"/>
      <c r="AL146" s="1875"/>
      <c r="AM146" s="1875"/>
      <c r="AN146" s="1875"/>
      <c r="AO146" s="1875"/>
      <c r="AP146" s="1876"/>
      <c r="AQ146" s="1875"/>
      <c r="AR146" s="1875"/>
      <c r="AS146" s="1875"/>
      <c r="AT146" s="1875"/>
      <c r="AU146" s="1876"/>
      <c r="AV146" s="1878"/>
      <c r="AW146" s="1875"/>
      <c r="AX146" s="1875"/>
      <c r="AY146" s="1875"/>
      <c r="AZ146" s="1877"/>
      <c r="BA146" s="1878"/>
      <c r="BB146" s="1875"/>
      <c r="BC146" s="1875"/>
      <c r="BD146" s="1875"/>
      <c r="BE146" s="1877"/>
      <c r="BF146" s="1878"/>
      <c r="BG146" s="1875"/>
      <c r="BH146" s="1875"/>
      <c r="BI146" s="1875"/>
      <c r="BJ146" s="1877"/>
      <c r="BK146" s="1878"/>
      <c r="BL146" s="1875"/>
      <c r="BM146" s="1875"/>
      <c r="BN146" s="1875"/>
      <c r="BO146" s="1877"/>
      <c r="BP146" s="1879"/>
      <c r="BQ146" s="1875"/>
      <c r="BR146" s="1875"/>
      <c r="BS146" s="1875"/>
      <c r="BT146" s="1880"/>
      <c r="BU146" s="1875"/>
      <c r="BV146" s="1875"/>
      <c r="BW146" s="1881"/>
      <c r="BX146" s="1880"/>
      <c r="BY146" s="1875"/>
      <c r="BZ146" s="1875"/>
      <c r="CA146" s="1882"/>
      <c r="CB146" s="1875"/>
      <c r="CC146" s="1875"/>
      <c r="CD146" s="1875"/>
      <c r="CE146" s="1875"/>
      <c r="CF146" s="1880"/>
      <c r="CG146" s="1875"/>
      <c r="CH146" s="1875"/>
      <c r="CI146" s="1882"/>
      <c r="CJ146" s="1883"/>
      <c r="CK146" s="1875"/>
      <c r="CL146" s="1875"/>
      <c r="CM146" s="1875"/>
      <c r="CN146" s="1881"/>
      <c r="CO146" s="1883"/>
      <c r="CP146" s="1874"/>
      <c r="CQ146" s="1874"/>
      <c r="CR146" s="1874"/>
      <c r="CS146" s="1881"/>
      <c r="CT146" s="1883"/>
      <c r="CU146" s="1875"/>
      <c r="CV146" s="1875"/>
      <c r="CW146" s="1875"/>
      <c r="CX146" s="1881"/>
      <c r="CY146" s="1883"/>
      <c r="CZ146" s="1875"/>
      <c r="DA146" s="1875"/>
      <c r="DB146" s="1875"/>
      <c r="DC146" s="1881"/>
      <c r="DD146" s="1883"/>
      <c r="DE146" s="1875"/>
      <c r="DF146" s="1875"/>
      <c r="DG146" s="1875"/>
      <c r="DH146" s="1884"/>
      <c r="DI146" s="1883"/>
      <c r="DJ146" s="1875"/>
      <c r="DK146" s="1875"/>
      <c r="DL146" s="1875"/>
      <c r="DM146" s="1884"/>
      <c r="DN146" s="1883"/>
      <c r="DO146" s="1875"/>
      <c r="DP146" s="1875"/>
      <c r="DQ146" s="1875"/>
      <c r="DR146" s="1884"/>
      <c r="DS146" s="1883"/>
      <c r="DT146" s="1875"/>
      <c r="DU146" s="1875"/>
      <c r="DV146" s="1875"/>
      <c r="DW146" s="1884"/>
      <c r="DX146" s="1883"/>
      <c r="DY146" s="1875"/>
      <c r="DZ146" s="1875"/>
      <c r="EA146" s="1875"/>
      <c r="EB146" s="1884"/>
      <c r="EC146" s="1883"/>
      <c r="ED146" s="1875"/>
      <c r="EE146" s="1875"/>
      <c r="EF146" s="1875"/>
      <c r="EG146" s="1884"/>
      <c r="EH146" s="1885"/>
      <c r="EI146" s="1886"/>
      <c r="EJ146" s="1886"/>
      <c r="EK146" s="1886"/>
      <c r="EL146" s="1887"/>
      <c r="EM146" s="1888"/>
      <c r="EN146" s="1889"/>
      <c r="EO146" s="1889"/>
      <c r="EP146" s="1889"/>
      <c r="EQ146" s="166"/>
      <c r="ER146" s="1713">
        <f t="shared" ref="ER146:ER154" si="585">(CJ146+CO146+CT146+CY146+DD146+DI146+DN146+DS146+DX146+EC146+EH146+EM146)/12</f>
        <v>0</v>
      </c>
      <c r="ES146" s="1714">
        <f t="shared" ref="ES146:EU154" si="586">CK146+CP146+CU146+CZ146+DE146+DJ146+DO146+DT146+DY146+ED146+EI146+EN146</f>
        <v>0</v>
      </c>
      <c r="ET146" s="1714">
        <f t="shared" si="586"/>
        <v>0</v>
      </c>
      <c r="EU146" s="1714">
        <f t="shared" si="586"/>
        <v>0</v>
      </c>
      <c r="EV146" s="1715" t="e">
        <f t="shared" ref="EV146:EV154" si="587">EU146/ET146</f>
        <v>#DIV/0!</v>
      </c>
      <c r="EW146" s="1890"/>
      <c r="EX146" s="1890"/>
      <c r="EY146" s="1890"/>
      <c r="EZ146" s="1891"/>
      <c r="FA146" s="1885"/>
      <c r="FB146" s="1890"/>
      <c r="FC146" s="1890"/>
      <c r="FD146" s="1892"/>
      <c r="FE146" s="1890"/>
      <c r="FF146" s="1890"/>
      <c r="FG146" s="1890"/>
      <c r="FH146" s="1891"/>
      <c r="FI146" s="1893"/>
      <c r="FJ146" s="1894"/>
      <c r="FK146" s="1895"/>
      <c r="FL146" s="1895"/>
      <c r="FM146" s="1896"/>
      <c r="FN146" s="1890"/>
      <c r="FO146" s="1886"/>
      <c r="FP146" s="1886"/>
      <c r="FQ146" s="1886"/>
      <c r="FR146" s="1897"/>
      <c r="FS146" s="1888"/>
      <c r="FT146" s="1889"/>
      <c r="FU146" s="1889"/>
      <c r="FV146" s="1889"/>
      <c r="FW146" s="1898"/>
      <c r="FX146" s="1885"/>
      <c r="FY146" s="1886"/>
      <c r="FZ146" s="1886"/>
      <c r="GA146" s="1889"/>
      <c r="GB146" s="1898"/>
      <c r="GC146" s="1899"/>
      <c r="GD146" s="1900"/>
      <c r="GE146" s="1900"/>
      <c r="GF146" s="1889"/>
      <c r="GG146" s="166"/>
      <c r="GH146" s="1901"/>
      <c r="GI146" s="1824"/>
      <c r="GJ146" s="1824"/>
      <c r="GK146" s="1902"/>
      <c r="GL146" s="1898"/>
      <c r="GM146" s="1901"/>
      <c r="GN146" s="1824"/>
      <c r="GO146" s="1824"/>
      <c r="GP146" s="1902"/>
      <c r="GQ146" s="1898"/>
      <c r="GR146" s="1903"/>
      <c r="GS146" s="1904"/>
      <c r="GT146" s="1904"/>
      <c r="GU146" s="1902"/>
      <c r="GV146" s="1898"/>
      <c r="GW146" s="1903"/>
      <c r="GX146" s="1904"/>
      <c r="GY146" s="1904"/>
      <c r="GZ146" s="1902"/>
      <c r="HA146" s="1898"/>
      <c r="HB146" s="1903"/>
      <c r="HC146" s="1904"/>
      <c r="HD146" s="1904"/>
      <c r="HE146" s="1902"/>
      <c r="HF146" s="1898"/>
      <c r="HG146" s="1903"/>
      <c r="HH146" s="1904"/>
      <c r="HI146" s="1904"/>
      <c r="HJ146" s="1818"/>
      <c r="HK146" s="1898"/>
      <c r="HL146" s="1903"/>
      <c r="HM146" s="1904"/>
      <c r="HN146" s="1904"/>
      <c r="HO146" s="715"/>
      <c r="HP146" s="166"/>
      <c r="HQ146" s="2553"/>
      <c r="HR146" s="2554"/>
      <c r="HS146" s="2554"/>
      <c r="HT146" s="2554"/>
      <c r="HU146" s="2555"/>
      <c r="HV146" s="2008">
        <f t="shared" ref="HV146:HV154" si="588">(FN146+FS146+FX146+GC146+GH146+GM146+GR146+GW146+HB146+HG146+HL146+HQ146)/12</f>
        <v>0</v>
      </c>
      <c r="HW146" s="208">
        <f t="shared" ref="HW146:HY154" si="589">FO146+FT146+FY146+GD146+GI146+GN146+GS146+GX146+HC146+HH146+HM146+HR146</f>
        <v>0</v>
      </c>
      <c r="HX146" s="208">
        <f t="shared" si="589"/>
        <v>0</v>
      </c>
      <c r="HY146" s="208">
        <f t="shared" si="589"/>
        <v>0</v>
      </c>
      <c r="HZ146" s="2009"/>
      <c r="IA146" s="1907"/>
      <c r="IB146" s="1908"/>
      <c r="IC146" s="1908"/>
      <c r="ID146" s="1909"/>
      <c r="IE146" s="1910"/>
      <c r="IF146" s="1911"/>
      <c r="IG146" s="1912"/>
      <c r="IH146" s="1909"/>
      <c r="II146" s="1835"/>
      <c r="IJ146" s="1836"/>
      <c r="IK146" s="1836"/>
      <c r="IL146" s="693"/>
      <c r="IM146" s="1913"/>
      <c r="IN146" s="1836"/>
      <c r="IO146" s="1836"/>
      <c r="IP146" s="1838"/>
      <c r="IQ146" s="1914"/>
      <c r="IR146" s="1915"/>
      <c r="IS146" s="1916"/>
      <c r="IT146" s="1916"/>
      <c r="IU146" s="1917"/>
      <c r="IV146" s="1918"/>
      <c r="IW146" s="1919"/>
      <c r="IX146" s="1920"/>
      <c r="IY146" s="1921"/>
      <c r="IZ146" s="1719"/>
      <c r="JA146" s="1721"/>
      <c r="JB146" s="1922"/>
      <c r="JC146" s="1923"/>
      <c r="JD146" s="1924"/>
      <c r="JE146" s="1719"/>
      <c r="JF146" s="1721"/>
      <c r="JG146" s="1847"/>
      <c r="JH146" s="1096"/>
      <c r="JI146" s="1096"/>
      <c r="JJ146" s="1756"/>
      <c r="JK146" s="1721"/>
      <c r="JL146" s="1927"/>
      <c r="JM146" s="1096"/>
      <c r="JN146" s="1096"/>
      <c r="JO146" s="1843"/>
      <c r="JP146" s="1721"/>
      <c r="JQ146" s="1926"/>
      <c r="JR146" s="1982"/>
      <c r="JS146" s="1248"/>
      <c r="JT146" s="1995"/>
      <c r="JU146" s="1821"/>
      <c r="JV146" s="1849"/>
      <c r="JW146" s="1119"/>
      <c r="JX146" s="1850"/>
      <c r="JY146" s="1850"/>
      <c r="JZ146" s="1721"/>
      <c r="KA146" s="1846"/>
      <c r="KB146" s="264"/>
      <c r="KC146" s="264"/>
      <c r="KD146" s="964"/>
      <c r="KE146" s="1848"/>
      <c r="KF146" s="1849"/>
      <c r="KG146" s="1850"/>
      <c r="KH146" s="1850"/>
      <c r="KI146" s="1719"/>
      <c r="KJ146" s="1721"/>
      <c r="KK146" s="1849"/>
      <c r="KL146" s="1850"/>
      <c r="KM146" s="1850"/>
      <c r="KN146" s="1851">
        <f t="shared" ref="KN146:KN151" si="590">KM146-KL146</f>
        <v>0</v>
      </c>
      <c r="KO146" s="1852"/>
      <c r="KP146" s="1722"/>
      <c r="KQ146" s="972"/>
      <c r="KR146" s="264"/>
      <c r="KS146" s="1845">
        <f t="shared" ref="KS146:KS151" si="591">KR146-KQ146</f>
        <v>0</v>
      </c>
      <c r="KT146" s="1720"/>
      <c r="KU146" s="1853">
        <v>3</v>
      </c>
      <c r="KV146" s="264">
        <v>15618</v>
      </c>
      <c r="KW146" s="264">
        <v>30000</v>
      </c>
      <c r="KX146" s="264">
        <f t="shared" ref="KX146:KX151" si="592">KW146-KV146</f>
        <v>14382</v>
      </c>
      <c r="KY146" s="75">
        <f t="shared" ref="KY146:KY151" si="593">KX146/KW146</f>
        <v>0.47939999999999999</v>
      </c>
      <c r="KZ146" s="1857">
        <v>3</v>
      </c>
      <c r="LA146" s="358">
        <f t="shared" ref="LA146:LC154" si="594">IS146+IX146+JC146+JH146+JM146+JR146+JW146+KB146+KG146+KL146+KQ146+KV146</f>
        <v>15618</v>
      </c>
      <c r="LB146" s="358">
        <f t="shared" si="594"/>
        <v>30000</v>
      </c>
      <c r="LC146" s="358">
        <f t="shared" si="594"/>
        <v>14382</v>
      </c>
      <c r="LD146" s="151">
        <f t="shared" ref="LD146:LD151" si="595">LC146/LB146</f>
        <v>0.47939999999999999</v>
      </c>
      <c r="LE146" s="1854">
        <f t="shared" ref="LE146:LE154" si="596">(IR146+IW146+JB146)/3</f>
        <v>0</v>
      </c>
      <c r="LF146" s="1855">
        <f t="shared" ref="LF146:LG154" si="597">IT146+IY146+JD146</f>
        <v>0</v>
      </c>
      <c r="LG146" s="1855">
        <f t="shared" si="597"/>
        <v>0</v>
      </c>
      <c r="LH146" s="1856" t="e">
        <f t="shared" ref="LH146:LH154" si="598">LG146/LF146</f>
        <v>#DIV/0!</v>
      </c>
      <c r="LI146" s="1857">
        <f t="shared" ref="LI146:LI154" si="599">(JG146+JL146+JQ146)/3</f>
        <v>0</v>
      </c>
      <c r="LJ146" s="1858">
        <f t="shared" ref="LJ146:LK154" si="600">(JI146+JN146+JS146)</f>
        <v>0</v>
      </c>
      <c r="LK146" s="1854">
        <f t="shared" si="600"/>
        <v>0</v>
      </c>
      <c r="LL146" s="1856"/>
      <c r="LM146" s="1859">
        <f t="shared" ref="LM146:LM151" si="601">(JV146+KA146+KF146)/3</f>
        <v>0</v>
      </c>
      <c r="LN146" s="1727">
        <f t="shared" ref="LN146:LO151" si="602">(JX146+KC146+KH146)</f>
        <v>0</v>
      </c>
      <c r="LO146" s="1727">
        <f t="shared" si="602"/>
        <v>0</v>
      </c>
      <c r="LP146" s="151"/>
      <c r="LQ146" s="1860">
        <f t="shared" ref="LQ146:LQ154" si="603">(KK146+KP146+KU146)/3</f>
        <v>1</v>
      </c>
      <c r="LR146" s="1727">
        <f t="shared" ref="LR146:LS154" si="604">(KM146+KR146+KW146)</f>
        <v>30000</v>
      </c>
      <c r="LS146" s="1727">
        <f t="shared" si="604"/>
        <v>14382</v>
      </c>
      <c r="LT146" s="1861">
        <f t="shared" ref="LT146:LT151" si="605">LS146/LR146</f>
        <v>0.47939999999999999</v>
      </c>
      <c r="LV146" s="2556">
        <v>5</v>
      </c>
      <c r="LW146" s="1009">
        <v>132641</v>
      </c>
      <c r="LX146" s="1009">
        <v>183600</v>
      </c>
      <c r="LY146" s="360">
        <f t="shared" ref="LY146:LY151" si="606">LX146-LW146</f>
        <v>50959</v>
      </c>
      <c r="LZ146" s="224">
        <f t="shared" ref="LZ146:LZ151" si="607">LY146/LX146</f>
        <v>0.27755446623093682</v>
      </c>
      <c r="MA146" s="2557">
        <v>5</v>
      </c>
      <c r="MB146" s="2558">
        <v>133785</v>
      </c>
      <c r="MC146" s="2558">
        <v>183600</v>
      </c>
      <c r="MD146" s="2559">
        <f t="shared" ref="MD146:MD151" si="608">MC146-MB146</f>
        <v>49815</v>
      </c>
      <c r="ME146" s="2560">
        <f t="shared" ref="ME146:ME151" si="609">MD146/MC146</f>
        <v>0.27132352941176469</v>
      </c>
      <c r="MF146" s="440">
        <v>5</v>
      </c>
      <c r="MG146" s="435">
        <v>127498</v>
      </c>
      <c r="MH146" s="435">
        <v>183600</v>
      </c>
      <c r="MI146" s="371">
        <f t="shared" ref="MI146:MI154" si="610">MH146-MG146</f>
        <v>56102</v>
      </c>
      <c r="MJ146" s="157">
        <f t="shared" ref="MJ146:MJ154" si="611">MI146/MH146</f>
        <v>0.30556644880174294</v>
      </c>
      <c r="MK146" s="2152">
        <v>4</v>
      </c>
      <c r="ML146" s="435">
        <v>106833</v>
      </c>
      <c r="MM146" s="435">
        <v>183600</v>
      </c>
      <c r="MN146" s="371">
        <f t="shared" ref="MN146:MN154" si="612">MM146-ML146</f>
        <v>76767</v>
      </c>
      <c r="MO146" s="157">
        <f t="shared" ref="MO146:MO154" si="613">MN146/MM146</f>
        <v>0.41812091503267973</v>
      </c>
      <c r="MP146" s="1579">
        <v>3</v>
      </c>
      <c r="MQ146" s="264">
        <v>95833</v>
      </c>
      <c r="MR146" s="264">
        <v>183600</v>
      </c>
      <c r="MS146" s="264">
        <f t="shared" ref="MS146:MS154" si="614">MR146-MQ146</f>
        <v>87767</v>
      </c>
      <c r="MT146" s="597">
        <f t="shared" ref="MT146:MT154" si="615">MS146/MR146</f>
        <v>0.47803376906318085</v>
      </c>
      <c r="MU146" s="209">
        <v>5</v>
      </c>
      <c r="MV146" s="208">
        <v>122082</v>
      </c>
      <c r="MW146" s="208">
        <v>183600</v>
      </c>
      <c r="MX146" s="208">
        <f t="shared" ref="MX146:MX154" si="616">MW146-MV146</f>
        <v>61518</v>
      </c>
      <c r="MY146" s="597">
        <f t="shared" ref="MY146:MY154" si="617">MX146/MW146</f>
        <v>0.33506535947712418</v>
      </c>
      <c r="MZ146" s="209">
        <v>4</v>
      </c>
      <c r="NA146" s="208">
        <v>116666</v>
      </c>
      <c r="NB146" s="208">
        <v>183600</v>
      </c>
      <c r="NC146" s="208">
        <f t="shared" ref="NC146:NC154" si="618">NB146-NA146</f>
        <v>66934</v>
      </c>
      <c r="ND146" s="597">
        <f t="shared" ref="ND146:ND154" si="619">NC146/NB146</f>
        <v>0.36456427015250542</v>
      </c>
      <c r="NE146" s="209">
        <v>5</v>
      </c>
      <c r="NF146" s="208">
        <v>136666</v>
      </c>
      <c r="NG146" s="208">
        <v>183600</v>
      </c>
      <c r="NH146" s="208">
        <f t="shared" ref="NH146:NH154" si="620">NG146-NF146</f>
        <v>46934</v>
      </c>
      <c r="NI146" s="597">
        <f t="shared" ref="NI146:NI154" si="621">NH146/NG146</f>
        <v>0.25563180827886711</v>
      </c>
      <c r="NJ146" s="209">
        <v>5</v>
      </c>
      <c r="NK146" s="208">
        <v>143866</v>
      </c>
      <c r="NL146" s="208">
        <v>183600</v>
      </c>
      <c r="NM146" s="208">
        <f t="shared" ref="NM146:NM154" si="622">NL146-NK146</f>
        <v>39734</v>
      </c>
      <c r="NN146" s="597">
        <f t="shared" ref="NN146:NN154" si="623">NM146/NL146</f>
        <v>0.21641612200435731</v>
      </c>
      <c r="NO146" s="357">
        <v>5</v>
      </c>
      <c r="NP146" s="358">
        <v>141666</v>
      </c>
      <c r="NQ146" s="358">
        <v>183600</v>
      </c>
      <c r="NR146" s="208">
        <f t="shared" ref="NR146:NR154" si="624">NQ146-NP146</f>
        <v>41934</v>
      </c>
      <c r="NS146" s="597">
        <f t="shared" ref="NS146:NS154" si="625">NR146/NQ146</f>
        <v>0.22839869281045752</v>
      </c>
      <c r="NT146" s="357">
        <v>5</v>
      </c>
      <c r="NU146" s="358">
        <v>141666</v>
      </c>
      <c r="NV146" s="358">
        <v>183600</v>
      </c>
      <c r="NW146" s="208">
        <f t="shared" ref="NW146:NW154" si="626">NV146-NU146</f>
        <v>41934</v>
      </c>
      <c r="NX146" s="597">
        <f t="shared" ref="NX146:NX154" si="627">NW146/NV146</f>
        <v>0.22839869281045752</v>
      </c>
      <c r="NY146" s="357">
        <v>5</v>
      </c>
      <c r="NZ146" s="358">
        <v>141666</v>
      </c>
      <c r="OA146" s="358">
        <v>183600</v>
      </c>
      <c r="OB146" s="994">
        <f t="shared" ref="OB146:OB154" si="628">OA146-NZ146</f>
        <v>41934</v>
      </c>
      <c r="OC146" s="602">
        <f t="shared" ref="OC146:OC154" si="629">OB146/OA146</f>
        <v>0.22839869281045752</v>
      </c>
      <c r="OD146" s="191">
        <v>5</v>
      </c>
      <c r="OE146" s="358">
        <f t="shared" ref="OE146:OG154" si="630">NZ146+NU146+NP146+NK146+NF146+NA146+MV146+MQ146+ML146+MG146+MB146+LW146</f>
        <v>1540868</v>
      </c>
      <c r="OF146" s="358">
        <f t="shared" si="630"/>
        <v>2203200</v>
      </c>
      <c r="OG146" s="358">
        <f t="shared" si="630"/>
        <v>662332</v>
      </c>
      <c r="OH146" s="220">
        <f t="shared" ref="OH146:OH154" si="631">OG146/OF146</f>
        <v>0.30062273057371097</v>
      </c>
      <c r="OI146" s="1863">
        <f t="shared" ref="OI146:OI154" si="632">(LV146+MA146+MF146)/3</f>
        <v>5</v>
      </c>
      <c r="OJ146" s="105">
        <f t="shared" ref="OJ146:OL154" si="633">LW146+MB146+MG146</f>
        <v>393924</v>
      </c>
      <c r="OK146" s="105">
        <f t="shared" si="633"/>
        <v>550800</v>
      </c>
      <c r="OL146" s="105">
        <f t="shared" si="633"/>
        <v>156876</v>
      </c>
      <c r="OM146" s="106">
        <f t="shared" ref="OM146:OM153" si="634">OL146/OK146</f>
        <v>0.2848148148148148</v>
      </c>
      <c r="ON146" s="358">
        <f t="shared" ref="ON146:ON154" si="635">(MK146+MP146+MU146)/3</f>
        <v>4</v>
      </c>
      <c r="OO146" s="358">
        <f t="shared" ref="OO146:OQ154" si="636">ML146+MQ146+MV146</f>
        <v>324748</v>
      </c>
      <c r="OP146" s="358">
        <f t="shared" si="636"/>
        <v>550800</v>
      </c>
      <c r="OQ146" s="359">
        <f t="shared" si="636"/>
        <v>226052</v>
      </c>
      <c r="OR146" s="169">
        <f t="shared" ref="OR146:OR154" si="637">OQ146/OP146</f>
        <v>0.41040668119099494</v>
      </c>
      <c r="OS146" s="686">
        <f t="shared" ref="OS146:OS154" si="638">(NJ146+NE146+MZ146)/3</f>
        <v>4.666666666666667</v>
      </c>
      <c r="OT146" s="146">
        <f t="shared" ref="OT146:OV154" si="639">NK146+NF146+NA146</f>
        <v>397198</v>
      </c>
      <c r="OU146" s="146">
        <f t="shared" si="639"/>
        <v>550800</v>
      </c>
      <c r="OV146" s="1864">
        <f t="shared" si="639"/>
        <v>153602</v>
      </c>
      <c r="OW146" s="203">
        <f t="shared" ref="OW146:OW154" si="640">OV146/OU146</f>
        <v>0.2788707334785766</v>
      </c>
      <c r="OX146" s="357">
        <v>5</v>
      </c>
      <c r="OY146" s="358">
        <f t="shared" ref="OY146:PA154" si="641">NP146+NU146+NZ146</f>
        <v>424998</v>
      </c>
      <c r="OZ146" s="358">
        <f t="shared" si="641"/>
        <v>550800</v>
      </c>
      <c r="PA146" s="359">
        <f t="shared" si="641"/>
        <v>125802</v>
      </c>
      <c r="PB146" s="114">
        <f t="shared" ref="PB146:PB154" si="642">PA146/OZ146</f>
        <v>0.22839869281045752</v>
      </c>
      <c r="PC146" s="79"/>
      <c r="PD146" s="2556">
        <v>5</v>
      </c>
      <c r="PE146" s="1009">
        <v>152333</v>
      </c>
      <c r="PF146" s="358">
        <v>183600</v>
      </c>
      <c r="PG146" s="96">
        <f t="shared" ref="PG146:PG154" si="643">PF146-PE146</f>
        <v>31267</v>
      </c>
      <c r="PH146" s="224">
        <f t="shared" ref="PH146:PH154" si="644">PG146/PF146</f>
        <v>0.1702995642701525</v>
      </c>
      <c r="PI146" s="439">
        <v>5</v>
      </c>
      <c r="PJ146" s="208">
        <v>152333</v>
      </c>
      <c r="PK146" s="208">
        <v>195825</v>
      </c>
      <c r="PL146" s="96">
        <f t="shared" si="529"/>
        <v>43492</v>
      </c>
      <c r="PM146" s="78">
        <f t="shared" si="530"/>
        <v>0.22209625941529426</v>
      </c>
      <c r="PN146" s="440">
        <v>5</v>
      </c>
      <c r="PO146" s="435">
        <v>152333</v>
      </c>
      <c r="PP146" s="435">
        <v>195825</v>
      </c>
      <c r="PQ146" s="371">
        <f t="shared" si="531"/>
        <v>43492</v>
      </c>
      <c r="PR146" s="157">
        <f t="shared" si="532"/>
        <v>0.22209625941529426</v>
      </c>
      <c r="PS146" s="2152">
        <v>5</v>
      </c>
      <c r="PT146" s="435">
        <v>152333</v>
      </c>
      <c r="PU146" s="435">
        <v>195825</v>
      </c>
      <c r="PV146" s="371">
        <f t="shared" si="533"/>
        <v>43492</v>
      </c>
      <c r="PW146" s="157">
        <f t="shared" si="534"/>
        <v>0.22209625941529426</v>
      </c>
      <c r="PX146" s="1579">
        <v>5</v>
      </c>
      <c r="PY146" s="264">
        <v>151478</v>
      </c>
      <c r="PZ146" s="264">
        <v>195825</v>
      </c>
      <c r="QA146" s="264">
        <f t="shared" si="535"/>
        <v>44347</v>
      </c>
      <c r="QB146" s="597">
        <f t="shared" si="536"/>
        <v>0.22646240265543213</v>
      </c>
      <c r="QC146" s="209">
        <v>5</v>
      </c>
      <c r="QD146" s="208">
        <v>152333</v>
      </c>
      <c r="QE146" s="208">
        <v>195825</v>
      </c>
      <c r="QF146" s="208">
        <f t="shared" si="537"/>
        <v>43492</v>
      </c>
      <c r="QG146" s="597">
        <f t="shared" si="538"/>
        <v>0.22209625941529426</v>
      </c>
      <c r="QH146" s="439">
        <v>5</v>
      </c>
      <c r="QI146" s="208">
        <v>152333</v>
      </c>
      <c r="QJ146" s="208">
        <v>195825</v>
      </c>
      <c r="QK146" s="208">
        <f t="shared" si="539"/>
        <v>43492</v>
      </c>
      <c r="QL146" s="597">
        <f t="shared" si="540"/>
        <v>0.22209625941529426</v>
      </c>
      <c r="QM146" s="439">
        <v>5</v>
      </c>
      <c r="QN146" s="208">
        <v>152333</v>
      </c>
      <c r="QO146" s="208">
        <v>195825</v>
      </c>
      <c r="QP146" s="208">
        <f t="shared" si="541"/>
        <v>43492</v>
      </c>
      <c r="QQ146" s="1869">
        <f t="shared" si="542"/>
        <v>0.22209625941529426</v>
      </c>
      <c r="QR146" s="209">
        <v>5</v>
      </c>
      <c r="QS146" s="208">
        <v>152333</v>
      </c>
      <c r="QT146" s="208">
        <v>195825</v>
      </c>
      <c r="QU146" s="208">
        <f t="shared" si="543"/>
        <v>43492</v>
      </c>
      <c r="QV146" s="75">
        <f t="shared" si="544"/>
        <v>0.22209625941529426</v>
      </c>
      <c r="QW146" s="2561">
        <v>5</v>
      </c>
      <c r="QX146" s="2562">
        <v>152333</v>
      </c>
      <c r="QY146" s="2562">
        <v>195825</v>
      </c>
      <c r="QZ146" s="208">
        <f t="shared" si="545"/>
        <v>43492</v>
      </c>
      <c r="RA146" s="157">
        <f t="shared" si="546"/>
        <v>0.22209625941529426</v>
      </c>
      <c r="RB146" s="357">
        <v>5</v>
      </c>
      <c r="RC146" s="358">
        <v>152333</v>
      </c>
      <c r="RD146" s="358">
        <v>195825</v>
      </c>
      <c r="RE146" s="208">
        <f t="shared" si="547"/>
        <v>43492</v>
      </c>
      <c r="RF146" s="1313">
        <f t="shared" si="548"/>
        <v>0.22209625941529426</v>
      </c>
      <c r="RG146" s="1857">
        <v>5</v>
      </c>
      <c r="RH146" s="358">
        <v>152333</v>
      </c>
      <c r="RI146" s="358">
        <v>195825</v>
      </c>
      <c r="RJ146" s="994">
        <f t="shared" si="549"/>
        <v>43492</v>
      </c>
      <c r="RK146" s="602">
        <f t="shared" si="550"/>
        <v>0.22209625941529426</v>
      </c>
      <c r="RL146" s="1567">
        <v>5</v>
      </c>
      <c r="RM146" s="1568">
        <f t="shared" si="551"/>
        <v>1827141</v>
      </c>
      <c r="RN146" s="1568">
        <f t="shared" si="551"/>
        <v>2337675</v>
      </c>
      <c r="RO146" s="1568">
        <f t="shared" si="551"/>
        <v>510534</v>
      </c>
      <c r="RP146" s="220">
        <f t="shared" si="552"/>
        <v>0.21839391703294941</v>
      </c>
      <c r="RQ146" s="1863">
        <f t="shared" si="553"/>
        <v>5</v>
      </c>
      <c r="RR146" s="105">
        <f t="shared" si="554"/>
        <v>456999</v>
      </c>
      <c r="RS146" s="105">
        <f t="shared" si="554"/>
        <v>575250</v>
      </c>
      <c r="RT146" s="105">
        <f t="shared" si="554"/>
        <v>118251</v>
      </c>
      <c r="RU146" s="106">
        <f t="shared" si="555"/>
        <v>0.20556453715775749</v>
      </c>
      <c r="RV146" s="1868">
        <v>5</v>
      </c>
      <c r="RW146" s="358">
        <f t="shared" si="556"/>
        <v>456144</v>
      </c>
      <c r="RX146" s="358">
        <f t="shared" si="556"/>
        <v>587475</v>
      </c>
      <c r="RY146" s="359">
        <f t="shared" si="556"/>
        <v>131331</v>
      </c>
      <c r="RZ146" s="169">
        <f t="shared" si="557"/>
        <v>0.22355164049534024</v>
      </c>
      <c r="SA146" s="686">
        <v>5</v>
      </c>
      <c r="SB146" s="146">
        <f t="shared" si="558"/>
        <v>456999</v>
      </c>
      <c r="SC146" s="146">
        <f t="shared" si="558"/>
        <v>587475</v>
      </c>
      <c r="SD146" s="1864">
        <f t="shared" si="558"/>
        <v>130476</v>
      </c>
      <c r="SE146" s="203">
        <f t="shared" si="559"/>
        <v>0.22209625941529426</v>
      </c>
      <c r="SF146" s="1567">
        <v>5</v>
      </c>
      <c r="SG146" s="358">
        <f t="shared" si="560"/>
        <v>456999</v>
      </c>
      <c r="SH146" s="358">
        <f t="shared" si="560"/>
        <v>587475</v>
      </c>
      <c r="SI146" s="359">
        <f t="shared" si="560"/>
        <v>130476</v>
      </c>
      <c r="SJ146" s="114">
        <f t="shared" si="561"/>
        <v>0.22209625941529426</v>
      </c>
      <c r="SL146" s="439">
        <v>5</v>
      </c>
      <c r="SM146" s="208">
        <v>162249</v>
      </c>
      <c r="SN146" s="358">
        <v>195825</v>
      </c>
      <c r="SO146" s="96">
        <f t="shared" si="562"/>
        <v>33576</v>
      </c>
      <c r="SP146" s="78">
        <f t="shared" si="563"/>
        <v>0.1714592110302566</v>
      </c>
      <c r="SQ146" s="439">
        <v>5</v>
      </c>
      <c r="SR146" s="208">
        <v>162249</v>
      </c>
      <c r="SS146" s="208">
        <v>195825</v>
      </c>
      <c r="ST146" s="96">
        <f t="shared" si="564"/>
        <v>33576</v>
      </c>
      <c r="SU146" s="78">
        <f t="shared" ref="SU146:SU157" si="645">ST146/SS146</f>
        <v>0.1714592110302566</v>
      </c>
      <c r="SV146" s="440">
        <v>5</v>
      </c>
      <c r="SW146" s="435">
        <v>162249</v>
      </c>
      <c r="SX146" s="1584">
        <v>195825</v>
      </c>
      <c r="SY146" s="96">
        <f t="shared" si="565"/>
        <v>33576</v>
      </c>
      <c r="SZ146" s="94">
        <f t="shared" ref="SZ146:SZ153" si="646">SY146/SX146</f>
        <v>0.1714592110302566</v>
      </c>
      <c r="TA146" s="2152">
        <v>5</v>
      </c>
      <c r="TB146" s="435">
        <v>162249</v>
      </c>
      <c r="TC146" s="1584">
        <v>195825</v>
      </c>
      <c r="TD146" s="96">
        <f t="shared" si="566"/>
        <v>33576</v>
      </c>
      <c r="TE146" s="94">
        <f t="shared" ref="TE146:TE153" si="647">TD146/TC146</f>
        <v>0.1714592110302566</v>
      </c>
      <c r="TF146" s="354">
        <v>5</v>
      </c>
      <c r="TG146" s="208">
        <v>162249</v>
      </c>
      <c r="TH146" s="208">
        <v>195825</v>
      </c>
      <c r="TI146" s="208">
        <f t="shared" si="480"/>
        <v>33576</v>
      </c>
      <c r="TJ146" s="114">
        <f t="shared" ref="TJ146:TJ151" si="648">TI146/TH146</f>
        <v>0.1714592110302566</v>
      </c>
      <c r="TK146" s="209">
        <v>5</v>
      </c>
      <c r="TL146" s="435">
        <v>162249</v>
      </c>
      <c r="TM146" s="208">
        <v>195825</v>
      </c>
      <c r="TN146" s="208">
        <f t="shared" ref="TN146:TN162" si="649">TM146-TL146</f>
        <v>33576</v>
      </c>
      <c r="TO146" s="114">
        <f t="shared" ref="TO146:TO161" si="650">TN146/TM146</f>
        <v>0.1714592110302566</v>
      </c>
      <c r="TP146" s="1574">
        <v>5</v>
      </c>
      <c r="TQ146" s="208">
        <v>162249</v>
      </c>
      <c r="TR146" s="208">
        <v>195825</v>
      </c>
      <c r="TS146" s="994">
        <f t="shared" ref="TS146:TS162" si="651">TR146-TQ146</f>
        <v>33576</v>
      </c>
      <c r="TT146" s="114">
        <f t="shared" ref="TT146:TT159" si="652">TS146/TR146</f>
        <v>0.1714592110302566</v>
      </c>
      <c r="TU146" s="4432">
        <v>5</v>
      </c>
      <c r="TV146" s="208">
        <v>162249</v>
      </c>
      <c r="TW146" s="208">
        <v>207500</v>
      </c>
      <c r="TX146" s="994">
        <f t="shared" si="567"/>
        <v>45251</v>
      </c>
      <c r="TY146" s="114">
        <f>TX146/TW146</f>
        <v>0.21807710843373493</v>
      </c>
      <c r="TZ146" s="209">
        <v>5</v>
      </c>
      <c r="UA146" s="208">
        <v>162249</v>
      </c>
      <c r="UB146" s="208">
        <v>207500</v>
      </c>
      <c r="UC146" s="994">
        <f t="shared" si="568"/>
        <v>45251</v>
      </c>
      <c r="UD146" s="114">
        <f t="shared" ref="UD146:UD160" si="653">UC146/UB146</f>
        <v>0.21807710843373493</v>
      </c>
      <c r="UE146" s="6505">
        <v>5</v>
      </c>
      <c r="UF146" s="6506">
        <v>162249</v>
      </c>
      <c r="UG146" s="6506">
        <v>207500</v>
      </c>
      <c r="UH146" s="1575">
        <f t="shared" si="569"/>
        <v>45251</v>
      </c>
      <c r="UI146" s="1867">
        <f t="shared" ref="UI146:UI161" si="654">UH146/UG146</f>
        <v>0.21807710843373493</v>
      </c>
      <c r="UJ146" s="357"/>
      <c r="UK146" s="358"/>
      <c r="UL146" s="358"/>
      <c r="UM146" s="208">
        <f t="shared" si="570"/>
        <v>0</v>
      </c>
      <c r="UN146" s="1313" t="e">
        <f t="shared" si="571"/>
        <v>#DIV/0!</v>
      </c>
      <c r="UO146" s="1567"/>
      <c r="UP146" s="1568"/>
      <c r="UQ146" s="1568"/>
      <c r="UR146" s="2552">
        <f t="shared" si="572"/>
        <v>0</v>
      </c>
      <c r="US146" s="602" t="e">
        <f t="shared" si="573"/>
        <v>#DIV/0!</v>
      </c>
      <c r="UT146" s="1567"/>
      <c r="UU146" s="358">
        <f>UP146+UK146+UF146+UA146+TV146+TQ146+TL146+TG146+TB146+SW146+SR146+SM146</f>
        <v>1622490</v>
      </c>
      <c r="UV146" s="358">
        <f>UQ146+UL146+UG146+UB146+TW146+TR146+TM146+TH146+TC146+SX146+SS146+SN146</f>
        <v>1993275</v>
      </c>
      <c r="UW146" s="358">
        <f>UR146+UM146+UH146+UC146+TX146+TS146+TN146+TI146+TD146+SY146+ST146+SO146</f>
        <v>370785</v>
      </c>
      <c r="UX146" s="220">
        <f t="shared" si="575"/>
        <v>0.18601798547616361</v>
      </c>
      <c r="UY146" s="1863">
        <f t="shared" si="576"/>
        <v>5</v>
      </c>
      <c r="UZ146" s="105">
        <f t="shared" si="577"/>
        <v>486747</v>
      </c>
      <c r="VA146" s="105">
        <f t="shared" si="577"/>
        <v>587475</v>
      </c>
      <c r="VB146" s="105">
        <f t="shared" si="577"/>
        <v>100728</v>
      </c>
      <c r="VC146" s="106">
        <f t="shared" si="578"/>
        <v>0.1714592110302566</v>
      </c>
      <c r="VD146" s="1868"/>
      <c r="VE146" s="358">
        <f>TB146+TG146+TL146</f>
        <v>486747</v>
      </c>
      <c r="VF146" s="358">
        <f>TC146+TH146+TM146</f>
        <v>587475</v>
      </c>
      <c r="VG146" s="359">
        <f>TD146+TI146+TN146</f>
        <v>100728</v>
      </c>
      <c r="VH146" s="169">
        <f t="shared" si="580"/>
        <v>0.1714592110302566</v>
      </c>
      <c r="VI146" s="686"/>
      <c r="VJ146" s="146">
        <f t="shared" si="581"/>
        <v>486747</v>
      </c>
      <c r="VK146" s="146">
        <f t="shared" si="581"/>
        <v>610825</v>
      </c>
      <c r="VL146" s="1864">
        <f>UC146+TX146+TS146</f>
        <v>124078</v>
      </c>
      <c r="VM146" s="203">
        <f t="shared" si="582"/>
        <v>0.20313182990218148</v>
      </c>
      <c r="VN146" s="1567"/>
      <c r="VO146" s="358">
        <f t="shared" si="583"/>
        <v>162249</v>
      </c>
      <c r="VP146" s="358">
        <f t="shared" si="583"/>
        <v>207500</v>
      </c>
      <c r="VQ146" s="359">
        <f t="shared" si="583"/>
        <v>45251</v>
      </c>
      <c r="VR146" s="114">
        <f t="shared" si="584"/>
        <v>0.21807710843373493</v>
      </c>
    </row>
    <row r="147" spans="1:590" ht="13.45" x14ac:dyDescent="0.3">
      <c r="B147" s="113" t="s">
        <v>84</v>
      </c>
      <c r="C147" s="3775" t="s">
        <v>14</v>
      </c>
      <c r="D147" s="3776" t="s">
        <v>836</v>
      </c>
      <c r="E147" s="383">
        <v>45139</v>
      </c>
      <c r="F147" s="382">
        <v>45504</v>
      </c>
      <c r="G147" s="2563">
        <v>1695500</v>
      </c>
      <c r="H147" s="1730"/>
      <c r="I147" s="1711"/>
      <c r="J147" s="1711"/>
      <c r="K147" s="1711">
        <f>J147-I147</f>
        <v>0</v>
      </c>
      <c r="L147" s="1731"/>
      <c r="M147" s="1732"/>
      <c r="N147" s="1733"/>
      <c r="O147" s="1733"/>
      <c r="P147" s="1733">
        <f>O147-N147</f>
        <v>0</v>
      </c>
      <c r="Q147" s="1734"/>
      <c r="R147" s="1734"/>
      <c r="S147" s="1711"/>
      <c r="T147" s="1711"/>
      <c r="U147" s="1711">
        <f>T147-S147</f>
        <v>0</v>
      </c>
      <c r="V147" s="1731"/>
      <c r="W147" s="2564"/>
      <c r="X147" s="1711"/>
      <c r="Y147" s="1728"/>
      <c r="Z147" s="1711"/>
      <c r="AA147" s="1731"/>
      <c r="AB147" s="1736"/>
      <c r="AC147" s="1735">
        <v>0</v>
      </c>
      <c r="AD147" s="1772">
        <v>0</v>
      </c>
      <c r="AE147" s="1711"/>
      <c r="AF147" s="1731"/>
      <c r="AG147" s="1729">
        <v>80</v>
      </c>
      <c r="AH147" s="1711">
        <v>1325588</v>
      </c>
      <c r="AI147" s="1711">
        <v>1646550</v>
      </c>
      <c r="AJ147" s="1718">
        <f>AI147-AH147</f>
        <v>320962</v>
      </c>
      <c r="AK147" s="1731">
        <f>AJ147/AI147</f>
        <v>0.19493000516230907</v>
      </c>
      <c r="AL147" s="1729">
        <v>83</v>
      </c>
      <c r="AM147" s="1711">
        <f>1398158+5165</f>
        <v>1403323</v>
      </c>
      <c r="AN147" s="1711">
        <v>1646550</v>
      </c>
      <c r="AO147" s="1728">
        <f>AN147-AM147</f>
        <v>243227</v>
      </c>
      <c r="AP147" s="1731">
        <f>AO147/AN147</f>
        <v>0.14771917038656585</v>
      </c>
      <c r="AQ147" s="1737">
        <v>86</v>
      </c>
      <c r="AR147" s="1764">
        <f>770077+675257+17726</f>
        <v>1463060</v>
      </c>
      <c r="AS147" s="1764">
        <v>1646550</v>
      </c>
      <c r="AT147" s="1738">
        <f>AS147-AR147</f>
        <v>183490</v>
      </c>
      <c r="AU147" s="1731">
        <f>AT147/AS147</f>
        <v>0.11143906956970635</v>
      </c>
      <c r="AV147" s="1739">
        <v>90</v>
      </c>
      <c r="AW147" s="1711">
        <v>1585273</v>
      </c>
      <c r="AX147" s="1711">
        <v>1646550</v>
      </c>
      <c r="AY147" s="1728">
        <f>AX147-AW147</f>
        <v>61277</v>
      </c>
      <c r="AZ147" s="1731">
        <f>AY147/AX147</f>
        <v>3.7215389754334818E-2</v>
      </c>
      <c r="BA147" s="1740">
        <v>91</v>
      </c>
      <c r="BB147" s="1735">
        <v>1615202</v>
      </c>
      <c r="BC147" s="1711">
        <v>1646550</v>
      </c>
      <c r="BD147" s="1728">
        <f>BC147-BB147</f>
        <v>31348</v>
      </c>
      <c r="BE147" s="1734">
        <f>BD147/BC147</f>
        <v>1.9038595851932828E-2</v>
      </c>
      <c r="BF147" s="1739">
        <f>'[9]mgnt datA-'!$DR$28</f>
        <v>89</v>
      </c>
      <c r="BG147" s="1728">
        <v>1597831</v>
      </c>
      <c r="BH147" s="1711">
        <v>1646550</v>
      </c>
      <c r="BI147" s="1728">
        <f>BH147-BG147</f>
        <v>48719</v>
      </c>
      <c r="BJ147" s="1734">
        <f>BI147/BH147</f>
        <v>2.9588533600558745E-2</v>
      </c>
      <c r="BK147" s="1739">
        <v>81</v>
      </c>
      <c r="BL147" s="1735">
        <f>866589+571121</f>
        <v>1437710</v>
      </c>
      <c r="BM147" s="1762">
        <v>1646550</v>
      </c>
      <c r="BN147" s="1728">
        <f>BM147-BL147</f>
        <v>208840</v>
      </c>
      <c r="BO147" s="1742">
        <f>BN147/BM147</f>
        <v>0.12683489720931646</v>
      </c>
      <c r="BP147" s="1709">
        <f>(AV147+AQ147+AL147+AG147+AB147+W147+R147+M147+H147+BA147+BF147+BK147)/12</f>
        <v>50</v>
      </c>
      <c r="BQ147" s="1743">
        <f>AW147+AR147+AM147+AH147+AC147+X147+S147+N147+I147+BB147+BG147+BL147</f>
        <v>10427987</v>
      </c>
      <c r="BR147" s="1718">
        <f>AX147+AS147+AN147+AI147+AD147+Y147+T147+O147+J147+BC147+BH147+BM147</f>
        <v>11525850</v>
      </c>
      <c r="BS147" s="1744">
        <f>BR147-BQ147</f>
        <v>1097863</v>
      </c>
      <c r="BT147" s="1745">
        <f>H147+M147+R147</f>
        <v>0</v>
      </c>
      <c r="BU147" s="1718">
        <f>J147+O147+T147</f>
        <v>0</v>
      </c>
      <c r="BV147" s="1718">
        <f>K147+P147+U147</f>
        <v>0</v>
      </c>
      <c r="BW147" s="1746"/>
      <c r="BX147" s="1747">
        <f>W147+AB147+AG147</f>
        <v>80</v>
      </c>
      <c r="BY147" s="1718">
        <f>Y147+AD147+AI147</f>
        <v>1646550</v>
      </c>
      <c r="BZ147" s="1718">
        <f>Z147+AE147+AJ147</f>
        <v>320962</v>
      </c>
      <c r="CA147" s="1748"/>
      <c r="CB147" s="1749">
        <f>AL147+AQ147+AV147</f>
        <v>259</v>
      </c>
      <c r="CC147" s="1718">
        <f>AN147+AS147+AX147</f>
        <v>4939650</v>
      </c>
      <c r="CD147" s="1718">
        <f>AO147+AT147+AY147</f>
        <v>487994</v>
      </c>
      <c r="CE147" s="1750"/>
      <c r="CF147" s="1747">
        <f>BA147+BF147+BK147</f>
        <v>261</v>
      </c>
      <c r="CG147" s="1711">
        <f>BC147+BH147+BM147</f>
        <v>4939650</v>
      </c>
      <c r="CH147" s="1711">
        <f>BD147+BI147+BN147</f>
        <v>288907</v>
      </c>
      <c r="CI147" s="1748"/>
      <c r="CJ147" s="1763">
        <f>41+42</f>
        <v>83</v>
      </c>
      <c r="CK147" s="1735">
        <f>833447+569439</f>
        <v>1402886</v>
      </c>
      <c r="CL147" s="1762">
        <v>1646550</v>
      </c>
      <c r="CM147" s="1711">
        <f>CL147-CK147</f>
        <v>243664</v>
      </c>
      <c r="CN147" s="1746">
        <f>CM147/CL147</f>
        <v>0.14798457380583643</v>
      </c>
      <c r="CO147" s="1710">
        <v>86</v>
      </c>
      <c r="CP147" s="1735">
        <f>908026+554507+10586+14284</f>
        <v>1487403</v>
      </c>
      <c r="CQ147" s="1711">
        <v>1646550</v>
      </c>
      <c r="CR147" s="1711">
        <f>CQ147-CP147</f>
        <v>159147</v>
      </c>
      <c r="CS147" s="1746">
        <f>CR147/CQ147</f>
        <v>9.6654823722328503E-2</v>
      </c>
      <c r="CT147" s="1710">
        <v>85</v>
      </c>
      <c r="CU147" s="1735">
        <f>942343+560473+3467</f>
        <v>1506283</v>
      </c>
      <c r="CV147" s="1767">
        <v>1646550</v>
      </c>
      <c r="CW147" s="1711">
        <f>CV147-CU147</f>
        <v>140267</v>
      </c>
      <c r="CX147" s="1746">
        <f>CW147/CV147</f>
        <v>8.5188424281072539E-2</v>
      </c>
      <c r="CY147" s="1763">
        <f>45+37+1</f>
        <v>83</v>
      </c>
      <c r="CZ147" s="1735">
        <f>922223+532694+16954+61100</f>
        <v>1532971</v>
      </c>
      <c r="DA147" s="1735">
        <v>1646550</v>
      </c>
      <c r="DB147" s="1711">
        <f>DA147-CZ147</f>
        <v>113579</v>
      </c>
      <c r="DC147" s="1746">
        <f>DB147/DA147</f>
        <v>6.8979988460720898E-2</v>
      </c>
      <c r="DD147" s="1763">
        <f>47+33</f>
        <v>80</v>
      </c>
      <c r="DE147" s="1735">
        <f>949136+474142+72250</f>
        <v>1495528</v>
      </c>
      <c r="DF147" s="1735">
        <v>1646550</v>
      </c>
      <c r="DG147" s="1735">
        <f>DF147-DE147</f>
        <v>151022</v>
      </c>
      <c r="DH147" s="1712">
        <f>DG147/DF147</f>
        <v>9.1720263581427833E-2</v>
      </c>
      <c r="DI147" s="1763">
        <v>80</v>
      </c>
      <c r="DJ147" s="1741">
        <f>1493355+52800</f>
        <v>1546155</v>
      </c>
      <c r="DK147" s="1741">
        <v>1646550</v>
      </c>
      <c r="DL147" s="1711">
        <f>DK147-DJ147</f>
        <v>100395</v>
      </c>
      <c r="DM147" s="1712">
        <f>DL147/DK147</f>
        <v>6.0972943427165895E-2</v>
      </c>
      <c r="DN147" s="1763">
        <v>83</v>
      </c>
      <c r="DO147" s="1741">
        <v>1509970</v>
      </c>
      <c r="DP147" s="1741">
        <v>1646550</v>
      </c>
      <c r="DQ147" s="1711">
        <f>DP147-DO147</f>
        <v>136580</v>
      </c>
      <c r="DR147" s="1712">
        <f>DQ147/DP147</f>
        <v>8.2949196805441675E-2</v>
      </c>
      <c r="DS147" s="1763">
        <v>85</v>
      </c>
      <c r="DT147" s="1741">
        <f>1465093+69200+10800</f>
        <v>1545093</v>
      </c>
      <c r="DU147" s="1741">
        <v>1646550</v>
      </c>
      <c r="DV147" s="1711">
        <f>DU147-DT147</f>
        <v>101457</v>
      </c>
      <c r="DW147" s="1746">
        <f>DV147/DU147</f>
        <v>6.1617928395736543E-2</v>
      </c>
      <c r="DX147" s="1710">
        <v>81</v>
      </c>
      <c r="DY147" s="1711">
        <f>1516866+13000</f>
        <v>1529866</v>
      </c>
      <c r="DZ147" s="1711">
        <v>1646550</v>
      </c>
      <c r="EA147" s="1711">
        <f>DZ147-DY147</f>
        <v>116684</v>
      </c>
      <c r="EB147" s="1712">
        <f>EA147/DZ147</f>
        <v>7.0865749597643551E-2</v>
      </c>
      <c r="EC147" s="1710">
        <v>82</v>
      </c>
      <c r="ED147" s="1711">
        <v>1571567</v>
      </c>
      <c r="EE147" s="1711">
        <v>1646550</v>
      </c>
      <c r="EF147" s="1718">
        <f>EE147-ED147</f>
        <v>74983</v>
      </c>
      <c r="EG147" s="1712">
        <f>EF147/EE147</f>
        <v>4.5539461297865236E-2</v>
      </c>
      <c r="EH147" s="1710">
        <v>89</v>
      </c>
      <c r="EI147" s="1711">
        <v>1581093</v>
      </c>
      <c r="EJ147" s="1711">
        <v>1646550</v>
      </c>
      <c r="EK147" s="1711">
        <f>EJ147-EI147</f>
        <v>65457</v>
      </c>
      <c r="EL147" s="1712">
        <f>EK147/EJ147</f>
        <v>3.9754031156053568E-2</v>
      </c>
      <c r="EM147" s="1710">
        <v>82</v>
      </c>
      <c r="EN147" s="1711">
        <f>1476092+41800</f>
        <v>1517892</v>
      </c>
      <c r="EO147" s="1711">
        <f>1646550+41250</f>
        <v>1687800</v>
      </c>
      <c r="EP147" s="1711">
        <f>EO147-EN147</f>
        <v>169908</v>
      </c>
      <c r="EQ147" s="1712">
        <f>EP147/EO147</f>
        <v>0.10066832563099894</v>
      </c>
      <c r="ER147" s="1713">
        <f t="shared" si="585"/>
        <v>83.25</v>
      </c>
      <c r="ES147" s="1714">
        <f t="shared" si="586"/>
        <v>18226707</v>
      </c>
      <c r="ET147" s="1714">
        <f t="shared" si="586"/>
        <v>19799850</v>
      </c>
      <c r="EU147" s="1714">
        <f t="shared" si="586"/>
        <v>1573143</v>
      </c>
      <c r="EV147" s="1715">
        <f t="shared" si="587"/>
        <v>7.9452268577792251E-2</v>
      </c>
      <c r="EW147" s="1717">
        <f>(CJ147+CO147+CT147)/3</f>
        <v>84.666666666666671</v>
      </c>
      <c r="EX147" s="1711">
        <f>CL147+CQ147+CV147</f>
        <v>4939650</v>
      </c>
      <c r="EY147" s="1711">
        <f>CM147+CR147+CW147</f>
        <v>543078</v>
      </c>
      <c r="EZ147" s="1753">
        <f>EY147/EX147</f>
        <v>0.10994260726974583</v>
      </c>
      <c r="FA147" s="1765">
        <f>(CY147+DD147+DI147)/3</f>
        <v>81</v>
      </c>
      <c r="FB147" s="1718">
        <f>DK147+DF147+DA147</f>
        <v>4939650</v>
      </c>
      <c r="FC147" s="1718">
        <f>DL147+DG147+DB147</f>
        <v>364996</v>
      </c>
      <c r="FD147" s="1746">
        <f>FC147/FB147</f>
        <v>7.3891065156438215E-2</v>
      </c>
      <c r="FE147" s="1717">
        <f>(DN147+DS147+DX147)/3</f>
        <v>83</v>
      </c>
      <c r="FF147" s="1718">
        <f>DP147+DU147+DZ147</f>
        <v>4939650</v>
      </c>
      <c r="FG147" s="1718">
        <f>DQ147+DV147+EA147</f>
        <v>354721</v>
      </c>
      <c r="FH147" s="1753">
        <f>FG147/FF147</f>
        <v>7.1810958266273928E-2</v>
      </c>
      <c r="FI147" s="1716">
        <f>(EC147+EH147+EM147)/3</f>
        <v>84.333333333333329</v>
      </c>
      <c r="FJ147" s="1717"/>
      <c r="FK147" s="1718">
        <f>EE147+EJ147+EO147</f>
        <v>4980900</v>
      </c>
      <c r="FL147" s="1718">
        <f>EF147+EK147+EP147</f>
        <v>310348</v>
      </c>
      <c r="FM147" s="1746">
        <f>FL147/FK147</f>
        <v>6.2307615089642436E-2</v>
      </c>
      <c r="FN147" s="1754">
        <v>74</v>
      </c>
      <c r="FO147" s="1719">
        <v>1525871</v>
      </c>
      <c r="FP147" s="1719">
        <f>1646550+42350</f>
        <v>1688900</v>
      </c>
      <c r="FQ147" s="1719">
        <f>FP147-FO147</f>
        <v>163029</v>
      </c>
      <c r="FR147" s="1720">
        <f>FQ147/FP147</f>
        <v>9.6529693883592865E-2</v>
      </c>
      <c r="FS147" s="1755">
        <v>73</v>
      </c>
      <c r="FT147" s="1719">
        <v>1458392</v>
      </c>
      <c r="FU147" s="1719">
        <v>1646550</v>
      </c>
      <c r="FV147" s="1719">
        <f>FU147-FT147</f>
        <v>188158</v>
      </c>
      <c r="FW147" s="1721">
        <f>FV147/FU147</f>
        <v>0.11427408824511859</v>
      </c>
      <c r="FX147" s="1755">
        <v>74</v>
      </c>
      <c r="FY147" s="1756">
        <v>1363000</v>
      </c>
      <c r="FZ147" s="1756">
        <v>1646550</v>
      </c>
      <c r="GA147" s="1719">
        <f>FZ147-FY147</f>
        <v>283550</v>
      </c>
      <c r="GB147" s="1721">
        <f>GA147/FZ147</f>
        <v>0.17220855728644743</v>
      </c>
      <c r="GC147" s="1722">
        <v>70</v>
      </c>
      <c r="GD147" s="1096">
        <v>1420037</v>
      </c>
      <c r="GE147" s="1096">
        <v>1610000</v>
      </c>
      <c r="GF147" s="1719">
        <f>GE147-GD147</f>
        <v>189963</v>
      </c>
      <c r="GG147" s="1721">
        <f>GF147/GE147</f>
        <v>0.11798944099378882</v>
      </c>
      <c r="GH147" s="1722">
        <v>68</v>
      </c>
      <c r="GI147" s="1096">
        <v>1336862</v>
      </c>
      <c r="GJ147" s="1096">
        <v>1610000</v>
      </c>
      <c r="GK147" s="1719">
        <f>GJ147-GI147</f>
        <v>273138</v>
      </c>
      <c r="GL147" s="1721">
        <f>GK147/GJ147</f>
        <v>0.16965093167701864</v>
      </c>
      <c r="GM147" s="1722">
        <v>76</v>
      </c>
      <c r="GN147" s="1096">
        <v>1405820</v>
      </c>
      <c r="GO147" s="1096">
        <v>1610000</v>
      </c>
      <c r="GP147" s="1719">
        <f>GO147-GN147</f>
        <v>204180</v>
      </c>
      <c r="GQ147" s="1721">
        <f>GP147/GO147</f>
        <v>0.12681987577639753</v>
      </c>
      <c r="GR147" s="1722">
        <v>79</v>
      </c>
      <c r="GS147" s="1096">
        <v>1468894.09677419</v>
      </c>
      <c r="GT147" s="1096">
        <v>1610000</v>
      </c>
      <c r="GU147" s="1719">
        <f>GT147-GS147</f>
        <v>141105.90322581003</v>
      </c>
      <c r="GV147" s="1721">
        <f>GU147/GT147</f>
        <v>8.7643418152677038E-2</v>
      </c>
      <c r="GW147" s="1722">
        <v>76</v>
      </c>
      <c r="GX147" s="1096">
        <v>1414219</v>
      </c>
      <c r="GY147" s="1096">
        <v>1610000</v>
      </c>
      <c r="GZ147" s="1719">
        <f>GY147-GX147</f>
        <v>195781</v>
      </c>
      <c r="HA147" s="1721">
        <f>GZ147/GY147</f>
        <v>0.12160310559006211</v>
      </c>
      <c r="HB147" s="1722">
        <v>84</v>
      </c>
      <c r="HC147" s="1096">
        <f>1468790.80332986-2203+22500</f>
        <v>1489087.8033298601</v>
      </c>
      <c r="HD147" s="1096">
        <v>1610000</v>
      </c>
      <c r="HE147" s="1719">
        <f>HD147-HC147</f>
        <v>120912.19667013991</v>
      </c>
      <c r="HF147" s="1721">
        <f>HE147/HD147</f>
        <v>7.5100743273378831E-2</v>
      </c>
      <c r="HG147" s="1722">
        <v>74</v>
      </c>
      <c r="HH147" s="1096">
        <v>1478363.32</v>
      </c>
      <c r="HI147" s="1096">
        <v>1610000</v>
      </c>
      <c r="HJ147" s="1719">
        <f>HI147-HH147</f>
        <v>131636.67999999993</v>
      </c>
      <c r="HK147" s="1721">
        <f>HJ147/HI147</f>
        <v>8.1761913043478227E-2</v>
      </c>
      <c r="HL147" s="1722">
        <v>72</v>
      </c>
      <c r="HM147" s="1096">
        <v>1411813</v>
      </c>
      <c r="HN147" s="1096">
        <v>1610000</v>
      </c>
      <c r="HO147" s="1719">
        <f>HN147-HM147</f>
        <v>198187</v>
      </c>
      <c r="HP147" s="1721">
        <f>HO147/HN147</f>
        <v>0.12309751552795031</v>
      </c>
      <c r="HQ147" s="746">
        <v>74</v>
      </c>
      <c r="HR147" s="946">
        <v>1429557</v>
      </c>
      <c r="HS147" s="946">
        <v>1610000</v>
      </c>
      <c r="HT147" s="946">
        <f>HS147-HR147</f>
        <v>180443</v>
      </c>
      <c r="HU147" s="2565">
        <f>HT147/HS147</f>
        <v>0.11207639751552795</v>
      </c>
      <c r="HV147" s="2008">
        <f t="shared" si="588"/>
        <v>74.5</v>
      </c>
      <c r="HW147" s="208">
        <f t="shared" si="589"/>
        <v>17201916.220104054</v>
      </c>
      <c r="HX147" s="208">
        <f t="shared" si="589"/>
        <v>19472000</v>
      </c>
      <c r="HY147" s="208">
        <f t="shared" si="589"/>
        <v>2270083.7798959501</v>
      </c>
      <c r="HZ147" s="2009"/>
      <c r="IA147" s="1934">
        <f>(FN147+FS147+FX147)/3</f>
        <v>73.666666666666671</v>
      </c>
      <c r="IB147" s="1855">
        <f>FP147+FU147+FZ147</f>
        <v>4982000</v>
      </c>
      <c r="IC147" s="1855">
        <f>FQ147+FV147+GA147</f>
        <v>634737</v>
      </c>
      <c r="ID147" s="1856">
        <f>IC147/IB147</f>
        <v>0.12740606182256123</v>
      </c>
      <c r="IE147" s="1857">
        <f>(GC147+GH147+GM147)/3</f>
        <v>71.333333333333329</v>
      </c>
      <c r="IF147" s="1858">
        <f>(GE147+GJ147+GO147)</f>
        <v>4830000</v>
      </c>
      <c r="IG147" s="1854">
        <f>(GF147+GK147+GP147)</f>
        <v>667281</v>
      </c>
      <c r="IH147" s="1856">
        <f>IG147/IF147</f>
        <v>0.13815341614906831</v>
      </c>
      <c r="II147" s="1859">
        <f>(GR147+GW147+HB147)/3</f>
        <v>79.666666666666671</v>
      </c>
      <c r="IJ147" s="1727">
        <f>(GT147+GY147+HD147)</f>
        <v>4830000</v>
      </c>
      <c r="IK147" s="1727">
        <f>(GU147+GZ147+HE147)</f>
        <v>457799.09989594994</v>
      </c>
      <c r="IL147" s="151">
        <f>IK147/IJ147</f>
        <v>9.4782422338705999E-2</v>
      </c>
      <c r="IM147" s="1860">
        <f>(HB147+HG147+HL147)/3</f>
        <v>76.666666666666671</v>
      </c>
      <c r="IN147" s="1727">
        <f>(HI147+HN147+HS147)</f>
        <v>4830000</v>
      </c>
      <c r="IO147" s="1727">
        <f>(HJ147+HO147+HT147)</f>
        <v>510266.67999999993</v>
      </c>
      <c r="IP147" s="1861">
        <f>IO147/IN147</f>
        <v>0.10564527536231882</v>
      </c>
      <c r="IQ147" s="69"/>
      <c r="IR147" s="1935">
        <v>72</v>
      </c>
      <c r="IS147" s="1719">
        <v>1409869</v>
      </c>
      <c r="IT147" s="1719">
        <v>1610000</v>
      </c>
      <c r="IU147" s="1719">
        <f>IT147-IS147</f>
        <v>200131</v>
      </c>
      <c r="IV147" s="1720">
        <f>IU147/IT147</f>
        <v>0.12430496894409938</v>
      </c>
      <c r="IW147" s="1820">
        <v>85</v>
      </c>
      <c r="IX147" s="1818">
        <v>1593077.09</v>
      </c>
      <c r="IY147" s="1818">
        <v>1610000</v>
      </c>
      <c r="IZ147" s="1818">
        <f>IY147-IX147</f>
        <v>16922.909999999916</v>
      </c>
      <c r="JA147" s="1821">
        <f>IZ147/IY147</f>
        <v>1.0511124223602432E-2</v>
      </c>
      <c r="JB147" s="1984">
        <v>72</v>
      </c>
      <c r="JC147" s="1985">
        <v>1384350</v>
      </c>
      <c r="JD147" s="1986">
        <v>1610000</v>
      </c>
      <c r="JE147" s="1818">
        <f>JD147-JC147</f>
        <v>225650</v>
      </c>
      <c r="JF147" s="1721">
        <f>JE147/JD147</f>
        <v>0.14015527950310558</v>
      </c>
      <c r="JG147" s="1758">
        <v>75</v>
      </c>
      <c r="JH147" s="1096">
        <v>1585798</v>
      </c>
      <c r="JI147" s="1096">
        <v>1610000</v>
      </c>
      <c r="JJ147" s="1756">
        <f>JI147-JH147</f>
        <v>24202</v>
      </c>
      <c r="JK147" s="1721">
        <f>JJ147/JI147</f>
        <v>1.5032298136645963E-2</v>
      </c>
      <c r="JL147" s="1722">
        <v>77</v>
      </c>
      <c r="JM147" s="1096">
        <v>1439726.12903226</v>
      </c>
      <c r="JN147" s="1096">
        <v>1610000</v>
      </c>
      <c r="JO147" s="1845">
        <f>JN147-JM147</f>
        <v>170273.87096773996</v>
      </c>
      <c r="JP147" s="1721">
        <f>JO147/JN147</f>
        <v>0.10576016830294407</v>
      </c>
      <c r="JQ147" s="1844">
        <v>82</v>
      </c>
      <c r="JR147" s="972">
        <v>1509899</v>
      </c>
      <c r="JS147" s="264">
        <v>1610000</v>
      </c>
      <c r="JT147" s="1845">
        <f>JS147-JR147</f>
        <v>100101</v>
      </c>
      <c r="JU147" s="1721">
        <f>JT147/JS147</f>
        <v>6.2174534161490685E-2</v>
      </c>
      <c r="JV147" s="1758">
        <v>80</v>
      </c>
      <c r="JW147" s="1096">
        <v>1455632.32258065</v>
      </c>
      <c r="JX147" s="264">
        <v>1610000</v>
      </c>
      <c r="JY147" s="1845">
        <f>JX147-JW147</f>
        <v>154367.67741935002</v>
      </c>
      <c r="JZ147" s="1721">
        <f>JY147/JX147</f>
        <v>9.588054498096274E-2</v>
      </c>
      <c r="KA147" s="1758">
        <v>72</v>
      </c>
      <c r="KB147" s="264">
        <v>1405394</v>
      </c>
      <c r="KC147" s="972">
        <v>1610000</v>
      </c>
      <c r="KD147" s="964">
        <f>KC147-KB147</f>
        <v>204606</v>
      </c>
      <c r="KE147" s="1848">
        <f>KD147/KC147</f>
        <v>0.12708447204968945</v>
      </c>
      <c r="KF147" s="1758">
        <v>76</v>
      </c>
      <c r="KG147" s="264">
        <f>1395824.87096774+17500</f>
        <v>1413324.87096774</v>
      </c>
      <c r="KH147" s="1096">
        <v>1610000</v>
      </c>
      <c r="KI147" s="1719">
        <f>KH147-KG147</f>
        <v>196675.12903226004</v>
      </c>
      <c r="KJ147" s="1721">
        <f>KI147/KH147</f>
        <v>0.1221584652374286</v>
      </c>
      <c r="KK147" s="1849">
        <v>81</v>
      </c>
      <c r="KL147" s="1850">
        <v>1491684.4193548388</v>
      </c>
      <c r="KM147" s="1850">
        <v>1610000</v>
      </c>
      <c r="KN147" s="1851">
        <f t="shared" si="590"/>
        <v>118315.58064516122</v>
      </c>
      <c r="KO147" s="1852">
        <f>KN147/KM147</f>
        <v>7.3487938288920016E-2</v>
      </c>
      <c r="KP147" s="1722">
        <v>73</v>
      </c>
      <c r="KQ147" s="972">
        <v>1460536</v>
      </c>
      <c r="KR147" s="264">
        <v>1610000</v>
      </c>
      <c r="KS147" s="1845">
        <f t="shared" si="591"/>
        <v>149464</v>
      </c>
      <c r="KT147" s="1720">
        <f>KS147/KR147</f>
        <v>9.2834782608695654E-2</v>
      </c>
      <c r="KU147" s="1853">
        <v>83</v>
      </c>
      <c r="KV147" s="264">
        <v>1503388</v>
      </c>
      <c r="KW147" s="264">
        <v>1610000</v>
      </c>
      <c r="KX147" s="264">
        <f t="shared" si="592"/>
        <v>106612</v>
      </c>
      <c r="KY147" s="75">
        <f t="shared" si="593"/>
        <v>6.6218633540372676E-2</v>
      </c>
      <c r="KZ147" s="1857">
        <v>83</v>
      </c>
      <c r="LA147" s="358">
        <f t="shared" si="594"/>
        <v>17652678.831935488</v>
      </c>
      <c r="LB147" s="358">
        <f t="shared" si="594"/>
        <v>19320000</v>
      </c>
      <c r="LC147" s="358">
        <f t="shared" si="594"/>
        <v>1667321.1680645111</v>
      </c>
      <c r="LD147" s="151">
        <f t="shared" si="595"/>
        <v>8.6300267498163108E-2</v>
      </c>
      <c r="LE147" s="1854">
        <f t="shared" si="596"/>
        <v>76.333333333333329</v>
      </c>
      <c r="LF147" s="1855">
        <f t="shared" si="597"/>
        <v>4830000</v>
      </c>
      <c r="LG147" s="1855">
        <f t="shared" si="597"/>
        <v>442703.90999999992</v>
      </c>
      <c r="LH147" s="1856">
        <f t="shared" si="598"/>
        <v>9.1657124223602462E-2</v>
      </c>
      <c r="LI147" s="1857">
        <f t="shared" si="599"/>
        <v>78</v>
      </c>
      <c r="LJ147" s="1858">
        <f t="shared" si="600"/>
        <v>4830000</v>
      </c>
      <c r="LK147" s="1854">
        <f t="shared" si="600"/>
        <v>294576.87096773996</v>
      </c>
      <c r="LL147" s="1856">
        <f>LK147/LJ147</f>
        <v>6.0989000200360237E-2</v>
      </c>
      <c r="LM147" s="1859">
        <f t="shared" si="601"/>
        <v>76</v>
      </c>
      <c r="LN147" s="1727">
        <f t="shared" si="602"/>
        <v>4830000</v>
      </c>
      <c r="LO147" s="1727">
        <f t="shared" si="602"/>
        <v>555648.80645161006</v>
      </c>
      <c r="LP147" s="151">
        <f>LO147/LN147</f>
        <v>0.11504116075602693</v>
      </c>
      <c r="LQ147" s="1860">
        <f t="shared" si="603"/>
        <v>79</v>
      </c>
      <c r="LR147" s="1727">
        <f t="shared" si="604"/>
        <v>4830000</v>
      </c>
      <c r="LS147" s="1727">
        <f t="shared" si="604"/>
        <v>374391.58064516122</v>
      </c>
      <c r="LT147" s="1861">
        <f t="shared" si="605"/>
        <v>7.7513784812662773E-2</v>
      </c>
      <c r="LV147" s="439">
        <v>81</v>
      </c>
      <c r="LW147" s="208">
        <v>1523580</v>
      </c>
      <c r="LX147" s="208">
        <v>1610000</v>
      </c>
      <c r="LY147" s="96">
        <f t="shared" si="606"/>
        <v>86420</v>
      </c>
      <c r="LZ147" s="78">
        <f t="shared" si="607"/>
        <v>5.3677018633540373E-2</v>
      </c>
      <c r="MA147" s="1862">
        <v>84</v>
      </c>
      <c r="MB147" s="265">
        <v>1586059.9032258063</v>
      </c>
      <c r="MC147" s="265">
        <v>1610000</v>
      </c>
      <c r="MD147" s="371">
        <f t="shared" si="608"/>
        <v>23940.096774193691</v>
      </c>
      <c r="ME147" s="157">
        <f t="shared" si="609"/>
        <v>1.4869625325586144E-2</v>
      </c>
      <c r="MF147" s="439">
        <v>83</v>
      </c>
      <c r="MG147" s="208">
        <v>1676377.6666666665</v>
      </c>
      <c r="MH147" s="208">
        <v>1610000</v>
      </c>
      <c r="MI147" s="2566">
        <f t="shared" si="610"/>
        <v>-66377.666666666511</v>
      </c>
      <c r="MJ147" s="2567">
        <f t="shared" si="611"/>
        <v>-4.1228364389233857E-2</v>
      </c>
      <c r="MK147" s="354">
        <v>75</v>
      </c>
      <c r="ML147" s="208">
        <v>1544831</v>
      </c>
      <c r="MM147" s="208">
        <v>1610000</v>
      </c>
      <c r="MN147" s="371">
        <f t="shared" si="612"/>
        <v>65169</v>
      </c>
      <c r="MO147" s="157">
        <f t="shared" si="613"/>
        <v>4.0477639751552795E-2</v>
      </c>
      <c r="MP147" s="1578">
        <v>78</v>
      </c>
      <c r="MQ147" s="264">
        <v>1604189</v>
      </c>
      <c r="MR147" s="264">
        <v>1695500</v>
      </c>
      <c r="MS147" s="264">
        <f t="shared" si="614"/>
        <v>91311</v>
      </c>
      <c r="MT147" s="597">
        <f t="shared" si="615"/>
        <v>5.3854910056030672E-2</v>
      </c>
      <c r="MU147" s="209">
        <v>71</v>
      </c>
      <c r="MV147" s="208">
        <v>1506373</v>
      </c>
      <c r="MW147" s="208">
        <v>1695500</v>
      </c>
      <c r="MX147" s="208">
        <f t="shared" si="616"/>
        <v>189127</v>
      </c>
      <c r="MY147" s="597">
        <f t="shared" si="617"/>
        <v>0.11154644647596579</v>
      </c>
      <c r="MZ147" s="209">
        <v>70</v>
      </c>
      <c r="NA147" s="208">
        <v>1479611</v>
      </c>
      <c r="NB147" s="208">
        <v>1695500</v>
      </c>
      <c r="NC147" s="208">
        <f t="shared" si="618"/>
        <v>215889</v>
      </c>
      <c r="ND147" s="597">
        <f t="shared" si="619"/>
        <v>0.12733058094957239</v>
      </c>
      <c r="NE147" s="209">
        <v>68</v>
      </c>
      <c r="NF147" s="946">
        <v>1394922</v>
      </c>
      <c r="NG147" s="208">
        <v>1695500</v>
      </c>
      <c r="NH147" s="208">
        <f t="shared" si="620"/>
        <v>300578</v>
      </c>
      <c r="NI147" s="597">
        <f t="shared" si="621"/>
        <v>0.17727985844883515</v>
      </c>
      <c r="NJ147" s="209">
        <v>72</v>
      </c>
      <c r="NK147" s="208">
        <v>1550708.6129032259</v>
      </c>
      <c r="NL147" s="208">
        <v>1695500</v>
      </c>
      <c r="NM147" s="208">
        <f t="shared" si="622"/>
        <v>144791.38709677407</v>
      </c>
      <c r="NN147" s="597">
        <f t="shared" si="623"/>
        <v>8.5397456264685381E-2</v>
      </c>
      <c r="NO147" s="402">
        <v>70</v>
      </c>
      <c r="NP147" s="358">
        <v>1578600</v>
      </c>
      <c r="NQ147" s="358">
        <v>1695500</v>
      </c>
      <c r="NR147" s="208">
        <f t="shared" si="624"/>
        <v>116900</v>
      </c>
      <c r="NS147" s="597">
        <f t="shared" si="625"/>
        <v>6.8947213211442052E-2</v>
      </c>
      <c r="NT147" s="402">
        <v>68</v>
      </c>
      <c r="NU147" s="358">
        <v>1538474</v>
      </c>
      <c r="NV147" s="358">
        <v>1695500</v>
      </c>
      <c r="NW147" s="208">
        <f t="shared" si="626"/>
        <v>157026</v>
      </c>
      <c r="NX147" s="597">
        <f t="shared" si="627"/>
        <v>9.2613388381008549E-2</v>
      </c>
      <c r="NY147" s="402">
        <v>66</v>
      </c>
      <c r="NZ147" s="358">
        <v>1498155.12903226</v>
      </c>
      <c r="OA147" s="358">
        <v>1695500</v>
      </c>
      <c r="OB147" s="772">
        <f t="shared" si="628"/>
        <v>197344.87096773996</v>
      </c>
      <c r="OC147" s="659">
        <f t="shared" si="629"/>
        <v>0.11639331817619579</v>
      </c>
      <c r="OD147" s="191">
        <v>66</v>
      </c>
      <c r="OE147" s="358">
        <f t="shared" si="630"/>
        <v>18481881.311827958</v>
      </c>
      <c r="OF147" s="358">
        <f t="shared" si="630"/>
        <v>20004000</v>
      </c>
      <c r="OG147" s="358">
        <f t="shared" si="630"/>
        <v>1522118.6881720412</v>
      </c>
      <c r="OH147" s="220">
        <f t="shared" si="631"/>
        <v>7.6090716265348995E-2</v>
      </c>
      <c r="OI147" s="1863">
        <f t="shared" si="632"/>
        <v>82.666666666666671</v>
      </c>
      <c r="OJ147" s="105">
        <f t="shared" si="633"/>
        <v>4786017.5698924735</v>
      </c>
      <c r="OK147" s="105">
        <f t="shared" si="633"/>
        <v>4830000</v>
      </c>
      <c r="OL147" s="105">
        <f t="shared" si="633"/>
        <v>43982.43010752718</v>
      </c>
      <c r="OM147" s="106">
        <f t="shared" si="634"/>
        <v>9.1060931899642188E-3</v>
      </c>
      <c r="ON147" s="358">
        <f t="shared" si="635"/>
        <v>74.666666666666671</v>
      </c>
      <c r="OO147" s="358">
        <f t="shared" si="636"/>
        <v>4655393</v>
      </c>
      <c r="OP147" s="358">
        <f t="shared" si="636"/>
        <v>5001000</v>
      </c>
      <c r="OQ147" s="359">
        <f t="shared" si="636"/>
        <v>345607</v>
      </c>
      <c r="OR147" s="169">
        <f t="shared" si="637"/>
        <v>6.9107578484303142E-2</v>
      </c>
      <c r="OS147" s="686">
        <f t="shared" si="638"/>
        <v>70</v>
      </c>
      <c r="OT147" s="146">
        <f t="shared" si="639"/>
        <v>4425241.6129032262</v>
      </c>
      <c r="OU147" s="146">
        <f t="shared" si="639"/>
        <v>5086500</v>
      </c>
      <c r="OV147" s="1864">
        <f t="shared" si="639"/>
        <v>661258.38709677407</v>
      </c>
      <c r="OW147" s="203">
        <f t="shared" si="640"/>
        <v>0.13000263188769764</v>
      </c>
      <c r="OX147" s="357">
        <v>66</v>
      </c>
      <c r="OY147" s="358">
        <f t="shared" si="641"/>
        <v>4615229.1290322598</v>
      </c>
      <c r="OZ147" s="358">
        <f t="shared" si="641"/>
        <v>5086500</v>
      </c>
      <c r="PA147" s="359">
        <f t="shared" si="641"/>
        <v>471270.87096773996</v>
      </c>
      <c r="PB147" s="114">
        <f t="shared" si="642"/>
        <v>9.2651306589548801E-2</v>
      </c>
      <c r="PC147" s="79"/>
      <c r="PD147" s="439">
        <v>71</v>
      </c>
      <c r="PE147" s="208">
        <v>1522062</v>
      </c>
      <c r="PF147" s="208">
        <v>1695500</v>
      </c>
      <c r="PG147" s="96">
        <f t="shared" si="643"/>
        <v>173438</v>
      </c>
      <c r="PH147" s="224">
        <f t="shared" si="644"/>
        <v>0.10229312887053967</v>
      </c>
      <c r="PI147" s="1862">
        <v>70</v>
      </c>
      <c r="PJ147" s="265">
        <v>1645048</v>
      </c>
      <c r="PK147" s="265">
        <v>1695500</v>
      </c>
      <c r="PL147" s="371">
        <f t="shared" si="529"/>
        <v>50452</v>
      </c>
      <c r="PM147" s="157">
        <f t="shared" si="530"/>
        <v>2.9756414037157182E-2</v>
      </c>
      <c r="PN147" s="439">
        <v>66</v>
      </c>
      <c r="PO147" s="208">
        <v>1588035</v>
      </c>
      <c r="PP147" s="208">
        <v>1695500</v>
      </c>
      <c r="PQ147" s="371">
        <f t="shared" si="531"/>
        <v>107465</v>
      </c>
      <c r="PR147" s="157">
        <f t="shared" si="532"/>
        <v>6.3382483043350049E-2</v>
      </c>
      <c r="PS147" s="354">
        <v>64</v>
      </c>
      <c r="PT147" s="208">
        <v>1629809.4838709678</v>
      </c>
      <c r="PU147" s="208">
        <v>1695500</v>
      </c>
      <c r="PV147" s="371">
        <f t="shared" si="533"/>
        <v>65690.516129032243</v>
      </c>
      <c r="PW147" s="157">
        <f t="shared" si="534"/>
        <v>3.8744037823080058E-2</v>
      </c>
      <c r="PX147" s="1578">
        <v>70</v>
      </c>
      <c r="PY147" s="264">
        <f>1613782+44000</f>
        <v>1657782</v>
      </c>
      <c r="PZ147" s="264">
        <v>1695500</v>
      </c>
      <c r="QA147" s="264">
        <f t="shared" si="535"/>
        <v>37718</v>
      </c>
      <c r="QB147" s="597">
        <f t="shared" si="536"/>
        <v>2.2245945148923623E-2</v>
      </c>
      <c r="QC147" s="209">
        <v>70</v>
      </c>
      <c r="QD147" s="208">
        <v>1668429</v>
      </c>
      <c r="QE147" s="208">
        <v>1695500</v>
      </c>
      <c r="QF147" s="208">
        <f t="shared" si="537"/>
        <v>27071</v>
      </c>
      <c r="QG147" s="597">
        <f t="shared" si="538"/>
        <v>1.596638159834857E-2</v>
      </c>
      <c r="QH147" s="439">
        <v>71</v>
      </c>
      <c r="QI147" s="395">
        <f>1646421+22500</f>
        <v>1668921</v>
      </c>
      <c r="QJ147" s="208">
        <v>1695500</v>
      </c>
      <c r="QK147" s="208">
        <f t="shared" si="539"/>
        <v>26579</v>
      </c>
      <c r="QL147" s="597">
        <f t="shared" si="540"/>
        <v>1.5676201710409909E-2</v>
      </c>
      <c r="QM147" s="439">
        <v>73</v>
      </c>
      <c r="QN147" s="946">
        <v>1677933</v>
      </c>
      <c r="QO147" s="208">
        <v>1695500</v>
      </c>
      <c r="QP147" s="208">
        <f t="shared" si="541"/>
        <v>17567</v>
      </c>
      <c r="QQ147" s="1869">
        <f t="shared" si="542"/>
        <v>1.0360955470362724E-2</v>
      </c>
      <c r="QR147" s="209">
        <v>72</v>
      </c>
      <c r="QS147" s="208">
        <v>1666530</v>
      </c>
      <c r="QT147" s="208">
        <v>1695500</v>
      </c>
      <c r="QU147" s="208">
        <f t="shared" si="543"/>
        <v>28970</v>
      </c>
      <c r="QV147" s="75">
        <f t="shared" si="544"/>
        <v>1.7086405190209378E-2</v>
      </c>
      <c r="QW147" s="156">
        <v>71</v>
      </c>
      <c r="QX147" s="2562">
        <v>1636068.7741935484</v>
      </c>
      <c r="QY147" s="2562">
        <v>1695500</v>
      </c>
      <c r="QZ147" s="208">
        <f t="shared" si="545"/>
        <v>59431.225806451635</v>
      </c>
      <c r="RA147" s="157">
        <f t="shared" si="546"/>
        <v>3.5052330171897163E-2</v>
      </c>
      <c r="RB147" s="402">
        <v>68</v>
      </c>
      <c r="RC147" s="358">
        <v>1621332</v>
      </c>
      <c r="RD147" s="358">
        <v>1695500</v>
      </c>
      <c r="RE147" s="208">
        <f t="shared" si="547"/>
        <v>74168</v>
      </c>
      <c r="RF147" s="1313">
        <f t="shared" si="548"/>
        <v>4.3744028310232969E-2</v>
      </c>
      <c r="RG147" s="1857">
        <v>73</v>
      </c>
      <c r="RH147" s="358">
        <v>1620348.5483870967</v>
      </c>
      <c r="RI147" s="358">
        <v>1695500</v>
      </c>
      <c r="RJ147" s="772">
        <f t="shared" si="549"/>
        <v>75151.451612903271</v>
      </c>
      <c r="RK147" s="659">
        <f t="shared" si="550"/>
        <v>4.4324064649308915E-2</v>
      </c>
      <c r="RL147" s="1567">
        <v>73</v>
      </c>
      <c r="RM147" s="1568">
        <f t="shared" si="551"/>
        <v>19602298.806451611</v>
      </c>
      <c r="RN147" s="1568">
        <f t="shared" si="551"/>
        <v>20346000</v>
      </c>
      <c r="RO147" s="1568">
        <f t="shared" si="551"/>
        <v>743701.19354838715</v>
      </c>
      <c r="RP147" s="220">
        <f t="shared" si="552"/>
        <v>3.6552698001985018E-2</v>
      </c>
      <c r="RQ147" s="1863">
        <f t="shared" si="553"/>
        <v>69</v>
      </c>
      <c r="RR147" s="105">
        <f t="shared" si="554"/>
        <v>4755145</v>
      </c>
      <c r="RS147" s="105">
        <f t="shared" si="554"/>
        <v>5086500</v>
      </c>
      <c r="RT147" s="105">
        <f t="shared" si="554"/>
        <v>331355</v>
      </c>
      <c r="RU147" s="106">
        <f t="shared" si="555"/>
        <v>6.5144008650348958E-2</v>
      </c>
      <c r="RV147" s="1868">
        <v>70</v>
      </c>
      <c r="RW147" s="358">
        <f t="shared" si="556"/>
        <v>4956020.4838709682</v>
      </c>
      <c r="RX147" s="358">
        <f t="shared" si="556"/>
        <v>5086500</v>
      </c>
      <c r="RY147" s="359">
        <f t="shared" si="556"/>
        <v>130479.51612903224</v>
      </c>
      <c r="RZ147" s="169">
        <f t="shared" si="557"/>
        <v>2.5652121523450751E-2</v>
      </c>
      <c r="SA147" s="686">
        <v>72</v>
      </c>
      <c r="SB147" s="146">
        <f t="shared" si="558"/>
        <v>5013384</v>
      </c>
      <c r="SC147" s="146">
        <f t="shared" si="558"/>
        <v>5086500</v>
      </c>
      <c r="SD147" s="1864">
        <f t="shared" si="558"/>
        <v>73116</v>
      </c>
      <c r="SE147" s="203">
        <f t="shared" si="559"/>
        <v>1.4374520790327337E-2</v>
      </c>
      <c r="SF147" s="1567">
        <v>73</v>
      </c>
      <c r="SG147" s="358">
        <f t="shared" si="560"/>
        <v>4877749.3225806449</v>
      </c>
      <c r="SH147" s="358">
        <f t="shared" si="560"/>
        <v>5086500</v>
      </c>
      <c r="SI147" s="359">
        <f t="shared" si="560"/>
        <v>208750.67741935491</v>
      </c>
      <c r="SJ147" s="114">
        <f t="shared" si="561"/>
        <v>4.1040141043813018E-2</v>
      </c>
      <c r="SL147" s="1606">
        <v>67</v>
      </c>
      <c r="SM147" s="1066">
        <v>1536732</v>
      </c>
      <c r="SN147" s="1066">
        <v>1695500</v>
      </c>
      <c r="SO147" s="105">
        <f t="shared" si="562"/>
        <v>158768</v>
      </c>
      <c r="SP147" s="365">
        <f t="shared" si="563"/>
        <v>9.3640813919197874E-2</v>
      </c>
      <c r="SQ147" s="439">
        <v>69</v>
      </c>
      <c r="SR147" s="208">
        <f>1588116-15000</f>
        <v>1573116</v>
      </c>
      <c r="SS147" s="208">
        <v>1695500</v>
      </c>
      <c r="ST147" s="96">
        <f t="shared" si="564"/>
        <v>122384</v>
      </c>
      <c r="SU147" s="78">
        <f t="shared" si="645"/>
        <v>7.2181657328221766E-2</v>
      </c>
      <c r="SV147" s="439">
        <v>75</v>
      </c>
      <c r="SW147" s="208">
        <f>1727172-26000</f>
        <v>1701172</v>
      </c>
      <c r="SX147" s="994">
        <v>1695500</v>
      </c>
      <c r="SY147" s="2827">
        <f t="shared" si="565"/>
        <v>-5672</v>
      </c>
      <c r="SZ147" s="4436">
        <f t="shared" si="646"/>
        <v>-3.3453258625774107E-3</v>
      </c>
      <c r="TA147" s="354">
        <v>76</v>
      </c>
      <c r="TB147" s="208">
        <f>1674168-26000</f>
        <v>1648168</v>
      </c>
      <c r="TC147" s="994">
        <v>1695500</v>
      </c>
      <c r="TD147" s="96">
        <f t="shared" si="566"/>
        <v>47332</v>
      </c>
      <c r="TE147" s="94">
        <f t="shared" si="647"/>
        <v>2.7916248894131523E-2</v>
      </c>
      <c r="TF147" s="4108">
        <v>73</v>
      </c>
      <c r="TG147" s="208">
        <v>1595800.9677419355</v>
      </c>
      <c r="TH147" s="208">
        <v>1695500</v>
      </c>
      <c r="TI147" s="208">
        <f t="shared" si="480"/>
        <v>99699.032258064486</v>
      </c>
      <c r="TJ147" s="114">
        <f t="shared" si="648"/>
        <v>5.8802142293166902E-2</v>
      </c>
      <c r="TK147" s="357">
        <v>79</v>
      </c>
      <c r="TL147" s="4149">
        <f>1752517.93333333+22500</f>
        <v>1775017.9333333301</v>
      </c>
      <c r="TM147" s="359">
        <v>1695500</v>
      </c>
      <c r="TN147" s="208">
        <f t="shared" si="649"/>
        <v>-79517.933333330089</v>
      </c>
      <c r="TO147" s="4104">
        <f t="shared" si="650"/>
        <v>-4.6899400373535884E-2</v>
      </c>
      <c r="TP147" s="4432">
        <v>75</v>
      </c>
      <c r="TQ147" s="395">
        <v>1750621.9032258065</v>
      </c>
      <c r="TR147" s="208">
        <v>1695500</v>
      </c>
      <c r="TS147" s="4513">
        <f t="shared" si="651"/>
        <v>-55121.903225806542</v>
      </c>
      <c r="TT147" s="4514">
        <f t="shared" si="652"/>
        <v>-3.2510706709411114E-2</v>
      </c>
      <c r="TU147" s="4432">
        <v>76</v>
      </c>
      <c r="TV147" s="208">
        <v>1781251</v>
      </c>
      <c r="TW147" s="208">
        <v>1695500</v>
      </c>
      <c r="TX147" s="4513">
        <f t="shared" si="567"/>
        <v>-85751</v>
      </c>
      <c r="TY147" s="4514">
        <f>TX147/TW147</f>
        <v>-5.0575641403715718E-2</v>
      </c>
      <c r="TZ147" s="209">
        <v>71</v>
      </c>
      <c r="UA147" s="208">
        <v>1791919</v>
      </c>
      <c r="UB147" s="208">
        <v>1695500</v>
      </c>
      <c r="UC147" s="4513">
        <f t="shared" si="568"/>
        <v>-96419</v>
      </c>
      <c r="UD147" s="4514">
        <f t="shared" si="653"/>
        <v>-5.6867590681214983E-2</v>
      </c>
      <c r="UE147" s="6505">
        <v>70</v>
      </c>
      <c r="UF147" s="6506">
        <v>1724079</v>
      </c>
      <c r="UG147" s="6506">
        <v>1695500</v>
      </c>
      <c r="UH147" s="5249">
        <f t="shared" si="569"/>
        <v>-28579</v>
      </c>
      <c r="UI147" s="1867">
        <f t="shared" si="654"/>
        <v>-1.6855794750810969E-2</v>
      </c>
      <c r="UJ147" s="402"/>
      <c r="UK147" s="358"/>
      <c r="UL147" s="358"/>
      <c r="UM147" s="208">
        <f t="shared" si="570"/>
        <v>0</v>
      </c>
      <c r="UN147" s="1313" t="e">
        <f t="shared" si="571"/>
        <v>#DIV/0!</v>
      </c>
      <c r="UO147" s="1567"/>
      <c r="UP147" s="1568"/>
      <c r="UQ147" s="1568"/>
      <c r="UR147" s="2012">
        <f t="shared" si="572"/>
        <v>0</v>
      </c>
      <c r="US147" s="659" t="e">
        <f t="shared" si="573"/>
        <v>#DIV/0!</v>
      </c>
      <c r="UT147" s="1567"/>
      <c r="UU147" s="358">
        <f t="shared" ref="UU147:UW162" si="655">UP147+UK147+UF147+UA147+TV147+TQ147+TL147+TG147+TB147+SW147+SR147+SM147</f>
        <v>16877877.804301072</v>
      </c>
      <c r="UV147" s="358">
        <f t="shared" si="655"/>
        <v>16955000</v>
      </c>
      <c r="UW147" s="358">
        <f t="shared" si="655"/>
        <v>77122.195698927855</v>
      </c>
      <c r="UX147" s="220">
        <f t="shared" si="575"/>
        <v>4.5486402653451994E-3</v>
      </c>
      <c r="UY147" s="1863">
        <f t="shared" si="576"/>
        <v>70.333333333333329</v>
      </c>
      <c r="UZ147" s="105">
        <f t="shared" si="577"/>
        <v>4811020</v>
      </c>
      <c r="VA147" s="105">
        <f t="shared" si="577"/>
        <v>5086500</v>
      </c>
      <c r="VB147" s="105">
        <f t="shared" si="577"/>
        <v>275480</v>
      </c>
      <c r="VC147" s="106">
        <f t="shared" si="578"/>
        <v>5.4159048461614075E-2</v>
      </c>
      <c r="VD147" s="1868"/>
      <c r="VE147" s="358">
        <f t="shared" ref="VE147:VG162" si="656">TB147+TG147+TL147</f>
        <v>5018986.9010752654</v>
      </c>
      <c r="VF147" s="358">
        <f t="shared" si="656"/>
        <v>5086500</v>
      </c>
      <c r="VG147" s="359">
        <f t="shared" si="656"/>
        <v>67513.098924734397</v>
      </c>
      <c r="VH147" s="169">
        <f t="shared" si="580"/>
        <v>1.3272996937920849E-2</v>
      </c>
      <c r="VI147" s="686"/>
      <c r="VJ147" s="146">
        <f t="shared" si="581"/>
        <v>5323791.9032258065</v>
      </c>
      <c r="VK147" s="146">
        <f t="shared" si="581"/>
        <v>5086500</v>
      </c>
      <c r="VL147" s="1864">
        <f t="shared" si="581"/>
        <v>-237291.90322580654</v>
      </c>
      <c r="VM147" s="203">
        <f t="shared" si="582"/>
        <v>-4.6651312931447274E-2</v>
      </c>
      <c r="VN147" s="1567"/>
      <c r="VO147" s="358">
        <f t="shared" si="583"/>
        <v>1724079</v>
      </c>
      <c r="VP147" s="358">
        <f t="shared" si="583"/>
        <v>1695500</v>
      </c>
      <c r="VQ147" s="359">
        <f t="shared" si="583"/>
        <v>-28579</v>
      </c>
      <c r="VR147" s="114">
        <f t="shared" si="584"/>
        <v>-1.6855794750810969E-2</v>
      </c>
    </row>
    <row r="148" spans="1:590" ht="13.45" x14ac:dyDescent="0.3">
      <c r="B148" s="113" t="s">
        <v>84</v>
      </c>
      <c r="C148" s="3775" t="s">
        <v>85</v>
      </c>
      <c r="D148" s="578" t="s">
        <v>295</v>
      </c>
      <c r="E148" s="383">
        <v>45108</v>
      </c>
      <c r="F148" s="383">
        <v>45473</v>
      </c>
      <c r="G148" s="2161">
        <v>1127500</v>
      </c>
      <c r="H148" s="1730"/>
      <c r="I148" s="1711"/>
      <c r="J148" s="1711"/>
      <c r="K148" s="1711">
        <f>J148-I148</f>
        <v>0</v>
      </c>
      <c r="L148" s="1731" t="s">
        <v>732</v>
      </c>
      <c r="M148" s="1732"/>
      <c r="N148" s="1733"/>
      <c r="O148" s="1733"/>
      <c r="P148" s="1733">
        <f>O148-N148</f>
        <v>0</v>
      </c>
      <c r="Q148" s="1734" t="s">
        <v>732</v>
      </c>
      <c r="R148" s="1734"/>
      <c r="S148" s="1711"/>
      <c r="T148" s="1711"/>
      <c r="U148" s="1711">
        <f>T148-S148</f>
        <v>0</v>
      </c>
      <c r="V148" s="1731" t="s">
        <v>732</v>
      </c>
      <c r="W148" s="1759">
        <v>61</v>
      </c>
      <c r="X148" s="1711">
        <v>1245239</v>
      </c>
      <c r="Y148" s="1728">
        <v>1360000</v>
      </c>
      <c r="Z148" s="1711">
        <f>Y148-X148</f>
        <v>114761</v>
      </c>
      <c r="AA148" s="1731">
        <f>Z148/Y148</f>
        <v>8.4383088235294113E-2</v>
      </c>
      <c r="AB148" s="1736">
        <v>51</v>
      </c>
      <c r="AC148" s="1735">
        <v>1187605</v>
      </c>
      <c r="AD148" s="1772">
        <v>1360000</v>
      </c>
      <c r="AE148" s="1711">
        <f>AD148-AC148</f>
        <v>172395</v>
      </c>
      <c r="AF148" s="1731">
        <f>AE148/AD148</f>
        <v>0.1267610294117647</v>
      </c>
      <c r="AG148" s="1729">
        <v>51</v>
      </c>
      <c r="AH148" s="1711">
        <v>1214731</v>
      </c>
      <c r="AI148" s="1764">
        <v>1360000</v>
      </c>
      <c r="AJ148" s="1718">
        <f>AI148-AH148</f>
        <v>145269</v>
      </c>
      <c r="AK148" s="1731">
        <f>AJ148/AI148</f>
        <v>0.10681544117647059</v>
      </c>
      <c r="AL148" s="1729">
        <v>50</v>
      </c>
      <c r="AM148" s="1711">
        <f>1180546+6666</f>
        <v>1187212</v>
      </c>
      <c r="AN148" s="1711">
        <v>1360000</v>
      </c>
      <c r="AO148" s="1728">
        <f>AN148-AM148</f>
        <v>172788</v>
      </c>
      <c r="AP148" s="1731">
        <f>AO148/AN148</f>
        <v>0.12705</v>
      </c>
      <c r="AQ148" s="1737">
        <v>52</v>
      </c>
      <c r="AR148" s="1764">
        <f>1245043+12000+32214</f>
        <v>1289257</v>
      </c>
      <c r="AS148" s="1764">
        <v>1360000</v>
      </c>
      <c r="AT148" s="1738">
        <f>AS148-AR148</f>
        <v>70743</v>
      </c>
      <c r="AU148" s="1731">
        <f>AT148/AS148</f>
        <v>5.2016911764705881E-2</v>
      </c>
      <c r="AV148" s="1739">
        <v>52</v>
      </c>
      <c r="AW148" s="1764">
        <v>1314675</v>
      </c>
      <c r="AX148" s="1764">
        <v>1360000</v>
      </c>
      <c r="AY148" s="1728">
        <f>AX148-AW148</f>
        <v>45325</v>
      </c>
      <c r="AZ148" s="1731">
        <f>AY148/AX148</f>
        <v>3.3327205882352939E-2</v>
      </c>
      <c r="BA148" s="1740">
        <v>55</v>
      </c>
      <c r="BB148" s="1735">
        <v>1327017</v>
      </c>
      <c r="BC148" s="1711">
        <v>1360000</v>
      </c>
      <c r="BD148" s="1728">
        <f>BC148-BB148</f>
        <v>32983</v>
      </c>
      <c r="BE148" s="1734">
        <f>BD148/BC148</f>
        <v>2.425220588235294E-2</v>
      </c>
      <c r="BF148" s="1739">
        <v>50</v>
      </c>
      <c r="BG148" s="1728">
        <v>1225311</v>
      </c>
      <c r="BH148" s="1711">
        <v>1360000</v>
      </c>
      <c r="BI148" s="1728">
        <f>BH148-BG148</f>
        <v>134689</v>
      </c>
      <c r="BJ148" s="1734">
        <f>BI148/BH148</f>
        <v>9.9036029411764703E-2</v>
      </c>
      <c r="BK148" s="1739">
        <v>50</v>
      </c>
      <c r="BL148" s="1735">
        <f>1179754+11613</f>
        <v>1191367</v>
      </c>
      <c r="BM148" s="1761">
        <v>1360000</v>
      </c>
      <c r="BN148" s="1728">
        <f>BM148-BL148</f>
        <v>168633</v>
      </c>
      <c r="BO148" s="1742">
        <f>BN148/BM148</f>
        <v>0.12399485294117647</v>
      </c>
      <c r="BP148" s="1709">
        <f>(AV148+AQ148+AL148+AG148+AB148+W148+R148+M148+H148+BA148+BF148+BK148)/12</f>
        <v>39.333333333333336</v>
      </c>
      <c r="BQ148" s="1743">
        <f>AW148+AR148+AM148+AH148+AC148+X148+S148+N148+I148+BB148+BG148+BL148</f>
        <v>11182414</v>
      </c>
      <c r="BR148" s="1718">
        <f>AX148+AS148+AN148+AI148+AD148+Y148+T148+O148+J148+BC148+BH148+BM148</f>
        <v>12240000</v>
      </c>
      <c r="BS148" s="1744">
        <f>BR148-BQ148</f>
        <v>1057586</v>
      </c>
      <c r="BT148" s="1745">
        <f>H148+M148+R148</f>
        <v>0</v>
      </c>
      <c r="BU148" s="1718">
        <f>J148+O148+T148</f>
        <v>0</v>
      </c>
      <c r="BV148" s="1718">
        <f>K148+P148+U148</f>
        <v>0</v>
      </c>
      <c r="BW148" s="1746"/>
      <c r="BX148" s="1747">
        <f>W148+AB148+AG148</f>
        <v>163</v>
      </c>
      <c r="BY148" s="1718">
        <f>Y148+AD148+AI148</f>
        <v>4080000</v>
      </c>
      <c r="BZ148" s="1718">
        <f>Z148+AE148+AJ148</f>
        <v>432425</v>
      </c>
      <c r="CA148" s="1748"/>
      <c r="CB148" s="1749">
        <f>AL148+AQ148+AV148</f>
        <v>154</v>
      </c>
      <c r="CC148" s="1718">
        <f>AN148+AS148+AX148</f>
        <v>4080000</v>
      </c>
      <c r="CD148" s="1718">
        <f>AO148+AT148+AY148</f>
        <v>288856</v>
      </c>
      <c r="CE148" s="1750"/>
      <c r="CF148" s="1747">
        <f>BA148+BF148+BK148</f>
        <v>155</v>
      </c>
      <c r="CG148" s="1711">
        <f>BC148+BH148+BM148</f>
        <v>4080000</v>
      </c>
      <c r="CH148" s="1711">
        <f>BD148+BI148+BN148</f>
        <v>336305</v>
      </c>
      <c r="CI148" s="1748"/>
      <c r="CJ148" s="1763">
        <f>47+1</f>
        <v>48</v>
      </c>
      <c r="CK148" s="1735">
        <f>1078300+12000</f>
        <v>1090300</v>
      </c>
      <c r="CL148" s="1741">
        <v>1340145.99</v>
      </c>
      <c r="CM148" s="1711">
        <f>CL148-CK148</f>
        <v>249845.99</v>
      </c>
      <c r="CN148" s="1746">
        <f>CM148/CL148</f>
        <v>0.18643192000298414</v>
      </c>
      <c r="CO148" s="1710">
        <v>49</v>
      </c>
      <c r="CP148" s="1711">
        <f>1105259+10081</f>
        <v>1115340</v>
      </c>
      <c r="CQ148" s="1711">
        <v>1292000</v>
      </c>
      <c r="CR148" s="1711">
        <f>CQ148-CP148</f>
        <v>176660</v>
      </c>
      <c r="CS148" s="1746">
        <f>CR148/CQ148</f>
        <v>0.13673374613003095</v>
      </c>
      <c r="CT148" s="1710">
        <v>51</v>
      </c>
      <c r="CU148" s="1735">
        <f>986689+43019</f>
        <v>1029708</v>
      </c>
      <c r="CV148" s="1711">
        <v>1292000</v>
      </c>
      <c r="CW148" s="1711">
        <f>CV148-CU148</f>
        <v>262292</v>
      </c>
      <c r="CX148" s="1746">
        <f>CW148/CV148</f>
        <v>0.20301238390092879</v>
      </c>
      <c r="CY148" s="1763">
        <f>59+4</f>
        <v>63</v>
      </c>
      <c r="CZ148" s="1735">
        <f>1357375+56165</f>
        <v>1413540</v>
      </c>
      <c r="DA148" s="1741">
        <v>1625000</v>
      </c>
      <c r="DB148" s="1711">
        <f>DA148-CZ148</f>
        <v>211460</v>
      </c>
      <c r="DC148" s="1746">
        <f>DB148/DA148</f>
        <v>0.13012923076923077</v>
      </c>
      <c r="DD148" s="1763">
        <f>64+4</f>
        <v>68</v>
      </c>
      <c r="DE148" s="1735">
        <f>1485712+53477</f>
        <v>1539189</v>
      </c>
      <c r="DF148" s="1741">
        <v>1625000</v>
      </c>
      <c r="DG148" s="1735">
        <f>DF148-DE148</f>
        <v>85811</v>
      </c>
      <c r="DH148" s="1712">
        <f>DG148/DF148</f>
        <v>5.2806769230769234E-2</v>
      </c>
      <c r="DI148" s="2568">
        <f>60+4</f>
        <v>64</v>
      </c>
      <c r="DJ148" s="1741">
        <f>1442038+55721</f>
        <v>1497759</v>
      </c>
      <c r="DK148" s="1741">
        <v>1625000</v>
      </c>
      <c r="DL148" s="1711">
        <f>DK148-DJ148</f>
        <v>127241</v>
      </c>
      <c r="DM148" s="1712">
        <f>DL148/DK148</f>
        <v>7.8302153846153841E-2</v>
      </c>
      <c r="DN148" s="2568">
        <v>63</v>
      </c>
      <c r="DO148" s="1741">
        <v>1470174</v>
      </c>
      <c r="DP148" s="1741">
        <v>1625000</v>
      </c>
      <c r="DQ148" s="1711">
        <f>DP148-DO148</f>
        <v>154826</v>
      </c>
      <c r="DR148" s="1712">
        <f>DQ148/DP148</f>
        <v>9.5277538461538455E-2</v>
      </c>
      <c r="DS148" s="2568">
        <v>66</v>
      </c>
      <c r="DT148" s="1741">
        <f>1494882+2000</f>
        <v>1496882</v>
      </c>
      <c r="DU148" s="1741">
        <v>1625000</v>
      </c>
      <c r="DV148" s="1711">
        <f>DU148-DT148</f>
        <v>128118</v>
      </c>
      <c r="DW148" s="1746">
        <f>DV148/DU148</f>
        <v>7.8841846153846151E-2</v>
      </c>
      <c r="DX148" s="1710">
        <v>73</v>
      </c>
      <c r="DY148" s="1711">
        <f>1469954+4016</f>
        <v>1473970</v>
      </c>
      <c r="DZ148" s="1711">
        <v>1625000</v>
      </c>
      <c r="EA148" s="1711">
        <f>DZ148-DY148</f>
        <v>151030</v>
      </c>
      <c r="EB148" s="1712">
        <f>EA148/DZ148</f>
        <v>9.2941538461538464E-2</v>
      </c>
      <c r="EC148" s="1710">
        <v>61</v>
      </c>
      <c r="ED148" s="1711">
        <v>1501612</v>
      </c>
      <c r="EE148" s="1711">
        <v>1625000</v>
      </c>
      <c r="EF148" s="1718">
        <f>EE148-ED148</f>
        <v>123388</v>
      </c>
      <c r="EG148" s="1712">
        <f>EF148/EE148</f>
        <v>7.5931076923076921E-2</v>
      </c>
      <c r="EH148" s="1710">
        <v>60</v>
      </c>
      <c r="EI148" s="1711">
        <v>1437756</v>
      </c>
      <c r="EJ148" s="1711">
        <v>1625000</v>
      </c>
      <c r="EK148" s="1711">
        <f>EJ148-EI148</f>
        <v>187244</v>
      </c>
      <c r="EL148" s="1712">
        <f>EK148/EJ148</f>
        <v>0.11522707692307692</v>
      </c>
      <c r="EM148" s="1710">
        <v>61</v>
      </c>
      <c r="EN148" s="1711">
        <v>1446794</v>
      </c>
      <c r="EO148" s="1711">
        <v>1625000</v>
      </c>
      <c r="EP148" s="1711">
        <f>EO148-EN148</f>
        <v>178206</v>
      </c>
      <c r="EQ148" s="1712">
        <f>EP148/EO148</f>
        <v>0.10966523076923076</v>
      </c>
      <c r="ER148" s="1713">
        <f t="shared" si="585"/>
        <v>60.583333333333336</v>
      </c>
      <c r="ES148" s="1714">
        <f t="shared" si="586"/>
        <v>16513024</v>
      </c>
      <c r="ET148" s="1714">
        <f t="shared" si="586"/>
        <v>18549145.990000002</v>
      </c>
      <c r="EU148" s="1714">
        <f t="shared" si="586"/>
        <v>2036121.99</v>
      </c>
      <c r="EV148" s="1715">
        <f t="shared" si="587"/>
        <v>0.10976904225659177</v>
      </c>
      <c r="EW148" s="1717">
        <f>(CJ148+CO148+CT148)/3</f>
        <v>49.333333333333336</v>
      </c>
      <c r="EX148" s="1711">
        <f>CL148+CQ148+CV148</f>
        <v>3924145.99</v>
      </c>
      <c r="EY148" s="1711">
        <f>CM148+CR148+CW148</f>
        <v>688797.99</v>
      </c>
      <c r="EZ148" s="1753">
        <f>EY148/EX148</f>
        <v>0.17552812554764302</v>
      </c>
      <c r="FA148" s="1765">
        <f>(CY148+DD148+DI148)/3</f>
        <v>65</v>
      </c>
      <c r="FB148" s="1718">
        <f>DK148+DF148+DA148</f>
        <v>4875000</v>
      </c>
      <c r="FC148" s="1718">
        <f>DL148+DG148+DB148</f>
        <v>424512</v>
      </c>
      <c r="FD148" s="1746">
        <f>FC148/FB148</f>
        <v>8.7079384615384614E-2</v>
      </c>
      <c r="FE148" s="1717">
        <f>(DN148+DS148+DX148)/3</f>
        <v>67.333333333333329</v>
      </c>
      <c r="FF148" s="1718">
        <f>DP148+DU148+DZ148</f>
        <v>4875000</v>
      </c>
      <c r="FG148" s="1718">
        <f>DQ148+DV148+EA148</f>
        <v>433974</v>
      </c>
      <c r="FH148" s="1753">
        <f>FG148/FF148</f>
        <v>8.902030769230769E-2</v>
      </c>
      <c r="FI148" s="1716">
        <f>(EC148+EH148+EM148)/3</f>
        <v>60.666666666666664</v>
      </c>
      <c r="FJ148" s="1717"/>
      <c r="FK148" s="1718">
        <f>EE148+EJ148+EO148</f>
        <v>4875000</v>
      </c>
      <c r="FL148" s="1718">
        <f>EF148+EK148+EP148</f>
        <v>488838</v>
      </c>
      <c r="FM148" s="1746">
        <f>FL148/FK148</f>
        <v>0.10027446153846153</v>
      </c>
      <c r="FN148" s="1754">
        <v>60</v>
      </c>
      <c r="FO148" s="1719">
        <v>1490203</v>
      </c>
      <c r="FP148" s="1719">
        <v>1625000</v>
      </c>
      <c r="FQ148" s="1719">
        <f>FP148-FO148</f>
        <v>134797</v>
      </c>
      <c r="FR148" s="1720">
        <f>FQ148/FP148</f>
        <v>8.2951999999999998E-2</v>
      </c>
      <c r="FS148" s="1755">
        <v>58</v>
      </c>
      <c r="FT148" s="1719">
        <v>1375497.5483870967</v>
      </c>
      <c r="FU148" s="1719">
        <v>1625000</v>
      </c>
      <c r="FV148" s="1719">
        <f>FU148-FT148</f>
        <v>249502.45161290327</v>
      </c>
      <c r="FW148" s="1721">
        <f>FV148/FU148</f>
        <v>0.15353997022332508</v>
      </c>
      <c r="FX148" s="1755">
        <v>58</v>
      </c>
      <c r="FY148" s="1756">
        <v>1265691</v>
      </c>
      <c r="FZ148" s="1756">
        <v>1625000</v>
      </c>
      <c r="GA148" s="1719">
        <f>FZ148-FY148</f>
        <v>359309</v>
      </c>
      <c r="GB148" s="1721">
        <f>GA148/FZ148</f>
        <v>0.22111323076923076</v>
      </c>
      <c r="GC148" s="1722">
        <v>56</v>
      </c>
      <c r="GD148" s="1096">
        <v>1325657</v>
      </c>
      <c r="GE148" s="1096">
        <v>1495000</v>
      </c>
      <c r="GF148" s="1719">
        <f>GE148-GD148</f>
        <v>169343</v>
      </c>
      <c r="GG148" s="1721">
        <f>GF148/GE148</f>
        <v>0.11327290969899666</v>
      </c>
      <c r="GH148" s="1722">
        <v>53</v>
      </c>
      <c r="GI148" s="1096">
        <v>1276878</v>
      </c>
      <c r="GJ148" s="1096">
        <v>1495000</v>
      </c>
      <c r="GK148" s="1719">
        <f>GJ148-GI148</f>
        <v>218122</v>
      </c>
      <c r="GL148" s="1721">
        <f>GK148/GJ148</f>
        <v>0.14590100334448161</v>
      </c>
      <c r="GM148" s="1722">
        <v>53</v>
      </c>
      <c r="GN148" s="1096">
        <v>1286685</v>
      </c>
      <c r="GO148" s="1096">
        <v>1495000</v>
      </c>
      <c r="GP148" s="1719">
        <f>GO148-GN148</f>
        <v>208315</v>
      </c>
      <c r="GQ148" s="1721">
        <f>GP148/GO148</f>
        <v>0.13934113712374582</v>
      </c>
      <c r="GR148" s="1722">
        <v>54</v>
      </c>
      <c r="GS148" s="1096">
        <v>1336769</v>
      </c>
      <c r="GT148" s="1096">
        <v>1495000</v>
      </c>
      <c r="GU148" s="1719">
        <f>GT148-GS148</f>
        <v>158231</v>
      </c>
      <c r="GV148" s="1721">
        <f>GU148/GT148</f>
        <v>0.10584013377926421</v>
      </c>
      <c r="GW148" s="1722">
        <v>55</v>
      </c>
      <c r="GX148" s="1096">
        <v>1300092</v>
      </c>
      <c r="GY148" s="1096">
        <v>1495000</v>
      </c>
      <c r="GZ148" s="1719">
        <f>GY148-GX148</f>
        <v>194908</v>
      </c>
      <c r="HA148" s="1721">
        <f>GZ148/GY148</f>
        <v>0.1303732441471572</v>
      </c>
      <c r="HB148" s="1722">
        <v>52</v>
      </c>
      <c r="HC148" s="1096">
        <v>1311714</v>
      </c>
      <c r="HD148" s="1096">
        <v>1495000</v>
      </c>
      <c r="HE148" s="1719">
        <f>HD148-HC148</f>
        <v>183286</v>
      </c>
      <c r="HF148" s="1721">
        <f>HE148/HD148</f>
        <v>0.12259933110367893</v>
      </c>
      <c r="HG148" s="1722">
        <v>50</v>
      </c>
      <c r="HH148" s="1096">
        <v>1289670</v>
      </c>
      <c r="HI148" s="1096">
        <v>1495000</v>
      </c>
      <c r="HJ148" s="1719">
        <f>HI148-HH148</f>
        <v>205330</v>
      </c>
      <c r="HK148" s="1721">
        <f>HJ148/HI148</f>
        <v>0.13734448160535118</v>
      </c>
      <c r="HL148" s="1722">
        <v>51</v>
      </c>
      <c r="HM148" s="1096">
        <v>1308670</v>
      </c>
      <c r="HN148" s="1096">
        <v>1046499.9999999999</v>
      </c>
      <c r="HO148" s="1987">
        <f>HN148-HM148</f>
        <v>-262170.00000000012</v>
      </c>
      <c r="HP148" s="1721">
        <f>HO148/HN148</f>
        <v>-0.25052078356426194</v>
      </c>
      <c r="HQ148" s="594">
        <v>47</v>
      </c>
      <c r="HR148" s="264">
        <v>1024628.2200000002</v>
      </c>
      <c r="HS148" s="264">
        <v>1046499.9999999999</v>
      </c>
      <c r="HT148" s="264">
        <f>HS148-HR148</f>
        <v>21871.779999999679</v>
      </c>
      <c r="HU148" s="1933">
        <f>HT148/HS148</f>
        <v>2.0899933110367589E-2</v>
      </c>
      <c r="HV148" s="2008">
        <f t="shared" si="588"/>
        <v>53.916666666666664</v>
      </c>
      <c r="HW148" s="208">
        <f t="shared" si="589"/>
        <v>15592154.768387098</v>
      </c>
      <c r="HX148" s="208">
        <f t="shared" si="589"/>
        <v>17433000</v>
      </c>
      <c r="HY148" s="208">
        <f t="shared" si="589"/>
        <v>1840845.2316129031</v>
      </c>
      <c r="HZ148" s="2009"/>
      <c r="IA148" s="1934">
        <f>(FN148+FS148+FX148)/3</f>
        <v>58.666666666666664</v>
      </c>
      <c r="IB148" s="1855">
        <f>FP148+FU148+FZ148</f>
        <v>4875000</v>
      </c>
      <c r="IC148" s="1855">
        <f>FQ148+FV148+GA148</f>
        <v>743608.45161290327</v>
      </c>
      <c r="ID148" s="1856">
        <f>IC148/IB148</f>
        <v>0.15253506699751862</v>
      </c>
      <c r="IE148" s="1857">
        <f>(GC148+GH148+GM148)/3</f>
        <v>54</v>
      </c>
      <c r="IF148" s="1858">
        <f>(GE148+GJ148+GO148)</f>
        <v>4485000</v>
      </c>
      <c r="IG148" s="1854">
        <f>(GF148+GK148+GP148)</f>
        <v>595780</v>
      </c>
      <c r="IH148" s="1856">
        <f>IG148/IF148</f>
        <v>0.13283835005574135</v>
      </c>
      <c r="II148" s="1859">
        <f>(GR148+GW148+HB148)/3</f>
        <v>53.666666666666664</v>
      </c>
      <c r="IJ148" s="1727">
        <f>(GT148+GY148+HD148)</f>
        <v>4485000</v>
      </c>
      <c r="IK148" s="1727">
        <f>(GU148+GZ148+HE148)</f>
        <v>536425</v>
      </c>
      <c r="IL148" s="151">
        <f>IK148/IJ148</f>
        <v>0.11960423634336678</v>
      </c>
      <c r="IM148" s="1860">
        <f>(HB148+HG148+HL148)/3</f>
        <v>51</v>
      </c>
      <c r="IN148" s="1727">
        <f>(HI148+HN148+HS148)</f>
        <v>3588000</v>
      </c>
      <c r="IO148" s="1727">
        <f>(HJ148+HO148+HT148)</f>
        <v>-34968.220000000438</v>
      </c>
      <c r="IP148" s="1861">
        <f>IO148/IN148</f>
        <v>-9.7458807134895315E-3</v>
      </c>
      <c r="IQ148" s="69"/>
      <c r="IR148" s="1935">
        <v>49</v>
      </c>
      <c r="IS148" s="1719">
        <v>1218192</v>
      </c>
      <c r="IT148" s="1719">
        <v>1495000</v>
      </c>
      <c r="IU148" s="1719">
        <f>IT148-IS148</f>
        <v>276808</v>
      </c>
      <c r="IV148" s="1720">
        <f>IU148/IT148</f>
        <v>0.18515585284280936</v>
      </c>
      <c r="IW148" s="1755">
        <v>49</v>
      </c>
      <c r="IX148" s="1719">
        <v>1310708</v>
      </c>
      <c r="IY148" s="1719">
        <v>1495000</v>
      </c>
      <c r="IZ148" s="1719">
        <f>IY148-IX148</f>
        <v>184292</v>
      </c>
      <c r="JA148" s="1721">
        <f>IZ148/IY148</f>
        <v>0.12327224080267558</v>
      </c>
      <c r="JB148" s="1757">
        <v>48</v>
      </c>
      <c r="JC148" s="1841">
        <v>1405828</v>
      </c>
      <c r="JD148" s="1842">
        <v>1495000</v>
      </c>
      <c r="JE148" s="1719">
        <f>JD148-JC148</f>
        <v>89172</v>
      </c>
      <c r="JF148" s="1721">
        <f>JE148/JD148</f>
        <v>5.9646822742474917E-2</v>
      </c>
      <c r="JG148" s="2569">
        <v>48</v>
      </c>
      <c r="JH148" s="2570">
        <v>1366561</v>
      </c>
      <c r="JI148" s="2570">
        <v>1330550</v>
      </c>
      <c r="JJ148" s="2571">
        <f>JI148-JH148</f>
        <v>-36011</v>
      </c>
      <c r="JK148" s="2572">
        <f>JJ148/JI148</f>
        <v>-2.7064747660741798E-2</v>
      </c>
      <c r="JL148" s="1722">
        <v>51</v>
      </c>
      <c r="JM148" s="1096">
        <v>1306426.7419354839</v>
      </c>
      <c r="JN148" s="1096">
        <v>1330550</v>
      </c>
      <c r="JO148" s="1845">
        <f>JN148-JM148</f>
        <v>24123.258064516122</v>
      </c>
      <c r="JP148" s="1721">
        <f>JO148/JN148</f>
        <v>1.8130290529868191E-2</v>
      </c>
      <c r="JQ148" s="1844">
        <v>51</v>
      </c>
      <c r="JR148" s="972">
        <f>1275332-80833</f>
        <v>1194499</v>
      </c>
      <c r="JS148" s="264">
        <v>1330550</v>
      </c>
      <c r="JT148" s="1845">
        <f>JS148-JR148</f>
        <v>136051</v>
      </c>
      <c r="JU148" s="1721">
        <f>JT148/JS148</f>
        <v>0.10225170042463642</v>
      </c>
      <c r="JV148" s="1758">
        <v>52</v>
      </c>
      <c r="JW148" s="1096">
        <v>1176126.5483870967</v>
      </c>
      <c r="JX148" s="264">
        <v>1330550</v>
      </c>
      <c r="JY148" s="1845">
        <f>JX148-JW148</f>
        <v>154423.45161290327</v>
      </c>
      <c r="JZ148" s="1721">
        <f>JY148/JX148</f>
        <v>0.11605986367509923</v>
      </c>
      <c r="KA148" s="1758">
        <v>46</v>
      </c>
      <c r="KB148" s="264">
        <v>1127961.6666666667</v>
      </c>
      <c r="KC148" s="972">
        <v>1330550</v>
      </c>
      <c r="KD148" s="964">
        <f>KC148-KB148</f>
        <v>202588.33333333326</v>
      </c>
      <c r="KE148" s="1848">
        <f>KD148/KC148</f>
        <v>0.15225909085215381</v>
      </c>
      <c r="KF148" s="1758">
        <v>51</v>
      </c>
      <c r="KG148" s="264">
        <v>1234709.9677419355</v>
      </c>
      <c r="KH148" s="1096">
        <v>1330550</v>
      </c>
      <c r="KI148" s="1719">
        <f>KH148-KG148</f>
        <v>95840.032258064486</v>
      </c>
      <c r="KJ148" s="1721">
        <f>KI148/KH148</f>
        <v>7.2030387627721237E-2</v>
      </c>
      <c r="KK148" s="1849">
        <v>50</v>
      </c>
      <c r="KL148" s="1850">
        <v>1263660.4838709678</v>
      </c>
      <c r="KM148" s="1850">
        <v>1330550</v>
      </c>
      <c r="KN148" s="1851">
        <f t="shared" si="590"/>
        <v>66889.516129032243</v>
      </c>
      <c r="KO148" s="1852">
        <f>KN148/KM148</f>
        <v>5.0272080063907591E-2</v>
      </c>
      <c r="KP148" s="1722">
        <v>49</v>
      </c>
      <c r="KQ148" s="972">
        <v>1187070</v>
      </c>
      <c r="KR148" s="264">
        <v>1330550</v>
      </c>
      <c r="KS148" s="1845">
        <f t="shared" si="591"/>
        <v>143480</v>
      </c>
      <c r="KT148" s="1720">
        <f>KS148/KR148</f>
        <v>0.10783510578332269</v>
      </c>
      <c r="KU148" s="1853">
        <v>51</v>
      </c>
      <c r="KV148" s="264">
        <v>1211900</v>
      </c>
      <c r="KW148" s="264">
        <v>1330550</v>
      </c>
      <c r="KX148" s="264">
        <f t="shared" si="592"/>
        <v>118650</v>
      </c>
      <c r="KY148" s="75">
        <f t="shared" si="593"/>
        <v>8.9173649994363238E-2</v>
      </c>
      <c r="KZ148" s="1857">
        <v>51</v>
      </c>
      <c r="LA148" s="358">
        <f t="shared" si="594"/>
        <v>15003643.408602152</v>
      </c>
      <c r="LB148" s="358">
        <f t="shared" si="594"/>
        <v>16459950</v>
      </c>
      <c r="LC148" s="358">
        <f t="shared" si="594"/>
        <v>1456306.5913978494</v>
      </c>
      <c r="LD148" s="151">
        <f t="shared" si="595"/>
        <v>8.8475760339360041E-2</v>
      </c>
      <c r="LE148" s="1854">
        <f t="shared" si="596"/>
        <v>48.666666666666664</v>
      </c>
      <c r="LF148" s="1855">
        <f t="shared" si="597"/>
        <v>4485000</v>
      </c>
      <c r="LG148" s="1855">
        <f t="shared" si="597"/>
        <v>550272</v>
      </c>
      <c r="LH148" s="1856">
        <f t="shared" si="598"/>
        <v>0.12269163879598662</v>
      </c>
      <c r="LI148" s="1857">
        <f t="shared" si="599"/>
        <v>50</v>
      </c>
      <c r="LJ148" s="1858">
        <f t="shared" si="600"/>
        <v>3991650</v>
      </c>
      <c r="LK148" s="1854">
        <f t="shared" si="600"/>
        <v>124163.25806451612</v>
      </c>
      <c r="LL148" s="1856">
        <f>LK148/LJ148</f>
        <v>3.1105747764587608E-2</v>
      </c>
      <c r="LM148" s="1859">
        <f t="shared" si="601"/>
        <v>49.666666666666664</v>
      </c>
      <c r="LN148" s="1727">
        <f t="shared" si="602"/>
        <v>3991650</v>
      </c>
      <c r="LO148" s="1727">
        <f t="shared" si="602"/>
        <v>452851.81720430101</v>
      </c>
      <c r="LP148" s="151">
        <f>LO148/LN148</f>
        <v>0.11344978071832476</v>
      </c>
      <c r="LQ148" s="1860">
        <f t="shared" si="603"/>
        <v>50</v>
      </c>
      <c r="LR148" s="1727">
        <f t="shared" si="604"/>
        <v>3991650</v>
      </c>
      <c r="LS148" s="1727">
        <f t="shared" si="604"/>
        <v>329019.51612903224</v>
      </c>
      <c r="LT148" s="1861">
        <f t="shared" si="605"/>
        <v>8.2426945280531169E-2</v>
      </c>
      <c r="LV148" s="439">
        <v>46</v>
      </c>
      <c r="LW148" s="208">
        <v>1180191</v>
      </c>
      <c r="LX148" s="208">
        <v>1330550</v>
      </c>
      <c r="LY148" s="96">
        <f t="shared" si="606"/>
        <v>150359</v>
      </c>
      <c r="LZ148" s="78">
        <f t="shared" si="607"/>
        <v>0.11300514824696554</v>
      </c>
      <c r="MA148" s="1862">
        <v>51</v>
      </c>
      <c r="MB148" s="265">
        <v>1158687.9677419399</v>
      </c>
      <c r="MC148" s="265">
        <v>1330550</v>
      </c>
      <c r="MD148" s="371">
        <f t="shared" si="608"/>
        <v>171862.03225806006</v>
      </c>
      <c r="ME148" s="157">
        <f t="shared" si="609"/>
        <v>0.12916615854951716</v>
      </c>
      <c r="MF148" s="439">
        <v>53</v>
      </c>
      <c r="MG148" s="208">
        <v>1311541</v>
      </c>
      <c r="MH148" s="208">
        <v>1330550</v>
      </c>
      <c r="MI148" s="371">
        <f t="shared" si="610"/>
        <v>19009</v>
      </c>
      <c r="MJ148" s="157">
        <f t="shared" si="611"/>
        <v>1.4286573221600091E-2</v>
      </c>
      <c r="MK148" s="354">
        <v>50</v>
      </c>
      <c r="ML148" s="208">
        <v>1222209</v>
      </c>
      <c r="MM148" s="208">
        <v>1330550</v>
      </c>
      <c r="MN148" s="371">
        <f t="shared" si="612"/>
        <v>108341</v>
      </c>
      <c r="MO148" s="157">
        <f t="shared" si="613"/>
        <v>8.1425726203449705E-2</v>
      </c>
      <c r="MP148" s="1578">
        <v>50</v>
      </c>
      <c r="MQ148" s="264">
        <v>1214536</v>
      </c>
      <c r="MR148" s="264">
        <v>1330550</v>
      </c>
      <c r="MS148" s="264">
        <f t="shared" si="614"/>
        <v>116014</v>
      </c>
      <c r="MT148" s="597">
        <f t="shared" si="615"/>
        <v>8.719251437375522E-2</v>
      </c>
      <c r="MU148" s="209">
        <v>51</v>
      </c>
      <c r="MV148" s="208">
        <v>1264819</v>
      </c>
      <c r="MW148" s="208">
        <v>1330550</v>
      </c>
      <c r="MX148" s="208">
        <f t="shared" si="616"/>
        <v>65731</v>
      </c>
      <c r="MY148" s="597">
        <f t="shared" si="617"/>
        <v>4.9401375371087144E-2</v>
      </c>
      <c r="MZ148" s="209">
        <v>45</v>
      </c>
      <c r="NA148" s="208">
        <v>1159910</v>
      </c>
      <c r="NB148" s="208">
        <v>1330550</v>
      </c>
      <c r="NC148" s="208">
        <f t="shared" si="618"/>
        <v>170640</v>
      </c>
      <c r="ND148" s="597">
        <f t="shared" si="619"/>
        <v>0.128247717109466</v>
      </c>
      <c r="NE148" s="209">
        <v>47</v>
      </c>
      <c r="NF148" s="208">
        <v>1174757</v>
      </c>
      <c r="NG148" s="208">
        <v>1330550</v>
      </c>
      <c r="NH148" s="208">
        <f t="shared" si="620"/>
        <v>155793</v>
      </c>
      <c r="NI148" s="597">
        <f t="shared" si="621"/>
        <v>0.11708917364999437</v>
      </c>
      <c r="NJ148" s="209">
        <v>48</v>
      </c>
      <c r="NK148" s="208">
        <v>1239290.7096774194</v>
      </c>
      <c r="NL148" s="208">
        <v>1330550</v>
      </c>
      <c r="NM148" s="208">
        <f t="shared" si="622"/>
        <v>91259.290322580608</v>
      </c>
      <c r="NN148" s="597">
        <f t="shared" si="623"/>
        <v>6.8587644449724261E-2</v>
      </c>
      <c r="NO148" s="402">
        <v>49</v>
      </c>
      <c r="NP148" s="358">
        <v>1239638</v>
      </c>
      <c r="NQ148" s="358">
        <v>1330550</v>
      </c>
      <c r="NR148" s="208">
        <f t="shared" si="624"/>
        <v>90912</v>
      </c>
      <c r="NS148" s="597">
        <f t="shared" si="625"/>
        <v>6.8326631843974292E-2</v>
      </c>
      <c r="NT148" s="402">
        <v>46</v>
      </c>
      <c r="NU148" s="358">
        <v>1152954.5714285714</v>
      </c>
      <c r="NV148" s="358">
        <v>1330550</v>
      </c>
      <c r="NW148" s="208">
        <f t="shared" si="626"/>
        <v>177595.42857142864</v>
      </c>
      <c r="NX148" s="597">
        <f t="shared" si="627"/>
        <v>0.1334752009104721</v>
      </c>
      <c r="NY148" s="402">
        <v>47</v>
      </c>
      <c r="NZ148" s="358">
        <f>1186295+29167</f>
        <v>1215462</v>
      </c>
      <c r="OA148" s="358">
        <v>1330550</v>
      </c>
      <c r="OB148" s="772">
        <f t="shared" si="628"/>
        <v>115088</v>
      </c>
      <c r="OC148" s="659">
        <f t="shared" si="629"/>
        <v>8.6496561572282138E-2</v>
      </c>
      <c r="OD148" s="191">
        <v>47</v>
      </c>
      <c r="OE148" s="358">
        <f t="shared" si="630"/>
        <v>14533996.248847932</v>
      </c>
      <c r="OF148" s="358">
        <f t="shared" si="630"/>
        <v>15966600</v>
      </c>
      <c r="OG148" s="358">
        <f t="shared" si="630"/>
        <v>1432603.7511520693</v>
      </c>
      <c r="OH148" s="220">
        <f t="shared" si="631"/>
        <v>8.9725035458524005E-2</v>
      </c>
      <c r="OI148" s="1863">
        <f t="shared" si="632"/>
        <v>50</v>
      </c>
      <c r="OJ148" s="105">
        <f t="shared" si="633"/>
        <v>3650419.9677419402</v>
      </c>
      <c r="OK148" s="105">
        <f t="shared" si="633"/>
        <v>3991650</v>
      </c>
      <c r="OL148" s="105">
        <f t="shared" si="633"/>
        <v>341230.03225806006</v>
      </c>
      <c r="OM148" s="106">
        <f t="shared" si="634"/>
        <v>8.5485960006027595E-2</v>
      </c>
      <c r="ON148" s="358">
        <f t="shared" si="635"/>
        <v>50.333333333333336</v>
      </c>
      <c r="OO148" s="358">
        <f t="shared" si="636"/>
        <v>3701564</v>
      </c>
      <c r="OP148" s="358">
        <f t="shared" si="636"/>
        <v>3991650</v>
      </c>
      <c r="OQ148" s="359">
        <f t="shared" si="636"/>
        <v>290086</v>
      </c>
      <c r="OR148" s="169">
        <f t="shared" si="637"/>
        <v>7.2673205316097347E-2</v>
      </c>
      <c r="OS148" s="686">
        <f t="shared" si="638"/>
        <v>46.666666666666664</v>
      </c>
      <c r="OT148" s="146">
        <f t="shared" si="639"/>
        <v>3573957.7096774196</v>
      </c>
      <c r="OU148" s="146">
        <f t="shared" si="639"/>
        <v>3991650</v>
      </c>
      <c r="OV148" s="1864">
        <f t="shared" si="639"/>
        <v>417692.29032258061</v>
      </c>
      <c r="OW148" s="203">
        <f t="shared" si="640"/>
        <v>0.10464151173639488</v>
      </c>
      <c r="OX148" s="357">
        <v>47</v>
      </c>
      <c r="OY148" s="358">
        <f t="shared" si="641"/>
        <v>3608054.5714285714</v>
      </c>
      <c r="OZ148" s="358">
        <f t="shared" si="641"/>
        <v>3991650</v>
      </c>
      <c r="PA148" s="359">
        <f t="shared" si="641"/>
        <v>383595.42857142864</v>
      </c>
      <c r="PB148" s="114">
        <f t="shared" si="642"/>
        <v>9.6099464775576168E-2</v>
      </c>
      <c r="PC148" s="79"/>
      <c r="PD148" s="439">
        <v>43</v>
      </c>
      <c r="PE148" s="208">
        <v>1095192</v>
      </c>
      <c r="PF148" s="208">
        <v>1210800.5</v>
      </c>
      <c r="PG148" s="96">
        <f t="shared" si="643"/>
        <v>115608.5</v>
      </c>
      <c r="PH148" s="224">
        <f t="shared" si="644"/>
        <v>9.5481047455794735E-2</v>
      </c>
      <c r="PI148" s="1862">
        <v>43</v>
      </c>
      <c r="PJ148" s="265">
        <v>1127046</v>
      </c>
      <c r="PK148" s="265">
        <v>1210800.5</v>
      </c>
      <c r="PL148" s="371">
        <f t="shared" si="529"/>
        <v>83754.5</v>
      </c>
      <c r="PM148" s="157">
        <f t="shared" si="530"/>
        <v>6.9172832353471936E-2</v>
      </c>
      <c r="PN148" s="439">
        <v>43</v>
      </c>
      <c r="PO148" s="208">
        <v>1130626.6666666667</v>
      </c>
      <c r="PP148" s="208">
        <v>1210800.5</v>
      </c>
      <c r="PQ148" s="371">
        <f t="shared" si="531"/>
        <v>80173.833333333256</v>
      </c>
      <c r="PR148" s="157">
        <f t="shared" si="532"/>
        <v>6.621556014664122E-2</v>
      </c>
      <c r="PS148" s="2573">
        <v>37</v>
      </c>
      <c r="PT148" s="395">
        <v>1075723</v>
      </c>
      <c r="PU148" s="395">
        <v>1127500</v>
      </c>
      <c r="PV148" s="372">
        <f t="shared" si="533"/>
        <v>51777</v>
      </c>
      <c r="PW148" s="207">
        <f t="shared" si="534"/>
        <v>4.5921951219512196E-2</v>
      </c>
      <c r="PX148" s="1578">
        <v>41</v>
      </c>
      <c r="PY148" s="264">
        <v>1067456.1935483871</v>
      </c>
      <c r="PZ148" s="264">
        <v>1127500</v>
      </c>
      <c r="QA148" s="264">
        <f t="shared" si="535"/>
        <v>60043.806451612851</v>
      </c>
      <c r="QB148" s="597">
        <f t="shared" si="536"/>
        <v>5.3253930334024702E-2</v>
      </c>
      <c r="QC148" s="209">
        <v>40</v>
      </c>
      <c r="QD148" s="208">
        <v>1037353</v>
      </c>
      <c r="QE148" s="208">
        <v>1127500</v>
      </c>
      <c r="QF148" s="208">
        <f t="shared" si="537"/>
        <v>90147</v>
      </c>
      <c r="QG148" s="597">
        <f t="shared" si="538"/>
        <v>7.99529933481153E-2</v>
      </c>
      <c r="QH148" s="439">
        <v>42</v>
      </c>
      <c r="QI148" s="208">
        <v>1089070</v>
      </c>
      <c r="QJ148" s="208">
        <v>1127500</v>
      </c>
      <c r="QK148" s="208">
        <f t="shared" si="539"/>
        <v>38430</v>
      </c>
      <c r="QL148" s="597">
        <f t="shared" si="540"/>
        <v>3.4084257206208425E-2</v>
      </c>
      <c r="QM148" s="439">
        <v>40</v>
      </c>
      <c r="QN148" s="208">
        <v>1035248</v>
      </c>
      <c r="QO148" s="208">
        <v>1127500</v>
      </c>
      <c r="QP148" s="208">
        <f t="shared" si="541"/>
        <v>92252</v>
      </c>
      <c r="QQ148" s="1869">
        <f t="shared" si="542"/>
        <v>8.1819955654101995E-2</v>
      </c>
      <c r="QR148" s="209">
        <v>39</v>
      </c>
      <c r="QS148" s="208">
        <v>1014203</v>
      </c>
      <c r="QT148" s="208">
        <v>1127500</v>
      </c>
      <c r="QU148" s="208">
        <f t="shared" si="543"/>
        <v>113297</v>
      </c>
      <c r="QV148" s="75">
        <f t="shared" si="544"/>
        <v>0.10048514412416852</v>
      </c>
      <c r="QW148" s="156">
        <v>37</v>
      </c>
      <c r="QX148" s="2562">
        <v>1005747</v>
      </c>
      <c r="QY148" s="2562">
        <v>1127500</v>
      </c>
      <c r="QZ148" s="208">
        <f t="shared" si="545"/>
        <v>121753</v>
      </c>
      <c r="RA148" s="157">
        <f t="shared" si="546"/>
        <v>0.1079849223946785</v>
      </c>
      <c r="RB148" s="402">
        <v>37</v>
      </c>
      <c r="RC148" s="358">
        <v>1041280</v>
      </c>
      <c r="RD148" s="358">
        <v>1127500</v>
      </c>
      <c r="RE148" s="208">
        <f t="shared" si="547"/>
        <v>86220</v>
      </c>
      <c r="RF148" s="1313">
        <f t="shared" si="548"/>
        <v>7.647006651884701E-2</v>
      </c>
      <c r="RG148" s="1857">
        <v>42</v>
      </c>
      <c r="RH148" s="358">
        <v>1081979.3870967743</v>
      </c>
      <c r="RI148" s="358">
        <v>1127500</v>
      </c>
      <c r="RJ148" s="772">
        <f t="shared" si="549"/>
        <v>45520.612903225701</v>
      </c>
      <c r="RK148" s="659">
        <f t="shared" si="550"/>
        <v>4.0373049138115923E-2</v>
      </c>
      <c r="RL148" s="1567">
        <v>42</v>
      </c>
      <c r="RM148" s="1568">
        <f t="shared" si="551"/>
        <v>12800924.247311827</v>
      </c>
      <c r="RN148" s="1568">
        <f t="shared" si="551"/>
        <v>13779901.5</v>
      </c>
      <c r="RO148" s="1568">
        <f t="shared" si="551"/>
        <v>978977.25268817181</v>
      </c>
      <c r="RP148" s="220">
        <f t="shared" si="552"/>
        <v>7.1043849819113131E-2</v>
      </c>
      <c r="RQ148" s="1863">
        <f t="shared" si="553"/>
        <v>43</v>
      </c>
      <c r="RR148" s="105">
        <f t="shared" si="554"/>
        <v>3352864.666666667</v>
      </c>
      <c r="RS148" s="105">
        <f t="shared" si="554"/>
        <v>3632401.5</v>
      </c>
      <c r="RT148" s="105">
        <f t="shared" si="554"/>
        <v>279536.83333333326</v>
      </c>
      <c r="RU148" s="106">
        <f t="shared" si="555"/>
        <v>7.6956479985302625E-2</v>
      </c>
      <c r="RV148" s="1868">
        <v>40</v>
      </c>
      <c r="RW148" s="358">
        <f t="shared" si="556"/>
        <v>3180532.1935483869</v>
      </c>
      <c r="RX148" s="358">
        <f t="shared" si="556"/>
        <v>3382500</v>
      </c>
      <c r="RY148" s="359">
        <f t="shared" si="556"/>
        <v>201967.80645161285</v>
      </c>
      <c r="RZ148" s="169">
        <f t="shared" si="557"/>
        <v>5.9709624967217399E-2</v>
      </c>
      <c r="SA148" s="686">
        <v>39</v>
      </c>
      <c r="SB148" s="146">
        <f t="shared" si="558"/>
        <v>3138521</v>
      </c>
      <c r="SC148" s="146">
        <f t="shared" si="558"/>
        <v>3382500</v>
      </c>
      <c r="SD148" s="1864">
        <f t="shared" si="558"/>
        <v>243979</v>
      </c>
      <c r="SE148" s="203">
        <f t="shared" si="559"/>
        <v>7.2129785661492973E-2</v>
      </c>
      <c r="SF148" s="1567">
        <v>42</v>
      </c>
      <c r="SG148" s="358">
        <f t="shared" si="560"/>
        <v>3129006.3870967743</v>
      </c>
      <c r="SH148" s="358">
        <f t="shared" si="560"/>
        <v>3382500</v>
      </c>
      <c r="SI148" s="359">
        <f t="shared" si="560"/>
        <v>253493.6129032257</v>
      </c>
      <c r="SJ148" s="114">
        <f t="shared" si="561"/>
        <v>7.4942679350547145E-2</v>
      </c>
      <c r="SL148" s="439">
        <v>39</v>
      </c>
      <c r="SM148" s="208">
        <f>1051917+7000+6657</f>
        <v>1065574</v>
      </c>
      <c r="SN148" s="208">
        <v>1127500</v>
      </c>
      <c r="SO148" s="96">
        <f t="shared" si="562"/>
        <v>61926</v>
      </c>
      <c r="SP148" s="78">
        <f t="shared" si="563"/>
        <v>5.4923281596452329E-2</v>
      </c>
      <c r="SQ148" s="439">
        <v>40</v>
      </c>
      <c r="SR148" s="208">
        <f>1107245+7000+6657</f>
        <v>1120902</v>
      </c>
      <c r="SS148" s="208">
        <v>1127500</v>
      </c>
      <c r="ST148" s="96">
        <f t="shared" si="564"/>
        <v>6598</v>
      </c>
      <c r="SU148" s="78">
        <f t="shared" si="645"/>
        <v>5.8518847006651881E-3</v>
      </c>
      <c r="SV148" s="439">
        <v>38</v>
      </c>
      <c r="SW148" s="208">
        <f>1060112+7000+6657</f>
        <v>1073769</v>
      </c>
      <c r="SX148" s="994">
        <v>1127500</v>
      </c>
      <c r="SY148" s="96">
        <f t="shared" si="565"/>
        <v>53731</v>
      </c>
      <c r="SZ148" s="94">
        <f t="shared" si="646"/>
        <v>4.7654988913525501E-2</v>
      </c>
      <c r="TA148" s="2573">
        <v>36</v>
      </c>
      <c r="TB148" s="395">
        <f>967399+7000+6657</f>
        <v>981056</v>
      </c>
      <c r="TC148" s="994">
        <v>1015000</v>
      </c>
      <c r="TD148" s="115">
        <f t="shared" si="566"/>
        <v>33944</v>
      </c>
      <c r="TE148" s="362">
        <f t="shared" si="647"/>
        <v>3.3442364532019701E-2</v>
      </c>
      <c r="TF148" s="4108">
        <v>35</v>
      </c>
      <c r="TG148" s="208">
        <f>953195+7000+6657</f>
        <v>966852</v>
      </c>
      <c r="TH148" s="208">
        <v>1015000</v>
      </c>
      <c r="TI148" s="208">
        <f t="shared" si="480"/>
        <v>48148</v>
      </c>
      <c r="TJ148" s="114">
        <f t="shared" si="648"/>
        <v>4.7436453201970444E-2</v>
      </c>
      <c r="TK148" s="209">
        <v>33</v>
      </c>
      <c r="TL148" s="1066">
        <f>909847+7000+6657</f>
        <v>923504</v>
      </c>
      <c r="TM148" s="208">
        <v>1015000</v>
      </c>
      <c r="TN148" s="208">
        <f t="shared" si="649"/>
        <v>91496</v>
      </c>
      <c r="TO148" s="114">
        <f t="shared" si="650"/>
        <v>9.0143842364532017E-2</v>
      </c>
      <c r="TP148" s="1574">
        <v>31</v>
      </c>
      <c r="TQ148" s="208">
        <f>877787+13657</f>
        <v>891444</v>
      </c>
      <c r="TR148" s="208">
        <v>1015000</v>
      </c>
      <c r="TS148" s="994">
        <f t="shared" si="651"/>
        <v>123556</v>
      </c>
      <c r="TT148" s="114">
        <f t="shared" si="652"/>
        <v>0.12173004926108374</v>
      </c>
      <c r="TU148" s="4432">
        <v>31</v>
      </c>
      <c r="TV148" s="208">
        <f>894054+13657</f>
        <v>907711</v>
      </c>
      <c r="TW148" s="208">
        <v>1015000</v>
      </c>
      <c r="TX148" s="994">
        <f t="shared" si="567"/>
        <v>107289</v>
      </c>
      <c r="TY148" s="114">
        <f>TX148/TW148</f>
        <v>0.10570344827586207</v>
      </c>
      <c r="TZ148" s="209">
        <v>29</v>
      </c>
      <c r="UA148" s="208">
        <v>858987</v>
      </c>
      <c r="UB148" s="208">
        <v>1015000</v>
      </c>
      <c r="UC148" s="994">
        <f t="shared" si="568"/>
        <v>156013</v>
      </c>
      <c r="UD148" s="114">
        <f t="shared" si="653"/>
        <v>0.15370738916256158</v>
      </c>
      <c r="UE148" s="6505">
        <v>29</v>
      </c>
      <c r="UF148" s="6506">
        <v>890239</v>
      </c>
      <c r="UG148" s="6506">
        <v>1015000</v>
      </c>
      <c r="UH148" s="1575">
        <f t="shared" si="569"/>
        <v>124761</v>
      </c>
      <c r="UI148" s="1867">
        <f t="shared" si="654"/>
        <v>0.12291724137931034</v>
      </c>
      <c r="UJ148" s="402"/>
      <c r="UK148" s="358"/>
      <c r="UL148" s="358"/>
      <c r="UM148" s="208">
        <f t="shared" si="570"/>
        <v>0</v>
      </c>
      <c r="UN148" s="1313" t="e">
        <f t="shared" si="571"/>
        <v>#DIV/0!</v>
      </c>
      <c r="UO148" s="1567"/>
      <c r="UP148" s="1568"/>
      <c r="UQ148" s="1568"/>
      <c r="UR148" s="2012">
        <f t="shared" si="572"/>
        <v>0</v>
      </c>
      <c r="US148" s="659" t="e">
        <f t="shared" si="573"/>
        <v>#DIV/0!</v>
      </c>
      <c r="UT148" s="1567"/>
      <c r="UU148" s="358">
        <f t="shared" si="655"/>
        <v>9680038</v>
      </c>
      <c r="UV148" s="358">
        <f t="shared" si="655"/>
        <v>10487500</v>
      </c>
      <c r="UW148" s="358">
        <f t="shared" si="655"/>
        <v>807462</v>
      </c>
      <c r="UX148" s="220">
        <f t="shared" si="575"/>
        <v>7.6992800953516086E-2</v>
      </c>
      <c r="UY148" s="1863">
        <f t="shared" si="576"/>
        <v>39</v>
      </c>
      <c r="UZ148" s="105">
        <f t="shared" si="577"/>
        <v>3260245</v>
      </c>
      <c r="VA148" s="105">
        <f t="shared" si="577"/>
        <v>3382500</v>
      </c>
      <c r="VB148" s="105">
        <f t="shared" si="577"/>
        <v>122255</v>
      </c>
      <c r="VC148" s="106">
        <f t="shared" si="578"/>
        <v>3.6143385070214341E-2</v>
      </c>
      <c r="VD148" s="1868"/>
      <c r="VE148" s="358">
        <f t="shared" si="656"/>
        <v>2871412</v>
      </c>
      <c r="VF148" s="358">
        <f t="shared" si="656"/>
        <v>3045000</v>
      </c>
      <c r="VG148" s="359">
        <f t="shared" si="656"/>
        <v>173588</v>
      </c>
      <c r="VH148" s="169">
        <f t="shared" si="580"/>
        <v>5.7007553366174059E-2</v>
      </c>
      <c r="VI148" s="686"/>
      <c r="VJ148" s="146">
        <f t="shared" si="581"/>
        <v>2658142</v>
      </c>
      <c r="VK148" s="146">
        <f t="shared" si="581"/>
        <v>3045000</v>
      </c>
      <c r="VL148" s="1864">
        <f t="shared" si="581"/>
        <v>386858</v>
      </c>
      <c r="VM148" s="203">
        <f t="shared" si="582"/>
        <v>0.12704696223316914</v>
      </c>
      <c r="VN148" s="1567"/>
      <c r="VO148" s="358">
        <f t="shared" si="583"/>
        <v>890239</v>
      </c>
      <c r="VP148" s="358">
        <f t="shared" si="583"/>
        <v>1015000</v>
      </c>
      <c r="VQ148" s="359">
        <f t="shared" si="583"/>
        <v>124761</v>
      </c>
      <c r="VR148" s="114">
        <f t="shared" si="584"/>
        <v>0.12291724137931034</v>
      </c>
    </row>
    <row r="149" spans="1:590" s="1193" customFormat="1" ht="13.45" x14ac:dyDescent="0.3">
      <c r="A149" s="1297"/>
      <c r="B149" s="583" t="s">
        <v>84</v>
      </c>
      <c r="C149" s="1991" t="s">
        <v>86</v>
      </c>
      <c r="D149" s="1992" t="s">
        <v>837</v>
      </c>
      <c r="E149" s="2086">
        <v>45066</v>
      </c>
      <c r="F149" s="2086">
        <v>45431</v>
      </c>
      <c r="G149" s="1994">
        <v>210250</v>
      </c>
      <c r="H149" s="1874"/>
      <c r="I149" s="1875"/>
      <c r="J149" s="1875"/>
      <c r="K149" s="1875"/>
      <c r="L149" s="1876"/>
      <c r="M149" s="1874"/>
      <c r="N149" s="1875"/>
      <c r="O149" s="1875"/>
      <c r="P149" s="1875"/>
      <c r="Q149" s="1876"/>
      <c r="R149" s="1874"/>
      <c r="S149" s="1875"/>
      <c r="T149" s="1875"/>
      <c r="U149" s="1875"/>
      <c r="V149" s="1876"/>
      <c r="W149" s="1874"/>
      <c r="X149" s="1875"/>
      <c r="Y149" s="1875"/>
      <c r="Z149" s="1875"/>
      <c r="AA149" s="1877"/>
      <c r="AB149" s="1874"/>
      <c r="AC149" s="1875"/>
      <c r="AD149" s="1875"/>
      <c r="AE149" s="1875"/>
      <c r="AF149" s="1877"/>
      <c r="AG149" s="1875"/>
      <c r="AH149" s="1875"/>
      <c r="AI149" s="1875"/>
      <c r="AJ149" s="1875"/>
      <c r="AK149" s="1876"/>
      <c r="AL149" s="1875"/>
      <c r="AM149" s="1875"/>
      <c r="AN149" s="1875"/>
      <c r="AO149" s="1875"/>
      <c r="AP149" s="1876"/>
      <c r="AQ149" s="1875"/>
      <c r="AR149" s="1875"/>
      <c r="AS149" s="1875"/>
      <c r="AT149" s="1875"/>
      <c r="AU149" s="1876"/>
      <c r="AV149" s="1878"/>
      <c r="AW149" s="1875"/>
      <c r="AX149" s="1875"/>
      <c r="AY149" s="1875"/>
      <c r="AZ149" s="1877"/>
      <c r="BA149" s="1878"/>
      <c r="BB149" s="1875"/>
      <c r="BC149" s="1875"/>
      <c r="BD149" s="1875"/>
      <c r="BE149" s="1877"/>
      <c r="BF149" s="1878"/>
      <c r="BG149" s="1875"/>
      <c r="BH149" s="1875"/>
      <c r="BI149" s="1875"/>
      <c r="BJ149" s="1877"/>
      <c r="BK149" s="1878"/>
      <c r="BL149" s="1875"/>
      <c r="BM149" s="1875"/>
      <c r="BN149" s="1875"/>
      <c r="BO149" s="1877"/>
      <c r="BP149" s="1879"/>
      <c r="BQ149" s="1875"/>
      <c r="BR149" s="1875"/>
      <c r="BS149" s="1875"/>
      <c r="BT149" s="1880"/>
      <c r="BU149" s="1875"/>
      <c r="BV149" s="1875"/>
      <c r="BW149" s="1881"/>
      <c r="BX149" s="1880"/>
      <c r="BY149" s="1875"/>
      <c r="BZ149" s="1875"/>
      <c r="CA149" s="1882"/>
      <c r="CB149" s="1875"/>
      <c r="CC149" s="1875"/>
      <c r="CD149" s="1875"/>
      <c r="CE149" s="1875"/>
      <c r="CF149" s="1880"/>
      <c r="CG149" s="1875"/>
      <c r="CH149" s="1875"/>
      <c r="CI149" s="1882"/>
      <c r="CJ149" s="1883"/>
      <c r="CK149" s="1875"/>
      <c r="CL149" s="1875"/>
      <c r="CM149" s="1875"/>
      <c r="CN149" s="1881"/>
      <c r="CO149" s="1883"/>
      <c r="CP149" s="1874"/>
      <c r="CQ149" s="1874"/>
      <c r="CR149" s="1874"/>
      <c r="CS149" s="1881"/>
      <c r="CT149" s="1883"/>
      <c r="CU149" s="1875"/>
      <c r="CV149" s="1875"/>
      <c r="CW149" s="1875"/>
      <c r="CX149" s="1881"/>
      <c r="CY149" s="1883"/>
      <c r="CZ149" s="1875"/>
      <c r="DA149" s="1875"/>
      <c r="DB149" s="1875"/>
      <c r="DC149" s="1881"/>
      <c r="DD149" s="1883"/>
      <c r="DE149" s="1875"/>
      <c r="DF149" s="1875"/>
      <c r="DG149" s="1875"/>
      <c r="DH149" s="1884"/>
      <c r="DI149" s="1883"/>
      <c r="DJ149" s="1875"/>
      <c r="DK149" s="1875"/>
      <c r="DL149" s="1875"/>
      <c r="DM149" s="1884"/>
      <c r="DN149" s="1883"/>
      <c r="DO149" s="1875"/>
      <c r="DP149" s="1875"/>
      <c r="DQ149" s="1875"/>
      <c r="DR149" s="1884"/>
      <c r="DS149" s="1883"/>
      <c r="DT149" s="1875"/>
      <c r="DU149" s="1875"/>
      <c r="DV149" s="1875"/>
      <c r="DW149" s="1884"/>
      <c r="DX149" s="1883"/>
      <c r="DY149" s="1875"/>
      <c r="DZ149" s="1875"/>
      <c r="EA149" s="1875"/>
      <c r="EB149" s="1884"/>
      <c r="EC149" s="1883"/>
      <c r="ED149" s="1875"/>
      <c r="EE149" s="1875"/>
      <c r="EF149" s="1875"/>
      <c r="EG149" s="1884"/>
      <c r="EH149" s="1885"/>
      <c r="EI149" s="1886"/>
      <c r="EJ149" s="1886"/>
      <c r="EK149" s="1886"/>
      <c r="EL149" s="1887"/>
      <c r="EM149" s="1888"/>
      <c r="EN149" s="1889"/>
      <c r="EO149" s="1889"/>
      <c r="EP149" s="1889"/>
      <c r="EQ149" s="166"/>
      <c r="ER149" s="1713">
        <f t="shared" si="585"/>
        <v>0</v>
      </c>
      <c r="ES149" s="1714">
        <f t="shared" si="586"/>
        <v>0</v>
      </c>
      <c r="ET149" s="1714">
        <f t="shared" si="586"/>
        <v>0</v>
      </c>
      <c r="EU149" s="1714">
        <f t="shared" si="586"/>
        <v>0</v>
      </c>
      <c r="EV149" s="1715" t="e">
        <f t="shared" si="587"/>
        <v>#DIV/0!</v>
      </c>
      <c r="EW149" s="1890"/>
      <c r="EX149" s="1890"/>
      <c r="EY149" s="1890"/>
      <c r="EZ149" s="1891"/>
      <c r="FA149" s="1885"/>
      <c r="FB149" s="1890"/>
      <c r="FC149" s="1890"/>
      <c r="FD149" s="1892"/>
      <c r="FE149" s="1890"/>
      <c r="FF149" s="1890"/>
      <c r="FG149" s="1890"/>
      <c r="FH149" s="1891"/>
      <c r="FI149" s="1893"/>
      <c r="FJ149" s="1894"/>
      <c r="FK149" s="1895"/>
      <c r="FL149" s="1895"/>
      <c r="FM149" s="1896"/>
      <c r="FN149" s="1890"/>
      <c r="FO149" s="1886"/>
      <c r="FP149" s="1886"/>
      <c r="FQ149" s="1886"/>
      <c r="FR149" s="1897"/>
      <c r="FS149" s="1888"/>
      <c r="FT149" s="1889"/>
      <c r="FU149" s="1889"/>
      <c r="FV149" s="1889"/>
      <c r="FW149" s="1898"/>
      <c r="FX149" s="1885"/>
      <c r="FY149" s="1886"/>
      <c r="FZ149" s="1886"/>
      <c r="GA149" s="1889"/>
      <c r="GB149" s="1898"/>
      <c r="GC149" s="1899"/>
      <c r="GD149" s="1900"/>
      <c r="GE149" s="1900"/>
      <c r="GF149" s="1889"/>
      <c r="GG149" s="166"/>
      <c r="GH149" s="1901"/>
      <c r="GI149" s="1824"/>
      <c r="GJ149" s="1824"/>
      <c r="GK149" s="1902"/>
      <c r="GL149" s="1898"/>
      <c r="GM149" s="1901"/>
      <c r="GN149" s="1824"/>
      <c r="GO149" s="1824"/>
      <c r="GP149" s="1902"/>
      <c r="GQ149" s="1898"/>
      <c r="GR149" s="1903"/>
      <c r="GS149" s="1904"/>
      <c r="GT149" s="1904"/>
      <c r="GU149" s="1902"/>
      <c r="GV149" s="1898"/>
      <c r="GW149" s="1903"/>
      <c r="GX149" s="1904"/>
      <c r="GY149" s="1904"/>
      <c r="GZ149" s="1902"/>
      <c r="HA149" s="1898"/>
      <c r="HB149" s="1903"/>
      <c r="HC149" s="1904"/>
      <c r="HD149" s="1904"/>
      <c r="HE149" s="1902"/>
      <c r="HF149" s="1898"/>
      <c r="HG149" s="1903"/>
      <c r="HH149" s="1904"/>
      <c r="HI149" s="1904"/>
      <c r="HJ149" s="1818"/>
      <c r="HK149" s="1898"/>
      <c r="HL149" s="1903"/>
      <c r="HM149" s="1904"/>
      <c r="HN149" s="1904"/>
      <c r="HO149" s="715"/>
      <c r="HP149" s="166"/>
      <c r="HQ149" s="1905"/>
      <c r="HR149" s="1248">
        <v>0</v>
      </c>
      <c r="HS149" s="1248">
        <v>0</v>
      </c>
      <c r="HT149" s="1248">
        <v>0</v>
      </c>
      <c r="HU149" s="1826"/>
      <c r="HV149" s="2008">
        <f t="shared" si="588"/>
        <v>0</v>
      </c>
      <c r="HW149" s="208">
        <f t="shared" si="589"/>
        <v>0</v>
      </c>
      <c r="HX149" s="208">
        <f t="shared" si="589"/>
        <v>0</v>
      </c>
      <c r="HY149" s="208">
        <f t="shared" si="589"/>
        <v>0</v>
      </c>
      <c r="HZ149" s="2009"/>
      <c r="IA149" s="1907"/>
      <c r="IB149" s="1908"/>
      <c r="IC149" s="1908"/>
      <c r="ID149" s="1909"/>
      <c r="IE149" s="1910"/>
      <c r="IF149" s="1911"/>
      <c r="IG149" s="1912"/>
      <c r="IH149" s="1909"/>
      <c r="II149" s="1835"/>
      <c r="IJ149" s="1836"/>
      <c r="IK149" s="1836"/>
      <c r="IL149" s="693"/>
      <c r="IM149" s="1913"/>
      <c r="IN149" s="1836"/>
      <c r="IO149" s="1836"/>
      <c r="IP149" s="1838"/>
      <c r="IQ149" s="1914"/>
      <c r="IR149" s="1915"/>
      <c r="IS149" s="1916"/>
      <c r="IT149" s="1916"/>
      <c r="IU149" s="1917"/>
      <c r="IV149" s="1918"/>
      <c r="IW149" s="2193"/>
      <c r="IX149" s="1921"/>
      <c r="IY149" s="1921"/>
      <c r="IZ149" s="1719"/>
      <c r="JA149" s="1721"/>
      <c r="JB149" s="1922">
        <v>3</v>
      </c>
      <c r="JC149" s="1923">
        <v>144166</v>
      </c>
      <c r="JD149" s="1924">
        <v>283500</v>
      </c>
      <c r="JE149" s="1719">
        <v>139334</v>
      </c>
      <c r="JF149" s="1721">
        <f>JE149/JD149</f>
        <v>0.49147795414462081</v>
      </c>
      <c r="JG149" s="1847">
        <v>6</v>
      </c>
      <c r="JH149" s="1096">
        <v>222768</v>
      </c>
      <c r="JI149" s="1096">
        <v>283500</v>
      </c>
      <c r="JJ149" s="1756">
        <f>JI149-JH149</f>
        <v>60732</v>
      </c>
      <c r="JK149" s="1721">
        <f>JJ149/JI149</f>
        <v>0.21422222222222223</v>
      </c>
      <c r="JL149" s="1927">
        <v>6</v>
      </c>
      <c r="JM149" s="1096">
        <v>223880</v>
      </c>
      <c r="JN149" s="1096">
        <v>283500</v>
      </c>
      <c r="JO149" s="1843">
        <f>JN149-JM149</f>
        <v>59620</v>
      </c>
      <c r="JP149" s="1721">
        <f>JO149/JN149</f>
        <v>0.21029982363315697</v>
      </c>
      <c r="JQ149" s="1927">
        <v>5</v>
      </c>
      <c r="JR149" s="972">
        <v>173880</v>
      </c>
      <c r="JS149" s="264">
        <v>283500</v>
      </c>
      <c r="JT149" s="1845">
        <f>JS149-JR149</f>
        <v>109620</v>
      </c>
      <c r="JU149" s="1721">
        <f>JT149/JS149</f>
        <v>0.38666666666666666</v>
      </c>
      <c r="JV149" s="1849">
        <v>5</v>
      </c>
      <c r="JW149" s="1119">
        <v>155332</v>
      </c>
      <c r="JX149" s="1850">
        <v>283500</v>
      </c>
      <c r="JY149" s="1845">
        <f>JX149-JW149</f>
        <v>128168</v>
      </c>
      <c r="JZ149" s="1721">
        <f>JY149/JX149</f>
        <v>0.45209171075837745</v>
      </c>
      <c r="KA149" s="1846">
        <v>4</v>
      </c>
      <c r="KB149" s="264">
        <f>98427+17500+16444</f>
        <v>132371</v>
      </c>
      <c r="KC149" s="264">
        <v>283500</v>
      </c>
      <c r="KD149" s="964">
        <f>KC149-KB149</f>
        <v>151129</v>
      </c>
      <c r="KE149" s="1848">
        <f>KD149/KC149</f>
        <v>0.53308289241622575</v>
      </c>
      <c r="KF149" s="1849">
        <v>5</v>
      </c>
      <c r="KG149" s="1850">
        <v>186432</v>
      </c>
      <c r="KH149" s="1850">
        <v>283500</v>
      </c>
      <c r="KI149" s="1719">
        <f>KH149-KG149</f>
        <v>97068</v>
      </c>
      <c r="KJ149" s="1721">
        <f>KI149/KH149</f>
        <v>0.34239153439153441</v>
      </c>
      <c r="KK149" s="1849">
        <v>4</v>
      </c>
      <c r="KL149" s="1850">
        <v>160810</v>
      </c>
      <c r="KM149" s="1850">
        <v>283500</v>
      </c>
      <c r="KN149" s="1851">
        <f t="shared" si="590"/>
        <v>122690</v>
      </c>
      <c r="KO149" s="1852">
        <f>KN149/KM149</f>
        <v>0.4327689594356261</v>
      </c>
      <c r="KP149" s="1722">
        <v>5</v>
      </c>
      <c r="KQ149" s="972">
        <v>185180</v>
      </c>
      <c r="KR149" s="264">
        <v>283500</v>
      </c>
      <c r="KS149" s="1845">
        <f t="shared" si="591"/>
        <v>98320</v>
      </c>
      <c r="KT149" s="1720">
        <f>KS149/KR149</f>
        <v>0.34680776014109349</v>
      </c>
      <c r="KU149" s="1853">
        <v>5</v>
      </c>
      <c r="KV149" s="264">
        <v>186432</v>
      </c>
      <c r="KW149" s="264">
        <v>283500</v>
      </c>
      <c r="KX149" s="264">
        <f t="shared" si="592"/>
        <v>97068</v>
      </c>
      <c r="KY149" s="75">
        <f t="shared" si="593"/>
        <v>0.34239153439153441</v>
      </c>
      <c r="KZ149" s="1857">
        <v>5</v>
      </c>
      <c r="LA149" s="358">
        <f t="shared" si="594"/>
        <v>1771251</v>
      </c>
      <c r="LB149" s="358">
        <f t="shared" si="594"/>
        <v>2835000</v>
      </c>
      <c r="LC149" s="358">
        <f t="shared" si="594"/>
        <v>1063749</v>
      </c>
      <c r="LD149" s="151">
        <f t="shared" si="595"/>
        <v>0.37522010582010584</v>
      </c>
      <c r="LE149" s="1854">
        <f t="shared" si="596"/>
        <v>1</v>
      </c>
      <c r="LF149" s="1855">
        <f t="shared" si="597"/>
        <v>283500</v>
      </c>
      <c r="LG149" s="1855">
        <f t="shared" si="597"/>
        <v>139334</v>
      </c>
      <c r="LH149" s="1856">
        <f t="shared" si="598"/>
        <v>0.49147795414462081</v>
      </c>
      <c r="LI149" s="1857">
        <f t="shared" si="599"/>
        <v>5.666666666666667</v>
      </c>
      <c r="LJ149" s="1858">
        <f t="shared" si="600"/>
        <v>850500</v>
      </c>
      <c r="LK149" s="1854">
        <f t="shared" si="600"/>
        <v>229972</v>
      </c>
      <c r="LL149" s="1856">
        <f>LK149/LJ149</f>
        <v>0.27039623750734859</v>
      </c>
      <c r="LM149" s="1859">
        <f t="shared" si="601"/>
        <v>4.666666666666667</v>
      </c>
      <c r="LN149" s="1727">
        <f t="shared" si="602"/>
        <v>850500</v>
      </c>
      <c r="LO149" s="1727">
        <f t="shared" si="602"/>
        <v>376365</v>
      </c>
      <c r="LP149" s="151">
        <f>LO149/LN149</f>
        <v>0.44252204585537919</v>
      </c>
      <c r="LQ149" s="1860">
        <f t="shared" si="603"/>
        <v>4.666666666666667</v>
      </c>
      <c r="LR149" s="1727">
        <f t="shared" si="604"/>
        <v>850500</v>
      </c>
      <c r="LS149" s="1727">
        <f t="shared" si="604"/>
        <v>318078</v>
      </c>
      <c r="LT149" s="1861">
        <f t="shared" si="605"/>
        <v>0.37398941798941798</v>
      </c>
      <c r="LV149" s="439">
        <v>5</v>
      </c>
      <c r="LW149" s="208">
        <v>141210</v>
      </c>
      <c r="LX149" s="208">
        <v>283500</v>
      </c>
      <c r="LY149" s="96">
        <f t="shared" si="606"/>
        <v>142290</v>
      </c>
      <c r="LZ149" s="78">
        <f t="shared" si="607"/>
        <v>0.50190476190476185</v>
      </c>
      <c r="MA149" s="2000">
        <v>4</v>
      </c>
      <c r="MB149" s="1317">
        <v>124766</v>
      </c>
      <c r="MC149" s="1317">
        <v>283500</v>
      </c>
      <c r="MD149" s="372">
        <f t="shared" si="608"/>
        <v>158734</v>
      </c>
      <c r="ME149" s="207">
        <f t="shared" si="609"/>
        <v>0.55990828924162261</v>
      </c>
      <c r="MF149" s="439">
        <v>4</v>
      </c>
      <c r="MG149" s="208">
        <v>116933</v>
      </c>
      <c r="MH149" s="208">
        <v>275000</v>
      </c>
      <c r="MI149" s="371">
        <f t="shared" si="610"/>
        <v>158067</v>
      </c>
      <c r="MJ149" s="157">
        <f t="shared" si="611"/>
        <v>0.57478909090909092</v>
      </c>
      <c r="MK149" s="354">
        <v>4</v>
      </c>
      <c r="ML149" s="208">
        <f>116933+17000+23500</f>
        <v>157433</v>
      </c>
      <c r="MM149" s="208">
        <v>275000</v>
      </c>
      <c r="MN149" s="371">
        <f t="shared" si="612"/>
        <v>117567</v>
      </c>
      <c r="MO149" s="157">
        <f t="shared" si="613"/>
        <v>0.42751636363636364</v>
      </c>
      <c r="MP149" s="1579">
        <v>4</v>
      </c>
      <c r="MQ149" s="264">
        <v>116933</v>
      </c>
      <c r="MR149" s="264">
        <v>275000</v>
      </c>
      <c r="MS149" s="264">
        <f t="shared" si="614"/>
        <v>158067</v>
      </c>
      <c r="MT149" s="597">
        <f t="shared" si="615"/>
        <v>0.57478909090909092</v>
      </c>
      <c r="MU149" s="209">
        <v>4</v>
      </c>
      <c r="MV149" s="208">
        <v>119933</v>
      </c>
      <c r="MW149" s="208">
        <v>275000</v>
      </c>
      <c r="MX149" s="208">
        <f t="shared" si="616"/>
        <v>155067</v>
      </c>
      <c r="MY149" s="597">
        <f t="shared" si="617"/>
        <v>0.56388000000000005</v>
      </c>
      <c r="MZ149" s="209">
        <v>4</v>
      </c>
      <c r="NA149" s="208">
        <v>119933</v>
      </c>
      <c r="NB149" s="208">
        <v>275000</v>
      </c>
      <c r="NC149" s="208">
        <f t="shared" si="618"/>
        <v>155067</v>
      </c>
      <c r="ND149" s="597">
        <f t="shared" si="619"/>
        <v>0.56388000000000005</v>
      </c>
      <c r="NE149" s="209">
        <v>4</v>
      </c>
      <c r="NF149" s="208">
        <v>119933</v>
      </c>
      <c r="NG149" s="208">
        <v>275000</v>
      </c>
      <c r="NH149" s="208">
        <f t="shared" si="620"/>
        <v>155067</v>
      </c>
      <c r="NI149" s="597">
        <f t="shared" si="621"/>
        <v>0.56388000000000005</v>
      </c>
      <c r="NJ149" s="209">
        <v>5</v>
      </c>
      <c r="NK149" s="208">
        <v>195834</v>
      </c>
      <c r="NL149" s="208">
        <v>275000</v>
      </c>
      <c r="NM149" s="208">
        <f t="shared" si="622"/>
        <v>79166</v>
      </c>
      <c r="NN149" s="597">
        <f t="shared" si="623"/>
        <v>0.28787636363636365</v>
      </c>
      <c r="NO149" s="357">
        <v>5</v>
      </c>
      <c r="NP149" s="358">
        <v>195834</v>
      </c>
      <c r="NQ149" s="358">
        <v>275000</v>
      </c>
      <c r="NR149" s="208">
        <f t="shared" si="624"/>
        <v>79166</v>
      </c>
      <c r="NS149" s="597">
        <f t="shared" si="625"/>
        <v>0.28787636363636365</v>
      </c>
      <c r="NT149" s="357">
        <v>5</v>
      </c>
      <c r="NU149" s="358">
        <v>195834</v>
      </c>
      <c r="NV149" s="358">
        <v>275000</v>
      </c>
      <c r="NW149" s="208">
        <f t="shared" si="626"/>
        <v>79166</v>
      </c>
      <c r="NX149" s="597">
        <f t="shared" si="627"/>
        <v>0.28787636363636365</v>
      </c>
      <c r="NY149" s="357">
        <v>5</v>
      </c>
      <c r="NZ149" s="358">
        <v>195834</v>
      </c>
      <c r="OA149" s="358">
        <v>275000</v>
      </c>
      <c r="OB149" s="772">
        <f t="shared" si="628"/>
        <v>79166</v>
      </c>
      <c r="OC149" s="659">
        <f t="shared" si="629"/>
        <v>0.28787636363636365</v>
      </c>
      <c r="OD149" s="191">
        <v>5</v>
      </c>
      <c r="OE149" s="358">
        <f t="shared" si="630"/>
        <v>1800410</v>
      </c>
      <c r="OF149" s="358">
        <f t="shared" si="630"/>
        <v>3317000</v>
      </c>
      <c r="OG149" s="358">
        <f t="shared" si="630"/>
        <v>1516590</v>
      </c>
      <c r="OH149" s="220">
        <f t="shared" si="631"/>
        <v>0.45721736508893579</v>
      </c>
      <c r="OI149" s="1863">
        <f t="shared" si="632"/>
        <v>4.333333333333333</v>
      </c>
      <c r="OJ149" s="105">
        <f t="shared" si="633"/>
        <v>382909</v>
      </c>
      <c r="OK149" s="105">
        <f t="shared" si="633"/>
        <v>842000</v>
      </c>
      <c r="OL149" s="105">
        <f t="shared" si="633"/>
        <v>459091</v>
      </c>
      <c r="OM149" s="106">
        <f t="shared" si="634"/>
        <v>0.54523871733966744</v>
      </c>
      <c r="ON149" s="358">
        <f t="shared" si="635"/>
        <v>4</v>
      </c>
      <c r="OO149" s="358">
        <f t="shared" si="636"/>
        <v>394299</v>
      </c>
      <c r="OP149" s="358">
        <f t="shared" si="636"/>
        <v>825000</v>
      </c>
      <c r="OQ149" s="359">
        <f t="shared" si="636"/>
        <v>430701</v>
      </c>
      <c r="OR149" s="169">
        <f t="shared" si="637"/>
        <v>0.52206181818181818</v>
      </c>
      <c r="OS149" s="686">
        <f t="shared" si="638"/>
        <v>4.333333333333333</v>
      </c>
      <c r="OT149" s="146">
        <f t="shared" si="639"/>
        <v>435700</v>
      </c>
      <c r="OU149" s="146">
        <f t="shared" si="639"/>
        <v>825000</v>
      </c>
      <c r="OV149" s="1864">
        <f t="shared" si="639"/>
        <v>389300</v>
      </c>
      <c r="OW149" s="203">
        <f t="shared" si="640"/>
        <v>0.4718787878787879</v>
      </c>
      <c r="OX149" s="357">
        <v>5</v>
      </c>
      <c r="OY149" s="358">
        <f t="shared" si="641"/>
        <v>587502</v>
      </c>
      <c r="OZ149" s="358">
        <f t="shared" si="641"/>
        <v>825000</v>
      </c>
      <c r="PA149" s="359">
        <f t="shared" si="641"/>
        <v>237498</v>
      </c>
      <c r="PB149" s="114">
        <f t="shared" si="642"/>
        <v>0.28787636363636365</v>
      </c>
      <c r="PC149" s="79"/>
      <c r="PD149" s="439">
        <v>5</v>
      </c>
      <c r="PE149" s="208">
        <v>195834</v>
      </c>
      <c r="PF149" s="208">
        <v>275000</v>
      </c>
      <c r="PG149" s="96">
        <f t="shared" si="643"/>
        <v>79166</v>
      </c>
      <c r="PH149" s="224">
        <f t="shared" si="644"/>
        <v>0.28787636363636365</v>
      </c>
      <c r="PI149" s="2000">
        <v>5</v>
      </c>
      <c r="PJ149" s="1317">
        <v>195834</v>
      </c>
      <c r="PK149" s="1317">
        <v>269017</v>
      </c>
      <c r="PL149" s="372">
        <f t="shared" si="529"/>
        <v>73183</v>
      </c>
      <c r="PM149" s="207">
        <f t="shared" si="530"/>
        <v>0.27203857005319365</v>
      </c>
      <c r="PN149" s="439">
        <v>5</v>
      </c>
      <c r="PO149" s="208">
        <v>195834</v>
      </c>
      <c r="PP149" s="208">
        <v>260250</v>
      </c>
      <c r="PQ149" s="371">
        <f t="shared" si="531"/>
        <v>64416</v>
      </c>
      <c r="PR149" s="157">
        <f t="shared" si="532"/>
        <v>0.24751585014409222</v>
      </c>
      <c r="PS149" s="354">
        <v>5</v>
      </c>
      <c r="PT149" s="208">
        <v>195834</v>
      </c>
      <c r="PU149" s="208">
        <v>260250</v>
      </c>
      <c r="PV149" s="371">
        <f t="shared" si="533"/>
        <v>64416</v>
      </c>
      <c r="PW149" s="157">
        <f t="shared" si="534"/>
        <v>0.24751585014409222</v>
      </c>
      <c r="PX149" s="1579">
        <v>5</v>
      </c>
      <c r="PY149" s="264">
        <v>195834</v>
      </c>
      <c r="PZ149" s="264">
        <v>260250</v>
      </c>
      <c r="QA149" s="264">
        <f t="shared" si="535"/>
        <v>64416</v>
      </c>
      <c r="QB149" s="597">
        <f t="shared" si="536"/>
        <v>0.24751585014409222</v>
      </c>
      <c r="QC149" s="209">
        <v>5</v>
      </c>
      <c r="QD149" s="208">
        <v>195834</v>
      </c>
      <c r="QE149" s="208">
        <v>260250</v>
      </c>
      <c r="QF149" s="208">
        <f t="shared" si="537"/>
        <v>64416</v>
      </c>
      <c r="QG149" s="597">
        <f t="shared" si="538"/>
        <v>0.24751585014409222</v>
      </c>
      <c r="QH149" s="439">
        <v>5</v>
      </c>
      <c r="QI149" s="208">
        <v>195834</v>
      </c>
      <c r="QJ149" s="208">
        <v>260250</v>
      </c>
      <c r="QK149" s="208">
        <f t="shared" si="539"/>
        <v>64416</v>
      </c>
      <c r="QL149" s="597">
        <f t="shared" si="540"/>
        <v>0.24751585014409222</v>
      </c>
      <c r="QM149" s="439">
        <v>5</v>
      </c>
      <c r="QN149" s="208">
        <v>195834</v>
      </c>
      <c r="QO149" s="208">
        <v>260250</v>
      </c>
      <c r="QP149" s="208">
        <f t="shared" si="541"/>
        <v>64416</v>
      </c>
      <c r="QQ149" s="1869">
        <f t="shared" si="542"/>
        <v>0.24751585014409222</v>
      </c>
      <c r="QR149" s="209">
        <v>4</v>
      </c>
      <c r="QS149" s="208">
        <v>154168</v>
      </c>
      <c r="QT149" s="208">
        <v>260250</v>
      </c>
      <c r="QU149" s="208">
        <f t="shared" si="543"/>
        <v>106082</v>
      </c>
      <c r="QV149" s="75">
        <f t="shared" si="544"/>
        <v>0.40761575408261286</v>
      </c>
      <c r="QW149" s="2561">
        <v>4</v>
      </c>
      <c r="QX149" s="2562">
        <v>154168</v>
      </c>
      <c r="QY149" s="2562">
        <v>260250</v>
      </c>
      <c r="QZ149" s="208">
        <f t="shared" si="545"/>
        <v>106082</v>
      </c>
      <c r="RA149" s="157">
        <f t="shared" si="546"/>
        <v>0.40761575408261286</v>
      </c>
      <c r="RB149" s="357">
        <v>5</v>
      </c>
      <c r="RC149" s="358">
        <v>183356</v>
      </c>
      <c r="RD149" s="358">
        <v>260250</v>
      </c>
      <c r="RE149" s="208">
        <f t="shared" si="547"/>
        <v>76894</v>
      </c>
      <c r="RF149" s="1313">
        <f t="shared" si="548"/>
        <v>0.29546205571565803</v>
      </c>
      <c r="RG149" s="1857">
        <v>5</v>
      </c>
      <c r="RH149" s="358">
        <v>200002</v>
      </c>
      <c r="RI149" s="358">
        <v>260250</v>
      </c>
      <c r="RJ149" s="772">
        <f t="shared" si="549"/>
        <v>60248</v>
      </c>
      <c r="RK149" s="659">
        <f t="shared" si="550"/>
        <v>0.23150048030739673</v>
      </c>
      <c r="RL149" s="1567">
        <v>5</v>
      </c>
      <c r="RM149" s="1568">
        <f t="shared" si="551"/>
        <v>2258366</v>
      </c>
      <c r="RN149" s="1568">
        <f t="shared" si="551"/>
        <v>3146517</v>
      </c>
      <c r="RO149" s="1568">
        <f t="shared" si="551"/>
        <v>888151</v>
      </c>
      <c r="RP149" s="220">
        <f t="shared" si="552"/>
        <v>0.28226480263732884</v>
      </c>
      <c r="RQ149" s="1863">
        <f t="shared" si="553"/>
        <v>5</v>
      </c>
      <c r="RR149" s="105">
        <f t="shared" si="554"/>
        <v>587502</v>
      </c>
      <c r="RS149" s="105">
        <f t="shared" si="554"/>
        <v>804267</v>
      </c>
      <c r="RT149" s="105">
        <f t="shared" si="554"/>
        <v>216765</v>
      </c>
      <c r="RU149" s="106">
        <f t="shared" si="555"/>
        <v>0.26951870460929017</v>
      </c>
      <c r="RV149" s="1868">
        <v>5</v>
      </c>
      <c r="RW149" s="358">
        <f t="shared" si="556"/>
        <v>587502</v>
      </c>
      <c r="RX149" s="358">
        <f t="shared" si="556"/>
        <v>780750</v>
      </c>
      <c r="RY149" s="359">
        <f t="shared" si="556"/>
        <v>193248</v>
      </c>
      <c r="RZ149" s="169">
        <f t="shared" si="557"/>
        <v>0.24751585014409222</v>
      </c>
      <c r="SA149" s="686">
        <v>4</v>
      </c>
      <c r="SB149" s="146">
        <f t="shared" si="558"/>
        <v>545836</v>
      </c>
      <c r="SC149" s="146">
        <f t="shared" si="558"/>
        <v>780750</v>
      </c>
      <c r="SD149" s="1864">
        <f t="shared" si="558"/>
        <v>234914</v>
      </c>
      <c r="SE149" s="203">
        <f t="shared" si="559"/>
        <v>0.30088248479026575</v>
      </c>
      <c r="SF149" s="1567">
        <v>5</v>
      </c>
      <c r="SG149" s="358">
        <f t="shared" si="560"/>
        <v>537526</v>
      </c>
      <c r="SH149" s="358">
        <f t="shared" si="560"/>
        <v>780750</v>
      </c>
      <c r="SI149" s="359">
        <f t="shared" si="560"/>
        <v>243224</v>
      </c>
      <c r="SJ149" s="114">
        <f t="shared" si="561"/>
        <v>0.31152609670188919</v>
      </c>
      <c r="SL149" s="439">
        <v>5</v>
      </c>
      <c r="SM149" s="208">
        <v>216669</v>
      </c>
      <c r="SN149" s="208">
        <v>260250</v>
      </c>
      <c r="SO149" s="96">
        <f t="shared" si="562"/>
        <v>43581</v>
      </c>
      <c r="SP149" s="78">
        <f t="shared" si="563"/>
        <v>0.16745821325648416</v>
      </c>
      <c r="SQ149" s="401">
        <v>5</v>
      </c>
      <c r="SR149" s="395">
        <v>211840</v>
      </c>
      <c r="SS149" s="395">
        <v>260250</v>
      </c>
      <c r="ST149" s="115">
        <f t="shared" si="564"/>
        <v>48410</v>
      </c>
      <c r="SU149" s="186">
        <f t="shared" si="645"/>
        <v>0.18601344860710856</v>
      </c>
      <c r="SV149" s="439">
        <v>5</v>
      </c>
      <c r="SW149" s="208">
        <v>216669</v>
      </c>
      <c r="SX149" s="994">
        <v>260250</v>
      </c>
      <c r="SY149" s="96">
        <f t="shared" si="565"/>
        <v>43581</v>
      </c>
      <c r="SZ149" s="94">
        <f t="shared" si="646"/>
        <v>0.16745821325648416</v>
      </c>
      <c r="TA149" s="2152">
        <v>5</v>
      </c>
      <c r="TB149" s="435">
        <v>216669</v>
      </c>
      <c r="TC149" s="1584">
        <v>260250</v>
      </c>
      <c r="TD149" s="96">
        <f t="shared" si="566"/>
        <v>43581</v>
      </c>
      <c r="TE149" s="94">
        <f t="shared" si="647"/>
        <v>0.16745821325648416</v>
      </c>
      <c r="TF149" s="354">
        <v>5</v>
      </c>
      <c r="TG149" s="208">
        <v>216669</v>
      </c>
      <c r="TH149" s="208">
        <v>260250</v>
      </c>
      <c r="TI149" s="208">
        <f t="shared" si="480"/>
        <v>43581</v>
      </c>
      <c r="TJ149" s="114">
        <f t="shared" si="648"/>
        <v>0.16745821325648416</v>
      </c>
      <c r="TK149" s="209">
        <v>5</v>
      </c>
      <c r="TL149" s="208">
        <v>216669</v>
      </c>
      <c r="TM149" s="208">
        <v>260250</v>
      </c>
      <c r="TN149" s="208">
        <f t="shared" si="649"/>
        <v>43581</v>
      </c>
      <c r="TO149" s="114">
        <f t="shared" si="650"/>
        <v>0.16745821325648416</v>
      </c>
      <c r="TP149" s="1574">
        <v>5</v>
      </c>
      <c r="TQ149" s="208">
        <v>215388</v>
      </c>
      <c r="TR149" s="208">
        <v>210395</v>
      </c>
      <c r="TS149" s="4513">
        <f t="shared" si="651"/>
        <v>-4993</v>
      </c>
      <c r="TT149" s="4514">
        <f t="shared" si="652"/>
        <v>-2.3731552555906747E-2</v>
      </c>
      <c r="TU149" s="4432">
        <v>5</v>
      </c>
      <c r="TV149" s="208">
        <v>214021</v>
      </c>
      <c r="TW149" s="208">
        <v>251000</v>
      </c>
      <c r="TX149" s="994">
        <f t="shared" si="567"/>
        <v>36979</v>
      </c>
      <c r="TY149" s="114">
        <f>TX149/TW149</f>
        <v>0.14732669322709163</v>
      </c>
      <c r="TZ149" s="209">
        <v>5</v>
      </c>
      <c r="UA149" s="208">
        <v>216669</v>
      </c>
      <c r="UB149" s="208">
        <v>251000</v>
      </c>
      <c r="UC149" s="994">
        <f t="shared" si="568"/>
        <v>34331</v>
      </c>
      <c r="UD149" s="114">
        <f t="shared" si="653"/>
        <v>0.13677689243027888</v>
      </c>
      <c r="UE149" s="6505">
        <v>5</v>
      </c>
      <c r="UF149" s="6506">
        <v>216669</v>
      </c>
      <c r="UG149" s="6506">
        <v>251000</v>
      </c>
      <c r="UH149" s="1575">
        <f t="shared" si="569"/>
        <v>34331</v>
      </c>
      <c r="UI149" s="1867">
        <f t="shared" si="654"/>
        <v>0.13677689243027888</v>
      </c>
      <c r="UJ149" s="357"/>
      <c r="UK149" s="358"/>
      <c r="UL149" s="358"/>
      <c r="UM149" s="208">
        <f t="shared" si="570"/>
        <v>0</v>
      </c>
      <c r="UN149" s="1313" t="e">
        <f t="shared" si="571"/>
        <v>#DIV/0!</v>
      </c>
      <c r="UO149" s="1567"/>
      <c r="UP149" s="1568"/>
      <c r="UQ149" s="1568"/>
      <c r="UR149" s="2012">
        <f t="shared" si="572"/>
        <v>0</v>
      </c>
      <c r="US149" s="659" t="e">
        <f t="shared" si="573"/>
        <v>#DIV/0!</v>
      </c>
      <c r="UT149" s="1567"/>
      <c r="UU149" s="358">
        <f t="shared" si="655"/>
        <v>2157932</v>
      </c>
      <c r="UV149" s="358">
        <f t="shared" si="655"/>
        <v>2524895</v>
      </c>
      <c r="UW149" s="358">
        <f t="shared" si="655"/>
        <v>366963</v>
      </c>
      <c r="UX149" s="220">
        <f t="shared" si="575"/>
        <v>0.14533792494341349</v>
      </c>
      <c r="UY149" s="1863">
        <f t="shared" si="576"/>
        <v>5</v>
      </c>
      <c r="UZ149" s="105">
        <f t="shared" si="577"/>
        <v>645178</v>
      </c>
      <c r="VA149" s="105">
        <f t="shared" si="577"/>
        <v>780750</v>
      </c>
      <c r="VB149" s="105">
        <f t="shared" si="577"/>
        <v>135572</v>
      </c>
      <c r="VC149" s="106">
        <f t="shared" si="578"/>
        <v>0.17364329170669229</v>
      </c>
      <c r="VD149" s="1868"/>
      <c r="VE149" s="358">
        <f t="shared" si="656"/>
        <v>650007</v>
      </c>
      <c r="VF149" s="358">
        <f t="shared" si="656"/>
        <v>780750</v>
      </c>
      <c r="VG149" s="359">
        <f t="shared" si="656"/>
        <v>130743</v>
      </c>
      <c r="VH149" s="169">
        <f t="shared" si="580"/>
        <v>0.16745821325648416</v>
      </c>
      <c r="VI149" s="686"/>
      <c r="VJ149" s="146">
        <f t="shared" si="581"/>
        <v>646078</v>
      </c>
      <c r="VK149" s="146">
        <f t="shared" si="581"/>
        <v>712395</v>
      </c>
      <c r="VL149" s="1864">
        <f t="shared" si="581"/>
        <v>66317</v>
      </c>
      <c r="VM149" s="203">
        <f t="shared" si="582"/>
        <v>9.3090209785301692E-2</v>
      </c>
      <c r="VN149" s="1567"/>
      <c r="VO149" s="358">
        <f t="shared" si="583"/>
        <v>216669</v>
      </c>
      <c r="VP149" s="358">
        <f t="shared" si="583"/>
        <v>251000</v>
      </c>
      <c r="VQ149" s="359">
        <f t="shared" si="583"/>
        <v>34331</v>
      </c>
      <c r="VR149" s="114">
        <f t="shared" si="584"/>
        <v>0.13677689243027888</v>
      </c>
    </row>
    <row r="150" spans="1:590" ht="13.45" x14ac:dyDescent="0.3">
      <c r="A150" s="63"/>
      <c r="B150" s="583" t="s">
        <v>84</v>
      </c>
      <c r="C150" s="2104" t="s">
        <v>87</v>
      </c>
      <c r="D150" s="773" t="s">
        <v>271</v>
      </c>
      <c r="E150" s="1993">
        <v>44835</v>
      </c>
      <c r="F150" s="1993">
        <v>45199</v>
      </c>
      <c r="G150" s="1994">
        <v>192438</v>
      </c>
      <c r="H150" s="1775"/>
      <c r="I150" s="1776"/>
      <c r="J150" s="1776"/>
      <c r="K150" s="1776"/>
      <c r="L150" s="1777"/>
      <c r="M150" s="1778"/>
      <c r="N150" s="1779"/>
      <c r="O150" s="1779"/>
      <c r="P150" s="1779"/>
      <c r="Q150" s="1780"/>
      <c r="R150" s="1780"/>
      <c r="S150" s="1776"/>
      <c r="T150" s="1776"/>
      <c r="U150" s="1776"/>
      <c r="V150" s="1777"/>
      <c r="W150" s="1776"/>
      <c r="X150" s="1776"/>
      <c r="Y150" s="1781"/>
      <c r="Z150" s="1776"/>
      <c r="AA150" s="1782"/>
      <c r="AB150" s="1781"/>
      <c r="AC150" s="1783"/>
      <c r="AD150" s="1784"/>
      <c r="AE150" s="1776"/>
      <c r="AF150" s="1777"/>
      <c r="AG150" s="1785"/>
      <c r="AH150" s="1776"/>
      <c r="AI150" s="1776"/>
      <c r="AJ150" s="1786"/>
      <c r="AK150" s="1777"/>
      <c r="AL150" s="1785"/>
      <c r="AM150" s="1776"/>
      <c r="AN150" s="1776"/>
      <c r="AO150" s="1781"/>
      <c r="AP150" s="1777"/>
      <c r="AQ150" s="1787"/>
      <c r="AR150" s="1788"/>
      <c r="AS150" s="1788"/>
      <c r="AT150" s="1789"/>
      <c r="AU150" s="1777"/>
      <c r="AV150" s="1790"/>
      <c r="AW150" s="1781"/>
      <c r="AX150" s="1781"/>
      <c r="AY150" s="1781"/>
      <c r="AZ150" s="1777"/>
      <c r="BA150" s="1791"/>
      <c r="BB150" s="1792"/>
      <c r="BC150" s="1783"/>
      <c r="BD150" s="1781"/>
      <c r="BE150" s="1780"/>
      <c r="BF150" s="1790"/>
      <c r="BG150" s="1781"/>
      <c r="BH150" s="1776"/>
      <c r="BI150" s="1781"/>
      <c r="BJ150" s="1793"/>
      <c r="BK150" s="1790"/>
      <c r="BL150" s="1781"/>
      <c r="BM150" s="1776"/>
      <c r="BN150" s="1781"/>
      <c r="BO150" s="1794"/>
      <c r="BP150" s="1795"/>
      <c r="BQ150" s="1796"/>
      <c r="BR150" s="1786"/>
      <c r="BS150" s="1797"/>
      <c r="BT150" s="1798"/>
      <c r="BU150" s="1786"/>
      <c r="BV150" s="1786"/>
      <c r="BW150" s="1799"/>
      <c r="BX150" s="1800"/>
      <c r="BY150" s="1786"/>
      <c r="BZ150" s="1786"/>
      <c r="CA150" s="1801"/>
      <c r="CB150" s="1802"/>
      <c r="CC150" s="1786"/>
      <c r="CD150" s="1786"/>
      <c r="CE150" s="1803"/>
      <c r="CF150" s="1800"/>
      <c r="CG150" s="1776"/>
      <c r="CH150" s="1776"/>
      <c r="CI150" s="1801"/>
      <c r="CJ150" s="1804"/>
      <c r="CK150" s="1776"/>
      <c r="CL150" s="1776"/>
      <c r="CM150" s="1776"/>
      <c r="CN150" s="1799"/>
      <c r="CO150" s="1804"/>
      <c r="CP150" s="1776"/>
      <c r="CQ150" s="1776"/>
      <c r="CR150" s="1776"/>
      <c r="CS150" s="1799"/>
      <c r="CT150" s="1804"/>
      <c r="CU150" s="1776"/>
      <c r="CV150" s="1776"/>
      <c r="CW150" s="1776"/>
      <c r="CX150" s="1799"/>
      <c r="CY150" s="1804"/>
      <c r="CZ150" s="1776"/>
      <c r="DA150" s="1776"/>
      <c r="DB150" s="1776"/>
      <c r="DC150" s="1799"/>
      <c r="DD150" s="1805"/>
      <c r="DE150" s="1806"/>
      <c r="DF150" s="1806"/>
      <c r="DG150" s="1783"/>
      <c r="DH150" s="1807"/>
      <c r="DI150" s="1804"/>
      <c r="DJ150" s="1806"/>
      <c r="DK150" s="1806"/>
      <c r="DL150" s="1776"/>
      <c r="DM150" s="1807"/>
      <c r="DN150" s="1804"/>
      <c r="DO150" s="1776"/>
      <c r="DP150" s="1776"/>
      <c r="DQ150" s="1776"/>
      <c r="DR150" s="1807"/>
      <c r="DS150" s="1808"/>
      <c r="DT150" s="1783"/>
      <c r="DU150" s="1783"/>
      <c r="DV150" s="1776"/>
      <c r="DW150" s="1799"/>
      <c r="DX150" s="1804"/>
      <c r="DY150" s="1776"/>
      <c r="DZ150" s="1776"/>
      <c r="EA150" s="1776"/>
      <c r="EB150" s="1807"/>
      <c r="EC150" s="1804"/>
      <c r="ED150" s="1776"/>
      <c r="EE150" s="1776"/>
      <c r="EF150" s="1786"/>
      <c r="EG150" s="1807"/>
      <c r="EH150" s="1804"/>
      <c r="EI150" s="1776"/>
      <c r="EJ150" s="1776"/>
      <c r="EK150" s="1776"/>
      <c r="EL150" s="1807"/>
      <c r="EM150" s="1804"/>
      <c r="EN150" s="1776"/>
      <c r="EO150" s="1776"/>
      <c r="EP150" s="1776"/>
      <c r="EQ150" s="1807"/>
      <c r="ER150" s="1713">
        <f t="shared" si="585"/>
        <v>0</v>
      </c>
      <c r="ES150" s="1714">
        <f t="shared" si="586"/>
        <v>0</v>
      </c>
      <c r="ET150" s="1714">
        <f t="shared" si="586"/>
        <v>0</v>
      </c>
      <c r="EU150" s="1714">
        <f t="shared" si="586"/>
        <v>0</v>
      </c>
      <c r="EV150" s="1715" t="e">
        <f t="shared" si="587"/>
        <v>#DIV/0!</v>
      </c>
      <c r="EW150" s="1809"/>
      <c r="EX150" s="1810"/>
      <c r="EY150" s="1810"/>
      <c r="EZ150" s="1811"/>
      <c r="FA150" s="1812"/>
      <c r="FB150" s="1810"/>
      <c r="FC150" s="1810"/>
      <c r="FD150" s="1813"/>
      <c r="FE150" s="1814"/>
      <c r="FF150" s="1786"/>
      <c r="FG150" s="1786"/>
      <c r="FH150" s="1815"/>
      <c r="FI150" s="1816"/>
      <c r="FJ150" s="1814"/>
      <c r="FK150" s="1786"/>
      <c r="FL150" s="1786"/>
      <c r="FM150" s="1799"/>
      <c r="FN150" s="1817"/>
      <c r="FO150" s="1818"/>
      <c r="FP150" s="1818"/>
      <c r="FQ150" s="1818"/>
      <c r="FR150" s="1819"/>
      <c r="FS150" s="1820"/>
      <c r="FT150" s="1818"/>
      <c r="FU150" s="1818"/>
      <c r="FV150" s="1818"/>
      <c r="FW150" s="1821"/>
      <c r="FX150" s="1820"/>
      <c r="FY150" s="1822"/>
      <c r="FZ150" s="1822"/>
      <c r="GA150" s="1818"/>
      <c r="GB150" s="1821"/>
      <c r="GC150" s="1823"/>
      <c r="GD150" s="1824"/>
      <c r="GE150" s="1824"/>
      <c r="GF150" s="1825"/>
      <c r="GG150" s="1821" t="e">
        <f>GF150/GE150</f>
        <v>#DIV/0!</v>
      </c>
      <c r="GH150" s="1823"/>
      <c r="GI150" s="1824"/>
      <c r="GJ150" s="1824"/>
      <c r="GK150" s="1818"/>
      <c r="GL150" s="1821"/>
      <c r="GM150" s="1823"/>
      <c r="GN150" s="1824"/>
      <c r="GO150" s="1824"/>
      <c r="GP150" s="1818"/>
      <c r="GQ150" s="1821"/>
      <c r="GR150" s="1823"/>
      <c r="GS150" s="1824">
        <v>0</v>
      </c>
      <c r="GT150" s="1824">
        <v>0</v>
      </c>
      <c r="GU150" s="1818">
        <v>0</v>
      </c>
      <c r="GV150" s="1821"/>
      <c r="GW150" s="1823"/>
      <c r="GX150" s="1824"/>
      <c r="GY150" s="1824">
        <v>0</v>
      </c>
      <c r="GZ150" s="1818">
        <f>GY150-GX150</f>
        <v>0</v>
      </c>
      <c r="HA150" s="1821">
        <v>0</v>
      </c>
      <c r="HB150" s="1823">
        <v>1</v>
      </c>
      <c r="HC150" s="1824">
        <f>18550+7517+140484</f>
        <v>166551</v>
      </c>
      <c r="HD150" s="1824">
        <v>186833</v>
      </c>
      <c r="HE150" s="1818">
        <f>HD150-HC150</f>
        <v>20282</v>
      </c>
      <c r="HF150" s="1821">
        <f>HE150/HD150</f>
        <v>0.10855683953048979</v>
      </c>
      <c r="HG150" s="1823">
        <v>3</v>
      </c>
      <c r="HH150" s="1824">
        <f>72699+40000</f>
        <v>112699</v>
      </c>
      <c r="HI150" s="1824">
        <v>186833</v>
      </c>
      <c r="HJ150" s="1818">
        <f>HI150-HH150</f>
        <v>74134</v>
      </c>
      <c r="HK150" s="1821">
        <f>HJ150/HI150</f>
        <v>0.39679285779278822</v>
      </c>
      <c r="HL150" s="1823">
        <v>3</v>
      </c>
      <c r="HM150" s="1824">
        <v>72699</v>
      </c>
      <c r="HN150" s="1824">
        <v>186833</v>
      </c>
      <c r="HO150" s="1818">
        <f>HN150-HM150</f>
        <v>114134</v>
      </c>
      <c r="HP150" s="1821">
        <f>HO150/HN150</f>
        <v>0.61088779819410921</v>
      </c>
      <c r="HQ150" s="654">
        <v>5</v>
      </c>
      <c r="HR150" s="1248">
        <v>136695</v>
      </c>
      <c r="HS150" s="1248">
        <v>186833</v>
      </c>
      <c r="HT150" s="1248">
        <f>HS150-HR150</f>
        <v>50138</v>
      </c>
      <c r="HU150" s="1826">
        <f>HT150/HS150</f>
        <v>0.26835730304603578</v>
      </c>
      <c r="HV150" s="2008">
        <f t="shared" si="588"/>
        <v>1</v>
      </c>
      <c r="HW150" s="208">
        <f t="shared" si="589"/>
        <v>488644</v>
      </c>
      <c r="HX150" s="208">
        <f t="shared" si="589"/>
        <v>747332</v>
      </c>
      <c r="HY150" s="208">
        <f t="shared" si="589"/>
        <v>258688</v>
      </c>
      <c r="HZ150" s="2009"/>
      <c r="IA150" s="1829"/>
      <c r="IB150" s="1830"/>
      <c r="IC150" s="1830"/>
      <c r="ID150" s="1831"/>
      <c r="IE150" s="1832">
        <f>(GC150+GH150+GM150)/3</f>
        <v>0</v>
      </c>
      <c r="IF150" s="1833">
        <f>(GE150+GJ150+GO150)</f>
        <v>0</v>
      </c>
      <c r="IG150" s="1834">
        <f>(GF150+GK150+GP150)</f>
        <v>0</v>
      </c>
      <c r="IH150" s="1831">
        <v>0</v>
      </c>
      <c r="II150" s="1835">
        <f>(GR150+GW150+HB150)/3</f>
        <v>0.33333333333333331</v>
      </c>
      <c r="IJ150" s="1836">
        <f>(GT150+GY150+HD150)</f>
        <v>186833</v>
      </c>
      <c r="IK150" s="1836">
        <f>(GU150+GZ150+HE150)</f>
        <v>20282</v>
      </c>
      <c r="IL150" s="239">
        <v>0</v>
      </c>
      <c r="IM150" s="1837">
        <f>(HB150+HG150+HL150)/3</f>
        <v>2.3333333333333335</v>
      </c>
      <c r="IN150" s="1836">
        <f>(HI150+HN150+HS150)</f>
        <v>560499</v>
      </c>
      <c r="IO150" s="1836">
        <f>(HJ150+HO150+HT150)</f>
        <v>238406</v>
      </c>
      <c r="IP150" s="1838">
        <f>IO150/IN150</f>
        <v>0.42534598634431103</v>
      </c>
      <c r="IQ150" s="1839"/>
      <c r="IR150" s="1840">
        <v>5</v>
      </c>
      <c r="IS150" s="1818">
        <f>106852+13750+12000</f>
        <v>132602</v>
      </c>
      <c r="IT150" s="1818">
        <v>186833</v>
      </c>
      <c r="IU150" s="1818">
        <f>IT150-IS150</f>
        <v>54231</v>
      </c>
      <c r="IV150" s="1819">
        <f>IU150/IT150</f>
        <v>0.29026456782260091</v>
      </c>
      <c r="IW150" s="1820">
        <v>5</v>
      </c>
      <c r="IX150" s="1818">
        <f>108695+13750+12000</f>
        <v>134445</v>
      </c>
      <c r="IY150" s="1719">
        <v>186833</v>
      </c>
      <c r="IZ150" s="1719">
        <f>IY150-IX150</f>
        <v>52388</v>
      </c>
      <c r="JA150" s="1721">
        <f>IZ150/IY150</f>
        <v>0.28040014344361008</v>
      </c>
      <c r="JB150" s="1757">
        <v>4</v>
      </c>
      <c r="JC150" s="1841">
        <f>88195+13720+12000+19300</f>
        <v>133215</v>
      </c>
      <c r="JD150" s="1842">
        <v>186833</v>
      </c>
      <c r="JE150" s="1719">
        <f>JD150-JC150</f>
        <v>53618</v>
      </c>
      <c r="JF150" s="1721">
        <f>JE150/JD150</f>
        <v>0.28698356286095067</v>
      </c>
      <c r="JG150" s="1758">
        <v>3</v>
      </c>
      <c r="JH150" s="1824">
        <f>125214+19300</f>
        <v>144514</v>
      </c>
      <c r="JI150" s="1096">
        <v>186833</v>
      </c>
      <c r="JJ150" s="1756">
        <f>JI150-JH150</f>
        <v>42319</v>
      </c>
      <c r="JK150" s="1721">
        <f>JJ150/JI150</f>
        <v>0.22650709457108756</v>
      </c>
      <c r="JL150" s="1722">
        <v>3</v>
      </c>
      <c r="JM150" s="1824">
        <f>125214+19300</f>
        <v>144514</v>
      </c>
      <c r="JN150" s="1096">
        <v>186833</v>
      </c>
      <c r="JO150" s="1845">
        <f>JN150-JM150</f>
        <v>42319</v>
      </c>
      <c r="JP150" s="1721">
        <f>JO150/JN150</f>
        <v>0.22650709457108756</v>
      </c>
      <c r="JQ150" s="1844">
        <v>3</v>
      </c>
      <c r="JR150" s="972">
        <v>144614</v>
      </c>
      <c r="JS150" s="264">
        <v>186833</v>
      </c>
      <c r="JT150" s="1845">
        <f>JS150-JR150</f>
        <v>42219</v>
      </c>
      <c r="JU150" s="1721">
        <f>JT150/JS150</f>
        <v>0.22597185722008425</v>
      </c>
      <c r="JV150" s="1981">
        <v>3</v>
      </c>
      <c r="JW150" s="1824">
        <v>153308</v>
      </c>
      <c r="JX150" s="1248">
        <v>186833</v>
      </c>
      <c r="JY150" s="1996">
        <f>JX150-JW150</f>
        <v>33525</v>
      </c>
      <c r="JZ150" s="1821">
        <f>JY150/JX150</f>
        <v>0.17943832192385714</v>
      </c>
      <c r="KA150" s="1981">
        <v>3</v>
      </c>
      <c r="KB150" s="1248">
        <v>144614</v>
      </c>
      <c r="KC150" s="1982">
        <v>186833</v>
      </c>
      <c r="KD150" s="1983">
        <f>KC150-KB150</f>
        <v>42219</v>
      </c>
      <c r="KE150" s="1952">
        <f>KD150/KC150</f>
        <v>0.22597185722008425</v>
      </c>
      <c r="KF150" s="1849">
        <v>3</v>
      </c>
      <c r="KG150" s="1850">
        <v>144614</v>
      </c>
      <c r="KH150" s="1850">
        <v>186833</v>
      </c>
      <c r="KI150" s="1719">
        <f>KH150-KG150</f>
        <v>42219</v>
      </c>
      <c r="KJ150" s="1721">
        <f>KI150/KH150</f>
        <v>0.22597185722008425</v>
      </c>
      <c r="KK150" s="1849">
        <v>3</v>
      </c>
      <c r="KL150" s="1850">
        <v>144614</v>
      </c>
      <c r="KM150" s="1850">
        <v>186833</v>
      </c>
      <c r="KN150" s="1851">
        <f t="shared" si="590"/>
        <v>42219</v>
      </c>
      <c r="KO150" s="1852">
        <f>KN150/KM150</f>
        <v>0.22597185722008425</v>
      </c>
      <c r="KP150" s="1722">
        <v>2</v>
      </c>
      <c r="KQ150" s="972">
        <v>52000</v>
      </c>
      <c r="KR150" s="264">
        <v>186833</v>
      </c>
      <c r="KS150" s="1845">
        <f t="shared" si="591"/>
        <v>134833</v>
      </c>
      <c r="KT150" s="1720">
        <f>KS150/KR150</f>
        <v>0.72167657747828273</v>
      </c>
      <c r="KU150" s="1853">
        <v>2</v>
      </c>
      <c r="KV150" s="264">
        <v>52000</v>
      </c>
      <c r="KW150" s="264">
        <v>186833</v>
      </c>
      <c r="KX150" s="264">
        <f t="shared" si="592"/>
        <v>134833</v>
      </c>
      <c r="KY150" s="75">
        <f t="shared" si="593"/>
        <v>0.72167657747828273</v>
      </c>
      <c r="KZ150" s="1857">
        <v>2</v>
      </c>
      <c r="LA150" s="358">
        <f t="shared" si="594"/>
        <v>1525054</v>
      </c>
      <c r="LB150" s="358">
        <f t="shared" si="594"/>
        <v>2241996</v>
      </c>
      <c r="LC150" s="358">
        <f t="shared" si="594"/>
        <v>716942</v>
      </c>
      <c r="LD150" s="151">
        <f t="shared" si="595"/>
        <v>0.31977844741917472</v>
      </c>
      <c r="LE150" s="1854">
        <f t="shared" si="596"/>
        <v>4.666666666666667</v>
      </c>
      <c r="LF150" s="1855">
        <f t="shared" si="597"/>
        <v>560499</v>
      </c>
      <c r="LG150" s="1855">
        <f t="shared" si="597"/>
        <v>160237</v>
      </c>
      <c r="LH150" s="1856">
        <f t="shared" si="598"/>
        <v>0.28588275804238722</v>
      </c>
      <c r="LI150" s="1857">
        <f t="shared" si="599"/>
        <v>3</v>
      </c>
      <c r="LJ150" s="1858">
        <f t="shared" si="600"/>
        <v>560499</v>
      </c>
      <c r="LK150" s="1854">
        <f t="shared" si="600"/>
        <v>126857</v>
      </c>
      <c r="LL150" s="1856">
        <f>LK150/LJ150</f>
        <v>0.22632868212075311</v>
      </c>
      <c r="LM150" s="1859">
        <f t="shared" si="601"/>
        <v>3</v>
      </c>
      <c r="LN150" s="1727">
        <f t="shared" si="602"/>
        <v>560499</v>
      </c>
      <c r="LO150" s="1727">
        <f t="shared" si="602"/>
        <v>117963</v>
      </c>
      <c r="LP150" s="151">
        <f>LO150/LN150</f>
        <v>0.21046067878800853</v>
      </c>
      <c r="LQ150" s="1860">
        <f t="shared" si="603"/>
        <v>2.3333333333333335</v>
      </c>
      <c r="LR150" s="1727">
        <f t="shared" si="604"/>
        <v>560499</v>
      </c>
      <c r="LS150" s="1727">
        <f t="shared" si="604"/>
        <v>311885</v>
      </c>
      <c r="LT150" s="1861">
        <f t="shared" si="605"/>
        <v>0.55644167072554995</v>
      </c>
      <c r="LV150" s="439">
        <v>2</v>
      </c>
      <c r="LW150" s="208">
        <f>52000+17000</f>
        <v>69000</v>
      </c>
      <c r="LX150" s="208">
        <v>186833</v>
      </c>
      <c r="LY150" s="96">
        <f t="shared" si="606"/>
        <v>117833</v>
      </c>
      <c r="LZ150" s="78">
        <f t="shared" si="607"/>
        <v>0.63068622780772132</v>
      </c>
      <c r="MA150" s="1862">
        <v>2</v>
      </c>
      <c r="MB150" s="265">
        <v>64655</v>
      </c>
      <c r="MC150" s="265">
        <v>186833</v>
      </c>
      <c r="MD150" s="371">
        <f t="shared" si="608"/>
        <v>122178</v>
      </c>
      <c r="ME150" s="157">
        <f t="shared" si="609"/>
        <v>0.65394229070881482</v>
      </c>
      <c r="MF150" s="439">
        <v>2</v>
      </c>
      <c r="MG150" s="208">
        <v>72500</v>
      </c>
      <c r="MH150" s="208">
        <v>186833</v>
      </c>
      <c r="MI150" s="371">
        <f t="shared" si="610"/>
        <v>114333</v>
      </c>
      <c r="MJ150" s="157">
        <f t="shared" si="611"/>
        <v>0.61195292052260575</v>
      </c>
      <c r="MK150" s="354">
        <v>3</v>
      </c>
      <c r="ML150" s="208">
        <v>119034</v>
      </c>
      <c r="MM150" s="208">
        <v>186833</v>
      </c>
      <c r="MN150" s="371">
        <f t="shared" si="612"/>
        <v>67799</v>
      </c>
      <c r="MO150" s="157">
        <f t="shared" si="613"/>
        <v>0.36288557160672902</v>
      </c>
      <c r="MP150" s="2574">
        <v>2</v>
      </c>
      <c r="MQ150" s="1248">
        <f>98834+23500+17000</f>
        <v>139334</v>
      </c>
      <c r="MR150" s="1248">
        <v>186833</v>
      </c>
      <c r="MS150" s="1248">
        <f t="shared" si="614"/>
        <v>47499</v>
      </c>
      <c r="MT150" s="655">
        <f t="shared" si="615"/>
        <v>0.25423238935305864</v>
      </c>
      <c r="MU150" s="209">
        <v>2</v>
      </c>
      <c r="MV150" s="208">
        <v>139334</v>
      </c>
      <c r="MW150" s="208">
        <v>186833</v>
      </c>
      <c r="MX150" s="208">
        <f t="shared" si="616"/>
        <v>47499</v>
      </c>
      <c r="MY150" s="655">
        <f t="shared" si="617"/>
        <v>0.25423238935305864</v>
      </c>
      <c r="MZ150" s="209">
        <v>2</v>
      </c>
      <c r="NA150" s="208">
        <v>139334</v>
      </c>
      <c r="NB150" s="208">
        <v>186833</v>
      </c>
      <c r="NC150" s="208">
        <f t="shared" si="618"/>
        <v>47499</v>
      </c>
      <c r="ND150" s="655">
        <f t="shared" si="619"/>
        <v>0.25423238935305864</v>
      </c>
      <c r="NE150" s="209">
        <v>2</v>
      </c>
      <c r="NF150" s="208">
        <v>139334</v>
      </c>
      <c r="NG150" s="208">
        <v>186833</v>
      </c>
      <c r="NH150" s="208">
        <f t="shared" si="620"/>
        <v>47499</v>
      </c>
      <c r="NI150" s="655">
        <f t="shared" si="621"/>
        <v>0.25423238935305864</v>
      </c>
      <c r="NJ150" s="209">
        <v>2</v>
      </c>
      <c r="NK150" s="208">
        <v>139334</v>
      </c>
      <c r="NL150" s="208">
        <v>186833</v>
      </c>
      <c r="NM150" s="208">
        <f t="shared" si="622"/>
        <v>47499</v>
      </c>
      <c r="NN150" s="655">
        <f t="shared" si="623"/>
        <v>0.25423238935305864</v>
      </c>
      <c r="NO150" s="402">
        <v>2</v>
      </c>
      <c r="NP150" s="358">
        <v>146334</v>
      </c>
      <c r="NQ150" s="358">
        <v>186833</v>
      </c>
      <c r="NR150" s="208">
        <f t="shared" si="624"/>
        <v>40499</v>
      </c>
      <c r="NS150" s="655">
        <f t="shared" si="625"/>
        <v>0.21676577478282744</v>
      </c>
      <c r="NT150" s="402">
        <v>2</v>
      </c>
      <c r="NU150" s="358">
        <f>66334+40000</f>
        <v>106334</v>
      </c>
      <c r="NV150" s="358">
        <v>186833</v>
      </c>
      <c r="NW150" s="208">
        <f t="shared" si="626"/>
        <v>80499</v>
      </c>
      <c r="NX150" s="655">
        <f t="shared" si="627"/>
        <v>0.43086071518414842</v>
      </c>
      <c r="NY150" s="402">
        <v>2</v>
      </c>
      <c r="NZ150" s="358">
        <v>98834</v>
      </c>
      <c r="OA150" s="358">
        <v>186833</v>
      </c>
      <c r="OB150" s="772">
        <f t="shared" si="628"/>
        <v>87999</v>
      </c>
      <c r="OC150" s="659">
        <f t="shared" si="629"/>
        <v>0.47100351650939609</v>
      </c>
      <c r="OD150" s="191">
        <v>2</v>
      </c>
      <c r="OE150" s="358">
        <f t="shared" si="630"/>
        <v>1373361</v>
      </c>
      <c r="OF150" s="358">
        <f t="shared" si="630"/>
        <v>2241996</v>
      </c>
      <c r="OG150" s="358">
        <f t="shared" si="630"/>
        <v>868635</v>
      </c>
      <c r="OH150" s="220">
        <f t="shared" si="631"/>
        <v>0.38743824699062801</v>
      </c>
      <c r="OI150" s="1863">
        <f t="shared" si="632"/>
        <v>2</v>
      </c>
      <c r="OJ150" s="105">
        <f t="shared" si="633"/>
        <v>206155</v>
      </c>
      <c r="OK150" s="105">
        <f t="shared" si="633"/>
        <v>560499</v>
      </c>
      <c r="OL150" s="105">
        <f t="shared" si="633"/>
        <v>354344</v>
      </c>
      <c r="OM150" s="106">
        <f t="shared" si="634"/>
        <v>0.63219381301304733</v>
      </c>
      <c r="ON150" s="358">
        <f t="shared" si="635"/>
        <v>2.3333333333333335</v>
      </c>
      <c r="OO150" s="358">
        <f t="shared" si="636"/>
        <v>397702</v>
      </c>
      <c r="OP150" s="358">
        <f t="shared" si="636"/>
        <v>560499</v>
      </c>
      <c r="OQ150" s="359">
        <f t="shared" si="636"/>
        <v>162797</v>
      </c>
      <c r="OR150" s="169">
        <f t="shared" si="637"/>
        <v>0.29045011677094873</v>
      </c>
      <c r="OS150" s="686">
        <f t="shared" si="638"/>
        <v>2</v>
      </c>
      <c r="OT150" s="146">
        <f t="shared" si="639"/>
        <v>418002</v>
      </c>
      <c r="OU150" s="146">
        <f t="shared" si="639"/>
        <v>560499</v>
      </c>
      <c r="OV150" s="1864">
        <f t="shared" si="639"/>
        <v>142497</v>
      </c>
      <c r="OW150" s="203">
        <f t="shared" si="640"/>
        <v>0.25423238935305864</v>
      </c>
      <c r="OX150" s="357">
        <v>2</v>
      </c>
      <c r="OY150" s="358">
        <f t="shared" si="641"/>
        <v>351502</v>
      </c>
      <c r="OZ150" s="358">
        <f t="shared" si="641"/>
        <v>560499</v>
      </c>
      <c r="PA150" s="359">
        <f t="shared" si="641"/>
        <v>208997</v>
      </c>
      <c r="PB150" s="114">
        <f t="shared" si="642"/>
        <v>0.37287666882545734</v>
      </c>
      <c r="PC150" s="79"/>
      <c r="PD150" s="439">
        <v>3</v>
      </c>
      <c r="PE150" s="208">
        <v>163134</v>
      </c>
      <c r="PF150" s="208">
        <v>186833</v>
      </c>
      <c r="PG150" s="96">
        <f t="shared" si="643"/>
        <v>23699</v>
      </c>
      <c r="PH150" s="224">
        <f t="shared" si="644"/>
        <v>0.12684589981427263</v>
      </c>
      <c r="PI150" s="1862">
        <v>3</v>
      </c>
      <c r="PJ150" s="265">
        <v>167521</v>
      </c>
      <c r="PK150" s="265">
        <v>186833</v>
      </c>
      <c r="PL150" s="371">
        <f t="shared" si="529"/>
        <v>19312</v>
      </c>
      <c r="PM150" s="157">
        <f t="shared" si="530"/>
        <v>0.10336503722575777</v>
      </c>
      <c r="PN150" s="439">
        <v>3</v>
      </c>
      <c r="PO150" s="208">
        <f>117332+57500</f>
        <v>174832</v>
      </c>
      <c r="PP150" s="208">
        <v>186833</v>
      </c>
      <c r="PQ150" s="371">
        <f t="shared" si="531"/>
        <v>12001</v>
      </c>
      <c r="PR150" s="157">
        <f t="shared" si="532"/>
        <v>6.4233834493906322E-2</v>
      </c>
      <c r="PS150" s="354">
        <v>3</v>
      </c>
      <c r="PT150" s="208">
        <f>117332+44000</f>
        <v>161332</v>
      </c>
      <c r="PU150" s="208">
        <v>186833</v>
      </c>
      <c r="PV150" s="371">
        <f t="shared" si="533"/>
        <v>25501</v>
      </c>
      <c r="PW150" s="157">
        <f t="shared" si="534"/>
        <v>0.13649087687935216</v>
      </c>
      <c r="PX150" s="2574">
        <v>3</v>
      </c>
      <c r="PY150" s="1248">
        <f>117332+20000+24000</f>
        <v>161332</v>
      </c>
      <c r="PZ150" s="1248">
        <v>186833</v>
      </c>
      <c r="QA150" s="1248">
        <f t="shared" si="535"/>
        <v>25501</v>
      </c>
      <c r="QB150" s="655">
        <f t="shared" si="536"/>
        <v>0.13649087687935216</v>
      </c>
      <c r="QC150" s="209">
        <v>3</v>
      </c>
      <c r="QD150" s="208">
        <f>117332+44000</f>
        <v>161332</v>
      </c>
      <c r="QE150" s="208">
        <v>186333</v>
      </c>
      <c r="QF150" s="208">
        <f t="shared" si="537"/>
        <v>25001</v>
      </c>
      <c r="QG150" s="655">
        <f t="shared" si="538"/>
        <v>0.13417376417489119</v>
      </c>
      <c r="QH150" s="439">
        <v>3</v>
      </c>
      <c r="QI150" s="208">
        <v>167733</v>
      </c>
      <c r="QJ150" s="208">
        <v>173815</v>
      </c>
      <c r="QK150" s="208">
        <f t="shared" si="539"/>
        <v>6082</v>
      </c>
      <c r="QL150" s="655">
        <f t="shared" si="540"/>
        <v>3.4991226303828782E-2</v>
      </c>
      <c r="QM150" s="439">
        <v>3</v>
      </c>
      <c r="QN150" s="208">
        <v>167733</v>
      </c>
      <c r="QO150" s="208">
        <v>173815</v>
      </c>
      <c r="QP150" s="208">
        <f t="shared" si="541"/>
        <v>6082</v>
      </c>
      <c r="QQ150" s="2019">
        <f t="shared" si="542"/>
        <v>3.4991226303828782E-2</v>
      </c>
      <c r="QR150" s="209">
        <v>3</v>
      </c>
      <c r="QS150" s="208">
        <v>177733</v>
      </c>
      <c r="QT150" s="208">
        <v>192438</v>
      </c>
      <c r="QU150" s="208">
        <f t="shared" si="543"/>
        <v>14705</v>
      </c>
      <c r="QV150" s="77">
        <f t="shared" si="544"/>
        <v>7.6414221723360251E-2</v>
      </c>
      <c r="QW150" s="156">
        <v>3</v>
      </c>
      <c r="QX150" s="2562">
        <v>177733</v>
      </c>
      <c r="QY150" s="2562">
        <v>192438</v>
      </c>
      <c r="QZ150" s="208">
        <f t="shared" si="545"/>
        <v>14705</v>
      </c>
      <c r="RA150" s="207">
        <f t="shared" si="546"/>
        <v>7.6414221723360251E-2</v>
      </c>
      <c r="RB150" s="402">
        <v>3</v>
      </c>
      <c r="RC150" s="358">
        <v>164897</v>
      </c>
      <c r="RD150" s="358">
        <v>192438</v>
      </c>
      <c r="RE150" s="208">
        <f t="shared" si="547"/>
        <v>27541</v>
      </c>
      <c r="RF150" s="1313">
        <f t="shared" si="548"/>
        <v>0.14311622444631517</v>
      </c>
      <c r="RG150" s="1857">
        <v>3</v>
      </c>
      <c r="RH150" s="358">
        <v>164897</v>
      </c>
      <c r="RI150" s="358">
        <v>192438</v>
      </c>
      <c r="RJ150" s="772">
        <f t="shared" si="549"/>
        <v>27541</v>
      </c>
      <c r="RK150" s="659">
        <f t="shared" si="550"/>
        <v>0.14311622444631517</v>
      </c>
      <c r="RL150" s="1567">
        <v>3</v>
      </c>
      <c r="RM150" s="1568">
        <f t="shared" si="551"/>
        <v>2010209</v>
      </c>
      <c r="RN150" s="1568">
        <f t="shared" si="551"/>
        <v>2237880</v>
      </c>
      <c r="RO150" s="1568">
        <f t="shared" si="551"/>
        <v>227671</v>
      </c>
      <c r="RP150" s="220">
        <f t="shared" si="552"/>
        <v>0.10173512431408298</v>
      </c>
      <c r="RQ150" s="1863">
        <f t="shared" si="553"/>
        <v>3</v>
      </c>
      <c r="RR150" s="105">
        <f t="shared" si="554"/>
        <v>505487</v>
      </c>
      <c r="RS150" s="105">
        <f t="shared" si="554"/>
        <v>560499</v>
      </c>
      <c r="RT150" s="105">
        <f t="shared" si="554"/>
        <v>55012</v>
      </c>
      <c r="RU150" s="106">
        <f t="shared" si="555"/>
        <v>9.8148257177978912E-2</v>
      </c>
      <c r="RV150" s="1868">
        <v>3</v>
      </c>
      <c r="RW150" s="358">
        <f t="shared" si="556"/>
        <v>483996</v>
      </c>
      <c r="RX150" s="358">
        <f t="shared" si="556"/>
        <v>559999</v>
      </c>
      <c r="RY150" s="359">
        <f t="shared" si="556"/>
        <v>76003</v>
      </c>
      <c r="RZ150" s="169">
        <f t="shared" si="557"/>
        <v>0.13571988521408074</v>
      </c>
      <c r="SA150" s="686">
        <v>3</v>
      </c>
      <c r="SB150" s="146">
        <f t="shared" si="558"/>
        <v>513199</v>
      </c>
      <c r="SC150" s="146">
        <f t="shared" si="558"/>
        <v>540068</v>
      </c>
      <c r="SD150" s="1864">
        <f t="shared" si="558"/>
        <v>26869</v>
      </c>
      <c r="SE150" s="203">
        <f t="shared" si="559"/>
        <v>4.9751142448728677E-2</v>
      </c>
      <c r="SF150" s="1567">
        <v>3</v>
      </c>
      <c r="SG150" s="358">
        <f t="shared" si="560"/>
        <v>507527</v>
      </c>
      <c r="SH150" s="358">
        <f t="shared" si="560"/>
        <v>577314</v>
      </c>
      <c r="SI150" s="359">
        <f t="shared" si="560"/>
        <v>69787</v>
      </c>
      <c r="SJ150" s="114">
        <f t="shared" si="561"/>
        <v>0.12088222353866354</v>
      </c>
      <c r="SL150" s="4934">
        <v>3</v>
      </c>
      <c r="SM150" s="1338">
        <f>164897+50000</f>
        <v>214897</v>
      </c>
      <c r="SN150" s="1338">
        <v>192438</v>
      </c>
      <c r="SO150" s="3659">
        <f t="shared" si="562"/>
        <v>-22459</v>
      </c>
      <c r="SP150" s="4111">
        <f t="shared" si="563"/>
        <v>-0.11670771884970743</v>
      </c>
      <c r="SQ150" s="4934">
        <v>3</v>
      </c>
      <c r="SR150" s="1338">
        <f>166996+50000</f>
        <v>216996</v>
      </c>
      <c r="SS150" s="1338">
        <v>192438</v>
      </c>
      <c r="ST150" s="3659">
        <f t="shared" si="564"/>
        <v>-24558</v>
      </c>
      <c r="SU150" s="4111">
        <f t="shared" si="645"/>
        <v>-0.12761512798927446</v>
      </c>
      <c r="SV150" s="4934">
        <v>3</v>
      </c>
      <c r="SW150" s="1338">
        <f>166996+50000</f>
        <v>216996</v>
      </c>
      <c r="SX150" s="4513">
        <v>192438</v>
      </c>
      <c r="SY150" s="3659">
        <f t="shared" si="565"/>
        <v>-24558</v>
      </c>
      <c r="SZ150" s="4941">
        <f t="shared" si="646"/>
        <v>-0.12761512798927446</v>
      </c>
      <c r="TA150" s="4940">
        <v>3</v>
      </c>
      <c r="TB150" s="1338">
        <f>166996+56500</f>
        <v>223496</v>
      </c>
      <c r="TC150" s="4513">
        <v>192438</v>
      </c>
      <c r="TD150" s="3659">
        <f t="shared" si="566"/>
        <v>-31058</v>
      </c>
      <c r="TE150" s="4941">
        <f t="shared" si="647"/>
        <v>-0.16139224061775742</v>
      </c>
      <c r="TF150" s="5260">
        <v>3</v>
      </c>
      <c r="TG150" s="4460">
        <f>166996+50000</f>
        <v>216996</v>
      </c>
      <c r="TH150" s="4460">
        <v>192438</v>
      </c>
      <c r="TI150" s="4460">
        <f t="shared" si="480"/>
        <v>-24558</v>
      </c>
      <c r="TJ150" s="4947">
        <f t="shared" si="648"/>
        <v>-0.12761512798927446</v>
      </c>
      <c r="TK150" s="4942">
        <v>3</v>
      </c>
      <c r="TL150" s="4460">
        <f>166996+25000+35000</f>
        <v>226996</v>
      </c>
      <c r="TM150" s="1338">
        <v>192438</v>
      </c>
      <c r="TN150" s="1338">
        <f t="shared" si="649"/>
        <v>-34558</v>
      </c>
      <c r="TO150" s="4514">
        <f t="shared" si="650"/>
        <v>-0.179579916648479</v>
      </c>
      <c r="TP150" s="1574">
        <v>3</v>
      </c>
      <c r="TQ150" s="395">
        <f>166996+25000+35000</f>
        <v>226996</v>
      </c>
      <c r="TR150" s="208">
        <v>192438</v>
      </c>
      <c r="TS150" s="4513">
        <f t="shared" si="651"/>
        <v>-34558</v>
      </c>
      <c r="TT150" s="4514">
        <f t="shared" si="652"/>
        <v>-0.179579916648479</v>
      </c>
      <c r="TU150" s="4432">
        <v>3</v>
      </c>
      <c r="TV150" s="395">
        <f>166996+25000+35000</f>
        <v>226996</v>
      </c>
      <c r="TW150" s="208">
        <v>192438</v>
      </c>
      <c r="TX150" s="4513">
        <f t="shared" si="567"/>
        <v>-34558</v>
      </c>
      <c r="TY150" s="4947">
        <f t="shared" ref="TY150:TY160" si="657">TX150/TW150</f>
        <v>-0.179579916648479</v>
      </c>
      <c r="TZ150" s="209">
        <v>2</v>
      </c>
      <c r="UA150" s="208">
        <v>101996</v>
      </c>
      <c r="UB150" s="208">
        <v>192438</v>
      </c>
      <c r="UC150" s="994">
        <f t="shared" si="568"/>
        <v>90442</v>
      </c>
      <c r="UD150" s="116">
        <f t="shared" si="653"/>
        <v>0.46997994159157752</v>
      </c>
      <c r="UE150" s="6505">
        <v>2</v>
      </c>
      <c r="UF150" s="6506">
        <v>101996</v>
      </c>
      <c r="UG150" s="6506">
        <v>192438</v>
      </c>
      <c r="UH150" s="1575">
        <f t="shared" si="569"/>
        <v>90442</v>
      </c>
      <c r="UI150" s="1867">
        <f t="shared" si="654"/>
        <v>0.46997994159157752</v>
      </c>
      <c r="UJ150" s="402"/>
      <c r="UK150" s="358"/>
      <c r="UL150" s="358"/>
      <c r="UM150" s="208">
        <f t="shared" si="570"/>
        <v>0</v>
      </c>
      <c r="UN150" s="1313" t="e">
        <f t="shared" si="571"/>
        <v>#DIV/0!</v>
      </c>
      <c r="UO150" s="1567"/>
      <c r="UP150" s="1568"/>
      <c r="UQ150" s="1568"/>
      <c r="UR150" s="2012">
        <f t="shared" si="572"/>
        <v>0</v>
      </c>
      <c r="US150" s="659" t="e">
        <f t="shared" si="573"/>
        <v>#DIV/0!</v>
      </c>
      <c r="UT150" s="4944"/>
      <c r="UU150" s="358">
        <f t="shared" si="655"/>
        <v>1974361</v>
      </c>
      <c r="UV150" s="358">
        <f t="shared" si="655"/>
        <v>1924380</v>
      </c>
      <c r="UW150" s="1333">
        <f t="shared" si="655"/>
        <v>-49981</v>
      </c>
      <c r="UX150" s="4948">
        <f t="shared" si="575"/>
        <v>-2.5972521019757014E-2</v>
      </c>
      <c r="UY150" s="1863">
        <f t="shared" si="576"/>
        <v>3</v>
      </c>
      <c r="UZ150" s="105">
        <f t="shared" si="577"/>
        <v>648889</v>
      </c>
      <c r="VA150" s="105">
        <f t="shared" si="577"/>
        <v>577314</v>
      </c>
      <c r="VB150" s="105">
        <f t="shared" si="577"/>
        <v>-71575</v>
      </c>
      <c r="VC150" s="106">
        <f t="shared" si="578"/>
        <v>-0.12397932494275213</v>
      </c>
      <c r="VD150" s="1868"/>
      <c r="VE150" s="358">
        <f t="shared" si="656"/>
        <v>667488</v>
      </c>
      <c r="VF150" s="358">
        <f t="shared" si="656"/>
        <v>577314</v>
      </c>
      <c r="VG150" s="359">
        <f t="shared" si="656"/>
        <v>-90174</v>
      </c>
      <c r="VH150" s="169">
        <f t="shared" si="580"/>
        <v>-0.15619576175183694</v>
      </c>
      <c r="VI150" s="686"/>
      <c r="VJ150" s="146">
        <f t="shared" si="581"/>
        <v>555988</v>
      </c>
      <c r="VK150" s="146">
        <f t="shared" si="581"/>
        <v>577314</v>
      </c>
      <c r="VL150" s="1864">
        <f t="shared" si="581"/>
        <v>21326</v>
      </c>
      <c r="VM150" s="203">
        <f t="shared" si="582"/>
        <v>3.6940036098206522E-2</v>
      </c>
      <c r="VN150" s="1567"/>
      <c r="VO150" s="358">
        <f t="shared" si="583"/>
        <v>101996</v>
      </c>
      <c r="VP150" s="358">
        <f t="shared" si="583"/>
        <v>192438</v>
      </c>
      <c r="VQ150" s="359">
        <f t="shared" si="583"/>
        <v>90442</v>
      </c>
      <c r="VR150" s="114">
        <f t="shared" si="584"/>
        <v>0.46997994159157752</v>
      </c>
    </row>
    <row r="151" spans="1:590" s="1193" customFormat="1" ht="13.45" x14ac:dyDescent="0.3">
      <c r="A151" s="1297"/>
      <c r="B151" s="113" t="s">
        <v>84</v>
      </c>
      <c r="C151" s="2642" t="s">
        <v>92</v>
      </c>
      <c r="D151" s="2157" t="s">
        <v>276</v>
      </c>
      <c r="E151" s="2086">
        <v>44935</v>
      </c>
      <c r="F151" s="2086">
        <v>45535</v>
      </c>
      <c r="G151" s="2161">
        <v>75000</v>
      </c>
      <c r="H151" s="2162"/>
      <c r="I151" s="2163"/>
      <c r="J151" s="2163"/>
      <c r="K151" s="2163"/>
      <c r="L151" s="2164"/>
      <c r="M151" s="2162"/>
      <c r="N151" s="2163"/>
      <c r="O151" s="2163"/>
      <c r="P151" s="2163"/>
      <c r="Q151" s="2164"/>
      <c r="R151" s="2162"/>
      <c r="S151" s="2163"/>
      <c r="T151" s="2163"/>
      <c r="U151" s="2163"/>
      <c r="V151" s="2164"/>
      <c r="W151" s="2162"/>
      <c r="X151" s="2163"/>
      <c r="Y151" s="2163"/>
      <c r="Z151" s="2163"/>
      <c r="AA151" s="2165"/>
      <c r="AB151" s="2162"/>
      <c r="AC151" s="2163"/>
      <c r="AD151" s="2163"/>
      <c r="AE151" s="2163"/>
      <c r="AF151" s="2165"/>
      <c r="AG151" s="2163"/>
      <c r="AH151" s="2163"/>
      <c r="AI151" s="2163"/>
      <c r="AJ151" s="2163"/>
      <c r="AK151" s="2164"/>
      <c r="AL151" s="2163"/>
      <c r="AM151" s="2163"/>
      <c r="AN151" s="2163"/>
      <c r="AO151" s="2163"/>
      <c r="AP151" s="2164"/>
      <c r="AQ151" s="2163"/>
      <c r="AR151" s="2163"/>
      <c r="AS151" s="2163"/>
      <c r="AT151" s="2163"/>
      <c r="AU151" s="2164"/>
      <c r="AV151" s="2166"/>
      <c r="AW151" s="2163"/>
      <c r="AX151" s="2163"/>
      <c r="AY151" s="2163"/>
      <c r="AZ151" s="2165"/>
      <c r="BA151" s="2166"/>
      <c r="BB151" s="2163"/>
      <c r="BC151" s="2163"/>
      <c r="BD151" s="2163"/>
      <c r="BE151" s="2165"/>
      <c r="BF151" s="2166"/>
      <c r="BG151" s="2163"/>
      <c r="BH151" s="2163"/>
      <c r="BI151" s="2163"/>
      <c r="BJ151" s="2165"/>
      <c r="BK151" s="2166"/>
      <c r="BL151" s="2163"/>
      <c r="BM151" s="2163"/>
      <c r="BN151" s="2163"/>
      <c r="BO151" s="2165"/>
      <c r="BP151" s="2167"/>
      <c r="BQ151" s="2163"/>
      <c r="BR151" s="2163"/>
      <c r="BS151" s="2163"/>
      <c r="BT151" s="2168"/>
      <c r="BU151" s="2163"/>
      <c r="BV151" s="2163"/>
      <c r="BW151" s="2169"/>
      <c r="BX151" s="2168"/>
      <c r="BY151" s="2163"/>
      <c r="BZ151" s="2163"/>
      <c r="CA151" s="2170"/>
      <c r="CB151" s="2163"/>
      <c r="CC151" s="2163"/>
      <c r="CD151" s="2163"/>
      <c r="CE151" s="2163"/>
      <c r="CF151" s="2168"/>
      <c r="CG151" s="2163"/>
      <c r="CH151" s="2163"/>
      <c r="CI151" s="2170"/>
      <c r="CJ151" s="2171"/>
      <c r="CK151" s="2163"/>
      <c r="CL151" s="2163"/>
      <c r="CM151" s="2163"/>
      <c r="CN151" s="2169"/>
      <c r="CO151" s="2171"/>
      <c r="CP151" s="2162"/>
      <c r="CQ151" s="2162"/>
      <c r="CR151" s="2162"/>
      <c r="CS151" s="2169"/>
      <c r="CT151" s="2171"/>
      <c r="CU151" s="2163"/>
      <c r="CV151" s="2163"/>
      <c r="CW151" s="2163"/>
      <c r="CX151" s="2169"/>
      <c r="CY151" s="2171"/>
      <c r="CZ151" s="2163"/>
      <c r="DA151" s="2163"/>
      <c r="DB151" s="2163"/>
      <c r="DC151" s="2169"/>
      <c r="DD151" s="2171"/>
      <c r="DE151" s="2163"/>
      <c r="DF151" s="2163"/>
      <c r="DG151" s="2163"/>
      <c r="DH151" s="2172"/>
      <c r="DI151" s="2171"/>
      <c r="DJ151" s="2163"/>
      <c r="DK151" s="2163"/>
      <c r="DL151" s="2163"/>
      <c r="DM151" s="2172"/>
      <c r="DN151" s="2171"/>
      <c r="DO151" s="2163"/>
      <c r="DP151" s="2163"/>
      <c r="DQ151" s="2163"/>
      <c r="DR151" s="2172"/>
      <c r="DS151" s="2171"/>
      <c r="DT151" s="2163"/>
      <c r="DU151" s="2163"/>
      <c r="DV151" s="2163"/>
      <c r="DW151" s="2172"/>
      <c r="DX151" s="2171"/>
      <c r="DY151" s="2163"/>
      <c r="DZ151" s="2163"/>
      <c r="EA151" s="2163"/>
      <c r="EB151" s="2172"/>
      <c r="EC151" s="2171"/>
      <c r="ED151" s="2163"/>
      <c r="EE151" s="2163"/>
      <c r="EF151" s="2163"/>
      <c r="EG151" s="2172"/>
      <c r="EH151" s="2173"/>
      <c r="EI151" s="2174"/>
      <c r="EJ151" s="2174"/>
      <c r="EK151" s="2174"/>
      <c r="EL151" s="2175"/>
      <c r="EM151" s="2176"/>
      <c r="EN151" s="1142"/>
      <c r="EO151" s="1142"/>
      <c r="EP151" s="1142"/>
      <c r="EQ151" s="159"/>
      <c r="ER151" s="1713">
        <f t="shared" si="585"/>
        <v>0</v>
      </c>
      <c r="ES151" s="1714">
        <f t="shared" si="586"/>
        <v>0</v>
      </c>
      <c r="ET151" s="1714">
        <f t="shared" si="586"/>
        <v>0</v>
      </c>
      <c r="EU151" s="1714">
        <f t="shared" si="586"/>
        <v>0</v>
      </c>
      <c r="EV151" s="1715" t="e">
        <f t="shared" si="587"/>
        <v>#DIV/0!</v>
      </c>
      <c r="EW151" s="2177"/>
      <c r="EX151" s="2177"/>
      <c r="EY151" s="2177"/>
      <c r="EZ151" s="2178"/>
      <c r="FA151" s="2173"/>
      <c r="FB151" s="2177"/>
      <c r="FC151" s="2177"/>
      <c r="FD151" s="2179"/>
      <c r="FE151" s="2177"/>
      <c r="FF151" s="2177"/>
      <c r="FG151" s="2177"/>
      <c r="FH151" s="2178"/>
      <c r="FI151" s="2180"/>
      <c r="FJ151" s="2181"/>
      <c r="FK151" s="2182"/>
      <c r="FL151" s="2182"/>
      <c r="FM151" s="2183"/>
      <c r="FN151" s="2177"/>
      <c r="FO151" s="2174"/>
      <c r="FP151" s="2174"/>
      <c r="FQ151" s="2174"/>
      <c r="FR151" s="431"/>
      <c r="FS151" s="2176"/>
      <c r="FT151" s="1142"/>
      <c r="FU151" s="1142"/>
      <c r="FV151" s="1142"/>
      <c r="FW151" s="2184"/>
      <c r="FX151" s="2173"/>
      <c r="FY151" s="2174"/>
      <c r="FZ151" s="2174"/>
      <c r="GA151" s="1142"/>
      <c r="GB151" s="2184"/>
      <c r="GC151" s="2185"/>
      <c r="GD151" s="2186"/>
      <c r="GE151" s="2186"/>
      <c r="GF151" s="1142"/>
      <c r="GG151" s="159"/>
      <c r="GH151" s="2011"/>
      <c r="GI151" s="1096"/>
      <c r="GJ151" s="1096"/>
      <c r="GK151" s="2187"/>
      <c r="GL151" s="2184"/>
      <c r="GM151" s="2011"/>
      <c r="GN151" s="1096"/>
      <c r="GO151" s="1096"/>
      <c r="GP151" s="2187"/>
      <c r="GQ151" s="2184"/>
      <c r="GR151" s="2188"/>
      <c r="GS151" s="1850"/>
      <c r="GT151" s="1850"/>
      <c r="GU151" s="2187"/>
      <c r="GV151" s="2184"/>
      <c r="GW151" s="2188"/>
      <c r="GX151" s="1850"/>
      <c r="GY151" s="1850"/>
      <c r="GZ151" s="2187"/>
      <c r="HA151" s="2184"/>
      <c r="HB151" s="2188"/>
      <c r="HC151" s="1850"/>
      <c r="HD151" s="1850"/>
      <c r="HE151" s="2187"/>
      <c r="HF151" s="2184"/>
      <c r="HG151" s="2188"/>
      <c r="HH151" s="1850"/>
      <c r="HI151" s="1850"/>
      <c r="HJ151" s="1719"/>
      <c r="HK151" s="2184"/>
      <c r="HL151" s="2188"/>
      <c r="HM151" s="1850"/>
      <c r="HN151" s="1850"/>
      <c r="HO151" s="823"/>
      <c r="HP151" s="159"/>
      <c r="HQ151" s="1853"/>
      <c r="HR151" s="264"/>
      <c r="HS151" s="264"/>
      <c r="HT151" s="264"/>
      <c r="HU151" s="1933"/>
      <c r="HV151" s="2008">
        <f t="shared" si="588"/>
        <v>0</v>
      </c>
      <c r="HW151" s="208">
        <f t="shared" si="589"/>
        <v>0</v>
      </c>
      <c r="HX151" s="208">
        <f t="shared" si="589"/>
        <v>0</v>
      </c>
      <c r="HY151" s="208">
        <f t="shared" si="589"/>
        <v>0</v>
      </c>
      <c r="HZ151" s="2009"/>
      <c r="IA151" s="1705"/>
      <c r="IB151" s="1703"/>
      <c r="IC151" s="1703"/>
      <c r="ID151" s="1704"/>
      <c r="IE151" s="1637"/>
      <c r="IF151" s="1693"/>
      <c r="IG151" s="1702"/>
      <c r="IH151" s="1704"/>
      <c r="II151" s="1859"/>
      <c r="IJ151" s="1727"/>
      <c r="IK151" s="1727"/>
      <c r="IL151" s="73"/>
      <c r="IM151" s="1979"/>
      <c r="IN151" s="1727"/>
      <c r="IO151" s="1727"/>
      <c r="IP151" s="1861"/>
      <c r="IQ151" s="453"/>
      <c r="IR151" s="2190"/>
      <c r="IS151" s="946"/>
      <c r="IT151" s="946"/>
      <c r="IU151" s="2191"/>
      <c r="IV151" s="2192"/>
      <c r="IW151" s="2193"/>
      <c r="IX151" s="1921"/>
      <c r="IY151" s="1921"/>
      <c r="IZ151" s="1719"/>
      <c r="JA151" s="1721"/>
      <c r="JB151" s="1922"/>
      <c r="JC151" s="1923"/>
      <c r="JD151" s="1924"/>
      <c r="JE151" s="1719"/>
      <c r="JF151" s="1721"/>
      <c r="JG151" s="1847"/>
      <c r="JH151" s="1096"/>
      <c r="JI151" s="1096"/>
      <c r="JJ151" s="1756"/>
      <c r="JK151" s="1721"/>
      <c r="JL151" s="1927"/>
      <c r="JM151" s="1096"/>
      <c r="JN151" s="1096"/>
      <c r="JO151" s="1843"/>
      <c r="JP151" s="1721"/>
      <c r="JQ151" s="1927">
        <v>1</v>
      </c>
      <c r="JR151" s="972">
        <v>22917</v>
      </c>
      <c r="JS151" s="264">
        <v>27500</v>
      </c>
      <c r="JT151" s="1845">
        <f>JS151-JR151</f>
        <v>4583</v>
      </c>
      <c r="JU151" s="1721">
        <f>JT151/JS151</f>
        <v>0.16665454545454544</v>
      </c>
      <c r="JV151" s="1849">
        <v>1</v>
      </c>
      <c r="JW151" s="1119">
        <v>62500</v>
      </c>
      <c r="JX151" s="1850">
        <v>75000</v>
      </c>
      <c r="JY151" s="1845">
        <f>JX151-JW151</f>
        <v>12500</v>
      </c>
      <c r="JZ151" s="1721">
        <f>JY151/JX151</f>
        <v>0.16666666666666666</v>
      </c>
      <c r="KA151" s="1846">
        <v>1</v>
      </c>
      <c r="KB151" s="264">
        <v>62500</v>
      </c>
      <c r="KC151" s="264">
        <v>75000</v>
      </c>
      <c r="KD151" s="964">
        <f>KC151-KB151</f>
        <v>12500</v>
      </c>
      <c r="KE151" s="1848">
        <f>KD151/KC151</f>
        <v>0.16666666666666666</v>
      </c>
      <c r="KF151" s="1849">
        <v>1</v>
      </c>
      <c r="KG151" s="1850">
        <v>62500</v>
      </c>
      <c r="KH151" s="1850">
        <v>75000</v>
      </c>
      <c r="KI151" s="1719">
        <f>KH151-KG151</f>
        <v>12500</v>
      </c>
      <c r="KJ151" s="1721">
        <f>KI151/KH151</f>
        <v>0.16666666666666666</v>
      </c>
      <c r="KK151" s="1849">
        <v>1</v>
      </c>
      <c r="KL151" s="1850">
        <v>62500</v>
      </c>
      <c r="KM151" s="1850">
        <v>75000</v>
      </c>
      <c r="KN151" s="1851">
        <f t="shared" si="590"/>
        <v>12500</v>
      </c>
      <c r="KO151" s="1852">
        <f>KN151/KM151</f>
        <v>0.16666666666666666</v>
      </c>
      <c r="KP151" s="1722">
        <v>1</v>
      </c>
      <c r="KQ151" s="972">
        <v>62500</v>
      </c>
      <c r="KR151" s="264">
        <v>75000</v>
      </c>
      <c r="KS151" s="1845">
        <f t="shared" si="591"/>
        <v>12500</v>
      </c>
      <c r="KT151" s="1720">
        <f>KS151/KR151</f>
        <v>0.16666666666666666</v>
      </c>
      <c r="KU151" s="1853">
        <v>1</v>
      </c>
      <c r="KV151" s="264">
        <v>62500</v>
      </c>
      <c r="KW151" s="264">
        <v>75000</v>
      </c>
      <c r="KX151" s="264">
        <f t="shared" si="592"/>
        <v>12500</v>
      </c>
      <c r="KY151" s="75">
        <f t="shared" si="593"/>
        <v>0.16666666666666666</v>
      </c>
      <c r="KZ151" s="1857">
        <v>1</v>
      </c>
      <c r="LA151" s="358">
        <f t="shared" si="594"/>
        <v>397917</v>
      </c>
      <c r="LB151" s="358">
        <f t="shared" si="594"/>
        <v>477500</v>
      </c>
      <c r="LC151" s="358">
        <f t="shared" si="594"/>
        <v>79583</v>
      </c>
      <c r="LD151" s="151">
        <f t="shared" si="595"/>
        <v>0.16666596858638744</v>
      </c>
      <c r="LE151" s="1854">
        <f t="shared" si="596"/>
        <v>0</v>
      </c>
      <c r="LF151" s="1855">
        <f t="shared" si="597"/>
        <v>0</v>
      </c>
      <c r="LG151" s="1855">
        <f t="shared" si="597"/>
        <v>0</v>
      </c>
      <c r="LH151" s="1856" t="e">
        <f t="shared" si="598"/>
        <v>#DIV/0!</v>
      </c>
      <c r="LI151" s="1857">
        <f t="shared" si="599"/>
        <v>0.33333333333333331</v>
      </c>
      <c r="LJ151" s="1858">
        <f t="shared" si="600"/>
        <v>27500</v>
      </c>
      <c r="LK151" s="1854">
        <f t="shared" si="600"/>
        <v>4583</v>
      </c>
      <c r="LL151" s="1856">
        <f>LK151/LJ151</f>
        <v>0.16665454545454544</v>
      </c>
      <c r="LM151" s="1859">
        <f t="shared" si="601"/>
        <v>1</v>
      </c>
      <c r="LN151" s="1727">
        <f t="shared" si="602"/>
        <v>225000</v>
      </c>
      <c r="LO151" s="1727">
        <f t="shared" si="602"/>
        <v>37500</v>
      </c>
      <c r="LP151" s="151">
        <f>LO151/LN151</f>
        <v>0.16666666666666666</v>
      </c>
      <c r="LQ151" s="1860">
        <f t="shared" si="603"/>
        <v>1</v>
      </c>
      <c r="LR151" s="1727">
        <f t="shared" si="604"/>
        <v>225000</v>
      </c>
      <c r="LS151" s="1727">
        <f t="shared" si="604"/>
        <v>37500</v>
      </c>
      <c r="LT151" s="1861">
        <f t="shared" si="605"/>
        <v>0.16666666666666666</v>
      </c>
      <c r="LV151" s="439">
        <v>1</v>
      </c>
      <c r="LW151" s="208">
        <v>62500</v>
      </c>
      <c r="LX151" s="208">
        <v>75000</v>
      </c>
      <c r="LY151" s="96">
        <f t="shared" si="606"/>
        <v>12500</v>
      </c>
      <c r="LZ151" s="78">
        <f t="shared" si="607"/>
        <v>0.16666666666666666</v>
      </c>
      <c r="MA151" s="1862">
        <v>1</v>
      </c>
      <c r="MB151" s="265">
        <v>62500</v>
      </c>
      <c r="MC151" s="265">
        <v>75000</v>
      </c>
      <c r="MD151" s="371">
        <f t="shared" si="608"/>
        <v>12500</v>
      </c>
      <c r="ME151" s="157">
        <f t="shared" si="609"/>
        <v>0.16666666666666666</v>
      </c>
      <c r="MF151" s="439">
        <v>1</v>
      </c>
      <c r="MG151" s="208">
        <v>62500</v>
      </c>
      <c r="MH151" s="208">
        <v>75000</v>
      </c>
      <c r="MI151" s="371">
        <f t="shared" si="610"/>
        <v>12500</v>
      </c>
      <c r="MJ151" s="157">
        <f t="shared" si="611"/>
        <v>0.16666666666666666</v>
      </c>
      <c r="MK151" s="354">
        <v>1</v>
      </c>
      <c r="ML151" s="208">
        <v>62500</v>
      </c>
      <c r="MM151" s="208">
        <v>75000</v>
      </c>
      <c r="MN151" s="371">
        <f t="shared" si="612"/>
        <v>12500</v>
      </c>
      <c r="MO151" s="157">
        <f t="shared" si="613"/>
        <v>0.16666666666666666</v>
      </c>
      <c r="MP151" s="1579">
        <v>1</v>
      </c>
      <c r="MQ151" s="264">
        <v>62500</v>
      </c>
      <c r="MR151" s="264">
        <v>75000</v>
      </c>
      <c r="MS151" s="264">
        <f t="shared" si="614"/>
        <v>12500</v>
      </c>
      <c r="MT151" s="597">
        <f t="shared" si="615"/>
        <v>0.16666666666666666</v>
      </c>
      <c r="MU151" s="209">
        <v>1</v>
      </c>
      <c r="MV151" s="208">
        <v>62500</v>
      </c>
      <c r="MW151" s="208">
        <v>75000</v>
      </c>
      <c r="MX151" s="208">
        <f t="shared" si="616"/>
        <v>12500</v>
      </c>
      <c r="MY151" s="597">
        <f t="shared" si="617"/>
        <v>0.16666666666666666</v>
      </c>
      <c r="MZ151" s="209">
        <v>1</v>
      </c>
      <c r="NA151" s="208">
        <v>62500</v>
      </c>
      <c r="NB151" s="208">
        <v>75000</v>
      </c>
      <c r="NC151" s="208">
        <f t="shared" si="618"/>
        <v>12500</v>
      </c>
      <c r="ND151" s="597">
        <f t="shared" si="619"/>
        <v>0.16666666666666666</v>
      </c>
      <c r="NE151" s="209">
        <v>1</v>
      </c>
      <c r="NF151" s="208">
        <v>62500</v>
      </c>
      <c r="NG151" s="208">
        <v>75000</v>
      </c>
      <c r="NH151" s="208">
        <f t="shared" si="620"/>
        <v>12500</v>
      </c>
      <c r="NI151" s="597">
        <f t="shared" si="621"/>
        <v>0.16666666666666666</v>
      </c>
      <c r="NJ151" s="209">
        <v>1</v>
      </c>
      <c r="NK151" s="208">
        <v>62500</v>
      </c>
      <c r="NL151" s="208">
        <v>75000</v>
      </c>
      <c r="NM151" s="208">
        <f t="shared" si="622"/>
        <v>12500</v>
      </c>
      <c r="NN151" s="597">
        <f t="shared" si="623"/>
        <v>0.16666666666666666</v>
      </c>
      <c r="NO151" s="357">
        <v>1</v>
      </c>
      <c r="NP151" s="358">
        <v>62500</v>
      </c>
      <c r="NQ151" s="358">
        <v>75000</v>
      </c>
      <c r="NR151" s="208">
        <f t="shared" si="624"/>
        <v>12500</v>
      </c>
      <c r="NS151" s="597">
        <f t="shared" si="625"/>
        <v>0.16666666666666666</v>
      </c>
      <c r="NT151" s="357">
        <v>1</v>
      </c>
      <c r="NU151" s="358">
        <v>62500</v>
      </c>
      <c r="NV151" s="358">
        <v>75000</v>
      </c>
      <c r="NW151" s="208">
        <f t="shared" si="626"/>
        <v>12500</v>
      </c>
      <c r="NX151" s="597">
        <f t="shared" si="627"/>
        <v>0.16666666666666666</v>
      </c>
      <c r="NY151" s="357">
        <v>1</v>
      </c>
      <c r="NZ151" s="358">
        <v>62500</v>
      </c>
      <c r="OA151" s="358">
        <v>75000</v>
      </c>
      <c r="OB151" s="994">
        <f t="shared" si="628"/>
        <v>12500</v>
      </c>
      <c r="OC151" s="602">
        <f t="shared" si="629"/>
        <v>0.16666666666666666</v>
      </c>
      <c r="OD151" s="191">
        <v>1</v>
      </c>
      <c r="OE151" s="358">
        <f t="shared" si="630"/>
        <v>750000</v>
      </c>
      <c r="OF151" s="358">
        <f t="shared" si="630"/>
        <v>900000</v>
      </c>
      <c r="OG151" s="358">
        <f t="shared" si="630"/>
        <v>150000</v>
      </c>
      <c r="OH151" s="220">
        <f t="shared" si="631"/>
        <v>0.16666666666666666</v>
      </c>
      <c r="OI151" s="1863">
        <f t="shared" si="632"/>
        <v>1</v>
      </c>
      <c r="OJ151" s="105">
        <f t="shared" si="633"/>
        <v>187500</v>
      </c>
      <c r="OK151" s="105">
        <f t="shared" si="633"/>
        <v>225000</v>
      </c>
      <c r="OL151" s="105">
        <f t="shared" si="633"/>
        <v>37500</v>
      </c>
      <c r="OM151" s="106">
        <f t="shared" si="634"/>
        <v>0.16666666666666666</v>
      </c>
      <c r="ON151" s="358">
        <f t="shared" si="635"/>
        <v>1</v>
      </c>
      <c r="OO151" s="358">
        <f t="shared" si="636"/>
        <v>187500</v>
      </c>
      <c r="OP151" s="358">
        <f t="shared" si="636"/>
        <v>225000</v>
      </c>
      <c r="OQ151" s="359">
        <f t="shared" si="636"/>
        <v>37500</v>
      </c>
      <c r="OR151" s="169">
        <f t="shared" si="637"/>
        <v>0.16666666666666666</v>
      </c>
      <c r="OS151" s="686">
        <f t="shared" si="638"/>
        <v>1</v>
      </c>
      <c r="OT151" s="146">
        <f t="shared" si="639"/>
        <v>187500</v>
      </c>
      <c r="OU151" s="146">
        <f t="shared" si="639"/>
        <v>225000</v>
      </c>
      <c r="OV151" s="1864">
        <f t="shared" si="639"/>
        <v>37500</v>
      </c>
      <c r="OW151" s="203">
        <f t="shared" si="640"/>
        <v>0.16666666666666666</v>
      </c>
      <c r="OX151" s="357">
        <v>1</v>
      </c>
      <c r="OY151" s="358">
        <f t="shared" si="641"/>
        <v>187500</v>
      </c>
      <c r="OZ151" s="358">
        <f t="shared" si="641"/>
        <v>225000</v>
      </c>
      <c r="PA151" s="359">
        <f t="shared" si="641"/>
        <v>37500</v>
      </c>
      <c r="PB151" s="114">
        <f t="shared" si="642"/>
        <v>0.16666666666666666</v>
      </c>
      <c r="PC151" s="79"/>
      <c r="PD151" s="439">
        <v>1</v>
      </c>
      <c r="PE151" s="208">
        <v>62500</v>
      </c>
      <c r="PF151" s="208">
        <v>75000</v>
      </c>
      <c r="PG151" s="96">
        <f t="shared" si="643"/>
        <v>12500</v>
      </c>
      <c r="PH151" s="224">
        <f t="shared" si="644"/>
        <v>0.16666666666666666</v>
      </c>
      <c r="PI151" s="1862">
        <v>1</v>
      </c>
      <c r="PJ151" s="265">
        <v>62500</v>
      </c>
      <c r="PK151" s="265">
        <v>75000</v>
      </c>
      <c r="PL151" s="371">
        <f t="shared" si="529"/>
        <v>12500</v>
      </c>
      <c r="PM151" s="157">
        <f t="shared" si="530"/>
        <v>0.16666666666666666</v>
      </c>
      <c r="PN151" s="439">
        <v>1</v>
      </c>
      <c r="PO151" s="208">
        <v>62500</v>
      </c>
      <c r="PP151" s="208">
        <v>75000</v>
      </c>
      <c r="PQ151" s="371">
        <f t="shared" si="531"/>
        <v>12500</v>
      </c>
      <c r="PR151" s="157">
        <f t="shared" si="532"/>
        <v>0.16666666666666666</v>
      </c>
      <c r="PS151" s="354">
        <v>1</v>
      </c>
      <c r="PT151" s="208">
        <v>62500</v>
      </c>
      <c r="PU151" s="208">
        <v>75000</v>
      </c>
      <c r="PV151" s="371">
        <f t="shared" si="533"/>
        <v>12500</v>
      </c>
      <c r="PW151" s="157">
        <f t="shared" si="534"/>
        <v>0.16666666666666666</v>
      </c>
      <c r="PX151" s="1579">
        <v>1</v>
      </c>
      <c r="PY151" s="264">
        <v>62500</v>
      </c>
      <c r="PZ151" s="264">
        <v>75000</v>
      </c>
      <c r="QA151" s="264">
        <f t="shared" si="535"/>
        <v>12500</v>
      </c>
      <c r="QB151" s="597">
        <f t="shared" si="536"/>
        <v>0.16666666666666666</v>
      </c>
      <c r="QC151" s="209">
        <v>1</v>
      </c>
      <c r="QD151" s="208">
        <v>62500</v>
      </c>
      <c r="QE151" s="208">
        <v>75000</v>
      </c>
      <c r="QF151" s="208">
        <f t="shared" si="537"/>
        <v>12500</v>
      </c>
      <c r="QG151" s="597">
        <f t="shared" si="538"/>
        <v>0.16666666666666666</v>
      </c>
      <c r="QH151" s="439">
        <v>1</v>
      </c>
      <c r="QI151" s="208">
        <v>62500</v>
      </c>
      <c r="QJ151" s="208">
        <v>75000</v>
      </c>
      <c r="QK151" s="208">
        <f t="shared" si="539"/>
        <v>12500</v>
      </c>
      <c r="QL151" s="597">
        <f t="shared" si="540"/>
        <v>0.16666666666666666</v>
      </c>
      <c r="QM151" s="439">
        <v>1</v>
      </c>
      <c r="QN151" s="208">
        <v>62500</v>
      </c>
      <c r="QO151" s="208">
        <v>75000</v>
      </c>
      <c r="QP151" s="395">
        <f t="shared" si="541"/>
        <v>12500</v>
      </c>
      <c r="QQ151" s="2019">
        <f t="shared" si="542"/>
        <v>0.16666666666666666</v>
      </c>
      <c r="QR151" s="209">
        <v>1</v>
      </c>
      <c r="QS151" s="208">
        <v>62500</v>
      </c>
      <c r="QT151" s="208">
        <v>75000</v>
      </c>
      <c r="QU151" s="395">
        <f t="shared" si="543"/>
        <v>12500</v>
      </c>
      <c r="QV151" s="77">
        <f t="shared" si="544"/>
        <v>0.16666666666666666</v>
      </c>
      <c r="QW151" s="2561">
        <v>1</v>
      </c>
      <c r="QX151" s="2562">
        <v>62500</v>
      </c>
      <c r="QY151" s="2562">
        <v>75000</v>
      </c>
      <c r="QZ151" s="395">
        <f t="shared" si="545"/>
        <v>12500</v>
      </c>
      <c r="RA151" s="207">
        <f t="shared" si="546"/>
        <v>0.16666666666666666</v>
      </c>
      <c r="RB151" s="357">
        <v>1</v>
      </c>
      <c r="RC151" s="358">
        <v>62500</v>
      </c>
      <c r="RD151" s="358">
        <v>75000</v>
      </c>
      <c r="RE151" s="208">
        <f t="shared" si="547"/>
        <v>12500</v>
      </c>
      <c r="RF151" s="1313">
        <f t="shared" si="548"/>
        <v>0.16666666666666666</v>
      </c>
      <c r="RG151" s="1857">
        <v>1</v>
      </c>
      <c r="RH151" s="358">
        <v>62500</v>
      </c>
      <c r="RI151" s="358">
        <v>75000</v>
      </c>
      <c r="RJ151" s="994">
        <f t="shared" si="549"/>
        <v>12500</v>
      </c>
      <c r="RK151" s="602">
        <f t="shared" si="550"/>
        <v>0.16666666666666666</v>
      </c>
      <c r="RL151" s="1567">
        <v>1</v>
      </c>
      <c r="RM151" s="1568">
        <f t="shared" si="551"/>
        <v>750000</v>
      </c>
      <c r="RN151" s="1568">
        <f t="shared" si="551"/>
        <v>900000</v>
      </c>
      <c r="RO151" s="1568">
        <f t="shared" si="551"/>
        <v>150000</v>
      </c>
      <c r="RP151" s="220">
        <f t="shared" si="552"/>
        <v>0.16666666666666666</v>
      </c>
      <c r="RQ151" s="1863">
        <f t="shared" si="553"/>
        <v>1</v>
      </c>
      <c r="RR151" s="105">
        <f t="shared" si="554"/>
        <v>187500</v>
      </c>
      <c r="RS151" s="105">
        <f t="shared" si="554"/>
        <v>225000</v>
      </c>
      <c r="RT151" s="105">
        <f t="shared" si="554"/>
        <v>37500</v>
      </c>
      <c r="RU151" s="106">
        <f t="shared" si="555"/>
        <v>0.16666666666666666</v>
      </c>
      <c r="RV151" s="1868">
        <v>1</v>
      </c>
      <c r="RW151" s="358">
        <f t="shared" si="556"/>
        <v>187500</v>
      </c>
      <c r="RX151" s="358">
        <f t="shared" si="556"/>
        <v>225000</v>
      </c>
      <c r="RY151" s="359">
        <f t="shared" si="556"/>
        <v>37500</v>
      </c>
      <c r="RZ151" s="169">
        <f t="shared" si="557"/>
        <v>0.16666666666666666</v>
      </c>
      <c r="SA151" s="686">
        <v>1</v>
      </c>
      <c r="SB151" s="146">
        <f t="shared" si="558"/>
        <v>187500</v>
      </c>
      <c r="SC151" s="146">
        <f t="shared" si="558"/>
        <v>225000</v>
      </c>
      <c r="SD151" s="1864">
        <f t="shared" si="558"/>
        <v>37500</v>
      </c>
      <c r="SE151" s="203">
        <f t="shared" si="559"/>
        <v>0.16666666666666666</v>
      </c>
      <c r="SF151" s="1567">
        <v>1</v>
      </c>
      <c r="SG151" s="358">
        <f t="shared" si="560"/>
        <v>187500</v>
      </c>
      <c r="SH151" s="358">
        <f t="shared" si="560"/>
        <v>225000</v>
      </c>
      <c r="SI151" s="359">
        <f t="shared" si="560"/>
        <v>37500</v>
      </c>
      <c r="SJ151" s="114">
        <f t="shared" si="561"/>
        <v>0.16666666666666666</v>
      </c>
      <c r="SL151" s="439">
        <v>1</v>
      </c>
      <c r="SM151" s="208">
        <v>62500</v>
      </c>
      <c r="SN151" s="208">
        <v>75000</v>
      </c>
      <c r="SO151" s="96">
        <f t="shared" si="562"/>
        <v>12500</v>
      </c>
      <c r="SP151" s="78">
        <f t="shared" si="563"/>
        <v>0.16666666666666666</v>
      </c>
      <c r="SQ151" s="439">
        <v>1</v>
      </c>
      <c r="SR151" s="208">
        <v>62500</v>
      </c>
      <c r="SS151" s="208">
        <v>75000</v>
      </c>
      <c r="ST151" s="96">
        <f t="shared" si="564"/>
        <v>12500</v>
      </c>
      <c r="SU151" s="78">
        <f t="shared" si="645"/>
        <v>0.16666666666666666</v>
      </c>
      <c r="SV151" s="439">
        <v>1</v>
      </c>
      <c r="SW151" s="208">
        <v>83334</v>
      </c>
      <c r="SX151" s="994">
        <v>97500</v>
      </c>
      <c r="SY151" s="96">
        <f t="shared" si="565"/>
        <v>14166</v>
      </c>
      <c r="SZ151" s="94">
        <f t="shared" si="646"/>
        <v>0.14529230769230769</v>
      </c>
      <c r="TA151" s="354">
        <v>1</v>
      </c>
      <c r="TB151" s="208">
        <v>70834</v>
      </c>
      <c r="TC151" s="994">
        <v>97500</v>
      </c>
      <c r="TD151" s="96">
        <f t="shared" si="566"/>
        <v>26666</v>
      </c>
      <c r="TE151" s="94">
        <f t="shared" si="647"/>
        <v>0.27349743589743591</v>
      </c>
      <c r="TF151" s="354">
        <v>1</v>
      </c>
      <c r="TG151" s="208">
        <v>62500</v>
      </c>
      <c r="TH151" s="208">
        <v>75000</v>
      </c>
      <c r="TI151" s="208">
        <f t="shared" si="480"/>
        <v>12500</v>
      </c>
      <c r="TJ151" s="114">
        <f t="shared" si="648"/>
        <v>0.16666666666666666</v>
      </c>
      <c r="TK151" s="209">
        <v>2</v>
      </c>
      <c r="TL151" s="208">
        <v>125000</v>
      </c>
      <c r="TM151" s="208">
        <v>150000</v>
      </c>
      <c r="TN151" s="208">
        <f t="shared" si="649"/>
        <v>25000</v>
      </c>
      <c r="TO151" s="114">
        <f t="shared" si="650"/>
        <v>0.16666666666666666</v>
      </c>
      <c r="TP151" s="1574">
        <v>2</v>
      </c>
      <c r="TQ151" s="208">
        <v>125000</v>
      </c>
      <c r="TR151" s="208">
        <v>150000</v>
      </c>
      <c r="TS151" s="994">
        <f t="shared" si="651"/>
        <v>25000</v>
      </c>
      <c r="TT151" s="114">
        <f t="shared" si="652"/>
        <v>0.16666666666666666</v>
      </c>
      <c r="TU151" s="4432">
        <v>2</v>
      </c>
      <c r="TV151" s="208">
        <v>125000</v>
      </c>
      <c r="TW151" s="208">
        <v>150000</v>
      </c>
      <c r="TX151" s="772">
        <f t="shared" si="567"/>
        <v>25000</v>
      </c>
      <c r="TY151" s="116">
        <f t="shared" si="657"/>
        <v>0.16666666666666666</v>
      </c>
      <c r="TZ151" s="209">
        <v>2</v>
      </c>
      <c r="UA151" s="208">
        <v>125000</v>
      </c>
      <c r="UB151" s="208">
        <v>150000</v>
      </c>
      <c r="UC151" s="772">
        <f t="shared" si="568"/>
        <v>25000</v>
      </c>
      <c r="UD151" s="116">
        <f t="shared" si="653"/>
        <v>0.16666666666666666</v>
      </c>
      <c r="UE151" s="6505">
        <v>2</v>
      </c>
      <c r="UF151" s="6506">
        <v>125000</v>
      </c>
      <c r="UG151" s="6506">
        <v>150000</v>
      </c>
      <c r="UH151" s="1575">
        <f t="shared" si="569"/>
        <v>25000</v>
      </c>
      <c r="UI151" s="1867">
        <f t="shared" si="654"/>
        <v>0.16666666666666666</v>
      </c>
      <c r="UJ151" s="357"/>
      <c r="UK151" s="358"/>
      <c r="UL151" s="358"/>
      <c r="UM151" s="208">
        <f t="shared" si="570"/>
        <v>0</v>
      </c>
      <c r="UN151" s="1313" t="e">
        <f t="shared" si="571"/>
        <v>#DIV/0!</v>
      </c>
      <c r="UO151" s="1567"/>
      <c r="UP151" s="1568"/>
      <c r="UQ151" s="1568"/>
      <c r="UR151" s="2552">
        <f t="shared" si="572"/>
        <v>0</v>
      </c>
      <c r="US151" s="602" t="e">
        <f t="shared" si="573"/>
        <v>#DIV/0!</v>
      </c>
      <c r="UT151" s="1567"/>
      <c r="UU151" s="358">
        <f t="shared" si="655"/>
        <v>966668</v>
      </c>
      <c r="UV151" s="358">
        <f t="shared" si="655"/>
        <v>1170000</v>
      </c>
      <c r="UW151" s="358">
        <f t="shared" si="655"/>
        <v>203332</v>
      </c>
      <c r="UX151" s="220">
        <f t="shared" si="575"/>
        <v>0.17378803418803418</v>
      </c>
      <c r="UY151" s="1863">
        <f t="shared" si="576"/>
        <v>1</v>
      </c>
      <c r="UZ151" s="105">
        <f t="shared" si="577"/>
        <v>208334</v>
      </c>
      <c r="VA151" s="105">
        <f t="shared" si="577"/>
        <v>247500</v>
      </c>
      <c r="VB151" s="105">
        <f t="shared" si="577"/>
        <v>39166</v>
      </c>
      <c r="VC151" s="106">
        <f t="shared" si="578"/>
        <v>0.15824646464646464</v>
      </c>
      <c r="VD151" s="1868"/>
      <c r="VE151" s="358">
        <f t="shared" si="656"/>
        <v>258334</v>
      </c>
      <c r="VF151" s="358">
        <f t="shared" si="656"/>
        <v>322500</v>
      </c>
      <c r="VG151" s="359">
        <f t="shared" si="656"/>
        <v>64166</v>
      </c>
      <c r="VH151" s="169">
        <f t="shared" si="580"/>
        <v>0.19896434108527131</v>
      </c>
      <c r="VI151" s="686"/>
      <c r="VJ151" s="146">
        <f t="shared" si="581"/>
        <v>375000</v>
      </c>
      <c r="VK151" s="146">
        <f t="shared" si="581"/>
        <v>450000</v>
      </c>
      <c r="VL151" s="1864">
        <f t="shared" si="581"/>
        <v>75000</v>
      </c>
      <c r="VM151" s="203">
        <f t="shared" si="582"/>
        <v>0.16666666666666666</v>
      </c>
      <c r="VN151" s="1567"/>
      <c r="VO151" s="358">
        <f t="shared" si="583"/>
        <v>125000</v>
      </c>
      <c r="VP151" s="358">
        <f t="shared" si="583"/>
        <v>150000</v>
      </c>
      <c r="VQ151" s="359">
        <f t="shared" si="583"/>
        <v>25000</v>
      </c>
      <c r="VR151" s="114">
        <f t="shared" si="584"/>
        <v>0.16666666666666666</v>
      </c>
    </row>
    <row r="152" spans="1:590" s="1193" customFormat="1" ht="13.45" x14ac:dyDescent="0.3">
      <c r="A152" s="1297"/>
      <c r="B152" s="2020" t="s">
        <v>53</v>
      </c>
      <c r="C152" s="2636" t="s">
        <v>91</v>
      </c>
      <c r="D152" s="2844" t="s">
        <v>301</v>
      </c>
      <c r="E152" s="384">
        <v>45179</v>
      </c>
      <c r="F152" s="384">
        <v>45544</v>
      </c>
      <c r="G152" s="2161">
        <v>216300</v>
      </c>
      <c r="H152" s="2162"/>
      <c r="I152" s="2163"/>
      <c r="J152" s="2163"/>
      <c r="K152" s="2163"/>
      <c r="L152" s="2164"/>
      <c r="M152" s="2162"/>
      <c r="N152" s="2163"/>
      <c r="O152" s="2163"/>
      <c r="P152" s="2163"/>
      <c r="Q152" s="2164"/>
      <c r="R152" s="2162"/>
      <c r="S152" s="2163"/>
      <c r="T152" s="2163"/>
      <c r="U152" s="2163"/>
      <c r="V152" s="2164"/>
      <c r="W152" s="2162"/>
      <c r="X152" s="2163"/>
      <c r="Y152" s="2163"/>
      <c r="Z152" s="2163"/>
      <c r="AA152" s="2165"/>
      <c r="AB152" s="2162"/>
      <c r="AC152" s="2163"/>
      <c r="AD152" s="2163"/>
      <c r="AE152" s="2163"/>
      <c r="AF152" s="2165"/>
      <c r="AG152" s="2163"/>
      <c r="AH152" s="2163"/>
      <c r="AI152" s="2163"/>
      <c r="AJ152" s="2163"/>
      <c r="AK152" s="2164"/>
      <c r="AL152" s="2163"/>
      <c r="AM152" s="2163"/>
      <c r="AN152" s="2163"/>
      <c r="AO152" s="2163"/>
      <c r="AP152" s="2164"/>
      <c r="AQ152" s="2163"/>
      <c r="AR152" s="2163"/>
      <c r="AS152" s="2163"/>
      <c r="AT152" s="2163"/>
      <c r="AU152" s="2164"/>
      <c r="AV152" s="2166"/>
      <c r="AW152" s="2163"/>
      <c r="AX152" s="2163"/>
      <c r="AY152" s="2163"/>
      <c r="AZ152" s="2165"/>
      <c r="BA152" s="2166"/>
      <c r="BB152" s="2163"/>
      <c r="BC152" s="2163"/>
      <c r="BD152" s="2163"/>
      <c r="BE152" s="2165"/>
      <c r="BF152" s="2166"/>
      <c r="BG152" s="2163"/>
      <c r="BH152" s="2163"/>
      <c r="BI152" s="2163"/>
      <c r="BJ152" s="2165"/>
      <c r="BK152" s="2166"/>
      <c r="BL152" s="2163"/>
      <c r="BM152" s="2163"/>
      <c r="BN152" s="2163"/>
      <c r="BO152" s="2165"/>
      <c r="BP152" s="2167"/>
      <c r="BQ152" s="2163"/>
      <c r="BR152" s="2163"/>
      <c r="BS152" s="2163"/>
      <c r="BT152" s="2168"/>
      <c r="BU152" s="2163"/>
      <c r="BV152" s="2163"/>
      <c r="BW152" s="2169"/>
      <c r="BX152" s="2168"/>
      <c r="BY152" s="2163"/>
      <c r="BZ152" s="2163"/>
      <c r="CA152" s="2170"/>
      <c r="CB152" s="2163"/>
      <c r="CC152" s="2163"/>
      <c r="CD152" s="2163"/>
      <c r="CE152" s="2163"/>
      <c r="CF152" s="2168"/>
      <c r="CG152" s="2163"/>
      <c r="CH152" s="2163"/>
      <c r="CI152" s="2170"/>
      <c r="CJ152" s="2171"/>
      <c r="CK152" s="2163"/>
      <c r="CL152" s="2163"/>
      <c r="CM152" s="2163"/>
      <c r="CN152" s="2169"/>
      <c r="CO152" s="2171"/>
      <c r="CP152" s="2162"/>
      <c r="CQ152" s="2162"/>
      <c r="CR152" s="2162"/>
      <c r="CS152" s="2169"/>
      <c r="CT152" s="2171"/>
      <c r="CU152" s="2163"/>
      <c r="CV152" s="2163"/>
      <c r="CW152" s="2163"/>
      <c r="CX152" s="2169"/>
      <c r="CY152" s="2171"/>
      <c r="CZ152" s="2163"/>
      <c r="DA152" s="2163"/>
      <c r="DB152" s="2163"/>
      <c r="DC152" s="2169"/>
      <c r="DD152" s="2171"/>
      <c r="DE152" s="2163"/>
      <c r="DF152" s="2163"/>
      <c r="DG152" s="2163"/>
      <c r="DH152" s="2172"/>
      <c r="DI152" s="2171"/>
      <c r="DJ152" s="2163"/>
      <c r="DK152" s="2163"/>
      <c r="DL152" s="2163"/>
      <c r="DM152" s="2172"/>
      <c r="DN152" s="2171"/>
      <c r="DO152" s="2163"/>
      <c r="DP152" s="2163"/>
      <c r="DQ152" s="2163"/>
      <c r="DR152" s="2172"/>
      <c r="DS152" s="2171"/>
      <c r="DT152" s="2163"/>
      <c r="DU152" s="2163"/>
      <c r="DV152" s="2163"/>
      <c r="DW152" s="2172"/>
      <c r="DX152" s="2171"/>
      <c r="DY152" s="2163"/>
      <c r="DZ152" s="2163"/>
      <c r="EA152" s="2163"/>
      <c r="EB152" s="2172"/>
      <c r="EC152" s="2171"/>
      <c r="ED152" s="2163"/>
      <c r="EE152" s="2163"/>
      <c r="EF152" s="2163"/>
      <c r="EG152" s="2172"/>
      <c r="EH152" s="2173"/>
      <c r="EI152" s="2174"/>
      <c r="EJ152" s="2174"/>
      <c r="EK152" s="2174"/>
      <c r="EL152" s="2175"/>
      <c r="EM152" s="2176"/>
      <c r="EN152" s="1142"/>
      <c r="EO152" s="1142"/>
      <c r="EP152" s="1142"/>
      <c r="EQ152" s="159"/>
      <c r="ER152" s="1713"/>
      <c r="ES152" s="1714"/>
      <c r="ET152" s="1714"/>
      <c r="EU152" s="1714"/>
      <c r="EV152" s="1715"/>
      <c r="EW152" s="2177"/>
      <c r="EX152" s="2177"/>
      <c r="EY152" s="2177"/>
      <c r="EZ152" s="2178"/>
      <c r="FA152" s="2173"/>
      <c r="FB152" s="2177"/>
      <c r="FC152" s="2177"/>
      <c r="FD152" s="2179"/>
      <c r="FE152" s="2177"/>
      <c r="FF152" s="2177"/>
      <c r="FG152" s="2177"/>
      <c r="FH152" s="2178"/>
      <c r="FI152" s="2180"/>
      <c r="FJ152" s="2181"/>
      <c r="FK152" s="2182"/>
      <c r="FL152" s="2182"/>
      <c r="FM152" s="2183"/>
      <c r="FN152" s="2177"/>
      <c r="FO152" s="2174"/>
      <c r="FP152" s="2174"/>
      <c r="FQ152" s="2174"/>
      <c r="FR152" s="431"/>
      <c r="FS152" s="2176"/>
      <c r="FT152" s="1142"/>
      <c r="FU152" s="1142"/>
      <c r="FV152" s="1142"/>
      <c r="FW152" s="2184"/>
      <c r="FX152" s="2173"/>
      <c r="FY152" s="2174"/>
      <c r="FZ152" s="2174"/>
      <c r="GA152" s="1142"/>
      <c r="GB152" s="2184"/>
      <c r="GC152" s="2185"/>
      <c r="GD152" s="2186"/>
      <c r="GE152" s="2186"/>
      <c r="GF152" s="1142"/>
      <c r="GG152" s="159"/>
      <c r="GH152" s="2011"/>
      <c r="GI152" s="1096"/>
      <c r="GJ152" s="1096"/>
      <c r="GK152" s="2187"/>
      <c r="GL152" s="2184"/>
      <c r="GM152" s="2011"/>
      <c r="GN152" s="1096"/>
      <c r="GO152" s="1096"/>
      <c r="GP152" s="2187"/>
      <c r="GQ152" s="2184"/>
      <c r="GR152" s="2188"/>
      <c r="GS152" s="1850"/>
      <c r="GT152" s="1850"/>
      <c r="GU152" s="2187"/>
      <c r="GV152" s="2184"/>
      <c r="GW152" s="2188"/>
      <c r="GX152" s="1850"/>
      <c r="GY152" s="1850"/>
      <c r="GZ152" s="2187"/>
      <c r="HA152" s="2184"/>
      <c r="HB152" s="2188"/>
      <c r="HC152" s="1850"/>
      <c r="HD152" s="1850"/>
      <c r="HE152" s="2187"/>
      <c r="HF152" s="2184"/>
      <c r="HG152" s="2188"/>
      <c r="HH152" s="1850"/>
      <c r="HI152" s="1850"/>
      <c r="HJ152" s="1719"/>
      <c r="HK152" s="2184"/>
      <c r="HL152" s="2188"/>
      <c r="HM152" s="1850"/>
      <c r="HN152" s="1850"/>
      <c r="HO152" s="823"/>
      <c r="HP152" s="159"/>
      <c r="HQ152" s="1853"/>
      <c r="HR152" s="264"/>
      <c r="HS152" s="264"/>
      <c r="HT152" s="264"/>
      <c r="HU152" s="1933"/>
      <c r="HV152" s="2195"/>
      <c r="HW152" s="1089"/>
      <c r="HX152" s="1089"/>
      <c r="HY152" s="1089"/>
      <c r="HZ152" s="2196"/>
      <c r="IA152" s="1705"/>
      <c r="IB152" s="1703"/>
      <c r="IC152" s="1703"/>
      <c r="ID152" s="1704"/>
      <c r="IE152" s="1637"/>
      <c r="IF152" s="1693"/>
      <c r="IG152" s="1702"/>
      <c r="IH152" s="1704"/>
      <c r="II152" s="1859"/>
      <c r="IJ152" s="1727"/>
      <c r="IK152" s="1727"/>
      <c r="IL152" s="73"/>
      <c r="IM152" s="1979"/>
      <c r="IN152" s="1727"/>
      <c r="IO152" s="1727"/>
      <c r="IP152" s="1861"/>
      <c r="IQ152" s="453"/>
      <c r="IR152" s="2190"/>
      <c r="IS152" s="946"/>
      <c r="IT152" s="946"/>
      <c r="IU152" s="2191"/>
      <c r="IV152" s="2192"/>
      <c r="IW152" s="2193"/>
      <c r="IX152" s="1921"/>
      <c r="IY152" s="1921"/>
      <c r="IZ152" s="1719"/>
      <c r="JA152" s="1721"/>
      <c r="JB152" s="1922"/>
      <c r="JC152" s="1923"/>
      <c r="JD152" s="1924"/>
      <c r="JE152" s="1719"/>
      <c r="JF152" s="1721"/>
      <c r="JG152" s="1847"/>
      <c r="JH152" s="1096"/>
      <c r="JI152" s="1096"/>
      <c r="JJ152" s="1756"/>
      <c r="JK152" s="1721"/>
      <c r="JL152" s="1927"/>
      <c r="JM152" s="1096"/>
      <c r="JN152" s="1096"/>
      <c r="JO152" s="1843"/>
      <c r="JP152" s="1721"/>
      <c r="JQ152" s="1927"/>
      <c r="JR152" s="972"/>
      <c r="JS152" s="264"/>
      <c r="JT152" s="1845"/>
      <c r="JU152" s="1721"/>
      <c r="JV152" s="1849"/>
      <c r="JW152" s="1119"/>
      <c r="JX152" s="1850"/>
      <c r="JY152" s="1845"/>
      <c r="JZ152" s="1721"/>
      <c r="KA152" s="1846"/>
      <c r="KB152" s="264"/>
      <c r="KC152" s="264"/>
      <c r="KD152" s="964"/>
      <c r="KE152" s="1848"/>
      <c r="KF152" s="1849"/>
      <c r="KG152" s="1850"/>
      <c r="KH152" s="1850"/>
      <c r="KI152" s="1719"/>
      <c r="KJ152" s="1721"/>
      <c r="KK152" s="1849"/>
      <c r="KL152" s="1850"/>
      <c r="KM152" s="1850"/>
      <c r="KN152" s="1851"/>
      <c r="KO152" s="1852"/>
      <c r="KP152" s="1722"/>
      <c r="KQ152" s="972"/>
      <c r="KR152" s="264"/>
      <c r="KS152" s="1845"/>
      <c r="KT152" s="1720"/>
      <c r="KU152" s="1853"/>
      <c r="KV152" s="264"/>
      <c r="KW152" s="264"/>
      <c r="KX152" s="264"/>
      <c r="KY152" s="75"/>
      <c r="KZ152" s="1857"/>
      <c r="LA152" s="358"/>
      <c r="LB152" s="358"/>
      <c r="LC152" s="358"/>
      <c r="LD152" s="151"/>
      <c r="LE152" s="1854"/>
      <c r="LF152" s="1855"/>
      <c r="LG152" s="1855"/>
      <c r="LH152" s="1856"/>
      <c r="LI152" s="1857"/>
      <c r="LJ152" s="1858"/>
      <c r="LK152" s="1854"/>
      <c r="LL152" s="1856"/>
      <c r="LM152" s="1859"/>
      <c r="LN152" s="1727"/>
      <c r="LO152" s="1727"/>
      <c r="LP152" s="151"/>
      <c r="LQ152" s="1860"/>
      <c r="LR152" s="1727"/>
      <c r="LS152" s="1727"/>
      <c r="LT152" s="1861"/>
      <c r="LV152" s="1637"/>
      <c r="LW152" s="2197"/>
      <c r="LX152" s="2198"/>
      <c r="LY152" s="96"/>
      <c r="LZ152" s="78"/>
      <c r="MA152" s="1637"/>
      <c r="MB152" s="823"/>
      <c r="MC152" s="823"/>
      <c r="MD152" s="371"/>
      <c r="ME152" s="157"/>
      <c r="MF152" s="1637"/>
      <c r="MG152" s="2197"/>
      <c r="MH152" s="2198"/>
      <c r="MI152" s="371"/>
      <c r="MJ152" s="157"/>
      <c r="MK152" s="2199"/>
      <c r="ML152" s="2198"/>
      <c r="MM152" s="2198"/>
      <c r="MN152" s="371"/>
      <c r="MO152" s="157"/>
      <c r="MP152" s="2200"/>
      <c r="MQ152" s="264"/>
      <c r="MR152" s="264"/>
      <c r="MS152" s="264"/>
      <c r="MT152" s="597"/>
      <c r="MU152" s="1633"/>
      <c r="MV152" s="208"/>
      <c r="MW152" s="823"/>
      <c r="MX152" s="208"/>
      <c r="MY152" s="597"/>
      <c r="MZ152" s="1633"/>
      <c r="NA152" s="823"/>
      <c r="NB152" s="823"/>
      <c r="NC152" s="208"/>
      <c r="ND152" s="635"/>
      <c r="NE152" s="1633"/>
      <c r="NF152" s="208"/>
      <c r="NG152" s="823"/>
      <c r="NH152" s="208"/>
      <c r="NI152" s="635"/>
      <c r="NJ152" s="209"/>
      <c r="NK152" s="208"/>
      <c r="NL152" s="208"/>
      <c r="NM152" s="208"/>
      <c r="NN152" s="597"/>
      <c r="NO152" s="357"/>
      <c r="NP152" s="358"/>
      <c r="NQ152" s="358"/>
      <c r="NR152" s="208"/>
      <c r="NS152" s="635"/>
      <c r="NT152" s="357"/>
      <c r="NU152" s="358"/>
      <c r="NV152" s="358"/>
      <c r="NW152" s="208"/>
      <c r="NX152" s="635"/>
      <c r="NY152" s="357"/>
      <c r="NZ152" s="358"/>
      <c r="OA152" s="358"/>
      <c r="OB152" s="358"/>
      <c r="OC152" s="632"/>
      <c r="OD152" s="191"/>
      <c r="OE152" s="358"/>
      <c r="OF152" s="358"/>
      <c r="OG152" s="358"/>
      <c r="OH152" s="220"/>
      <c r="OI152" s="1863"/>
      <c r="OJ152" s="105"/>
      <c r="OK152" s="105"/>
      <c r="OL152" s="105"/>
      <c r="OM152" s="106"/>
      <c r="ON152" s="358"/>
      <c r="OO152" s="358"/>
      <c r="OP152" s="358"/>
      <c r="OQ152" s="359"/>
      <c r="OR152" s="169"/>
      <c r="OS152" s="686"/>
      <c r="OT152" s="146"/>
      <c r="OU152" s="146"/>
      <c r="OV152" s="1864"/>
      <c r="OW152" s="203"/>
      <c r="OX152" s="357"/>
      <c r="OY152" s="358"/>
      <c r="OZ152" s="358"/>
      <c r="PA152" s="359"/>
      <c r="PB152" s="114"/>
      <c r="PC152" s="79"/>
      <c r="PD152" s="439"/>
      <c r="PE152" s="208"/>
      <c r="PF152" s="208"/>
      <c r="PG152" s="96"/>
      <c r="PH152" s="461"/>
      <c r="PI152" s="1857"/>
      <c r="PJ152" s="358"/>
      <c r="PK152" s="358"/>
      <c r="PL152" s="137"/>
      <c r="PM152" s="94"/>
      <c r="PN152" s="1637"/>
      <c r="PO152" s="2197"/>
      <c r="PP152" s="2198"/>
      <c r="PQ152" s="371"/>
      <c r="PR152" s="157"/>
      <c r="PS152" s="2199"/>
      <c r="PT152" s="2198"/>
      <c r="PU152" s="2198"/>
      <c r="PV152" s="371"/>
      <c r="PW152" s="157"/>
      <c r="PX152" s="2200"/>
      <c r="PY152" s="264"/>
      <c r="PZ152" s="264"/>
      <c r="QA152" s="264"/>
      <c r="QB152" s="597"/>
      <c r="QC152" s="1633">
        <v>1</v>
      </c>
      <c r="QD152" s="435">
        <v>18055</v>
      </c>
      <c r="QE152" s="823">
        <v>22750</v>
      </c>
      <c r="QF152" s="208">
        <f>QE152-QD152</f>
        <v>4695</v>
      </c>
      <c r="QG152" s="655">
        <f>QF152/QE152</f>
        <v>0.20637362637362638</v>
      </c>
      <c r="QH152" s="439">
        <v>1</v>
      </c>
      <c r="QI152" s="208">
        <v>83334</v>
      </c>
      <c r="QJ152" s="208">
        <v>97500</v>
      </c>
      <c r="QK152" s="208">
        <f>QJ152-QI152</f>
        <v>14166</v>
      </c>
      <c r="QL152" s="1313">
        <f>QK152/QJ152</f>
        <v>0.14529230769230769</v>
      </c>
      <c r="QM152" s="2158">
        <v>1</v>
      </c>
      <c r="QN152" s="2085">
        <v>81977</v>
      </c>
      <c r="QO152" s="2085">
        <v>115050</v>
      </c>
      <c r="QP152" s="208">
        <f>QO152-QN152</f>
        <v>33073</v>
      </c>
      <c r="QQ152" s="801">
        <f>QP152/QO152</f>
        <v>0.28746631899174274</v>
      </c>
      <c r="QR152" s="209">
        <v>1</v>
      </c>
      <c r="QS152" s="208">
        <v>83334</v>
      </c>
      <c r="QT152" s="208">
        <v>97500</v>
      </c>
      <c r="QU152" s="208">
        <f>QT152-QS152</f>
        <v>14166</v>
      </c>
      <c r="QV152" s="157">
        <f>QU152/QT152</f>
        <v>0.14529230769230769</v>
      </c>
      <c r="QW152" s="209">
        <v>1</v>
      </c>
      <c r="QX152" s="208">
        <v>83334</v>
      </c>
      <c r="QY152" s="994">
        <v>97500</v>
      </c>
      <c r="QZ152" s="208">
        <f>QY152-QX152</f>
        <v>14166</v>
      </c>
      <c r="RA152" s="2083">
        <f>QZ152/QY152</f>
        <v>0.14529230769230769</v>
      </c>
      <c r="RB152" s="209">
        <v>1</v>
      </c>
      <c r="RC152" s="208">
        <v>83334</v>
      </c>
      <c r="RD152" s="208">
        <v>97500</v>
      </c>
      <c r="RE152" s="208">
        <f>RD152-RC152</f>
        <v>14166</v>
      </c>
      <c r="RF152" s="114">
        <f>RE152/RD152</f>
        <v>0.14529230769230769</v>
      </c>
      <c r="RG152" s="1858">
        <v>1</v>
      </c>
      <c r="RH152" s="208">
        <v>83334</v>
      </c>
      <c r="RI152" s="208">
        <v>97500</v>
      </c>
      <c r="RJ152" s="772">
        <f>RI152-RH152</f>
        <v>14166</v>
      </c>
      <c r="RK152" s="116">
        <f>RJ152/RI152</f>
        <v>0.14529230769230769</v>
      </c>
      <c r="RL152" s="1569">
        <v>1</v>
      </c>
      <c r="RM152" s="1568">
        <f>RH152+RC152+QX152+QS152+QN152+QI152+QD152+PY152+PT152+PO152+PJ152+PE152</f>
        <v>516702</v>
      </c>
      <c r="RN152" s="1568">
        <f>RI152+RD152+QY152+QT152+QO152+QJ152+QE152+PZ152+PU152+PP152+PK152+PF152</f>
        <v>625300</v>
      </c>
      <c r="RO152" s="1568">
        <f>RJ152+RE152+QZ152+QU152+QP152+QK152+QF152+QA152+PV152+PQ152+PL152+PG152</f>
        <v>108598</v>
      </c>
      <c r="RP152" s="220">
        <f>RO152/RN152</f>
        <v>0.17367343675035982</v>
      </c>
      <c r="RQ152" s="1863"/>
      <c r="RR152" s="105"/>
      <c r="RS152" s="105"/>
      <c r="RT152" s="105"/>
      <c r="RU152" s="106"/>
      <c r="RV152" s="358">
        <v>1</v>
      </c>
      <c r="RW152" s="358">
        <f>PT152+PY152+QD152</f>
        <v>18055</v>
      </c>
      <c r="RX152" s="358">
        <f>PU152+PZ152+QE152</f>
        <v>22750</v>
      </c>
      <c r="RY152" s="359">
        <f>PV152+QA152+QF152</f>
        <v>4695</v>
      </c>
      <c r="RZ152" s="169">
        <f>RY152/RX152</f>
        <v>0.20637362637362638</v>
      </c>
      <c r="SA152" s="686">
        <v>1</v>
      </c>
      <c r="SB152" s="146">
        <f>QS152+QN152+QI152</f>
        <v>248645</v>
      </c>
      <c r="SC152" s="146">
        <f>QT152+QO152+QJ152</f>
        <v>310050</v>
      </c>
      <c r="SD152" s="1864">
        <f>QU152+QP152+QK152</f>
        <v>61405</v>
      </c>
      <c r="SE152" s="203">
        <f>SD152/SC152</f>
        <v>0.19804870182228673</v>
      </c>
      <c r="SF152" s="1567">
        <v>1</v>
      </c>
      <c r="SG152" s="358">
        <f>QX152+RC152+RH152</f>
        <v>250002</v>
      </c>
      <c r="SH152" s="358">
        <f>QY152+RD152+RI152</f>
        <v>292500</v>
      </c>
      <c r="SI152" s="359">
        <f>QZ152+RE152+RJ152</f>
        <v>42498</v>
      </c>
      <c r="SJ152" s="114">
        <f>SI152/SH152</f>
        <v>0.14529230769230769</v>
      </c>
      <c r="SL152" s="439">
        <v>1</v>
      </c>
      <c r="SM152" s="359">
        <v>83334</v>
      </c>
      <c r="SN152" s="208">
        <v>97500</v>
      </c>
      <c r="SO152" s="96">
        <f>SN152-SM152</f>
        <v>14166</v>
      </c>
      <c r="SP152" s="78">
        <f>SO152/SN152</f>
        <v>0.14529230769230769</v>
      </c>
      <c r="SQ152" s="1862">
        <v>1</v>
      </c>
      <c r="SR152" s="265">
        <v>83334</v>
      </c>
      <c r="SS152" s="265">
        <v>97500</v>
      </c>
      <c r="ST152" s="371">
        <f>SS152-SR152</f>
        <v>14166</v>
      </c>
      <c r="SU152" s="1867">
        <f>ST152/SS152</f>
        <v>0.14529230769230769</v>
      </c>
      <c r="SV152" s="401">
        <v>1</v>
      </c>
      <c r="SW152" s="395">
        <v>83334</v>
      </c>
      <c r="SX152" s="395">
        <v>97500</v>
      </c>
      <c r="SY152" s="372">
        <f>SX152-SW152</f>
        <v>14166</v>
      </c>
      <c r="SZ152" s="207">
        <f>SY152/SX152</f>
        <v>0.14529230769230769</v>
      </c>
      <c r="TA152" s="2573">
        <v>1</v>
      </c>
      <c r="TB152" s="395">
        <v>83334</v>
      </c>
      <c r="TC152" s="772">
        <v>97500</v>
      </c>
      <c r="TD152" s="96">
        <f>TC152-TB152</f>
        <v>14166</v>
      </c>
      <c r="TE152" s="94">
        <f>TD152/TC152</f>
        <v>0.14529230769230769</v>
      </c>
      <c r="TF152" s="354">
        <v>1</v>
      </c>
      <c r="TG152" s="208">
        <v>83334</v>
      </c>
      <c r="TH152" s="208">
        <v>97500</v>
      </c>
      <c r="TI152" s="208">
        <f>TH152-TG152</f>
        <v>14166</v>
      </c>
      <c r="TJ152" s="114">
        <f>TI152/TH152</f>
        <v>0.14529230769230769</v>
      </c>
      <c r="TK152" s="1633">
        <v>1</v>
      </c>
      <c r="TL152" s="208">
        <v>83334</v>
      </c>
      <c r="TM152" s="208">
        <v>97500</v>
      </c>
      <c r="TN152" s="395">
        <f>TM152-TL152</f>
        <v>14166</v>
      </c>
      <c r="TO152" s="114">
        <f>TN152/TM152</f>
        <v>0.14529230769230769</v>
      </c>
      <c r="TP152" s="1573">
        <v>1</v>
      </c>
      <c r="TQ152" s="395">
        <v>83334</v>
      </c>
      <c r="TR152" s="395">
        <v>102500</v>
      </c>
      <c r="TS152" s="994">
        <f>TR152-TQ152</f>
        <v>19166</v>
      </c>
      <c r="TT152" s="114">
        <v>0</v>
      </c>
      <c r="TU152" s="6140">
        <v>1</v>
      </c>
      <c r="TV152" s="2085">
        <v>83334</v>
      </c>
      <c r="TW152" s="2085">
        <v>102500</v>
      </c>
      <c r="TX152" s="994">
        <f>TW152-TV152</f>
        <v>19166</v>
      </c>
      <c r="TY152" s="116">
        <f>TX152/TW152</f>
        <v>0.18698536585365855</v>
      </c>
      <c r="TZ152" s="1318">
        <v>1</v>
      </c>
      <c r="UA152" s="395">
        <v>83334</v>
      </c>
      <c r="UB152" s="395">
        <v>102500</v>
      </c>
      <c r="UC152" s="772">
        <f>UB152-UA152</f>
        <v>19166</v>
      </c>
      <c r="UD152" s="116">
        <f>UC152/UB152</f>
        <v>0.18698536585365855</v>
      </c>
      <c r="UE152" s="1868">
        <v>1</v>
      </c>
      <c r="UF152" s="1575">
        <v>83334</v>
      </c>
      <c r="UG152" s="1575">
        <v>102500</v>
      </c>
      <c r="UH152" s="1575">
        <f>UG152-UF152</f>
        <v>19166</v>
      </c>
      <c r="UI152" s="6495">
        <f>UH152/UG152</f>
        <v>0.18698536585365855</v>
      </c>
      <c r="UJ152" s="209"/>
      <c r="UK152" s="208"/>
      <c r="UL152" s="208"/>
      <c r="UM152" s="208">
        <f>UL152-UK152</f>
        <v>0</v>
      </c>
      <c r="UN152" s="114" t="e">
        <f>UM152/UL152</f>
        <v>#DIV/0!</v>
      </c>
      <c r="UO152" s="1569"/>
      <c r="UP152" s="1568"/>
      <c r="UQ152" s="1568"/>
      <c r="UR152" s="1873">
        <f t="shared" si="572"/>
        <v>0</v>
      </c>
      <c r="US152" s="116" t="e">
        <f>UR152/UQ152</f>
        <v>#DIV/0!</v>
      </c>
      <c r="UT152" s="1569"/>
      <c r="UU152" s="358">
        <f>UP152+UK152+UF152+UA152+TV152+TQ152+TL152+TG152+TB152+SW152+SR152+SM152</f>
        <v>833340</v>
      </c>
      <c r="UV152" s="358">
        <f>UQ152+UL152+UG152+UB152+TW152+TR152+TM152+TH152+TC152+SX152+SS152+SN152</f>
        <v>995000</v>
      </c>
      <c r="UW152" s="358">
        <f>UR152+UM152+UH152+UC152+TX152+TS152+TN152+TI152+TD152+SY152+ST152+SO152</f>
        <v>161660</v>
      </c>
      <c r="UX152" s="220">
        <f>UW152/UV152</f>
        <v>0.16247236180904523</v>
      </c>
      <c r="UY152" s="1863">
        <f>(SL152+SQ152+SV152)/3</f>
        <v>1</v>
      </c>
      <c r="UZ152" s="105">
        <f>SM152+SR152+SW152</f>
        <v>250002</v>
      </c>
      <c r="VA152" s="105">
        <f>SN152+SS152+SX152</f>
        <v>292500</v>
      </c>
      <c r="VB152" s="105">
        <f>SO152+ST152+SY152</f>
        <v>42498</v>
      </c>
      <c r="VC152" s="106">
        <f>VB152/VA152</f>
        <v>0.14529230769230769</v>
      </c>
      <c r="VD152" s="358"/>
      <c r="VE152" s="358">
        <f>TB152+TG152+TL152</f>
        <v>250002</v>
      </c>
      <c r="VF152" s="358">
        <f>TC152+TH152+TM152</f>
        <v>292500</v>
      </c>
      <c r="VG152" s="359">
        <f>TD152+TI152+TN152</f>
        <v>42498</v>
      </c>
      <c r="VH152" s="169">
        <f>VG152/VF152</f>
        <v>0.14529230769230769</v>
      </c>
      <c r="VI152" s="686"/>
      <c r="VJ152" s="146">
        <f>UA152+TV152+TQ152</f>
        <v>250002</v>
      </c>
      <c r="VK152" s="146">
        <f>UB152+TW152+TR152</f>
        <v>307500</v>
      </c>
      <c r="VL152" s="1864">
        <f>UC152+TX152+TS152</f>
        <v>57498</v>
      </c>
      <c r="VM152" s="203">
        <f>VL152/VK152</f>
        <v>0.18698536585365855</v>
      </c>
      <c r="VN152" s="1567"/>
      <c r="VO152" s="358">
        <f>UF152+UK152+UP152</f>
        <v>83334</v>
      </c>
      <c r="VP152" s="358">
        <f>UG152+UL152+UQ152</f>
        <v>102500</v>
      </c>
      <c r="VQ152" s="359">
        <f>UH152+UM152+UR152</f>
        <v>19166</v>
      </c>
      <c r="VR152" s="114">
        <f>VQ152/VP152</f>
        <v>0.18698536585365855</v>
      </c>
    </row>
    <row r="153" spans="1:590" s="1193" customFormat="1" ht="13.45" x14ac:dyDescent="0.3">
      <c r="A153" s="1297"/>
      <c r="B153" s="583" t="s">
        <v>84</v>
      </c>
      <c r="C153" s="2636" t="s">
        <v>93</v>
      </c>
      <c r="D153" s="1992" t="s">
        <v>94</v>
      </c>
      <c r="E153" s="2086">
        <v>45078</v>
      </c>
      <c r="F153" s="2086">
        <v>45443</v>
      </c>
      <c r="G153" s="1994">
        <v>72000</v>
      </c>
      <c r="H153" s="1874"/>
      <c r="I153" s="1875"/>
      <c r="J153" s="1875"/>
      <c r="K153" s="1875"/>
      <c r="L153" s="1876"/>
      <c r="M153" s="1874"/>
      <c r="N153" s="1875"/>
      <c r="O153" s="1875"/>
      <c r="P153" s="1875"/>
      <c r="Q153" s="1876"/>
      <c r="R153" s="1874"/>
      <c r="S153" s="1875"/>
      <c r="T153" s="1875"/>
      <c r="U153" s="1875"/>
      <c r="V153" s="1876"/>
      <c r="W153" s="1874"/>
      <c r="X153" s="1875"/>
      <c r="Y153" s="1875"/>
      <c r="Z153" s="1875"/>
      <c r="AA153" s="1877"/>
      <c r="AB153" s="1874"/>
      <c r="AC153" s="1875"/>
      <c r="AD153" s="1875"/>
      <c r="AE153" s="1875"/>
      <c r="AF153" s="1877"/>
      <c r="AG153" s="1875"/>
      <c r="AH153" s="1875"/>
      <c r="AI153" s="1875"/>
      <c r="AJ153" s="1875"/>
      <c r="AK153" s="1876"/>
      <c r="AL153" s="1875"/>
      <c r="AM153" s="1875"/>
      <c r="AN153" s="1875"/>
      <c r="AO153" s="1875"/>
      <c r="AP153" s="1876"/>
      <c r="AQ153" s="1875"/>
      <c r="AR153" s="1875"/>
      <c r="AS153" s="1875"/>
      <c r="AT153" s="1875"/>
      <c r="AU153" s="1876"/>
      <c r="AV153" s="1878"/>
      <c r="AW153" s="1875"/>
      <c r="AX153" s="1875"/>
      <c r="AY153" s="1875"/>
      <c r="AZ153" s="1877"/>
      <c r="BA153" s="1878"/>
      <c r="BB153" s="1875"/>
      <c r="BC153" s="1875"/>
      <c r="BD153" s="1875"/>
      <c r="BE153" s="1877"/>
      <c r="BF153" s="1878"/>
      <c r="BG153" s="1875"/>
      <c r="BH153" s="1875"/>
      <c r="BI153" s="1875"/>
      <c r="BJ153" s="1877"/>
      <c r="BK153" s="1878"/>
      <c r="BL153" s="1875"/>
      <c r="BM153" s="1875"/>
      <c r="BN153" s="1875"/>
      <c r="BO153" s="1877"/>
      <c r="BP153" s="1879"/>
      <c r="BQ153" s="1875"/>
      <c r="BR153" s="1875"/>
      <c r="BS153" s="1875"/>
      <c r="BT153" s="1880"/>
      <c r="BU153" s="1875"/>
      <c r="BV153" s="1875"/>
      <c r="BW153" s="1881"/>
      <c r="BX153" s="1880"/>
      <c r="BY153" s="1875"/>
      <c r="BZ153" s="1875"/>
      <c r="CA153" s="1882"/>
      <c r="CB153" s="1875"/>
      <c r="CC153" s="1875"/>
      <c r="CD153" s="1875"/>
      <c r="CE153" s="1875"/>
      <c r="CF153" s="1880"/>
      <c r="CG153" s="1875"/>
      <c r="CH153" s="1875"/>
      <c r="CI153" s="1882"/>
      <c r="CJ153" s="1883"/>
      <c r="CK153" s="1875"/>
      <c r="CL153" s="1875"/>
      <c r="CM153" s="1875"/>
      <c r="CN153" s="1881"/>
      <c r="CO153" s="1883"/>
      <c r="CP153" s="1874"/>
      <c r="CQ153" s="1874"/>
      <c r="CR153" s="1874"/>
      <c r="CS153" s="1881"/>
      <c r="CT153" s="1883"/>
      <c r="CU153" s="1875"/>
      <c r="CV153" s="1875"/>
      <c r="CW153" s="1875"/>
      <c r="CX153" s="1881"/>
      <c r="CY153" s="1883"/>
      <c r="CZ153" s="1875"/>
      <c r="DA153" s="1875"/>
      <c r="DB153" s="1875"/>
      <c r="DC153" s="1881"/>
      <c r="DD153" s="1883"/>
      <c r="DE153" s="1875"/>
      <c r="DF153" s="1875"/>
      <c r="DG153" s="1875"/>
      <c r="DH153" s="1884"/>
      <c r="DI153" s="1883"/>
      <c r="DJ153" s="1875"/>
      <c r="DK153" s="1875"/>
      <c r="DL153" s="1875"/>
      <c r="DM153" s="1884"/>
      <c r="DN153" s="1883"/>
      <c r="DO153" s="1875"/>
      <c r="DP153" s="1875"/>
      <c r="DQ153" s="1875"/>
      <c r="DR153" s="1884"/>
      <c r="DS153" s="1883"/>
      <c r="DT153" s="1875"/>
      <c r="DU153" s="1875"/>
      <c r="DV153" s="1875"/>
      <c r="DW153" s="1884"/>
      <c r="DX153" s="1883"/>
      <c r="DY153" s="1875"/>
      <c r="DZ153" s="1875"/>
      <c r="EA153" s="1875"/>
      <c r="EB153" s="1884"/>
      <c r="EC153" s="1883"/>
      <c r="ED153" s="1875"/>
      <c r="EE153" s="1875"/>
      <c r="EF153" s="1875"/>
      <c r="EG153" s="1884"/>
      <c r="EH153" s="1885"/>
      <c r="EI153" s="1886"/>
      <c r="EJ153" s="1886"/>
      <c r="EK153" s="1886"/>
      <c r="EL153" s="1887"/>
      <c r="EM153" s="1888"/>
      <c r="EN153" s="1889"/>
      <c r="EO153" s="1889"/>
      <c r="EP153" s="1889"/>
      <c r="EQ153" s="166"/>
      <c r="ER153" s="1713">
        <f t="shared" si="585"/>
        <v>0</v>
      </c>
      <c r="ES153" s="1714">
        <f t="shared" si="586"/>
        <v>0</v>
      </c>
      <c r="ET153" s="1714">
        <f t="shared" si="586"/>
        <v>0</v>
      </c>
      <c r="EU153" s="1714">
        <f t="shared" si="586"/>
        <v>0</v>
      </c>
      <c r="EV153" s="1715" t="e">
        <f t="shared" si="587"/>
        <v>#DIV/0!</v>
      </c>
      <c r="EW153" s="1890"/>
      <c r="EX153" s="1890"/>
      <c r="EY153" s="1890"/>
      <c r="EZ153" s="1891"/>
      <c r="FA153" s="1885"/>
      <c r="FB153" s="1890"/>
      <c r="FC153" s="1890"/>
      <c r="FD153" s="1892"/>
      <c r="FE153" s="1890"/>
      <c r="FF153" s="1890"/>
      <c r="FG153" s="1890"/>
      <c r="FH153" s="1891"/>
      <c r="FI153" s="1893"/>
      <c r="FJ153" s="1894"/>
      <c r="FK153" s="1895"/>
      <c r="FL153" s="1895"/>
      <c r="FM153" s="1896"/>
      <c r="FN153" s="1890"/>
      <c r="FO153" s="1886"/>
      <c r="FP153" s="1886"/>
      <c r="FQ153" s="1886"/>
      <c r="FR153" s="1897"/>
      <c r="FS153" s="1888"/>
      <c r="FT153" s="1889"/>
      <c r="FU153" s="1889"/>
      <c r="FV153" s="1889"/>
      <c r="FW153" s="1898"/>
      <c r="FX153" s="1885"/>
      <c r="FY153" s="1886"/>
      <c r="FZ153" s="1886"/>
      <c r="GA153" s="1889"/>
      <c r="GB153" s="1898"/>
      <c r="GC153" s="1899"/>
      <c r="GD153" s="1900"/>
      <c r="GE153" s="1900"/>
      <c r="GF153" s="1889"/>
      <c r="GG153" s="166"/>
      <c r="GH153" s="1901"/>
      <c r="GI153" s="1824"/>
      <c r="GJ153" s="1824"/>
      <c r="GK153" s="1902"/>
      <c r="GL153" s="1898"/>
      <c r="GM153" s="1901"/>
      <c r="GN153" s="1824"/>
      <c r="GO153" s="1824"/>
      <c r="GP153" s="1902"/>
      <c r="GQ153" s="1898"/>
      <c r="GR153" s="1903"/>
      <c r="GS153" s="1904"/>
      <c r="GT153" s="1904"/>
      <c r="GU153" s="1902"/>
      <c r="GV153" s="1898"/>
      <c r="GW153" s="1903"/>
      <c r="GX153" s="1904"/>
      <c r="GY153" s="1904"/>
      <c r="GZ153" s="1902"/>
      <c r="HA153" s="1898"/>
      <c r="HB153" s="1903"/>
      <c r="HC153" s="1904"/>
      <c r="HD153" s="1904"/>
      <c r="HE153" s="1902"/>
      <c r="HF153" s="1898"/>
      <c r="HG153" s="1903"/>
      <c r="HH153" s="1904"/>
      <c r="HI153" s="1904"/>
      <c r="HJ153" s="1818"/>
      <c r="HK153" s="1898"/>
      <c r="HL153" s="1903"/>
      <c r="HM153" s="1904"/>
      <c r="HN153" s="1904"/>
      <c r="HO153" s="715"/>
      <c r="HP153" s="166"/>
      <c r="HQ153" s="2114"/>
      <c r="HR153" s="1904"/>
      <c r="HS153" s="1904"/>
      <c r="HT153" s="1904"/>
      <c r="HU153" s="2115"/>
      <c r="HV153" s="2008">
        <f t="shared" si="588"/>
        <v>0</v>
      </c>
      <c r="HW153" s="208">
        <f t="shared" si="589"/>
        <v>0</v>
      </c>
      <c r="HX153" s="208">
        <f t="shared" si="589"/>
        <v>0</v>
      </c>
      <c r="HY153" s="208">
        <f t="shared" si="589"/>
        <v>0</v>
      </c>
      <c r="HZ153" s="2009"/>
      <c r="IA153" s="1907"/>
      <c r="IB153" s="1908"/>
      <c r="IC153" s="1908"/>
      <c r="ID153" s="1909"/>
      <c r="IE153" s="1910"/>
      <c r="IF153" s="1911"/>
      <c r="IG153" s="1912"/>
      <c r="IH153" s="1909"/>
      <c r="II153" s="1835"/>
      <c r="IJ153" s="1836"/>
      <c r="IK153" s="1836"/>
      <c r="IL153" s="693"/>
      <c r="IM153" s="1913"/>
      <c r="IN153" s="1836"/>
      <c r="IO153" s="1836"/>
      <c r="IP153" s="1838"/>
      <c r="IQ153" s="1914"/>
      <c r="IR153" s="1915"/>
      <c r="IS153" s="1916"/>
      <c r="IT153" s="1916"/>
      <c r="IU153" s="1917"/>
      <c r="IV153" s="1918"/>
      <c r="IW153" s="1919"/>
      <c r="IX153" s="1920"/>
      <c r="IY153" s="1921"/>
      <c r="IZ153" s="1719"/>
      <c r="JA153" s="1721"/>
      <c r="JB153" s="1922"/>
      <c r="JC153" s="1923"/>
      <c r="JD153" s="1924"/>
      <c r="JE153" s="1719"/>
      <c r="JF153" s="1721"/>
      <c r="JG153" s="1847"/>
      <c r="JH153" s="1096"/>
      <c r="JI153" s="1096"/>
      <c r="JJ153" s="1756"/>
      <c r="JK153" s="1721"/>
      <c r="JL153" s="1927"/>
      <c r="JM153" s="1096"/>
      <c r="JN153" s="1096"/>
      <c r="JO153" s="1843"/>
      <c r="JP153" s="1721"/>
      <c r="JQ153" s="1926"/>
      <c r="JR153" s="1982"/>
      <c r="JS153" s="1248"/>
      <c r="JT153" s="1995"/>
      <c r="JU153" s="1821"/>
      <c r="JV153" s="1849"/>
      <c r="JW153" s="1119"/>
      <c r="JX153" s="1850"/>
      <c r="JY153" s="823"/>
      <c r="JZ153" s="1721"/>
      <c r="KA153" s="1846"/>
      <c r="KB153" s="264"/>
      <c r="KC153" s="264"/>
      <c r="KD153" s="964"/>
      <c r="KE153" s="1848"/>
      <c r="KF153" s="1849"/>
      <c r="KG153" s="1850"/>
      <c r="KH153" s="1850"/>
      <c r="KI153" s="1719"/>
      <c r="KJ153" s="1721"/>
      <c r="KK153" s="1849"/>
      <c r="KL153" s="1850"/>
      <c r="KM153" s="1850"/>
      <c r="KN153" s="1851"/>
      <c r="KO153" s="1852"/>
      <c r="KP153" s="1722"/>
      <c r="KQ153" s="972"/>
      <c r="KR153" s="264"/>
      <c r="KS153" s="1845"/>
      <c r="KT153" s="1720"/>
      <c r="KU153" s="1853"/>
      <c r="KV153" s="264"/>
      <c r="KW153" s="264"/>
      <c r="KX153" s="264"/>
      <c r="KY153" s="75"/>
      <c r="KZ153" s="1857">
        <f>(IR153+IW153+JB153+JG153+JL153+JQ153+JV153+KA153+KF153+KK153+KP153+KU153)/12</f>
        <v>0</v>
      </c>
      <c r="LA153" s="358">
        <f t="shared" si="594"/>
        <v>0</v>
      </c>
      <c r="LB153" s="358">
        <f t="shared" si="594"/>
        <v>0</v>
      </c>
      <c r="LC153" s="358">
        <f t="shared" si="594"/>
        <v>0</v>
      </c>
      <c r="LD153" s="151"/>
      <c r="LE153" s="1854">
        <f t="shared" si="596"/>
        <v>0</v>
      </c>
      <c r="LF153" s="1855">
        <f t="shared" si="597"/>
        <v>0</v>
      </c>
      <c r="LG153" s="1855">
        <f t="shared" si="597"/>
        <v>0</v>
      </c>
      <c r="LH153" s="1856" t="e">
        <f t="shared" si="598"/>
        <v>#DIV/0!</v>
      </c>
      <c r="LI153" s="1857">
        <f t="shared" si="599"/>
        <v>0</v>
      </c>
      <c r="LJ153" s="1858">
        <f t="shared" si="600"/>
        <v>0</v>
      </c>
      <c r="LK153" s="1854">
        <f t="shared" si="600"/>
        <v>0</v>
      </c>
      <c r="LL153" s="1856"/>
      <c r="LM153" s="1859"/>
      <c r="LN153" s="1727"/>
      <c r="LO153" s="1727"/>
      <c r="LP153" s="151"/>
      <c r="LQ153" s="1860">
        <f t="shared" si="603"/>
        <v>0</v>
      </c>
      <c r="LR153" s="1727">
        <f t="shared" si="604"/>
        <v>0</v>
      </c>
      <c r="LS153" s="1727">
        <f t="shared" si="604"/>
        <v>0</v>
      </c>
      <c r="LT153" s="1861"/>
      <c r="LV153" s="440"/>
      <c r="LW153" s="435"/>
      <c r="LX153" s="435"/>
      <c r="LY153" s="2146"/>
      <c r="LZ153" s="461"/>
      <c r="MA153" s="2194"/>
      <c r="MB153" s="1626"/>
      <c r="MC153" s="1626"/>
      <c r="MD153" s="2151"/>
      <c r="ME153" s="1595"/>
      <c r="MF153" s="440">
        <v>1</v>
      </c>
      <c r="MG153" s="435">
        <v>62290</v>
      </c>
      <c r="MH153" s="435">
        <v>72000</v>
      </c>
      <c r="MI153" s="371">
        <f t="shared" si="610"/>
        <v>9710</v>
      </c>
      <c r="MJ153" s="157">
        <f t="shared" si="611"/>
        <v>0.1348611111111111</v>
      </c>
      <c r="MK153" s="2152">
        <v>1</v>
      </c>
      <c r="ML153" s="435">
        <v>62290</v>
      </c>
      <c r="MM153" s="435">
        <v>72000</v>
      </c>
      <c r="MN153" s="371">
        <f t="shared" si="612"/>
        <v>9710</v>
      </c>
      <c r="MO153" s="157">
        <f t="shared" si="613"/>
        <v>0.1348611111111111</v>
      </c>
      <c r="MP153" s="1579">
        <v>1</v>
      </c>
      <c r="MQ153" s="264">
        <v>62290</v>
      </c>
      <c r="MR153" s="264">
        <v>72000</v>
      </c>
      <c r="MS153" s="264">
        <f t="shared" si="614"/>
        <v>9710</v>
      </c>
      <c r="MT153" s="597">
        <f t="shared" si="615"/>
        <v>0.1348611111111111</v>
      </c>
      <c r="MU153" s="209">
        <v>1</v>
      </c>
      <c r="MV153" s="208">
        <v>62290</v>
      </c>
      <c r="MW153" s="208">
        <v>72000</v>
      </c>
      <c r="MX153" s="208">
        <f t="shared" si="616"/>
        <v>9710</v>
      </c>
      <c r="MY153" s="597">
        <f t="shared" si="617"/>
        <v>0.1348611111111111</v>
      </c>
      <c r="MZ153" s="209">
        <v>1</v>
      </c>
      <c r="NA153" s="208">
        <v>62290</v>
      </c>
      <c r="NB153" s="208">
        <v>72000</v>
      </c>
      <c r="NC153" s="208">
        <f t="shared" si="618"/>
        <v>9710</v>
      </c>
      <c r="ND153" s="597">
        <f t="shared" si="619"/>
        <v>0.1348611111111111</v>
      </c>
      <c r="NE153" s="209">
        <v>1</v>
      </c>
      <c r="NF153" s="208">
        <v>62290</v>
      </c>
      <c r="NG153" s="208">
        <v>72000</v>
      </c>
      <c r="NH153" s="208">
        <f t="shared" si="620"/>
        <v>9710</v>
      </c>
      <c r="NI153" s="597">
        <f t="shared" si="621"/>
        <v>0.1348611111111111</v>
      </c>
      <c r="NJ153" s="209">
        <v>1</v>
      </c>
      <c r="NK153" s="208">
        <v>62290</v>
      </c>
      <c r="NL153" s="208">
        <v>72000</v>
      </c>
      <c r="NM153" s="208">
        <f t="shared" si="622"/>
        <v>9710</v>
      </c>
      <c r="NN153" s="597">
        <f t="shared" si="623"/>
        <v>0.1348611111111111</v>
      </c>
      <c r="NO153" s="357">
        <v>1</v>
      </c>
      <c r="NP153" s="358">
        <v>62290</v>
      </c>
      <c r="NQ153" s="358">
        <v>72000</v>
      </c>
      <c r="NR153" s="208">
        <f t="shared" si="624"/>
        <v>9710</v>
      </c>
      <c r="NS153" s="597">
        <f t="shared" si="625"/>
        <v>0.1348611111111111</v>
      </c>
      <c r="NT153" s="357">
        <v>1</v>
      </c>
      <c r="NU153" s="358">
        <v>62290</v>
      </c>
      <c r="NV153" s="358">
        <v>72000</v>
      </c>
      <c r="NW153" s="208">
        <f t="shared" si="626"/>
        <v>9710</v>
      </c>
      <c r="NX153" s="597">
        <f t="shared" si="627"/>
        <v>0.1348611111111111</v>
      </c>
      <c r="NY153" s="357">
        <v>1</v>
      </c>
      <c r="NZ153" s="358">
        <v>62290</v>
      </c>
      <c r="OA153" s="358">
        <v>72000</v>
      </c>
      <c r="OB153" s="772">
        <f t="shared" si="628"/>
        <v>9710</v>
      </c>
      <c r="OC153" s="659">
        <f t="shared" si="629"/>
        <v>0.1348611111111111</v>
      </c>
      <c r="OD153" s="191">
        <v>1</v>
      </c>
      <c r="OE153" s="358">
        <f t="shared" si="630"/>
        <v>622900</v>
      </c>
      <c r="OF153" s="358">
        <f t="shared" si="630"/>
        <v>720000</v>
      </c>
      <c r="OG153" s="358">
        <f t="shared" si="630"/>
        <v>97100</v>
      </c>
      <c r="OH153" s="220">
        <f t="shared" si="631"/>
        <v>0.1348611111111111</v>
      </c>
      <c r="OI153" s="1863">
        <f t="shared" si="632"/>
        <v>0.33333333333333331</v>
      </c>
      <c r="OJ153" s="105">
        <f t="shared" si="633"/>
        <v>62290</v>
      </c>
      <c r="OK153" s="105">
        <f t="shared" si="633"/>
        <v>72000</v>
      </c>
      <c r="OL153" s="105">
        <f t="shared" si="633"/>
        <v>9710</v>
      </c>
      <c r="OM153" s="106">
        <f t="shared" si="634"/>
        <v>0.1348611111111111</v>
      </c>
      <c r="ON153" s="358">
        <f t="shared" si="635"/>
        <v>1</v>
      </c>
      <c r="OO153" s="358">
        <f t="shared" si="636"/>
        <v>186870</v>
      </c>
      <c r="OP153" s="358">
        <f t="shared" si="636"/>
        <v>216000</v>
      </c>
      <c r="OQ153" s="359">
        <f t="shared" si="636"/>
        <v>29130</v>
      </c>
      <c r="OR153" s="169">
        <f t="shared" si="637"/>
        <v>0.1348611111111111</v>
      </c>
      <c r="OS153" s="686">
        <f t="shared" si="638"/>
        <v>1</v>
      </c>
      <c r="OT153" s="146">
        <f t="shared" si="639"/>
        <v>186870</v>
      </c>
      <c r="OU153" s="146">
        <f t="shared" si="639"/>
        <v>216000</v>
      </c>
      <c r="OV153" s="1864">
        <f t="shared" si="639"/>
        <v>29130</v>
      </c>
      <c r="OW153" s="203">
        <f t="shared" si="640"/>
        <v>0.1348611111111111</v>
      </c>
      <c r="OX153" s="357">
        <v>1</v>
      </c>
      <c r="OY153" s="358">
        <f t="shared" si="641"/>
        <v>186870</v>
      </c>
      <c r="OZ153" s="358">
        <f t="shared" si="641"/>
        <v>216000</v>
      </c>
      <c r="PA153" s="359">
        <f t="shared" si="641"/>
        <v>29130</v>
      </c>
      <c r="PB153" s="114">
        <f t="shared" si="642"/>
        <v>0.1348611111111111</v>
      </c>
      <c r="PC153" s="79"/>
      <c r="PD153" s="440">
        <v>1</v>
      </c>
      <c r="PE153" s="435">
        <v>62290</v>
      </c>
      <c r="PF153" s="435">
        <v>72000</v>
      </c>
      <c r="PG153" s="96">
        <f t="shared" si="643"/>
        <v>9710</v>
      </c>
      <c r="PH153" s="224">
        <f t="shared" si="644"/>
        <v>0.1348611111111111</v>
      </c>
      <c r="PI153" s="2194">
        <v>1</v>
      </c>
      <c r="PJ153" s="1626">
        <v>62290</v>
      </c>
      <c r="PK153" s="1626">
        <v>72000</v>
      </c>
      <c r="PL153" s="371">
        <f t="shared" si="529"/>
        <v>9710</v>
      </c>
      <c r="PM153" s="157">
        <f t="shared" si="530"/>
        <v>0.1348611111111111</v>
      </c>
      <c r="PN153" s="440">
        <v>1</v>
      </c>
      <c r="PO153" s="435">
        <v>62290</v>
      </c>
      <c r="PP153" s="435">
        <v>71928</v>
      </c>
      <c r="PQ153" s="371">
        <f t="shared" si="531"/>
        <v>9638</v>
      </c>
      <c r="PR153" s="157">
        <f t="shared" si="532"/>
        <v>0.13399510621732844</v>
      </c>
      <c r="PS153" s="2429">
        <v>1</v>
      </c>
      <c r="PT153" s="436">
        <v>62290</v>
      </c>
      <c r="PU153" s="436">
        <v>72000</v>
      </c>
      <c r="PV153" s="372">
        <f t="shared" si="533"/>
        <v>9710</v>
      </c>
      <c r="PW153" s="207">
        <f t="shared" si="534"/>
        <v>0.1348611111111111</v>
      </c>
      <c r="PX153" s="1579">
        <v>1</v>
      </c>
      <c r="PY153" s="264">
        <v>57267</v>
      </c>
      <c r="PZ153" s="264">
        <v>72000</v>
      </c>
      <c r="QA153" s="264">
        <f t="shared" si="535"/>
        <v>14733</v>
      </c>
      <c r="QB153" s="597">
        <f t="shared" si="536"/>
        <v>0.204625</v>
      </c>
      <c r="QC153" s="209">
        <v>1</v>
      </c>
      <c r="QD153" s="208">
        <v>62290</v>
      </c>
      <c r="QE153" s="208">
        <v>72000</v>
      </c>
      <c r="QF153" s="208">
        <f t="shared" si="537"/>
        <v>9710</v>
      </c>
      <c r="QG153" s="597">
        <f t="shared" si="538"/>
        <v>0.1348611111111111</v>
      </c>
      <c r="QH153" s="439">
        <v>1</v>
      </c>
      <c r="QI153" s="208">
        <v>62290</v>
      </c>
      <c r="QJ153" s="208">
        <v>72000</v>
      </c>
      <c r="QK153" s="208">
        <f t="shared" si="539"/>
        <v>9710</v>
      </c>
      <c r="QL153" s="597">
        <f t="shared" si="540"/>
        <v>0.1348611111111111</v>
      </c>
      <c r="QM153" s="439">
        <v>1</v>
      </c>
      <c r="QN153" s="208">
        <v>62290</v>
      </c>
      <c r="QO153" s="208">
        <v>72000</v>
      </c>
      <c r="QP153" s="395">
        <f t="shared" si="541"/>
        <v>9710</v>
      </c>
      <c r="QQ153" s="2019">
        <f t="shared" si="542"/>
        <v>0.1348611111111111</v>
      </c>
      <c r="QR153" s="209">
        <v>1</v>
      </c>
      <c r="QS153" s="208">
        <v>62290</v>
      </c>
      <c r="QT153" s="208">
        <v>72000</v>
      </c>
      <c r="QU153" s="395">
        <f t="shared" si="543"/>
        <v>9710</v>
      </c>
      <c r="QV153" s="75">
        <f t="shared" si="544"/>
        <v>0.1348611111111111</v>
      </c>
      <c r="QW153" s="2561">
        <v>1</v>
      </c>
      <c r="QX153" s="2586">
        <v>62290</v>
      </c>
      <c r="QY153" s="2586">
        <v>72000</v>
      </c>
      <c r="QZ153" s="395">
        <f t="shared" si="545"/>
        <v>9710</v>
      </c>
      <c r="RA153" s="157">
        <f t="shared" si="546"/>
        <v>0.1348611111111111</v>
      </c>
      <c r="RB153" s="357">
        <v>1</v>
      </c>
      <c r="RC153" s="358">
        <v>62290</v>
      </c>
      <c r="RD153" s="358">
        <v>72000</v>
      </c>
      <c r="RE153" s="208">
        <f t="shared" si="547"/>
        <v>9710</v>
      </c>
      <c r="RF153" s="1313">
        <f t="shared" si="548"/>
        <v>0.1348611111111111</v>
      </c>
      <c r="RG153" s="1857">
        <v>1</v>
      </c>
      <c r="RH153" s="358">
        <v>62290</v>
      </c>
      <c r="RI153" s="358">
        <v>72000</v>
      </c>
      <c r="RJ153" s="772">
        <f t="shared" si="549"/>
        <v>9710</v>
      </c>
      <c r="RK153" s="659">
        <f t="shared" si="550"/>
        <v>0.1348611111111111</v>
      </c>
      <c r="RL153" s="1567">
        <v>1</v>
      </c>
      <c r="RM153" s="1568">
        <f t="shared" si="551"/>
        <v>742457</v>
      </c>
      <c r="RN153" s="1568">
        <f t="shared" si="551"/>
        <v>863928</v>
      </c>
      <c r="RO153" s="1568">
        <f t="shared" si="551"/>
        <v>121471</v>
      </c>
      <c r="RP153" s="220">
        <f t="shared" si="552"/>
        <v>0.14060315211452806</v>
      </c>
      <c r="RQ153" s="1863">
        <f t="shared" si="553"/>
        <v>1</v>
      </c>
      <c r="RR153" s="105">
        <f t="shared" si="554"/>
        <v>186870</v>
      </c>
      <c r="RS153" s="105">
        <f t="shared" si="554"/>
        <v>215928</v>
      </c>
      <c r="RT153" s="105">
        <f t="shared" si="554"/>
        <v>29058</v>
      </c>
      <c r="RU153" s="106">
        <f t="shared" si="555"/>
        <v>0.13457263532288541</v>
      </c>
      <c r="RV153" s="1868">
        <v>1</v>
      </c>
      <c r="RW153" s="358">
        <f t="shared" si="556"/>
        <v>181847</v>
      </c>
      <c r="RX153" s="358">
        <f t="shared" si="556"/>
        <v>216000</v>
      </c>
      <c r="RY153" s="359">
        <f t="shared" si="556"/>
        <v>34153</v>
      </c>
      <c r="RZ153" s="169">
        <f t="shared" si="557"/>
        <v>0.15811574074074075</v>
      </c>
      <c r="SA153" s="686">
        <v>1</v>
      </c>
      <c r="SB153" s="146">
        <f t="shared" si="558"/>
        <v>186870</v>
      </c>
      <c r="SC153" s="146">
        <f t="shared" si="558"/>
        <v>216000</v>
      </c>
      <c r="SD153" s="1864">
        <f t="shared" si="558"/>
        <v>29130</v>
      </c>
      <c r="SE153" s="203">
        <f t="shared" si="559"/>
        <v>0.1348611111111111</v>
      </c>
      <c r="SF153" s="1567">
        <v>1</v>
      </c>
      <c r="SG153" s="358">
        <f t="shared" si="560"/>
        <v>186870</v>
      </c>
      <c r="SH153" s="358">
        <f t="shared" si="560"/>
        <v>216000</v>
      </c>
      <c r="SI153" s="359">
        <f t="shared" si="560"/>
        <v>29130</v>
      </c>
      <c r="SJ153" s="114">
        <f t="shared" si="561"/>
        <v>0.1348611111111111</v>
      </c>
      <c r="SL153" s="440">
        <v>1</v>
      </c>
      <c r="SM153" s="435">
        <v>75710</v>
      </c>
      <c r="SN153" s="435">
        <v>80000</v>
      </c>
      <c r="SO153" s="96">
        <f t="shared" si="562"/>
        <v>4290</v>
      </c>
      <c r="SP153" s="4111">
        <f t="shared" si="563"/>
        <v>5.3624999999999999E-2</v>
      </c>
      <c r="SQ153" s="439">
        <v>1</v>
      </c>
      <c r="SR153" s="208">
        <v>69000</v>
      </c>
      <c r="SS153" s="208">
        <v>80000</v>
      </c>
      <c r="ST153" s="96">
        <f t="shared" si="564"/>
        <v>11000</v>
      </c>
      <c r="SU153" s="78">
        <f t="shared" si="645"/>
        <v>0.13750000000000001</v>
      </c>
      <c r="SV153" s="440">
        <v>1</v>
      </c>
      <c r="SW153" s="435">
        <v>69000</v>
      </c>
      <c r="SX153" s="1584">
        <v>80000</v>
      </c>
      <c r="SY153" s="96">
        <f t="shared" si="565"/>
        <v>11000</v>
      </c>
      <c r="SZ153" s="94">
        <f t="shared" si="646"/>
        <v>0.13750000000000001</v>
      </c>
      <c r="TA153" s="2429">
        <v>1</v>
      </c>
      <c r="TB153" s="436">
        <v>69000</v>
      </c>
      <c r="TC153" s="4463">
        <v>80000</v>
      </c>
      <c r="TD153" s="96">
        <f t="shared" si="566"/>
        <v>11000</v>
      </c>
      <c r="TE153" s="362">
        <f t="shared" si="647"/>
        <v>0.13750000000000001</v>
      </c>
      <c r="TF153" s="1574">
        <v>1</v>
      </c>
      <c r="TG153" s="208">
        <v>69000</v>
      </c>
      <c r="TH153" s="208">
        <v>80000</v>
      </c>
      <c r="TI153" s="208">
        <f t="shared" si="480"/>
        <v>11000</v>
      </c>
      <c r="TJ153" s="114">
        <v>0</v>
      </c>
      <c r="TK153" s="209">
        <v>1</v>
      </c>
      <c r="TL153" s="208">
        <v>69000</v>
      </c>
      <c r="TM153" s="208">
        <v>80000</v>
      </c>
      <c r="TN153" s="208">
        <f t="shared" si="649"/>
        <v>11000</v>
      </c>
      <c r="TO153" s="114">
        <f t="shared" si="650"/>
        <v>0.13750000000000001</v>
      </c>
      <c r="TP153" s="4432">
        <v>1</v>
      </c>
      <c r="TQ153" s="208">
        <v>69000</v>
      </c>
      <c r="TR153" s="208">
        <v>80000</v>
      </c>
      <c r="TS153" s="994">
        <f t="shared" si="651"/>
        <v>11000</v>
      </c>
      <c r="TT153" s="114">
        <f t="shared" si="652"/>
        <v>0.13750000000000001</v>
      </c>
      <c r="TU153" s="4432">
        <v>1</v>
      </c>
      <c r="TV153" s="208">
        <v>69000</v>
      </c>
      <c r="TW153" s="208">
        <v>80000</v>
      </c>
      <c r="TX153" s="772">
        <f t="shared" si="567"/>
        <v>11000</v>
      </c>
      <c r="TY153" s="116">
        <f t="shared" si="657"/>
        <v>0.13750000000000001</v>
      </c>
      <c r="TZ153" s="209">
        <v>1</v>
      </c>
      <c r="UA153" s="208">
        <v>69000</v>
      </c>
      <c r="UB153" s="208">
        <v>80000</v>
      </c>
      <c r="UC153" s="772">
        <f t="shared" si="568"/>
        <v>11000</v>
      </c>
      <c r="UD153" s="116">
        <f t="shared" si="653"/>
        <v>0.13750000000000001</v>
      </c>
      <c r="UE153" s="6505">
        <v>1</v>
      </c>
      <c r="UF153" s="6506">
        <v>69000</v>
      </c>
      <c r="UG153" s="6506">
        <v>80000</v>
      </c>
      <c r="UH153" s="1575">
        <f t="shared" si="569"/>
        <v>11000</v>
      </c>
      <c r="UI153" s="1867">
        <f t="shared" si="654"/>
        <v>0.13750000000000001</v>
      </c>
      <c r="UJ153" s="357"/>
      <c r="UK153" s="358"/>
      <c r="UL153" s="358"/>
      <c r="UM153" s="208">
        <f t="shared" si="570"/>
        <v>0</v>
      </c>
      <c r="UN153" s="1313" t="e">
        <f t="shared" si="571"/>
        <v>#DIV/0!</v>
      </c>
      <c r="UO153" s="1567"/>
      <c r="UP153" s="1568"/>
      <c r="UQ153" s="1568"/>
      <c r="UR153" s="2012">
        <f t="shared" si="572"/>
        <v>0</v>
      </c>
      <c r="US153" s="659" t="e">
        <f t="shared" si="573"/>
        <v>#DIV/0!</v>
      </c>
      <c r="UT153" s="1567"/>
      <c r="UU153" s="358">
        <f t="shared" si="655"/>
        <v>696710</v>
      </c>
      <c r="UV153" s="358">
        <f t="shared" si="655"/>
        <v>800000</v>
      </c>
      <c r="UW153" s="358">
        <f t="shared" si="655"/>
        <v>103290</v>
      </c>
      <c r="UX153" s="220">
        <f t="shared" si="575"/>
        <v>0.12911249999999999</v>
      </c>
      <c r="UY153" s="1863">
        <f t="shared" si="576"/>
        <v>1</v>
      </c>
      <c r="UZ153" s="105">
        <f t="shared" si="577"/>
        <v>213710</v>
      </c>
      <c r="VA153" s="105">
        <f t="shared" si="577"/>
        <v>240000</v>
      </c>
      <c r="VB153" s="105">
        <f t="shared" si="577"/>
        <v>26290</v>
      </c>
      <c r="VC153" s="106">
        <f>VB153/VA153</f>
        <v>0.10954166666666666</v>
      </c>
      <c r="VD153" s="1868"/>
      <c r="VE153" s="358">
        <f t="shared" si="656"/>
        <v>207000</v>
      </c>
      <c r="VF153" s="358">
        <f t="shared" si="656"/>
        <v>240000</v>
      </c>
      <c r="VG153" s="359">
        <f t="shared" si="656"/>
        <v>33000</v>
      </c>
      <c r="VH153" s="169">
        <f t="shared" si="580"/>
        <v>0.13750000000000001</v>
      </c>
      <c r="VI153" s="686"/>
      <c r="VJ153" s="146">
        <f t="shared" si="581"/>
        <v>207000</v>
      </c>
      <c r="VK153" s="146">
        <f t="shared" si="581"/>
        <v>240000</v>
      </c>
      <c r="VL153" s="1864">
        <f t="shared" si="581"/>
        <v>33000</v>
      </c>
      <c r="VM153" s="203">
        <f t="shared" si="582"/>
        <v>0.13750000000000001</v>
      </c>
      <c r="VN153" s="1567"/>
      <c r="VO153" s="358">
        <f t="shared" si="583"/>
        <v>69000</v>
      </c>
      <c r="VP153" s="358">
        <f t="shared" si="583"/>
        <v>80000</v>
      </c>
      <c r="VQ153" s="359">
        <f t="shared" si="583"/>
        <v>11000</v>
      </c>
      <c r="VR153" s="114">
        <f t="shared" si="584"/>
        <v>0.13750000000000001</v>
      </c>
    </row>
    <row r="154" spans="1:590" s="1193" customFormat="1" ht="13.45" x14ac:dyDescent="0.3">
      <c r="A154" s="1297"/>
      <c r="B154" s="583" t="s">
        <v>84</v>
      </c>
      <c r="C154" s="2636" t="s">
        <v>97</v>
      </c>
      <c r="D154" s="1992" t="s">
        <v>98</v>
      </c>
      <c r="E154" s="2086">
        <v>45108</v>
      </c>
      <c r="F154" s="2086">
        <v>45473</v>
      </c>
      <c r="G154" s="1994">
        <v>550000</v>
      </c>
      <c r="H154" s="1874"/>
      <c r="I154" s="1875"/>
      <c r="J154" s="1875"/>
      <c r="K154" s="1875"/>
      <c r="L154" s="1876"/>
      <c r="M154" s="1874"/>
      <c r="N154" s="1875"/>
      <c r="O154" s="1875"/>
      <c r="P154" s="1875"/>
      <c r="Q154" s="1876"/>
      <c r="R154" s="1874"/>
      <c r="S154" s="1875"/>
      <c r="T154" s="1875"/>
      <c r="U154" s="1875"/>
      <c r="V154" s="1876"/>
      <c r="W154" s="1874"/>
      <c r="X154" s="1875"/>
      <c r="Y154" s="1875"/>
      <c r="Z154" s="1875"/>
      <c r="AA154" s="1877"/>
      <c r="AB154" s="1874"/>
      <c r="AC154" s="1875"/>
      <c r="AD154" s="1875"/>
      <c r="AE154" s="1875"/>
      <c r="AF154" s="1877"/>
      <c r="AG154" s="1875"/>
      <c r="AH154" s="1875"/>
      <c r="AI154" s="1875"/>
      <c r="AJ154" s="1875"/>
      <c r="AK154" s="1876"/>
      <c r="AL154" s="1875"/>
      <c r="AM154" s="1875"/>
      <c r="AN154" s="1875"/>
      <c r="AO154" s="1875"/>
      <c r="AP154" s="1876"/>
      <c r="AQ154" s="1875"/>
      <c r="AR154" s="1875"/>
      <c r="AS154" s="1875"/>
      <c r="AT154" s="1875"/>
      <c r="AU154" s="1876"/>
      <c r="AV154" s="1878"/>
      <c r="AW154" s="1875"/>
      <c r="AX154" s="1875"/>
      <c r="AY154" s="1875"/>
      <c r="AZ154" s="1877"/>
      <c r="BA154" s="1878"/>
      <c r="BB154" s="1875"/>
      <c r="BC154" s="1875"/>
      <c r="BD154" s="1875"/>
      <c r="BE154" s="1877"/>
      <c r="BF154" s="1878"/>
      <c r="BG154" s="1875"/>
      <c r="BH154" s="1875"/>
      <c r="BI154" s="1875"/>
      <c r="BJ154" s="1877"/>
      <c r="BK154" s="1878"/>
      <c r="BL154" s="1875"/>
      <c r="BM154" s="1875"/>
      <c r="BN154" s="1875"/>
      <c r="BO154" s="1877"/>
      <c r="BP154" s="1879"/>
      <c r="BQ154" s="1875"/>
      <c r="BR154" s="1875"/>
      <c r="BS154" s="1875"/>
      <c r="BT154" s="1880"/>
      <c r="BU154" s="1875"/>
      <c r="BV154" s="1875"/>
      <c r="BW154" s="1881"/>
      <c r="BX154" s="1880"/>
      <c r="BY154" s="1875"/>
      <c r="BZ154" s="1875"/>
      <c r="CA154" s="1882"/>
      <c r="CB154" s="1875"/>
      <c r="CC154" s="1875"/>
      <c r="CD154" s="1875"/>
      <c r="CE154" s="1875"/>
      <c r="CF154" s="1880"/>
      <c r="CG154" s="1875"/>
      <c r="CH154" s="1875"/>
      <c r="CI154" s="1882"/>
      <c r="CJ154" s="1883"/>
      <c r="CK154" s="1875"/>
      <c r="CL154" s="1875"/>
      <c r="CM154" s="1875"/>
      <c r="CN154" s="1881"/>
      <c r="CO154" s="1883"/>
      <c r="CP154" s="1874"/>
      <c r="CQ154" s="1874"/>
      <c r="CR154" s="1874"/>
      <c r="CS154" s="1881"/>
      <c r="CT154" s="1883"/>
      <c r="CU154" s="1875"/>
      <c r="CV154" s="1875"/>
      <c r="CW154" s="1875"/>
      <c r="CX154" s="1881"/>
      <c r="CY154" s="1883"/>
      <c r="CZ154" s="1875"/>
      <c r="DA154" s="1875"/>
      <c r="DB154" s="1875"/>
      <c r="DC154" s="1881"/>
      <c r="DD154" s="1883"/>
      <c r="DE154" s="1875"/>
      <c r="DF154" s="1875"/>
      <c r="DG154" s="1875"/>
      <c r="DH154" s="1884"/>
      <c r="DI154" s="1883"/>
      <c r="DJ154" s="1875"/>
      <c r="DK154" s="1875"/>
      <c r="DL154" s="1875"/>
      <c r="DM154" s="1884"/>
      <c r="DN154" s="1883"/>
      <c r="DO154" s="1875"/>
      <c r="DP154" s="1875"/>
      <c r="DQ154" s="1875"/>
      <c r="DR154" s="1884"/>
      <c r="DS154" s="1883"/>
      <c r="DT154" s="1875"/>
      <c r="DU154" s="1875"/>
      <c r="DV154" s="1875"/>
      <c r="DW154" s="1884"/>
      <c r="DX154" s="1883"/>
      <c r="DY154" s="1875"/>
      <c r="DZ154" s="1875"/>
      <c r="EA154" s="1875"/>
      <c r="EB154" s="1884"/>
      <c r="EC154" s="1883"/>
      <c r="ED154" s="1875"/>
      <c r="EE154" s="1875"/>
      <c r="EF154" s="1875"/>
      <c r="EG154" s="1884"/>
      <c r="EH154" s="1885"/>
      <c r="EI154" s="1886"/>
      <c r="EJ154" s="1886"/>
      <c r="EK154" s="1886"/>
      <c r="EL154" s="1887"/>
      <c r="EM154" s="1888"/>
      <c r="EN154" s="1889"/>
      <c r="EO154" s="1889"/>
      <c r="EP154" s="1889"/>
      <c r="EQ154" s="166"/>
      <c r="ER154" s="1713">
        <f t="shared" si="585"/>
        <v>0</v>
      </c>
      <c r="ES154" s="1714">
        <f t="shared" si="586"/>
        <v>0</v>
      </c>
      <c r="ET154" s="1714">
        <f t="shared" si="586"/>
        <v>0</v>
      </c>
      <c r="EU154" s="1714">
        <f t="shared" si="586"/>
        <v>0</v>
      </c>
      <c r="EV154" s="1715" t="e">
        <f t="shared" si="587"/>
        <v>#DIV/0!</v>
      </c>
      <c r="EW154" s="1890"/>
      <c r="EX154" s="1890"/>
      <c r="EY154" s="1890"/>
      <c r="EZ154" s="1891"/>
      <c r="FA154" s="1885"/>
      <c r="FB154" s="1890"/>
      <c r="FC154" s="1890"/>
      <c r="FD154" s="1892"/>
      <c r="FE154" s="1890"/>
      <c r="FF154" s="1890"/>
      <c r="FG154" s="1890"/>
      <c r="FH154" s="1891"/>
      <c r="FI154" s="1893"/>
      <c r="FJ154" s="1894"/>
      <c r="FK154" s="1895"/>
      <c r="FL154" s="1895"/>
      <c r="FM154" s="1896"/>
      <c r="FN154" s="1890"/>
      <c r="FO154" s="1886"/>
      <c r="FP154" s="1886"/>
      <c r="FQ154" s="1886"/>
      <c r="FR154" s="1897"/>
      <c r="FS154" s="1888"/>
      <c r="FT154" s="1889"/>
      <c r="FU154" s="1889"/>
      <c r="FV154" s="1889"/>
      <c r="FW154" s="1898"/>
      <c r="FX154" s="1885"/>
      <c r="FY154" s="1886"/>
      <c r="FZ154" s="1886"/>
      <c r="GA154" s="1889"/>
      <c r="GB154" s="1898"/>
      <c r="GC154" s="1899"/>
      <c r="GD154" s="1900"/>
      <c r="GE154" s="1900"/>
      <c r="GF154" s="1889"/>
      <c r="GG154" s="166"/>
      <c r="GH154" s="1901"/>
      <c r="GI154" s="1824"/>
      <c r="GJ154" s="1824"/>
      <c r="GK154" s="1902"/>
      <c r="GL154" s="1898"/>
      <c r="GM154" s="1901"/>
      <c r="GN154" s="1824"/>
      <c r="GO154" s="1824"/>
      <c r="GP154" s="1902"/>
      <c r="GQ154" s="1898"/>
      <c r="GR154" s="1903"/>
      <c r="GS154" s="1904"/>
      <c r="GT154" s="1904"/>
      <c r="GU154" s="1902"/>
      <c r="GV154" s="1898"/>
      <c r="GW154" s="1903"/>
      <c r="GX154" s="1904"/>
      <c r="GY154" s="1904"/>
      <c r="GZ154" s="1902"/>
      <c r="HA154" s="1898"/>
      <c r="HB154" s="1903"/>
      <c r="HC154" s="1904"/>
      <c r="HD154" s="1904"/>
      <c r="HE154" s="1902"/>
      <c r="HF154" s="1898"/>
      <c r="HG154" s="1903"/>
      <c r="HH154" s="1904"/>
      <c r="HI154" s="1904"/>
      <c r="HJ154" s="1818"/>
      <c r="HK154" s="1898"/>
      <c r="HL154" s="1903"/>
      <c r="HM154" s="1904"/>
      <c r="HN154" s="1904"/>
      <c r="HO154" s="715"/>
      <c r="HP154" s="166"/>
      <c r="HQ154" s="2587"/>
      <c r="HR154" s="1916"/>
      <c r="HS154" s="1916"/>
      <c r="HT154" s="1916"/>
      <c r="HU154" s="2588"/>
      <c r="HV154" s="2008">
        <f t="shared" si="588"/>
        <v>0</v>
      </c>
      <c r="HW154" s="208">
        <f t="shared" si="589"/>
        <v>0</v>
      </c>
      <c r="HX154" s="208">
        <f t="shared" si="589"/>
        <v>0</v>
      </c>
      <c r="HY154" s="208">
        <f t="shared" si="589"/>
        <v>0</v>
      </c>
      <c r="HZ154" s="2009"/>
      <c r="IA154" s="1907"/>
      <c r="IB154" s="1908"/>
      <c r="IC154" s="1908"/>
      <c r="ID154" s="1909"/>
      <c r="IE154" s="1910"/>
      <c r="IF154" s="1911"/>
      <c r="IG154" s="1912"/>
      <c r="IH154" s="1909"/>
      <c r="II154" s="1835"/>
      <c r="IJ154" s="1836"/>
      <c r="IK154" s="1836"/>
      <c r="IL154" s="693"/>
      <c r="IM154" s="1913"/>
      <c r="IN154" s="1836"/>
      <c r="IO154" s="1836"/>
      <c r="IP154" s="1838"/>
      <c r="IQ154" s="1914"/>
      <c r="IR154" s="1915"/>
      <c r="IS154" s="1916"/>
      <c r="IT154" s="1916"/>
      <c r="IU154" s="1917"/>
      <c r="IV154" s="1918"/>
      <c r="IW154" s="1919"/>
      <c r="IX154" s="1920"/>
      <c r="IY154" s="1921"/>
      <c r="IZ154" s="1719"/>
      <c r="JA154" s="1721"/>
      <c r="JB154" s="1922"/>
      <c r="JC154" s="1923"/>
      <c r="JD154" s="1924"/>
      <c r="JE154" s="1719"/>
      <c r="JF154" s="1721"/>
      <c r="JG154" s="1847"/>
      <c r="JH154" s="1096"/>
      <c r="JI154" s="1096"/>
      <c r="JJ154" s="1756"/>
      <c r="JK154" s="1721"/>
      <c r="JL154" s="1927"/>
      <c r="JM154" s="1096"/>
      <c r="JN154" s="1096"/>
      <c r="JO154" s="1843"/>
      <c r="JP154" s="1721"/>
      <c r="JQ154" s="2546"/>
      <c r="JR154" s="2547"/>
      <c r="JS154" s="2548"/>
      <c r="JT154" s="2549"/>
      <c r="JU154" s="2550"/>
      <c r="JV154" s="1849"/>
      <c r="JW154" s="1119"/>
      <c r="JX154" s="1850"/>
      <c r="JY154" s="823"/>
      <c r="JZ154" s="1721"/>
      <c r="KA154" s="1846"/>
      <c r="KB154" s="264"/>
      <c r="KC154" s="264"/>
      <c r="KD154" s="964"/>
      <c r="KE154" s="1848"/>
      <c r="KF154" s="1849"/>
      <c r="KG154" s="1850"/>
      <c r="KH154" s="1850"/>
      <c r="KI154" s="1719"/>
      <c r="KJ154" s="1721"/>
      <c r="KK154" s="1849"/>
      <c r="KL154" s="1850"/>
      <c r="KM154" s="1850"/>
      <c r="KN154" s="1851"/>
      <c r="KO154" s="1852"/>
      <c r="KP154" s="2551"/>
      <c r="KQ154" s="972"/>
      <c r="KR154" s="264"/>
      <c r="KS154" s="1845"/>
      <c r="KT154" s="1720"/>
      <c r="KU154" s="1853"/>
      <c r="KV154" s="264">
        <v>0</v>
      </c>
      <c r="KW154" s="264">
        <v>0</v>
      </c>
      <c r="KX154" s="264">
        <f>KW154-KV154</f>
        <v>0</v>
      </c>
      <c r="KY154" s="75"/>
      <c r="KZ154" s="1857">
        <f>(IR154+IW154+JB154+JG154+JL154+JQ154+JV154+KA154+KF154+KK154+KP154+KU154)/12</f>
        <v>0</v>
      </c>
      <c r="LA154" s="358">
        <f t="shared" si="594"/>
        <v>0</v>
      </c>
      <c r="LB154" s="358">
        <f t="shared" si="594"/>
        <v>0</v>
      </c>
      <c r="LC154" s="358">
        <f t="shared" si="594"/>
        <v>0</v>
      </c>
      <c r="LD154" s="151"/>
      <c r="LE154" s="1854">
        <f t="shared" si="596"/>
        <v>0</v>
      </c>
      <c r="LF154" s="1855">
        <f t="shared" si="597"/>
        <v>0</v>
      </c>
      <c r="LG154" s="1855">
        <f t="shared" si="597"/>
        <v>0</v>
      </c>
      <c r="LH154" s="1856" t="e">
        <f t="shared" si="598"/>
        <v>#DIV/0!</v>
      </c>
      <c r="LI154" s="1857">
        <f t="shared" si="599"/>
        <v>0</v>
      </c>
      <c r="LJ154" s="1858">
        <f t="shared" si="600"/>
        <v>0</v>
      </c>
      <c r="LK154" s="1854">
        <f t="shared" si="600"/>
        <v>0</v>
      </c>
      <c r="LL154" s="1856"/>
      <c r="LM154" s="1859">
        <f>(JV154+KA154+KF154)/3</f>
        <v>0</v>
      </c>
      <c r="LN154" s="1727">
        <f>(JX154+KC154+KH154)</f>
        <v>0</v>
      </c>
      <c r="LO154" s="1727">
        <f>(JY154+KD154+KI154)</f>
        <v>0</v>
      </c>
      <c r="LP154" s="151"/>
      <c r="LQ154" s="1860">
        <f t="shared" si="603"/>
        <v>0</v>
      </c>
      <c r="LR154" s="1727">
        <f t="shared" si="604"/>
        <v>0</v>
      </c>
      <c r="LS154" s="1727">
        <f t="shared" si="604"/>
        <v>0</v>
      </c>
      <c r="LT154" s="1861"/>
      <c r="LV154" s="439">
        <v>3</v>
      </c>
      <c r="LW154" s="208">
        <v>30267</v>
      </c>
      <c r="LX154" s="208">
        <v>35448</v>
      </c>
      <c r="LY154" s="96">
        <f>LX154-LW154</f>
        <v>5181</v>
      </c>
      <c r="LZ154" s="78">
        <f>LY154/LX154</f>
        <v>0.14615775220040622</v>
      </c>
      <c r="MA154" s="1862">
        <v>3</v>
      </c>
      <c r="MB154" s="265">
        <v>66998</v>
      </c>
      <c r="MC154" s="265">
        <v>84000</v>
      </c>
      <c r="MD154" s="371">
        <f>MC154-MB154</f>
        <v>17002</v>
      </c>
      <c r="ME154" s="157">
        <f>MD154/MC154</f>
        <v>0.20240476190476189</v>
      </c>
      <c r="MF154" s="439">
        <v>5</v>
      </c>
      <c r="MG154" s="208">
        <v>79787</v>
      </c>
      <c r="MH154" s="208">
        <v>84000</v>
      </c>
      <c r="MI154" s="371">
        <f t="shared" si="610"/>
        <v>4213</v>
      </c>
      <c r="MJ154" s="157">
        <f t="shared" si="611"/>
        <v>5.0154761904761903E-2</v>
      </c>
      <c r="MK154" s="354">
        <v>3</v>
      </c>
      <c r="ML154" s="208">
        <v>64445</v>
      </c>
      <c r="MM154" s="208">
        <v>189940</v>
      </c>
      <c r="MN154" s="371">
        <f t="shared" si="612"/>
        <v>125495</v>
      </c>
      <c r="MO154" s="157">
        <f t="shared" si="613"/>
        <v>0.66070864483521108</v>
      </c>
      <c r="MP154" s="1579">
        <v>6</v>
      </c>
      <c r="MQ154" s="264">
        <v>155974</v>
      </c>
      <c r="MR154" s="264">
        <v>189940</v>
      </c>
      <c r="MS154" s="264">
        <f t="shared" si="614"/>
        <v>33966</v>
      </c>
      <c r="MT154" s="597">
        <f t="shared" si="615"/>
        <v>0.17882489207118038</v>
      </c>
      <c r="MU154" s="209">
        <v>6</v>
      </c>
      <c r="MV154" s="208">
        <v>156665</v>
      </c>
      <c r="MW154" s="208">
        <v>189944</v>
      </c>
      <c r="MX154" s="208">
        <f t="shared" si="616"/>
        <v>33279</v>
      </c>
      <c r="MY154" s="597">
        <f t="shared" si="617"/>
        <v>0.17520427073242639</v>
      </c>
      <c r="MZ154" s="209">
        <v>6</v>
      </c>
      <c r="NA154" s="208">
        <v>156665</v>
      </c>
      <c r="NB154" s="208">
        <v>189944</v>
      </c>
      <c r="NC154" s="208">
        <f t="shared" si="618"/>
        <v>33279</v>
      </c>
      <c r="ND154" s="597">
        <f t="shared" si="619"/>
        <v>0.17520427073242639</v>
      </c>
      <c r="NE154" s="209">
        <v>7</v>
      </c>
      <c r="NF154" s="208">
        <v>173447</v>
      </c>
      <c r="NG154" s="208">
        <v>210440</v>
      </c>
      <c r="NH154" s="208">
        <f t="shared" si="620"/>
        <v>36993</v>
      </c>
      <c r="NI154" s="597">
        <f t="shared" si="621"/>
        <v>0.17578882341760121</v>
      </c>
      <c r="NJ154" s="209">
        <v>7</v>
      </c>
      <c r="NK154" s="208">
        <v>182669</v>
      </c>
      <c r="NL154" s="208">
        <v>218000</v>
      </c>
      <c r="NM154" s="208">
        <f t="shared" si="622"/>
        <v>35331</v>
      </c>
      <c r="NN154" s="597">
        <f t="shared" si="623"/>
        <v>0.16206880733944953</v>
      </c>
      <c r="NO154" s="357">
        <v>7</v>
      </c>
      <c r="NP154" s="358">
        <v>186669</v>
      </c>
      <c r="NQ154" s="358">
        <v>218000</v>
      </c>
      <c r="NR154" s="208">
        <f t="shared" si="624"/>
        <v>31331</v>
      </c>
      <c r="NS154" s="597">
        <f t="shared" si="625"/>
        <v>0.14372018348623852</v>
      </c>
      <c r="NT154" s="357">
        <v>8</v>
      </c>
      <c r="NU154" s="358">
        <v>194804</v>
      </c>
      <c r="NV154" s="358">
        <v>218000</v>
      </c>
      <c r="NW154" s="208">
        <f t="shared" si="626"/>
        <v>23196</v>
      </c>
      <c r="NX154" s="597">
        <f t="shared" si="627"/>
        <v>0.10640366972477064</v>
      </c>
      <c r="NY154" s="357">
        <v>8</v>
      </c>
      <c r="NZ154" s="358">
        <v>208444</v>
      </c>
      <c r="OA154" s="358">
        <v>218000</v>
      </c>
      <c r="OB154" s="772">
        <f t="shared" si="628"/>
        <v>9556</v>
      </c>
      <c r="OC154" s="659">
        <f t="shared" si="629"/>
        <v>4.3834862385321104E-2</v>
      </c>
      <c r="OD154" s="191">
        <v>8</v>
      </c>
      <c r="OE154" s="358">
        <f t="shared" si="630"/>
        <v>1656834</v>
      </c>
      <c r="OF154" s="358">
        <f t="shared" si="630"/>
        <v>2045656</v>
      </c>
      <c r="OG154" s="358">
        <f t="shared" si="630"/>
        <v>388822</v>
      </c>
      <c r="OH154" s="220">
        <f t="shared" si="631"/>
        <v>0.19007203557196323</v>
      </c>
      <c r="OI154" s="1863">
        <f t="shared" si="632"/>
        <v>3.6666666666666665</v>
      </c>
      <c r="OJ154" s="105">
        <f t="shared" si="633"/>
        <v>177052</v>
      </c>
      <c r="OK154" s="105">
        <f t="shared" si="633"/>
        <v>203448</v>
      </c>
      <c r="OL154" s="105">
        <f t="shared" si="633"/>
        <v>26396</v>
      </c>
      <c r="OM154" s="106"/>
      <c r="ON154" s="358">
        <f t="shared" si="635"/>
        <v>5</v>
      </c>
      <c r="OO154" s="358">
        <f t="shared" si="636"/>
        <v>377084</v>
      </c>
      <c r="OP154" s="358">
        <f t="shared" si="636"/>
        <v>569824</v>
      </c>
      <c r="OQ154" s="359">
        <f t="shared" si="636"/>
        <v>192740</v>
      </c>
      <c r="OR154" s="169">
        <f t="shared" si="637"/>
        <v>0.33824479137417868</v>
      </c>
      <c r="OS154" s="686">
        <f t="shared" si="638"/>
        <v>6.666666666666667</v>
      </c>
      <c r="OT154" s="146">
        <f t="shared" si="639"/>
        <v>512781</v>
      </c>
      <c r="OU154" s="146">
        <f t="shared" si="639"/>
        <v>618384</v>
      </c>
      <c r="OV154" s="1864">
        <f t="shared" si="639"/>
        <v>105603</v>
      </c>
      <c r="OW154" s="203">
        <f t="shared" si="640"/>
        <v>0.17077252969028953</v>
      </c>
      <c r="OX154" s="357">
        <v>8</v>
      </c>
      <c r="OY154" s="358">
        <f t="shared" si="641"/>
        <v>589917</v>
      </c>
      <c r="OZ154" s="358">
        <f t="shared" si="641"/>
        <v>654000</v>
      </c>
      <c r="PA154" s="359">
        <f t="shared" si="641"/>
        <v>64083</v>
      </c>
      <c r="PB154" s="114">
        <f t="shared" si="642"/>
        <v>9.7986238532110095E-2</v>
      </c>
      <c r="PC154" s="79"/>
      <c r="PD154" s="439">
        <v>8</v>
      </c>
      <c r="PE154" s="208">
        <v>148703</v>
      </c>
      <c r="PF154" s="208">
        <v>218000</v>
      </c>
      <c r="PG154" s="96">
        <f t="shared" si="643"/>
        <v>69297</v>
      </c>
      <c r="PH154" s="224">
        <f t="shared" si="644"/>
        <v>0.31787614678899084</v>
      </c>
      <c r="PI154" s="1862">
        <v>9</v>
      </c>
      <c r="PJ154" s="265">
        <v>230332</v>
      </c>
      <c r="PK154" s="265">
        <v>264060</v>
      </c>
      <c r="PL154" s="371">
        <f t="shared" si="529"/>
        <v>33728</v>
      </c>
      <c r="PM154" s="157">
        <f t="shared" si="530"/>
        <v>0.12772854654245247</v>
      </c>
      <c r="PN154" s="439">
        <v>8</v>
      </c>
      <c r="PO154" s="208">
        <v>232498</v>
      </c>
      <c r="PP154" s="208">
        <v>264060</v>
      </c>
      <c r="PQ154" s="371">
        <f t="shared" si="531"/>
        <v>31562</v>
      </c>
      <c r="PR154" s="157">
        <f>PQ154/PP154</f>
        <v>0.11952586533363629</v>
      </c>
      <c r="PS154" s="2573">
        <v>14</v>
      </c>
      <c r="PT154" s="395">
        <v>387208</v>
      </c>
      <c r="PU154" s="395">
        <v>539000</v>
      </c>
      <c r="PV154" s="372">
        <v>151792</v>
      </c>
      <c r="PW154" s="207">
        <f>PV154/PU154</f>
        <v>0.28161781076066789</v>
      </c>
      <c r="PX154" s="1579">
        <v>15</v>
      </c>
      <c r="PY154" s="264">
        <v>416353</v>
      </c>
      <c r="PZ154" s="264">
        <v>539000</v>
      </c>
      <c r="QA154" s="264">
        <f t="shared" si="535"/>
        <v>122647</v>
      </c>
      <c r="QB154" s="597">
        <f>QA154/PZ154</f>
        <v>0.22754545454545455</v>
      </c>
      <c r="QC154" s="209">
        <v>15</v>
      </c>
      <c r="QD154" s="208">
        <v>438850</v>
      </c>
      <c r="QE154" s="208">
        <v>539000</v>
      </c>
      <c r="QF154" s="208">
        <f t="shared" si="537"/>
        <v>100150</v>
      </c>
      <c r="QG154" s="597">
        <f>QF154/QE154</f>
        <v>0.18580705009276438</v>
      </c>
      <c r="QH154" s="439">
        <v>15</v>
      </c>
      <c r="QI154" s="208">
        <v>424140</v>
      </c>
      <c r="QJ154" s="208">
        <v>539000</v>
      </c>
      <c r="QK154" s="208">
        <f>QJ154-QI154</f>
        <v>114860</v>
      </c>
      <c r="QL154" s="597">
        <f>QK154/QJ154</f>
        <v>0.21309833024118738</v>
      </c>
      <c r="QM154" s="439">
        <v>15</v>
      </c>
      <c r="QN154" s="208">
        <v>427399</v>
      </c>
      <c r="QO154" s="208">
        <v>539000</v>
      </c>
      <c r="QP154" s="208">
        <f t="shared" si="541"/>
        <v>111601</v>
      </c>
      <c r="QQ154" s="1869">
        <f t="shared" si="542"/>
        <v>0.20705194805194804</v>
      </c>
      <c r="QR154" s="209">
        <v>15</v>
      </c>
      <c r="QS154" s="208">
        <v>439106</v>
      </c>
      <c r="QT154" s="208">
        <v>539000</v>
      </c>
      <c r="QU154" s="395">
        <f t="shared" si="543"/>
        <v>99894</v>
      </c>
      <c r="QV154" s="75">
        <f t="shared" si="544"/>
        <v>0.18533209647495361</v>
      </c>
      <c r="QW154" s="209">
        <v>15</v>
      </c>
      <c r="QX154" s="208">
        <v>439850</v>
      </c>
      <c r="QY154" s="994">
        <v>539000</v>
      </c>
      <c r="QZ154" s="395">
        <f t="shared" si="545"/>
        <v>99150</v>
      </c>
      <c r="RA154" s="157">
        <f t="shared" si="546"/>
        <v>0.18395176252319109</v>
      </c>
      <c r="RB154" s="357">
        <v>15</v>
      </c>
      <c r="RC154" s="358">
        <v>439165</v>
      </c>
      <c r="RD154" s="358">
        <v>539000</v>
      </c>
      <c r="RE154" s="208">
        <f t="shared" si="547"/>
        <v>99835</v>
      </c>
      <c r="RF154" s="1313">
        <f t="shared" si="548"/>
        <v>0.1852226345083488</v>
      </c>
      <c r="RG154" s="1857">
        <v>16</v>
      </c>
      <c r="RH154" s="358">
        <v>462858</v>
      </c>
      <c r="RI154" s="358">
        <v>539000</v>
      </c>
      <c r="RJ154" s="772">
        <f t="shared" si="549"/>
        <v>76142</v>
      </c>
      <c r="RK154" s="659">
        <f t="shared" si="550"/>
        <v>0.14126530612244897</v>
      </c>
      <c r="RL154" s="1567">
        <v>16</v>
      </c>
      <c r="RM154" s="1568">
        <f t="shared" si="551"/>
        <v>4486462</v>
      </c>
      <c r="RN154" s="1568">
        <f t="shared" si="551"/>
        <v>5597120</v>
      </c>
      <c r="RO154" s="1568">
        <f t="shared" si="551"/>
        <v>1110658</v>
      </c>
      <c r="RP154" s="220">
        <f t="shared" si="552"/>
        <v>0.1984338374020925</v>
      </c>
      <c r="RQ154" s="1863">
        <f t="shared" si="553"/>
        <v>8.3333333333333339</v>
      </c>
      <c r="RR154" s="105">
        <f t="shared" si="554"/>
        <v>611533</v>
      </c>
      <c r="RS154" s="105">
        <f t="shared" si="554"/>
        <v>746120</v>
      </c>
      <c r="RT154" s="105">
        <f t="shared" si="554"/>
        <v>134587</v>
      </c>
      <c r="RU154" s="106">
        <f t="shared" si="555"/>
        <v>0.18038251219642953</v>
      </c>
      <c r="RV154" s="1868">
        <v>15</v>
      </c>
      <c r="RW154" s="358">
        <f t="shared" si="556"/>
        <v>1242411</v>
      </c>
      <c r="RX154" s="358">
        <f t="shared" si="556"/>
        <v>1617000</v>
      </c>
      <c r="RY154" s="359">
        <f t="shared" si="556"/>
        <v>374589</v>
      </c>
      <c r="RZ154" s="169">
        <f t="shared" si="557"/>
        <v>0.23165677179962893</v>
      </c>
      <c r="SA154" s="686">
        <v>15</v>
      </c>
      <c r="SB154" s="146">
        <f t="shared" si="558"/>
        <v>1290645</v>
      </c>
      <c r="SC154" s="146">
        <f t="shared" si="558"/>
        <v>1617000</v>
      </c>
      <c r="SD154" s="1864">
        <f t="shared" si="558"/>
        <v>326355</v>
      </c>
      <c r="SE154" s="203">
        <f t="shared" si="559"/>
        <v>0.20182745825602968</v>
      </c>
      <c r="SF154" s="1567">
        <v>16</v>
      </c>
      <c r="SG154" s="358">
        <f t="shared" si="560"/>
        <v>1341873</v>
      </c>
      <c r="SH154" s="358">
        <f t="shared" si="560"/>
        <v>1617000</v>
      </c>
      <c r="SI154" s="359">
        <f t="shared" si="560"/>
        <v>275127</v>
      </c>
      <c r="SJ154" s="114">
        <f t="shared" si="561"/>
        <v>0.1701465677179963</v>
      </c>
      <c r="SL154" s="439">
        <v>14</v>
      </c>
      <c r="SM154" s="208">
        <v>422589</v>
      </c>
      <c r="SN154" s="208">
        <v>539000</v>
      </c>
      <c r="SO154" s="96">
        <f t="shared" si="562"/>
        <v>116411</v>
      </c>
      <c r="SP154" s="78">
        <f t="shared" si="563"/>
        <v>0.21597588126159556</v>
      </c>
      <c r="SQ154" s="439">
        <v>16</v>
      </c>
      <c r="SR154" s="208">
        <v>446627</v>
      </c>
      <c r="SS154" s="208">
        <v>539000</v>
      </c>
      <c r="ST154" s="96">
        <f t="shared" si="564"/>
        <v>92373</v>
      </c>
      <c r="SU154" s="78">
        <f t="shared" si="645"/>
        <v>0.17137847866419295</v>
      </c>
      <c r="SV154" s="439">
        <v>15</v>
      </c>
      <c r="SW154" s="208">
        <v>446167</v>
      </c>
      <c r="SX154" s="994">
        <v>539000</v>
      </c>
      <c r="SY154" s="96">
        <f t="shared" si="565"/>
        <v>92833</v>
      </c>
      <c r="SZ154" s="94">
        <f>SY154/SX154</f>
        <v>0.17223191094619666</v>
      </c>
      <c r="TA154" s="2573">
        <v>14</v>
      </c>
      <c r="TB154" s="395">
        <v>408180</v>
      </c>
      <c r="TC154" s="772">
        <v>511000</v>
      </c>
      <c r="TD154" s="115">
        <f t="shared" si="566"/>
        <v>102820</v>
      </c>
      <c r="TE154" s="362">
        <f>TD154/TC154</f>
        <v>0.20121330724070449</v>
      </c>
      <c r="TF154" s="354">
        <v>14</v>
      </c>
      <c r="TG154" s="208">
        <v>416352</v>
      </c>
      <c r="TH154" s="208">
        <v>480000</v>
      </c>
      <c r="TI154" s="208">
        <f t="shared" si="480"/>
        <v>63648</v>
      </c>
      <c r="TJ154" s="114">
        <f>TI154/TH154</f>
        <v>0.1326</v>
      </c>
      <c r="TK154" s="209">
        <v>15</v>
      </c>
      <c r="TL154" s="208">
        <v>449261</v>
      </c>
      <c r="TM154" s="208">
        <v>539000</v>
      </c>
      <c r="TN154" s="208">
        <f t="shared" si="649"/>
        <v>89739</v>
      </c>
      <c r="TO154" s="114">
        <f t="shared" si="650"/>
        <v>0.16649165120593692</v>
      </c>
      <c r="TP154" s="1574">
        <v>15</v>
      </c>
      <c r="TQ154" s="208">
        <v>457668</v>
      </c>
      <c r="TR154" s="208">
        <v>539000</v>
      </c>
      <c r="TS154" s="994">
        <f t="shared" si="651"/>
        <v>81332</v>
      </c>
      <c r="TT154" s="114">
        <f t="shared" si="652"/>
        <v>0.15089424860853431</v>
      </c>
      <c r="TU154" s="4432">
        <v>15</v>
      </c>
      <c r="TV154" s="208">
        <v>459833</v>
      </c>
      <c r="TW154" s="208">
        <v>539000</v>
      </c>
      <c r="TX154" s="994">
        <f t="shared" si="567"/>
        <v>79167</v>
      </c>
      <c r="TY154" s="114">
        <f t="shared" si="657"/>
        <v>0.14687755102040817</v>
      </c>
      <c r="TZ154" s="209">
        <v>17</v>
      </c>
      <c r="UA154" s="208">
        <v>441027</v>
      </c>
      <c r="UB154" s="208">
        <v>539000</v>
      </c>
      <c r="UC154" s="994">
        <f t="shared" si="568"/>
        <v>97973</v>
      </c>
      <c r="UD154" s="114">
        <f t="shared" si="653"/>
        <v>0.18176808905380334</v>
      </c>
      <c r="UE154" s="6505">
        <v>15</v>
      </c>
      <c r="UF154" s="6506">
        <v>431465</v>
      </c>
      <c r="UG154" s="6506">
        <v>521839</v>
      </c>
      <c r="UH154" s="1575">
        <f t="shared" si="569"/>
        <v>90374</v>
      </c>
      <c r="UI154" s="1867">
        <f t="shared" si="654"/>
        <v>0.17318368308999518</v>
      </c>
      <c r="UJ154" s="357"/>
      <c r="UK154" s="358"/>
      <c r="UL154" s="358"/>
      <c r="UM154" s="208">
        <f t="shared" si="570"/>
        <v>0</v>
      </c>
      <c r="UN154" s="1313" t="e">
        <f t="shared" si="571"/>
        <v>#DIV/0!</v>
      </c>
      <c r="UO154" s="1567"/>
      <c r="UP154" s="1568"/>
      <c r="UQ154" s="1568"/>
      <c r="UR154" s="2012">
        <f t="shared" si="572"/>
        <v>0</v>
      </c>
      <c r="US154" s="659" t="e">
        <f t="shared" si="573"/>
        <v>#DIV/0!</v>
      </c>
      <c r="UT154" s="1567"/>
      <c r="UU154" s="358">
        <f t="shared" si="655"/>
        <v>4379169</v>
      </c>
      <c r="UV154" s="358">
        <f t="shared" si="655"/>
        <v>5285839</v>
      </c>
      <c r="UW154" s="358">
        <f t="shared" si="655"/>
        <v>906670</v>
      </c>
      <c r="UX154" s="220">
        <f t="shared" si="575"/>
        <v>0.17152811502582654</v>
      </c>
      <c r="UY154" s="1863">
        <f t="shared" si="576"/>
        <v>15</v>
      </c>
      <c r="UZ154" s="105">
        <f t="shared" si="577"/>
        <v>1315383</v>
      </c>
      <c r="VA154" s="105">
        <f t="shared" si="577"/>
        <v>1617000</v>
      </c>
      <c r="VB154" s="105">
        <f t="shared" si="577"/>
        <v>301617</v>
      </c>
      <c r="VC154" s="106">
        <f>VB154/VA154</f>
        <v>0.18652875695732837</v>
      </c>
      <c r="VD154" s="1868"/>
      <c r="VE154" s="358">
        <f t="shared" si="656"/>
        <v>1273793</v>
      </c>
      <c r="VF154" s="358">
        <f t="shared" si="656"/>
        <v>1530000</v>
      </c>
      <c r="VG154" s="359">
        <f t="shared" si="656"/>
        <v>256207</v>
      </c>
      <c r="VH154" s="169">
        <f t="shared" si="580"/>
        <v>0.16745555555555555</v>
      </c>
      <c r="VI154" s="686"/>
      <c r="VJ154" s="146">
        <f t="shared" si="581"/>
        <v>1358528</v>
      </c>
      <c r="VK154" s="146">
        <f t="shared" si="581"/>
        <v>1617000</v>
      </c>
      <c r="VL154" s="1864">
        <f t="shared" si="581"/>
        <v>258472</v>
      </c>
      <c r="VM154" s="203">
        <f>VL154/VK154</f>
        <v>0.15984662956091528</v>
      </c>
      <c r="VN154" s="1567"/>
      <c r="VO154" s="358">
        <f t="shared" si="583"/>
        <v>431465</v>
      </c>
      <c r="VP154" s="358">
        <f t="shared" si="583"/>
        <v>521839</v>
      </c>
      <c r="VQ154" s="359">
        <f t="shared" si="583"/>
        <v>90374</v>
      </c>
      <c r="VR154" s="114">
        <f t="shared" si="584"/>
        <v>0.17318368308999518</v>
      </c>
    </row>
    <row r="155" spans="1:590" s="1193" customFormat="1" ht="13.45" x14ac:dyDescent="0.3">
      <c r="A155" s="1297"/>
      <c r="B155" s="583" t="s">
        <v>84</v>
      </c>
      <c r="C155" s="2636" t="s">
        <v>298</v>
      </c>
      <c r="D155" s="2277" t="s">
        <v>1062</v>
      </c>
      <c r="E155" s="2591">
        <v>45383</v>
      </c>
      <c r="F155" s="2591">
        <v>45596</v>
      </c>
      <c r="G155" s="1994">
        <v>64000</v>
      </c>
      <c r="H155" s="2093"/>
      <c r="I155" s="2094"/>
      <c r="J155" s="2094"/>
      <c r="K155" s="2094"/>
      <c r="L155" s="2095"/>
      <c r="M155" s="2093"/>
      <c r="N155" s="2094"/>
      <c r="O155" s="2094"/>
      <c r="P155" s="2094"/>
      <c r="Q155" s="2095"/>
      <c r="R155" s="2093"/>
      <c r="S155" s="2094"/>
      <c r="T155" s="2094"/>
      <c r="U155" s="2094"/>
      <c r="V155" s="2095"/>
      <c r="W155" s="2093"/>
      <c r="X155" s="2094"/>
      <c r="Y155" s="2094"/>
      <c r="Z155" s="2094"/>
      <c r="AA155" s="2096"/>
      <c r="AB155" s="2093"/>
      <c r="AC155" s="2094"/>
      <c r="AD155" s="2094"/>
      <c r="AE155" s="2094"/>
      <c r="AF155" s="2096"/>
      <c r="AG155" s="2094"/>
      <c r="AH155" s="2094"/>
      <c r="AI155" s="2094"/>
      <c r="AJ155" s="2094"/>
      <c r="AK155" s="2095"/>
      <c r="AL155" s="2094"/>
      <c r="AM155" s="2094"/>
      <c r="AN155" s="2094"/>
      <c r="AO155" s="2094"/>
      <c r="AP155" s="2095"/>
      <c r="AQ155" s="2094"/>
      <c r="AR155" s="2094"/>
      <c r="AS155" s="2094"/>
      <c r="AT155" s="2094"/>
      <c r="AU155" s="2095"/>
      <c r="AV155" s="2097"/>
      <c r="AW155" s="2094"/>
      <c r="AX155" s="2094"/>
      <c r="AY155" s="2094"/>
      <c r="AZ155" s="2096"/>
      <c r="BA155" s="2097"/>
      <c r="BB155" s="2094"/>
      <c r="BC155" s="2094"/>
      <c r="BD155" s="2094"/>
      <c r="BE155" s="2096"/>
      <c r="BF155" s="2097"/>
      <c r="BG155" s="2094"/>
      <c r="BH155" s="2094"/>
      <c r="BI155" s="2094"/>
      <c r="BJ155" s="2096"/>
      <c r="BK155" s="2097"/>
      <c r="BL155" s="2094"/>
      <c r="BM155" s="2094"/>
      <c r="BN155" s="2094"/>
      <c r="BO155" s="2096"/>
      <c r="BP155" s="2098"/>
      <c r="BQ155" s="2094"/>
      <c r="BR155" s="2094"/>
      <c r="BS155" s="2094"/>
      <c r="BT155" s="2099"/>
      <c r="BU155" s="2094"/>
      <c r="BV155" s="2094"/>
      <c r="BW155" s="2100"/>
      <c r="BX155" s="2099"/>
      <c r="BY155" s="2094"/>
      <c r="BZ155" s="2094"/>
      <c r="CA155" s="2101"/>
      <c r="CB155" s="2094"/>
      <c r="CC155" s="2094"/>
      <c r="CD155" s="2094"/>
      <c r="CE155" s="2094"/>
      <c r="CF155" s="2099"/>
      <c r="CG155" s="2094"/>
      <c r="CH155" s="2094"/>
      <c r="CI155" s="2101"/>
      <c r="CJ155" s="2102"/>
      <c r="CK155" s="2094"/>
      <c r="CL155" s="2094"/>
      <c r="CM155" s="2094"/>
      <c r="CN155" s="2100"/>
      <c r="CO155" s="2102"/>
      <c r="CP155" s="2093"/>
      <c r="CQ155" s="2093"/>
      <c r="CR155" s="2093"/>
      <c r="CS155" s="2100"/>
      <c r="CT155" s="2102"/>
      <c r="CU155" s="2094"/>
      <c r="CV155" s="2094"/>
      <c r="CW155" s="2094"/>
      <c r="CX155" s="2100"/>
      <c r="CY155" s="2102"/>
      <c r="CZ155" s="2094"/>
      <c r="DA155" s="2094"/>
      <c r="DB155" s="2094"/>
      <c r="DC155" s="2100"/>
      <c r="DD155" s="2102"/>
      <c r="DE155" s="2094"/>
      <c r="DF155" s="2094"/>
      <c r="DG155" s="2094"/>
      <c r="DH155" s="2103"/>
      <c r="DI155" s="2102"/>
      <c r="DJ155" s="2094"/>
      <c r="DK155" s="2094"/>
      <c r="DL155" s="2094"/>
      <c r="DM155" s="2103"/>
      <c r="DN155" s="2102"/>
      <c r="DO155" s="2094"/>
      <c r="DP155" s="2094"/>
      <c r="DQ155" s="2094"/>
      <c r="DR155" s="2103"/>
      <c r="DS155" s="2102"/>
      <c r="DT155" s="2094"/>
      <c r="DU155" s="2094"/>
      <c r="DV155" s="2094"/>
      <c r="DW155" s="2103"/>
      <c r="DX155" s="2102"/>
      <c r="DY155" s="2094"/>
      <c r="DZ155" s="2094"/>
      <c r="EA155" s="2094"/>
      <c r="EB155" s="2103"/>
      <c r="EC155" s="2102"/>
      <c r="ED155" s="2094"/>
      <c r="EE155" s="2094"/>
      <c r="EF155" s="2094"/>
      <c r="EG155" s="2103"/>
      <c r="EH155" s="2037"/>
      <c r="EI155" s="1914"/>
      <c r="EJ155" s="1914"/>
      <c r="EK155" s="1914"/>
      <c r="EL155" s="2038"/>
      <c r="EM155" s="1910"/>
      <c r="EN155" s="715"/>
      <c r="EO155" s="715"/>
      <c r="EP155" s="715"/>
      <c r="EQ155" s="366"/>
      <c r="ER155" s="2614"/>
      <c r="ES155" s="2615"/>
      <c r="ET155" s="2615"/>
      <c r="EU155" s="2615"/>
      <c r="EV155" s="144"/>
      <c r="EW155" s="2031"/>
      <c r="EX155" s="2031"/>
      <c r="EY155" s="2031"/>
      <c r="EZ155" s="593"/>
      <c r="FA155" s="2037"/>
      <c r="FB155" s="2031"/>
      <c r="FC155" s="2031"/>
      <c r="FD155" s="2036"/>
      <c r="FE155" s="2031"/>
      <c r="FF155" s="2031"/>
      <c r="FG155" s="2031"/>
      <c r="FH155" s="593"/>
      <c r="FI155" s="2039"/>
      <c r="FJ155" s="2040"/>
      <c r="FK155" s="2041"/>
      <c r="FL155" s="2041"/>
      <c r="FM155" s="693"/>
      <c r="FN155" s="2031"/>
      <c r="FO155" s="1914"/>
      <c r="FP155" s="1914"/>
      <c r="FQ155" s="1914"/>
      <c r="FR155" s="2032"/>
      <c r="FS155" s="1910"/>
      <c r="FT155" s="715"/>
      <c r="FU155" s="715"/>
      <c r="FV155" s="715"/>
      <c r="FW155" s="2109"/>
      <c r="FX155" s="2037"/>
      <c r="FY155" s="1914"/>
      <c r="FZ155" s="1914"/>
      <c r="GA155" s="715"/>
      <c r="GB155" s="2109"/>
      <c r="GC155" s="2110"/>
      <c r="GD155" s="2111"/>
      <c r="GE155" s="2111"/>
      <c r="GF155" s="715"/>
      <c r="GG155" s="366"/>
      <c r="GH155" s="2042"/>
      <c r="GI155" s="2043"/>
      <c r="GJ155" s="2043"/>
      <c r="GK155" s="2112"/>
      <c r="GL155" s="2109"/>
      <c r="GM155" s="2042"/>
      <c r="GN155" s="2043"/>
      <c r="GO155" s="2043"/>
      <c r="GP155" s="2112"/>
      <c r="GQ155" s="2109"/>
      <c r="GR155" s="1903"/>
      <c r="GS155" s="1904"/>
      <c r="GT155" s="1904"/>
      <c r="GU155" s="2112"/>
      <c r="GV155" s="2109"/>
      <c r="GW155" s="1903"/>
      <c r="GX155" s="1904"/>
      <c r="GY155" s="1904"/>
      <c r="GZ155" s="2112"/>
      <c r="HA155" s="2109"/>
      <c r="HB155" s="1903"/>
      <c r="HC155" s="1904"/>
      <c r="HD155" s="1904"/>
      <c r="HE155" s="2112"/>
      <c r="HF155" s="2109"/>
      <c r="HG155" s="1903"/>
      <c r="HH155" s="1904"/>
      <c r="HI155" s="1904"/>
      <c r="HJ155" s="2113"/>
      <c r="HK155" s="2109"/>
      <c r="HL155" s="1903"/>
      <c r="HM155" s="1904"/>
      <c r="HN155" s="1904"/>
      <c r="HO155" s="715"/>
      <c r="HP155" s="366"/>
      <c r="HQ155" s="2592"/>
      <c r="HR155" s="2118"/>
      <c r="HS155" s="2118"/>
      <c r="HT155" s="2118"/>
      <c r="HU155" s="2593"/>
      <c r="HV155" s="2624"/>
      <c r="HW155" s="435"/>
      <c r="HX155" s="435"/>
      <c r="HY155" s="435"/>
      <c r="HZ155" s="2625"/>
      <c r="IA155" s="1912"/>
      <c r="IB155" s="1908"/>
      <c r="IC155" s="1908"/>
      <c r="ID155" s="1909"/>
      <c r="IE155" s="1910"/>
      <c r="IF155" s="1911"/>
      <c r="IG155" s="1912"/>
      <c r="IH155" s="1909"/>
      <c r="II155" s="1907"/>
      <c r="IJ155" s="2116"/>
      <c r="IK155" s="2116"/>
      <c r="IL155" s="693"/>
      <c r="IM155" s="2117"/>
      <c r="IN155" s="2116"/>
      <c r="IO155" s="2116"/>
      <c r="IP155" s="1838"/>
      <c r="IQ155" s="1914"/>
      <c r="IR155" s="2044"/>
      <c r="IS155" s="2118"/>
      <c r="IT155" s="2118"/>
      <c r="IU155" s="2119"/>
      <c r="IV155" s="2120"/>
      <c r="IW155" s="2121"/>
      <c r="IX155" s="2122"/>
      <c r="IY155" s="2123"/>
      <c r="IZ155" s="2124"/>
      <c r="JA155" s="2125"/>
      <c r="JB155" s="2046"/>
      <c r="JC155" s="2047"/>
      <c r="JD155" s="2048"/>
      <c r="JE155" s="2124"/>
      <c r="JF155" s="2125"/>
      <c r="JG155" s="1988"/>
      <c r="JH155" s="2049"/>
      <c r="JI155" s="2049"/>
      <c r="JJ155" s="2126"/>
      <c r="JK155" s="2125"/>
      <c r="JL155" s="2127"/>
      <c r="JM155" s="2049"/>
      <c r="JN155" s="2049"/>
      <c r="JO155" s="2128"/>
      <c r="JP155" s="2125"/>
      <c r="JQ155" s="2129"/>
      <c r="JR155" s="2130"/>
      <c r="JS155" s="1904"/>
      <c r="JT155" s="2413"/>
      <c r="JU155" s="2132"/>
      <c r="JV155" s="1849"/>
      <c r="JW155" s="1119"/>
      <c r="JX155" s="1850"/>
      <c r="JY155" s="1850"/>
      <c r="JZ155" s="2125"/>
      <c r="KA155" s="1849"/>
      <c r="KB155" s="1850"/>
      <c r="KC155" s="1850"/>
      <c r="KD155" s="1108"/>
      <c r="KE155" s="2133"/>
      <c r="KF155" s="1849"/>
      <c r="KG155" s="1850"/>
      <c r="KH155" s="1850"/>
      <c r="KI155" s="2124"/>
      <c r="KJ155" s="2125"/>
      <c r="KK155" s="1849"/>
      <c r="KL155" s="1850"/>
      <c r="KM155" s="1850"/>
      <c r="KN155" s="2134"/>
      <c r="KO155" s="2135"/>
      <c r="KP155" s="2596"/>
      <c r="KQ155" s="1119"/>
      <c r="KR155" s="1850"/>
      <c r="KS155" s="2597"/>
      <c r="KT155" s="2598"/>
      <c r="KU155" s="2138"/>
      <c r="KV155" s="1850"/>
      <c r="KW155" s="1850"/>
      <c r="KX155" s="1850"/>
      <c r="KY155" s="81"/>
      <c r="KZ155" s="1857"/>
      <c r="LA155" s="358"/>
      <c r="LB155" s="358"/>
      <c r="LC155" s="358"/>
      <c r="LD155" s="151"/>
      <c r="LE155" s="2139"/>
      <c r="LF155" s="2140"/>
      <c r="LG155" s="2140"/>
      <c r="LH155" s="2141"/>
      <c r="LI155" s="2142"/>
      <c r="LJ155" s="2143"/>
      <c r="LK155" s="2139"/>
      <c r="LL155" s="2141"/>
      <c r="LM155" s="1859"/>
      <c r="LN155" s="1727"/>
      <c r="LO155" s="1727"/>
      <c r="LP155" s="151"/>
      <c r="LQ155" s="1860"/>
      <c r="LR155" s="1727"/>
      <c r="LS155" s="1727"/>
      <c r="LT155" s="1861"/>
      <c r="LV155" s="2599"/>
      <c r="LW155" s="2198"/>
      <c r="LX155" s="2198"/>
      <c r="LY155" s="700"/>
      <c r="LZ155" s="2600"/>
      <c r="MA155" s="1903"/>
      <c r="MB155" s="1904"/>
      <c r="MC155" s="1904"/>
      <c r="MD155" s="2601"/>
      <c r="ME155" s="81"/>
      <c r="MF155" s="404"/>
      <c r="MG155" s="435"/>
      <c r="MH155" s="435"/>
      <c r="MI155" s="227"/>
      <c r="MJ155" s="1595"/>
      <c r="MK155" s="2152"/>
      <c r="ML155" s="435"/>
      <c r="MM155" s="435"/>
      <c r="MN155" s="2151"/>
      <c r="MO155" s="1595"/>
      <c r="MP155" s="2602"/>
      <c r="MQ155" s="1850"/>
      <c r="MR155" s="1850"/>
      <c r="MS155" s="1850"/>
      <c r="MT155" s="790"/>
      <c r="MU155" s="1596"/>
      <c r="MV155" s="435"/>
      <c r="MW155" s="435"/>
      <c r="MX155" s="435"/>
      <c r="MY155" s="790"/>
      <c r="MZ155" s="1596"/>
      <c r="NA155" s="435"/>
      <c r="NB155" s="435"/>
      <c r="NC155" s="435"/>
      <c r="ND155" s="790"/>
      <c r="NE155" s="1596"/>
      <c r="NF155" s="435"/>
      <c r="NG155" s="435"/>
      <c r="NH155" s="435"/>
      <c r="NI155" s="790"/>
      <c r="NJ155" s="1596"/>
      <c r="NK155" s="435"/>
      <c r="NL155" s="435"/>
      <c r="NM155" s="435"/>
      <c r="NN155" s="790"/>
      <c r="NO155" s="2633"/>
      <c r="NP155" s="1585"/>
      <c r="NQ155" s="1585"/>
      <c r="NR155" s="435"/>
      <c r="NS155" s="790"/>
      <c r="NT155" s="357"/>
      <c r="NU155" s="358"/>
      <c r="NV155" s="358"/>
      <c r="NW155" s="435"/>
      <c r="NX155" s="790"/>
      <c r="NY155" s="357"/>
      <c r="NZ155" s="358"/>
      <c r="OA155" s="358"/>
      <c r="OB155" s="772"/>
      <c r="OC155" s="659"/>
      <c r="OD155" s="197"/>
      <c r="OE155" s="1585"/>
      <c r="OF155" s="1585"/>
      <c r="OG155" s="1585"/>
      <c r="OH155" s="1600"/>
      <c r="OI155" s="1868"/>
      <c r="OJ155" s="105"/>
      <c r="OK155" s="1575"/>
      <c r="OL155" s="1575"/>
      <c r="OM155" s="375"/>
      <c r="ON155" s="358"/>
      <c r="OO155" s="358"/>
      <c r="OP155" s="358"/>
      <c r="OQ155" s="359"/>
      <c r="OR155" s="169"/>
      <c r="OS155" s="686"/>
      <c r="OT155" s="146"/>
      <c r="OU155" s="146"/>
      <c r="OV155" s="1864"/>
      <c r="OW155" s="203"/>
      <c r="OX155" s="2633"/>
      <c r="OY155" s="1585"/>
      <c r="OZ155" s="1585"/>
      <c r="PA155" s="2634"/>
      <c r="PB155" s="117"/>
      <c r="PC155" s="79"/>
      <c r="PD155" s="439"/>
      <c r="PE155" s="208"/>
      <c r="PF155" s="208"/>
      <c r="PG155" s="96"/>
      <c r="PH155" s="78"/>
      <c r="PI155" s="1903"/>
      <c r="PJ155" s="1904"/>
      <c r="PK155" s="1904"/>
      <c r="PL155" s="2601"/>
      <c r="PM155" s="81"/>
      <c r="PN155" s="404"/>
      <c r="PO155" s="435">
        <v>0</v>
      </c>
      <c r="PP155" s="435">
        <v>0</v>
      </c>
      <c r="PQ155" s="227">
        <v>0</v>
      </c>
      <c r="PR155" s="1595"/>
      <c r="PS155" s="2460"/>
      <c r="PT155" s="2150"/>
      <c r="PU155" s="2150"/>
      <c r="PV155" s="2638"/>
      <c r="PW155" s="2639"/>
      <c r="PX155" s="2637">
        <v>1</v>
      </c>
      <c r="PY155" s="1904">
        <v>4301</v>
      </c>
      <c r="PZ155" s="1904">
        <v>5928</v>
      </c>
      <c r="QA155" s="2640">
        <f>PZ155-PY155</f>
        <v>1627</v>
      </c>
      <c r="QB155" s="597">
        <f>QA155/PZ155</f>
        <v>0.27446018893387314</v>
      </c>
      <c r="QC155" s="1596">
        <v>2</v>
      </c>
      <c r="QD155" s="435">
        <v>64540</v>
      </c>
      <c r="QE155" s="435">
        <v>94014.88</v>
      </c>
      <c r="QF155" s="208">
        <f t="shared" si="537"/>
        <v>29474.880000000005</v>
      </c>
      <c r="QG155" s="597">
        <f>QF155/QE155</f>
        <v>0.31351292476254827</v>
      </c>
      <c r="QH155" s="440">
        <v>2</v>
      </c>
      <c r="QI155" s="435">
        <v>79168</v>
      </c>
      <c r="QJ155" s="435">
        <v>115189</v>
      </c>
      <c r="QK155" s="208">
        <f>QJ155-QI155</f>
        <v>36021</v>
      </c>
      <c r="QL155" s="597">
        <f>QK155/QJ155</f>
        <v>0.31271215133389474</v>
      </c>
      <c r="QM155" s="440">
        <v>2</v>
      </c>
      <c r="QN155" s="435">
        <v>79168</v>
      </c>
      <c r="QO155" s="435">
        <v>115667</v>
      </c>
      <c r="QP155" s="208">
        <f>QO155-QN155</f>
        <v>36499</v>
      </c>
      <c r="QQ155" s="1869">
        <f>QP155/QO155</f>
        <v>0.31555240474811314</v>
      </c>
      <c r="QR155" s="1596">
        <v>1</v>
      </c>
      <c r="QS155" s="435">
        <v>45834</v>
      </c>
      <c r="QT155" s="435">
        <v>65000</v>
      </c>
      <c r="QU155" s="208">
        <f>QT155-QS155</f>
        <v>19166</v>
      </c>
      <c r="QV155" s="75">
        <f>QU155/QT155</f>
        <v>0.29486153846153845</v>
      </c>
      <c r="QW155" s="2561">
        <v>1</v>
      </c>
      <c r="QX155" s="2586">
        <v>45834</v>
      </c>
      <c r="QY155" s="2586">
        <v>65000</v>
      </c>
      <c r="QZ155" s="208">
        <f t="shared" si="545"/>
        <v>19166</v>
      </c>
      <c r="RA155" s="157">
        <f t="shared" si="546"/>
        <v>0.29486153846153845</v>
      </c>
      <c r="RB155" s="357">
        <v>1</v>
      </c>
      <c r="RC155" s="358">
        <v>45834</v>
      </c>
      <c r="RD155" s="358">
        <v>64000</v>
      </c>
      <c r="RE155" s="208">
        <f t="shared" si="547"/>
        <v>18166</v>
      </c>
      <c r="RF155" s="1313">
        <f t="shared" si="548"/>
        <v>0.28384375000000001</v>
      </c>
      <c r="RG155" s="1857">
        <v>1</v>
      </c>
      <c r="RH155" s="358">
        <v>45834</v>
      </c>
      <c r="RI155" s="358">
        <v>64000</v>
      </c>
      <c r="RJ155" s="772">
        <f t="shared" si="549"/>
        <v>18166</v>
      </c>
      <c r="RK155" s="659">
        <f t="shared" si="550"/>
        <v>0.28384375000000001</v>
      </c>
      <c r="RL155" s="1567">
        <v>1</v>
      </c>
      <c r="RM155" s="1568">
        <f t="shared" si="551"/>
        <v>410513</v>
      </c>
      <c r="RN155" s="1568">
        <f t="shared" si="551"/>
        <v>588798.88</v>
      </c>
      <c r="RO155" s="1568">
        <f t="shared" si="551"/>
        <v>178285.88</v>
      </c>
      <c r="RP155" s="220">
        <f t="shared" si="552"/>
        <v>0.30279588847044003</v>
      </c>
      <c r="RQ155" s="1863">
        <f t="shared" si="553"/>
        <v>0</v>
      </c>
      <c r="RR155" s="105">
        <f t="shared" si="554"/>
        <v>0</v>
      </c>
      <c r="RS155" s="105">
        <f t="shared" si="554"/>
        <v>0</v>
      </c>
      <c r="RT155" s="105">
        <f t="shared" si="554"/>
        <v>0</v>
      </c>
      <c r="RU155" s="106"/>
      <c r="RV155" s="2635">
        <v>2</v>
      </c>
      <c r="RW155" s="358">
        <f t="shared" si="556"/>
        <v>68841</v>
      </c>
      <c r="RX155" s="358">
        <f t="shared" si="556"/>
        <v>99942.88</v>
      </c>
      <c r="RY155" s="359">
        <f t="shared" si="556"/>
        <v>31101.880000000005</v>
      </c>
      <c r="RZ155" s="169">
        <f t="shared" si="557"/>
        <v>0.31119655547248593</v>
      </c>
      <c r="SA155" s="686">
        <v>1</v>
      </c>
      <c r="SB155" s="146">
        <f t="shared" si="558"/>
        <v>204170</v>
      </c>
      <c r="SC155" s="146">
        <f t="shared" si="558"/>
        <v>295856</v>
      </c>
      <c r="SD155" s="1864">
        <f t="shared" si="558"/>
        <v>91686</v>
      </c>
      <c r="SE155" s="203">
        <f t="shared" si="559"/>
        <v>0.30990076253312421</v>
      </c>
      <c r="SF155" s="1567">
        <v>1</v>
      </c>
      <c r="SG155" s="358">
        <f t="shared" si="560"/>
        <v>137502</v>
      </c>
      <c r="SH155" s="358">
        <f t="shared" si="560"/>
        <v>193000</v>
      </c>
      <c r="SI155" s="359">
        <f t="shared" si="560"/>
        <v>55498</v>
      </c>
      <c r="SJ155" s="114">
        <f t="shared" si="561"/>
        <v>0.28755440414507771</v>
      </c>
      <c r="SL155" s="439">
        <v>1</v>
      </c>
      <c r="SM155" s="208">
        <v>42177</v>
      </c>
      <c r="SN155" s="208">
        <v>64000</v>
      </c>
      <c r="SO155" s="96">
        <f t="shared" si="562"/>
        <v>21823</v>
      </c>
      <c r="SP155" s="78">
        <f t="shared" si="563"/>
        <v>0.34098437500000001</v>
      </c>
      <c r="SQ155" s="401">
        <v>1</v>
      </c>
      <c r="SR155" s="395">
        <v>45834</v>
      </c>
      <c r="SS155" s="395">
        <v>64000</v>
      </c>
      <c r="ST155" s="96">
        <f t="shared" si="564"/>
        <v>18166</v>
      </c>
      <c r="SU155" s="78">
        <f t="shared" si="645"/>
        <v>0.28384375000000001</v>
      </c>
      <c r="SV155" s="440">
        <v>1</v>
      </c>
      <c r="SW155" s="435">
        <v>45834</v>
      </c>
      <c r="SX155" s="1584">
        <v>64000</v>
      </c>
      <c r="SY155" s="96">
        <f t="shared" si="565"/>
        <v>18166</v>
      </c>
      <c r="SZ155" s="94">
        <f>SY155/SX155</f>
        <v>0.28384375000000001</v>
      </c>
      <c r="TA155" s="2152">
        <v>1</v>
      </c>
      <c r="TB155" s="435">
        <v>45834</v>
      </c>
      <c r="TC155" s="1584">
        <v>64000</v>
      </c>
      <c r="TD155" s="96">
        <f t="shared" si="566"/>
        <v>18166</v>
      </c>
      <c r="TE155" s="94">
        <f>TD155/TC155</f>
        <v>0.28384375000000001</v>
      </c>
      <c r="TF155" s="1573">
        <v>1</v>
      </c>
      <c r="TG155" s="395">
        <v>45834</v>
      </c>
      <c r="TH155" s="395">
        <v>64000</v>
      </c>
      <c r="TI155" s="395">
        <f t="shared" si="480"/>
        <v>18166</v>
      </c>
      <c r="TJ155" s="114">
        <f>TI155/TH155</f>
        <v>0.28384375000000001</v>
      </c>
      <c r="TK155" s="1596">
        <v>1</v>
      </c>
      <c r="TL155" s="435">
        <v>45834</v>
      </c>
      <c r="TM155" s="435">
        <v>64000</v>
      </c>
      <c r="TN155" s="208">
        <f t="shared" si="649"/>
        <v>18166</v>
      </c>
      <c r="TO155" s="114">
        <f t="shared" si="650"/>
        <v>0.28384375000000001</v>
      </c>
      <c r="TP155" s="4510">
        <v>1</v>
      </c>
      <c r="TQ155" s="435">
        <v>45834</v>
      </c>
      <c r="TR155" s="435">
        <v>64000</v>
      </c>
      <c r="TS155" s="994">
        <f t="shared" si="651"/>
        <v>18166</v>
      </c>
      <c r="TT155" s="114">
        <f t="shared" si="652"/>
        <v>0.28384375000000001</v>
      </c>
      <c r="TU155" s="4432">
        <v>1</v>
      </c>
      <c r="TV155" s="208">
        <v>45834</v>
      </c>
      <c r="TW155" s="208">
        <v>64000</v>
      </c>
      <c r="TX155" s="994">
        <f t="shared" si="567"/>
        <v>18166</v>
      </c>
      <c r="TY155" s="114">
        <f t="shared" si="657"/>
        <v>0.28384375000000001</v>
      </c>
      <c r="TZ155" s="1596">
        <v>1</v>
      </c>
      <c r="UA155" s="435">
        <v>45834</v>
      </c>
      <c r="UB155" s="435">
        <v>64000</v>
      </c>
      <c r="UC155" s="994">
        <f t="shared" si="568"/>
        <v>18166</v>
      </c>
      <c r="UD155" s="114">
        <f t="shared" si="653"/>
        <v>0.28384375000000001</v>
      </c>
      <c r="UE155" s="6505">
        <v>1</v>
      </c>
      <c r="UF155" s="6506">
        <v>45834</v>
      </c>
      <c r="UG155" s="6506">
        <v>64000</v>
      </c>
      <c r="UH155" s="1575">
        <f t="shared" si="569"/>
        <v>18166</v>
      </c>
      <c r="UI155" s="1867">
        <f t="shared" si="654"/>
        <v>0.28384375000000001</v>
      </c>
      <c r="UJ155" s="357"/>
      <c r="UK155" s="358"/>
      <c r="UL155" s="358"/>
      <c r="UM155" s="208">
        <f t="shared" si="570"/>
        <v>0</v>
      </c>
      <c r="UN155" s="1313" t="e">
        <f t="shared" si="571"/>
        <v>#DIV/0!</v>
      </c>
      <c r="UO155" s="1567"/>
      <c r="UP155" s="1568"/>
      <c r="UQ155" s="1568"/>
      <c r="UR155" s="2012">
        <f t="shared" si="572"/>
        <v>0</v>
      </c>
      <c r="US155" s="659" t="e">
        <f t="shared" si="573"/>
        <v>#DIV/0!</v>
      </c>
      <c r="UT155" s="1567"/>
      <c r="UU155" s="358">
        <f t="shared" si="655"/>
        <v>454683</v>
      </c>
      <c r="UV155" s="358">
        <f t="shared" si="655"/>
        <v>640000</v>
      </c>
      <c r="UW155" s="358">
        <f t="shared" si="655"/>
        <v>185317</v>
      </c>
      <c r="UX155" s="220">
        <f t="shared" si="575"/>
        <v>0.28955781250000001</v>
      </c>
      <c r="UY155" s="1863">
        <f>(SL155+SQ155+SV155)/3</f>
        <v>1</v>
      </c>
      <c r="UZ155" s="105">
        <f t="shared" si="577"/>
        <v>133845</v>
      </c>
      <c r="VA155" s="105">
        <f t="shared" si="577"/>
        <v>192000</v>
      </c>
      <c r="VB155" s="105">
        <f t="shared" si="577"/>
        <v>58155</v>
      </c>
      <c r="VC155" s="106">
        <f>VB155/VA155</f>
        <v>0.30289062500000002</v>
      </c>
      <c r="VD155" s="2635"/>
      <c r="VE155" s="358">
        <f t="shared" si="656"/>
        <v>137502</v>
      </c>
      <c r="VF155" s="358">
        <f t="shared" si="656"/>
        <v>192000</v>
      </c>
      <c r="VG155" s="359">
        <f t="shared" si="656"/>
        <v>54498</v>
      </c>
      <c r="VH155" s="169">
        <f t="shared" si="580"/>
        <v>0.28384375000000001</v>
      </c>
      <c r="VI155" s="686"/>
      <c r="VJ155" s="146">
        <f t="shared" si="581"/>
        <v>137502</v>
      </c>
      <c r="VK155" s="146">
        <f t="shared" si="581"/>
        <v>192000</v>
      </c>
      <c r="VL155" s="1864">
        <f t="shared" si="581"/>
        <v>54498</v>
      </c>
      <c r="VM155" s="203">
        <f>VL155/VK155</f>
        <v>0.28384375000000001</v>
      </c>
      <c r="VN155" s="1567"/>
      <c r="VO155" s="358">
        <f t="shared" si="583"/>
        <v>45834</v>
      </c>
      <c r="VP155" s="358">
        <f t="shared" si="583"/>
        <v>64000</v>
      </c>
      <c r="VQ155" s="359">
        <f t="shared" si="583"/>
        <v>18166</v>
      </c>
      <c r="VR155" s="114">
        <f t="shared" si="584"/>
        <v>0.28384375000000001</v>
      </c>
    </row>
    <row r="156" spans="1:590" s="1193" customFormat="1" ht="13.45" x14ac:dyDescent="0.3">
      <c r="A156" s="1297"/>
      <c r="B156" s="583" t="s">
        <v>84</v>
      </c>
      <c r="C156" s="2636" t="s">
        <v>298</v>
      </c>
      <c r="D156" s="2277" t="s">
        <v>1063</v>
      </c>
      <c r="E156" s="2591">
        <v>45488</v>
      </c>
      <c r="F156" s="2591">
        <v>45671</v>
      </c>
      <c r="G156" s="1994">
        <v>95000</v>
      </c>
      <c r="H156" s="2093"/>
      <c r="I156" s="2094"/>
      <c r="J156" s="2094"/>
      <c r="K156" s="2094"/>
      <c r="L156" s="2095"/>
      <c r="M156" s="2093"/>
      <c r="N156" s="2094"/>
      <c r="O156" s="2094"/>
      <c r="P156" s="2094"/>
      <c r="Q156" s="2095"/>
      <c r="R156" s="2093"/>
      <c r="S156" s="2094"/>
      <c r="T156" s="2094"/>
      <c r="U156" s="2094"/>
      <c r="V156" s="2095"/>
      <c r="W156" s="2093"/>
      <c r="X156" s="2094"/>
      <c r="Y156" s="2094"/>
      <c r="Z156" s="2094"/>
      <c r="AA156" s="2096"/>
      <c r="AB156" s="2093"/>
      <c r="AC156" s="2094"/>
      <c r="AD156" s="2094"/>
      <c r="AE156" s="2094"/>
      <c r="AF156" s="2096"/>
      <c r="AG156" s="2094"/>
      <c r="AH156" s="2094"/>
      <c r="AI156" s="2094"/>
      <c r="AJ156" s="2094"/>
      <c r="AK156" s="2095"/>
      <c r="AL156" s="2094"/>
      <c r="AM156" s="2094"/>
      <c r="AN156" s="2094"/>
      <c r="AO156" s="2094"/>
      <c r="AP156" s="2095"/>
      <c r="AQ156" s="2094"/>
      <c r="AR156" s="2094"/>
      <c r="AS156" s="2094"/>
      <c r="AT156" s="2094"/>
      <c r="AU156" s="2095"/>
      <c r="AV156" s="2097"/>
      <c r="AW156" s="2094"/>
      <c r="AX156" s="2094"/>
      <c r="AY156" s="2094"/>
      <c r="AZ156" s="2096"/>
      <c r="BA156" s="2097"/>
      <c r="BB156" s="2094"/>
      <c r="BC156" s="2094"/>
      <c r="BD156" s="2094"/>
      <c r="BE156" s="2096"/>
      <c r="BF156" s="2097"/>
      <c r="BG156" s="2094"/>
      <c r="BH156" s="2094"/>
      <c r="BI156" s="2094"/>
      <c r="BJ156" s="2096"/>
      <c r="BK156" s="2097"/>
      <c r="BL156" s="2094"/>
      <c r="BM156" s="2094"/>
      <c r="BN156" s="2094"/>
      <c r="BO156" s="2096"/>
      <c r="BP156" s="2098"/>
      <c r="BQ156" s="2094"/>
      <c r="BR156" s="2094"/>
      <c r="BS156" s="2094"/>
      <c r="BT156" s="2099"/>
      <c r="BU156" s="2094"/>
      <c r="BV156" s="2094"/>
      <c r="BW156" s="2100"/>
      <c r="BX156" s="2099"/>
      <c r="BY156" s="2094"/>
      <c r="BZ156" s="2094"/>
      <c r="CA156" s="2101"/>
      <c r="CB156" s="2094"/>
      <c r="CC156" s="2094"/>
      <c r="CD156" s="2094"/>
      <c r="CE156" s="2094"/>
      <c r="CF156" s="2099"/>
      <c r="CG156" s="2094"/>
      <c r="CH156" s="2094"/>
      <c r="CI156" s="2101"/>
      <c r="CJ156" s="2102"/>
      <c r="CK156" s="2094"/>
      <c r="CL156" s="2094"/>
      <c r="CM156" s="2094"/>
      <c r="CN156" s="2100"/>
      <c r="CO156" s="2102"/>
      <c r="CP156" s="2093"/>
      <c r="CQ156" s="2093"/>
      <c r="CR156" s="2093"/>
      <c r="CS156" s="2100"/>
      <c r="CT156" s="2102"/>
      <c r="CU156" s="2094"/>
      <c r="CV156" s="2094"/>
      <c r="CW156" s="2094"/>
      <c r="CX156" s="2100"/>
      <c r="CY156" s="2102"/>
      <c r="CZ156" s="2094"/>
      <c r="DA156" s="2094"/>
      <c r="DB156" s="2094"/>
      <c r="DC156" s="2100"/>
      <c r="DD156" s="2102"/>
      <c r="DE156" s="2094"/>
      <c r="DF156" s="2094"/>
      <c r="DG156" s="2094"/>
      <c r="DH156" s="2103"/>
      <c r="DI156" s="2102"/>
      <c r="DJ156" s="2094"/>
      <c r="DK156" s="2094"/>
      <c r="DL156" s="2094"/>
      <c r="DM156" s="2103"/>
      <c r="DN156" s="2102"/>
      <c r="DO156" s="2094"/>
      <c r="DP156" s="2094"/>
      <c r="DQ156" s="2094"/>
      <c r="DR156" s="2103"/>
      <c r="DS156" s="2102"/>
      <c r="DT156" s="2094"/>
      <c r="DU156" s="2094"/>
      <c r="DV156" s="2094"/>
      <c r="DW156" s="2103"/>
      <c r="DX156" s="2102"/>
      <c r="DY156" s="2094"/>
      <c r="DZ156" s="2094"/>
      <c r="EA156" s="2094"/>
      <c r="EB156" s="2103"/>
      <c r="EC156" s="2102"/>
      <c r="ED156" s="2094"/>
      <c r="EE156" s="2094"/>
      <c r="EF156" s="2094"/>
      <c r="EG156" s="2103"/>
      <c r="EH156" s="2037"/>
      <c r="EI156" s="1914"/>
      <c r="EJ156" s="1914"/>
      <c r="EK156" s="1914"/>
      <c r="EL156" s="2038"/>
      <c r="EM156" s="1910"/>
      <c r="EN156" s="715"/>
      <c r="EO156" s="715"/>
      <c r="EP156" s="715"/>
      <c r="EQ156" s="366"/>
      <c r="ER156" s="2614"/>
      <c r="ES156" s="2615"/>
      <c r="ET156" s="2615"/>
      <c r="EU156" s="2615"/>
      <c r="EV156" s="144"/>
      <c r="EW156" s="2031"/>
      <c r="EX156" s="2031"/>
      <c r="EY156" s="2031"/>
      <c r="EZ156" s="593"/>
      <c r="FA156" s="2037"/>
      <c r="FB156" s="2031"/>
      <c r="FC156" s="2031"/>
      <c r="FD156" s="2036"/>
      <c r="FE156" s="2031"/>
      <c r="FF156" s="2031"/>
      <c r="FG156" s="2031"/>
      <c r="FH156" s="593"/>
      <c r="FI156" s="2039"/>
      <c r="FJ156" s="2040"/>
      <c r="FK156" s="2041"/>
      <c r="FL156" s="2041"/>
      <c r="FM156" s="693"/>
      <c r="FN156" s="2031"/>
      <c r="FO156" s="1914"/>
      <c r="FP156" s="1914"/>
      <c r="FQ156" s="1914"/>
      <c r="FR156" s="2032"/>
      <c r="FS156" s="1910"/>
      <c r="FT156" s="715"/>
      <c r="FU156" s="715"/>
      <c r="FV156" s="715"/>
      <c r="FW156" s="2109"/>
      <c r="FX156" s="2037"/>
      <c r="FY156" s="1914"/>
      <c r="FZ156" s="1914"/>
      <c r="GA156" s="715"/>
      <c r="GB156" s="2109"/>
      <c r="GC156" s="2110"/>
      <c r="GD156" s="2111"/>
      <c r="GE156" s="2111"/>
      <c r="GF156" s="715"/>
      <c r="GG156" s="366"/>
      <c r="GH156" s="2042"/>
      <c r="GI156" s="2043"/>
      <c r="GJ156" s="2043"/>
      <c r="GK156" s="2112"/>
      <c r="GL156" s="2109"/>
      <c r="GM156" s="2042"/>
      <c r="GN156" s="2043"/>
      <c r="GO156" s="2043"/>
      <c r="GP156" s="2112"/>
      <c r="GQ156" s="2109"/>
      <c r="GR156" s="1903"/>
      <c r="GS156" s="1904"/>
      <c r="GT156" s="1904"/>
      <c r="GU156" s="2112"/>
      <c r="GV156" s="2109"/>
      <c r="GW156" s="1903"/>
      <c r="GX156" s="1904"/>
      <c r="GY156" s="1904"/>
      <c r="GZ156" s="2112"/>
      <c r="HA156" s="2109"/>
      <c r="HB156" s="1903"/>
      <c r="HC156" s="1904"/>
      <c r="HD156" s="1904"/>
      <c r="HE156" s="2112"/>
      <c r="HF156" s="2109"/>
      <c r="HG156" s="1903"/>
      <c r="HH156" s="1904"/>
      <c r="HI156" s="1904"/>
      <c r="HJ156" s="2113"/>
      <c r="HK156" s="2109"/>
      <c r="HL156" s="1903"/>
      <c r="HM156" s="1904"/>
      <c r="HN156" s="1904"/>
      <c r="HO156" s="715"/>
      <c r="HP156" s="366"/>
      <c r="HQ156" s="2592"/>
      <c r="HR156" s="2118"/>
      <c r="HS156" s="2118"/>
      <c r="HT156" s="2118"/>
      <c r="HU156" s="2593"/>
      <c r="HV156" s="2624"/>
      <c r="HW156" s="435"/>
      <c r="HX156" s="435"/>
      <c r="HY156" s="435"/>
      <c r="HZ156" s="2625"/>
      <c r="IA156" s="1912"/>
      <c r="IB156" s="1908"/>
      <c r="IC156" s="1908"/>
      <c r="ID156" s="1909"/>
      <c r="IE156" s="1910"/>
      <c r="IF156" s="1911"/>
      <c r="IG156" s="1912"/>
      <c r="IH156" s="1909"/>
      <c r="II156" s="1907"/>
      <c r="IJ156" s="2116"/>
      <c r="IK156" s="2116"/>
      <c r="IL156" s="693"/>
      <c r="IM156" s="2117"/>
      <c r="IN156" s="2116"/>
      <c r="IO156" s="2116"/>
      <c r="IP156" s="1838"/>
      <c r="IQ156" s="1914"/>
      <c r="IR156" s="2044"/>
      <c r="IS156" s="2118"/>
      <c r="IT156" s="2118"/>
      <c r="IU156" s="2119"/>
      <c r="IV156" s="2120"/>
      <c r="IW156" s="2121"/>
      <c r="IX156" s="2122"/>
      <c r="IY156" s="2123"/>
      <c r="IZ156" s="2124"/>
      <c r="JA156" s="2125"/>
      <c r="JB156" s="2046"/>
      <c r="JC156" s="2047"/>
      <c r="JD156" s="2048"/>
      <c r="JE156" s="2124"/>
      <c r="JF156" s="2125"/>
      <c r="JG156" s="1988"/>
      <c r="JH156" s="2049"/>
      <c r="JI156" s="2049"/>
      <c r="JJ156" s="2126"/>
      <c r="JK156" s="2125"/>
      <c r="JL156" s="2127"/>
      <c r="JM156" s="2049"/>
      <c r="JN156" s="2049"/>
      <c r="JO156" s="2128"/>
      <c r="JP156" s="2125"/>
      <c r="JQ156" s="2129"/>
      <c r="JR156" s="2130"/>
      <c r="JS156" s="1904"/>
      <c r="JT156" s="2413"/>
      <c r="JU156" s="2132"/>
      <c r="JV156" s="1849"/>
      <c r="JW156" s="1119"/>
      <c r="JX156" s="1850"/>
      <c r="JY156" s="1850"/>
      <c r="JZ156" s="2125"/>
      <c r="KA156" s="1849"/>
      <c r="KB156" s="1850"/>
      <c r="KC156" s="1850"/>
      <c r="KD156" s="1108"/>
      <c r="KE156" s="2133"/>
      <c r="KF156" s="1849"/>
      <c r="KG156" s="1850"/>
      <c r="KH156" s="1850"/>
      <c r="KI156" s="2124"/>
      <c r="KJ156" s="2125"/>
      <c r="KK156" s="1849"/>
      <c r="KL156" s="1850"/>
      <c r="KM156" s="1850"/>
      <c r="KN156" s="2134"/>
      <c r="KO156" s="2135"/>
      <c r="KP156" s="2596"/>
      <c r="KQ156" s="1119"/>
      <c r="KR156" s="1850"/>
      <c r="KS156" s="2597"/>
      <c r="KT156" s="2598"/>
      <c r="KU156" s="2138"/>
      <c r="KV156" s="1850"/>
      <c r="KW156" s="1850"/>
      <c r="KX156" s="1850"/>
      <c r="KY156" s="81"/>
      <c r="KZ156" s="1857"/>
      <c r="LA156" s="358"/>
      <c r="LB156" s="358"/>
      <c r="LC156" s="358"/>
      <c r="LD156" s="151"/>
      <c r="LE156" s="2139"/>
      <c r="LF156" s="2140"/>
      <c r="LG156" s="2140"/>
      <c r="LH156" s="2141"/>
      <c r="LI156" s="2142"/>
      <c r="LJ156" s="2143"/>
      <c r="LK156" s="2139"/>
      <c r="LL156" s="2141"/>
      <c r="LM156" s="1859"/>
      <c r="LN156" s="1727"/>
      <c r="LO156" s="1727"/>
      <c r="LP156" s="151"/>
      <c r="LQ156" s="1860"/>
      <c r="LR156" s="1727"/>
      <c r="LS156" s="1727"/>
      <c r="LT156" s="1861"/>
      <c r="LV156" s="2599"/>
      <c r="LW156" s="2198"/>
      <c r="LX156" s="2198"/>
      <c r="LY156" s="700"/>
      <c r="LZ156" s="2600"/>
      <c r="MA156" s="1903"/>
      <c r="MB156" s="1904"/>
      <c r="MC156" s="1904"/>
      <c r="MD156" s="2601"/>
      <c r="ME156" s="81"/>
      <c r="MF156" s="404"/>
      <c r="MG156" s="435"/>
      <c r="MH156" s="435"/>
      <c r="MI156" s="227"/>
      <c r="MJ156" s="1595"/>
      <c r="MK156" s="2152"/>
      <c r="ML156" s="435"/>
      <c r="MM156" s="435"/>
      <c r="MN156" s="2151"/>
      <c r="MO156" s="1595"/>
      <c r="MP156" s="2602"/>
      <c r="MQ156" s="1850"/>
      <c r="MR156" s="1850"/>
      <c r="MS156" s="1850"/>
      <c r="MT156" s="790"/>
      <c r="MU156" s="1596"/>
      <c r="MV156" s="435"/>
      <c r="MW156" s="435"/>
      <c r="MX156" s="435"/>
      <c r="MY156" s="790"/>
      <c r="MZ156" s="1596"/>
      <c r="NA156" s="435"/>
      <c r="NB156" s="435"/>
      <c r="NC156" s="435"/>
      <c r="ND156" s="790"/>
      <c r="NE156" s="1596"/>
      <c r="NF156" s="435"/>
      <c r="NG156" s="435"/>
      <c r="NH156" s="435"/>
      <c r="NI156" s="790"/>
      <c r="NJ156" s="1596"/>
      <c r="NK156" s="435"/>
      <c r="NL156" s="435"/>
      <c r="NM156" s="435"/>
      <c r="NN156" s="790"/>
      <c r="NO156" s="2633"/>
      <c r="NP156" s="1585"/>
      <c r="NQ156" s="1585"/>
      <c r="NR156" s="435"/>
      <c r="NS156" s="790"/>
      <c r="NT156" s="357"/>
      <c r="NU156" s="358"/>
      <c r="NV156" s="358"/>
      <c r="NW156" s="435"/>
      <c r="NX156" s="790"/>
      <c r="NY156" s="357"/>
      <c r="NZ156" s="358"/>
      <c r="OA156" s="358"/>
      <c r="OB156" s="772"/>
      <c r="OC156" s="659"/>
      <c r="OD156" s="197"/>
      <c r="OE156" s="1585"/>
      <c r="OF156" s="1585"/>
      <c r="OG156" s="1585"/>
      <c r="OH156" s="1600"/>
      <c r="OI156" s="1868"/>
      <c r="OJ156" s="105"/>
      <c r="OK156" s="1575"/>
      <c r="OL156" s="1575"/>
      <c r="OM156" s="375"/>
      <c r="ON156" s="358"/>
      <c r="OO156" s="358"/>
      <c r="OP156" s="358"/>
      <c r="OQ156" s="359"/>
      <c r="OR156" s="169"/>
      <c r="OS156" s="686"/>
      <c r="OT156" s="146"/>
      <c r="OU156" s="146"/>
      <c r="OV156" s="1864"/>
      <c r="OW156" s="203"/>
      <c r="OX156" s="2633"/>
      <c r="OY156" s="1585"/>
      <c r="OZ156" s="1585"/>
      <c r="PA156" s="2634"/>
      <c r="PB156" s="117"/>
      <c r="PC156" s="79"/>
      <c r="PD156" s="439"/>
      <c r="PE156" s="208"/>
      <c r="PF156" s="208"/>
      <c r="PG156" s="96"/>
      <c r="PH156" s="78"/>
      <c r="PI156" s="1903"/>
      <c r="PJ156" s="1904"/>
      <c r="PK156" s="1904"/>
      <c r="PL156" s="2601"/>
      <c r="PM156" s="81"/>
      <c r="PN156" s="404"/>
      <c r="PO156" s="435"/>
      <c r="PP156" s="435"/>
      <c r="PQ156" s="227"/>
      <c r="PR156" s="1595"/>
      <c r="PS156" s="2460"/>
      <c r="PT156" s="2150"/>
      <c r="PU156" s="2150"/>
      <c r="PV156" s="2638"/>
      <c r="PW156" s="2639"/>
      <c r="PX156" s="2637"/>
      <c r="PY156" s="1904"/>
      <c r="PZ156" s="1904"/>
      <c r="QA156" s="2640"/>
      <c r="QB156" s="790"/>
      <c r="QC156" s="1596"/>
      <c r="QD156" s="435"/>
      <c r="QE156" s="435"/>
      <c r="QF156" s="208"/>
      <c r="QG156" s="597"/>
      <c r="QH156" s="440"/>
      <c r="QI156" s="435"/>
      <c r="QJ156" s="435"/>
      <c r="QK156" s="208"/>
      <c r="QL156" s="597"/>
      <c r="QM156" s="440">
        <v>1</v>
      </c>
      <c r="QN156" s="435">
        <v>108333</v>
      </c>
      <c r="QO156" s="435">
        <v>137500</v>
      </c>
      <c r="QP156" s="208">
        <f>QO156-QN156</f>
        <v>29167</v>
      </c>
      <c r="QQ156" s="1869">
        <f>QP156/QO156</f>
        <v>0.21212363636363638</v>
      </c>
      <c r="QR156" s="1596">
        <v>1</v>
      </c>
      <c r="QS156" s="435">
        <v>108333</v>
      </c>
      <c r="QT156" s="435">
        <v>137500</v>
      </c>
      <c r="QU156" s="208">
        <f>QT156-QS156</f>
        <v>29167</v>
      </c>
      <c r="QV156" s="75">
        <f>QU156/QT156</f>
        <v>0.21212363636363638</v>
      </c>
      <c r="QW156" s="2561"/>
      <c r="QX156" s="2586"/>
      <c r="QY156" s="2586"/>
      <c r="QZ156" s="208">
        <f t="shared" si="545"/>
        <v>0</v>
      </c>
      <c r="RA156" s="157" t="s">
        <v>68</v>
      </c>
      <c r="RB156" s="357"/>
      <c r="RC156" s="358"/>
      <c r="RD156" s="358"/>
      <c r="RE156" s="208">
        <f t="shared" si="547"/>
        <v>0</v>
      </c>
      <c r="RF156" s="1313"/>
      <c r="RG156" s="1857"/>
      <c r="RH156" s="358">
        <v>0</v>
      </c>
      <c r="RI156" s="358">
        <v>0</v>
      </c>
      <c r="RJ156" s="772">
        <f t="shared" si="549"/>
        <v>0</v>
      </c>
      <c r="RK156" s="659">
        <v>0</v>
      </c>
      <c r="RL156" s="1567"/>
      <c r="RM156" s="1568">
        <f t="shared" ref="RM156:RO163" si="658">RH156+RC156+QX156+QS156+QN156+QI156+QD156+PY156+PT156+PO156+PJ156+PE156</f>
        <v>216666</v>
      </c>
      <c r="RN156" s="1568">
        <f t="shared" si="658"/>
        <v>275000</v>
      </c>
      <c r="RO156" s="1568">
        <f t="shared" si="658"/>
        <v>58334</v>
      </c>
      <c r="RP156" s="220">
        <f t="shared" si="552"/>
        <v>0.21212363636363638</v>
      </c>
      <c r="RQ156" s="1863"/>
      <c r="RR156" s="105"/>
      <c r="RS156" s="105"/>
      <c r="RT156" s="105"/>
      <c r="RU156" s="106"/>
      <c r="RV156" s="2641"/>
      <c r="RW156" s="358"/>
      <c r="RX156" s="358"/>
      <c r="RY156" s="359"/>
      <c r="RZ156" s="169"/>
      <c r="SA156" s="686">
        <v>1</v>
      </c>
      <c r="SB156" s="146">
        <f t="shared" ref="SB156:SD162" si="659">QS156+QN156+QI156</f>
        <v>216666</v>
      </c>
      <c r="SC156" s="146">
        <f t="shared" si="659"/>
        <v>275000</v>
      </c>
      <c r="SD156" s="1864">
        <f t="shared" si="659"/>
        <v>58334</v>
      </c>
      <c r="SE156" s="203">
        <f t="shared" si="559"/>
        <v>0.21212363636363638</v>
      </c>
      <c r="SF156" s="1567"/>
      <c r="SG156" s="358">
        <f t="shared" ref="SG156:SI162" si="660">QX156+RC156+RH156</f>
        <v>0</v>
      </c>
      <c r="SH156" s="358">
        <f t="shared" si="660"/>
        <v>0</v>
      </c>
      <c r="SI156" s="359">
        <f t="shared" si="660"/>
        <v>0</v>
      </c>
      <c r="SJ156" s="114">
        <v>0</v>
      </c>
      <c r="SL156" s="439"/>
      <c r="SM156" s="208">
        <v>0</v>
      </c>
      <c r="SN156" s="208">
        <v>0</v>
      </c>
      <c r="SO156" s="96">
        <f t="shared" si="562"/>
        <v>0</v>
      </c>
      <c r="SP156" s="1581">
        <v>0</v>
      </c>
      <c r="SQ156" s="401"/>
      <c r="SR156" s="395">
        <v>0</v>
      </c>
      <c r="SS156" s="395">
        <v>0</v>
      </c>
      <c r="ST156" s="96">
        <f t="shared" si="564"/>
        <v>0</v>
      </c>
      <c r="SU156" s="1581">
        <v>0</v>
      </c>
      <c r="SV156" s="440"/>
      <c r="SW156" s="435">
        <v>0</v>
      </c>
      <c r="SX156" s="1584">
        <v>0</v>
      </c>
      <c r="SY156" s="96">
        <f t="shared" si="565"/>
        <v>0</v>
      </c>
      <c r="SZ156" s="4435">
        <v>0</v>
      </c>
      <c r="TA156" s="2152">
        <v>1</v>
      </c>
      <c r="TB156" s="435">
        <v>42009</v>
      </c>
      <c r="TC156" s="1584">
        <v>52097</v>
      </c>
      <c r="TD156" s="96">
        <f>TC156-TB156</f>
        <v>10088</v>
      </c>
      <c r="TE156" s="94">
        <f>TD156/TC156</f>
        <v>0.19363878918171873</v>
      </c>
      <c r="TF156" s="1573">
        <v>1</v>
      </c>
      <c r="TG156" s="395">
        <v>75000</v>
      </c>
      <c r="TH156" s="395">
        <v>95000</v>
      </c>
      <c r="TI156" s="395">
        <f t="shared" si="480"/>
        <v>20000</v>
      </c>
      <c r="TJ156" s="114">
        <f t="shared" ref="TJ156:TJ161" si="661">TI156/TH156</f>
        <v>0.21052631578947367</v>
      </c>
      <c r="TK156" s="1596">
        <v>1</v>
      </c>
      <c r="TL156" s="435">
        <v>75000</v>
      </c>
      <c r="TM156" s="435">
        <v>95000</v>
      </c>
      <c r="TN156" s="208">
        <f t="shared" si="649"/>
        <v>20000</v>
      </c>
      <c r="TO156" s="114">
        <f t="shared" si="650"/>
        <v>0.21052631578947367</v>
      </c>
      <c r="TP156" s="4510">
        <v>1</v>
      </c>
      <c r="TQ156" s="435">
        <v>75000</v>
      </c>
      <c r="TR156" s="435">
        <v>95000</v>
      </c>
      <c r="TS156" s="994">
        <f t="shared" si="651"/>
        <v>20000</v>
      </c>
      <c r="TT156" s="114">
        <f t="shared" si="652"/>
        <v>0.21052631578947367</v>
      </c>
      <c r="TU156" s="4432">
        <v>1</v>
      </c>
      <c r="TV156" s="208">
        <v>57955</v>
      </c>
      <c r="TW156" s="208">
        <v>95000</v>
      </c>
      <c r="TX156" s="994">
        <f t="shared" si="567"/>
        <v>37045</v>
      </c>
      <c r="TY156" s="114">
        <f t="shared" si="657"/>
        <v>0.38994736842105265</v>
      </c>
      <c r="TZ156" s="1596">
        <v>1</v>
      </c>
      <c r="UA156" s="435">
        <v>75000</v>
      </c>
      <c r="UB156" s="435">
        <v>95000</v>
      </c>
      <c r="UC156" s="994">
        <f t="shared" si="568"/>
        <v>20000</v>
      </c>
      <c r="UD156" s="114">
        <f t="shared" si="653"/>
        <v>0.21052631578947367</v>
      </c>
      <c r="UE156" s="6505">
        <v>1</v>
      </c>
      <c r="UF156" s="6506">
        <v>75000</v>
      </c>
      <c r="UG156" s="6506">
        <v>93629</v>
      </c>
      <c r="UH156" s="1575">
        <f t="shared" si="569"/>
        <v>18629</v>
      </c>
      <c r="UI156" s="1867">
        <f t="shared" si="654"/>
        <v>0.19896613228807314</v>
      </c>
      <c r="UJ156" s="357"/>
      <c r="UK156" s="358"/>
      <c r="UL156" s="358"/>
      <c r="UM156" s="208">
        <f t="shared" si="570"/>
        <v>0</v>
      </c>
      <c r="UN156" s="1313"/>
      <c r="UO156" s="1567"/>
      <c r="UP156" s="1568"/>
      <c r="UQ156" s="1568"/>
      <c r="UR156" s="2012">
        <f t="shared" si="572"/>
        <v>0</v>
      </c>
      <c r="US156" s="659">
        <v>0</v>
      </c>
      <c r="UT156" s="1567"/>
      <c r="UU156" s="358">
        <f t="shared" si="655"/>
        <v>474964</v>
      </c>
      <c r="UV156" s="358">
        <f t="shared" si="655"/>
        <v>620726</v>
      </c>
      <c r="UW156" s="358">
        <f t="shared" si="655"/>
        <v>145762</v>
      </c>
      <c r="UX156" s="220">
        <f t="shared" si="575"/>
        <v>0.23482502746783604</v>
      </c>
      <c r="UY156" s="1863">
        <f>(SL156+SQ156+SV156)/3</f>
        <v>0</v>
      </c>
      <c r="UZ156" s="105">
        <f t="shared" ref="UZ156:VB162" si="662">SM156+SR156+SW156</f>
        <v>0</v>
      </c>
      <c r="VA156" s="105">
        <f t="shared" si="662"/>
        <v>0</v>
      </c>
      <c r="VB156" s="105">
        <f t="shared" si="662"/>
        <v>0</v>
      </c>
      <c r="VC156" s="106">
        <v>0</v>
      </c>
      <c r="VD156" s="2641"/>
      <c r="VE156" s="358">
        <f t="shared" si="656"/>
        <v>192009</v>
      </c>
      <c r="VF156" s="358">
        <f t="shared" si="656"/>
        <v>242097</v>
      </c>
      <c r="VG156" s="359">
        <f t="shared" si="656"/>
        <v>50088</v>
      </c>
      <c r="VH156" s="169">
        <f t="shared" si="580"/>
        <v>0.20689227871473004</v>
      </c>
      <c r="VI156" s="686"/>
      <c r="VJ156" s="146">
        <f t="shared" ref="VJ156:VL162" si="663">UA156+TV156+TQ156</f>
        <v>207955</v>
      </c>
      <c r="VK156" s="146">
        <f t="shared" si="663"/>
        <v>285000</v>
      </c>
      <c r="VL156" s="1864">
        <f t="shared" si="663"/>
        <v>77045</v>
      </c>
      <c r="VM156" s="203">
        <f>VL156/VK156</f>
        <v>0.27033333333333331</v>
      </c>
      <c r="VN156" s="1567"/>
      <c r="VO156" s="358">
        <f t="shared" ref="VO156:VQ162" si="664">UF156+UK156+UP156</f>
        <v>75000</v>
      </c>
      <c r="VP156" s="358">
        <f t="shared" si="664"/>
        <v>93629</v>
      </c>
      <c r="VQ156" s="359">
        <f t="shared" si="664"/>
        <v>18629</v>
      </c>
      <c r="VR156" s="114">
        <v>0</v>
      </c>
    </row>
    <row r="157" spans="1:590" s="1193" customFormat="1" ht="13.45" x14ac:dyDescent="0.3">
      <c r="A157" s="1297"/>
      <c r="B157" s="583" t="s">
        <v>84</v>
      </c>
      <c r="C157" s="2642" t="s">
        <v>312</v>
      </c>
      <c r="D157" s="2277" t="s">
        <v>1064</v>
      </c>
      <c r="E157" s="2591">
        <v>45566</v>
      </c>
      <c r="F157" s="2591">
        <v>45657</v>
      </c>
      <c r="G157" s="1994">
        <v>389500</v>
      </c>
      <c r="H157" s="2093"/>
      <c r="I157" s="2094"/>
      <c r="J157" s="2094"/>
      <c r="K157" s="2094"/>
      <c r="L157" s="2095"/>
      <c r="M157" s="2093"/>
      <c r="N157" s="2094"/>
      <c r="O157" s="2094"/>
      <c r="P157" s="2094"/>
      <c r="Q157" s="2095"/>
      <c r="R157" s="2093"/>
      <c r="S157" s="2094"/>
      <c r="T157" s="2094"/>
      <c r="U157" s="2094"/>
      <c r="V157" s="2095"/>
      <c r="W157" s="2093"/>
      <c r="X157" s="2094"/>
      <c r="Y157" s="2094"/>
      <c r="Z157" s="2094"/>
      <c r="AA157" s="2096"/>
      <c r="AB157" s="2093"/>
      <c r="AC157" s="2094"/>
      <c r="AD157" s="2094"/>
      <c r="AE157" s="2094"/>
      <c r="AF157" s="2096"/>
      <c r="AG157" s="2094"/>
      <c r="AH157" s="2094"/>
      <c r="AI157" s="2094"/>
      <c r="AJ157" s="2094"/>
      <c r="AK157" s="2095"/>
      <c r="AL157" s="2094"/>
      <c r="AM157" s="2094"/>
      <c r="AN157" s="2094"/>
      <c r="AO157" s="2094"/>
      <c r="AP157" s="2095"/>
      <c r="AQ157" s="2094"/>
      <c r="AR157" s="2094"/>
      <c r="AS157" s="2094"/>
      <c r="AT157" s="2094"/>
      <c r="AU157" s="2095"/>
      <c r="AV157" s="2097"/>
      <c r="AW157" s="2094"/>
      <c r="AX157" s="2094"/>
      <c r="AY157" s="2094"/>
      <c r="AZ157" s="2096"/>
      <c r="BA157" s="2097"/>
      <c r="BB157" s="2094"/>
      <c r="BC157" s="2094"/>
      <c r="BD157" s="2094"/>
      <c r="BE157" s="2096"/>
      <c r="BF157" s="2097"/>
      <c r="BG157" s="2094"/>
      <c r="BH157" s="2094"/>
      <c r="BI157" s="2094"/>
      <c r="BJ157" s="2096"/>
      <c r="BK157" s="2097"/>
      <c r="BL157" s="2094"/>
      <c r="BM157" s="2094"/>
      <c r="BN157" s="2094"/>
      <c r="BO157" s="2096"/>
      <c r="BP157" s="2098"/>
      <c r="BQ157" s="2094"/>
      <c r="BR157" s="2094"/>
      <c r="BS157" s="2094"/>
      <c r="BT157" s="2099"/>
      <c r="BU157" s="2094"/>
      <c r="BV157" s="2094"/>
      <c r="BW157" s="2100"/>
      <c r="BX157" s="2099"/>
      <c r="BY157" s="2094"/>
      <c r="BZ157" s="2094"/>
      <c r="CA157" s="2101"/>
      <c r="CB157" s="2094"/>
      <c r="CC157" s="2094"/>
      <c r="CD157" s="2094"/>
      <c r="CE157" s="2094"/>
      <c r="CF157" s="2099"/>
      <c r="CG157" s="2094"/>
      <c r="CH157" s="2094"/>
      <c r="CI157" s="2101"/>
      <c r="CJ157" s="2102"/>
      <c r="CK157" s="2094"/>
      <c r="CL157" s="2094"/>
      <c r="CM157" s="2094"/>
      <c r="CN157" s="2100"/>
      <c r="CO157" s="2102"/>
      <c r="CP157" s="2093"/>
      <c r="CQ157" s="2093"/>
      <c r="CR157" s="2093"/>
      <c r="CS157" s="2100"/>
      <c r="CT157" s="2102"/>
      <c r="CU157" s="2094"/>
      <c r="CV157" s="2094"/>
      <c r="CW157" s="2094"/>
      <c r="CX157" s="2100"/>
      <c r="CY157" s="2102"/>
      <c r="CZ157" s="2094"/>
      <c r="DA157" s="2094"/>
      <c r="DB157" s="2094"/>
      <c r="DC157" s="2100"/>
      <c r="DD157" s="2102"/>
      <c r="DE157" s="2094"/>
      <c r="DF157" s="2094"/>
      <c r="DG157" s="2094"/>
      <c r="DH157" s="2103"/>
      <c r="DI157" s="2102"/>
      <c r="DJ157" s="2094"/>
      <c r="DK157" s="2094"/>
      <c r="DL157" s="2094"/>
      <c r="DM157" s="2103"/>
      <c r="DN157" s="2102"/>
      <c r="DO157" s="2094"/>
      <c r="DP157" s="2094"/>
      <c r="DQ157" s="2094"/>
      <c r="DR157" s="2103"/>
      <c r="DS157" s="2102"/>
      <c r="DT157" s="2094"/>
      <c r="DU157" s="2094"/>
      <c r="DV157" s="2094"/>
      <c r="DW157" s="2103"/>
      <c r="DX157" s="2102"/>
      <c r="DY157" s="2094"/>
      <c r="DZ157" s="2094"/>
      <c r="EA157" s="2094"/>
      <c r="EB157" s="2103"/>
      <c r="EC157" s="2102"/>
      <c r="ED157" s="2094"/>
      <c r="EE157" s="2094"/>
      <c r="EF157" s="2094"/>
      <c r="EG157" s="2103"/>
      <c r="EH157" s="2037"/>
      <c r="EI157" s="1914"/>
      <c r="EJ157" s="1914"/>
      <c r="EK157" s="1914"/>
      <c r="EL157" s="2038"/>
      <c r="EM157" s="1910"/>
      <c r="EN157" s="715"/>
      <c r="EO157" s="715"/>
      <c r="EP157" s="715"/>
      <c r="EQ157" s="366"/>
      <c r="ER157" s="2614"/>
      <c r="ES157" s="2615"/>
      <c r="ET157" s="2615"/>
      <c r="EU157" s="2615"/>
      <c r="EV157" s="144"/>
      <c r="EW157" s="2031"/>
      <c r="EX157" s="2031"/>
      <c r="EY157" s="2031"/>
      <c r="EZ157" s="593"/>
      <c r="FA157" s="2037"/>
      <c r="FB157" s="2031"/>
      <c r="FC157" s="2031"/>
      <c r="FD157" s="2036"/>
      <c r="FE157" s="2031"/>
      <c r="FF157" s="2031"/>
      <c r="FG157" s="2031"/>
      <c r="FH157" s="593"/>
      <c r="FI157" s="2039"/>
      <c r="FJ157" s="2040"/>
      <c r="FK157" s="2041"/>
      <c r="FL157" s="2041"/>
      <c r="FM157" s="693"/>
      <c r="FN157" s="2031"/>
      <c r="FO157" s="1914"/>
      <c r="FP157" s="1914"/>
      <c r="FQ157" s="1914"/>
      <c r="FR157" s="2032"/>
      <c r="FS157" s="1910"/>
      <c r="FT157" s="715"/>
      <c r="FU157" s="715"/>
      <c r="FV157" s="715"/>
      <c r="FW157" s="2109"/>
      <c r="FX157" s="2037"/>
      <c r="FY157" s="1914"/>
      <c r="FZ157" s="1914"/>
      <c r="GA157" s="715"/>
      <c r="GB157" s="2109"/>
      <c r="GC157" s="2110"/>
      <c r="GD157" s="2111"/>
      <c r="GE157" s="2111"/>
      <c r="GF157" s="715"/>
      <c r="GG157" s="366"/>
      <c r="GH157" s="2042"/>
      <c r="GI157" s="2043"/>
      <c r="GJ157" s="2043"/>
      <c r="GK157" s="2112"/>
      <c r="GL157" s="2109"/>
      <c r="GM157" s="2042"/>
      <c r="GN157" s="2043"/>
      <c r="GO157" s="2043"/>
      <c r="GP157" s="2112"/>
      <c r="GQ157" s="2109"/>
      <c r="GR157" s="1903"/>
      <c r="GS157" s="1904"/>
      <c r="GT157" s="1904"/>
      <c r="GU157" s="2112"/>
      <c r="GV157" s="2109"/>
      <c r="GW157" s="1903"/>
      <c r="GX157" s="1904"/>
      <c r="GY157" s="1904"/>
      <c r="GZ157" s="2112"/>
      <c r="HA157" s="2109"/>
      <c r="HB157" s="1903"/>
      <c r="HC157" s="1904"/>
      <c r="HD157" s="1904"/>
      <c r="HE157" s="2112"/>
      <c r="HF157" s="2109"/>
      <c r="HG157" s="1903"/>
      <c r="HH157" s="1904"/>
      <c r="HI157" s="1904"/>
      <c r="HJ157" s="2113"/>
      <c r="HK157" s="2109"/>
      <c r="HL157" s="1903"/>
      <c r="HM157" s="1904"/>
      <c r="HN157" s="1904"/>
      <c r="HO157" s="715"/>
      <c r="HP157" s="366"/>
      <c r="HQ157" s="2592"/>
      <c r="HR157" s="2118"/>
      <c r="HS157" s="2118"/>
      <c r="HT157" s="2118"/>
      <c r="HU157" s="2593"/>
      <c r="HV157" s="2624"/>
      <c r="HW157" s="435"/>
      <c r="HX157" s="435"/>
      <c r="HY157" s="435"/>
      <c r="HZ157" s="2625"/>
      <c r="IA157" s="1912"/>
      <c r="IB157" s="1908"/>
      <c r="IC157" s="1908"/>
      <c r="ID157" s="1909"/>
      <c r="IE157" s="1910"/>
      <c r="IF157" s="1911"/>
      <c r="IG157" s="1912"/>
      <c r="IH157" s="1909"/>
      <c r="II157" s="1907"/>
      <c r="IJ157" s="2116"/>
      <c r="IK157" s="2116"/>
      <c r="IL157" s="693"/>
      <c r="IM157" s="2117"/>
      <c r="IN157" s="2116"/>
      <c r="IO157" s="2116"/>
      <c r="IP157" s="1838"/>
      <c r="IQ157" s="1914"/>
      <c r="IR157" s="2044"/>
      <c r="IS157" s="2118"/>
      <c r="IT157" s="2118"/>
      <c r="IU157" s="2119"/>
      <c r="IV157" s="2120"/>
      <c r="IW157" s="2121"/>
      <c r="IX157" s="2122"/>
      <c r="IY157" s="2123"/>
      <c r="IZ157" s="2124"/>
      <c r="JA157" s="2125"/>
      <c r="JB157" s="2046"/>
      <c r="JC157" s="2047"/>
      <c r="JD157" s="2048"/>
      <c r="JE157" s="2124"/>
      <c r="JF157" s="2125"/>
      <c r="JG157" s="1988"/>
      <c r="JH157" s="2049"/>
      <c r="JI157" s="2049"/>
      <c r="JJ157" s="2126"/>
      <c r="JK157" s="2125"/>
      <c r="JL157" s="2127"/>
      <c r="JM157" s="2049"/>
      <c r="JN157" s="2049"/>
      <c r="JO157" s="2128"/>
      <c r="JP157" s="2125"/>
      <c r="JQ157" s="2129"/>
      <c r="JR157" s="2130"/>
      <c r="JS157" s="1904"/>
      <c r="JT157" s="2413"/>
      <c r="JU157" s="2132"/>
      <c r="JV157" s="1849"/>
      <c r="JW157" s="1119"/>
      <c r="JX157" s="1850"/>
      <c r="JY157" s="1850"/>
      <c r="JZ157" s="2125"/>
      <c r="KA157" s="1849"/>
      <c r="KB157" s="1850"/>
      <c r="KC157" s="1850"/>
      <c r="KD157" s="1108"/>
      <c r="KE157" s="2133"/>
      <c r="KF157" s="1849"/>
      <c r="KG157" s="1850"/>
      <c r="KH157" s="1850"/>
      <c r="KI157" s="2124"/>
      <c r="KJ157" s="2125"/>
      <c r="KK157" s="1849"/>
      <c r="KL157" s="1850"/>
      <c r="KM157" s="1850"/>
      <c r="KN157" s="2134"/>
      <c r="KO157" s="2135"/>
      <c r="KP157" s="2596"/>
      <c r="KQ157" s="1119"/>
      <c r="KR157" s="1850"/>
      <c r="KS157" s="2597"/>
      <c r="KT157" s="2598"/>
      <c r="KU157" s="2138"/>
      <c r="KV157" s="1850"/>
      <c r="KW157" s="1850"/>
      <c r="KX157" s="1850"/>
      <c r="KY157" s="81"/>
      <c r="KZ157" s="1857"/>
      <c r="LA157" s="358"/>
      <c r="LB157" s="358"/>
      <c r="LC157" s="358"/>
      <c r="LD157" s="151"/>
      <c r="LE157" s="2139"/>
      <c r="LF157" s="2140"/>
      <c r="LG157" s="2140"/>
      <c r="LH157" s="2141"/>
      <c r="LI157" s="2142"/>
      <c r="LJ157" s="2143"/>
      <c r="LK157" s="2139"/>
      <c r="LL157" s="2141"/>
      <c r="LM157" s="1859"/>
      <c r="LN157" s="1727"/>
      <c r="LO157" s="1727"/>
      <c r="LP157" s="151"/>
      <c r="LQ157" s="1860"/>
      <c r="LR157" s="1727"/>
      <c r="LS157" s="1727"/>
      <c r="LT157" s="1861"/>
      <c r="LV157" s="2599"/>
      <c r="LW157" s="2198"/>
      <c r="LX157" s="2198"/>
      <c r="LY157" s="700"/>
      <c r="LZ157" s="2600"/>
      <c r="MA157" s="1903"/>
      <c r="MB157" s="1904"/>
      <c r="MC157" s="1904"/>
      <c r="MD157" s="2601"/>
      <c r="ME157" s="81"/>
      <c r="MF157" s="404"/>
      <c r="MG157" s="435"/>
      <c r="MH157" s="435"/>
      <c r="MI157" s="227"/>
      <c r="MJ157" s="1595"/>
      <c r="MK157" s="2152"/>
      <c r="ML157" s="435"/>
      <c r="MM157" s="435"/>
      <c r="MN157" s="2151"/>
      <c r="MO157" s="1595"/>
      <c r="MP157" s="2602"/>
      <c r="MQ157" s="1850"/>
      <c r="MR157" s="1850"/>
      <c r="MS157" s="1850"/>
      <c r="MT157" s="790"/>
      <c r="MU157" s="1596"/>
      <c r="MV157" s="435"/>
      <c r="MW157" s="435"/>
      <c r="MX157" s="435"/>
      <c r="MY157" s="790"/>
      <c r="MZ157" s="1596"/>
      <c r="NA157" s="435"/>
      <c r="NB157" s="435"/>
      <c r="NC157" s="435"/>
      <c r="ND157" s="790"/>
      <c r="NE157" s="1596"/>
      <c r="NF157" s="435"/>
      <c r="NG157" s="435"/>
      <c r="NH157" s="435"/>
      <c r="NI157" s="790"/>
      <c r="NJ157" s="1596"/>
      <c r="NK157" s="435"/>
      <c r="NL157" s="435"/>
      <c r="NM157" s="435"/>
      <c r="NN157" s="790"/>
      <c r="NO157" s="2633"/>
      <c r="NP157" s="1585"/>
      <c r="NQ157" s="1585"/>
      <c r="NR157" s="435"/>
      <c r="NS157" s="790"/>
      <c r="NT157" s="357"/>
      <c r="NU157" s="358"/>
      <c r="NV157" s="358"/>
      <c r="NW157" s="435"/>
      <c r="NX157" s="790"/>
      <c r="NY157" s="357"/>
      <c r="NZ157" s="358"/>
      <c r="OA157" s="358"/>
      <c r="OB157" s="772"/>
      <c r="OC157" s="659"/>
      <c r="OD157" s="197"/>
      <c r="OE157" s="1585"/>
      <c r="OF157" s="1585"/>
      <c r="OG157" s="1585"/>
      <c r="OH157" s="1600"/>
      <c r="OI157" s="1868"/>
      <c r="OJ157" s="105"/>
      <c r="OK157" s="1575"/>
      <c r="OL157" s="1575"/>
      <c r="OM157" s="375"/>
      <c r="ON157" s="358"/>
      <c r="OO157" s="358"/>
      <c r="OP157" s="358"/>
      <c r="OQ157" s="359"/>
      <c r="OR157" s="169"/>
      <c r="OS157" s="686"/>
      <c r="OT157" s="146"/>
      <c r="OU157" s="146"/>
      <c r="OV157" s="1864"/>
      <c r="OW157" s="203"/>
      <c r="OX157" s="2633"/>
      <c r="OY157" s="1585"/>
      <c r="OZ157" s="1585"/>
      <c r="PA157" s="2634"/>
      <c r="PB157" s="117"/>
      <c r="PC157" s="79"/>
      <c r="PD157" s="439"/>
      <c r="PE157" s="208"/>
      <c r="PF157" s="208"/>
      <c r="PG157" s="96"/>
      <c r="PH157" s="78"/>
      <c r="PI157" s="1903"/>
      <c r="PJ157" s="1904"/>
      <c r="PK157" s="1904"/>
      <c r="PL157" s="2601"/>
      <c r="PM157" s="81"/>
      <c r="PN157" s="404"/>
      <c r="PO157" s="435"/>
      <c r="PP157" s="435"/>
      <c r="PQ157" s="227"/>
      <c r="PR157" s="1595"/>
      <c r="PS157" s="2460"/>
      <c r="PT157" s="2150"/>
      <c r="PU157" s="2150"/>
      <c r="PV157" s="2638"/>
      <c r="PW157" s="2639"/>
      <c r="PX157" s="2602"/>
      <c r="PY157" s="1850"/>
      <c r="PZ157" s="1850"/>
      <c r="QA157" s="1850"/>
      <c r="QB157" s="790"/>
      <c r="QC157" s="2635"/>
      <c r="QD157" s="2150"/>
      <c r="QE157" s="2150"/>
      <c r="QF157" s="1575"/>
      <c r="QG157" s="1869"/>
      <c r="QH157" s="404"/>
      <c r="QI157" s="2150"/>
      <c r="QJ157" s="2150"/>
      <c r="QK157" s="1575"/>
      <c r="QL157" s="1869"/>
      <c r="QM157" s="440">
        <v>2</v>
      </c>
      <c r="QN157" s="435">
        <v>17388</v>
      </c>
      <c r="QO157" s="435">
        <v>18696</v>
      </c>
      <c r="QP157" s="208">
        <f>QO157-QN157</f>
        <v>1308</v>
      </c>
      <c r="QQ157" s="1869">
        <f>QP157/QO157</f>
        <v>6.9961489088575093E-2</v>
      </c>
      <c r="QR157" s="1596">
        <v>6</v>
      </c>
      <c r="QS157" s="435">
        <v>198782</v>
      </c>
      <c r="QT157" s="435">
        <v>243048</v>
      </c>
      <c r="QU157" s="208">
        <f>QT157-QS157</f>
        <v>44266</v>
      </c>
      <c r="QV157" s="75">
        <f>QU157/QT157</f>
        <v>0.18212863302722096</v>
      </c>
      <c r="QW157" s="2561">
        <v>5</v>
      </c>
      <c r="QX157" s="2586">
        <v>229166</v>
      </c>
      <c r="QY157" s="2586">
        <v>244790</v>
      </c>
      <c r="QZ157" s="208">
        <f t="shared" si="545"/>
        <v>15624</v>
      </c>
      <c r="RA157" s="157">
        <f>QZ157/QY157</f>
        <v>6.3826136688590218E-2</v>
      </c>
      <c r="RB157" s="357">
        <v>6</v>
      </c>
      <c r="RC157" s="358">
        <v>213928</v>
      </c>
      <c r="RD157" s="358">
        <v>277000</v>
      </c>
      <c r="RE157" s="208">
        <f t="shared" si="547"/>
        <v>63072</v>
      </c>
      <c r="RF157" s="1313">
        <f t="shared" si="548"/>
        <v>0.22769675090252708</v>
      </c>
      <c r="RG157" s="1857">
        <v>6</v>
      </c>
      <c r="RH157" s="358">
        <v>208138.70967741936</v>
      </c>
      <c r="RI157" s="358">
        <v>246726</v>
      </c>
      <c r="RJ157" s="772">
        <f t="shared" si="549"/>
        <v>38587.290322580637</v>
      </c>
      <c r="RK157" s="659">
        <f>RJ157/RI157</f>
        <v>0.15639734086630772</v>
      </c>
      <c r="RL157" s="1567">
        <v>6</v>
      </c>
      <c r="RM157" s="1568">
        <f t="shared" si="658"/>
        <v>867402.70967741939</v>
      </c>
      <c r="RN157" s="1568">
        <f t="shared" si="658"/>
        <v>1030260</v>
      </c>
      <c r="RO157" s="1568">
        <f t="shared" si="658"/>
        <v>162857.29032258064</v>
      </c>
      <c r="RP157" s="220">
        <f t="shared" si="552"/>
        <v>0.15807397193192071</v>
      </c>
      <c r="RQ157" s="1863">
        <f t="shared" si="553"/>
        <v>0</v>
      </c>
      <c r="RR157" s="105">
        <f t="shared" ref="RR157:RT162" si="665">PE157+PJ157+PO157</f>
        <v>0</v>
      </c>
      <c r="RS157" s="105">
        <f t="shared" si="665"/>
        <v>0</v>
      </c>
      <c r="RT157" s="105">
        <f t="shared" si="665"/>
        <v>0</v>
      </c>
      <c r="RU157" s="106"/>
      <c r="RV157" s="358"/>
      <c r="RW157" s="358">
        <f t="shared" ref="RW157:RY157" si="666">PT157+PY157+QD157</f>
        <v>0</v>
      </c>
      <c r="RX157" s="358">
        <f t="shared" si="666"/>
        <v>0</v>
      </c>
      <c r="RY157" s="359">
        <f t="shared" si="666"/>
        <v>0</v>
      </c>
      <c r="RZ157" s="169"/>
      <c r="SA157" s="686">
        <v>6</v>
      </c>
      <c r="SB157" s="146">
        <f t="shared" si="659"/>
        <v>216170</v>
      </c>
      <c r="SC157" s="146">
        <f t="shared" si="659"/>
        <v>261744</v>
      </c>
      <c r="SD157" s="1864">
        <f t="shared" si="659"/>
        <v>45574</v>
      </c>
      <c r="SE157" s="203">
        <f t="shared" si="559"/>
        <v>0.17411669417446055</v>
      </c>
      <c r="SF157" s="1567">
        <v>6</v>
      </c>
      <c r="SG157" s="358">
        <f t="shared" si="660"/>
        <v>651232.70967741939</v>
      </c>
      <c r="SH157" s="358">
        <f t="shared" si="660"/>
        <v>768516</v>
      </c>
      <c r="SI157" s="359">
        <f t="shared" si="660"/>
        <v>117283.29032258064</v>
      </c>
      <c r="SJ157" s="114">
        <f t="shared" si="561"/>
        <v>0.15261008270820731</v>
      </c>
      <c r="SL157" s="401">
        <v>6</v>
      </c>
      <c r="SM157" s="395">
        <v>205404</v>
      </c>
      <c r="SN157" s="622">
        <v>245500</v>
      </c>
      <c r="SO157" s="115">
        <f t="shared" si="562"/>
        <v>40096</v>
      </c>
      <c r="SP157" s="186">
        <f t="shared" si="563"/>
        <v>0.16332382892057026</v>
      </c>
      <c r="SQ157" s="401">
        <v>6</v>
      </c>
      <c r="SR157" s="395">
        <v>324999</v>
      </c>
      <c r="SS157" s="395">
        <v>343500</v>
      </c>
      <c r="ST157" s="96">
        <f t="shared" si="564"/>
        <v>18501</v>
      </c>
      <c r="SU157" s="78">
        <f t="shared" si="645"/>
        <v>5.3860262008733624E-2</v>
      </c>
      <c r="SV157" s="440">
        <v>6</v>
      </c>
      <c r="SW157" s="435">
        <v>324999</v>
      </c>
      <c r="SX157" s="1584">
        <v>343500</v>
      </c>
      <c r="SY157" s="96">
        <f t="shared" si="565"/>
        <v>18501</v>
      </c>
      <c r="SZ157" s="94">
        <f>SY157/SX157</f>
        <v>5.3860262008733624E-2</v>
      </c>
      <c r="TA157" s="2152">
        <v>7</v>
      </c>
      <c r="TB157" s="435">
        <v>353890</v>
      </c>
      <c r="TC157" s="1584">
        <v>358532</v>
      </c>
      <c r="TD157" s="96">
        <f>TC157-TB157</f>
        <v>4642</v>
      </c>
      <c r="TE157" s="94">
        <f>TD157/TC157</f>
        <v>1.2947240413686924E-2</v>
      </c>
      <c r="TF157" s="354">
        <v>6</v>
      </c>
      <c r="TG157" s="208">
        <v>302259</v>
      </c>
      <c r="TH157" s="208">
        <v>358532</v>
      </c>
      <c r="TI157" s="395">
        <f t="shared" si="480"/>
        <v>56273</v>
      </c>
      <c r="TJ157" s="114">
        <f t="shared" si="661"/>
        <v>0.15695391206363726</v>
      </c>
      <c r="TK157" s="1596">
        <v>6</v>
      </c>
      <c r="TL157" s="435">
        <v>308333</v>
      </c>
      <c r="TM157" s="435">
        <v>346000</v>
      </c>
      <c r="TN157" s="208">
        <f t="shared" si="649"/>
        <v>37667</v>
      </c>
      <c r="TO157" s="114">
        <f t="shared" si="650"/>
        <v>0.10886416184971098</v>
      </c>
      <c r="TP157" s="4102">
        <v>8</v>
      </c>
      <c r="TQ157" s="435">
        <v>353346</v>
      </c>
      <c r="TR157" s="435">
        <v>387564.51610000001</v>
      </c>
      <c r="TS157" s="994">
        <f t="shared" si="651"/>
        <v>34218.516100000008</v>
      </c>
      <c r="TT157" s="114">
        <f t="shared" si="652"/>
        <v>8.8291148127634292E-2</v>
      </c>
      <c r="TU157" s="4432">
        <v>8</v>
      </c>
      <c r="TV157" s="208">
        <v>393317</v>
      </c>
      <c r="TW157" s="208">
        <v>449500</v>
      </c>
      <c r="TX157" s="994">
        <f t="shared" si="567"/>
        <v>56183</v>
      </c>
      <c r="TY157" s="114">
        <f t="shared" si="657"/>
        <v>0.12498998887652947</v>
      </c>
      <c r="TZ157" s="1596">
        <v>8</v>
      </c>
      <c r="UA157" s="435">
        <v>397500</v>
      </c>
      <c r="UB157" s="435">
        <v>329500</v>
      </c>
      <c r="UC157" s="4513">
        <f t="shared" si="568"/>
        <v>-68000</v>
      </c>
      <c r="UD157" s="4514">
        <f t="shared" si="653"/>
        <v>-0.20637329286798178</v>
      </c>
      <c r="UE157" s="6505">
        <v>8</v>
      </c>
      <c r="UF157" s="6506">
        <v>397500</v>
      </c>
      <c r="UG157" s="6506">
        <v>449500</v>
      </c>
      <c r="UH157" s="1575">
        <f t="shared" si="569"/>
        <v>52000</v>
      </c>
      <c r="UI157" s="1867">
        <f t="shared" si="654"/>
        <v>0.11568409343715239</v>
      </c>
      <c r="UJ157" s="357"/>
      <c r="UK157" s="358"/>
      <c r="UL157" s="358"/>
      <c r="UM157" s="208">
        <f t="shared" si="570"/>
        <v>0</v>
      </c>
      <c r="UN157" s="1313" t="e">
        <f>UM157/UL157</f>
        <v>#DIV/0!</v>
      </c>
      <c r="UO157" s="1567"/>
      <c r="UP157" s="1568"/>
      <c r="UQ157" s="1568"/>
      <c r="UR157" s="2012">
        <f t="shared" si="572"/>
        <v>0</v>
      </c>
      <c r="US157" s="659" t="e">
        <f>UR157/UQ157</f>
        <v>#DIV/0!</v>
      </c>
      <c r="UT157" s="1567"/>
      <c r="UU157" s="358">
        <f t="shared" si="655"/>
        <v>3361547</v>
      </c>
      <c r="UV157" s="358">
        <f t="shared" si="655"/>
        <v>3611628.5161000001</v>
      </c>
      <c r="UW157" s="358">
        <f t="shared" si="655"/>
        <v>250081.51610000001</v>
      </c>
      <c r="UX157" s="220">
        <f t="shared" si="575"/>
        <v>6.9243421626886847E-2</v>
      </c>
      <c r="UY157" s="1863">
        <f>(SL157+SQ157+SV157)/3</f>
        <v>6</v>
      </c>
      <c r="UZ157" s="105">
        <f t="shared" si="662"/>
        <v>855402</v>
      </c>
      <c r="VA157" s="105">
        <f t="shared" si="662"/>
        <v>932500</v>
      </c>
      <c r="VB157" s="105">
        <f t="shared" si="662"/>
        <v>77098</v>
      </c>
      <c r="VC157" s="106">
        <f>VB157/VA157</f>
        <v>8.2678820375335124E-2</v>
      </c>
      <c r="VD157" s="358"/>
      <c r="VE157" s="358">
        <f t="shared" si="656"/>
        <v>964482</v>
      </c>
      <c r="VF157" s="358">
        <f t="shared" si="656"/>
        <v>1063064</v>
      </c>
      <c r="VG157" s="359">
        <f t="shared" si="656"/>
        <v>98582</v>
      </c>
      <c r="VH157" s="169">
        <f t="shared" si="580"/>
        <v>9.2733833522722992E-2</v>
      </c>
      <c r="VI157" s="686"/>
      <c r="VJ157" s="146">
        <f t="shared" si="663"/>
        <v>1144163</v>
      </c>
      <c r="VK157" s="146">
        <f t="shared" si="663"/>
        <v>1166564.5161000001</v>
      </c>
      <c r="VL157" s="1864">
        <f t="shared" si="663"/>
        <v>22401.516100000008</v>
      </c>
      <c r="VM157" s="203">
        <f>VL157/VK157</f>
        <v>1.9202980881753227E-2</v>
      </c>
      <c r="VN157" s="1567"/>
      <c r="VO157" s="358">
        <f t="shared" si="664"/>
        <v>397500</v>
      </c>
      <c r="VP157" s="358">
        <f t="shared" si="664"/>
        <v>449500</v>
      </c>
      <c r="VQ157" s="359">
        <f t="shared" si="664"/>
        <v>52000</v>
      </c>
      <c r="VR157" s="114">
        <f>VQ157/VP157</f>
        <v>0.11568409343715239</v>
      </c>
    </row>
    <row r="158" spans="1:590" s="1193" customFormat="1" ht="13.45" x14ac:dyDescent="0.3">
      <c r="A158" s="1297"/>
      <c r="B158" s="4113" t="s">
        <v>84</v>
      </c>
      <c r="C158" s="3710" t="s">
        <v>14</v>
      </c>
      <c r="D158" s="2277" t="s">
        <v>983</v>
      </c>
      <c r="E158" s="2591"/>
      <c r="F158" s="2591"/>
      <c r="G158" s="1994"/>
      <c r="H158" s="2093"/>
      <c r="I158" s="2094"/>
      <c r="J158" s="2094"/>
      <c r="K158" s="2094"/>
      <c r="L158" s="2095"/>
      <c r="M158" s="2093"/>
      <c r="N158" s="2094"/>
      <c r="O158" s="2094"/>
      <c r="P158" s="2094"/>
      <c r="Q158" s="2095"/>
      <c r="R158" s="2093"/>
      <c r="S158" s="2094"/>
      <c r="T158" s="2094"/>
      <c r="U158" s="2094"/>
      <c r="V158" s="2095"/>
      <c r="W158" s="2093"/>
      <c r="X158" s="2094"/>
      <c r="Y158" s="2094"/>
      <c r="Z158" s="2094"/>
      <c r="AA158" s="2096"/>
      <c r="AB158" s="2093"/>
      <c r="AC158" s="2094"/>
      <c r="AD158" s="2094"/>
      <c r="AE158" s="2094"/>
      <c r="AF158" s="2096"/>
      <c r="AG158" s="2094"/>
      <c r="AH158" s="2094"/>
      <c r="AI158" s="2094"/>
      <c r="AJ158" s="2094"/>
      <c r="AK158" s="2095"/>
      <c r="AL158" s="2094"/>
      <c r="AM158" s="2094"/>
      <c r="AN158" s="2094"/>
      <c r="AO158" s="2094"/>
      <c r="AP158" s="2095"/>
      <c r="AQ158" s="2094"/>
      <c r="AR158" s="2094"/>
      <c r="AS158" s="2094"/>
      <c r="AT158" s="2094"/>
      <c r="AU158" s="2095"/>
      <c r="AV158" s="2097"/>
      <c r="AW158" s="2094"/>
      <c r="AX158" s="2094"/>
      <c r="AY158" s="2094"/>
      <c r="AZ158" s="2096"/>
      <c r="BA158" s="2097"/>
      <c r="BB158" s="2094"/>
      <c r="BC158" s="2094"/>
      <c r="BD158" s="2094"/>
      <c r="BE158" s="2096"/>
      <c r="BF158" s="2097"/>
      <c r="BG158" s="2094"/>
      <c r="BH158" s="2094"/>
      <c r="BI158" s="2094"/>
      <c r="BJ158" s="2096"/>
      <c r="BK158" s="2097"/>
      <c r="BL158" s="2094"/>
      <c r="BM158" s="2094"/>
      <c r="BN158" s="2094"/>
      <c r="BO158" s="2096"/>
      <c r="BP158" s="2098"/>
      <c r="BQ158" s="2094"/>
      <c r="BR158" s="2094"/>
      <c r="BS158" s="2094"/>
      <c r="BT158" s="2099"/>
      <c r="BU158" s="2094"/>
      <c r="BV158" s="2094"/>
      <c r="BW158" s="2100"/>
      <c r="BX158" s="2099"/>
      <c r="BY158" s="2094"/>
      <c r="BZ158" s="2094"/>
      <c r="CA158" s="2101"/>
      <c r="CB158" s="2094"/>
      <c r="CC158" s="2094"/>
      <c r="CD158" s="2094"/>
      <c r="CE158" s="2094"/>
      <c r="CF158" s="2099"/>
      <c r="CG158" s="2094"/>
      <c r="CH158" s="2094"/>
      <c r="CI158" s="2101"/>
      <c r="CJ158" s="2102"/>
      <c r="CK158" s="2094"/>
      <c r="CL158" s="2094"/>
      <c r="CM158" s="2094"/>
      <c r="CN158" s="2100"/>
      <c r="CO158" s="2102"/>
      <c r="CP158" s="2093"/>
      <c r="CQ158" s="2093"/>
      <c r="CR158" s="2093"/>
      <c r="CS158" s="2100"/>
      <c r="CT158" s="2102"/>
      <c r="CU158" s="2094"/>
      <c r="CV158" s="2094"/>
      <c r="CW158" s="2094"/>
      <c r="CX158" s="2100"/>
      <c r="CY158" s="2102"/>
      <c r="CZ158" s="2094"/>
      <c r="DA158" s="2094"/>
      <c r="DB158" s="2094"/>
      <c r="DC158" s="2100"/>
      <c r="DD158" s="2102"/>
      <c r="DE158" s="2094"/>
      <c r="DF158" s="2094"/>
      <c r="DG158" s="2094"/>
      <c r="DH158" s="2103"/>
      <c r="DI158" s="2102"/>
      <c r="DJ158" s="2094"/>
      <c r="DK158" s="2094"/>
      <c r="DL158" s="2094"/>
      <c r="DM158" s="2103"/>
      <c r="DN158" s="2102"/>
      <c r="DO158" s="2094"/>
      <c r="DP158" s="2094"/>
      <c r="DQ158" s="2094"/>
      <c r="DR158" s="2103"/>
      <c r="DS158" s="2102"/>
      <c r="DT158" s="2094"/>
      <c r="DU158" s="2094"/>
      <c r="DV158" s="2094"/>
      <c r="DW158" s="2103"/>
      <c r="DX158" s="2102"/>
      <c r="DY158" s="2094"/>
      <c r="DZ158" s="2094"/>
      <c r="EA158" s="2094"/>
      <c r="EB158" s="2103"/>
      <c r="EC158" s="2102"/>
      <c r="ED158" s="2094"/>
      <c r="EE158" s="2094"/>
      <c r="EF158" s="2094"/>
      <c r="EG158" s="2103"/>
      <c r="EH158" s="2037"/>
      <c r="EI158" s="1914"/>
      <c r="EJ158" s="1914"/>
      <c r="EK158" s="1914"/>
      <c r="EL158" s="2038"/>
      <c r="EM158" s="1910"/>
      <c r="EN158" s="715"/>
      <c r="EO158" s="715"/>
      <c r="EP158" s="715"/>
      <c r="EQ158" s="366"/>
      <c r="ER158" s="2614"/>
      <c r="ES158" s="2615"/>
      <c r="ET158" s="2615"/>
      <c r="EU158" s="2615"/>
      <c r="EV158" s="144"/>
      <c r="EW158" s="2031"/>
      <c r="EX158" s="2031"/>
      <c r="EY158" s="2031"/>
      <c r="EZ158" s="593"/>
      <c r="FA158" s="2037"/>
      <c r="FB158" s="2031"/>
      <c r="FC158" s="2031"/>
      <c r="FD158" s="2036"/>
      <c r="FE158" s="2031"/>
      <c r="FF158" s="2031"/>
      <c r="FG158" s="2031"/>
      <c r="FH158" s="593"/>
      <c r="FI158" s="2039"/>
      <c r="FJ158" s="2040"/>
      <c r="FK158" s="2041"/>
      <c r="FL158" s="2041"/>
      <c r="FM158" s="693"/>
      <c r="FN158" s="2031"/>
      <c r="FO158" s="1914"/>
      <c r="FP158" s="1914"/>
      <c r="FQ158" s="1914"/>
      <c r="FR158" s="2032"/>
      <c r="FS158" s="1910"/>
      <c r="FT158" s="715"/>
      <c r="FU158" s="715"/>
      <c r="FV158" s="715"/>
      <c r="FW158" s="2109"/>
      <c r="FX158" s="2037"/>
      <c r="FY158" s="1914"/>
      <c r="FZ158" s="1914"/>
      <c r="GA158" s="715"/>
      <c r="GB158" s="2109"/>
      <c r="GC158" s="2110"/>
      <c r="GD158" s="2111"/>
      <c r="GE158" s="2111"/>
      <c r="GF158" s="715"/>
      <c r="GG158" s="366"/>
      <c r="GH158" s="2042"/>
      <c r="GI158" s="2043"/>
      <c r="GJ158" s="2043"/>
      <c r="GK158" s="2112"/>
      <c r="GL158" s="2109"/>
      <c r="GM158" s="2042"/>
      <c r="GN158" s="2043"/>
      <c r="GO158" s="2043"/>
      <c r="GP158" s="2112"/>
      <c r="GQ158" s="2109"/>
      <c r="GR158" s="1903"/>
      <c r="GS158" s="1904"/>
      <c r="GT158" s="1904"/>
      <c r="GU158" s="2112"/>
      <c r="GV158" s="2109"/>
      <c r="GW158" s="1903"/>
      <c r="GX158" s="1904"/>
      <c r="GY158" s="1904"/>
      <c r="GZ158" s="2112"/>
      <c r="HA158" s="2109"/>
      <c r="HB158" s="1903"/>
      <c r="HC158" s="1904"/>
      <c r="HD158" s="1904"/>
      <c r="HE158" s="2112"/>
      <c r="HF158" s="2109"/>
      <c r="HG158" s="1903"/>
      <c r="HH158" s="1904"/>
      <c r="HI158" s="1904"/>
      <c r="HJ158" s="2113"/>
      <c r="HK158" s="2109"/>
      <c r="HL158" s="1903"/>
      <c r="HM158" s="1904"/>
      <c r="HN158" s="1904"/>
      <c r="HO158" s="715"/>
      <c r="HP158" s="366"/>
      <c r="HQ158" s="2592"/>
      <c r="HR158" s="2118"/>
      <c r="HS158" s="2118"/>
      <c r="HT158" s="2118"/>
      <c r="HU158" s="2593"/>
      <c r="HV158" s="2624"/>
      <c r="HW158" s="435"/>
      <c r="HX158" s="435"/>
      <c r="HY158" s="435"/>
      <c r="HZ158" s="2625"/>
      <c r="IA158" s="1912"/>
      <c r="IB158" s="1908"/>
      <c r="IC158" s="1908"/>
      <c r="ID158" s="1909"/>
      <c r="IE158" s="1910"/>
      <c r="IF158" s="1911"/>
      <c r="IG158" s="1912"/>
      <c r="IH158" s="1909"/>
      <c r="II158" s="1907"/>
      <c r="IJ158" s="2116"/>
      <c r="IK158" s="2116"/>
      <c r="IL158" s="693"/>
      <c r="IM158" s="2117"/>
      <c r="IN158" s="2116"/>
      <c r="IO158" s="2116"/>
      <c r="IP158" s="1838"/>
      <c r="IQ158" s="1914"/>
      <c r="IR158" s="2044"/>
      <c r="IS158" s="2118"/>
      <c r="IT158" s="2118"/>
      <c r="IU158" s="2119"/>
      <c r="IV158" s="2120"/>
      <c r="IW158" s="2121"/>
      <c r="IX158" s="2122"/>
      <c r="IY158" s="2123"/>
      <c r="IZ158" s="2124"/>
      <c r="JA158" s="2125"/>
      <c r="JB158" s="2046"/>
      <c r="JC158" s="2047"/>
      <c r="JD158" s="2048"/>
      <c r="JE158" s="2124"/>
      <c r="JF158" s="2125"/>
      <c r="JG158" s="1988"/>
      <c r="JH158" s="2049"/>
      <c r="JI158" s="2049"/>
      <c r="JJ158" s="2126"/>
      <c r="JK158" s="2125"/>
      <c r="JL158" s="2127"/>
      <c r="JM158" s="2049"/>
      <c r="JN158" s="2049"/>
      <c r="JO158" s="2128"/>
      <c r="JP158" s="2125"/>
      <c r="JQ158" s="2129"/>
      <c r="JR158" s="2130"/>
      <c r="JS158" s="1904"/>
      <c r="JT158" s="2413"/>
      <c r="JU158" s="2132"/>
      <c r="JV158" s="1849"/>
      <c r="JW158" s="1119"/>
      <c r="JX158" s="1850"/>
      <c r="JY158" s="1850"/>
      <c r="JZ158" s="2125"/>
      <c r="KA158" s="1849"/>
      <c r="KB158" s="1850"/>
      <c r="KC158" s="1850"/>
      <c r="KD158" s="1108"/>
      <c r="KE158" s="2133"/>
      <c r="KF158" s="1849"/>
      <c r="KG158" s="1850"/>
      <c r="KH158" s="1850"/>
      <c r="KI158" s="2124"/>
      <c r="KJ158" s="2125"/>
      <c r="KK158" s="1849"/>
      <c r="KL158" s="1850"/>
      <c r="KM158" s="1850"/>
      <c r="KN158" s="2134"/>
      <c r="KO158" s="2135"/>
      <c r="KP158" s="2596"/>
      <c r="KQ158" s="1119"/>
      <c r="KR158" s="1850"/>
      <c r="KS158" s="2597"/>
      <c r="KT158" s="2598"/>
      <c r="KU158" s="2138"/>
      <c r="KV158" s="1850"/>
      <c r="KW158" s="1850"/>
      <c r="KX158" s="1850"/>
      <c r="KY158" s="81"/>
      <c r="KZ158" s="1857"/>
      <c r="LA158" s="358"/>
      <c r="LB158" s="358"/>
      <c r="LC158" s="358"/>
      <c r="LD158" s="151"/>
      <c r="LE158" s="2139"/>
      <c r="LF158" s="2140"/>
      <c r="LG158" s="2140"/>
      <c r="LH158" s="2141"/>
      <c r="LI158" s="2142"/>
      <c r="LJ158" s="2143"/>
      <c r="LK158" s="2139"/>
      <c r="LL158" s="2141"/>
      <c r="LM158" s="1859"/>
      <c r="LN158" s="1727"/>
      <c r="LO158" s="1727"/>
      <c r="LP158" s="151"/>
      <c r="LQ158" s="1860"/>
      <c r="LR158" s="1727"/>
      <c r="LS158" s="1727"/>
      <c r="LT158" s="1861"/>
      <c r="LV158" s="2599"/>
      <c r="LW158" s="2198"/>
      <c r="LX158" s="2198"/>
      <c r="LY158" s="700"/>
      <c r="LZ158" s="2600"/>
      <c r="MA158" s="1903"/>
      <c r="MB158" s="1904"/>
      <c r="MC158" s="1904"/>
      <c r="MD158" s="2601"/>
      <c r="ME158" s="81"/>
      <c r="MF158" s="404"/>
      <c r="MG158" s="435"/>
      <c r="MH158" s="435"/>
      <c r="MI158" s="227"/>
      <c r="MJ158" s="1595"/>
      <c r="MK158" s="2152"/>
      <c r="ML158" s="435"/>
      <c r="MM158" s="435"/>
      <c r="MN158" s="2151"/>
      <c r="MO158" s="1595"/>
      <c r="MP158" s="2602"/>
      <c r="MQ158" s="1850"/>
      <c r="MR158" s="1850"/>
      <c r="MS158" s="1850"/>
      <c r="MT158" s="790"/>
      <c r="MU158" s="1596"/>
      <c r="MV158" s="435"/>
      <c r="MW158" s="435"/>
      <c r="MX158" s="435"/>
      <c r="MY158" s="790"/>
      <c r="MZ158" s="1596"/>
      <c r="NA158" s="435"/>
      <c r="NB158" s="435"/>
      <c r="NC158" s="435"/>
      <c r="ND158" s="790"/>
      <c r="NE158" s="1596"/>
      <c r="NF158" s="435"/>
      <c r="NG158" s="435"/>
      <c r="NH158" s="435"/>
      <c r="NI158" s="790"/>
      <c r="NJ158" s="1596"/>
      <c r="NK158" s="435"/>
      <c r="NL158" s="435"/>
      <c r="NM158" s="435"/>
      <c r="NN158" s="790"/>
      <c r="NO158" s="2633"/>
      <c r="NP158" s="1585"/>
      <c r="NQ158" s="1585"/>
      <c r="NR158" s="435"/>
      <c r="NS158" s="790"/>
      <c r="NT158" s="357"/>
      <c r="NU158" s="358"/>
      <c r="NV158" s="358"/>
      <c r="NW158" s="435"/>
      <c r="NX158" s="790"/>
      <c r="NY158" s="357"/>
      <c r="NZ158" s="358"/>
      <c r="OA158" s="358"/>
      <c r="OB158" s="772"/>
      <c r="OC158" s="659"/>
      <c r="OD158" s="197"/>
      <c r="OE158" s="1585"/>
      <c r="OF158" s="1585"/>
      <c r="OG158" s="1585"/>
      <c r="OH158" s="1600"/>
      <c r="OI158" s="1868"/>
      <c r="OJ158" s="105"/>
      <c r="OK158" s="1575"/>
      <c r="OL158" s="1575"/>
      <c r="OM158" s="375"/>
      <c r="ON158" s="358"/>
      <c r="OO158" s="358"/>
      <c r="OP158" s="358"/>
      <c r="OQ158" s="359"/>
      <c r="OR158" s="169"/>
      <c r="OS158" s="686"/>
      <c r="OT158" s="146"/>
      <c r="OU158" s="146"/>
      <c r="OV158" s="1864"/>
      <c r="OW158" s="203"/>
      <c r="OX158" s="2633"/>
      <c r="OY158" s="1585"/>
      <c r="OZ158" s="1585"/>
      <c r="PA158" s="2634"/>
      <c r="PB158" s="117"/>
      <c r="PC158" s="79"/>
      <c r="PD158" s="439"/>
      <c r="PE158" s="208"/>
      <c r="PF158" s="208"/>
      <c r="PG158" s="96"/>
      <c r="PH158" s="78"/>
      <c r="PI158" s="1903"/>
      <c r="PJ158" s="1904"/>
      <c r="PK158" s="1904"/>
      <c r="PL158" s="2601"/>
      <c r="PM158" s="81"/>
      <c r="PN158" s="404"/>
      <c r="PO158" s="435"/>
      <c r="PP158" s="435"/>
      <c r="PQ158" s="227"/>
      <c r="PR158" s="1595"/>
      <c r="PS158" s="2460"/>
      <c r="PT158" s="2150"/>
      <c r="PU158" s="2150"/>
      <c r="PV158" s="2638"/>
      <c r="PW158" s="2639"/>
      <c r="PX158" s="2602"/>
      <c r="PY158" s="1850"/>
      <c r="PZ158" s="1850"/>
      <c r="QA158" s="1850"/>
      <c r="QB158" s="790"/>
      <c r="QC158" s="2635"/>
      <c r="QD158" s="2150"/>
      <c r="QE158" s="2150"/>
      <c r="QF158" s="1575"/>
      <c r="QG158" s="1869"/>
      <c r="QH158" s="404"/>
      <c r="QI158" s="2150"/>
      <c r="QJ158" s="2150"/>
      <c r="QK158" s="1575"/>
      <c r="QL158" s="1869"/>
      <c r="QM158" s="440"/>
      <c r="QN158" s="435"/>
      <c r="QO158" s="435"/>
      <c r="QP158" s="435"/>
      <c r="QQ158" s="2643"/>
      <c r="QR158" s="1596"/>
      <c r="QS158" s="435"/>
      <c r="QT158" s="435"/>
      <c r="QU158" s="208"/>
      <c r="QV158" s="75"/>
      <c r="QW158" s="209"/>
      <c r="QX158" s="208"/>
      <c r="QY158" s="994"/>
      <c r="QZ158" s="208"/>
      <c r="RA158" s="157"/>
      <c r="RB158" s="357"/>
      <c r="RC158" s="358"/>
      <c r="RD158" s="358"/>
      <c r="RE158" s="208"/>
      <c r="RF158" s="1313"/>
      <c r="RG158" s="1857"/>
      <c r="RH158" s="358"/>
      <c r="RI158" s="358"/>
      <c r="RJ158" s="772"/>
      <c r="RK158" s="659"/>
      <c r="RL158" s="1567"/>
      <c r="RM158" s="1568">
        <f t="shared" si="658"/>
        <v>0</v>
      </c>
      <c r="RN158" s="1568">
        <f t="shared" si="658"/>
        <v>0</v>
      </c>
      <c r="RO158" s="1568">
        <f t="shared" si="658"/>
        <v>0</v>
      </c>
      <c r="RP158" s="2281">
        <v>0</v>
      </c>
      <c r="RQ158" s="1863"/>
      <c r="RR158" s="105"/>
      <c r="RS158" s="105"/>
      <c r="RT158" s="105"/>
      <c r="RU158" s="106"/>
      <c r="RV158" s="358"/>
      <c r="RW158" s="358"/>
      <c r="RX158" s="358"/>
      <c r="RY158" s="359"/>
      <c r="RZ158" s="169"/>
      <c r="SA158" s="686"/>
      <c r="SB158" s="146"/>
      <c r="SC158" s="146"/>
      <c r="SD158" s="1864"/>
      <c r="SE158" s="203"/>
      <c r="SF158" s="1567"/>
      <c r="SG158" s="358">
        <f t="shared" si="660"/>
        <v>0</v>
      </c>
      <c r="SH158" s="358">
        <f t="shared" si="660"/>
        <v>0</v>
      </c>
      <c r="SI158" s="359">
        <f t="shared" si="660"/>
        <v>0</v>
      </c>
      <c r="SJ158" s="114">
        <v>0</v>
      </c>
      <c r="SL158" s="405"/>
      <c r="SM158" s="1575"/>
      <c r="SN158" s="1575"/>
      <c r="SO158" s="3523">
        <f t="shared" si="562"/>
        <v>0</v>
      </c>
      <c r="SP158" s="3525">
        <v>0</v>
      </c>
      <c r="SQ158" s="401"/>
      <c r="SR158" s="395"/>
      <c r="SS158" s="395"/>
      <c r="ST158" s="96"/>
      <c r="SU158" s="78"/>
      <c r="SV158" s="440">
        <v>1</v>
      </c>
      <c r="SW158" s="435">
        <v>34633</v>
      </c>
      <c r="SX158" s="1584">
        <v>40278</v>
      </c>
      <c r="SY158" s="96">
        <f>SX158-SW158</f>
        <v>5645</v>
      </c>
      <c r="SZ158" s="94">
        <f>SY158/SX158</f>
        <v>0.14015095089130541</v>
      </c>
      <c r="TA158" s="2429">
        <v>1</v>
      </c>
      <c r="TB158" s="436">
        <v>100000</v>
      </c>
      <c r="TC158" s="4463">
        <v>120833</v>
      </c>
      <c r="TD158" s="115">
        <f>TC158-TB158</f>
        <v>20833</v>
      </c>
      <c r="TE158" s="362">
        <f>TD158/TC158</f>
        <v>0.17241151010071751</v>
      </c>
      <c r="TF158" s="354">
        <v>1</v>
      </c>
      <c r="TG158" s="208">
        <v>100000</v>
      </c>
      <c r="TH158" s="208">
        <v>116935.16</v>
      </c>
      <c r="TI158" s="395">
        <f t="shared" si="480"/>
        <v>16935.160000000003</v>
      </c>
      <c r="TJ158" s="114">
        <f t="shared" si="661"/>
        <v>0.14482521766763737</v>
      </c>
      <c r="TK158" s="1596">
        <v>1</v>
      </c>
      <c r="TL158" s="435">
        <v>96732</v>
      </c>
      <c r="TM158" s="435">
        <v>112777.46666666667</v>
      </c>
      <c r="TN158" s="208">
        <f t="shared" si="649"/>
        <v>16045.466666666674</v>
      </c>
      <c r="TO158" s="114">
        <f t="shared" si="650"/>
        <v>0.14227546637567084</v>
      </c>
      <c r="TP158" s="4102">
        <v>1</v>
      </c>
      <c r="TQ158" s="435">
        <v>96837</v>
      </c>
      <c r="TR158" s="435">
        <v>113037.32258064515</v>
      </c>
      <c r="TS158" s="994">
        <f t="shared" si="651"/>
        <v>16200.322580645152</v>
      </c>
      <c r="TT158" s="114">
        <f t="shared" si="652"/>
        <v>0.14331835017666153</v>
      </c>
      <c r="TU158" s="4432">
        <v>1</v>
      </c>
      <c r="TV158" s="208">
        <v>100000</v>
      </c>
      <c r="TW158" s="208">
        <v>120833</v>
      </c>
      <c r="TX158" s="994">
        <f t="shared" si="567"/>
        <v>20833</v>
      </c>
      <c r="TY158" s="114">
        <f t="shared" si="657"/>
        <v>0.17241151010071751</v>
      </c>
      <c r="TZ158" s="1596">
        <v>1</v>
      </c>
      <c r="UA158" s="435">
        <v>100000</v>
      </c>
      <c r="UB158" s="435">
        <v>116845.511</v>
      </c>
      <c r="UC158" s="994">
        <f t="shared" si="568"/>
        <v>16845.510999999999</v>
      </c>
      <c r="UD158" s="114">
        <f t="shared" si="653"/>
        <v>0.14416909007313083</v>
      </c>
      <c r="UE158" s="6505">
        <v>1</v>
      </c>
      <c r="UF158" s="6506">
        <v>100000</v>
      </c>
      <c r="UG158" s="6506">
        <v>116845.511</v>
      </c>
      <c r="UH158" s="1575">
        <f t="shared" si="569"/>
        <v>16845.510999999999</v>
      </c>
      <c r="UI158" s="1867">
        <f t="shared" si="654"/>
        <v>0.14416909007313083</v>
      </c>
      <c r="UJ158" s="357"/>
      <c r="UK158" s="358"/>
      <c r="UL158" s="358"/>
      <c r="UM158" s="208"/>
      <c r="UN158" s="1313"/>
      <c r="UO158" s="1567"/>
      <c r="UP158" s="1568"/>
      <c r="UQ158" s="1568"/>
      <c r="UR158" s="2012">
        <f t="shared" si="572"/>
        <v>0</v>
      </c>
      <c r="US158" s="659"/>
      <c r="UT158" s="1567"/>
      <c r="UU158" s="358">
        <f t="shared" si="655"/>
        <v>728202</v>
      </c>
      <c r="UV158" s="358">
        <f t="shared" si="655"/>
        <v>858384.9712473118</v>
      </c>
      <c r="UW158" s="358">
        <f t="shared" si="655"/>
        <v>130182.97124731183</v>
      </c>
      <c r="UX158" s="220">
        <f t="shared" si="575"/>
        <v>0.15166035707515252</v>
      </c>
      <c r="UY158" s="1863"/>
      <c r="UZ158" s="105">
        <f t="shared" si="662"/>
        <v>34633</v>
      </c>
      <c r="VA158" s="105">
        <f t="shared" si="662"/>
        <v>40278</v>
      </c>
      <c r="VB158" s="105">
        <f t="shared" si="662"/>
        <v>5645</v>
      </c>
      <c r="VC158" s="106">
        <v>0</v>
      </c>
      <c r="VD158" s="358"/>
      <c r="VE158" s="358">
        <f t="shared" si="656"/>
        <v>296732</v>
      </c>
      <c r="VF158" s="358">
        <f t="shared" si="656"/>
        <v>350545.62666666671</v>
      </c>
      <c r="VG158" s="359">
        <f t="shared" si="656"/>
        <v>53813.626666666678</v>
      </c>
      <c r="VH158" s="169">
        <f t="shared" si="580"/>
        <v>0.15351390111004856</v>
      </c>
      <c r="VI158" s="686"/>
      <c r="VJ158" s="146">
        <f t="shared" si="663"/>
        <v>296837</v>
      </c>
      <c r="VK158" s="146">
        <f t="shared" si="663"/>
        <v>350715.83358064515</v>
      </c>
      <c r="VL158" s="1864">
        <f t="shared" si="663"/>
        <v>53878.833580645151</v>
      </c>
      <c r="VM158" s="203"/>
      <c r="VN158" s="1567"/>
      <c r="VO158" s="358">
        <f t="shared" si="664"/>
        <v>100000</v>
      </c>
      <c r="VP158" s="358">
        <f t="shared" si="664"/>
        <v>116845.511</v>
      </c>
      <c r="VQ158" s="359">
        <f t="shared" si="664"/>
        <v>16845.510999999999</v>
      </c>
      <c r="VR158" s="114">
        <v>0</v>
      </c>
    </row>
    <row r="159" spans="1:590" s="1193" customFormat="1" ht="13.45" x14ac:dyDescent="0.3">
      <c r="A159" s="1297"/>
      <c r="B159" s="5262" t="s">
        <v>84</v>
      </c>
      <c r="C159" s="3624" t="s">
        <v>989</v>
      </c>
      <c r="D159" s="2277" t="s">
        <v>990</v>
      </c>
      <c r="E159" s="2591"/>
      <c r="F159" s="2591"/>
      <c r="G159" s="1994"/>
      <c r="H159" s="2093"/>
      <c r="I159" s="2094"/>
      <c r="J159" s="2094"/>
      <c r="K159" s="2094"/>
      <c r="L159" s="2095"/>
      <c r="M159" s="2093"/>
      <c r="N159" s="2094"/>
      <c r="O159" s="2094"/>
      <c r="P159" s="2094"/>
      <c r="Q159" s="2095"/>
      <c r="R159" s="2093"/>
      <c r="S159" s="2094"/>
      <c r="T159" s="2094"/>
      <c r="U159" s="2094"/>
      <c r="V159" s="2095"/>
      <c r="W159" s="2093"/>
      <c r="X159" s="2094"/>
      <c r="Y159" s="2094"/>
      <c r="Z159" s="2094"/>
      <c r="AA159" s="2096"/>
      <c r="AB159" s="2093"/>
      <c r="AC159" s="2094"/>
      <c r="AD159" s="2094"/>
      <c r="AE159" s="2094"/>
      <c r="AF159" s="2096"/>
      <c r="AG159" s="2094"/>
      <c r="AH159" s="2094"/>
      <c r="AI159" s="2094"/>
      <c r="AJ159" s="2094"/>
      <c r="AK159" s="2095"/>
      <c r="AL159" s="2094"/>
      <c r="AM159" s="2094"/>
      <c r="AN159" s="2094"/>
      <c r="AO159" s="2094"/>
      <c r="AP159" s="2095"/>
      <c r="AQ159" s="2094"/>
      <c r="AR159" s="2094"/>
      <c r="AS159" s="2094"/>
      <c r="AT159" s="2094"/>
      <c r="AU159" s="2095"/>
      <c r="AV159" s="2097"/>
      <c r="AW159" s="2094"/>
      <c r="AX159" s="2094"/>
      <c r="AY159" s="2094"/>
      <c r="AZ159" s="2096"/>
      <c r="BA159" s="2097"/>
      <c r="BB159" s="2094"/>
      <c r="BC159" s="2094"/>
      <c r="BD159" s="2094"/>
      <c r="BE159" s="2096"/>
      <c r="BF159" s="2097"/>
      <c r="BG159" s="2094"/>
      <c r="BH159" s="2094"/>
      <c r="BI159" s="2094"/>
      <c r="BJ159" s="2096"/>
      <c r="BK159" s="2097"/>
      <c r="BL159" s="2094"/>
      <c r="BM159" s="2094"/>
      <c r="BN159" s="2094"/>
      <c r="BO159" s="2096"/>
      <c r="BP159" s="2098"/>
      <c r="BQ159" s="2094"/>
      <c r="BR159" s="2094"/>
      <c r="BS159" s="2094"/>
      <c r="BT159" s="2099"/>
      <c r="BU159" s="2094"/>
      <c r="BV159" s="2094"/>
      <c r="BW159" s="2100"/>
      <c r="BX159" s="2099"/>
      <c r="BY159" s="2094"/>
      <c r="BZ159" s="2094"/>
      <c r="CA159" s="2101"/>
      <c r="CB159" s="2094"/>
      <c r="CC159" s="2094"/>
      <c r="CD159" s="2094"/>
      <c r="CE159" s="2094"/>
      <c r="CF159" s="2099"/>
      <c r="CG159" s="2094"/>
      <c r="CH159" s="2094"/>
      <c r="CI159" s="2101"/>
      <c r="CJ159" s="2102"/>
      <c r="CK159" s="2094"/>
      <c r="CL159" s="2094"/>
      <c r="CM159" s="2094"/>
      <c r="CN159" s="2100"/>
      <c r="CO159" s="2102"/>
      <c r="CP159" s="2093"/>
      <c r="CQ159" s="2093"/>
      <c r="CR159" s="2093"/>
      <c r="CS159" s="2100"/>
      <c r="CT159" s="2102"/>
      <c r="CU159" s="2094"/>
      <c r="CV159" s="2094"/>
      <c r="CW159" s="2094"/>
      <c r="CX159" s="2100"/>
      <c r="CY159" s="2102"/>
      <c r="CZ159" s="2094"/>
      <c r="DA159" s="2094"/>
      <c r="DB159" s="2094"/>
      <c r="DC159" s="2100"/>
      <c r="DD159" s="2102"/>
      <c r="DE159" s="2094"/>
      <c r="DF159" s="2094"/>
      <c r="DG159" s="2094"/>
      <c r="DH159" s="2103"/>
      <c r="DI159" s="2102"/>
      <c r="DJ159" s="2094"/>
      <c r="DK159" s="2094"/>
      <c r="DL159" s="2094"/>
      <c r="DM159" s="2103"/>
      <c r="DN159" s="2102"/>
      <c r="DO159" s="2094"/>
      <c r="DP159" s="2094"/>
      <c r="DQ159" s="2094"/>
      <c r="DR159" s="2103"/>
      <c r="DS159" s="2102"/>
      <c r="DT159" s="2094"/>
      <c r="DU159" s="2094"/>
      <c r="DV159" s="2094"/>
      <c r="DW159" s="2103"/>
      <c r="DX159" s="2102"/>
      <c r="DY159" s="2094"/>
      <c r="DZ159" s="2094"/>
      <c r="EA159" s="2094"/>
      <c r="EB159" s="2103"/>
      <c r="EC159" s="2102"/>
      <c r="ED159" s="2094"/>
      <c r="EE159" s="2094"/>
      <c r="EF159" s="2094"/>
      <c r="EG159" s="2103"/>
      <c r="EH159" s="2037"/>
      <c r="EI159" s="1914"/>
      <c r="EJ159" s="1914"/>
      <c r="EK159" s="1914"/>
      <c r="EL159" s="2038"/>
      <c r="EM159" s="1910"/>
      <c r="EN159" s="715"/>
      <c r="EO159" s="715"/>
      <c r="EP159" s="715"/>
      <c r="EQ159" s="366"/>
      <c r="ER159" s="2614"/>
      <c r="ES159" s="2615"/>
      <c r="ET159" s="2615"/>
      <c r="EU159" s="2615"/>
      <c r="EV159" s="144"/>
      <c r="EW159" s="2031"/>
      <c r="EX159" s="2031"/>
      <c r="EY159" s="2031"/>
      <c r="EZ159" s="593"/>
      <c r="FA159" s="2037"/>
      <c r="FB159" s="2031"/>
      <c r="FC159" s="2031"/>
      <c r="FD159" s="2036"/>
      <c r="FE159" s="2031"/>
      <c r="FF159" s="2031"/>
      <c r="FG159" s="2031"/>
      <c r="FH159" s="593"/>
      <c r="FI159" s="2039"/>
      <c r="FJ159" s="2040"/>
      <c r="FK159" s="2041"/>
      <c r="FL159" s="2041"/>
      <c r="FM159" s="693"/>
      <c r="FN159" s="2031"/>
      <c r="FO159" s="1914"/>
      <c r="FP159" s="1914"/>
      <c r="FQ159" s="1914"/>
      <c r="FR159" s="2032"/>
      <c r="FS159" s="1910"/>
      <c r="FT159" s="715"/>
      <c r="FU159" s="715"/>
      <c r="FV159" s="715"/>
      <c r="FW159" s="2109"/>
      <c r="FX159" s="2037"/>
      <c r="FY159" s="1914"/>
      <c r="FZ159" s="1914"/>
      <c r="GA159" s="715"/>
      <c r="GB159" s="2109"/>
      <c r="GC159" s="2110"/>
      <c r="GD159" s="2111"/>
      <c r="GE159" s="2111"/>
      <c r="GF159" s="715"/>
      <c r="GG159" s="366"/>
      <c r="GH159" s="2042"/>
      <c r="GI159" s="2043"/>
      <c r="GJ159" s="2043"/>
      <c r="GK159" s="2112"/>
      <c r="GL159" s="2109"/>
      <c r="GM159" s="2042"/>
      <c r="GN159" s="2043"/>
      <c r="GO159" s="2043"/>
      <c r="GP159" s="2112"/>
      <c r="GQ159" s="2109"/>
      <c r="GR159" s="1903"/>
      <c r="GS159" s="1904"/>
      <c r="GT159" s="1904"/>
      <c r="GU159" s="2112"/>
      <c r="GV159" s="2109"/>
      <c r="GW159" s="1903"/>
      <c r="GX159" s="1904"/>
      <c r="GY159" s="1904"/>
      <c r="GZ159" s="2112"/>
      <c r="HA159" s="2109"/>
      <c r="HB159" s="1903"/>
      <c r="HC159" s="1904"/>
      <c r="HD159" s="1904"/>
      <c r="HE159" s="2112"/>
      <c r="HF159" s="2109"/>
      <c r="HG159" s="1903"/>
      <c r="HH159" s="1904"/>
      <c r="HI159" s="1904"/>
      <c r="HJ159" s="2113"/>
      <c r="HK159" s="2109"/>
      <c r="HL159" s="1903"/>
      <c r="HM159" s="1904"/>
      <c r="HN159" s="1904"/>
      <c r="HO159" s="715"/>
      <c r="HP159" s="366"/>
      <c r="HQ159" s="2592"/>
      <c r="HR159" s="2118"/>
      <c r="HS159" s="2118"/>
      <c r="HT159" s="2118"/>
      <c r="HU159" s="2593"/>
      <c r="HV159" s="2624"/>
      <c r="HW159" s="435"/>
      <c r="HX159" s="435"/>
      <c r="HY159" s="435"/>
      <c r="HZ159" s="2625"/>
      <c r="IA159" s="1912"/>
      <c r="IB159" s="1908"/>
      <c r="IC159" s="1908"/>
      <c r="ID159" s="1909"/>
      <c r="IE159" s="1910"/>
      <c r="IF159" s="1911"/>
      <c r="IG159" s="1912"/>
      <c r="IH159" s="1909"/>
      <c r="II159" s="1907"/>
      <c r="IJ159" s="2116"/>
      <c r="IK159" s="2116"/>
      <c r="IL159" s="693"/>
      <c r="IM159" s="2117"/>
      <c r="IN159" s="2116"/>
      <c r="IO159" s="2116"/>
      <c r="IP159" s="1838"/>
      <c r="IQ159" s="1914"/>
      <c r="IR159" s="2044"/>
      <c r="IS159" s="2118"/>
      <c r="IT159" s="2118"/>
      <c r="IU159" s="2119"/>
      <c r="IV159" s="2120"/>
      <c r="IW159" s="2121"/>
      <c r="IX159" s="2122"/>
      <c r="IY159" s="2123"/>
      <c r="IZ159" s="2124"/>
      <c r="JA159" s="2125"/>
      <c r="JB159" s="2046"/>
      <c r="JC159" s="2047"/>
      <c r="JD159" s="2048"/>
      <c r="JE159" s="2124"/>
      <c r="JF159" s="2125"/>
      <c r="JG159" s="1988"/>
      <c r="JH159" s="2049"/>
      <c r="JI159" s="2049"/>
      <c r="JJ159" s="2126"/>
      <c r="JK159" s="2125"/>
      <c r="JL159" s="2127"/>
      <c r="JM159" s="2049"/>
      <c r="JN159" s="2049"/>
      <c r="JO159" s="2128"/>
      <c r="JP159" s="2125"/>
      <c r="JQ159" s="2129"/>
      <c r="JR159" s="2130"/>
      <c r="JS159" s="1904"/>
      <c r="JT159" s="2413"/>
      <c r="JU159" s="2132"/>
      <c r="JV159" s="1849"/>
      <c r="JW159" s="1119"/>
      <c r="JX159" s="1850"/>
      <c r="JY159" s="1850"/>
      <c r="JZ159" s="2125"/>
      <c r="KA159" s="1849"/>
      <c r="KB159" s="1850"/>
      <c r="KC159" s="1850"/>
      <c r="KD159" s="1108"/>
      <c r="KE159" s="2133"/>
      <c r="KF159" s="1849"/>
      <c r="KG159" s="1850"/>
      <c r="KH159" s="1850"/>
      <c r="KI159" s="2124"/>
      <c r="KJ159" s="2125"/>
      <c r="KK159" s="1849"/>
      <c r="KL159" s="1850"/>
      <c r="KM159" s="1850"/>
      <c r="KN159" s="2134"/>
      <c r="KO159" s="2135"/>
      <c r="KP159" s="2596"/>
      <c r="KQ159" s="1119"/>
      <c r="KR159" s="1850"/>
      <c r="KS159" s="2597"/>
      <c r="KT159" s="2598"/>
      <c r="KU159" s="2138"/>
      <c r="KV159" s="1850"/>
      <c r="KW159" s="1850"/>
      <c r="KX159" s="1850"/>
      <c r="KY159" s="81"/>
      <c r="KZ159" s="1857"/>
      <c r="LA159" s="358"/>
      <c r="LB159" s="358"/>
      <c r="LC159" s="358"/>
      <c r="LD159" s="151"/>
      <c r="LE159" s="2139"/>
      <c r="LF159" s="2140"/>
      <c r="LG159" s="2140"/>
      <c r="LH159" s="2141"/>
      <c r="LI159" s="2142"/>
      <c r="LJ159" s="2143"/>
      <c r="LK159" s="2139"/>
      <c r="LL159" s="2141"/>
      <c r="LM159" s="1859"/>
      <c r="LN159" s="1727"/>
      <c r="LO159" s="1727"/>
      <c r="LP159" s="151"/>
      <c r="LQ159" s="1860"/>
      <c r="LR159" s="1727"/>
      <c r="LS159" s="1727"/>
      <c r="LT159" s="1861"/>
      <c r="LV159" s="2599"/>
      <c r="LW159" s="2198"/>
      <c r="LX159" s="2198"/>
      <c r="LY159" s="700"/>
      <c r="LZ159" s="2600"/>
      <c r="MA159" s="1903"/>
      <c r="MB159" s="1904"/>
      <c r="MC159" s="1904"/>
      <c r="MD159" s="2601"/>
      <c r="ME159" s="81"/>
      <c r="MF159" s="404"/>
      <c r="MG159" s="435"/>
      <c r="MH159" s="435"/>
      <c r="MI159" s="227"/>
      <c r="MJ159" s="1595"/>
      <c r="MK159" s="2152"/>
      <c r="ML159" s="435"/>
      <c r="MM159" s="435"/>
      <c r="MN159" s="2151"/>
      <c r="MO159" s="1595"/>
      <c r="MP159" s="2602"/>
      <c r="MQ159" s="1850"/>
      <c r="MR159" s="1850"/>
      <c r="MS159" s="1850"/>
      <c r="MT159" s="790"/>
      <c r="MU159" s="1596"/>
      <c r="MV159" s="435"/>
      <c r="MW159" s="435"/>
      <c r="MX159" s="435"/>
      <c r="MY159" s="790"/>
      <c r="MZ159" s="1596"/>
      <c r="NA159" s="435"/>
      <c r="NB159" s="435"/>
      <c r="NC159" s="435"/>
      <c r="ND159" s="790"/>
      <c r="NE159" s="1596"/>
      <c r="NF159" s="435"/>
      <c r="NG159" s="435"/>
      <c r="NH159" s="435"/>
      <c r="NI159" s="790"/>
      <c r="NJ159" s="1596"/>
      <c r="NK159" s="435"/>
      <c r="NL159" s="435"/>
      <c r="NM159" s="435"/>
      <c r="NN159" s="790"/>
      <c r="NO159" s="2633"/>
      <c r="NP159" s="1585"/>
      <c r="NQ159" s="1585"/>
      <c r="NR159" s="435"/>
      <c r="NS159" s="790"/>
      <c r="NT159" s="357"/>
      <c r="NU159" s="358"/>
      <c r="NV159" s="358"/>
      <c r="NW159" s="435"/>
      <c r="NX159" s="790"/>
      <c r="NY159" s="357"/>
      <c r="NZ159" s="358"/>
      <c r="OA159" s="358"/>
      <c r="OB159" s="772"/>
      <c r="OC159" s="659"/>
      <c r="OD159" s="197"/>
      <c r="OE159" s="1585"/>
      <c r="OF159" s="1585"/>
      <c r="OG159" s="1585"/>
      <c r="OH159" s="1600"/>
      <c r="OI159" s="1868"/>
      <c r="OJ159" s="105"/>
      <c r="OK159" s="1575"/>
      <c r="OL159" s="1575"/>
      <c r="OM159" s="375"/>
      <c r="ON159" s="358"/>
      <c r="OO159" s="358"/>
      <c r="OP159" s="358"/>
      <c r="OQ159" s="359"/>
      <c r="OR159" s="169"/>
      <c r="OS159" s="686"/>
      <c r="OT159" s="146"/>
      <c r="OU159" s="146"/>
      <c r="OV159" s="1864"/>
      <c r="OW159" s="203"/>
      <c r="OX159" s="2633"/>
      <c r="OY159" s="1585"/>
      <c r="OZ159" s="1585"/>
      <c r="PA159" s="2634"/>
      <c r="PB159" s="117"/>
      <c r="PC159" s="79"/>
      <c r="PD159" s="439"/>
      <c r="PE159" s="208"/>
      <c r="PF159" s="208"/>
      <c r="PG159" s="96"/>
      <c r="PH159" s="78"/>
      <c r="PI159" s="1903"/>
      <c r="PJ159" s="1904"/>
      <c r="PK159" s="1904"/>
      <c r="PL159" s="2601"/>
      <c r="PM159" s="81"/>
      <c r="PN159" s="404"/>
      <c r="PO159" s="435"/>
      <c r="PP159" s="435"/>
      <c r="PQ159" s="227"/>
      <c r="PR159" s="1595"/>
      <c r="PS159" s="2460"/>
      <c r="PT159" s="2150"/>
      <c r="PU159" s="2150"/>
      <c r="PV159" s="2638"/>
      <c r="PW159" s="2639"/>
      <c r="PX159" s="2602"/>
      <c r="PY159" s="1850"/>
      <c r="PZ159" s="1850"/>
      <c r="QA159" s="1850"/>
      <c r="QB159" s="790"/>
      <c r="QC159" s="2635"/>
      <c r="QD159" s="2150"/>
      <c r="QE159" s="2150"/>
      <c r="QF159" s="1575"/>
      <c r="QG159" s="1869"/>
      <c r="QH159" s="404"/>
      <c r="QI159" s="2150"/>
      <c r="QJ159" s="2150"/>
      <c r="QK159" s="1575"/>
      <c r="QL159" s="1869"/>
      <c r="QM159" s="440"/>
      <c r="QN159" s="435"/>
      <c r="QO159" s="435"/>
      <c r="QP159" s="435"/>
      <c r="QQ159" s="2643"/>
      <c r="QR159" s="1596"/>
      <c r="QS159" s="435"/>
      <c r="QT159" s="435"/>
      <c r="QU159" s="208"/>
      <c r="QV159" s="75"/>
      <c r="QW159" s="209"/>
      <c r="QX159" s="208"/>
      <c r="QY159" s="994"/>
      <c r="QZ159" s="208"/>
      <c r="RA159" s="157"/>
      <c r="RB159" s="357"/>
      <c r="RC159" s="358"/>
      <c r="RD159" s="358"/>
      <c r="RE159" s="208"/>
      <c r="RF159" s="1313"/>
      <c r="RG159" s="1857"/>
      <c r="RH159" s="358"/>
      <c r="RI159" s="358"/>
      <c r="RJ159" s="772"/>
      <c r="RK159" s="659"/>
      <c r="RL159" s="2884"/>
      <c r="RM159" s="1568"/>
      <c r="RN159" s="1568"/>
      <c r="RO159" s="1568"/>
      <c r="RP159" s="2281"/>
      <c r="RQ159" s="1863"/>
      <c r="RR159" s="105"/>
      <c r="RS159" s="105"/>
      <c r="RT159" s="105"/>
      <c r="RU159" s="106"/>
      <c r="RV159" s="358"/>
      <c r="RW159" s="358"/>
      <c r="RX159" s="358"/>
      <c r="RY159" s="359"/>
      <c r="RZ159" s="169"/>
      <c r="SA159" s="686"/>
      <c r="SB159" s="146"/>
      <c r="SC159" s="146"/>
      <c r="SD159" s="1864"/>
      <c r="SE159" s="203"/>
      <c r="SF159" s="2884"/>
      <c r="SG159" s="358"/>
      <c r="SH159" s="358"/>
      <c r="SI159" s="359"/>
      <c r="SJ159" s="117"/>
      <c r="SL159" s="405"/>
      <c r="SM159" s="1575"/>
      <c r="SN159" s="1575"/>
      <c r="SO159" s="3523"/>
      <c r="SP159" s="3525"/>
      <c r="SQ159" s="401"/>
      <c r="SR159" s="395"/>
      <c r="SS159" s="395"/>
      <c r="ST159" s="96"/>
      <c r="SU159" s="78"/>
      <c r="SV159" s="440"/>
      <c r="SW159" s="435"/>
      <c r="SX159" s="1584"/>
      <c r="SY159" s="2146"/>
      <c r="SZ159" s="225"/>
      <c r="TA159" s="2152"/>
      <c r="TB159" s="435"/>
      <c r="TC159" s="1584"/>
      <c r="TD159" s="96"/>
      <c r="TE159" s="94"/>
      <c r="TF159" s="354">
        <v>6</v>
      </c>
      <c r="TG159" s="208">
        <v>171385.67741935499</v>
      </c>
      <c r="TH159" s="208">
        <v>206419</v>
      </c>
      <c r="TI159" s="395">
        <f t="shared" si="480"/>
        <v>35033.322580645006</v>
      </c>
      <c r="TJ159" s="114">
        <f t="shared" si="661"/>
        <v>0.16971946662199219</v>
      </c>
      <c r="TK159" s="1596">
        <v>8</v>
      </c>
      <c r="TL159" s="435">
        <v>348170</v>
      </c>
      <c r="TM159" s="435">
        <v>422100</v>
      </c>
      <c r="TN159" s="208">
        <f t="shared" si="649"/>
        <v>73930</v>
      </c>
      <c r="TO159" s="114">
        <f t="shared" si="650"/>
        <v>0.17514806917791992</v>
      </c>
      <c r="TP159" s="4102">
        <v>9</v>
      </c>
      <c r="TQ159" s="435">
        <v>435083</v>
      </c>
      <c r="TR159" s="435">
        <v>505161</v>
      </c>
      <c r="TS159" s="994">
        <f t="shared" si="651"/>
        <v>70078</v>
      </c>
      <c r="TT159" s="114">
        <f t="shared" si="652"/>
        <v>0.13872408994360214</v>
      </c>
      <c r="TU159" s="4432">
        <v>9</v>
      </c>
      <c r="TV159" s="208">
        <v>441669</v>
      </c>
      <c r="TW159" s="208">
        <v>513000</v>
      </c>
      <c r="TX159" s="994">
        <f t="shared" si="567"/>
        <v>71331</v>
      </c>
      <c r="TY159" s="114">
        <f t="shared" si="657"/>
        <v>0.139046783625731</v>
      </c>
      <c r="TZ159" s="1596">
        <v>9</v>
      </c>
      <c r="UA159" s="435">
        <v>441669</v>
      </c>
      <c r="UB159" s="435">
        <v>513000</v>
      </c>
      <c r="UC159" s="994">
        <f t="shared" si="568"/>
        <v>71331</v>
      </c>
      <c r="UD159" s="114">
        <f t="shared" si="653"/>
        <v>0.139046783625731</v>
      </c>
      <c r="UE159" s="6505">
        <v>9</v>
      </c>
      <c r="UF159" s="6506">
        <v>419492</v>
      </c>
      <c r="UG159" s="6506">
        <v>484258</v>
      </c>
      <c r="UH159" s="1575">
        <f t="shared" si="569"/>
        <v>64766</v>
      </c>
      <c r="UI159" s="1867">
        <f t="shared" si="654"/>
        <v>0.13374275696013282</v>
      </c>
      <c r="UJ159" s="357"/>
      <c r="UK159" s="358"/>
      <c r="UL159" s="358"/>
      <c r="UM159" s="208"/>
      <c r="UN159" s="1313"/>
      <c r="UO159" s="1567"/>
      <c r="UP159" s="1568"/>
      <c r="UQ159" s="1568"/>
      <c r="UR159" s="2012"/>
      <c r="US159" s="659"/>
      <c r="UT159" s="2884"/>
      <c r="UU159" s="358">
        <f t="shared" si="655"/>
        <v>2257468.6774193551</v>
      </c>
      <c r="UV159" s="358">
        <f t="shared" si="655"/>
        <v>2643938</v>
      </c>
      <c r="UW159" s="358">
        <f t="shared" si="655"/>
        <v>386469.32258064498</v>
      </c>
      <c r="UX159" s="220">
        <f t="shared" si="575"/>
        <v>0.14617185523285531</v>
      </c>
      <c r="UY159" s="1863"/>
      <c r="UZ159" s="105"/>
      <c r="VA159" s="105"/>
      <c r="VB159" s="105"/>
      <c r="VC159" s="106"/>
      <c r="VD159" s="358"/>
      <c r="VE159" s="358">
        <f t="shared" si="656"/>
        <v>519555.67741935502</v>
      </c>
      <c r="VF159" s="358">
        <f t="shared" si="656"/>
        <v>628519</v>
      </c>
      <c r="VG159" s="359">
        <f t="shared" si="656"/>
        <v>108963.32258064501</v>
      </c>
      <c r="VH159" s="169">
        <f t="shared" si="580"/>
        <v>0.17336520070299388</v>
      </c>
      <c r="VI159" s="686"/>
      <c r="VJ159" s="146">
        <f t="shared" si="663"/>
        <v>1318421</v>
      </c>
      <c r="VK159" s="146">
        <f t="shared" si="663"/>
        <v>1531161</v>
      </c>
      <c r="VL159" s="1864">
        <f t="shared" si="663"/>
        <v>212740</v>
      </c>
      <c r="VM159" s="203"/>
      <c r="VN159" s="2883"/>
      <c r="VO159" s="358"/>
      <c r="VP159" s="358"/>
      <c r="VQ159" s="359"/>
      <c r="VR159" s="117"/>
    </row>
    <row r="160" spans="1:590" s="1193" customFormat="1" ht="13.45" x14ac:dyDescent="0.3">
      <c r="A160" s="1297"/>
      <c r="B160" s="4113" t="s">
        <v>84</v>
      </c>
      <c r="C160" s="3710" t="s">
        <v>1017</v>
      </c>
      <c r="D160" s="2277">
        <v>5000216440</v>
      </c>
      <c r="E160" s="2591">
        <v>45505</v>
      </c>
      <c r="F160" s="2591">
        <v>45869</v>
      </c>
      <c r="G160" s="1994">
        <v>75000</v>
      </c>
      <c r="H160" s="2093"/>
      <c r="I160" s="2094"/>
      <c r="J160" s="2094"/>
      <c r="K160" s="2094"/>
      <c r="L160" s="2095"/>
      <c r="M160" s="2093"/>
      <c r="N160" s="2094"/>
      <c r="O160" s="2094"/>
      <c r="P160" s="2094"/>
      <c r="Q160" s="2095"/>
      <c r="R160" s="2093"/>
      <c r="S160" s="2094"/>
      <c r="T160" s="2094"/>
      <c r="U160" s="2094"/>
      <c r="V160" s="2095"/>
      <c r="W160" s="2093"/>
      <c r="X160" s="2094"/>
      <c r="Y160" s="2094"/>
      <c r="Z160" s="2094"/>
      <c r="AA160" s="2096"/>
      <c r="AB160" s="2093"/>
      <c r="AC160" s="2094"/>
      <c r="AD160" s="2094"/>
      <c r="AE160" s="2094"/>
      <c r="AF160" s="2096"/>
      <c r="AG160" s="2094"/>
      <c r="AH160" s="2094"/>
      <c r="AI160" s="2094"/>
      <c r="AJ160" s="2094"/>
      <c r="AK160" s="2095"/>
      <c r="AL160" s="2094"/>
      <c r="AM160" s="2094"/>
      <c r="AN160" s="2094"/>
      <c r="AO160" s="2094"/>
      <c r="AP160" s="2095"/>
      <c r="AQ160" s="2094"/>
      <c r="AR160" s="2094"/>
      <c r="AS160" s="2094"/>
      <c r="AT160" s="2094"/>
      <c r="AU160" s="2095"/>
      <c r="AV160" s="2097"/>
      <c r="AW160" s="2094"/>
      <c r="AX160" s="2094"/>
      <c r="AY160" s="2094"/>
      <c r="AZ160" s="2096"/>
      <c r="BA160" s="2097"/>
      <c r="BB160" s="2094"/>
      <c r="BC160" s="2094"/>
      <c r="BD160" s="2094"/>
      <c r="BE160" s="2096"/>
      <c r="BF160" s="2097"/>
      <c r="BG160" s="2094"/>
      <c r="BH160" s="2094"/>
      <c r="BI160" s="2094"/>
      <c r="BJ160" s="2096"/>
      <c r="BK160" s="2097"/>
      <c r="BL160" s="2094"/>
      <c r="BM160" s="2094"/>
      <c r="BN160" s="2094"/>
      <c r="BO160" s="2096"/>
      <c r="BP160" s="2098"/>
      <c r="BQ160" s="2094"/>
      <c r="BR160" s="2094"/>
      <c r="BS160" s="2094"/>
      <c r="BT160" s="2099"/>
      <c r="BU160" s="2094"/>
      <c r="BV160" s="2094"/>
      <c r="BW160" s="2100"/>
      <c r="BX160" s="2099"/>
      <c r="BY160" s="2094"/>
      <c r="BZ160" s="2094"/>
      <c r="CA160" s="2101"/>
      <c r="CB160" s="2094"/>
      <c r="CC160" s="2094"/>
      <c r="CD160" s="2094"/>
      <c r="CE160" s="2094"/>
      <c r="CF160" s="2099"/>
      <c r="CG160" s="2094"/>
      <c r="CH160" s="2094"/>
      <c r="CI160" s="2101"/>
      <c r="CJ160" s="2102"/>
      <c r="CK160" s="2094"/>
      <c r="CL160" s="2094"/>
      <c r="CM160" s="2094"/>
      <c r="CN160" s="2100"/>
      <c r="CO160" s="2102"/>
      <c r="CP160" s="2093"/>
      <c r="CQ160" s="2093"/>
      <c r="CR160" s="2093"/>
      <c r="CS160" s="2100"/>
      <c r="CT160" s="2102"/>
      <c r="CU160" s="2094"/>
      <c r="CV160" s="2094"/>
      <c r="CW160" s="2094"/>
      <c r="CX160" s="2100"/>
      <c r="CY160" s="2102"/>
      <c r="CZ160" s="2094"/>
      <c r="DA160" s="2094"/>
      <c r="DB160" s="2094"/>
      <c r="DC160" s="2100"/>
      <c r="DD160" s="2102"/>
      <c r="DE160" s="2094"/>
      <c r="DF160" s="2094"/>
      <c r="DG160" s="2094"/>
      <c r="DH160" s="2103"/>
      <c r="DI160" s="2102"/>
      <c r="DJ160" s="2094"/>
      <c r="DK160" s="2094"/>
      <c r="DL160" s="2094"/>
      <c r="DM160" s="2103"/>
      <c r="DN160" s="2102"/>
      <c r="DO160" s="2094"/>
      <c r="DP160" s="2094"/>
      <c r="DQ160" s="2094"/>
      <c r="DR160" s="2103"/>
      <c r="DS160" s="2102"/>
      <c r="DT160" s="2094"/>
      <c r="DU160" s="2094"/>
      <c r="DV160" s="2094"/>
      <c r="DW160" s="2103"/>
      <c r="DX160" s="2102"/>
      <c r="DY160" s="2094"/>
      <c r="DZ160" s="2094"/>
      <c r="EA160" s="2094"/>
      <c r="EB160" s="2103"/>
      <c r="EC160" s="2102"/>
      <c r="ED160" s="2094"/>
      <c r="EE160" s="2094"/>
      <c r="EF160" s="2094"/>
      <c r="EG160" s="2103"/>
      <c r="EH160" s="2037"/>
      <c r="EI160" s="1914"/>
      <c r="EJ160" s="1914"/>
      <c r="EK160" s="1914"/>
      <c r="EL160" s="2038"/>
      <c r="EM160" s="1910"/>
      <c r="EN160" s="715"/>
      <c r="EO160" s="715"/>
      <c r="EP160" s="715"/>
      <c r="EQ160" s="366"/>
      <c r="ER160" s="2614"/>
      <c r="ES160" s="2615"/>
      <c r="ET160" s="2615"/>
      <c r="EU160" s="2615"/>
      <c r="EV160" s="144"/>
      <c r="EW160" s="2031"/>
      <c r="EX160" s="2031"/>
      <c r="EY160" s="2031"/>
      <c r="EZ160" s="593"/>
      <c r="FA160" s="2037"/>
      <c r="FB160" s="2031"/>
      <c r="FC160" s="2031"/>
      <c r="FD160" s="2036"/>
      <c r="FE160" s="2031"/>
      <c r="FF160" s="2031"/>
      <c r="FG160" s="2031"/>
      <c r="FH160" s="593"/>
      <c r="FI160" s="2039"/>
      <c r="FJ160" s="2040"/>
      <c r="FK160" s="2041"/>
      <c r="FL160" s="2041"/>
      <c r="FM160" s="693"/>
      <c r="FN160" s="2031"/>
      <c r="FO160" s="1914"/>
      <c r="FP160" s="1914"/>
      <c r="FQ160" s="1914"/>
      <c r="FR160" s="2032"/>
      <c r="FS160" s="1910"/>
      <c r="FT160" s="715"/>
      <c r="FU160" s="715"/>
      <c r="FV160" s="715"/>
      <c r="FW160" s="2109"/>
      <c r="FX160" s="2037"/>
      <c r="FY160" s="1914"/>
      <c r="FZ160" s="1914"/>
      <c r="GA160" s="715"/>
      <c r="GB160" s="2109"/>
      <c r="GC160" s="2110"/>
      <c r="GD160" s="2111"/>
      <c r="GE160" s="2111"/>
      <c r="GF160" s="715"/>
      <c r="GG160" s="366"/>
      <c r="GH160" s="2042"/>
      <c r="GI160" s="2043"/>
      <c r="GJ160" s="2043"/>
      <c r="GK160" s="2112"/>
      <c r="GL160" s="2109"/>
      <c r="GM160" s="2042"/>
      <c r="GN160" s="2043"/>
      <c r="GO160" s="2043"/>
      <c r="GP160" s="2112"/>
      <c r="GQ160" s="2109"/>
      <c r="GR160" s="1903"/>
      <c r="GS160" s="1904"/>
      <c r="GT160" s="1904"/>
      <c r="GU160" s="2112"/>
      <c r="GV160" s="2109"/>
      <c r="GW160" s="1903"/>
      <c r="GX160" s="1904"/>
      <c r="GY160" s="1904"/>
      <c r="GZ160" s="2112"/>
      <c r="HA160" s="2109"/>
      <c r="HB160" s="1903"/>
      <c r="HC160" s="1904"/>
      <c r="HD160" s="1904"/>
      <c r="HE160" s="2112"/>
      <c r="HF160" s="2109"/>
      <c r="HG160" s="1903"/>
      <c r="HH160" s="1904"/>
      <c r="HI160" s="1904"/>
      <c r="HJ160" s="2113"/>
      <c r="HK160" s="2109"/>
      <c r="HL160" s="1903"/>
      <c r="HM160" s="1904"/>
      <c r="HN160" s="1904"/>
      <c r="HO160" s="715"/>
      <c r="HP160" s="366"/>
      <c r="HQ160" s="2592"/>
      <c r="HR160" s="2118"/>
      <c r="HS160" s="2118"/>
      <c r="HT160" s="2118"/>
      <c r="HU160" s="2593"/>
      <c r="HV160" s="2624"/>
      <c r="HW160" s="435"/>
      <c r="HX160" s="435"/>
      <c r="HY160" s="435"/>
      <c r="HZ160" s="2625"/>
      <c r="IA160" s="1912"/>
      <c r="IB160" s="1908"/>
      <c r="IC160" s="1908"/>
      <c r="ID160" s="1909"/>
      <c r="IE160" s="1910"/>
      <c r="IF160" s="1911"/>
      <c r="IG160" s="1912"/>
      <c r="IH160" s="1909"/>
      <c r="II160" s="1907"/>
      <c r="IJ160" s="2116"/>
      <c r="IK160" s="2116"/>
      <c r="IL160" s="693"/>
      <c r="IM160" s="2117"/>
      <c r="IN160" s="2116"/>
      <c r="IO160" s="2116"/>
      <c r="IP160" s="1838"/>
      <c r="IQ160" s="1914"/>
      <c r="IR160" s="2044"/>
      <c r="IS160" s="2118"/>
      <c r="IT160" s="2118"/>
      <c r="IU160" s="2119"/>
      <c r="IV160" s="2120"/>
      <c r="IW160" s="2121"/>
      <c r="IX160" s="2122"/>
      <c r="IY160" s="2123"/>
      <c r="IZ160" s="2124"/>
      <c r="JA160" s="2125"/>
      <c r="JB160" s="2046"/>
      <c r="JC160" s="2047"/>
      <c r="JD160" s="2048"/>
      <c r="JE160" s="2124"/>
      <c r="JF160" s="2125"/>
      <c r="JG160" s="1988"/>
      <c r="JH160" s="2049"/>
      <c r="JI160" s="2049"/>
      <c r="JJ160" s="2126"/>
      <c r="JK160" s="2125"/>
      <c r="JL160" s="2127"/>
      <c r="JM160" s="2049"/>
      <c r="JN160" s="2049"/>
      <c r="JO160" s="2128"/>
      <c r="JP160" s="2125"/>
      <c r="JQ160" s="2129"/>
      <c r="JR160" s="2130"/>
      <c r="JS160" s="1904"/>
      <c r="JT160" s="2413"/>
      <c r="JU160" s="2132"/>
      <c r="JV160" s="1849"/>
      <c r="JW160" s="1119"/>
      <c r="JX160" s="1850"/>
      <c r="JY160" s="1850"/>
      <c r="JZ160" s="2125"/>
      <c r="KA160" s="1849"/>
      <c r="KB160" s="1850"/>
      <c r="KC160" s="1850"/>
      <c r="KD160" s="1108"/>
      <c r="KE160" s="2133"/>
      <c r="KF160" s="1849"/>
      <c r="KG160" s="1850"/>
      <c r="KH160" s="1850"/>
      <c r="KI160" s="2124"/>
      <c r="KJ160" s="2125"/>
      <c r="KK160" s="1849"/>
      <c r="KL160" s="1850"/>
      <c r="KM160" s="1850"/>
      <c r="KN160" s="2134"/>
      <c r="KO160" s="2135"/>
      <c r="KP160" s="2596"/>
      <c r="KQ160" s="1119"/>
      <c r="KR160" s="1850"/>
      <c r="KS160" s="2597"/>
      <c r="KT160" s="2598"/>
      <c r="KU160" s="2138"/>
      <c r="KV160" s="1850"/>
      <c r="KW160" s="1850"/>
      <c r="KX160" s="1850"/>
      <c r="KY160" s="81"/>
      <c r="KZ160" s="1857"/>
      <c r="LA160" s="358"/>
      <c r="LB160" s="358"/>
      <c r="LC160" s="358"/>
      <c r="LD160" s="151"/>
      <c r="LE160" s="2139"/>
      <c r="LF160" s="2140"/>
      <c r="LG160" s="2140"/>
      <c r="LH160" s="2141"/>
      <c r="LI160" s="2142"/>
      <c r="LJ160" s="2143"/>
      <c r="LK160" s="2139"/>
      <c r="LL160" s="2141"/>
      <c r="LM160" s="1859"/>
      <c r="LN160" s="1727"/>
      <c r="LO160" s="1727"/>
      <c r="LP160" s="151"/>
      <c r="LQ160" s="1860"/>
      <c r="LR160" s="1727"/>
      <c r="LS160" s="1727"/>
      <c r="LT160" s="1861"/>
      <c r="LV160" s="2599"/>
      <c r="LW160" s="2198"/>
      <c r="LX160" s="2198"/>
      <c r="LY160" s="700"/>
      <c r="LZ160" s="2600"/>
      <c r="MA160" s="1903"/>
      <c r="MB160" s="1904"/>
      <c r="MC160" s="1904"/>
      <c r="MD160" s="2601"/>
      <c r="ME160" s="81"/>
      <c r="MF160" s="404"/>
      <c r="MG160" s="435"/>
      <c r="MH160" s="435"/>
      <c r="MI160" s="227"/>
      <c r="MJ160" s="1595"/>
      <c r="MK160" s="2152"/>
      <c r="ML160" s="435"/>
      <c r="MM160" s="435"/>
      <c r="MN160" s="2151"/>
      <c r="MO160" s="1595"/>
      <c r="MP160" s="2602"/>
      <c r="MQ160" s="1850"/>
      <c r="MR160" s="1850"/>
      <c r="MS160" s="1850"/>
      <c r="MT160" s="790"/>
      <c r="MU160" s="1596"/>
      <c r="MV160" s="435"/>
      <c r="MW160" s="435"/>
      <c r="MX160" s="435"/>
      <c r="MY160" s="790"/>
      <c r="MZ160" s="1596"/>
      <c r="NA160" s="435"/>
      <c r="NB160" s="435"/>
      <c r="NC160" s="435"/>
      <c r="ND160" s="790"/>
      <c r="NE160" s="1596"/>
      <c r="NF160" s="435"/>
      <c r="NG160" s="435"/>
      <c r="NH160" s="435"/>
      <c r="NI160" s="790"/>
      <c r="NJ160" s="1596"/>
      <c r="NK160" s="435"/>
      <c r="NL160" s="435"/>
      <c r="NM160" s="435"/>
      <c r="NN160" s="790"/>
      <c r="NO160" s="2633"/>
      <c r="NP160" s="1585"/>
      <c r="NQ160" s="1585"/>
      <c r="NR160" s="435"/>
      <c r="NS160" s="790"/>
      <c r="NT160" s="357"/>
      <c r="NU160" s="358"/>
      <c r="NV160" s="358"/>
      <c r="NW160" s="435"/>
      <c r="NX160" s="790"/>
      <c r="NY160" s="357"/>
      <c r="NZ160" s="358"/>
      <c r="OA160" s="358"/>
      <c r="OB160" s="772"/>
      <c r="OC160" s="659"/>
      <c r="OD160" s="197"/>
      <c r="OE160" s="1585"/>
      <c r="OF160" s="1585"/>
      <c r="OG160" s="1585"/>
      <c r="OH160" s="1600"/>
      <c r="OI160" s="1868"/>
      <c r="OJ160" s="105"/>
      <c r="OK160" s="1575"/>
      <c r="OL160" s="1575"/>
      <c r="OM160" s="375"/>
      <c r="ON160" s="358"/>
      <c r="OO160" s="358"/>
      <c r="OP160" s="358"/>
      <c r="OQ160" s="359"/>
      <c r="OR160" s="169"/>
      <c r="OS160" s="686"/>
      <c r="OT160" s="146"/>
      <c r="OU160" s="146"/>
      <c r="OV160" s="1864"/>
      <c r="OW160" s="203"/>
      <c r="OX160" s="2633"/>
      <c r="OY160" s="1585"/>
      <c r="OZ160" s="1585"/>
      <c r="PA160" s="2634"/>
      <c r="PB160" s="117"/>
      <c r="PC160" s="79"/>
      <c r="PD160" s="439"/>
      <c r="PE160" s="208"/>
      <c r="PF160" s="208"/>
      <c r="PG160" s="96"/>
      <c r="PH160" s="78"/>
      <c r="PI160" s="1903"/>
      <c r="PJ160" s="1904"/>
      <c r="PK160" s="1904"/>
      <c r="PL160" s="2601"/>
      <c r="PM160" s="81"/>
      <c r="PN160" s="404"/>
      <c r="PO160" s="435"/>
      <c r="PP160" s="435"/>
      <c r="PQ160" s="227"/>
      <c r="PR160" s="1595"/>
      <c r="PS160" s="2460"/>
      <c r="PT160" s="2150"/>
      <c r="PU160" s="2150"/>
      <c r="PV160" s="2638"/>
      <c r="PW160" s="2639"/>
      <c r="PX160" s="2602"/>
      <c r="PY160" s="1850"/>
      <c r="PZ160" s="1850"/>
      <c r="QA160" s="1850"/>
      <c r="QB160" s="790"/>
      <c r="QC160" s="2635"/>
      <c r="QD160" s="2150"/>
      <c r="QE160" s="2150"/>
      <c r="QF160" s="1575"/>
      <c r="QG160" s="1869"/>
      <c r="QH160" s="404"/>
      <c r="QI160" s="2150"/>
      <c r="QJ160" s="2150"/>
      <c r="QK160" s="1575"/>
      <c r="QL160" s="1869"/>
      <c r="QM160" s="440"/>
      <c r="QN160" s="435"/>
      <c r="QO160" s="435"/>
      <c r="QP160" s="435"/>
      <c r="QQ160" s="2643"/>
      <c r="QR160" s="1596"/>
      <c r="QS160" s="435"/>
      <c r="QT160" s="435"/>
      <c r="QU160" s="208"/>
      <c r="QV160" s="75"/>
      <c r="QW160" s="209"/>
      <c r="QX160" s="208"/>
      <c r="QY160" s="994"/>
      <c r="QZ160" s="208"/>
      <c r="RA160" s="157"/>
      <c r="RB160" s="357"/>
      <c r="RC160" s="358"/>
      <c r="RD160" s="358"/>
      <c r="RE160" s="208"/>
      <c r="RF160" s="1313"/>
      <c r="RG160" s="1857"/>
      <c r="RH160" s="358"/>
      <c r="RI160" s="358"/>
      <c r="RJ160" s="772"/>
      <c r="RK160" s="659"/>
      <c r="RL160" s="2884"/>
      <c r="RM160" s="1568"/>
      <c r="RN160" s="1568"/>
      <c r="RO160" s="1568"/>
      <c r="RP160" s="2281"/>
      <c r="RQ160" s="1863"/>
      <c r="RR160" s="105"/>
      <c r="RS160" s="105"/>
      <c r="RT160" s="105"/>
      <c r="RU160" s="106"/>
      <c r="RV160" s="358"/>
      <c r="RW160" s="358"/>
      <c r="RX160" s="358"/>
      <c r="RY160" s="359"/>
      <c r="RZ160" s="169"/>
      <c r="SA160" s="686"/>
      <c r="SB160" s="146"/>
      <c r="SC160" s="146"/>
      <c r="SD160" s="1864"/>
      <c r="SE160" s="203"/>
      <c r="SF160" s="2884"/>
      <c r="SG160" s="358"/>
      <c r="SH160" s="358"/>
      <c r="SI160" s="359"/>
      <c r="SJ160" s="117"/>
      <c r="SL160" s="405"/>
      <c r="SM160" s="1575"/>
      <c r="SN160" s="1575"/>
      <c r="SO160" s="3523"/>
      <c r="SP160" s="3525"/>
      <c r="SQ160" s="401"/>
      <c r="SR160" s="395"/>
      <c r="SS160" s="395"/>
      <c r="ST160" s="96"/>
      <c r="SU160" s="78"/>
      <c r="SV160" s="440"/>
      <c r="SW160" s="435"/>
      <c r="SX160" s="1584"/>
      <c r="SY160" s="2146"/>
      <c r="SZ160" s="225"/>
      <c r="TA160" s="2152"/>
      <c r="TB160" s="435"/>
      <c r="TC160" s="1584"/>
      <c r="TD160" s="96"/>
      <c r="TE160" s="94"/>
      <c r="TF160" s="354" t="s">
        <v>238</v>
      </c>
      <c r="TG160" s="208">
        <v>45833</v>
      </c>
      <c r="TH160" s="208">
        <v>75000</v>
      </c>
      <c r="TI160" s="395">
        <f t="shared" si="480"/>
        <v>29167</v>
      </c>
      <c r="TJ160" s="114">
        <f t="shared" si="661"/>
        <v>0.38889333333333331</v>
      </c>
      <c r="TK160" s="1596">
        <v>1</v>
      </c>
      <c r="TL160" s="208">
        <v>45833</v>
      </c>
      <c r="TM160" s="208">
        <v>75000</v>
      </c>
      <c r="TN160" s="208">
        <f>TM160-TL160</f>
        <v>29167</v>
      </c>
      <c r="TO160" s="114">
        <f t="shared" si="650"/>
        <v>0.38889333333333331</v>
      </c>
      <c r="TP160" s="4102" t="s">
        <v>238</v>
      </c>
      <c r="TQ160" s="435">
        <v>45833</v>
      </c>
      <c r="TR160" s="435">
        <v>75000</v>
      </c>
      <c r="TS160" s="994">
        <f>TR160-TQ160</f>
        <v>29167</v>
      </c>
      <c r="TT160" s="114">
        <f>TS160/TR160</f>
        <v>0.38889333333333331</v>
      </c>
      <c r="TU160" s="4432">
        <v>1</v>
      </c>
      <c r="TV160" s="208">
        <v>45833</v>
      </c>
      <c r="TW160" s="208">
        <v>75000</v>
      </c>
      <c r="TX160" s="994">
        <f t="shared" si="567"/>
        <v>29167</v>
      </c>
      <c r="TY160" s="114">
        <f t="shared" si="657"/>
        <v>0.38889333333333331</v>
      </c>
      <c r="TZ160" s="1596">
        <v>1</v>
      </c>
      <c r="UA160" s="435">
        <v>45833</v>
      </c>
      <c r="UB160" s="435">
        <v>75000</v>
      </c>
      <c r="UC160" s="994">
        <f t="shared" si="568"/>
        <v>29167</v>
      </c>
      <c r="UD160" s="114">
        <f t="shared" si="653"/>
        <v>0.38889333333333331</v>
      </c>
      <c r="UE160" s="6505">
        <v>1</v>
      </c>
      <c r="UF160" s="6506">
        <v>45833</v>
      </c>
      <c r="UG160" s="6506">
        <v>75000</v>
      </c>
      <c r="UH160" s="1575">
        <f t="shared" si="569"/>
        <v>29167</v>
      </c>
      <c r="UI160" s="1867">
        <f t="shared" si="654"/>
        <v>0.38889333333333331</v>
      </c>
      <c r="UJ160" s="357"/>
      <c r="UK160" s="358"/>
      <c r="UL160" s="358"/>
      <c r="UM160" s="208"/>
      <c r="UN160" s="1313"/>
      <c r="UO160" s="1567"/>
      <c r="UP160" s="1568"/>
      <c r="UQ160" s="1568"/>
      <c r="UR160" s="2012"/>
      <c r="US160" s="659"/>
      <c r="UT160" s="2884"/>
      <c r="UU160" s="358">
        <f t="shared" si="655"/>
        <v>274998</v>
      </c>
      <c r="UV160" s="358">
        <f t="shared" si="655"/>
        <v>450000</v>
      </c>
      <c r="UW160" s="358">
        <f t="shared" si="655"/>
        <v>175002</v>
      </c>
      <c r="UX160" s="220">
        <f t="shared" si="575"/>
        <v>0.38889333333333331</v>
      </c>
      <c r="UY160" s="1863"/>
      <c r="UZ160" s="105"/>
      <c r="VA160" s="105"/>
      <c r="VB160" s="105"/>
      <c r="VC160" s="106"/>
      <c r="VD160" s="358"/>
      <c r="VE160" s="358"/>
      <c r="VF160" s="358"/>
      <c r="VG160" s="359"/>
      <c r="VH160" s="169"/>
      <c r="VI160" s="686"/>
      <c r="VJ160" s="146">
        <f t="shared" si="663"/>
        <v>137499</v>
      </c>
      <c r="VK160" s="146">
        <f t="shared" si="663"/>
        <v>225000</v>
      </c>
      <c r="VL160" s="1864">
        <f t="shared" si="663"/>
        <v>87501</v>
      </c>
      <c r="VM160" s="203"/>
      <c r="VN160" s="2883"/>
      <c r="VO160" s="358"/>
      <c r="VP160" s="358"/>
      <c r="VQ160" s="359"/>
      <c r="VR160" s="117"/>
    </row>
    <row r="161" spans="1:592" s="1193" customFormat="1" ht="13.45" x14ac:dyDescent="0.3">
      <c r="A161" s="1297"/>
      <c r="B161" s="1773" t="s">
        <v>53</v>
      </c>
      <c r="C161" s="3710" t="s">
        <v>951</v>
      </c>
      <c r="D161" s="3623" t="s">
        <v>960</v>
      </c>
      <c r="E161" s="1993"/>
      <c r="F161" s="1993"/>
      <c r="G161" s="1994"/>
      <c r="H161" s="2031"/>
      <c r="I161" s="1914"/>
      <c r="J161" s="1914"/>
      <c r="K161" s="1914"/>
      <c r="L161" s="593"/>
      <c r="M161" s="2031"/>
      <c r="N161" s="1914"/>
      <c r="O161" s="1914"/>
      <c r="P161" s="1914"/>
      <c r="Q161" s="593"/>
      <c r="R161" s="2031"/>
      <c r="S161" s="1914"/>
      <c r="T161" s="1914"/>
      <c r="U161" s="1914"/>
      <c r="V161" s="593"/>
      <c r="W161" s="2031"/>
      <c r="X161" s="1914"/>
      <c r="Y161" s="1914"/>
      <c r="Z161" s="1914"/>
      <c r="AA161" s="2032"/>
      <c r="AB161" s="2031"/>
      <c r="AC161" s="1914"/>
      <c r="AD161" s="1914"/>
      <c r="AE161" s="1914"/>
      <c r="AF161" s="2032"/>
      <c r="AG161" s="1914"/>
      <c r="AH161" s="1914"/>
      <c r="AI161" s="1914"/>
      <c r="AJ161" s="1914"/>
      <c r="AK161" s="593"/>
      <c r="AL161" s="1914"/>
      <c r="AM161" s="1914"/>
      <c r="AN161" s="1914"/>
      <c r="AO161" s="1914"/>
      <c r="AP161" s="593"/>
      <c r="AQ161" s="1914"/>
      <c r="AR161" s="1914"/>
      <c r="AS161" s="1914"/>
      <c r="AT161" s="1914"/>
      <c r="AU161" s="593"/>
      <c r="AV161" s="2033"/>
      <c r="AW161" s="1914"/>
      <c r="AX161" s="1914"/>
      <c r="AY161" s="1914"/>
      <c r="AZ161" s="2032"/>
      <c r="BA161" s="2033"/>
      <c r="BB161" s="1914"/>
      <c r="BC161" s="1914"/>
      <c r="BD161" s="1914"/>
      <c r="BE161" s="2032"/>
      <c r="BF161" s="2033"/>
      <c r="BG161" s="1914"/>
      <c r="BH161" s="1914"/>
      <c r="BI161" s="1914"/>
      <c r="BJ161" s="2032"/>
      <c r="BK161" s="2033"/>
      <c r="BL161" s="1914"/>
      <c r="BM161" s="1914"/>
      <c r="BN161" s="1914"/>
      <c r="BO161" s="2032"/>
      <c r="BP161" s="2034"/>
      <c r="BQ161" s="1914"/>
      <c r="BR161" s="1914"/>
      <c r="BS161" s="1914"/>
      <c r="BT161" s="2035"/>
      <c r="BU161" s="1914"/>
      <c r="BV161" s="1914"/>
      <c r="BW161" s="2036"/>
      <c r="BX161" s="2035"/>
      <c r="BY161" s="1914"/>
      <c r="BZ161" s="1914"/>
      <c r="CA161" s="2010"/>
      <c r="CB161" s="1914"/>
      <c r="CC161" s="1914"/>
      <c r="CD161" s="1914"/>
      <c r="CE161" s="1914"/>
      <c r="CF161" s="2035"/>
      <c r="CG161" s="1914"/>
      <c r="CH161" s="1914"/>
      <c r="CI161" s="2010"/>
      <c r="CJ161" s="2037"/>
      <c r="CK161" s="1914"/>
      <c r="CL161" s="1914"/>
      <c r="CM161" s="1914"/>
      <c r="CN161" s="2036"/>
      <c r="CO161" s="2037"/>
      <c r="CP161" s="2031"/>
      <c r="CQ161" s="2031"/>
      <c r="CR161" s="2031"/>
      <c r="CS161" s="2036"/>
      <c r="CT161" s="2037"/>
      <c r="CU161" s="1914"/>
      <c r="CV161" s="1914"/>
      <c r="CW161" s="1914"/>
      <c r="CX161" s="2036"/>
      <c r="CY161" s="2037"/>
      <c r="CZ161" s="1914"/>
      <c r="DA161" s="1914"/>
      <c r="DB161" s="1914"/>
      <c r="DC161" s="2036"/>
      <c r="DD161" s="2037"/>
      <c r="DE161" s="1914"/>
      <c r="DF161" s="1914"/>
      <c r="DG161" s="1914"/>
      <c r="DH161" s="2038"/>
      <c r="DI161" s="2037"/>
      <c r="DJ161" s="1914"/>
      <c r="DK161" s="1914"/>
      <c r="DL161" s="1914"/>
      <c r="DM161" s="2038"/>
      <c r="DN161" s="2037"/>
      <c r="DO161" s="1914"/>
      <c r="DP161" s="1914"/>
      <c r="DQ161" s="1914"/>
      <c r="DR161" s="2038"/>
      <c r="DS161" s="2037"/>
      <c r="DT161" s="1914"/>
      <c r="DU161" s="1914"/>
      <c r="DV161" s="1914"/>
      <c r="DW161" s="2038"/>
      <c r="DX161" s="2037"/>
      <c r="DY161" s="1914"/>
      <c r="DZ161" s="1914"/>
      <c r="EA161" s="1914"/>
      <c r="EB161" s="2038"/>
      <c r="EC161" s="2037"/>
      <c r="ED161" s="1914"/>
      <c r="EE161" s="1914"/>
      <c r="EF161" s="1914"/>
      <c r="EG161" s="2038"/>
      <c r="EH161" s="2037"/>
      <c r="EI161" s="1914"/>
      <c r="EJ161" s="1914"/>
      <c r="EK161" s="1914"/>
      <c r="EL161" s="2038"/>
      <c r="EM161" s="1910"/>
      <c r="EN161" s="715"/>
      <c r="EO161" s="715"/>
      <c r="EP161" s="715"/>
      <c r="EQ161" s="366"/>
      <c r="ER161" s="1713"/>
      <c r="ES161" s="1714"/>
      <c r="ET161" s="1714"/>
      <c r="EU161" s="1714"/>
      <c r="EV161" s="1715"/>
      <c r="EW161" s="2031"/>
      <c r="EX161" s="2031"/>
      <c r="EY161" s="2031"/>
      <c r="EZ161" s="593"/>
      <c r="FA161" s="2037"/>
      <c r="FB161" s="2031"/>
      <c r="FC161" s="2031"/>
      <c r="FD161" s="2036"/>
      <c r="FE161" s="2031"/>
      <c r="FF161" s="2031"/>
      <c r="FG161" s="2031"/>
      <c r="FH161" s="593"/>
      <c r="FI161" s="2039"/>
      <c r="FJ161" s="2040"/>
      <c r="FK161" s="2041"/>
      <c r="FL161" s="2041"/>
      <c r="FM161" s="693"/>
      <c r="FN161" s="2031"/>
      <c r="FO161" s="1914"/>
      <c r="FP161" s="1914"/>
      <c r="FQ161" s="1914"/>
      <c r="FR161" s="2032"/>
      <c r="FS161" s="1910"/>
      <c r="FT161" s="715"/>
      <c r="FU161" s="715"/>
      <c r="FV161" s="715"/>
      <c r="FW161" s="366"/>
      <c r="FX161" s="2037"/>
      <c r="FY161" s="1914"/>
      <c r="FZ161" s="1914"/>
      <c r="GA161" s="715"/>
      <c r="GB161" s="366"/>
      <c r="GC161" s="1899"/>
      <c r="GD161" s="1900"/>
      <c r="GE161" s="1900"/>
      <c r="GF161" s="715"/>
      <c r="GG161" s="366"/>
      <c r="GH161" s="1901"/>
      <c r="GI161" s="1824"/>
      <c r="GJ161" s="1824"/>
      <c r="GK161" s="715"/>
      <c r="GL161" s="366"/>
      <c r="GM161" s="1901"/>
      <c r="GN161" s="1824"/>
      <c r="GO161" s="1824"/>
      <c r="GP161" s="715"/>
      <c r="GQ161" s="366"/>
      <c r="GR161" s="2042"/>
      <c r="GS161" s="2043"/>
      <c r="GT161" s="2043"/>
      <c r="GU161" s="715"/>
      <c r="GV161" s="366"/>
      <c r="GW161" s="2042"/>
      <c r="GX161" s="2043"/>
      <c r="GY161" s="2043"/>
      <c r="GZ161" s="715"/>
      <c r="HA161" s="366"/>
      <c r="HB161" s="2042"/>
      <c r="HC161" s="2043"/>
      <c r="HD161" s="2043"/>
      <c r="HE161" s="715"/>
      <c r="HF161" s="366"/>
      <c r="HG161" s="2042"/>
      <c r="HH161" s="2043"/>
      <c r="HI161" s="2043"/>
      <c r="HJ161" s="1818"/>
      <c r="HK161" s="366"/>
      <c r="HL161" s="2042"/>
      <c r="HM161" s="2043"/>
      <c r="HN161" s="2043"/>
      <c r="HO161" s="715"/>
      <c r="HP161" s="366"/>
      <c r="HQ161" s="1905"/>
      <c r="HR161" s="1248"/>
      <c r="HS161" s="1248"/>
      <c r="HT161" s="1248"/>
      <c r="HU161" s="1826"/>
      <c r="HV161" s="1827"/>
      <c r="HW161" s="1089"/>
      <c r="HX161" s="1089"/>
      <c r="HY161" s="1089"/>
      <c r="HZ161" s="1906"/>
      <c r="IA161" s="1907"/>
      <c r="IB161" s="1908"/>
      <c r="IC161" s="1908"/>
      <c r="ID161" s="1909"/>
      <c r="IE161" s="1910"/>
      <c r="IF161" s="1911"/>
      <c r="IG161" s="1912"/>
      <c r="IH161" s="1909"/>
      <c r="II161" s="1835"/>
      <c r="IJ161" s="1836"/>
      <c r="IK161" s="1836"/>
      <c r="IL161" s="693"/>
      <c r="IM161" s="1913"/>
      <c r="IN161" s="1836"/>
      <c r="IO161" s="1836"/>
      <c r="IP161" s="1838"/>
      <c r="IQ161" s="1914"/>
      <c r="IR161" s="2044"/>
      <c r="IS161" s="715"/>
      <c r="IT161" s="715"/>
      <c r="IU161" s="1996"/>
      <c r="IV161" s="2045"/>
      <c r="IW161" s="1910"/>
      <c r="IX161" s="715"/>
      <c r="IY161" s="823"/>
      <c r="IZ161" s="1719"/>
      <c r="JA161" s="1721"/>
      <c r="JB161" s="2046"/>
      <c r="JC161" s="2047"/>
      <c r="JD161" s="2048"/>
      <c r="JE161" s="1719"/>
      <c r="JF161" s="1721"/>
      <c r="JG161" s="1847"/>
      <c r="JH161" s="1096"/>
      <c r="JI161" s="1096"/>
      <c r="JJ161" s="1756"/>
      <c r="JK161" s="1721"/>
      <c r="JL161" s="1927"/>
      <c r="JM161" s="1096"/>
      <c r="JN161" s="1096"/>
      <c r="JO161" s="823"/>
      <c r="JP161" s="1721"/>
      <c r="JQ161" s="1926"/>
      <c r="JR161" s="1982"/>
      <c r="JS161" s="1248"/>
      <c r="JT161" s="1996"/>
      <c r="JU161" s="1821"/>
      <c r="JV161" s="1988"/>
      <c r="JW161" s="2049"/>
      <c r="JX161" s="1850"/>
      <c r="JY161" s="823"/>
      <c r="JZ161" s="1721"/>
      <c r="KA161" s="1847"/>
      <c r="KB161" s="264"/>
      <c r="KC161" s="972"/>
      <c r="KD161" s="964"/>
      <c r="KE161" s="1848"/>
      <c r="KF161" s="1988"/>
      <c r="KG161" s="1850"/>
      <c r="KH161" s="2049"/>
      <c r="KI161" s="1719"/>
      <c r="KJ161" s="1721"/>
      <c r="KK161" s="1988"/>
      <c r="KL161" s="1850"/>
      <c r="KM161" s="2049"/>
      <c r="KN161" s="1851"/>
      <c r="KO161" s="1852"/>
      <c r="KP161" s="1823"/>
      <c r="KQ161" s="1982"/>
      <c r="KR161" s="1248"/>
      <c r="KS161" s="1996"/>
      <c r="KT161" s="1819"/>
      <c r="KU161" s="1853"/>
      <c r="KV161" s="264"/>
      <c r="KW161" s="264"/>
      <c r="KX161" s="264"/>
      <c r="KY161" s="75"/>
      <c r="KZ161" s="1857"/>
      <c r="LA161" s="358"/>
      <c r="LB161" s="358"/>
      <c r="LC161" s="358"/>
      <c r="LD161" s="151"/>
      <c r="LE161" s="1854"/>
      <c r="LF161" s="1855"/>
      <c r="LG161" s="1855"/>
      <c r="LH161" s="1856"/>
      <c r="LI161" s="1857"/>
      <c r="LJ161" s="1858"/>
      <c r="LK161" s="1854"/>
      <c r="LL161" s="1856"/>
      <c r="LM161" s="1859"/>
      <c r="LN161" s="1727"/>
      <c r="LO161" s="1727"/>
      <c r="LP161" s="151"/>
      <c r="LQ161" s="1860"/>
      <c r="LR161" s="1727"/>
      <c r="LS161" s="1727"/>
      <c r="LT161" s="1861"/>
      <c r="LV161" s="439"/>
      <c r="LW161" s="208"/>
      <c r="LX161" s="208"/>
      <c r="LY161" s="96"/>
      <c r="LZ161" s="78"/>
      <c r="MA161" s="1832"/>
      <c r="MB161" s="622"/>
      <c r="MC161" s="622"/>
      <c r="MD161" s="372"/>
      <c r="ME161" s="207"/>
      <c r="MF161" s="405"/>
      <c r="MG161" s="1575"/>
      <c r="MH161" s="1568"/>
      <c r="MI161" s="371"/>
      <c r="MJ161" s="157"/>
      <c r="MK161" s="354"/>
      <c r="ML161" s="208"/>
      <c r="MM161" s="358"/>
      <c r="MN161" s="371"/>
      <c r="MO161" s="157"/>
      <c r="MP161" s="1579"/>
      <c r="MQ161" s="264"/>
      <c r="MR161" s="264"/>
      <c r="MS161" s="264"/>
      <c r="MT161" s="597"/>
      <c r="MU161" s="209"/>
      <c r="MV161" s="208"/>
      <c r="MW161" s="208"/>
      <c r="MX161" s="208"/>
      <c r="MY161" s="655"/>
      <c r="MZ161" s="209"/>
      <c r="NA161" s="208"/>
      <c r="NB161" s="208"/>
      <c r="NC161" s="208"/>
      <c r="ND161" s="1313"/>
      <c r="NE161" s="209"/>
      <c r="NF161" s="208"/>
      <c r="NG161" s="208"/>
      <c r="NH161" s="208"/>
      <c r="NI161" s="1313"/>
      <c r="NJ161" s="209"/>
      <c r="NK161" s="208"/>
      <c r="NL161" s="208"/>
      <c r="NM161" s="208"/>
      <c r="NN161" s="1313"/>
      <c r="NO161" s="357"/>
      <c r="NP161" s="358"/>
      <c r="NQ161" s="359"/>
      <c r="NR161" s="208"/>
      <c r="NS161" s="1313"/>
      <c r="NT161" s="357"/>
      <c r="NU161" s="358"/>
      <c r="NV161" s="358"/>
      <c r="NW161" s="208"/>
      <c r="NX161" s="1313"/>
      <c r="NY161" s="357"/>
      <c r="NZ161" s="358"/>
      <c r="OA161" s="358"/>
      <c r="OB161" s="622"/>
      <c r="OC161" s="116"/>
      <c r="OD161" s="191"/>
      <c r="OE161" s="358"/>
      <c r="OF161" s="358"/>
      <c r="OG161" s="358"/>
      <c r="OH161" s="220"/>
      <c r="OI161" s="1863"/>
      <c r="OJ161" s="105"/>
      <c r="OK161" s="105"/>
      <c r="OL161" s="105"/>
      <c r="OM161" s="106"/>
      <c r="ON161" s="358"/>
      <c r="OO161" s="358"/>
      <c r="OP161" s="358"/>
      <c r="OQ161" s="359"/>
      <c r="OR161" s="169"/>
      <c r="OS161" s="686"/>
      <c r="OT161" s="146"/>
      <c r="OU161" s="146"/>
      <c r="OV161" s="1864"/>
      <c r="OW161" s="203"/>
      <c r="OX161" s="357"/>
      <c r="OY161" s="358"/>
      <c r="OZ161" s="358"/>
      <c r="PA161" s="359"/>
      <c r="PB161" s="114"/>
      <c r="PC161" s="79"/>
      <c r="PD161" s="439"/>
      <c r="PE161" s="208"/>
      <c r="PF161" s="208"/>
      <c r="PG161" s="96"/>
      <c r="PH161" s="78"/>
      <c r="PI161" s="401"/>
      <c r="PJ161" s="395"/>
      <c r="PK161" s="395"/>
      <c r="PL161" s="96"/>
      <c r="PM161" s="78"/>
      <c r="PN161" s="439"/>
      <c r="PO161" s="208"/>
      <c r="PP161" s="358"/>
      <c r="PQ161" s="371"/>
      <c r="PR161" s="157"/>
      <c r="PS161" s="354"/>
      <c r="PT161" s="208"/>
      <c r="PU161" s="358"/>
      <c r="PV161" s="371"/>
      <c r="PW161" s="157"/>
      <c r="PX161" s="1579"/>
      <c r="PY161" s="264"/>
      <c r="PZ161" s="264"/>
      <c r="QA161" s="1248"/>
      <c r="QB161" s="597"/>
      <c r="QC161" s="209"/>
      <c r="QD161" s="208"/>
      <c r="QE161" s="208"/>
      <c r="QF161" s="208"/>
      <c r="QG161" s="655"/>
      <c r="QH161" s="439"/>
      <c r="QI161" s="208"/>
      <c r="QJ161" s="208"/>
      <c r="QK161" s="208"/>
      <c r="QL161" s="1313"/>
      <c r="QM161" s="439"/>
      <c r="QN161" s="208"/>
      <c r="QO161" s="208"/>
      <c r="QP161" s="208"/>
      <c r="QQ161" s="801"/>
      <c r="QR161" s="209"/>
      <c r="QS161" s="208"/>
      <c r="QT161" s="208"/>
      <c r="QU161" s="208"/>
      <c r="QV161" s="157"/>
      <c r="QW161" s="209"/>
      <c r="QX161" s="208"/>
      <c r="QY161" s="208"/>
      <c r="QZ161" s="208"/>
      <c r="RA161" s="2083"/>
      <c r="RB161" s="209"/>
      <c r="RC161" s="208"/>
      <c r="RD161" s="208"/>
      <c r="RE161" s="208"/>
      <c r="RF161" s="114"/>
      <c r="RG161" s="1857"/>
      <c r="RH161" s="208"/>
      <c r="RI161" s="208"/>
      <c r="RJ161" s="772"/>
      <c r="RK161" s="116"/>
      <c r="RL161" s="1567"/>
      <c r="RM161" s="1568"/>
      <c r="RN161" s="1568"/>
      <c r="RO161" s="1568"/>
      <c r="RP161" s="220"/>
      <c r="RQ161" s="1863"/>
      <c r="RR161" s="105"/>
      <c r="RS161" s="105"/>
      <c r="RT161" s="105"/>
      <c r="RU161" s="106"/>
      <c r="RV161" s="358"/>
      <c r="RW161" s="358"/>
      <c r="RX161" s="358"/>
      <c r="RY161" s="359"/>
      <c r="RZ161" s="169"/>
      <c r="SA161" s="686"/>
      <c r="SB161" s="146"/>
      <c r="SC161" s="146"/>
      <c r="SD161" s="1864"/>
      <c r="SE161" s="203"/>
      <c r="SF161" s="1567"/>
      <c r="SG161" s="358"/>
      <c r="SH161" s="358"/>
      <c r="SI161" s="359"/>
      <c r="SJ161" s="114"/>
      <c r="SL161" s="439"/>
      <c r="SM161" s="208"/>
      <c r="SN161" s="208"/>
      <c r="SO161" s="96"/>
      <c r="SP161" s="78"/>
      <c r="SQ161" s="439">
        <v>1</v>
      </c>
      <c r="SR161" s="208">
        <v>12740</v>
      </c>
      <c r="SS161" s="208">
        <v>21774</v>
      </c>
      <c r="ST161" s="115">
        <f>SS161-SR161</f>
        <v>9034</v>
      </c>
      <c r="SU161" s="1498">
        <f>ST161/SS161</f>
        <v>0.41489850280150636</v>
      </c>
      <c r="SV161" s="401">
        <v>1</v>
      </c>
      <c r="SW161" s="395">
        <v>41667</v>
      </c>
      <c r="SX161" s="622">
        <v>75000</v>
      </c>
      <c r="SY161" s="372">
        <f>SX161-SW161</f>
        <v>33333</v>
      </c>
      <c r="SZ161" s="207">
        <f>SY161/SX161</f>
        <v>0.44444</v>
      </c>
      <c r="TA161" s="354">
        <v>1</v>
      </c>
      <c r="TB161" s="208">
        <v>40386</v>
      </c>
      <c r="TC161" s="358">
        <v>75000</v>
      </c>
      <c r="TD161" s="96">
        <f>TC161-TB161</f>
        <v>34614</v>
      </c>
      <c r="TE161" s="94">
        <f>TD161/TC161</f>
        <v>0.46151999999999999</v>
      </c>
      <c r="TF161" s="354">
        <v>1</v>
      </c>
      <c r="TG161" s="208">
        <v>41667</v>
      </c>
      <c r="TH161" s="208">
        <v>75000</v>
      </c>
      <c r="TI161" s="395">
        <f t="shared" si="480"/>
        <v>33333</v>
      </c>
      <c r="TJ161" s="114">
        <f t="shared" si="661"/>
        <v>0.44444</v>
      </c>
      <c r="TK161" s="209">
        <v>1</v>
      </c>
      <c r="TL161" s="208">
        <v>41667</v>
      </c>
      <c r="TM161" s="208">
        <v>75000</v>
      </c>
      <c r="TN161" s="395">
        <f>TM161-TL161</f>
        <v>33333</v>
      </c>
      <c r="TO161" s="114">
        <f t="shared" si="650"/>
        <v>0.44444</v>
      </c>
      <c r="TP161" s="4432" t="s">
        <v>238</v>
      </c>
      <c r="TQ161" s="208">
        <v>40386</v>
      </c>
      <c r="TR161" s="208">
        <v>72000</v>
      </c>
      <c r="TS161" s="994">
        <f>TR161-TQ161</f>
        <v>31614</v>
      </c>
      <c r="TT161" s="114">
        <f>TS161/TR161</f>
        <v>0.43908333333333333</v>
      </c>
      <c r="TU161" s="4432">
        <v>1</v>
      </c>
      <c r="TV161" s="208">
        <v>40343</v>
      </c>
      <c r="TW161" s="208">
        <v>72000</v>
      </c>
      <c r="TX161" s="994">
        <f>TW161-TV161</f>
        <v>31657</v>
      </c>
      <c r="TY161" s="116">
        <f>TX161/TW161</f>
        <v>0.43968055555555557</v>
      </c>
      <c r="TZ161" s="1318">
        <v>2</v>
      </c>
      <c r="UA161" s="395">
        <v>101103</v>
      </c>
      <c r="UB161" s="395">
        <v>141677</v>
      </c>
      <c r="UC161" s="772">
        <f>UB161-UA161</f>
        <v>40574</v>
      </c>
      <c r="UD161" s="116">
        <f>UC161/UB161</f>
        <v>0.28638381670983998</v>
      </c>
      <c r="UE161" s="6505">
        <v>2</v>
      </c>
      <c r="UF161" s="6506">
        <v>103019</v>
      </c>
      <c r="UG161" s="6506">
        <v>144000</v>
      </c>
      <c r="UH161" s="1575">
        <f t="shared" si="569"/>
        <v>40981</v>
      </c>
      <c r="UI161" s="1867">
        <f t="shared" si="654"/>
        <v>0.28459027777777779</v>
      </c>
      <c r="UJ161" s="209"/>
      <c r="UK161" s="208"/>
      <c r="UL161" s="208"/>
      <c r="UM161" s="208"/>
      <c r="UN161" s="114"/>
      <c r="UO161" s="1567"/>
      <c r="UP161" s="1568"/>
      <c r="UQ161" s="1568"/>
      <c r="UR161" s="1873"/>
      <c r="US161" s="116"/>
      <c r="UT161" s="1567"/>
      <c r="UU161" s="358">
        <f>UP161+UK161+UF161+UA161+TV161+TQ161+TL161+TG161+TB161+SW161+SR161+SM161</f>
        <v>462978</v>
      </c>
      <c r="UV161" s="358">
        <f>UQ161+UL161+UG161+UB161+TW161+TR161+TM161+TH161+TC161+SX161+SS161+SN161</f>
        <v>751451</v>
      </c>
      <c r="UW161" s="358">
        <f>UR161+UM161+UH161+UC161+TX161+TS161+TN161+TI161+TD161+SY161+ST161+SO161</f>
        <v>288473</v>
      </c>
      <c r="UX161" s="220">
        <f t="shared" si="575"/>
        <v>0.3838879714046558</v>
      </c>
      <c r="UY161" s="1863">
        <f>(SL161+SQ161+SV161)/3</f>
        <v>0.66666666666666663</v>
      </c>
      <c r="UZ161" s="105">
        <f>SM161+SR161+SW161</f>
        <v>54407</v>
      </c>
      <c r="VA161" s="105">
        <f>SN161+SS161+SX161</f>
        <v>96774</v>
      </c>
      <c r="VB161" s="105">
        <f>SO161+ST161+SY161</f>
        <v>42367</v>
      </c>
      <c r="VC161" s="106">
        <f>VB161/VA161</f>
        <v>0.43779320891975115</v>
      </c>
      <c r="VD161" s="358"/>
      <c r="VE161" s="358">
        <f>TB161+TG161+TL161</f>
        <v>123720</v>
      </c>
      <c r="VF161" s="358">
        <f>TC161+TH161+TM161</f>
        <v>225000</v>
      </c>
      <c r="VG161" s="359">
        <f>TD161+TI161+TN161</f>
        <v>101280</v>
      </c>
      <c r="VH161" s="169">
        <f>VG161/VF161</f>
        <v>0.45013333333333333</v>
      </c>
      <c r="VI161" s="686"/>
      <c r="VJ161" s="146">
        <f>UA161+TV161+TQ161</f>
        <v>181832</v>
      </c>
      <c r="VK161" s="146">
        <f>UB161+TW161+TR161</f>
        <v>285677</v>
      </c>
      <c r="VL161" s="1864">
        <f>UC161+TX161+TS161</f>
        <v>103845</v>
      </c>
      <c r="VM161" s="203"/>
      <c r="VN161" s="1567"/>
      <c r="VO161" s="358"/>
      <c r="VP161" s="358"/>
      <c r="VQ161" s="359"/>
      <c r="VR161" s="114"/>
    </row>
    <row r="162" spans="1:592" s="1193" customFormat="1" ht="13.45" x14ac:dyDescent="0.3">
      <c r="A162" s="1297"/>
      <c r="B162" s="2644"/>
      <c r="C162" s="2636"/>
      <c r="D162" s="1992"/>
      <c r="E162" s="2591"/>
      <c r="F162" s="2591"/>
      <c r="G162" s="1994"/>
      <c r="H162" s="2093"/>
      <c r="I162" s="2094"/>
      <c r="J162" s="2094"/>
      <c r="K162" s="2094"/>
      <c r="L162" s="2095"/>
      <c r="M162" s="2093"/>
      <c r="N162" s="2094"/>
      <c r="O162" s="2094"/>
      <c r="P162" s="2094"/>
      <c r="Q162" s="2095"/>
      <c r="R162" s="2093"/>
      <c r="S162" s="2094"/>
      <c r="T162" s="2094"/>
      <c r="U162" s="2094"/>
      <c r="V162" s="2095"/>
      <c r="W162" s="2093"/>
      <c r="X162" s="2094"/>
      <c r="Y162" s="2094"/>
      <c r="Z162" s="2094"/>
      <c r="AA162" s="2096"/>
      <c r="AB162" s="2093"/>
      <c r="AC162" s="2094"/>
      <c r="AD162" s="2094"/>
      <c r="AE162" s="2094"/>
      <c r="AF162" s="2096"/>
      <c r="AG162" s="2094"/>
      <c r="AH162" s="2094"/>
      <c r="AI162" s="2094"/>
      <c r="AJ162" s="2094"/>
      <c r="AK162" s="2095"/>
      <c r="AL162" s="2094"/>
      <c r="AM162" s="2094"/>
      <c r="AN162" s="2094"/>
      <c r="AO162" s="2094"/>
      <c r="AP162" s="2095"/>
      <c r="AQ162" s="2094"/>
      <c r="AR162" s="2094"/>
      <c r="AS162" s="2094"/>
      <c r="AT162" s="2094"/>
      <c r="AU162" s="2095"/>
      <c r="AV162" s="2097"/>
      <c r="AW162" s="2094"/>
      <c r="AX162" s="2094"/>
      <c r="AY162" s="2094"/>
      <c r="AZ162" s="2096"/>
      <c r="BA162" s="2097"/>
      <c r="BB162" s="2094"/>
      <c r="BC162" s="2094"/>
      <c r="BD162" s="2094"/>
      <c r="BE162" s="2096"/>
      <c r="BF162" s="2097"/>
      <c r="BG162" s="2094"/>
      <c r="BH162" s="2094"/>
      <c r="BI162" s="2094"/>
      <c r="BJ162" s="2096"/>
      <c r="BK162" s="2097"/>
      <c r="BL162" s="2094"/>
      <c r="BM162" s="2094"/>
      <c r="BN162" s="2094"/>
      <c r="BO162" s="2096"/>
      <c r="BP162" s="2098"/>
      <c r="BQ162" s="2094"/>
      <c r="BR162" s="2094"/>
      <c r="BS162" s="2094"/>
      <c r="BT162" s="2099"/>
      <c r="BU162" s="2094"/>
      <c r="BV162" s="2094"/>
      <c r="BW162" s="2100"/>
      <c r="BX162" s="2099"/>
      <c r="BY162" s="2094"/>
      <c r="BZ162" s="2094"/>
      <c r="CA162" s="2101"/>
      <c r="CB162" s="2094"/>
      <c r="CC162" s="2094"/>
      <c r="CD162" s="2094"/>
      <c r="CE162" s="2094"/>
      <c r="CF162" s="2099"/>
      <c r="CG162" s="2094"/>
      <c r="CH162" s="2094"/>
      <c r="CI162" s="2101"/>
      <c r="CJ162" s="2102"/>
      <c r="CK162" s="2094"/>
      <c r="CL162" s="2094"/>
      <c r="CM162" s="2094"/>
      <c r="CN162" s="2100"/>
      <c r="CO162" s="2102"/>
      <c r="CP162" s="2093"/>
      <c r="CQ162" s="2093"/>
      <c r="CR162" s="2093"/>
      <c r="CS162" s="2100"/>
      <c r="CT162" s="2102"/>
      <c r="CU162" s="2094"/>
      <c r="CV162" s="2094"/>
      <c r="CW162" s="2094"/>
      <c r="CX162" s="2100"/>
      <c r="CY162" s="2102"/>
      <c r="CZ162" s="2094"/>
      <c r="DA162" s="2094"/>
      <c r="DB162" s="2094"/>
      <c r="DC162" s="2100"/>
      <c r="DD162" s="2102"/>
      <c r="DE162" s="2094"/>
      <c r="DF162" s="2094"/>
      <c r="DG162" s="2094"/>
      <c r="DH162" s="2103"/>
      <c r="DI162" s="2102"/>
      <c r="DJ162" s="2094"/>
      <c r="DK162" s="2094"/>
      <c r="DL162" s="2094"/>
      <c r="DM162" s="2103"/>
      <c r="DN162" s="2102"/>
      <c r="DO162" s="2094"/>
      <c r="DP162" s="2094"/>
      <c r="DQ162" s="2094"/>
      <c r="DR162" s="2103"/>
      <c r="DS162" s="2102"/>
      <c r="DT162" s="2094"/>
      <c r="DU162" s="2094"/>
      <c r="DV162" s="2094"/>
      <c r="DW162" s="2103"/>
      <c r="DX162" s="2102"/>
      <c r="DY162" s="2094"/>
      <c r="DZ162" s="2094"/>
      <c r="EA162" s="2094"/>
      <c r="EB162" s="2103"/>
      <c r="EC162" s="2102"/>
      <c r="ED162" s="2094"/>
      <c r="EE162" s="2094"/>
      <c r="EF162" s="2094"/>
      <c r="EG162" s="2103"/>
      <c r="EH162" s="2037"/>
      <c r="EI162" s="1914"/>
      <c r="EJ162" s="1914"/>
      <c r="EK162" s="1914"/>
      <c r="EL162" s="2038"/>
      <c r="EM162" s="1910"/>
      <c r="EN162" s="715"/>
      <c r="EO162" s="715"/>
      <c r="EP162" s="715"/>
      <c r="EQ162" s="366"/>
      <c r="ER162" s="2614"/>
      <c r="ES162" s="2615"/>
      <c r="ET162" s="2615"/>
      <c r="EU162" s="2615"/>
      <c r="EV162" s="144"/>
      <c r="EW162" s="2031"/>
      <c r="EX162" s="2031"/>
      <c r="EY162" s="2031"/>
      <c r="EZ162" s="593"/>
      <c r="FA162" s="2037"/>
      <c r="FB162" s="2031"/>
      <c r="FC162" s="2031"/>
      <c r="FD162" s="2036"/>
      <c r="FE162" s="2031"/>
      <c r="FF162" s="2031"/>
      <c r="FG162" s="2031"/>
      <c r="FH162" s="593"/>
      <c r="FI162" s="2039"/>
      <c r="FJ162" s="2040"/>
      <c r="FK162" s="2041"/>
      <c r="FL162" s="2041"/>
      <c r="FM162" s="693"/>
      <c r="FN162" s="2031"/>
      <c r="FO162" s="1914"/>
      <c r="FP162" s="1914"/>
      <c r="FQ162" s="1914"/>
      <c r="FR162" s="2032"/>
      <c r="FS162" s="1910"/>
      <c r="FT162" s="715"/>
      <c r="FU162" s="715"/>
      <c r="FV162" s="715"/>
      <c r="FW162" s="2109"/>
      <c r="FX162" s="2037"/>
      <c r="FY162" s="1914"/>
      <c r="FZ162" s="1914"/>
      <c r="GA162" s="715"/>
      <c r="GB162" s="2109"/>
      <c r="GC162" s="2110"/>
      <c r="GD162" s="2111"/>
      <c r="GE162" s="2111"/>
      <c r="GF162" s="715"/>
      <c r="GG162" s="366"/>
      <c r="GH162" s="2042"/>
      <c r="GI162" s="2043"/>
      <c r="GJ162" s="2043"/>
      <c r="GK162" s="2112"/>
      <c r="GL162" s="2109"/>
      <c r="GM162" s="2042"/>
      <c r="GN162" s="2043"/>
      <c r="GO162" s="2043"/>
      <c r="GP162" s="2112"/>
      <c r="GQ162" s="2109"/>
      <c r="GR162" s="1903"/>
      <c r="GS162" s="1904"/>
      <c r="GT162" s="1904"/>
      <c r="GU162" s="2112"/>
      <c r="GV162" s="2109"/>
      <c r="GW162" s="1903"/>
      <c r="GX162" s="1904"/>
      <c r="GY162" s="1904"/>
      <c r="GZ162" s="2112"/>
      <c r="HA162" s="2109"/>
      <c r="HB162" s="1903"/>
      <c r="HC162" s="1904"/>
      <c r="HD162" s="1904"/>
      <c r="HE162" s="2112"/>
      <c r="HF162" s="2109"/>
      <c r="HG162" s="1903"/>
      <c r="HH162" s="1904"/>
      <c r="HI162" s="1904"/>
      <c r="HJ162" s="2113"/>
      <c r="HK162" s="2109"/>
      <c r="HL162" s="1903"/>
      <c r="HM162" s="1904"/>
      <c r="HN162" s="1904"/>
      <c r="HO162" s="715"/>
      <c r="HP162" s="366"/>
      <c r="HQ162" s="2592"/>
      <c r="HR162" s="2118"/>
      <c r="HS162" s="2118"/>
      <c r="HT162" s="2118"/>
      <c r="HU162" s="2593"/>
      <c r="HV162" s="2624"/>
      <c r="HW162" s="435"/>
      <c r="HX162" s="435"/>
      <c r="HY162" s="435"/>
      <c r="HZ162" s="2625"/>
      <c r="IA162" s="1912"/>
      <c r="IB162" s="1908"/>
      <c r="IC162" s="1908"/>
      <c r="ID162" s="1909"/>
      <c r="IE162" s="1910"/>
      <c r="IF162" s="1911"/>
      <c r="IG162" s="1912"/>
      <c r="IH162" s="1909"/>
      <c r="II162" s="1907"/>
      <c r="IJ162" s="2116"/>
      <c r="IK162" s="2116"/>
      <c r="IL162" s="693"/>
      <c r="IM162" s="2117"/>
      <c r="IN162" s="2116"/>
      <c r="IO162" s="2116"/>
      <c r="IP162" s="1838"/>
      <c r="IQ162" s="1914"/>
      <c r="IR162" s="2044"/>
      <c r="IS162" s="2118"/>
      <c r="IT162" s="2118"/>
      <c r="IU162" s="2119"/>
      <c r="IV162" s="2120"/>
      <c r="IW162" s="2121"/>
      <c r="IX162" s="2122"/>
      <c r="IY162" s="2123"/>
      <c r="IZ162" s="2124"/>
      <c r="JA162" s="2125"/>
      <c r="JB162" s="2046"/>
      <c r="JC162" s="2047"/>
      <c r="JD162" s="2048"/>
      <c r="JE162" s="2124"/>
      <c r="JF162" s="2125"/>
      <c r="JG162" s="1988"/>
      <c r="JH162" s="2049"/>
      <c r="JI162" s="2049"/>
      <c r="JJ162" s="2126"/>
      <c r="JK162" s="2125"/>
      <c r="JL162" s="2127"/>
      <c r="JM162" s="2049"/>
      <c r="JN162" s="2049"/>
      <c r="JO162" s="2128"/>
      <c r="JP162" s="2125"/>
      <c r="JQ162" s="2129"/>
      <c r="JR162" s="2130"/>
      <c r="JS162" s="1904"/>
      <c r="JT162" s="2413"/>
      <c r="JU162" s="2132"/>
      <c r="JV162" s="1849"/>
      <c r="JW162" s="1119"/>
      <c r="JX162" s="1850"/>
      <c r="JY162" s="1850"/>
      <c r="JZ162" s="2125"/>
      <c r="KA162" s="1849"/>
      <c r="KB162" s="1850"/>
      <c r="KC162" s="1850"/>
      <c r="KD162" s="1108"/>
      <c r="KE162" s="2133"/>
      <c r="KF162" s="1849"/>
      <c r="KG162" s="1850"/>
      <c r="KH162" s="1850"/>
      <c r="KI162" s="2124"/>
      <c r="KJ162" s="2125"/>
      <c r="KK162" s="1849"/>
      <c r="KL162" s="1850"/>
      <c r="KM162" s="1850"/>
      <c r="KN162" s="2134"/>
      <c r="KO162" s="2135"/>
      <c r="KP162" s="2596"/>
      <c r="KQ162" s="1119"/>
      <c r="KR162" s="1850"/>
      <c r="KS162" s="2597"/>
      <c r="KT162" s="2598"/>
      <c r="KU162" s="2138"/>
      <c r="KV162" s="1850"/>
      <c r="KW162" s="1850"/>
      <c r="KX162" s="1850"/>
      <c r="KY162" s="81"/>
      <c r="KZ162" s="1857"/>
      <c r="LA162" s="358"/>
      <c r="LB162" s="358"/>
      <c r="LC162" s="358"/>
      <c r="LD162" s="151"/>
      <c r="LE162" s="2139"/>
      <c r="LF162" s="2140"/>
      <c r="LG162" s="2140"/>
      <c r="LH162" s="2141"/>
      <c r="LI162" s="2142"/>
      <c r="LJ162" s="2143"/>
      <c r="LK162" s="2139"/>
      <c r="LL162" s="2141"/>
      <c r="LM162" s="1859"/>
      <c r="LN162" s="1727"/>
      <c r="LO162" s="1727"/>
      <c r="LP162" s="151"/>
      <c r="LQ162" s="1860"/>
      <c r="LR162" s="1727"/>
      <c r="LS162" s="1727"/>
      <c r="LT162" s="1861"/>
      <c r="LV162" s="2599"/>
      <c r="LW162" s="2198"/>
      <c r="LX162" s="2198"/>
      <c r="LY162" s="700"/>
      <c r="LZ162" s="2600"/>
      <c r="MA162" s="1903"/>
      <c r="MB162" s="1904"/>
      <c r="MC162" s="1904"/>
      <c r="MD162" s="2601"/>
      <c r="ME162" s="81"/>
      <c r="MF162" s="404"/>
      <c r="MG162" s="435"/>
      <c r="MH162" s="435"/>
      <c r="MI162" s="227"/>
      <c r="MJ162" s="1595"/>
      <c r="MK162" s="2152"/>
      <c r="ML162" s="435"/>
      <c r="MM162" s="435"/>
      <c r="MN162" s="2151"/>
      <c r="MO162" s="1595"/>
      <c r="MP162" s="2602"/>
      <c r="MQ162" s="1850"/>
      <c r="MR162" s="1850"/>
      <c r="MS162" s="1850"/>
      <c r="MT162" s="790"/>
      <c r="MU162" s="1596"/>
      <c r="MV162" s="435"/>
      <c r="MW162" s="435"/>
      <c r="MX162" s="435"/>
      <c r="MY162" s="790"/>
      <c r="MZ162" s="1596"/>
      <c r="NA162" s="435"/>
      <c r="NB162" s="435"/>
      <c r="NC162" s="435"/>
      <c r="ND162" s="790"/>
      <c r="NE162" s="1596"/>
      <c r="NF162" s="435"/>
      <c r="NG162" s="435"/>
      <c r="NH162" s="435"/>
      <c r="NI162" s="790"/>
      <c r="NJ162" s="1596"/>
      <c r="NK162" s="435"/>
      <c r="NL162" s="435"/>
      <c r="NM162" s="435"/>
      <c r="NN162" s="790"/>
      <c r="NO162" s="2633"/>
      <c r="NP162" s="1585"/>
      <c r="NQ162" s="1585"/>
      <c r="NR162" s="435"/>
      <c r="NS162" s="790"/>
      <c r="NT162" s="357"/>
      <c r="NU162" s="358"/>
      <c r="NV162" s="358"/>
      <c r="NW162" s="435"/>
      <c r="NX162" s="790"/>
      <c r="NY162" s="357"/>
      <c r="NZ162" s="358"/>
      <c r="OA162" s="358"/>
      <c r="OB162" s="772"/>
      <c r="OC162" s="659"/>
      <c r="OD162" s="197"/>
      <c r="OE162" s="1585"/>
      <c r="OF162" s="1585"/>
      <c r="OG162" s="1585"/>
      <c r="OH162" s="1600"/>
      <c r="OI162" s="1868"/>
      <c r="OJ162" s="105"/>
      <c r="OK162" s="1575"/>
      <c r="OL162" s="1575"/>
      <c r="OM162" s="375"/>
      <c r="ON162" s="358"/>
      <c r="OO162" s="358"/>
      <c r="OP162" s="358"/>
      <c r="OQ162" s="359"/>
      <c r="OR162" s="169"/>
      <c r="OS162" s="686"/>
      <c r="OT162" s="146"/>
      <c r="OU162" s="146"/>
      <c r="OV162" s="1864"/>
      <c r="OW162" s="203"/>
      <c r="OX162" s="2633"/>
      <c r="OY162" s="1585"/>
      <c r="OZ162" s="1585"/>
      <c r="PA162" s="2634"/>
      <c r="PB162" s="117"/>
      <c r="PC162" s="79"/>
      <c r="PD162" s="439"/>
      <c r="PE162" s="208"/>
      <c r="PF162" s="208"/>
      <c r="PG162" s="96"/>
      <c r="PH162" s="78"/>
      <c r="PI162" s="1903"/>
      <c r="PJ162" s="1904"/>
      <c r="PK162" s="1904"/>
      <c r="PL162" s="2601"/>
      <c r="PM162" s="81"/>
      <c r="PN162" s="404"/>
      <c r="PO162" s="435"/>
      <c r="PP162" s="435"/>
      <c r="PQ162" s="227"/>
      <c r="PR162" s="1595"/>
      <c r="PS162" s="2460"/>
      <c r="PT162" s="2150"/>
      <c r="PU162" s="2150"/>
      <c r="PV162" s="2638"/>
      <c r="PW162" s="2639"/>
      <c r="PX162" s="2602"/>
      <c r="PY162" s="1850"/>
      <c r="PZ162" s="1850"/>
      <c r="QA162" s="1850"/>
      <c r="QB162" s="790"/>
      <c r="QC162" s="2635"/>
      <c r="QD162" s="2150"/>
      <c r="QE162" s="2150"/>
      <c r="QF162" s="1575"/>
      <c r="QG162" s="1869"/>
      <c r="QH162" s="404"/>
      <c r="QI162" s="2150"/>
      <c r="QJ162" s="2150"/>
      <c r="QK162" s="1575"/>
      <c r="QL162" s="1869"/>
      <c r="QM162" s="440"/>
      <c r="QN162" s="435"/>
      <c r="QO162" s="435"/>
      <c r="QP162" s="435"/>
      <c r="QQ162" s="790"/>
      <c r="QR162" s="1596"/>
      <c r="QS162" s="435"/>
      <c r="QT162" s="435"/>
      <c r="QU162" s="208"/>
      <c r="QV162" s="98"/>
      <c r="QW162" s="209"/>
      <c r="QX162" s="208"/>
      <c r="QY162" s="994"/>
      <c r="QZ162" s="208"/>
      <c r="RA162" s="1872"/>
      <c r="RB162" s="357"/>
      <c r="RC162" s="358"/>
      <c r="RD162" s="358"/>
      <c r="RE162" s="208"/>
      <c r="RF162" s="1313"/>
      <c r="RG162" s="1857"/>
      <c r="RH162" s="358"/>
      <c r="RI162" s="358"/>
      <c r="RJ162" s="772"/>
      <c r="RK162" s="2645"/>
      <c r="RL162" s="3714"/>
      <c r="RM162" s="1568">
        <f t="shared" si="658"/>
        <v>0</v>
      </c>
      <c r="RN162" s="1568">
        <f t="shared" si="658"/>
        <v>0</v>
      </c>
      <c r="RO162" s="1568">
        <f t="shared" si="658"/>
        <v>0</v>
      </c>
      <c r="RP162" s="2281">
        <v>0</v>
      </c>
      <c r="RQ162" s="1863">
        <f t="shared" si="553"/>
        <v>0</v>
      </c>
      <c r="RR162" s="105">
        <f t="shared" si="665"/>
        <v>0</v>
      </c>
      <c r="RS162" s="105">
        <f t="shared" si="665"/>
        <v>0</v>
      </c>
      <c r="RT162" s="105">
        <f t="shared" si="665"/>
        <v>0</v>
      </c>
      <c r="RU162" s="106"/>
      <c r="RV162" s="358"/>
      <c r="RW162" s="358"/>
      <c r="RX162" s="358"/>
      <c r="RY162" s="359"/>
      <c r="RZ162" s="169"/>
      <c r="SA162" s="686">
        <f>(QR162+QM162+QH162)/3</f>
        <v>0</v>
      </c>
      <c r="SB162" s="146">
        <f t="shared" si="659"/>
        <v>0</v>
      </c>
      <c r="SC162" s="146">
        <f t="shared" si="659"/>
        <v>0</v>
      </c>
      <c r="SD162" s="1864">
        <f t="shared" si="659"/>
        <v>0</v>
      </c>
      <c r="SE162" s="203"/>
      <c r="SF162" s="197"/>
      <c r="SG162" s="358">
        <f t="shared" si="660"/>
        <v>0</v>
      </c>
      <c r="SH162" s="358">
        <f t="shared" si="660"/>
        <v>0</v>
      </c>
      <c r="SI162" s="359">
        <f t="shared" si="660"/>
        <v>0</v>
      </c>
      <c r="SJ162" s="117"/>
      <c r="SL162" s="405"/>
      <c r="SM162" s="1575"/>
      <c r="SN162" s="1575"/>
      <c r="SO162" s="3523"/>
      <c r="SP162" s="3525"/>
      <c r="SQ162" s="2445"/>
      <c r="SR162" s="2001"/>
      <c r="SS162" s="2001"/>
      <c r="ST162" s="3523"/>
      <c r="SU162" s="222"/>
      <c r="SV162" s="440"/>
      <c r="SW162" s="435"/>
      <c r="SX162" s="1584"/>
      <c r="SY162" s="2146"/>
      <c r="SZ162" s="225"/>
      <c r="TA162" s="2152"/>
      <c r="TB162" s="435"/>
      <c r="TC162" s="1584"/>
      <c r="TD162" s="96"/>
      <c r="TE162" s="94"/>
      <c r="TF162" s="354"/>
      <c r="TG162" s="208"/>
      <c r="TH162" s="208"/>
      <c r="TI162" s="208"/>
      <c r="TJ162" s="114"/>
      <c r="TK162" s="2635"/>
      <c r="TL162" s="2150"/>
      <c r="TM162" s="2150"/>
      <c r="TN162" s="208">
        <f t="shared" si="649"/>
        <v>0</v>
      </c>
      <c r="TO162" s="114"/>
      <c r="TP162" s="4516"/>
      <c r="TQ162" s="2150"/>
      <c r="TR162" s="2150"/>
      <c r="TS162" s="994">
        <f t="shared" si="651"/>
        <v>0</v>
      </c>
      <c r="TT162" s="114"/>
      <c r="TU162" s="4432"/>
      <c r="TV162" s="208"/>
      <c r="TW162" s="208"/>
      <c r="TX162" s="994">
        <f t="shared" si="567"/>
        <v>0</v>
      </c>
      <c r="TY162" s="2155">
        <v>0</v>
      </c>
      <c r="TZ162" s="2635"/>
      <c r="UA162" s="2150"/>
      <c r="UB162" s="2150">
        <v>0</v>
      </c>
      <c r="UC162" s="2552">
        <f t="shared" si="568"/>
        <v>0</v>
      </c>
      <c r="UD162" s="5261">
        <v>0</v>
      </c>
      <c r="UE162" s="6505"/>
      <c r="UF162" s="6506">
        <v>0</v>
      </c>
      <c r="UG162" s="6506">
        <v>0</v>
      </c>
      <c r="UH162" s="1575">
        <f t="shared" si="569"/>
        <v>0</v>
      </c>
      <c r="UI162" s="6508">
        <v>0</v>
      </c>
      <c r="UJ162" s="357"/>
      <c r="UK162" s="358"/>
      <c r="UL162" s="358"/>
      <c r="UM162" s="208"/>
      <c r="UN162" s="1313"/>
      <c r="UO162" s="1567"/>
      <c r="UP162" s="1568"/>
      <c r="UQ162" s="1568"/>
      <c r="UR162" s="2012">
        <f t="shared" si="572"/>
        <v>0</v>
      </c>
      <c r="US162" s="2645">
        <v>0</v>
      </c>
      <c r="UT162" s="197"/>
      <c r="UU162" s="358">
        <f t="shared" si="655"/>
        <v>0</v>
      </c>
      <c r="UV162" s="358">
        <f t="shared" si="655"/>
        <v>0</v>
      </c>
      <c r="UW162" s="358">
        <f t="shared" si="655"/>
        <v>0</v>
      </c>
      <c r="UX162" s="220"/>
      <c r="UY162" s="1863"/>
      <c r="UZ162" s="105">
        <f t="shared" si="662"/>
        <v>0</v>
      </c>
      <c r="VA162" s="105">
        <f t="shared" si="662"/>
        <v>0</v>
      </c>
      <c r="VB162" s="105">
        <f t="shared" si="662"/>
        <v>0</v>
      </c>
      <c r="VC162" s="106">
        <v>0</v>
      </c>
      <c r="VD162" s="358"/>
      <c r="VE162" s="358">
        <f t="shared" si="656"/>
        <v>0</v>
      </c>
      <c r="VF162" s="358">
        <f t="shared" si="656"/>
        <v>0</v>
      </c>
      <c r="VG162" s="359">
        <f t="shared" si="656"/>
        <v>0</v>
      </c>
      <c r="VH162" s="169" t="e">
        <f t="shared" si="580"/>
        <v>#DIV/0!</v>
      </c>
      <c r="VI162" s="686"/>
      <c r="VJ162" s="146">
        <f t="shared" si="663"/>
        <v>0</v>
      </c>
      <c r="VK162" s="146">
        <f t="shared" si="663"/>
        <v>0</v>
      </c>
      <c r="VL162" s="1864">
        <f t="shared" si="663"/>
        <v>0</v>
      </c>
      <c r="VM162" s="203"/>
      <c r="VN162" s="803"/>
      <c r="VO162" s="358">
        <f t="shared" si="664"/>
        <v>0</v>
      </c>
      <c r="VP162" s="358">
        <f t="shared" si="664"/>
        <v>0</v>
      </c>
      <c r="VQ162" s="359">
        <f t="shared" si="664"/>
        <v>0</v>
      </c>
      <c r="VR162" s="117"/>
    </row>
    <row r="163" spans="1:592" s="1193" customFormat="1" ht="13.45" x14ac:dyDescent="0.3">
      <c r="A163" s="1297"/>
      <c r="B163" s="2646"/>
      <c r="C163" s="2647"/>
      <c r="D163" s="2454"/>
      <c r="E163" s="2648"/>
      <c r="F163" s="2648"/>
      <c r="G163" s="2456"/>
      <c r="H163" s="2093"/>
      <c r="I163" s="2094"/>
      <c r="J163" s="2094"/>
      <c r="K163" s="2094"/>
      <c r="L163" s="2095"/>
      <c r="M163" s="2093"/>
      <c r="N163" s="2094"/>
      <c r="O163" s="2094"/>
      <c r="P163" s="2094"/>
      <c r="Q163" s="2095"/>
      <c r="R163" s="2093"/>
      <c r="S163" s="2094"/>
      <c r="T163" s="2094"/>
      <c r="U163" s="2094"/>
      <c r="V163" s="2095"/>
      <c r="W163" s="2093"/>
      <c r="X163" s="2094"/>
      <c r="Y163" s="2094"/>
      <c r="Z163" s="2094"/>
      <c r="AA163" s="2096"/>
      <c r="AB163" s="2093"/>
      <c r="AC163" s="2094"/>
      <c r="AD163" s="2094"/>
      <c r="AE163" s="2094"/>
      <c r="AF163" s="2096"/>
      <c r="AG163" s="2094"/>
      <c r="AH163" s="2094"/>
      <c r="AI163" s="2094"/>
      <c r="AJ163" s="2094"/>
      <c r="AK163" s="2095"/>
      <c r="AL163" s="2094"/>
      <c r="AM163" s="2094"/>
      <c r="AN163" s="2094"/>
      <c r="AO163" s="2094"/>
      <c r="AP163" s="2095"/>
      <c r="AQ163" s="2094"/>
      <c r="AR163" s="2094"/>
      <c r="AS163" s="2094"/>
      <c r="AT163" s="2094"/>
      <c r="AU163" s="2095"/>
      <c r="AV163" s="2097"/>
      <c r="AW163" s="2094"/>
      <c r="AX163" s="2094"/>
      <c r="AY163" s="2094"/>
      <c r="AZ163" s="2096"/>
      <c r="BA163" s="2097"/>
      <c r="BB163" s="2094"/>
      <c r="BC163" s="2094"/>
      <c r="BD163" s="2094"/>
      <c r="BE163" s="2096"/>
      <c r="BF163" s="2097"/>
      <c r="BG163" s="2094"/>
      <c r="BH163" s="2094"/>
      <c r="BI163" s="2094"/>
      <c r="BJ163" s="2096"/>
      <c r="BK163" s="2097"/>
      <c r="BL163" s="2094"/>
      <c r="BM163" s="2094"/>
      <c r="BN163" s="2094"/>
      <c r="BO163" s="2096"/>
      <c r="BP163" s="2098"/>
      <c r="BQ163" s="2094"/>
      <c r="BR163" s="2094"/>
      <c r="BS163" s="2094"/>
      <c r="BT163" s="2099"/>
      <c r="BU163" s="2094"/>
      <c r="BV163" s="2094"/>
      <c r="BW163" s="2100"/>
      <c r="BX163" s="2099"/>
      <c r="BY163" s="2094"/>
      <c r="BZ163" s="2094"/>
      <c r="CA163" s="2101"/>
      <c r="CB163" s="2094"/>
      <c r="CC163" s="2094"/>
      <c r="CD163" s="2094"/>
      <c r="CE163" s="2094"/>
      <c r="CF163" s="2099"/>
      <c r="CG163" s="2094"/>
      <c r="CH163" s="2094"/>
      <c r="CI163" s="2101"/>
      <c r="CJ163" s="2102"/>
      <c r="CK163" s="2094"/>
      <c r="CL163" s="2094"/>
      <c r="CM163" s="2094"/>
      <c r="CN163" s="2100"/>
      <c r="CO163" s="2102"/>
      <c r="CP163" s="2093"/>
      <c r="CQ163" s="2093"/>
      <c r="CR163" s="2093"/>
      <c r="CS163" s="2100"/>
      <c r="CT163" s="2102"/>
      <c r="CU163" s="2094"/>
      <c r="CV163" s="2094"/>
      <c r="CW163" s="2094"/>
      <c r="CX163" s="2100"/>
      <c r="CY163" s="2102"/>
      <c r="CZ163" s="2094"/>
      <c r="DA163" s="2094"/>
      <c r="DB163" s="2094"/>
      <c r="DC163" s="2100"/>
      <c r="DD163" s="2102"/>
      <c r="DE163" s="2094"/>
      <c r="DF163" s="2094"/>
      <c r="DG163" s="2094"/>
      <c r="DH163" s="2103"/>
      <c r="DI163" s="2102"/>
      <c r="DJ163" s="2094"/>
      <c r="DK163" s="2094"/>
      <c r="DL163" s="2094"/>
      <c r="DM163" s="2103"/>
      <c r="DN163" s="2102"/>
      <c r="DO163" s="2094"/>
      <c r="DP163" s="2094"/>
      <c r="DQ163" s="2094"/>
      <c r="DR163" s="2103"/>
      <c r="DS163" s="2102"/>
      <c r="DT163" s="2094"/>
      <c r="DU163" s="2094"/>
      <c r="DV163" s="2094"/>
      <c r="DW163" s="2103"/>
      <c r="DX163" s="2102"/>
      <c r="DY163" s="2094"/>
      <c r="DZ163" s="2094"/>
      <c r="EA163" s="2094"/>
      <c r="EB163" s="2103"/>
      <c r="EC163" s="2102"/>
      <c r="ED163" s="2094"/>
      <c r="EE163" s="2094"/>
      <c r="EF163" s="2094"/>
      <c r="EG163" s="2103"/>
      <c r="EH163" s="2037"/>
      <c r="EI163" s="1914"/>
      <c r="EJ163" s="1914"/>
      <c r="EK163" s="1914"/>
      <c r="EL163" s="2038"/>
      <c r="EM163" s="1910"/>
      <c r="EN163" s="715"/>
      <c r="EO163" s="715"/>
      <c r="EP163" s="715"/>
      <c r="EQ163" s="366"/>
      <c r="ER163" s="2457"/>
      <c r="ES163" s="2458"/>
      <c r="ET163" s="2458"/>
      <c r="EU163" s="2458"/>
      <c r="EV163" s="2459"/>
      <c r="EW163" s="2031"/>
      <c r="EX163" s="2031"/>
      <c r="EY163" s="2031"/>
      <c r="EZ163" s="593"/>
      <c r="FA163" s="2037"/>
      <c r="FB163" s="2031"/>
      <c r="FC163" s="2031"/>
      <c r="FD163" s="2036"/>
      <c r="FE163" s="2031"/>
      <c r="FF163" s="2031"/>
      <c r="FG163" s="2031"/>
      <c r="FH163" s="593"/>
      <c r="FI163" s="2039"/>
      <c r="FJ163" s="2040"/>
      <c r="FK163" s="2041"/>
      <c r="FL163" s="2041"/>
      <c r="FM163" s="693"/>
      <c r="FN163" s="2031"/>
      <c r="FO163" s="1914"/>
      <c r="FP163" s="1914"/>
      <c r="FQ163" s="1914"/>
      <c r="FR163" s="2032"/>
      <c r="FS163" s="1910"/>
      <c r="FT163" s="715"/>
      <c r="FU163" s="715"/>
      <c r="FV163" s="715"/>
      <c r="FW163" s="2109"/>
      <c r="FX163" s="2037"/>
      <c r="FY163" s="1914"/>
      <c r="FZ163" s="1914"/>
      <c r="GA163" s="715"/>
      <c r="GB163" s="2109"/>
      <c r="GC163" s="2110"/>
      <c r="GD163" s="2111"/>
      <c r="GE163" s="2111"/>
      <c r="GF163" s="715"/>
      <c r="GG163" s="366"/>
      <c r="GH163" s="2042"/>
      <c r="GI163" s="2043"/>
      <c r="GJ163" s="2043"/>
      <c r="GK163" s="2112"/>
      <c r="GL163" s="2109"/>
      <c r="GM163" s="2042"/>
      <c r="GN163" s="2043"/>
      <c r="GO163" s="2043"/>
      <c r="GP163" s="2112"/>
      <c r="GQ163" s="2109"/>
      <c r="GR163" s="1903"/>
      <c r="GS163" s="1904"/>
      <c r="GT163" s="1904"/>
      <c r="GU163" s="2112"/>
      <c r="GV163" s="2109"/>
      <c r="GW163" s="1903"/>
      <c r="GX163" s="1904"/>
      <c r="GY163" s="1904"/>
      <c r="GZ163" s="2112"/>
      <c r="HA163" s="2109"/>
      <c r="HB163" s="1903"/>
      <c r="HC163" s="1904"/>
      <c r="HD163" s="1904"/>
      <c r="HE163" s="2112"/>
      <c r="HF163" s="2109"/>
      <c r="HG163" s="1903"/>
      <c r="HH163" s="1904"/>
      <c r="HI163" s="1904"/>
      <c r="HJ163" s="2113"/>
      <c r="HK163" s="2109"/>
      <c r="HL163" s="1903"/>
      <c r="HM163" s="1904"/>
      <c r="HN163" s="1904"/>
      <c r="HO163" s="715"/>
      <c r="HP163" s="366"/>
      <c r="HQ163" s="2592"/>
      <c r="HR163" s="2118"/>
      <c r="HS163" s="2118"/>
      <c r="HT163" s="2118"/>
      <c r="HU163" s="2593"/>
      <c r="HV163" s="2649"/>
      <c r="HW163" s="436"/>
      <c r="HX163" s="436"/>
      <c r="HY163" s="436"/>
      <c r="HZ163" s="2650"/>
      <c r="IA163" s="1912"/>
      <c r="IB163" s="1908"/>
      <c r="IC163" s="1908"/>
      <c r="ID163" s="1909"/>
      <c r="IE163" s="1910"/>
      <c r="IF163" s="1911"/>
      <c r="IG163" s="1912"/>
      <c r="IH163" s="1909"/>
      <c r="II163" s="1907"/>
      <c r="IJ163" s="2116"/>
      <c r="IK163" s="2116"/>
      <c r="IL163" s="693"/>
      <c r="IM163" s="2117"/>
      <c r="IN163" s="2116"/>
      <c r="IO163" s="2116"/>
      <c r="IP163" s="1838"/>
      <c r="IQ163" s="1914"/>
      <c r="IR163" s="2044"/>
      <c r="IS163" s="2118"/>
      <c r="IT163" s="2118"/>
      <c r="IU163" s="2119"/>
      <c r="IV163" s="2120"/>
      <c r="IW163" s="2121"/>
      <c r="IX163" s="2122"/>
      <c r="IY163" s="2123"/>
      <c r="IZ163" s="2124"/>
      <c r="JA163" s="2125"/>
      <c r="JB163" s="2046"/>
      <c r="JC163" s="2047"/>
      <c r="JD163" s="2048"/>
      <c r="JE163" s="2124"/>
      <c r="JF163" s="2125"/>
      <c r="JG163" s="1988"/>
      <c r="JH163" s="2049"/>
      <c r="JI163" s="2049"/>
      <c r="JJ163" s="2126"/>
      <c r="JK163" s="2125"/>
      <c r="JL163" s="2127"/>
      <c r="JM163" s="2049"/>
      <c r="JN163" s="2049"/>
      <c r="JO163" s="2128"/>
      <c r="JP163" s="2125"/>
      <c r="JQ163" s="2129"/>
      <c r="JR163" s="2130"/>
      <c r="JS163" s="1904"/>
      <c r="JT163" s="2413"/>
      <c r="JU163" s="2132"/>
      <c r="JV163" s="1849"/>
      <c r="JW163" s="1119"/>
      <c r="JX163" s="1850"/>
      <c r="JY163" s="1850"/>
      <c r="JZ163" s="2125"/>
      <c r="KA163" s="1849"/>
      <c r="KB163" s="1850"/>
      <c r="KC163" s="1850"/>
      <c r="KD163" s="1108"/>
      <c r="KE163" s="2133"/>
      <c r="KF163" s="1849"/>
      <c r="KG163" s="1850"/>
      <c r="KH163" s="1850"/>
      <c r="KI163" s="2124"/>
      <c r="KJ163" s="2125"/>
      <c r="KK163" s="1849"/>
      <c r="KL163" s="1850"/>
      <c r="KM163" s="1850"/>
      <c r="KN163" s="2134"/>
      <c r="KO163" s="2135"/>
      <c r="KP163" s="2596"/>
      <c r="KQ163" s="1119"/>
      <c r="KR163" s="1850"/>
      <c r="KS163" s="2597"/>
      <c r="KT163" s="2598"/>
      <c r="KU163" s="2138"/>
      <c r="KV163" s="1850"/>
      <c r="KW163" s="1850"/>
      <c r="KX163" s="1850"/>
      <c r="KY163" s="81"/>
      <c r="KZ163" s="1857">
        <f>(IR163+IW163+JB163+JG163+JL163+JQ163+JV163+KA163+KF163+KK163+KP163+KU163)/12</f>
        <v>0</v>
      </c>
      <c r="LA163" s="358">
        <f>IS163+IX163+JC163+JH163+JM163+JR163+JW163+KB163+KG163+KL163+KQ163+KV163</f>
        <v>0</v>
      </c>
      <c r="LB163" s="358">
        <f>IT163+IY163+JD163+JI163+JN163+JS163+JX163+KC163+KH163+KM163+KR163+KW163</f>
        <v>0</v>
      </c>
      <c r="LC163" s="358">
        <f>IU163+IZ163+JE163+JJ163+JO163+JT163+JY163+KD163+KI163+KN163+KS163+KX163</f>
        <v>0</v>
      </c>
      <c r="LD163" s="151"/>
      <c r="LE163" s="2139"/>
      <c r="LF163" s="2140"/>
      <c r="LG163" s="2140"/>
      <c r="LH163" s="2141"/>
      <c r="LI163" s="2142"/>
      <c r="LJ163" s="2143"/>
      <c r="LK163" s="2139"/>
      <c r="LL163" s="2141"/>
      <c r="LM163" s="1859">
        <f>(JV163+KA163+KF163)/3</f>
        <v>0</v>
      </c>
      <c r="LN163" s="1727">
        <f>(JX163+KC163+KH163)</f>
        <v>0</v>
      </c>
      <c r="LO163" s="1727">
        <f>(JY163+KD163+KI163)</f>
        <v>0</v>
      </c>
      <c r="LP163" s="151"/>
      <c r="LQ163" s="1860">
        <f>(KK163+KP163+KU163)/3</f>
        <v>0</v>
      </c>
      <c r="LR163" s="1727">
        <f>(KM163+KR163+KW163)</f>
        <v>0</v>
      </c>
      <c r="LS163" s="1727">
        <f>(KN163+KS163+KX163)</f>
        <v>0</v>
      </c>
      <c r="LT163" s="1861"/>
      <c r="LV163" s="2599"/>
      <c r="LW163" s="2198"/>
      <c r="LX163" s="2198"/>
      <c r="LY163" s="700"/>
      <c r="LZ163" s="2600"/>
      <c r="MA163" s="1903"/>
      <c r="MB163" s="1904"/>
      <c r="MC163" s="1904"/>
      <c r="MD163" s="2601"/>
      <c r="ME163" s="81"/>
      <c r="MF163" s="404"/>
      <c r="MG163" s="435"/>
      <c r="MH163" s="435"/>
      <c r="MI163" s="227"/>
      <c r="MJ163" s="1595"/>
      <c r="MK163" s="2152"/>
      <c r="ML163" s="435"/>
      <c r="MM163" s="435"/>
      <c r="MN163" s="2151"/>
      <c r="MO163" s="1595"/>
      <c r="MP163" s="2461"/>
      <c r="MQ163" s="2462"/>
      <c r="MR163" s="2462"/>
      <c r="MS163" s="2462"/>
      <c r="MT163" s="2463"/>
      <c r="MU163" s="2477"/>
      <c r="MV163" s="2469"/>
      <c r="MW163" s="2469"/>
      <c r="MX163" s="2469"/>
      <c r="MY163" s="2651"/>
      <c r="MZ163" s="2477"/>
      <c r="NA163" s="2469"/>
      <c r="NB163" s="2469"/>
      <c r="NC163" s="2469"/>
      <c r="ND163" s="2651"/>
      <c r="NE163" s="2464"/>
      <c r="NF163" s="2465"/>
      <c r="NG163" s="2465"/>
      <c r="NH163" s="2465"/>
      <c r="NI163" s="2463"/>
      <c r="NJ163" s="2464"/>
      <c r="NK163" s="2465"/>
      <c r="NL163" s="2465"/>
      <c r="NM163" s="2465"/>
      <c r="NN163" s="2463"/>
      <c r="NO163" s="2470"/>
      <c r="NP163" s="455"/>
      <c r="NQ163" s="455"/>
      <c r="NR163" s="2465"/>
      <c r="NS163" s="2463"/>
      <c r="NT163" s="357"/>
      <c r="NU163" s="358"/>
      <c r="NV163" s="358"/>
      <c r="NW163" s="2465"/>
      <c r="NX163" s="2463"/>
      <c r="NY163" s="357"/>
      <c r="NZ163" s="358"/>
      <c r="OA163" s="358"/>
      <c r="OB163" s="772"/>
      <c r="OC163" s="659"/>
      <c r="OD163" s="193"/>
      <c r="OE163" s="455">
        <f>NZ163+NU163+NP163+NK163+NF163+NA163+MV163+MQ163+ML163+MG163+MB163+LW163</f>
        <v>0</v>
      </c>
      <c r="OF163" s="455">
        <f>OA163+NV163+NQ163+NL163+NG163+NB163+MW163+MR163+MM163+MH163+MC163+LX163</f>
        <v>0</v>
      </c>
      <c r="OG163" s="455">
        <f>OB163+NW163+NR163+NM163+NH163+NC163+MX163+MS163+MN163+MI163+MD163+LY163</f>
        <v>0</v>
      </c>
      <c r="OH163" s="221"/>
      <c r="OI163" s="1868"/>
      <c r="OJ163" s="105">
        <f>LW163+MB163+MG163</f>
        <v>0</v>
      </c>
      <c r="OK163" s="1575"/>
      <c r="OL163" s="1575"/>
      <c r="OM163" s="84"/>
      <c r="ON163" s="358">
        <f>(MK163+MP163+MU163)/3</f>
        <v>0</v>
      </c>
      <c r="OO163" s="358">
        <f>ML163+MQ163+MV163</f>
        <v>0</v>
      </c>
      <c r="OP163" s="358">
        <f>MM163+MR163+MW163</f>
        <v>0</v>
      </c>
      <c r="OQ163" s="359">
        <f>MN163+MS163+MX163</f>
        <v>0</v>
      </c>
      <c r="OR163" s="169"/>
      <c r="OS163" s="686">
        <f>(NJ163+NE163+MZ163)/3</f>
        <v>0</v>
      </c>
      <c r="OT163" s="146">
        <f>NK163+NF163+NA163</f>
        <v>0</v>
      </c>
      <c r="OU163" s="146">
        <f>NL163+NG163+NB163</f>
        <v>0</v>
      </c>
      <c r="OV163" s="1864">
        <f>NM163+NH163+NC163</f>
        <v>0</v>
      </c>
      <c r="OW163" s="203"/>
      <c r="OX163" s="2635"/>
      <c r="OY163" s="2652"/>
      <c r="OZ163" s="2150"/>
      <c r="PA163" s="2150"/>
      <c r="PB163" s="2653"/>
      <c r="PC163" s="79"/>
      <c r="PD163" s="2654"/>
      <c r="PE163" s="2465"/>
      <c r="PF163" s="2465"/>
      <c r="PG163" s="97"/>
      <c r="PH163" s="93"/>
      <c r="PI163" s="1903"/>
      <c r="PJ163" s="1904"/>
      <c r="PK163" s="1904"/>
      <c r="PL163" s="2601"/>
      <c r="PM163" s="81"/>
      <c r="PN163" s="404"/>
      <c r="PO163" s="435"/>
      <c r="PP163" s="435"/>
      <c r="PQ163" s="227"/>
      <c r="PR163" s="1595"/>
      <c r="PS163" s="2460"/>
      <c r="PT163" s="2150"/>
      <c r="PU163" s="2150"/>
      <c r="PV163" s="2638"/>
      <c r="PW163" s="2639"/>
      <c r="PX163" s="2461"/>
      <c r="PY163" s="2462"/>
      <c r="PZ163" s="2462"/>
      <c r="QA163" s="2462"/>
      <c r="QB163" s="2463"/>
      <c r="QC163" s="2477"/>
      <c r="QD163" s="2469"/>
      <c r="QE163" s="2469"/>
      <c r="QF163" s="2469"/>
      <c r="QG163" s="2651"/>
      <c r="QH163" s="2480"/>
      <c r="QI163" s="2469"/>
      <c r="QJ163" s="2469"/>
      <c r="QK163" s="2469"/>
      <c r="QL163" s="2651"/>
      <c r="QM163" s="2654"/>
      <c r="QN163" s="2465"/>
      <c r="QO163" s="2465"/>
      <c r="QP163" s="2465"/>
      <c r="QQ163" s="2463"/>
      <c r="QR163" s="2464"/>
      <c r="QS163" s="2465"/>
      <c r="QT163" s="2465"/>
      <c r="QU163" s="2465"/>
      <c r="QV163" s="2655"/>
      <c r="QW163" s="2464"/>
      <c r="QX163" s="2465"/>
      <c r="QY163" s="2656"/>
      <c r="QZ163" s="2465"/>
      <c r="RA163" s="2657"/>
      <c r="RB163" s="2470"/>
      <c r="RC163" s="455"/>
      <c r="RD163" s="455"/>
      <c r="RE163" s="2465"/>
      <c r="RF163" s="2658"/>
      <c r="RG163" s="1567"/>
      <c r="RH163" s="1568"/>
      <c r="RI163" s="1568"/>
      <c r="RJ163" s="2012"/>
      <c r="RK163" s="659"/>
      <c r="RL163" s="3715"/>
      <c r="RM163" s="456">
        <f t="shared" si="658"/>
        <v>0</v>
      </c>
      <c r="RN163" s="456">
        <f t="shared" si="658"/>
        <v>0</v>
      </c>
      <c r="RO163" s="456">
        <f t="shared" si="658"/>
        <v>0</v>
      </c>
      <c r="RP163" s="2659">
        <v>0</v>
      </c>
      <c r="RQ163" s="1868"/>
      <c r="RR163" s="105">
        <f>PE163+PJ163+PO163</f>
        <v>0</v>
      </c>
      <c r="RS163" s="1575"/>
      <c r="RT163" s="1575"/>
      <c r="RU163" s="84"/>
      <c r="RV163" s="358">
        <f>(PS163+PX163+QC163)/3</f>
        <v>0</v>
      </c>
      <c r="RW163" s="358">
        <f>PT163+PY163+QD163</f>
        <v>0</v>
      </c>
      <c r="RX163" s="358">
        <f>PU163+PZ163+QE163</f>
        <v>0</v>
      </c>
      <c r="RY163" s="359">
        <f>PV163+QA163+QF163</f>
        <v>0</v>
      </c>
      <c r="RZ163" s="169"/>
      <c r="SA163" s="686">
        <f>(QR163+QM163+QH163)/3</f>
        <v>0</v>
      </c>
      <c r="SB163" s="146">
        <f>QS163+QN163+QI163</f>
        <v>0</v>
      </c>
      <c r="SC163" s="146">
        <f>QT163+QO163+QJ163</f>
        <v>0</v>
      </c>
      <c r="SD163" s="1864">
        <f>QU163+QP163+QK163</f>
        <v>0</v>
      </c>
      <c r="SE163" s="203"/>
      <c r="SF163" s="193"/>
      <c r="SG163" s="2652"/>
      <c r="SH163" s="2150"/>
      <c r="SI163" s="2150"/>
      <c r="SJ163" s="2653"/>
      <c r="SL163" s="2480"/>
      <c r="SM163" s="2469"/>
      <c r="SN163" s="2469"/>
      <c r="SO163" s="3535"/>
      <c r="SP163" s="3536"/>
      <c r="SQ163" s="3630"/>
      <c r="SR163" s="2961"/>
      <c r="SS163" s="2961"/>
      <c r="ST163" s="3631"/>
      <c r="SU163" s="3536"/>
      <c r="SV163" s="440"/>
      <c r="SW163" s="435"/>
      <c r="SX163" s="1584"/>
      <c r="SY163" s="97"/>
      <c r="SZ163" s="225"/>
      <c r="TA163" s="2152"/>
      <c r="TB163" s="435"/>
      <c r="TC163" s="1584"/>
      <c r="TD163" s="97"/>
      <c r="TE163" s="225"/>
      <c r="TF163" s="4106"/>
      <c r="TG163" s="2465"/>
      <c r="TH163" s="2465"/>
      <c r="TI163" s="2465"/>
      <c r="TJ163" s="238"/>
      <c r="TK163" s="2477"/>
      <c r="TL163" s="2469"/>
      <c r="TM163" s="2469"/>
      <c r="TN163" s="2469"/>
      <c r="TO163" s="114"/>
      <c r="TP163" s="4465"/>
      <c r="TQ163" s="2469"/>
      <c r="TR163" s="2469"/>
      <c r="TS163" s="994"/>
      <c r="TT163" s="238"/>
      <c r="TU163" s="6148"/>
      <c r="TV163" s="2465"/>
      <c r="TW163" s="2465"/>
      <c r="TX163" s="2656"/>
      <c r="TY163" s="238"/>
      <c r="TZ163" s="2477"/>
      <c r="UA163" s="2469"/>
      <c r="UB163" s="2469"/>
      <c r="UC163" s="3356"/>
      <c r="UD163" s="84"/>
      <c r="UE163" s="2477"/>
      <c r="UF163" s="2469"/>
      <c r="UG163" s="3356"/>
      <c r="UH163" s="2469"/>
      <c r="UI163" s="2657"/>
      <c r="UJ163" s="2470"/>
      <c r="UK163" s="455"/>
      <c r="UL163" s="455"/>
      <c r="UM163" s="2465"/>
      <c r="UN163" s="2658"/>
      <c r="UO163" s="1567"/>
      <c r="UP163" s="1568"/>
      <c r="UQ163" s="1568"/>
      <c r="UR163" s="2012"/>
      <c r="US163" s="659"/>
      <c r="UT163" s="193"/>
      <c r="UU163" s="455"/>
      <c r="UV163" s="455"/>
      <c r="UW163" s="455"/>
      <c r="UX163" s="2659"/>
      <c r="UY163" s="1868"/>
      <c r="UZ163" s="105">
        <f>SM163+SR163+SW163</f>
        <v>0</v>
      </c>
      <c r="VA163" s="1575"/>
      <c r="VB163" s="1575"/>
      <c r="VC163" s="84"/>
      <c r="VD163" s="358">
        <f>(TA163+TF163+TK163)/3</f>
        <v>0</v>
      </c>
      <c r="VE163" s="358">
        <f>TB163+TG163+TL163</f>
        <v>0</v>
      </c>
      <c r="VF163" s="358">
        <f>TC163+TH163+TM163</f>
        <v>0</v>
      </c>
      <c r="VG163" s="359">
        <f>TD163+TI163+TN163</f>
        <v>0</v>
      </c>
      <c r="VH163" s="169"/>
      <c r="VI163" s="686">
        <f>(TZ163+TU163+TP163)/3</f>
        <v>0</v>
      </c>
      <c r="VJ163" s="146">
        <f>UA163+TV163+TQ163</f>
        <v>0</v>
      </c>
      <c r="VK163" s="146">
        <f>UB163+TW163+TR163</f>
        <v>0</v>
      </c>
      <c r="VL163" s="1864">
        <f>UC163+TX163+TS163</f>
        <v>0</v>
      </c>
      <c r="VM163" s="203"/>
      <c r="VN163" s="192"/>
      <c r="VO163" s="2652"/>
      <c r="VP163" s="2150"/>
      <c r="VQ163" s="2150"/>
      <c r="VR163" s="2653"/>
    </row>
    <row r="164" spans="1:592" s="1193" customFormat="1" x14ac:dyDescent="0.3">
      <c r="A164" s="1297"/>
      <c r="B164" s="4517"/>
      <c r="C164" s="4518"/>
      <c r="D164" s="4519" t="s">
        <v>101</v>
      </c>
      <c r="E164" s="4520"/>
      <c r="F164" s="4520"/>
      <c r="G164" s="4521"/>
      <c r="H164" s="2963"/>
      <c r="I164" s="2964"/>
      <c r="J164" s="2964"/>
      <c r="K164" s="2964"/>
      <c r="L164" s="2965"/>
      <c r="M164" s="2963"/>
      <c r="N164" s="2964"/>
      <c r="O164" s="2964"/>
      <c r="P164" s="2964"/>
      <c r="Q164" s="2965"/>
      <c r="R164" s="2963"/>
      <c r="S164" s="2964"/>
      <c r="T164" s="2964"/>
      <c r="U164" s="2964"/>
      <c r="V164" s="2965"/>
      <c r="W164" s="2963"/>
      <c r="X164" s="2964"/>
      <c r="Y164" s="2964"/>
      <c r="Z164" s="2964"/>
      <c r="AA164" s="2966"/>
      <c r="AB164" s="2963"/>
      <c r="AC164" s="2964"/>
      <c r="AD164" s="2964"/>
      <c r="AE164" s="2964"/>
      <c r="AF164" s="2966"/>
      <c r="AG164" s="2964"/>
      <c r="AH164" s="2964"/>
      <c r="AI164" s="2964"/>
      <c r="AJ164" s="2964"/>
      <c r="AK164" s="2965"/>
      <c r="AL164" s="2964"/>
      <c r="AM164" s="2964"/>
      <c r="AN164" s="2964"/>
      <c r="AO164" s="2964"/>
      <c r="AP164" s="2965"/>
      <c r="AQ164" s="2964"/>
      <c r="AR164" s="2964"/>
      <c r="AS164" s="2964"/>
      <c r="AT164" s="2964"/>
      <c r="AU164" s="2965"/>
      <c r="AV164" s="2967"/>
      <c r="AW164" s="2964"/>
      <c r="AX164" s="2964"/>
      <c r="AY164" s="2964"/>
      <c r="AZ164" s="2966"/>
      <c r="BA164" s="2967"/>
      <c r="BB164" s="2964"/>
      <c r="BC164" s="2964"/>
      <c r="BD164" s="2964"/>
      <c r="BE164" s="2966"/>
      <c r="BF164" s="2967"/>
      <c r="BG164" s="2964"/>
      <c r="BH164" s="2964"/>
      <c r="BI164" s="2964"/>
      <c r="BJ164" s="2966"/>
      <c r="BK164" s="2967"/>
      <c r="BL164" s="2964"/>
      <c r="BM164" s="2964"/>
      <c r="BN164" s="2964"/>
      <c r="BO164" s="2966"/>
      <c r="BP164" s="2968"/>
      <c r="BQ164" s="2964"/>
      <c r="BR164" s="2964"/>
      <c r="BS164" s="2964"/>
      <c r="BT164" s="2969"/>
      <c r="BU164" s="2964"/>
      <c r="BV164" s="2964"/>
      <c r="BW164" s="2970"/>
      <c r="BX164" s="2969"/>
      <c r="BY164" s="2964"/>
      <c r="BZ164" s="2964"/>
      <c r="CA164" s="2971"/>
      <c r="CB164" s="2964"/>
      <c r="CC164" s="2964"/>
      <c r="CD164" s="2964"/>
      <c r="CE164" s="2964"/>
      <c r="CF164" s="2969"/>
      <c r="CG164" s="2964"/>
      <c r="CH164" s="2964"/>
      <c r="CI164" s="2971"/>
      <c r="CJ164" s="2972"/>
      <c r="CK164" s="2964"/>
      <c r="CL164" s="2964"/>
      <c r="CM164" s="2964"/>
      <c r="CN164" s="2970"/>
      <c r="CO164" s="2972"/>
      <c r="CP164" s="2963"/>
      <c r="CQ164" s="2963"/>
      <c r="CR164" s="2963"/>
      <c r="CS164" s="2970"/>
      <c r="CT164" s="2972"/>
      <c r="CU164" s="2964"/>
      <c r="CV164" s="2964"/>
      <c r="CW164" s="2964"/>
      <c r="CX164" s="2970"/>
      <c r="CY164" s="2972"/>
      <c r="CZ164" s="2964"/>
      <c r="DA164" s="2964"/>
      <c r="DB164" s="2964"/>
      <c r="DC164" s="2970"/>
      <c r="DD164" s="2972"/>
      <c r="DE164" s="2964"/>
      <c r="DF164" s="2964"/>
      <c r="DG164" s="2964"/>
      <c r="DH164" s="2973"/>
      <c r="DI164" s="2972"/>
      <c r="DJ164" s="2964"/>
      <c r="DK164" s="2964"/>
      <c r="DL164" s="2964"/>
      <c r="DM164" s="2973"/>
      <c r="DN164" s="2972"/>
      <c r="DO164" s="2964"/>
      <c r="DP164" s="2964"/>
      <c r="DQ164" s="2964"/>
      <c r="DR164" s="2973"/>
      <c r="DS164" s="2972"/>
      <c r="DT164" s="2964"/>
      <c r="DU164" s="2964"/>
      <c r="DV164" s="2964"/>
      <c r="DW164" s="2973"/>
      <c r="DX164" s="2972"/>
      <c r="DY164" s="2964"/>
      <c r="DZ164" s="2964"/>
      <c r="EA164" s="2964"/>
      <c r="EB164" s="2973"/>
      <c r="EC164" s="2972"/>
      <c r="ED164" s="2964"/>
      <c r="EE164" s="2964"/>
      <c r="EF164" s="2964"/>
      <c r="EG164" s="2973"/>
      <c r="EH164" s="2974"/>
      <c r="EI164" s="2975"/>
      <c r="EJ164" s="2975"/>
      <c r="EK164" s="2975"/>
      <c r="EL164" s="100"/>
      <c r="EM164" s="2974"/>
      <c r="EN164" s="2975"/>
      <c r="EO164" s="2975"/>
      <c r="EP164" s="2975"/>
      <c r="EQ164" s="100"/>
      <c r="ER164" s="2976"/>
      <c r="ES164" s="2977"/>
      <c r="ET164" s="2977"/>
      <c r="EU164" s="2977"/>
      <c r="EV164" s="430"/>
      <c r="EW164" s="2978"/>
      <c r="EX164" s="2978"/>
      <c r="EY164" s="2978"/>
      <c r="EZ164" s="2979"/>
      <c r="FA164" s="2974"/>
      <c r="FB164" s="2978"/>
      <c r="FC164" s="2978"/>
      <c r="FD164" s="2980"/>
      <c r="FE164" s="2978"/>
      <c r="FF164" s="2978"/>
      <c r="FG164" s="2978"/>
      <c r="FH164" s="2979"/>
      <c r="FI164" s="4077"/>
      <c r="FJ164" s="4078"/>
      <c r="FK164" s="4079"/>
      <c r="FL164" s="4079"/>
      <c r="FM164" s="2980"/>
      <c r="FN164" s="2978"/>
      <c r="FO164" s="2975"/>
      <c r="FP164" s="2975"/>
      <c r="FQ164" s="2975"/>
      <c r="FR164" s="449"/>
      <c r="FS164" s="2974"/>
      <c r="FT164" s="2975"/>
      <c r="FU164" s="2975"/>
      <c r="FV164" s="2975"/>
      <c r="FW164" s="4082"/>
      <c r="FX164" s="2974"/>
      <c r="FY164" s="2975"/>
      <c r="FZ164" s="2975"/>
      <c r="GA164" s="2975"/>
      <c r="GB164" s="4082"/>
      <c r="GC164" s="2974"/>
      <c r="GD164" s="2975"/>
      <c r="GE164" s="2975"/>
      <c r="GF164" s="2975"/>
      <c r="GG164" s="100"/>
      <c r="GH164" s="2974"/>
      <c r="GI164" s="2975"/>
      <c r="GJ164" s="2975"/>
      <c r="GK164" s="4083"/>
      <c r="GL164" s="4082"/>
      <c r="GM164" s="2974"/>
      <c r="GN164" s="2975"/>
      <c r="GO164" s="2975"/>
      <c r="GP164" s="4083"/>
      <c r="GQ164" s="4082"/>
      <c r="GR164" s="4469"/>
      <c r="GS164" s="2989"/>
      <c r="GT164" s="2989"/>
      <c r="GU164" s="4083"/>
      <c r="GV164" s="4082"/>
      <c r="GW164" s="4469"/>
      <c r="GX164" s="2989"/>
      <c r="GY164" s="2989"/>
      <c r="GZ164" s="4083"/>
      <c r="HA164" s="4082"/>
      <c r="HB164" s="4469"/>
      <c r="HC164" s="2989"/>
      <c r="HD164" s="2989"/>
      <c r="HE164" s="4083"/>
      <c r="HF164" s="4082"/>
      <c r="HG164" s="4469"/>
      <c r="HH164" s="2989"/>
      <c r="HI164" s="2989"/>
      <c r="HJ164" s="2985"/>
      <c r="HK164" s="4082"/>
      <c r="HL164" s="4469"/>
      <c r="HM164" s="2989"/>
      <c r="HN164" s="2989"/>
      <c r="HO164" s="2975"/>
      <c r="HP164" s="100"/>
      <c r="HQ164" s="4470"/>
      <c r="HR164" s="2989"/>
      <c r="HS164" s="2989"/>
      <c r="HT164" s="2989"/>
      <c r="HU164" s="4522"/>
      <c r="HV164" s="4523"/>
      <c r="HW164" s="4086"/>
      <c r="HX164" s="4086"/>
      <c r="HY164" s="4086"/>
      <c r="HZ164" s="4524"/>
      <c r="IA164" s="4474"/>
      <c r="IB164" s="4087"/>
      <c r="IC164" s="4087"/>
      <c r="ID164" s="4088"/>
      <c r="IE164" s="2974"/>
      <c r="IF164" s="2978"/>
      <c r="IG164" s="4474"/>
      <c r="IH164" s="4088"/>
      <c r="II164" s="2984"/>
      <c r="IJ164" s="4475"/>
      <c r="IK164" s="4475"/>
      <c r="IL164" s="2980"/>
      <c r="IM164" s="4476"/>
      <c r="IN164" s="4475"/>
      <c r="IO164" s="4475"/>
      <c r="IP164" s="4477"/>
      <c r="IQ164" s="2975"/>
      <c r="IR164" s="2988"/>
      <c r="IS164" s="2989"/>
      <c r="IT164" s="2989"/>
      <c r="IU164" s="4478"/>
      <c r="IV164" s="4479"/>
      <c r="IW164" s="4080"/>
      <c r="IX164" s="4081"/>
      <c r="IY164" s="4081"/>
      <c r="IZ164" s="2985"/>
      <c r="JA164" s="100"/>
      <c r="JB164" s="4480"/>
      <c r="JC164" s="4481"/>
      <c r="JD164" s="4482"/>
      <c r="JE164" s="2985"/>
      <c r="JF164" s="100"/>
      <c r="JG164" s="4480"/>
      <c r="JH164" s="2975"/>
      <c r="JI164" s="2975"/>
      <c r="JJ164" s="2975"/>
      <c r="JK164" s="100"/>
      <c r="JL164" s="4483"/>
      <c r="JM164" s="2975"/>
      <c r="JN164" s="2975"/>
      <c r="JO164" s="4484"/>
      <c r="JP164" s="100"/>
      <c r="JQ164" s="4483"/>
      <c r="JR164" s="4485"/>
      <c r="JS164" s="2989"/>
      <c r="JT164" s="4486"/>
      <c r="JU164" s="100"/>
      <c r="JV164" s="4487"/>
      <c r="JW164" s="4485"/>
      <c r="JX164" s="2989"/>
      <c r="JY164" s="2989"/>
      <c r="JZ164" s="100"/>
      <c r="KA164" s="4487"/>
      <c r="KB164" s="2989"/>
      <c r="KC164" s="2989"/>
      <c r="KD164" s="2985"/>
      <c r="KE164" s="100"/>
      <c r="KF164" s="4487"/>
      <c r="KG164" s="2989"/>
      <c r="KH164" s="2989"/>
      <c r="KI164" s="2985"/>
      <c r="KJ164" s="100"/>
      <c r="KK164" s="4488">
        <f>SUM(KK147:KK163)</f>
        <v>139</v>
      </c>
      <c r="KL164" s="4086">
        <f>SUM(KL130:KL163)</f>
        <v>3842855.9032258065</v>
      </c>
      <c r="KM164" s="4086">
        <f>SUM(KM130:KM163)</f>
        <v>4505216</v>
      </c>
      <c r="KN164" s="4086">
        <f>SUM(KN130:KN163)</f>
        <v>662360.09677419346</v>
      </c>
      <c r="KO164" s="100"/>
      <c r="KP164" s="4488">
        <f>SUM(KP147:KP163)</f>
        <v>130</v>
      </c>
      <c r="KQ164" s="4086">
        <f>SUM(KQ130:KQ163)</f>
        <v>3647776</v>
      </c>
      <c r="KR164" s="4086">
        <f>SUM(KR130:KR163)</f>
        <v>4465216</v>
      </c>
      <c r="KS164" s="4086">
        <f>SUM(KS130:KS163)</f>
        <v>817440</v>
      </c>
      <c r="KT164" s="4489">
        <f>KS164/KR164</f>
        <v>0.18306841147214378</v>
      </c>
      <c r="KU164" s="4488">
        <f>SUM(KU130:KU163)</f>
        <v>167</v>
      </c>
      <c r="KV164" s="4086">
        <f>SUM(KV130:KV163)</f>
        <v>3753305.4516129033</v>
      </c>
      <c r="KW164" s="4086">
        <f>SUM(KW130:KW163)</f>
        <v>4495216</v>
      </c>
      <c r="KX164" s="4086">
        <f>SUM(KX130:KX163)</f>
        <v>741910.54838709673</v>
      </c>
      <c r="KY164" s="4489">
        <f>KX164/KW164</f>
        <v>0.16504447136402273</v>
      </c>
      <c r="KZ164" s="2974"/>
      <c r="LA164" s="2975"/>
      <c r="LB164" s="2975"/>
      <c r="LC164" s="2975"/>
      <c r="LD164" s="2998"/>
      <c r="LE164" s="4474"/>
      <c r="LF164" s="4087"/>
      <c r="LG164" s="4087"/>
      <c r="LH164" s="4088"/>
      <c r="LI164" s="2974"/>
      <c r="LJ164" s="2978"/>
      <c r="LK164" s="4474"/>
      <c r="LL164" s="4088"/>
      <c r="LM164" s="2984"/>
      <c r="LN164" s="4475"/>
      <c r="LO164" s="4475"/>
      <c r="LP164" s="2980"/>
      <c r="LQ164" s="4086">
        <f>SUM(LQ130:LQ163)</f>
        <v>159</v>
      </c>
      <c r="LR164" s="4086">
        <f>SUM(LR130:LR163)</f>
        <v>13465648</v>
      </c>
      <c r="LS164" s="4086">
        <f>SUM(LS130:LS163)</f>
        <v>2221710.6451612902</v>
      </c>
      <c r="LT164" s="4489">
        <f>LS164/LR164</f>
        <v>0.16499099376140608</v>
      </c>
      <c r="LU164" s="2996"/>
      <c r="LV164" s="4488">
        <f>SUM(LV147:LV163)</f>
        <v>138</v>
      </c>
      <c r="LW164" s="4086">
        <f>SUM(LW130:LW163)</f>
        <v>3892767</v>
      </c>
      <c r="LX164" s="4086">
        <f>SUM(LX130:LX163)</f>
        <v>4684264</v>
      </c>
      <c r="LY164" s="4086">
        <f>SUM(LY130:LY163)</f>
        <v>791497</v>
      </c>
      <c r="LZ164" s="4489">
        <f>LY164/LX164</f>
        <v>0.16896934075449205</v>
      </c>
      <c r="MA164" s="4488">
        <f>SUM(MA147:MA163)</f>
        <v>145</v>
      </c>
      <c r="MB164" s="4086">
        <f>SUM(MB130:MB163)</f>
        <v>3900643.8709677467</v>
      </c>
      <c r="MC164" s="4086">
        <f>SUM(MC130:MC163)</f>
        <v>4732816</v>
      </c>
      <c r="MD164" s="4086">
        <f>SUM(MD130:MD163)</f>
        <v>832172.12903225375</v>
      </c>
      <c r="ME164" s="4489">
        <f>MD164/MC164</f>
        <v>0.17583023067709663</v>
      </c>
      <c r="MF164" s="4488">
        <f>SUM(MF147:MF163)</f>
        <v>149</v>
      </c>
      <c r="MG164" s="4086">
        <f>SUM(MG130:MG163)</f>
        <v>4259165.666666666</v>
      </c>
      <c r="MH164" s="4086">
        <f>SUM(MH130:MH163)</f>
        <v>4796316</v>
      </c>
      <c r="MI164" s="4086">
        <f>SUM(MI130:MI163)</f>
        <v>537150.33333333349</v>
      </c>
      <c r="MJ164" s="4489">
        <f>MI164/MH164</f>
        <v>0.11199227351436675</v>
      </c>
      <c r="MK164" s="4490">
        <f>SUM(MK147:MK163)</f>
        <v>137</v>
      </c>
      <c r="ML164" s="4086">
        <f>SUM(ML130:ML163)</f>
        <v>4289064</v>
      </c>
      <c r="MM164" s="4086">
        <f>SUM(MM130:MM163)</f>
        <v>5220990</v>
      </c>
      <c r="MN164" s="4086">
        <f>SUM(MN130:MN163)</f>
        <v>931926</v>
      </c>
      <c r="MO164" s="4489">
        <f>MN164/MM164</f>
        <v>0.17849603236167852</v>
      </c>
      <c r="MP164" s="4490">
        <f>SUM(MP147:MP163)</f>
        <v>142</v>
      </c>
      <c r="MQ164" s="4086">
        <f>SUM(MQ130:MQ163)</f>
        <v>4642321</v>
      </c>
      <c r="MR164" s="4086">
        <f>SUM(MR130:MR163)</f>
        <v>5564454</v>
      </c>
      <c r="MS164" s="4086">
        <f>SUM(MS130:MS163)</f>
        <v>922133</v>
      </c>
      <c r="MT164" s="4489">
        <f>MS164/MR164</f>
        <v>0.16571850535560181</v>
      </c>
      <c r="MU164" s="4488">
        <f>SUM(MU147:MU163)</f>
        <v>136</v>
      </c>
      <c r="MV164" s="4086">
        <f>SUM(MV130:MV163)</f>
        <v>4749887</v>
      </c>
      <c r="MW164" s="4086">
        <f>SUM(MW130:MW163)</f>
        <v>5867499</v>
      </c>
      <c r="MX164" s="4086">
        <f>SUM(MX130:MX163)</f>
        <v>1117612</v>
      </c>
      <c r="MY164" s="4525">
        <f>MX164/MW164</f>
        <v>0.19047502181082604</v>
      </c>
      <c r="MZ164" s="4488">
        <f>SUM(MZ147:MZ163)</f>
        <v>129</v>
      </c>
      <c r="NA164" s="4086">
        <f>SUM(NA130:NA163)</f>
        <v>4612804</v>
      </c>
      <c r="NB164" s="4086">
        <f>SUM(NB130:NB163)</f>
        <v>5938539</v>
      </c>
      <c r="NC164" s="4086">
        <f>SUM(NC130:NC163)</f>
        <v>1325735</v>
      </c>
      <c r="ND164" s="4525">
        <f>NC164/NB164</f>
        <v>0.22324261910210574</v>
      </c>
      <c r="NE164" s="4488">
        <f>SUM(NE130:NE163)</f>
        <v>170</v>
      </c>
      <c r="NF164" s="4086">
        <f>SUM(NF130:NF163)</f>
        <v>4604267</v>
      </c>
      <c r="NG164" s="4086">
        <f>SUM(NG130:NG163)</f>
        <v>5914304</v>
      </c>
      <c r="NH164" s="4086">
        <f>SUM(NH130:NH163)</f>
        <v>1310037</v>
      </c>
      <c r="NI164" s="4489">
        <f>NH164/NG164</f>
        <v>0.2215031557390354</v>
      </c>
      <c r="NJ164" s="4488">
        <f>SUM(NJ130:NJ163)</f>
        <v>182</v>
      </c>
      <c r="NK164" s="4086">
        <f>SUM(NK130:NK163)</f>
        <v>5127681.3225806458</v>
      </c>
      <c r="NL164" s="4086">
        <f>SUM(NL130:NL163)</f>
        <v>6018312</v>
      </c>
      <c r="NM164" s="4086">
        <f>SUM(NM130:NM163)</f>
        <v>890630.67741935467</v>
      </c>
      <c r="NN164" s="4489">
        <f>NM164/NL164</f>
        <v>0.14798679055179503</v>
      </c>
      <c r="NO164" s="2974">
        <f>SUM(NO130:NO163)</f>
        <v>181</v>
      </c>
      <c r="NP164" s="2975">
        <f>SUM(NP130:NP163)</f>
        <v>5168414</v>
      </c>
      <c r="NQ164" s="4526">
        <f>SUM(NQ130:NQ163)</f>
        <v>6095215</v>
      </c>
      <c r="NR164" s="4086">
        <f>SUM(NR130:NR163)</f>
        <v>926801</v>
      </c>
      <c r="NS164" s="4489">
        <f>NR164/NQ164</f>
        <v>0.15205386520409864</v>
      </c>
      <c r="NT164" s="2974">
        <f>SUM(NT130:NT163)</f>
        <v>179</v>
      </c>
      <c r="NU164" s="2975">
        <f>SUM(NU130:NU163)</f>
        <v>5109957.5714285709</v>
      </c>
      <c r="NV164" s="4526">
        <f>SUM(NV130:NV163)</f>
        <v>6175162</v>
      </c>
      <c r="NW164" s="4086">
        <f>SUM(NW130:NW163)</f>
        <v>1065204.4285714286</v>
      </c>
      <c r="NX164" s="4489">
        <f>NW164/NV164</f>
        <v>0.17249821600978704</v>
      </c>
      <c r="NY164" s="2974">
        <f>SUM(NY130:NY163)</f>
        <v>178</v>
      </c>
      <c r="NZ164" s="2975">
        <f>SUM(NZ130:NZ163)</f>
        <v>5209153.0967741953</v>
      </c>
      <c r="OA164" s="4526">
        <f>SUM(OA130:OA163)</f>
        <v>6449269</v>
      </c>
      <c r="OB164" s="4527">
        <f>SUM(OB130:OB163)</f>
        <v>1240115.9032258044</v>
      </c>
      <c r="OC164" s="4489">
        <f>OB164/OA164</f>
        <v>0.19228782412794448</v>
      </c>
      <c r="OD164" s="4528">
        <f>SUM(OD130:OD163)</f>
        <v>178</v>
      </c>
      <c r="OE164" s="4529">
        <f>SUM(OE128:OE163)</f>
        <v>57481743.754224278</v>
      </c>
      <c r="OF164" s="4529">
        <f>SUM(OF128:OF163)</f>
        <v>69167140</v>
      </c>
      <c r="OG164" s="4529">
        <f>SUM(OG128:OG163)</f>
        <v>11685396.245775724</v>
      </c>
      <c r="OH164" s="4530">
        <f>OG164/OF164</f>
        <v>0.16894433174157156</v>
      </c>
      <c r="OI164" s="4488">
        <f>SUM(OI147:OI163)</f>
        <v>144.00000000000003</v>
      </c>
      <c r="OJ164" s="4086">
        <f>SUM(OJ130:OJ163)</f>
        <v>12052576.537634414</v>
      </c>
      <c r="OK164" s="4086">
        <f>SUM(OK130:OK163)</f>
        <v>14213396</v>
      </c>
      <c r="OL164" s="4086">
        <f>SUM(OL130:OL163)</f>
        <v>2160819.4623655872</v>
      </c>
      <c r="OM164" s="4493">
        <f>OL164/OK164</f>
        <v>0.15202696543215902</v>
      </c>
      <c r="ON164" s="4488">
        <f>SUM(ON147:ON163)</f>
        <v>138.33333333333334</v>
      </c>
      <c r="OO164" s="4086">
        <f>SUM(OO130:OO163)</f>
        <v>13681272</v>
      </c>
      <c r="OP164" s="4086">
        <f>SUM(OP130:OP163)</f>
        <v>16652943</v>
      </c>
      <c r="OQ164" s="4086">
        <f>SUM(OQ130:OQ163)</f>
        <v>2971671</v>
      </c>
      <c r="OR164" s="4531">
        <f>OQ164/OP164</f>
        <v>0.17844719699094627</v>
      </c>
      <c r="OS164" s="4488">
        <f>SUM(OS147:OS163)</f>
        <v>131.66666666666666</v>
      </c>
      <c r="OT164" s="4086">
        <f>SUM(OT130:OT163)</f>
        <v>14344752.322580647</v>
      </c>
      <c r="OU164" s="4086">
        <f>SUM(OU130:OU163)</f>
        <v>17871155</v>
      </c>
      <c r="OV164" s="4086">
        <f>SUM(OV130:OV163)</f>
        <v>3526402.6774193542</v>
      </c>
      <c r="OW164" s="4531">
        <f>OV164/OU164</f>
        <v>0.19732371396361087</v>
      </c>
      <c r="OX164" s="4488">
        <f>SUM(OX147:OX163)</f>
        <v>130</v>
      </c>
      <c r="OY164" s="4086">
        <f>SUM(OY130:OY163)</f>
        <v>15487524.668202765</v>
      </c>
      <c r="OZ164" s="4086">
        <f>SUM(OZ130:OZ163)</f>
        <v>18719646</v>
      </c>
      <c r="PA164" s="4086">
        <f>SUM(PA130:PA163)</f>
        <v>3232121.3317972333</v>
      </c>
      <c r="PB164" s="4493">
        <f>PA164/OZ164</f>
        <v>0.17265931908099294</v>
      </c>
      <c r="PC164" s="4494"/>
      <c r="PD164" s="4488">
        <f>SUM(PD147:PD163)</f>
        <v>132</v>
      </c>
      <c r="PE164" s="4086">
        <f>SUM(PE130:PE163)</f>
        <v>5194412</v>
      </c>
      <c r="PF164" s="4086">
        <f>SUM(PF130:PF163)</f>
        <v>6457730.5</v>
      </c>
      <c r="PG164" s="4086">
        <f>SUM(PG130:PG163)</f>
        <v>1263318.5</v>
      </c>
      <c r="PH164" s="4489">
        <f>PG164/PF164</f>
        <v>0.19562886682867922</v>
      </c>
      <c r="PI164" s="4086">
        <f>SUM(PI130:PI163)</f>
        <v>186</v>
      </c>
      <c r="PJ164" s="4086">
        <f>SUM(PJ130:PJ163)</f>
        <v>5521759</v>
      </c>
      <c r="PK164" s="4086">
        <f>SUM(PK130:PK163)</f>
        <v>6556858.1669999994</v>
      </c>
      <c r="PL164" s="4086">
        <f>SUM(PL130:PL163)</f>
        <v>1035099.167</v>
      </c>
      <c r="PM164" s="4489">
        <f>PL164/PK164</f>
        <v>0.15786511476022905</v>
      </c>
      <c r="PN164" s="4086">
        <f>SUM(PN130:PN163)</f>
        <v>178</v>
      </c>
      <c r="PO164" s="4086">
        <f>SUM(PO130:PO163)</f>
        <v>5374475</v>
      </c>
      <c r="PP164" s="4086">
        <f>SUM(PP130:PP163)</f>
        <v>6341746.5</v>
      </c>
      <c r="PQ164" s="4086">
        <f>SUM(PQ130:PQ163)</f>
        <v>967271.5</v>
      </c>
      <c r="PR164" s="4489">
        <f>PQ164/PP164</f>
        <v>0.15252446624916338</v>
      </c>
      <c r="PS164" s="4086">
        <f>SUM(PS130:PS163)</f>
        <v>173</v>
      </c>
      <c r="PT164" s="4086">
        <f>SUM(PT130:PT163)</f>
        <v>5354969.7741935486</v>
      </c>
      <c r="PU164" s="4086">
        <f>SUM(PU130:PU163)</f>
        <v>6323986.9032258065</v>
      </c>
      <c r="PV164" s="4086">
        <f>SUM(PV130:PV163)</f>
        <v>969017.12903225806</v>
      </c>
      <c r="PW164" s="4489">
        <f>PV164/PU164</f>
        <v>0.15322883235858245</v>
      </c>
      <c r="PX164" s="4086">
        <f>SUM(PX130:PX163)</f>
        <v>190</v>
      </c>
      <c r="PY164" s="4086">
        <f>SUM(PY130:PY163)</f>
        <v>5565513.6129032262</v>
      </c>
      <c r="PZ164" s="4086">
        <f>SUM(PZ130:PZ163)</f>
        <v>6685993</v>
      </c>
      <c r="QA164" s="4086">
        <f>SUM(QA130:QA163)</f>
        <v>1120479.3870967741</v>
      </c>
      <c r="QB164" s="4489">
        <f>QA164/PZ164</f>
        <v>0.16758608438518768</v>
      </c>
      <c r="QC164" s="4488">
        <f>SUM(QC130:QC163)</f>
        <v>193</v>
      </c>
      <c r="QD164" s="4086">
        <f>SUM(QD130:QD163)</f>
        <v>5892907</v>
      </c>
      <c r="QE164" s="4086">
        <f>SUM(QE130:QE163)</f>
        <v>7086422.8799999999</v>
      </c>
      <c r="QF164" s="4086">
        <f>SUM(QF130:QF163)</f>
        <v>1193515.8799999999</v>
      </c>
      <c r="QG164" s="4489">
        <f>QF164/QE164</f>
        <v>0.16842289829590298</v>
      </c>
      <c r="QH164" s="4488">
        <f>SUM(QH130:QH163)</f>
        <v>197</v>
      </c>
      <c r="QI164" s="4086">
        <f>SUM(QI130:QI163)</f>
        <v>6093775</v>
      </c>
      <c r="QJ164" s="4086">
        <f>SUM(QJ130:QJ163)</f>
        <v>7213844.7000000002</v>
      </c>
      <c r="QK164" s="4086">
        <f>SUM(QK130:QK163)</f>
        <v>1120069.7</v>
      </c>
      <c r="QL164" s="4525">
        <f>QK164/QJ164</f>
        <v>0.1552666776982321</v>
      </c>
      <c r="QM164" s="4488">
        <f>SUM(QM130:QM163)</f>
        <v>202</v>
      </c>
      <c r="QN164" s="4086">
        <f>SUM(QN130:QN163)</f>
        <v>6214651</v>
      </c>
      <c r="QO164" s="4086">
        <f>SUM(QO130:QO163)</f>
        <v>7342775</v>
      </c>
      <c r="QP164" s="4086">
        <f>SUM(QP130:QP163)</f>
        <v>1128124</v>
      </c>
      <c r="QQ164" s="4489">
        <f>QP164/QO164</f>
        <v>0.15363728290734771</v>
      </c>
      <c r="QR164" s="2974">
        <f>SUM(QR130:QR163)</f>
        <v>204</v>
      </c>
      <c r="QS164" s="2975">
        <f>SUM(QS130:QS163)</f>
        <v>6458720</v>
      </c>
      <c r="QT164" s="2975">
        <f>SUM(QT130:QT163)</f>
        <v>7697283</v>
      </c>
      <c r="QU164" s="2975">
        <f>SUM(QU130:QU163)</f>
        <v>1238563</v>
      </c>
      <c r="QV164" s="100">
        <f>QU164/QT164</f>
        <v>0.16090911559312551</v>
      </c>
      <c r="QW164" s="2974">
        <f>SUM(QW130:QW163)</f>
        <v>199</v>
      </c>
      <c r="QX164" s="2975">
        <f>SUM(QX130:QX163)</f>
        <v>6438635.7741935486</v>
      </c>
      <c r="QY164" s="2975">
        <f>SUM(QY130:QY163)</f>
        <v>7646123.5099999998</v>
      </c>
      <c r="QZ164" s="2975">
        <f>SUM(QZ130:QZ163)</f>
        <v>1207487.7358064516</v>
      </c>
      <c r="RA164" s="100">
        <f>QZ164/QY164</f>
        <v>0.1579215577968674</v>
      </c>
      <c r="RB164" s="2974">
        <f>SUM(RB130:RB163)</f>
        <v>194</v>
      </c>
      <c r="RC164" s="2975">
        <f>SUM(RC130:RC163)</f>
        <v>6201900</v>
      </c>
      <c r="RD164" s="2975">
        <f>SUM(RD130:RD163)</f>
        <v>7350612.5</v>
      </c>
      <c r="RE164" s="2975">
        <f>SUM(RE130:RE163)</f>
        <v>1148712.5</v>
      </c>
      <c r="RF164" s="100">
        <f>RE164/RD164</f>
        <v>0.15627439209997807</v>
      </c>
      <c r="RG164" s="2974">
        <f>SUM(RG130:RG163)</f>
        <v>206</v>
      </c>
      <c r="RH164" s="2975">
        <f>SUM(RH130:RH163)</f>
        <v>6295531.6451612907</v>
      </c>
      <c r="RI164" s="2975">
        <f>SUM(RI130:RI163)</f>
        <v>7364184.5</v>
      </c>
      <c r="RJ164" s="2975">
        <f>SUM(RJ130:RJ163)</f>
        <v>1068652.8548387096</v>
      </c>
      <c r="RK164" s="100">
        <f>RJ164/RI164</f>
        <v>0.14511489423421012</v>
      </c>
      <c r="RL164" s="4491">
        <f>SUM(RL130:RL163)</f>
        <v>206</v>
      </c>
      <c r="RM164" s="2975">
        <f>SUM(RM130:RM163)</f>
        <v>70607249.806451604</v>
      </c>
      <c r="RN164" s="4495">
        <f>SUM(RN130:RN163)</f>
        <v>84067561.160225809</v>
      </c>
      <c r="RO164" s="2975">
        <f>SUM(RO130:RO163)</f>
        <v>13460311.353774194</v>
      </c>
      <c r="RP164" s="100">
        <f>RO164/RN164</f>
        <v>0.16011302300205849</v>
      </c>
      <c r="RQ164" s="4488">
        <f>SUM(RQ130:RQ163)</f>
        <v>182</v>
      </c>
      <c r="RR164" s="4086">
        <f>SUM(RR130:RR163)</f>
        <v>16090646</v>
      </c>
      <c r="RS164" s="4086">
        <f>SUM(RS130:RS163)</f>
        <v>19356335.166999999</v>
      </c>
      <c r="RT164" s="4086">
        <f>SUM(RT130:RT163)</f>
        <v>3265689.1670000004</v>
      </c>
      <c r="RU164" s="4493">
        <f>RT164/RS164</f>
        <v>0.16871422915674503</v>
      </c>
      <c r="RV164" s="4488">
        <f>SUM(RV130:RV163)</f>
        <v>193</v>
      </c>
      <c r="RW164" s="4086">
        <f>SUM(RW130:RW163)</f>
        <v>16813390.387096778</v>
      </c>
      <c r="RX164" s="4086">
        <f>SUM(RX130:RX163)</f>
        <v>20096402.783225805</v>
      </c>
      <c r="RY164" s="4086">
        <f>SUM(RY130:RY163)</f>
        <v>3283012.3961290317</v>
      </c>
      <c r="RZ164" s="4531">
        <f>RY164/RX164</f>
        <v>0.16336318651362411</v>
      </c>
      <c r="SA164" s="2974">
        <f>SUM(SA130:SA163)</f>
        <v>204</v>
      </c>
      <c r="SB164" s="2975">
        <f>SUM(SB130:SB163)</f>
        <v>18767146</v>
      </c>
      <c r="SC164" s="2975">
        <f>SUM(SC130:SC163)</f>
        <v>22253902.699999999</v>
      </c>
      <c r="SD164" s="2975">
        <f>SUM(SD130:SD163)</f>
        <v>3486756.7</v>
      </c>
      <c r="SE164" s="2980">
        <f>SD164/SC164</f>
        <v>0.15668068414804384</v>
      </c>
      <c r="SF164" s="4491">
        <f>SUM(SF130:SF163)</f>
        <v>206</v>
      </c>
      <c r="SG164" s="2975">
        <f>SUM(SG130:SG163)</f>
        <v>18936067.419354841</v>
      </c>
      <c r="SH164" s="2975">
        <f>SUM(SH130:SH163)</f>
        <v>22360920.509999998</v>
      </c>
      <c r="SI164" s="2975">
        <f>SUM(SI130:SI163)</f>
        <v>3424853.0906451615</v>
      </c>
      <c r="SJ164" s="2980">
        <f>SI164/SH164</f>
        <v>0.1531624375263772</v>
      </c>
      <c r="SL164" s="2974">
        <f>SUM(SL146:SL163)</f>
        <v>143</v>
      </c>
      <c r="SM164" s="2975">
        <f>SUM(SM130:SM163)</f>
        <v>5427550</v>
      </c>
      <c r="SN164" s="2975">
        <f>SUM(SN130:SN163)</f>
        <v>6437584.5</v>
      </c>
      <c r="SO164" s="2975">
        <f>SUM(SO130:SO163)</f>
        <v>1010034.5</v>
      </c>
      <c r="SP164" s="100">
        <f>SO164/SN164</f>
        <v>0.15689650364977734</v>
      </c>
      <c r="SQ164" s="2990">
        <f>SUM(SQ130:SQ163)</f>
        <v>164</v>
      </c>
      <c r="SR164" s="2975">
        <f>SUM(SR130:SR163)</f>
        <v>5092242</v>
      </c>
      <c r="SS164" s="2975">
        <f>SUM(SS130:SS163)</f>
        <v>5771120</v>
      </c>
      <c r="ST164" s="2975">
        <f>SUM(ST130:ST163)</f>
        <v>678878</v>
      </c>
      <c r="SU164" s="100">
        <f>ST164/SS164</f>
        <v>0.11763366556231719</v>
      </c>
      <c r="SV164" s="2990">
        <f>SUM(SV130:SV163)</f>
        <v>168</v>
      </c>
      <c r="SW164" s="2975">
        <f>SUM(SW130:SW163)</f>
        <v>5261328</v>
      </c>
      <c r="SX164" s="2975">
        <f>SUM(SX130:SX163)</f>
        <v>5866124</v>
      </c>
      <c r="SY164" s="2975">
        <f>SUM(SY130:SY163)</f>
        <v>604796</v>
      </c>
      <c r="SZ164" s="100">
        <f>SY164/SX164</f>
        <v>0.10309976400089736</v>
      </c>
      <c r="TA164" s="4086">
        <f>SUM(TA130:TA163)</f>
        <v>167</v>
      </c>
      <c r="TB164" s="4086">
        <f>SUM(TB130:TB163)</f>
        <v>5145943</v>
      </c>
      <c r="TC164" s="4086">
        <f>SUM(TC130:TC163)</f>
        <v>5792308</v>
      </c>
      <c r="TD164" s="4086">
        <f>SUM(TD130:TD163)</f>
        <v>646365</v>
      </c>
      <c r="TE164" s="4489">
        <f>TD164/TC164</f>
        <v>0.11159023311605668</v>
      </c>
      <c r="TF164" s="4086">
        <f>SUM(TF130:TF163)</f>
        <v>156</v>
      </c>
      <c r="TG164" s="4086">
        <f>SUM(TG130:TG163)</f>
        <v>4705065.6451612907</v>
      </c>
      <c r="TH164" s="4086">
        <f>SUM(TH130:TH163)</f>
        <v>5254899.16</v>
      </c>
      <c r="TI164" s="4086">
        <f>SUM(TI130:TI163)</f>
        <v>549833.5148387095</v>
      </c>
      <c r="TJ164" s="4489">
        <f>TI164/TH164</f>
        <v>0.1046325529943584</v>
      </c>
      <c r="TK164" s="2974">
        <f>SUM(TK130:TK163)</f>
        <v>164</v>
      </c>
      <c r="TL164" s="2975">
        <f>SUM(TL130:TL163)</f>
        <v>5063433.9333333299</v>
      </c>
      <c r="TM164" s="2975">
        <f>SUM(TM130:TM163)</f>
        <v>5512890.4666666668</v>
      </c>
      <c r="TN164" s="2975">
        <f>SUM(TN130:TN163)</f>
        <v>449456.53333333659</v>
      </c>
      <c r="TO164" s="100">
        <f>TN164/TM164</f>
        <v>8.1528290114042029E-2</v>
      </c>
      <c r="TP164" s="2974">
        <f>SUM(TP130:TP163)</f>
        <v>158</v>
      </c>
      <c r="TQ164" s="2975">
        <f>SUM(TQ130:TQ163)</f>
        <v>5074019.9032258065</v>
      </c>
      <c r="TR164" s="2975">
        <f>SUM(TR130:TR163)</f>
        <v>5492420.8386806445</v>
      </c>
      <c r="TS164" s="2975">
        <f>SUM(TS130:TS163)</f>
        <v>418400.93545483862</v>
      </c>
      <c r="TT164" s="100">
        <f>TS164/TR164</f>
        <v>7.6177872698360877E-2</v>
      </c>
      <c r="TU164" s="4498">
        <f>SUM(TU130:TU163)</f>
        <v>161</v>
      </c>
      <c r="TV164" s="4086">
        <f>SUM(TV130:TV163)</f>
        <v>5154346</v>
      </c>
      <c r="TW164" s="4086">
        <f>SUM(TW130:TW163)</f>
        <v>5622271</v>
      </c>
      <c r="TX164" s="4086">
        <f>SUM(TX130:TX163)</f>
        <v>467925</v>
      </c>
      <c r="TY164" s="4489">
        <f>TX164/TW164</f>
        <v>8.3227044729789798E-2</v>
      </c>
      <c r="TZ164" s="2974">
        <f>SUM(TZ130:TZ163)</f>
        <v>156</v>
      </c>
      <c r="UA164" s="2975">
        <f>SUM(UA130:UA163)</f>
        <v>5057120</v>
      </c>
      <c r="UB164" s="2975">
        <f>SUM(UB130:UB163)</f>
        <v>5567960.5109999999</v>
      </c>
      <c r="UC164" s="2975">
        <f>SUM(UC130:UC163)</f>
        <v>510840.511</v>
      </c>
      <c r="UD164" s="100">
        <f>UC164/UB164</f>
        <v>9.1746432107553427E-2</v>
      </c>
      <c r="UE164" s="2974">
        <f>SUM(UE130:UE163)</f>
        <v>153</v>
      </c>
      <c r="UF164" s="2975">
        <f>SUM(UF130:UF163)</f>
        <v>4990709</v>
      </c>
      <c r="UG164" s="2975">
        <f>SUM(UG130:UG163)</f>
        <v>5643009.5109999999</v>
      </c>
      <c r="UH164" s="2975">
        <f>SUM(UH130:UH163)</f>
        <v>652300.51099999994</v>
      </c>
      <c r="UI164" s="100">
        <f>UH164/UG164</f>
        <v>0.11559443763624022</v>
      </c>
      <c r="UJ164" s="2974">
        <f>SUM(UJ130:UJ163)</f>
        <v>0</v>
      </c>
      <c r="UK164" s="2975">
        <f>SUM(UK130:UK163)</f>
        <v>0</v>
      </c>
      <c r="UL164" s="2975">
        <f>SUM(UL130:UL163)</f>
        <v>0</v>
      </c>
      <c r="UM164" s="2975">
        <f>SUM(UM130:UM163)</f>
        <v>0</v>
      </c>
      <c r="UN164" s="100" t="e">
        <f>UM164/UL164</f>
        <v>#DIV/0!</v>
      </c>
      <c r="UO164" s="2974">
        <f>SUM(UO130:UO163)</f>
        <v>0</v>
      </c>
      <c r="UP164" s="2975">
        <f>SUM(UP130:UP163)</f>
        <v>0</v>
      </c>
      <c r="UQ164" s="2975">
        <f>SUM(UQ130:UQ163)</f>
        <v>0</v>
      </c>
      <c r="UR164" s="2975">
        <f>SUM(UR130:UR163)</f>
        <v>0</v>
      </c>
      <c r="US164" s="100" t="e">
        <f>UR164/UQ164</f>
        <v>#DIV/0!</v>
      </c>
      <c r="UT164" s="2974">
        <f>SUM(UT130:UT163)</f>
        <v>0</v>
      </c>
      <c r="UU164" s="2975">
        <f>SUM(UU130:UU163)</f>
        <v>50971757.481720425</v>
      </c>
      <c r="UV164" s="4495">
        <f>SUM(UV130:UV163)</f>
        <v>56960587.987347312</v>
      </c>
      <c r="UW164" s="2975">
        <f>SUM(UW130:UW163)</f>
        <v>5988830.5056268843</v>
      </c>
      <c r="UX164" s="4492">
        <f>UW164/UV164</f>
        <v>0.10513989966109877</v>
      </c>
      <c r="UY164" s="2487">
        <f>SUM(UY130:UY163)</f>
        <v>167.33333333333331</v>
      </c>
      <c r="UZ164" s="2488">
        <f>SUM(UZ130:UZ163)</f>
        <v>15781120</v>
      </c>
      <c r="VA164" s="2488">
        <f>SUM(VA130:VA163)</f>
        <v>18074828.5</v>
      </c>
      <c r="VB164" s="2488">
        <f>SUM(VB130:VB163)</f>
        <v>2293708.5</v>
      </c>
      <c r="VC164" s="2489">
        <f>VB164/VA164</f>
        <v>0.1269007061394801</v>
      </c>
      <c r="VD164" s="2487">
        <f>SUM(VD130:VD163)</f>
        <v>0</v>
      </c>
      <c r="VE164" s="2488">
        <f>SUM(VE130:VE163)</f>
        <v>14822776.578494621</v>
      </c>
      <c r="VF164" s="2488">
        <f>SUM(VF130:VF163)</f>
        <v>16410097.626666667</v>
      </c>
      <c r="VG164" s="2488">
        <f>SUM(VG130:VG163)</f>
        <v>1587321.0481720462</v>
      </c>
      <c r="VH164" s="2660">
        <f>VG164/VF164</f>
        <v>9.6728312304042885E-2</v>
      </c>
      <c r="VI164" s="2483">
        <f>SUM(VI130:VI163)</f>
        <v>0</v>
      </c>
      <c r="VJ164" s="2484">
        <f>SUM(VJ130:VJ163)</f>
        <v>15285485.903225806</v>
      </c>
      <c r="VK164" s="2484">
        <f>SUM(VK130:VK163)</f>
        <v>16682652.349680645</v>
      </c>
      <c r="VL164" s="2484">
        <f>SUM(VL130:VL163)</f>
        <v>1397166.4464548386</v>
      </c>
      <c r="VM164" s="2485">
        <f>VL164/VK164</f>
        <v>8.3749659057157325E-2</v>
      </c>
      <c r="VN164" s="2490">
        <f>SUM(VN130:VN163)</f>
        <v>0</v>
      </c>
      <c r="VO164" s="2484">
        <f>SUM(VO130:VO163)</f>
        <v>4422365</v>
      </c>
      <c r="VP164" s="2484">
        <f>SUM(VP130:VP163)</f>
        <v>4939751.5109999999</v>
      </c>
      <c r="VQ164" s="2484">
        <f>SUM(VQ130:VQ163)</f>
        <v>517386.511</v>
      </c>
      <c r="VR164" s="2486">
        <f>VQ164/VP164</f>
        <v>0.10473938007769558</v>
      </c>
    </row>
    <row r="165" spans="1:592" s="1193" customFormat="1" ht="13.45" hidden="1" x14ac:dyDescent="0.3">
      <c r="A165" s="1297"/>
      <c r="B165" s="2661"/>
      <c r="C165" s="4114" t="s">
        <v>102</v>
      </c>
      <c r="D165" s="4115"/>
      <c r="E165" s="4116"/>
      <c r="F165" s="4116"/>
      <c r="G165" s="2493"/>
      <c r="H165" s="1874"/>
      <c r="I165" s="1875"/>
      <c r="J165" s="1875"/>
      <c r="K165" s="1875"/>
      <c r="L165" s="1876"/>
      <c r="M165" s="1874"/>
      <c r="N165" s="1875"/>
      <c r="O165" s="1875"/>
      <c r="P165" s="1875"/>
      <c r="Q165" s="1876"/>
      <c r="R165" s="1874"/>
      <c r="S165" s="1875"/>
      <c r="T165" s="1875"/>
      <c r="U165" s="1875"/>
      <c r="V165" s="1876"/>
      <c r="W165" s="1874"/>
      <c r="X165" s="1875"/>
      <c r="Y165" s="1875"/>
      <c r="Z165" s="1875"/>
      <c r="AA165" s="1877"/>
      <c r="AB165" s="1874"/>
      <c r="AC165" s="1875"/>
      <c r="AD165" s="1875"/>
      <c r="AE165" s="1875"/>
      <c r="AF165" s="1877"/>
      <c r="AG165" s="1875"/>
      <c r="AH165" s="1875"/>
      <c r="AI165" s="1875"/>
      <c r="AJ165" s="1875"/>
      <c r="AK165" s="1876"/>
      <c r="AL165" s="1875"/>
      <c r="AM165" s="1875"/>
      <c r="AN165" s="1875"/>
      <c r="AO165" s="1875"/>
      <c r="AP165" s="1876"/>
      <c r="AQ165" s="1875"/>
      <c r="AR165" s="1875"/>
      <c r="AS165" s="1875"/>
      <c r="AT165" s="1875"/>
      <c r="AU165" s="1876"/>
      <c r="AV165" s="1878"/>
      <c r="AW165" s="1875"/>
      <c r="AX165" s="1875"/>
      <c r="AY165" s="1875"/>
      <c r="AZ165" s="1877"/>
      <c r="BA165" s="1878"/>
      <c r="BB165" s="1875"/>
      <c r="BC165" s="1875"/>
      <c r="BD165" s="1875"/>
      <c r="BE165" s="1877"/>
      <c r="BF165" s="1878"/>
      <c r="BG165" s="1875"/>
      <c r="BH165" s="1875"/>
      <c r="BI165" s="1875"/>
      <c r="BJ165" s="1877"/>
      <c r="BK165" s="1878"/>
      <c r="BL165" s="1875"/>
      <c r="BM165" s="1875"/>
      <c r="BN165" s="1875"/>
      <c r="BO165" s="1877"/>
      <c r="BP165" s="1879"/>
      <c r="BQ165" s="1875"/>
      <c r="BR165" s="1875"/>
      <c r="BS165" s="1875"/>
      <c r="BT165" s="1880"/>
      <c r="BU165" s="1875"/>
      <c r="BV165" s="1875"/>
      <c r="BW165" s="1881"/>
      <c r="BX165" s="1880"/>
      <c r="BY165" s="1875"/>
      <c r="BZ165" s="1875"/>
      <c r="CA165" s="1882"/>
      <c r="CB165" s="1875"/>
      <c r="CC165" s="1875"/>
      <c r="CD165" s="1875"/>
      <c r="CE165" s="1875"/>
      <c r="CF165" s="1880"/>
      <c r="CG165" s="1875"/>
      <c r="CH165" s="1875"/>
      <c r="CI165" s="1882"/>
      <c r="CJ165" s="1883"/>
      <c r="CK165" s="1875"/>
      <c r="CL165" s="1875"/>
      <c r="CM165" s="1875"/>
      <c r="CN165" s="1881"/>
      <c r="CO165" s="1883"/>
      <c r="CP165" s="1874"/>
      <c r="CQ165" s="1874"/>
      <c r="CR165" s="1874"/>
      <c r="CS165" s="1881"/>
      <c r="CT165" s="1883"/>
      <c r="CU165" s="1875"/>
      <c r="CV165" s="1875"/>
      <c r="CW165" s="1875"/>
      <c r="CX165" s="1881"/>
      <c r="CY165" s="1883"/>
      <c r="CZ165" s="1875"/>
      <c r="DA165" s="1875"/>
      <c r="DB165" s="1875"/>
      <c r="DC165" s="1881"/>
      <c r="DD165" s="1883"/>
      <c r="DE165" s="1875"/>
      <c r="DF165" s="1875"/>
      <c r="DG165" s="1875"/>
      <c r="DH165" s="1884"/>
      <c r="DI165" s="1883"/>
      <c r="DJ165" s="1875"/>
      <c r="DK165" s="1875"/>
      <c r="DL165" s="1875"/>
      <c r="DM165" s="1884"/>
      <c r="DN165" s="1883"/>
      <c r="DO165" s="1875"/>
      <c r="DP165" s="1875"/>
      <c r="DQ165" s="1875"/>
      <c r="DR165" s="1884"/>
      <c r="DS165" s="1883"/>
      <c r="DT165" s="1875"/>
      <c r="DU165" s="1875"/>
      <c r="DV165" s="1875"/>
      <c r="DW165" s="1884"/>
      <c r="DX165" s="1883"/>
      <c r="DY165" s="1875"/>
      <c r="DZ165" s="1875"/>
      <c r="EA165" s="1875"/>
      <c r="EB165" s="1884"/>
      <c r="EC165" s="1883"/>
      <c r="ED165" s="1875"/>
      <c r="EE165" s="1875"/>
      <c r="EF165" s="1875"/>
      <c r="EG165" s="1884"/>
      <c r="EH165" s="1885"/>
      <c r="EI165" s="1886"/>
      <c r="EJ165" s="1886"/>
      <c r="EK165" s="1886"/>
      <c r="EL165" s="1887"/>
      <c r="EM165" s="1888"/>
      <c r="EN165" s="1889"/>
      <c r="EO165" s="1889"/>
      <c r="EP165" s="1889"/>
      <c r="EQ165" s="166"/>
      <c r="ER165" s="2494"/>
      <c r="ES165" s="2495"/>
      <c r="ET165" s="2495"/>
      <c r="EU165" s="2495"/>
      <c r="EV165" s="2496"/>
      <c r="EW165" s="1890"/>
      <c r="EX165" s="1890"/>
      <c r="EY165" s="1890"/>
      <c r="EZ165" s="1891"/>
      <c r="FA165" s="1885"/>
      <c r="FB165" s="1890"/>
      <c r="FC165" s="1890"/>
      <c r="FD165" s="1892"/>
      <c r="FE165" s="1890"/>
      <c r="FF165" s="1890"/>
      <c r="FG165" s="1890"/>
      <c r="FH165" s="1891"/>
      <c r="FI165" s="1893"/>
      <c r="FJ165" s="1894"/>
      <c r="FK165" s="1895"/>
      <c r="FL165" s="1895"/>
      <c r="FM165" s="1896"/>
      <c r="FN165" s="1890"/>
      <c r="FO165" s="1886"/>
      <c r="FP165" s="1886"/>
      <c r="FQ165" s="1886"/>
      <c r="FR165" s="1897"/>
      <c r="FS165" s="1888"/>
      <c r="FT165" s="1889"/>
      <c r="FU165" s="1889"/>
      <c r="FV165" s="1889"/>
      <c r="FW165" s="1898"/>
      <c r="FX165" s="1885"/>
      <c r="FY165" s="1886"/>
      <c r="FZ165" s="1886"/>
      <c r="GA165" s="1889"/>
      <c r="GB165" s="1898"/>
      <c r="GC165" s="1885"/>
      <c r="GD165" s="1886"/>
      <c r="GE165" s="1886"/>
      <c r="GF165" s="1889"/>
      <c r="GG165" s="166"/>
      <c r="GH165" s="1888"/>
      <c r="GI165" s="1889"/>
      <c r="GJ165" s="1889"/>
      <c r="GK165" s="1902"/>
      <c r="GL165" s="1898"/>
      <c r="GM165" s="1888"/>
      <c r="GN165" s="1889"/>
      <c r="GO165" s="1889"/>
      <c r="GP165" s="1902"/>
      <c r="GQ165" s="1898"/>
      <c r="GR165" s="2497"/>
      <c r="GS165" s="2118"/>
      <c r="GT165" s="2118"/>
      <c r="GU165" s="1902"/>
      <c r="GV165" s="1898"/>
      <c r="GW165" s="2497"/>
      <c r="GX165" s="2118"/>
      <c r="GY165" s="2118"/>
      <c r="GZ165" s="1902"/>
      <c r="HA165" s="1898"/>
      <c r="HB165" s="2497"/>
      <c r="HC165" s="2118"/>
      <c r="HD165" s="2118"/>
      <c r="HE165" s="1902"/>
      <c r="HF165" s="1898"/>
      <c r="HG165" s="2497"/>
      <c r="HH165" s="2118"/>
      <c r="HI165" s="2118"/>
      <c r="HJ165" s="2088"/>
      <c r="HK165" s="1898"/>
      <c r="HL165" s="2497"/>
      <c r="HM165" s="2118"/>
      <c r="HN165" s="2118"/>
      <c r="HO165" s="715"/>
      <c r="HP165" s="166"/>
      <c r="HQ165" s="2587"/>
      <c r="HR165" s="1916"/>
      <c r="HS165" s="1916"/>
      <c r="HT165" s="1916"/>
      <c r="HU165" s="2662"/>
      <c r="HV165" s="2663"/>
      <c r="HW165" s="2664"/>
      <c r="HX165" s="2664"/>
      <c r="HY165" s="2664"/>
      <c r="HZ165" s="2665"/>
      <c r="IA165" s="1912"/>
      <c r="IB165" s="1908"/>
      <c r="IC165" s="1908"/>
      <c r="ID165" s="1909"/>
      <c r="IE165" s="1910"/>
      <c r="IF165" s="1911"/>
      <c r="IG165" s="1912"/>
      <c r="IH165" s="1909"/>
      <c r="II165" s="1835"/>
      <c r="IJ165" s="1836"/>
      <c r="IK165" s="1836"/>
      <c r="IL165" s="693"/>
      <c r="IM165" s="1913"/>
      <c r="IN165" s="1836"/>
      <c r="IO165" s="1836"/>
      <c r="IP165" s="1838"/>
      <c r="IQ165" s="1914"/>
      <c r="IR165" s="1915"/>
      <c r="IS165" s="1916"/>
      <c r="IT165" s="1916"/>
      <c r="IU165" s="2503"/>
      <c r="IV165" s="2504"/>
      <c r="IW165" s="2505"/>
      <c r="IX165" s="2506"/>
      <c r="IY165" s="2507"/>
      <c r="IZ165" s="2064"/>
      <c r="JA165" s="2508"/>
      <c r="JB165" s="1922"/>
      <c r="JC165" s="1923"/>
      <c r="JD165" s="1924"/>
      <c r="JE165" s="2064"/>
      <c r="JF165" s="2508"/>
      <c r="JG165" s="1922"/>
      <c r="JH165" s="1142"/>
      <c r="JI165" s="1142"/>
      <c r="JJ165" s="2509"/>
      <c r="JK165" s="2508"/>
      <c r="JL165" s="2510"/>
      <c r="JM165" s="1142"/>
      <c r="JN165" s="1142"/>
      <c r="JO165" s="2511"/>
      <c r="JP165" s="2508"/>
      <c r="JQ165" s="2512"/>
      <c r="JR165" s="2513"/>
      <c r="JS165" s="1916"/>
      <c r="JT165" s="2514"/>
      <c r="JU165" s="2515"/>
      <c r="JV165" s="2516"/>
      <c r="JW165" s="1137"/>
      <c r="JX165" s="1978"/>
      <c r="JY165" s="1978"/>
      <c r="JZ165" s="2508"/>
      <c r="KA165" s="2517"/>
      <c r="KB165" s="946"/>
      <c r="KC165" s="946"/>
      <c r="KD165" s="937"/>
      <c r="KE165" s="159"/>
      <c r="KF165" s="2516"/>
      <c r="KG165" s="1978"/>
      <c r="KH165" s="1978"/>
      <c r="KI165" s="2064">
        <f>KH165-KG165</f>
        <v>0</v>
      </c>
      <c r="KJ165" s="2508"/>
      <c r="KK165" s="2516"/>
      <c r="KL165" s="1978"/>
      <c r="KM165" s="1978"/>
      <c r="KN165" s="2064">
        <f>KM165-KL165</f>
        <v>0</v>
      </c>
      <c r="KO165" s="2508"/>
      <c r="KP165" s="2067"/>
      <c r="KQ165" s="949"/>
      <c r="KR165" s="946"/>
      <c r="KS165" s="2518">
        <f>KR165-KQ165</f>
        <v>0</v>
      </c>
      <c r="KT165" s="2065"/>
      <c r="KU165" s="2519"/>
      <c r="KV165" s="946"/>
      <c r="KW165" s="946"/>
      <c r="KX165" s="946">
        <f>KW165-KV165</f>
        <v>0</v>
      </c>
      <c r="KY165" s="82"/>
      <c r="KZ165" s="2072">
        <f>(IR165+IW165+JB165+JG165+JL165+JQ165+JV165+KA165+KF165+KK165+KP165+KU165)/12</f>
        <v>0</v>
      </c>
      <c r="LA165" s="823">
        <f>IS165+IX165+JC165+JH165+JM165+JR165+JW165+KB165+KG165+KL165+KQ165+KV165</f>
        <v>0</v>
      </c>
      <c r="LB165" s="823">
        <f>IT165+IY165+JD165+JI165+JN165+JS165+JX165+KC165+KH165+KM165+KR165+KW165</f>
        <v>0</v>
      </c>
      <c r="LC165" s="823">
        <f>IU165+IZ165+JE165+JJ165+JO165+JT165+JY165+KD165+KI165+KN165+KS165+KX165</f>
        <v>0</v>
      </c>
      <c r="LD165" s="1929"/>
      <c r="LE165" s="2074"/>
      <c r="LF165" s="2070"/>
      <c r="LG165" s="2070"/>
      <c r="LH165" s="2071"/>
      <c r="LI165" s="2072"/>
      <c r="LJ165" s="2073"/>
      <c r="LK165" s="2074"/>
      <c r="LL165" s="2071"/>
      <c r="LM165" s="1859">
        <f>(JV165+KA165+KF165)/3</f>
        <v>0</v>
      </c>
      <c r="LN165" s="1727">
        <f>(JX165+KC165+KH165)</f>
        <v>0</v>
      </c>
      <c r="LO165" s="1727">
        <f>(JY165+KD165+KI165)</f>
        <v>0</v>
      </c>
      <c r="LP165" s="150"/>
      <c r="LQ165" s="1860"/>
      <c r="LR165" s="1727">
        <f>(KM165+KR165+KW165)</f>
        <v>0</v>
      </c>
      <c r="LS165" s="1727">
        <f>(KN165+KS165+KX165)</f>
        <v>0</v>
      </c>
      <c r="LT165" s="1861"/>
      <c r="LV165" s="2666"/>
      <c r="LW165" s="2667">
        <v>158479</v>
      </c>
      <c r="LX165" s="2667"/>
      <c r="LY165" s="360">
        <f>LX165-LW165</f>
        <v>-158479</v>
      </c>
      <c r="LZ165" s="167"/>
      <c r="MA165" s="2668"/>
      <c r="MB165" s="1916"/>
      <c r="MC165" s="1916"/>
      <c r="MD165" s="2669"/>
      <c r="ME165" s="82"/>
      <c r="MF165" s="2522"/>
      <c r="MG165" s="2055"/>
      <c r="MH165" s="2055"/>
      <c r="MI165" s="371">
        <f>MH165-MG165</f>
        <v>0</v>
      </c>
      <c r="MJ165" s="170"/>
      <c r="MK165" s="2053"/>
      <c r="ML165" s="1066">
        <v>256384</v>
      </c>
      <c r="MM165" s="1066">
        <v>0</v>
      </c>
      <c r="MN165" s="2521">
        <f>MM165-ML165</f>
        <v>-256384</v>
      </c>
      <c r="MO165" s="170"/>
      <c r="MP165" s="2523"/>
      <c r="MQ165" s="2524">
        <v>412501</v>
      </c>
      <c r="MR165" s="2524">
        <v>0</v>
      </c>
      <c r="MS165" s="1936">
        <f>MR165-MQ165</f>
        <v>-412501</v>
      </c>
      <c r="MT165" s="2525"/>
      <c r="MU165" s="2538"/>
      <c r="MV165" s="2524">
        <v>412501</v>
      </c>
      <c r="MW165" s="2524">
        <v>0</v>
      </c>
      <c r="MX165" s="1936">
        <f>MW165-MV165</f>
        <v>-412501</v>
      </c>
      <c r="MY165" s="2525"/>
      <c r="MZ165" s="2523"/>
      <c r="NA165" s="2524"/>
      <c r="NB165" s="2524">
        <v>0</v>
      </c>
      <c r="NC165" s="1936">
        <f>NB165-NA165</f>
        <v>0</v>
      </c>
      <c r="ND165" s="2525"/>
      <c r="NE165" s="2523"/>
      <c r="NF165" s="2524"/>
      <c r="NG165" s="2524">
        <v>0</v>
      </c>
      <c r="NH165" s="1936">
        <f>NG165-NF165</f>
        <v>0</v>
      </c>
      <c r="NI165" s="2525"/>
      <c r="NJ165" s="2523"/>
      <c r="NK165" s="2524"/>
      <c r="NL165" s="2524">
        <v>0</v>
      </c>
      <c r="NM165" s="1936">
        <f>NL165-NK165</f>
        <v>0</v>
      </c>
      <c r="NN165" s="2525"/>
      <c r="NO165" s="2670"/>
      <c r="NP165" s="2671"/>
      <c r="NQ165" s="2672">
        <v>0</v>
      </c>
      <c r="NR165" s="1936">
        <f>NQ165-NP165</f>
        <v>0</v>
      </c>
      <c r="NS165" s="2525"/>
      <c r="NT165" s="1022"/>
      <c r="NU165" s="1568"/>
      <c r="NV165" s="1568"/>
      <c r="NW165" s="1568"/>
      <c r="NX165" s="2673"/>
      <c r="NY165" s="1022"/>
      <c r="NZ165" s="1568"/>
      <c r="OA165" s="1568"/>
      <c r="OB165" s="1568"/>
      <c r="OC165" s="2674"/>
      <c r="OD165" s="756">
        <f>(NY165+NT165+NO165+NJ165+NE165+MZ165+MU165+MP165+MK165+MF165+MA165+LV165)/12</f>
        <v>0</v>
      </c>
      <c r="OE165" s="2532">
        <f>NZ165+NU165+NP165+NK165+NF165+NA165+MV165+MQ165+ML165+MG165+MB165+LW165</f>
        <v>1239865</v>
      </c>
      <c r="OF165" s="2532">
        <f>OA165+NV165+NQ165+NL165+NG165+NB165+MW165+MR165+MM165+MH165+MC165+LX165</f>
        <v>0</v>
      </c>
      <c r="OG165" s="2532">
        <f>OB165+NW165+NR165+NM165+NH165+NC165+MX165+MS165+MN165+MI165+MD165+LY165</f>
        <v>-1239865</v>
      </c>
      <c r="OH165" s="2534"/>
      <c r="OI165" s="1868"/>
      <c r="OJ165" s="1871"/>
      <c r="OK165" s="1575"/>
      <c r="OL165" s="105">
        <f>LY165+MD165+MI165</f>
        <v>-158479</v>
      </c>
      <c r="OM165" s="374"/>
      <c r="ON165" s="1868"/>
      <c r="OO165" s="358">
        <f>ML165+MQ165+MV165</f>
        <v>1081386</v>
      </c>
      <c r="OP165" s="358">
        <f>MM165+MR165+MW165</f>
        <v>0</v>
      </c>
      <c r="OQ165" s="359">
        <f>MN165+MS165+MX165</f>
        <v>-1081386</v>
      </c>
      <c r="OR165" s="2675"/>
      <c r="OS165" s="1868"/>
      <c r="OT165" s="1871"/>
      <c r="OU165" s="1575"/>
      <c r="OV165" s="1575"/>
      <c r="OW165" s="2675"/>
      <c r="OX165" s="1868"/>
      <c r="OY165" s="1871"/>
      <c r="OZ165" s="1575"/>
      <c r="PA165" s="1575"/>
      <c r="PB165" s="83"/>
      <c r="PC165" s="79"/>
      <c r="PD165" s="2666"/>
      <c r="PE165" s="2667"/>
      <c r="PF165" s="2667"/>
      <c r="PG165" s="360">
        <f>PF165-PE165</f>
        <v>0</v>
      </c>
      <c r="PH165" s="167"/>
      <c r="PI165" s="2668"/>
      <c r="PJ165" s="1916"/>
      <c r="PK165" s="1916"/>
      <c r="PL165" s="2669"/>
      <c r="PM165" s="82"/>
      <c r="PN165" s="2522"/>
      <c r="PO165" s="2055"/>
      <c r="PP165" s="2055"/>
      <c r="PQ165" s="371">
        <f>PP165-PO165</f>
        <v>0</v>
      </c>
      <c r="PR165" s="170"/>
      <c r="PS165" s="2058"/>
      <c r="PT165" s="2055"/>
      <c r="PU165" s="2055">
        <v>0</v>
      </c>
      <c r="PV165" s="2536">
        <f>PU165-PT165</f>
        <v>0</v>
      </c>
      <c r="PW165" s="2537"/>
      <c r="PX165" s="2523"/>
      <c r="PY165" s="2524"/>
      <c r="PZ165" s="2524">
        <v>0</v>
      </c>
      <c r="QA165" s="1936">
        <f>PZ165-PY165</f>
        <v>0</v>
      </c>
      <c r="QB165" s="2525"/>
      <c r="QC165" s="2523"/>
      <c r="QD165" s="2524"/>
      <c r="QE165" s="2524">
        <v>0</v>
      </c>
      <c r="QF165" s="1936">
        <f>QE165-QD165</f>
        <v>0</v>
      </c>
      <c r="QG165" s="2525"/>
      <c r="QH165" s="2676"/>
      <c r="QI165" s="2524"/>
      <c r="QJ165" s="2524">
        <v>0</v>
      </c>
      <c r="QK165" s="1936">
        <f>QJ165-QI165</f>
        <v>0</v>
      </c>
      <c r="QL165" s="2525"/>
      <c r="QM165" s="2676"/>
      <c r="QN165" s="2524">
        <v>0</v>
      </c>
      <c r="QO165" s="2524">
        <v>0</v>
      </c>
      <c r="QP165" s="1936">
        <f>QO165-QN165</f>
        <v>0</v>
      </c>
      <c r="QQ165" s="2525"/>
      <c r="QR165" s="2670"/>
      <c r="QS165" s="2671"/>
      <c r="QT165" s="2671">
        <v>0</v>
      </c>
      <c r="QU165" s="2186">
        <f>QT165-QS165</f>
        <v>0</v>
      </c>
      <c r="QV165" s="2677"/>
      <c r="QW165" s="2678"/>
      <c r="QX165" s="2679"/>
      <c r="QY165" s="2680">
        <v>0</v>
      </c>
      <c r="QZ165" s="1936">
        <f>QY165-QX165</f>
        <v>0</v>
      </c>
      <c r="RA165" s="2525"/>
      <c r="RB165" s="1022"/>
      <c r="RC165" s="1568"/>
      <c r="RD165" s="1568"/>
      <c r="RE165" s="1568"/>
      <c r="RF165" s="2673"/>
      <c r="RG165" s="1567"/>
      <c r="RH165" s="1568"/>
      <c r="RI165" s="1568"/>
      <c r="RJ165" s="1568"/>
      <c r="RK165" s="2674"/>
      <c r="RL165" s="428">
        <f>(RG165+RB165+QW165+QR165+QM165+QH165+QC165+PX165+PS165+PN165+PI165+PD165)/12</f>
        <v>0</v>
      </c>
      <c r="RM165" s="453">
        <f>RH165+RC165+QX165+QS165+QN165+QI165+QD165+PY165+PT165+PO165+PJ165+PE165</f>
        <v>0</v>
      </c>
      <c r="RN165" s="1193">
        <f>RI165+RD165+QY165+QT165+QO165+QJ165+QE165+PZ165+PU165+PP165+PK165+PF165</f>
        <v>0</v>
      </c>
      <c r="RO165" s="453">
        <f>RJ165+RE165+QZ165+QU165+QP165+QK165+QF165+QA165+PV165+PQ165+PL165+PG165</f>
        <v>0</v>
      </c>
      <c r="RP165" s="1929"/>
      <c r="RQ165" s="1868"/>
      <c r="RR165" s="1871"/>
      <c r="RS165" s="1575"/>
      <c r="RT165" s="105">
        <f>PG165+PL165+PQ165</f>
        <v>0</v>
      </c>
      <c r="RU165" s="374"/>
      <c r="RV165" s="1868"/>
      <c r="RW165" s="358">
        <f>PT165+PY165+QD165</f>
        <v>0</v>
      </c>
      <c r="RX165" s="358">
        <f>PU165+PZ165+QE165</f>
        <v>0</v>
      </c>
      <c r="RY165" s="359">
        <f>PV165+QA165+QF165</f>
        <v>0</v>
      </c>
      <c r="RZ165" s="2675"/>
      <c r="SA165" s="1868"/>
      <c r="SB165" s="1871"/>
      <c r="SC165" s="1575"/>
      <c r="SD165" s="1575"/>
      <c r="SE165" s="2675"/>
      <c r="SF165" s="410">
        <f>(SA165+RV165+RQ165+RL165+RG165+RB165+QW165+QR165+QM165+QH165+QC165+PX165)/12</f>
        <v>0</v>
      </c>
      <c r="SG165" s="1871"/>
      <c r="SH165" s="1575"/>
      <c r="SI165" s="1575"/>
      <c r="SJ165" s="83"/>
      <c r="SL165" s="2666"/>
      <c r="SM165" s="2667"/>
      <c r="SN165" s="2667"/>
      <c r="SO165" s="3537">
        <f>SN165-SM165</f>
        <v>0</v>
      </c>
      <c r="SP165" s="3538"/>
      <c r="SQ165" s="3661"/>
      <c r="SR165" s="3662"/>
      <c r="SS165" s="3662"/>
      <c r="ST165" s="3663"/>
      <c r="SU165" s="3664"/>
      <c r="SV165" s="1606"/>
      <c r="SW165" s="1066"/>
      <c r="SX165" s="1066"/>
      <c r="SY165" s="371">
        <f>SX165-SW165</f>
        <v>0</v>
      </c>
      <c r="SZ165" s="170"/>
      <c r="TA165" s="2053"/>
      <c r="TB165" s="1066"/>
      <c r="TC165" s="1066">
        <v>0</v>
      </c>
      <c r="TD165" s="2521">
        <f>TC165-TB165</f>
        <v>0</v>
      </c>
      <c r="TE165" s="170"/>
      <c r="TF165" s="2523"/>
      <c r="TG165" s="2524"/>
      <c r="TH165" s="2524">
        <v>0</v>
      </c>
      <c r="TI165" s="1936">
        <f>TH165-TG165</f>
        <v>0</v>
      </c>
      <c r="TJ165" s="4532"/>
      <c r="TK165" s="2720"/>
      <c r="TL165" s="2527"/>
      <c r="TM165" s="2527">
        <v>0</v>
      </c>
      <c r="TN165" s="2527">
        <f>TM165-TL165</f>
        <v>0</v>
      </c>
      <c r="TO165" s="86"/>
      <c r="TP165" s="4503"/>
      <c r="TQ165" s="2527"/>
      <c r="TR165" s="2527">
        <v>0</v>
      </c>
      <c r="TS165" s="2527">
        <f>TR165-TQ165</f>
        <v>0</v>
      </c>
      <c r="TT165" s="86"/>
      <c r="TU165" s="5263"/>
      <c r="TV165" s="4533">
        <v>0</v>
      </c>
      <c r="TW165" s="4533">
        <v>0</v>
      </c>
      <c r="TX165" s="4533">
        <f>TW165-TV165</f>
        <v>0</v>
      </c>
      <c r="TY165" s="4532"/>
      <c r="TZ165" s="3163"/>
      <c r="UA165" s="2530"/>
      <c r="UB165" s="2530">
        <v>0</v>
      </c>
      <c r="UC165" s="2530">
        <f>UB165-UA165</f>
        <v>0</v>
      </c>
      <c r="UD165" s="4534"/>
      <c r="UE165" s="2720"/>
      <c r="UF165" s="2527"/>
      <c r="UG165" s="4535">
        <v>0</v>
      </c>
      <c r="UH165" s="4533">
        <f>UG165-UF165</f>
        <v>0</v>
      </c>
      <c r="UI165" s="4532"/>
      <c r="UJ165" s="2529"/>
      <c r="UK165" s="2530"/>
      <c r="UL165" s="2530"/>
      <c r="UM165" s="2530"/>
      <c r="UN165" s="2534"/>
      <c r="UO165" s="2543"/>
      <c r="UP165" s="2530"/>
      <c r="UQ165" s="2530"/>
      <c r="UR165" s="2530"/>
      <c r="US165" s="2528"/>
      <c r="UT165" s="194">
        <f>(UO165+UJ165+UE165+TZ165+TU165+TP165+TK165+TF165+TA165+SV165+SQ165+SL165)/12</f>
        <v>0</v>
      </c>
      <c r="UU165" s="2532">
        <f>UP165+UK165+UF165+UA165+TV165+TQ165+TL165+TG165+TB165+SW165+SR165+SM165</f>
        <v>0</v>
      </c>
      <c r="UV165" s="2532">
        <f>UQ165+UL165+UG165+UB165+TW165+TR165+TM165+TH165+TC165+SX165+SS165+SN165</f>
        <v>0</v>
      </c>
      <c r="UW165" s="2532">
        <f>UR165+UM165+UH165+UC165+TX165+TS165+TN165+TI165+TD165+SY165+ST165+SO165</f>
        <v>0</v>
      </c>
      <c r="UX165" s="2534"/>
      <c r="UY165" s="1868"/>
      <c r="UZ165" s="1871"/>
      <c r="VA165" s="1575"/>
      <c r="VB165" s="105">
        <f>SO165+ST165+SY165</f>
        <v>0</v>
      </c>
      <c r="VC165" s="374"/>
      <c r="VD165" s="1868"/>
      <c r="VE165" s="358">
        <f>TB165+TG165+TL165</f>
        <v>0</v>
      </c>
      <c r="VF165" s="358">
        <f>TC165+TH165+TM165</f>
        <v>0</v>
      </c>
      <c r="VG165" s="359">
        <f>TD165+TI165+TN165</f>
        <v>0</v>
      </c>
      <c r="VH165" s="2675"/>
      <c r="VI165" s="1868"/>
      <c r="VJ165" s="1871"/>
      <c r="VK165" s="1575"/>
      <c r="VL165" s="1575"/>
      <c r="VM165" s="2675"/>
      <c r="VN165" s="2681">
        <f>(VI165+VD165+UY165+UT165+UO165+UJ165+UE165+TZ165+TU165+TP165+TK165+TF165)/12</f>
        <v>0</v>
      </c>
      <c r="VO165" s="1871"/>
      <c r="VP165" s="1575"/>
      <c r="VQ165" s="1575"/>
      <c r="VR165" s="83"/>
    </row>
    <row r="166" spans="1:592" s="1193" customFormat="1" x14ac:dyDescent="0.3">
      <c r="A166" s="1297"/>
      <c r="B166" s="2644"/>
      <c r="C166" s="2682"/>
      <c r="D166" s="2683"/>
      <c r="E166" s="2684"/>
      <c r="F166" s="2684"/>
      <c r="G166" s="2685"/>
      <c r="H166" s="1874"/>
      <c r="I166" s="1875"/>
      <c r="J166" s="1875"/>
      <c r="K166" s="1875"/>
      <c r="L166" s="1876"/>
      <c r="M166" s="1874"/>
      <c r="N166" s="1875"/>
      <c r="O166" s="1875"/>
      <c r="P166" s="1875"/>
      <c r="Q166" s="1876"/>
      <c r="R166" s="1874"/>
      <c r="S166" s="1875"/>
      <c r="T166" s="1875"/>
      <c r="U166" s="1875"/>
      <c r="V166" s="1876"/>
      <c r="W166" s="1874"/>
      <c r="X166" s="1875"/>
      <c r="Y166" s="1875"/>
      <c r="Z166" s="1875"/>
      <c r="AA166" s="1877"/>
      <c r="AB166" s="1874"/>
      <c r="AC166" s="1875"/>
      <c r="AD166" s="1875"/>
      <c r="AE166" s="1875"/>
      <c r="AF166" s="1877"/>
      <c r="AG166" s="1875"/>
      <c r="AH166" s="1875"/>
      <c r="AI166" s="1875"/>
      <c r="AJ166" s="1875"/>
      <c r="AK166" s="1876"/>
      <c r="AL166" s="1875"/>
      <c r="AM166" s="1875"/>
      <c r="AN166" s="1875"/>
      <c r="AO166" s="1875"/>
      <c r="AP166" s="1876"/>
      <c r="AQ166" s="1875"/>
      <c r="AR166" s="1875"/>
      <c r="AS166" s="1875"/>
      <c r="AT166" s="1875"/>
      <c r="AU166" s="1876"/>
      <c r="AV166" s="1878"/>
      <c r="AW166" s="1875"/>
      <c r="AX166" s="1875"/>
      <c r="AY166" s="1875"/>
      <c r="AZ166" s="1877"/>
      <c r="BA166" s="1878"/>
      <c r="BB166" s="1875"/>
      <c r="BC166" s="1875"/>
      <c r="BD166" s="1875"/>
      <c r="BE166" s="1877"/>
      <c r="BF166" s="1878"/>
      <c r="BG166" s="1875"/>
      <c r="BH166" s="1875"/>
      <c r="BI166" s="1875"/>
      <c r="BJ166" s="1877"/>
      <c r="BK166" s="1878"/>
      <c r="BL166" s="1875"/>
      <c r="BM166" s="1875"/>
      <c r="BN166" s="1875"/>
      <c r="BO166" s="1877"/>
      <c r="BP166" s="1879"/>
      <c r="BQ166" s="1875"/>
      <c r="BR166" s="1875"/>
      <c r="BS166" s="1875"/>
      <c r="BT166" s="1880"/>
      <c r="BU166" s="1875"/>
      <c r="BV166" s="1875"/>
      <c r="BW166" s="1881"/>
      <c r="BX166" s="1880"/>
      <c r="BY166" s="1875"/>
      <c r="BZ166" s="1875"/>
      <c r="CA166" s="1882"/>
      <c r="CB166" s="1875"/>
      <c r="CC166" s="1875"/>
      <c r="CD166" s="1875"/>
      <c r="CE166" s="1875"/>
      <c r="CF166" s="1880"/>
      <c r="CG166" s="1875"/>
      <c r="CH166" s="1875"/>
      <c r="CI166" s="1882"/>
      <c r="CJ166" s="1883"/>
      <c r="CK166" s="1875"/>
      <c r="CL166" s="1875"/>
      <c r="CM166" s="1875"/>
      <c r="CN166" s="1881"/>
      <c r="CO166" s="1883"/>
      <c r="CP166" s="1874"/>
      <c r="CQ166" s="1874"/>
      <c r="CR166" s="1874"/>
      <c r="CS166" s="1881"/>
      <c r="CT166" s="1883"/>
      <c r="CU166" s="1875"/>
      <c r="CV166" s="1875"/>
      <c r="CW166" s="1875"/>
      <c r="CX166" s="1881"/>
      <c r="CY166" s="1883"/>
      <c r="CZ166" s="1875"/>
      <c r="DA166" s="1875"/>
      <c r="DB166" s="1875"/>
      <c r="DC166" s="1881"/>
      <c r="DD166" s="1883"/>
      <c r="DE166" s="1875"/>
      <c r="DF166" s="1875"/>
      <c r="DG166" s="1875"/>
      <c r="DH166" s="1884"/>
      <c r="DI166" s="1883"/>
      <c r="DJ166" s="1875"/>
      <c r="DK166" s="1875"/>
      <c r="DL166" s="1875"/>
      <c r="DM166" s="1884"/>
      <c r="DN166" s="1883"/>
      <c r="DO166" s="1875"/>
      <c r="DP166" s="1875"/>
      <c r="DQ166" s="1875"/>
      <c r="DR166" s="1884"/>
      <c r="DS166" s="1883"/>
      <c r="DT166" s="1875"/>
      <c r="DU166" s="1875"/>
      <c r="DV166" s="1875"/>
      <c r="DW166" s="1884"/>
      <c r="DX166" s="1883"/>
      <c r="DY166" s="1875"/>
      <c r="DZ166" s="1875"/>
      <c r="EA166" s="1875"/>
      <c r="EB166" s="1884"/>
      <c r="EC166" s="1883"/>
      <c r="ED166" s="1875"/>
      <c r="EE166" s="1875"/>
      <c r="EF166" s="1875"/>
      <c r="EG166" s="1884"/>
      <c r="EH166" s="1885"/>
      <c r="EI166" s="1886"/>
      <c r="EJ166" s="1886"/>
      <c r="EK166" s="1886"/>
      <c r="EL166" s="1887"/>
      <c r="EM166" s="1888"/>
      <c r="EN166" s="1889"/>
      <c r="EO166" s="1889"/>
      <c r="EP166" s="1889"/>
      <c r="EQ166" s="166"/>
      <c r="ER166" s="2494"/>
      <c r="ES166" s="2495"/>
      <c r="ET166" s="2495"/>
      <c r="EU166" s="2495"/>
      <c r="EV166" s="2496"/>
      <c r="EW166" s="1890"/>
      <c r="EX166" s="1890"/>
      <c r="EY166" s="1890"/>
      <c r="EZ166" s="1891"/>
      <c r="FA166" s="1885"/>
      <c r="FB166" s="1890"/>
      <c r="FC166" s="1890"/>
      <c r="FD166" s="1892"/>
      <c r="FE166" s="1890"/>
      <c r="FF166" s="1890"/>
      <c r="FG166" s="1890"/>
      <c r="FH166" s="1891"/>
      <c r="FI166" s="1893"/>
      <c r="FJ166" s="1894"/>
      <c r="FK166" s="1895"/>
      <c r="FL166" s="1895"/>
      <c r="FM166" s="1896"/>
      <c r="FN166" s="1890"/>
      <c r="FO166" s="1886"/>
      <c r="FP166" s="1886"/>
      <c r="FQ166" s="1886"/>
      <c r="FR166" s="1897"/>
      <c r="FS166" s="1888"/>
      <c r="FT166" s="1889"/>
      <c r="FU166" s="1889"/>
      <c r="FV166" s="1889"/>
      <c r="FW166" s="1898"/>
      <c r="FX166" s="1885"/>
      <c r="FY166" s="1886"/>
      <c r="FZ166" s="1886"/>
      <c r="GA166" s="1889"/>
      <c r="GB166" s="1898"/>
      <c r="GC166" s="1899"/>
      <c r="GD166" s="1900"/>
      <c r="GE166" s="1900"/>
      <c r="GF166" s="1889"/>
      <c r="GG166" s="166"/>
      <c r="GH166" s="1901"/>
      <c r="GI166" s="1824"/>
      <c r="GJ166" s="1824"/>
      <c r="GK166" s="1902"/>
      <c r="GL166" s="1898"/>
      <c r="GM166" s="1901"/>
      <c r="GN166" s="1824"/>
      <c r="GO166" s="1824"/>
      <c r="GP166" s="1902"/>
      <c r="GQ166" s="1898"/>
      <c r="GR166" s="1903"/>
      <c r="GS166" s="1904"/>
      <c r="GT166" s="1904"/>
      <c r="GU166" s="1902"/>
      <c r="GV166" s="1898"/>
      <c r="GW166" s="1903"/>
      <c r="GX166" s="1904"/>
      <c r="GY166" s="1904"/>
      <c r="GZ166" s="1902"/>
      <c r="HA166" s="1898"/>
      <c r="HB166" s="1903"/>
      <c r="HC166" s="1904"/>
      <c r="HD166" s="1904"/>
      <c r="HE166" s="1902"/>
      <c r="HF166" s="1898"/>
      <c r="HG166" s="1903"/>
      <c r="HH166" s="1904"/>
      <c r="HI166" s="1904"/>
      <c r="HJ166" s="1818"/>
      <c r="HK166" s="1898"/>
      <c r="HL166" s="1903"/>
      <c r="HM166" s="1904"/>
      <c r="HN166" s="1904"/>
      <c r="HO166" s="715"/>
      <c r="HP166" s="166"/>
      <c r="HQ166" s="2686"/>
      <c r="HR166" s="2687"/>
      <c r="HS166" s="2687"/>
      <c r="HT166" s="2687"/>
      <c r="HU166" s="2688"/>
      <c r="HV166" s="2689"/>
      <c r="HW166" s="2474"/>
      <c r="HX166" s="2474"/>
      <c r="HY166" s="2474"/>
      <c r="HZ166" s="2690"/>
      <c r="IA166" s="1912"/>
      <c r="IB166" s="1908"/>
      <c r="IC166" s="1908"/>
      <c r="ID166" s="1909"/>
      <c r="IE166" s="1910"/>
      <c r="IF166" s="1911"/>
      <c r="IG166" s="1912"/>
      <c r="IH166" s="1909"/>
      <c r="II166" s="1835"/>
      <c r="IJ166" s="1836"/>
      <c r="IK166" s="1836"/>
      <c r="IL166" s="693"/>
      <c r="IM166" s="1913"/>
      <c r="IN166" s="1836"/>
      <c r="IO166" s="1836"/>
      <c r="IP166" s="1838"/>
      <c r="IQ166" s="1914"/>
      <c r="IR166" s="2044"/>
      <c r="IS166" s="2118"/>
      <c r="IT166" s="2118"/>
      <c r="IU166" s="2119"/>
      <c r="IV166" s="2120"/>
      <c r="IW166" s="2121"/>
      <c r="IX166" s="2122"/>
      <c r="IY166" s="2123"/>
      <c r="IZ166" s="2124"/>
      <c r="JA166" s="2125"/>
      <c r="JB166" s="2046"/>
      <c r="JC166" s="2047"/>
      <c r="JD166" s="2048"/>
      <c r="JE166" s="2124"/>
      <c r="JF166" s="2125"/>
      <c r="JG166" s="1988"/>
      <c r="JH166" s="2049"/>
      <c r="JI166" s="2049"/>
      <c r="JJ166" s="2126"/>
      <c r="JK166" s="2125"/>
      <c r="JL166" s="2127"/>
      <c r="JM166" s="2049"/>
      <c r="JN166" s="2049"/>
      <c r="JO166" s="2128"/>
      <c r="JP166" s="2125"/>
      <c r="JQ166" s="2127"/>
      <c r="JR166" s="1119"/>
      <c r="JS166" s="1850"/>
      <c r="JT166" s="2631"/>
      <c r="JU166" s="2125"/>
      <c r="JV166" s="1849"/>
      <c r="JW166" s="1119"/>
      <c r="JX166" s="1850"/>
      <c r="JY166" s="1850"/>
      <c r="JZ166" s="2125"/>
      <c r="KA166" s="1849"/>
      <c r="KB166" s="1850"/>
      <c r="KC166" s="1850"/>
      <c r="KD166" s="1108"/>
      <c r="KE166" s="2133"/>
      <c r="KF166" s="1849"/>
      <c r="KG166" s="1850"/>
      <c r="KH166" s="1850"/>
      <c r="KI166" s="2124"/>
      <c r="KJ166" s="2125"/>
      <c r="KK166" s="1849"/>
      <c r="KL166" s="1850"/>
      <c r="KM166" s="1850"/>
      <c r="KN166" s="1851"/>
      <c r="KO166" s="1852"/>
      <c r="KP166" s="1722"/>
      <c r="KQ166" s="972"/>
      <c r="KR166" s="264"/>
      <c r="KS166" s="1845"/>
      <c r="KT166" s="1720"/>
      <c r="KU166" s="2691"/>
      <c r="KV166" s="2462"/>
      <c r="KW166" s="2462"/>
      <c r="KX166" s="2462"/>
      <c r="KY166" s="2692"/>
      <c r="KZ166" s="1857"/>
      <c r="LA166" s="1585"/>
      <c r="LB166" s="1585"/>
      <c r="LC166" s="1585"/>
      <c r="LD166" s="2693"/>
      <c r="LE166" s="2139"/>
      <c r="LF166" s="2140"/>
      <c r="LG166" s="2140"/>
      <c r="LH166" s="2141"/>
      <c r="LI166" s="2142"/>
      <c r="LJ166" s="2143"/>
      <c r="LK166" s="2139"/>
      <c r="LL166" s="2141"/>
      <c r="LM166" s="1705"/>
      <c r="LN166" s="2144"/>
      <c r="LO166" s="2144"/>
      <c r="LP166" s="201"/>
      <c r="LQ166" s="1860"/>
      <c r="LR166" s="1727"/>
      <c r="LS166" s="1727"/>
      <c r="LT166" s="1861"/>
      <c r="LV166" s="2694"/>
      <c r="LW166" s="2695"/>
      <c r="LX166" s="2695"/>
      <c r="LY166" s="2695"/>
      <c r="LZ166" s="2696"/>
      <c r="MA166" s="2697"/>
      <c r="MB166" s="2698"/>
      <c r="MC166" s="2698"/>
      <c r="MD166" s="2698"/>
      <c r="ME166" s="2699"/>
      <c r="MF166" s="405"/>
      <c r="MG166" s="1575"/>
      <c r="MH166" s="1575"/>
      <c r="MI166" s="1575"/>
      <c r="MJ166" s="2674"/>
      <c r="MK166" s="354"/>
      <c r="ML166" s="208"/>
      <c r="MM166" s="208"/>
      <c r="MN166" s="1575"/>
      <c r="MO166" s="2674"/>
      <c r="MP166" s="2700"/>
      <c r="MQ166" s="2698"/>
      <c r="MR166" s="2698"/>
      <c r="MS166" s="2698"/>
      <c r="MT166" s="2651"/>
      <c r="MU166" s="2700"/>
      <c r="MV166" s="2698"/>
      <c r="MW166" s="2698"/>
      <c r="MX166" s="2698"/>
      <c r="MY166" s="2651"/>
      <c r="MZ166" s="2700"/>
      <c r="NA166" s="2698"/>
      <c r="NB166" s="2698"/>
      <c r="NC166" s="2698"/>
      <c r="ND166" s="2651"/>
      <c r="NE166" s="2700"/>
      <c r="NF166" s="2698"/>
      <c r="NG166" s="2698"/>
      <c r="NH166" s="2698"/>
      <c r="NI166" s="2651"/>
      <c r="NJ166" s="2700"/>
      <c r="NK166" s="2698"/>
      <c r="NL166" s="2698"/>
      <c r="NM166" s="2698"/>
      <c r="NN166" s="2651"/>
      <c r="NO166" s="2701"/>
      <c r="NP166" s="2702"/>
      <c r="NQ166" s="2703"/>
      <c r="NR166" s="2698"/>
      <c r="NS166" s="2651"/>
      <c r="NT166" s="1022"/>
      <c r="NU166" s="1568"/>
      <c r="NV166" s="1568"/>
      <c r="NW166" s="1568"/>
      <c r="NX166" s="2673"/>
      <c r="NY166" s="1022"/>
      <c r="NZ166" s="1568"/>
      <c r="OA166" s="1568"/>
      <c r="OB166" s="1568"/>
      <c r="OC166" s="2674"/>
      <c r="OD166" s="192"/>
      <c r="OE166" s="455"/>
      <c r="OF166" s="455"/>
      <c r="OG166" s="455"/>
      <c r="OH166" s="2472"/>
      <c r="OI166" s="2635"/>
      <c r="OJ166" s="2652"/>
      <c r="OK166" s="2150"/>
      <c r="OL166" s="2150"/>
      <c r="OM166" s="375"/>
      <c r="ON166" s="2635"/>
      <c r="OO166" s="2652"/>
      <c r="OP166" s="2150"/>
      <c r="OQ166" s="2150"/>
      <c r="OR166" s="2704"/>
      <c r="OS166" s="2635"/>
      <c r="OT166" s="2652"/>
      <c r="OU166" s="2150"/>
      <c r="OV166" s="2150"/>
      <c r="OW166" s="2704"/>
      <c r="OX166" s="2635"/>
      <c r="OY166" s="2652"/>
      <c r="OZ166" s="2150"/>
      <c r="PA166" s="2150"/>
      <c r="PB166" s="375"/>
      <c r="PC166" s="79"/>
      <c r="PD166" s="2694"/>
      <c r="PE166" s="2695"/>
      <c r="PF166" s="2695"/>
      <c r="PG166" s="2695"/>
      <c r="PH166" s="2696"/>
      <c r="PI166" s="2697"/>
      <c r="PJ166" s="2698"/>
      <c r="PK166" s="2698"/>
      <c r="PL166" s="2698"/>
      <c r="PM166" s="2699"/>
      <c r="PN166" s="405"/>
      <c r="PO166" s="1575"/>
      <c r="PP166" s="1575"/>
      <c r="PQ166" s="1575"/>
      <c r="PR166" s="2674"/>
      <c r="PS166" s="1866"/>
      <c r="PT166" s="1575"/>
      <c r="PU166" s="1575"/>
      <c r="PV166" s="1575"/>
      <c r="PW166" s="2674"/>
      <c r="PX166" s="2700"/>
      <c r="PY166" s="2698"/>
      <c r="PZ166" s="2698"/>
      <c r="QA166" s="2698"/>
      <c r="QB166" s="2651"/>
      <c r="QC166" s="2700"/>
      <c r="QD166" s="2698"/>
      <c r="QE166" s="2698"/>
      <c r="QF166" s="2698"/>
      <c r="QG166" s="2651"/>
      <c r="QH166" s="2697"/>
      <c r="QI166" s="2698"/>
      <c r="QJ166" s="2698"/>
      <c r="QK166" s="2698"/>
      <c r="QL166" s="2651"/>
      <c r="QM166" s="2697"/>
      <c r="QN166" s="2698"/>
      <c r="QO166" s="2698"/>
      <c r="QP166" s="2698"/>
      <c r="QQ166" s="2651"/>
      <c r="QR166" s="2701"/>
      <c r="QS166" s="2702"/>
      <c r="QT166" s="2702"/>
      <c r="QU166" s="2702"/>
      <c r="QV166" s="2705"/>
      <c r="QW166" s="2706"/>
      <c r="QX166" s="2695"/>
      <c r="QY166" s="2707"/>
      <c r="QZ166" s="2698"/>
      <c r="RA166" s="2651"/>
      <c r="RB166" s="1022"/>
      <c r="RC166" s="1568"/>
      <c r="RD166" s="1568"/>
      <c r="RE166" s="1568"/>
      <c r="RF166" s="2673"/>
      <c r="RG166" s="1567"/>
      <c r="RH166" s="1568"/>
      <c r="RI166" s="1568"/>
      <c r="RJ166" s="1568"/>
      <c r="RK166" s="2674"/>
      <c r="RL166" s="428"/>
      <c r="RM166" s="453"/>
      <c r="RO166" s="453"/>
      <c r="RP166" s="1929"/>
      <c r="RQ166" s="2635"/>
      <c r="RR166" s="2652"/>
      <c r="RS166" s="2150"/>
      <c r="RT166" s="2150"/>
      <c r="RU166" s="375"/>
      <c r="RV166" s="2635"/>
      <c r="RW166" s="2652"/>
      <c r="RX166" s="2150"/>
      <c r="RY166" s="2150"/>
      <c r="RZ166" s="2704"/>
      <c r="SA166" s="2635"/>
      <c r="SB166" s="2652"/>
      <c r="SC166" s="2150"/>
      <c r="SD166" s="2150"/>
      <c r="SE166" s="2704"/>
      <c r="SF166" s="410"/>
      <c r="SG166" s="2652"/>
      <c r="SH166" s="2150"/>
      <c r="SI166" s="2150"/>
      <c r="SJ166" s="375"/>
      <c r="SL166" s="2694"/>
      <c r="SM166" s="2695"/>
      <c r="SN166" s="2695"/>
      <c r="SO166" s="2695"/>
      <c r="SP166" s="2696"/>
      <c r="SQ166" s="2697"/>
      <c r="SR166" s="2698"/>
      <c r="SS166" s="2698"/>
      <c r="ST166" s="2698"/>
      <c r="SU166" s="2699"/>
      <c r="SV166" s="439"/>
      <c r="SW166" s="208"/>
      <c r="SX166" s="208"/>
      <c r="SY166" s="208"/>
      <c r="SZ166" s="2563"/>
      <c r="TA166" s="354"/>
      <c r="TB166" s="208"/>
      <c r="TC166" s="208"/>
      <c r="TD166" s="208"/>
      <c r="TE166" s="2563"/>
      <c r="TF166" s="2700"/>
      <c r="TG166" s="2698"/>
      <c r="TH166" s="2698"/>
      <c r="TI166" s="2698"/>
      <c r="TJ166" s="2657"/>
      <c r="TK166" s="2919"/>
      <c r="TL166" s="2469"/>
      <c r="TM166" s="2469"/>
      <c r="TN166" s="2469"/>
      <c r="TO166" s="84"/>
      <c r="TP166" s="4465"/>
      <c r="TQ166" s="2469"/>
      <c r="TR166" s="2469"/>
      <c r="TS166" s="2469"/>
      <c r="TT166" s="84"/>
      <c r="TU166" s="5264"/>
      <c r="TV166" s="4536"/>
      <c r="TW166" s="4536"/>
      <c r="TX166" s="4536"/>
      <c r="TY166" s="2657"/>
      <c r="TZ166" s="4537"/>
      <c r="UA166" s="456"/>
      <c r="UB166" s="456"/>
      <c r="UC166" s="456"/>
      <c r="UD166" s="4538"/>
      <c r="UE166" s="2919"/>
      <c r="UF166" s="2469"/>
      <c r="UG166" s="4539"/>
      <c r="UH166" s="4536"/>
      <c r="UI166" s="2657"/>
      <c r="UJ166" s="2467"/>
      <c r="UK166" s="456"/>
      <c r="UL166" s="456"/>
      <c r="UM166" s="456"/>
      <c r="UN166" s="2472"/>
      <c r="UO166" s="2482"/>
      <c r="UP166" s="456"/>
      <c r="UQ166" s="456"/>
      <c r="UR166" s="456"/>
      <c r="US166" s="2479"/>
      <c r="UT166" s="193"/>
      <c r="UU166" s="455"/>
      <c r="UV166" s="455"/>
      <c r="UW166" s="455"/>
      <c r="UX166" s="2472"/>
      <c r="UY166" s="2635"/>
      <c r="UZ166" s="2652"/>
      <c r="VA166" s="2150"/>
      <c r="VB166" s="2150"/>
      <c r="VC166" s="375"/>
      <c r="VD166" s="2635"/>
      <c r="VE166" s="2652"/>
      <c r="VF166" s="2150"/>
      <c r="VG166" s="2150"/>
      <c r="VH166" s="2704"/>
      <c r="VI166" s="2635"/>
      <c r="VJ166" s="2652"/>
      <c r="VK166" s="2150"/>
      <c r="VL166" s="2150"/>
      <c r="VM166" s="2704"/>
      <c r="VN166" s="187"/>
      <c r="VO166" s="2652"/>
      <c r="VP166" s="2150"/>
      <c r="VQ166" s="2150"/>
      <c r="VR166" s="375"/>
    </row>
    <row r="167" spans="1:592" s="2709" customFormat="1" ht="15.6" customHeight="1" x14ac:dyDescent="0.3">
      <c r="A167" s="2708"/>
      <c r="B167" s="4540"/>
      <c r="C167" s="4541" t="s">
        <v>1018</v>
      </c>
      <c r="D167" s="4542" t="s">
        <v>842</v>
      </c>
      <c r="E167" s="4543"/>
      <c r="F167" s="4543"/>
      <c r="G167" s="4544"/>
      <c r="H167" s="4545"/>
      <c r="I167" s="4546"/>
      <c r="J167" s="4546"/>
      <c r="K167" s="4546"/>
      <c r="L167" s="4547"/>
      <c r="M167" s="4545"/>
      <c r="N167" s="4546"/>
      <c r="O167" s="4546"/>
      <c r="P167" s="4546"/>
      <c r="Q167" s="4547"/>
      <c r="R167" s="4545"/>
      <c r="S167" s="4546"/>
      <c r="T167" s="4546"/>
      <c r="U167" s="4546"/>
      <c r="V167" s="4547"/>
      <c r="W167" s="4545"/>
      <c r="X167" s="4546"/>
      <c r="Y167" s="4546"/>
      <c r="Z167" s="4546"/>
      <c r="AA167" s="4548"/>
      <c r="AB167" s="4545"/>
      <c r="AC167" s="4546"/>
      <c r="AD167" s="4546"/>
      <c r="AE167" s="4546"/>
      <c r="AF167" s="4548"/>
      <c r="AG167" s="4546"/>
      <c r="AH167" s="4546"/>
      <c r="AI167" s="4546"/>
      <c r="AJ167" s="4546"/>
      <c r="AK167" s="4547"/>
      <c r="AL167" s="4546"/>
      <c r="AM167" s="4546"/>
      <c r="AN167" s="4546"/>
      <c r="AO167" s="4546"/>
      <c r="AP167" s="4547"/>
      <c r="AQ167" s="4546"/>
      <c r="AR167" s="4546"/>
      <c r="AS167" s="4546"/>
      <c r="AT167" s="4546"/>
      <c r="AU167" s="4547"/>
      <c r="AV167" s="4549"/>
      <c r="AW167" s="4546"/>
      <c r="AX167" s="4546"/>
      <c r="AY167" s="4546"/>
      <c r="AZ167" s="4548"/>
      <c r="BA167" s="4549"/>
      <c r="BB167" s="4546"/>
      <c r="BC167" s="4546"/>
      <c r="BD167" s="4546"/>
      <c r="BE167" s="4548"/>
      <c r="BF167" s="4549"/>
      <c r="BG167" s="4546"/>
      <c r="BH167" s="4546"/>
      <c r="BI167" s="4546"/>
      <c r="BJ167" s="4548"/>
      <c r="BK167" s="4549"/>
      <c r="BL167" s="4546"/>
      <c r="BM167" s="4546"/>
      <c r="BN167" s="4546"/>
      <c r="BO167" s="4548"/>
      <c r="BP167" s="4550"/>
      <c r="BQ167" s="4546"/>
      <c r="BR167" s="4546"/>
      <c r="BS167" s="4546"/>
      <c r="BT167" s="4551"/>
      <c r="BU167" s="4546"/>
      <c r="BV167" s="4546"/>
      <c r="BW167" s="4552"/>
      <c r="BX167" s="4551"/>
      <c r="BY167" s="4546"/>
      <c r="BZ167" s="4546"/>
      <c r="CA167" s="4553"/>
      <c r="CB167" s="4546"/>
      <c r="CC167" s="4546"/>
      <c r="CD167" s="4546"/>
      <c r="CE167" s="4546"/>
      <c r="CF167" s="4551"/>
      <c r="CG167" s="4546"/>
      <c r="CH167" s="4546"/>
      <c r="CI167" s="4553"/>
      <c r="CJ167" s="4554"/>
      <c r="CK167" s="4546"/>
      <c r="CL167" s="4546"/>
      <c r="CM167" s="4546"/>
      <c r="CN167" s="4552"/>
      <c r="CO167" s="4554"/>
      <c r="CP167" s="4545"/>
      <c r="CQ167" s="4545"/>
      <c r="CR167" s="4545"/>
      <c r="CS167" s="4552"/>
      <c r="CT167" s="4554"/>
      <c r="CU167" s="4546"/>
      <c r="CV167" s="4546"/>
      <c r="CW167" s="4546"/>
      <c r="CX167" s="4552"/>
      <c r="CY167" s="4554"/>
      <c r="CZ167" s="4546"/>
      <c r="DA167" s="4546"/>
      <c r="DB167" s="4546"/>
      <c r="DC167" s="4552"/>
      <c r="DD167" s="4554"/>
      <c r="DE167" s="4546"/>
      <c r="DF167" s="4546"/>
      <c r="DG167" s="4546"/>
      <c r="DH167" s="4555"/>
      <c r="DI167" s="4554"/>
      <c r="DJ167" s="4546"/>
      <c r="DK167" s="4546"/>
      <c r="DL167" s="4546"/>
      <c r="DM167" s="4555"/>
      <c r="DN167" s="4554"/>
      <c r="DO167" s="4546"/>
      <c r="DP167" s="4546"/>
      <c r="DQ167" s="4546"/>
      <c r="DR167" s="4555"/>
      <c r="DS167" s="4554"/>
      <c r="DT167" s="4546"/>
      <c r="DU167" s="4546"/>
      <c r="DV167" s="4546"/>
      <c r="DW167" s="4555"/>
      <c r="DX167" s="4554"/>
      <c r="DY167" s="4546"/>
      <c r="DZ167" s="4546"/>
      <c r="EA167" s="4546"/>
      <c r="EB167" s="4555"/>
      <c r="EC167" s="4554"/>
      <c r="ED167" s="4546"/>
      <c r="EE167" s="4546"/>
      <c r="EF167" s="4546"/>
      <c r="EG167" s="4555"/>
      <c r="EH167" s="4554"/>
      <c r="EI167" s="4546"/>
      <c r="EJ167" s="4546"/>
      <c r="EK167" s="4546"/>
      <c r="EL167" s="4555"/>
      <c r="EM167" s="4554"/>
      <c r="EN167" s="4546"/>
      <c r="EO167" s="4546"/>
      <c r="EP167" s="4546"/>
      <c r="EQ167" s="4555"/>
      <c r="ER167" s="4556">
        <f>SUM(ER5:ER166)</f>
        <v>386.74999999999994</v>
      </c>
      <c r="ES167" s="4557">
        <f>SUM(ES5:ES166)</f>
        <v>111049360.29930848</v>
      </c>
      <c r="ET167" s="4557">
        <f>SUM(ET5:ET166)</f>
        <v>129867992.81200001</v>
      </c>
      <c r="EU167" s="4557">
        <f>SUM(EU5:EU166)</f>
        <v>18818632.512691524</v>
      </c>
      <c r="EV167" s="4558">
        <f>EU167/ET167</f>
        <v>0.14490585482393514</v>
      </c>
      <c r="EW167" s="4545"/>
      <c r="EX167" s="4545"/>
      <c r="EY167" s="4545"/>
      <c r="EZ167" s="4547"/>
      <c r="FA167" s="4554"/>
      <c r="FB167" s="4545"/>
      <c r="FC167" s="4545"/>
      <c r="FD167" s="4552"/>
      <c r="FE167" s="4545"/>
      <c r="FF167" s="4545"/>
      <c r="FG167" s="4545"/>
      <c r="FH167" s="4547"/>
      <c r="FI167" s="4559"/>
      <c r="FJ167" s="4560"/>
      <c r="FK167" s="4561"/>
      <c r="FL167" s="4561"/>
      <c r="FM167" s="4552"/>
      <c r="FN167" s="4545"/>
      <c r="FO167" s="4546"/>
      <c r="FP167" s="4546"/>
      <c r="FQ167" s="4546"/>
      <c r="FR167" s="4548"/>
      <c r="FS167" s="4554"/>
      <c r="FT167" s="4546"/>
      <c r="FU167" s="4546"/>
      <c r="FV167" s="4546"/>
      <c r="FW167" s="4562"/>
      <c r="FX167" s="4554"/>
      <c r="FY167" s="4546"/>
      <c r="FZ167" s="4546"/>
      <c r="GA167" s="4546"/>
      <c r="GB167" s="4562"/>
      <c r="GC167" s="4563"/>
      <c r="GD167" s="4564"/>
      <c r="GE167" s="4564"/>
      <c r="GF167" s="4546"/>
      <c r="GG167" s="4555"/>
      <c r="GH167" s="4563"/>
      <c r="GI167" s="4564"/>
      <c r="GJ167" s="4564"/>
      <c r="GK167" s="4565"/>
      <c r="GL167" s="4562"/>
      <c r="GM167" s="4563"/>
      <c r="GN167" s="4564"/>
      <c r="GO167" s="4564"/>
      <c r="GP167" s="4565"/>
      <c r="GQ167" s="4562"/>
      <c r="GR167" s="4566"/>
      <c r="GS167" s="4567"/>
      <c r="GT167" s="4567"/>
      <c r="GU167" s="4565"/>
      <c r="GV167" s="4562"/>
      <c r="GW167" s="4566"/>
      <c r="GX167" s="4567"/>
      <c r="GY167" s="4567"/>
      <c r="GZ167" s="4565"/>
      <c r="HA167" s="4562"/>
      <c r="HB167" s="4566"/>
      <c r="HC167" s="4567"/>
      <c r="HD167" s="4567"/>
      <c r="HE167" s="4565"/>
      <c r="HF167" s="4562"/>
      <c r="HG167" s="4566"/>
      <c r="HH167" s="4567"/>
      <c r="HI167" s="4567"/>
      <c r="HJ167" s="4568"/>
      <c r="HK167" s="4562"/>
      <c r="HL167" s="4566"/>
      <c r="HM167" s="4567"/>
      <c r="HN167" s="4567"/>
      <c r="HO167" s="4265"/>
      <c r="HP167" s="4555"/>
      <c r="HQ167" s="4569">
        <f>SUM(HQ5:HQ166)</f>
        <v>267</v>
      </c>
      <c r="HR167" s="4570">
        <f>SUM(HR5:HR166)</f>
        <v>6868809.0503225811</v>
      </c>
      <c r="HS167" s="4570">
        <f>SUM(HS5:HS166)</f>
        <v>8408340.5080000013</v>
      </c>
      <c r="HT167" s="4570">
        <f>SUM(HT5:HT166)</f>
        <v>1539531.4576774193</v>
      </c>
      <c r="HU167" s="4571">
        <f>HT167/HS167</f>
        <v>0.18309575548381432</v>
      </c>
      <c r="HV167" s="4556">
        <f>SUM(HV5:HV166)</f>
        <v>301.16666666666669</v>
      </c>
      <c r="HW167" s="4557">
        <f>SUM(HW5:HW166)</f>
        <v>94320958.033575639</v>
      </c>
      <c r="HX167" s="4557">
        <f>SUM(HX5:HX166)</f>
        <v>115300764.47399999</v>
      </c>
      <c r="HY167" s="4557">
        <f>SUM(HY5:HY166)</f>
        <v>20979806.440424364</v>
      </c>
      <c r="HZ167" s="4558">
        <f>HY167/HX167</f>
        <v>0.18195721889732355</v>
      </c>
      <c r="IA167" s="4572"/>
      <c r="IB167" s="4573"/>
      <c r="IC167" s="4573"/>
      <c r="ID167" s="4574"/>
      <c r="IE167" s="4575"/>
      <c r="IF167" s="4576"/>
      <c r="IG167" s="4572"/>
      <c r="IH167" s="4574"/>
      <c r="II167" s="4577"/>
      <c r="IJ167" s="4578"/>
      <c r="IK167" s="4578"/>
      <c r="IL167" s="4579"/>
      <c r="IM167" s="4580"/>
      <c r="IN167" s="4578"/>
      <c r="IO167" s="4578"/>
      <c r="IP167" s="4581"/>
      <c r="IQ167" s="4265"/>
      <c r="IR167" s="4556">
        <f>SUM(IR5:IR166)</f>
        <v>261</v>
      </c>
      <c r="IS167" s="4557">
        <f>SUM(IS5:IS166)</f>
        <v>6665927</v>
      </c>
      <c r="IT167" s="4557">
        <f>SUM(IT5:IT166)</f>
        <v>8714802.5</v>
      </c>
      <c r="IU167" s="4557">
        <f>SUM(IU5:IU166)</f>
        <v>2048875.5000000002</v>
      </c>
      <c r="IV167" s="4558">
        <f>IU167/IT167</f>
        <v>0.23510291828185437</v>
      </c>
      <c r="IW167" s="4582">
        <f>SUM(IW5:IW166)</f>
        <v>293</v>
      </c>
      <c r="IX167" s="4557">
        <f>SUM(IX5:IX166)</f>
        <v>8544927.0899999999</v>
      </c>
      <c r="IY167" s="4557">
        <f>SUM(IY5:IY166)</f>
        <v>11032751.173333332</v>
      </c>
      <c r="IZ167" s="4557">
        <f>SUM(IZ5:IZ166)</f>
        <v>2487824.083333333</v>
      </c>
      <c r="JA167" s="4558">
        <f>IZ167/IY167</f>
        <v>0.22549444324879894</v>
      </c>
      <c r="JB167" s="4582">
        <f>SUM(JB5:JB166)</f>
        <v>245</v>
      </c>
      <c r="JC167" s="4557">
        <f>SUM(JC5:JC166)</f>
        <v>6608163</v>
      </c>
      <c r="JD167" s="4557">
        <f>SUM(JD5:JD166)</f>
        <v>8366396.8166666664</v>
      </c>
      <c r="JE167" s="4557">
        <f>SUM(JE5:JE166)</f>
        <v>1758233.8166666669</v>
      </c>
      <c r="JF167" s="4558">
        <f>JE167/JD167</f>
        <v>0.21015424622988191</v>
      </c>
      <c r="JG167" s="4582">
        <f>SUM(JG5:JG166)</f>
        <v>228</v>
      </c>
      <c r="JH167" s="4557">
        <f>SUM(JH5:JH166)</f>
        <v>6512596.7419354841</v>
      </c>
      <c r="JI167" s="4557">
        <f>SUM(JI5:JI166)</f>
        <v>7926703.4500000002</v>
      </c>
      <c r="JJ167" s="4557">
        <f>SUM(JJ5:JJ166)</f>
        <v>1414106.7080645161</v>
      </c>
      <c r="JK167" s="4558">
        <f>JJ167/JI167</f>
        <v>0.17839783170701512</v>
      </c>
      <c r="JL167" s="4582">
        <f>SUM(JL5:JL166)</f>
        <v>257</v>
      </c>
      <c r="JM167" s="4557">
        <f>SUM(JM5:JM166)</f>
        <v>8530496.8709677439</v>
      </c>
      <c r="JN167" s="4557">
        <f>SUM(JN5:JN166)</f>
        <v>10739835.461999999</v>
      </c>
      <c r="JO167" s="4557">
        <f>SUM(JO5:JO166)</f>
        <v>2209338.5910322559</v>
      </c>
      <c r="JP167" s="4558">
        <f>JO167/JN167</f>
        <v>0.20571437978257698</v>
      </c>
      <c r="JQ167" s="4582">
        <f>SUM(JQ5:JQ166)</f>
        <v>215</v>
      </c>
      <c r="JR167" s="4557">
        <f>SUM(JR5:JR166)</f>
        <v>7147569</v>
      </c>
      <c r="JS167" s="4557">
        <f>SUM(JS5:JS166)</f>
        <v>10145210.33</v>
      </c>
      <c r="JT167" s="4557">
        <f>SUM(JT5:JT166)</f>
        <v>2997641.33</v>
      </c>
      <c r="JU167" s="4558">
        <f>JT167/JS167</f>
        <v>0.29547355180363227</v>
      </c>
      <c r="JV167" s="4582">
        <f>SUM(JV5:JV166)</f>
        <v>216</v>
      </c>
      <c r="JW167" s="4557">
        <f>SUM(JW5:JW166)</f>
        <v>5314520.7741935533</v>
      </c>
      <c r="JX167" s="4557">
        <f>SUM(JX5:JX166)</f>
        <v>6915897.3300000001</v>
      </c>
      <c r="JY167" s="4557">
        <f>SUM(JY5:JY166)</f>
        <v>1601376.5558064468</v>
      </c>
      <c r="JZ167" s="4558">
        <f>JY167/JX167</f>
        <v>0.23155007649693476</v>
      </c>
      <c r="KA167" s="4582">
        <f>SUM(KA5:KA166)</f>
        <v>229</v>
      </c>
      <c r="KB167" s="4557">
        <f>SUM(KB5:KB166)</f>
        <v>9289362.3666666672</v>
      </c>
      <c r="KC167" s="4557">
        <f>SUM(KC5:KC166)</f>
        <v>12012663.4</v>
      </c>
      <c r="KD167" s="4557">
        <f>SUM(KD5:KD166)</f>
        <v>2723301.0333333332</v>
      </c>
      <c r="KE167" s="4558">
        <f>KD167/KC167</f>
        <v>0.22670251738955186</v>
      </c>
      <c r="KF167" s="4582">
        <f>SUM(KF5:KF166)</f>
        <v>186</v>
      </c>
      <c r="KG167" s="4557">
        <f>SUM(KG5:KG166)</f>
        <v>5379852.8387096757</v>
      </c>
      <c r="KH167" s="4557">
        <f>SUM(KH5:KH166)</f>
        <v>6841160.3300000001</v>
      </c>
      <c r="KI167" s="4557">
        <f>SUM(KI5:KI166)</f>
        <v>1461307.4912903246</v>
      </c>
      <c r="KJ167" s="4558">
        <f>KI167/KH167</f>
        <v>0.21360521034453298</v>
      </c>
      <c r="KK167" s="4583">
        <f>KK127+KK164+KK165</f>
        <v>164</v>
      </c>
      <c r="KL167" s="4584">
        <f>KL127+KL164+KL165</f>
        <v>4548219.9032258065</v>
      </c>
      <c r="KM167" s="4584">
        <f>KM127+KM164+KM165</f>
        <v>5475147.3300000001</v>
      </c>
      <c r="KN167" s="4584">
        <f>KN127+KN164+KN165</f>
        <v>926927.42677419353</v>
      </c>
      <c r="KO167" s="4585">
        <f>KN167/KM167</f>
        <v>0.1692972573898196</v>
      </c>
      <c r="KP167" s="4583">
        <f>KP127+KP164+KP165</f>
        <v>188</v>
      </c>
      <c r="KQ167" s="4584">
        <f>KQ127+KQ164+KQ165</f>
        <v>7323621.25</v>
      </c>
      <c r="KR167" s="4584">
        <f>KR127+KR164+KR165</f>
        <v>9102516.8300000001</v>
      </c>
      <c r="KS167" s="4584">
        <f>KS127+KS164+KS165</f>
        <v>1778895.58</v>
      </c>
      <c r="KT167" s="4558">
        <f>KS167/KR167</f>
        <v>0.19542898005276196</v>
      </c>
      <c r="KU167" s="4583">
        <f>KU127+KU164+KU165</f>
        <v>222</v>
      </c>
      <c r="KV167" s="4584">
        <f>KV127+KV164+KV165</f>
        <v>5599107.4516129028</v>
      </c>
      <c r="KW167" s="4584">
        <f>KW127+KW164+KW165</f>
        <v>6969299.9400000004</v>
      </c>
      <c r="KX167" s="4584">
        <f>KX127+KX164+KX165</f>
        <v>1370192.4883870967</v>
      </c>
      <c r="KY167" s="4586">
        <f>KX167/KW167</f>
        <v>0.19660403486481262</v>
      </c>
      <c r="KZ167" s="4587">
        <f>SUM(KZ5:KZ166)</f>
        <v>232</v>
      </c>
      <c r="LA167" s="4557">
        <f>SUM(LA5:LA166)</f>
        <v>82912827.287311837</v>
      </c>
      <c r="LB167" s="4557">
        <f>SUM(LB5:LB166)</f>
        <v>106704218.22533333</v>
      </c>
      <c r="LC167" s="4557">
        <f>SUM(LC5:LC166)</f>
        <v>23791390.9380215</v>
      </c>
      <c r="LD167" s="4585">
        <f>LC167/LB167</f>
        <v>0.22296579585804072</v>
      </c>
      <c r="LE167" s="4588">
        <f>SUM(LE42:LE166)</f>
        <v>262.00000000000006</v>
      </c>
      <c r="LF167" s="4584">
        <f>SUM(LF42:LF166)</f>
        <v>26857698.489999998</v>
      </c>
      <c r="LG167" s="4584">
        <f>SUM(LG42:LG166)</f>
        <v>6026858.4000000004</v>
      </c>
      <c r="LH167" s="4589">
        <f>LG167/LF167</f>
        <v>0.22439965964484995</v>
      </c>
      <c r="LI167" s="4583">
        <f>SUM(LI42:LI166)</f>
        <v>228.33333333333331</v>
      </c>
      <c r="LJ167" s="4584">
        <f>SUM(LJ42:LJ166)</f>
        <v>27441293.241999999</v>
      </c>
      <c r="LK167" s="4584">
        <f>SUM(LK42:LK166)</f>
        <v>6253729.6290967725</v>
      </c>
      <c r="LL167" s="4589">
        <f>LK167/LJ167</f>
        <v>0.22789485808654195</v>
      </c>
      <c r="LM167" s="4583">
        <f>SUM(LM42:LM166)</f>
        <v>208.66666666666663</v>
      </c>
      <c r="LN167" s="4584">
        <f>SUM(LN42:LN166)</f>
        <v>25493921.060000002</v>
      </c>
      <c r="LO167" s="4584">
        <f>SUM(LO42:LO166)</f>
        <v>5635683.0804301044</v>
      </c>
      <c r="LP167" s="4589">
        <f>LO167/LN167</f>
        <v>0.22105987804569219</v>
      </c>
      <c r="LQ167" s="4583">
        <f>LQ127+LQ164+LQ165</f>
        <v>205</v>
      </c>
      <c r="LR167" s="4584">
        <f>LR127+LR164+LR165</f>
        <v>21546964.100000001</v>
      </c>
      <c r="LS167" s="4584">
        <f>LS127+LS164+LS165</f>
        <v>4076015.4951612903</v>
      </c>
      <c r="LT167" s="4586">
        <f>LS167/LR167</f>
        <v>0.18916889990833047</v>
      </c>
      <c r="LU167" s="4266"/>
      <c r="LV167" s="4583">
        <f>LV127+LV164+LV165</f>
        <v>196</v>
      </c>
      <c r="LW167" s="4584">
        <f>LW127+LW164+LW165</f>
        <v>5938008</v>
      </c>
      <c r="LX167" s="4584">
        <f>LX127+LX164+LX165</f>
        <v>7163808.3300000001</v>
      </c>
      <c r="LY167" s="4584">
        <f>LY127+LY164+LY165</f>
        <v>1225800.33</v>
      </c>
      <c r="LZ167" s="4586">
        <f>LY167/LX167</f>
        <v>0.17111015168659602</v>
      </c>
      <c r="MA167" s="4583">
        <f>MA127+MA164+MA165</f>
        <v>207</v>
      </c>
      <c r="MB167" s="4584">
        <f>MB127+MB164+MB165</f>
        <v>6413635.8709677467</v>
      </c>
      <c r="MC167" s="4584">
        <f>MC127+MC164+MC165</f>
        <v>8123522.3300000001</v>
      </c>
      <c r="MD167" s="4584">
        <f>MD127+MD164+MD165</f>
        <v>1709886.4590322538</v>
      </c>
      <c r="ME167" s="4590">
        <f>MD167/MC167</f>
        <v>0.21048584463388234</v>
      </c>
      <c r="MF167" s="4583">
        <f>MF127+MF164+MF165</f>
        <v>221</v>
      </c>
      <c r="MG167" s="4584">
        <f>MG127+MG164+MG165</f>
        <v>6825977.4999999991</v>
      </c>
      <c r="MH167" s="4584">
        <f>MH127+MH164+MH165</f>
        <v>8104239.5899999999</v>
      </c>
      <c r="MI167" s="4584">
        <f>MI127+MI164+MI165</f>
        <v>1278262.0900000001</v>
      </c>
      <c r="MJ167" s="4590">
        <f>MI167/MH167</f>
        <v>0.15772757897943637</v>
      </c>
      <c r="MK167" s="4591">
        <f>MK127+MK164+MK165</f>
        <v>191</v>
      </c>
      <c r="ML167" s="4584">
        <f>ML127+ML164+ML165</f>
        <v>7622975.5483870972</v>
      </c>
      <c r="MM167" s="4584">
        <f>MM127+MM164+MM165</f>
        <v>9006596.3300000001</v>
      </c>
      <c r="MN167" s="4584">
        <f>MN127+MN164+MN165</f>
        <v>1383620.7816129033</v>
      </c>
      <c r="MO167" s="4590">
        <f>MN167/MM167</f>
        <v>0.15362304814352698</v>
      </c>
      <c r="MP167" s="4591">
        <f>MP127+MP164+MP165</f>
        <v>196</v>
      </c>
      <c r="MQ167" s="4584">
        <f>MQ127+MQ164+MQ165</f>
        <v>8667933</v>
      </c>
      <c r="MR167" s="4584">
        <f>MR127+MR164+MR165</f>
        <v>10256060.273333333</v>
      </c>
      <c r="MS167" s="4584">
        <f>MS127+MS164+MS165</f>
        <v>1588127.2733333334</v>
      </c>
      <c r="MT167" s="4590">
        <f>MS167/MR167</f>
        <v>0.15484769307202739</v>
      </c>
      <c r="MU167" s="4583">
        <f>MU127+MU164+MU165</f>
        <v>213</v>
      </c>
      <c r="MV167" s="4592">
        <f>MV127+MV164+MV165</f>
        <v>8736601</v>
      </c>
      <c r="MW167" s="4592">
        <f>MW127+MW164+MW165</f>
        <v>10195858.633333333</v>
      </c>
      <c r="MX167" s="4592">
        <f>MX127+MX164+MX165</f>
        <v>1459257.6333333335</v>
      </c>
      <c r="MY167" s="4593">
        <f>MX167/MW167</f>
        <v>0.14312258396390284</v>
      </c>
      <c r="MZ167" s="4583">
        <f>MZ127+MZ164+MZ165</f>
        <v>177</v>
      </c>
      <c r="NA167" s="4592">
        <f>NA127+NA164+NA165</f>
        <v>6372834</v>
      </c>
      <c r="NB167" s="4592">
        <f>NB127+NB164+NB165</f>
        <v>8134088.6699999999</v>
      </c>
      <c r="NC167" s="4592">
        <f>NC127+NC164+NC165</f>
        <v>1761254.67</v>
      </c>
      <c r="ND167" s="4593">
        <f>NC167/NB167</f>
        <v>0.21652759656970888</v>
      </c>
      <c r="NE167" s="4583">
        <f>NE127+NE164+NE165</f>
        <v>230</v>
      </c>
      <c r="NF167" s="4592">
        <f>NF127+NF164+NF165</f>
        <v>8301170</v>
      </c>
      <c r="NG167" s="4592">
        <f>NG127+NG164+NG165</f>
        <v>10639653.67</v>
      </c>
      <c r="NH167" s="4592">
        <f>NH127+NH164+NH165</f>
        <v>2338483.67</v>
      </c>
      <c r="NI167" s="4594">
        <f>NH167/NG167</f>
        <v>0.21978945391744129</v>
      </c>
      <c r="NJ167" s="4583">
        <f>NJ127+NJ164+NJ165</f>
        <v>260</v>
      </c>
      <c r="NK167" s="4592">
        <f>NK127+NK164+NK165</f>
        <v>8161359.7419354841</v>
      </c>
      <c r="NL167" s="4592">
        <f>NL127+NL164+NL165</f>
        <v>9736602.2400000002</v>
      </c>
      <c r="NM167" s="4592">
        <f>NM127+NM164+NM165</f>
        <v>1575242.4980645161</v>
      </c>
      <c r="NN167" s="4594">
        <f>NM167/NL167</f>
        <v>0.16178564752220134</v>
      </c>
      <c r="NO167" s="4587">
        <f>NO127+NO164+NO165</f>
        <v>260</v>
      </c>
      <c r="NP167" s="4595">
        <f>NP127+NP164+NP165</f>
        <v>8681468</v>
      </c>
      <c r="NQ167" s="4592">
        <f>NQ127+NQ164+NQ165</f>
        <v>10657705.23</v>
      </c>
      <c r="NR167" s="4592">
        <f>NR127+NR164+NR165</f>
        <v>1976237.23</v>
      </c>
      <c r="NS167" s="4594">
        <f>NR167/NQ167</f>
        <v>0.18542802482819276</v>
      </c>
      <c r="NT167" s="4587">
        <f>NT127+NT164+NT165</f>
        <v>263</v>
      </c>
      <c r="NU167" s="4595">
        <f>NU127+NU164+NU165</f>
        <v>8533476.5714285709</v>
      </c>
      <c r="NV167" s="4592">
        <f>NV127+NV164+NV165</f>
        <v>10640393.23</v>
      </c>
      <c r="NW167" s="4592">
        <f>NW127+NW164+NW165</f>
        <v>2106916.6585714286</v>
      </c>
      <c r="NX167" s="4594">
        <f>NW167/NV167</f>
        <v>0.19801116490987322</v>
      </c>
      <c r="NY167" s="4587">
        <f>NY127+NY164+NY165</f>
        <v>261</v>
      </c>
      <c r="NZ167" s="4595">
        <f>NZ127+NZ164+NZ165</f>
        <v>8635180.0967741944</v>
      </c>
      <c r="OA167" s="4595">
        <f>OA127+OA164+OA165</f>
        <v>10824820.4</v>
      </c>
      <c r="OB167" s="4595">
        <f>OB127+OB164+OB165</f>
        <v>2189640.3032258046</v>
      </c>
      <c r="OC167" s="4590">
        <f>OB167/OA167</f>
        <v>0.20227959654885402</v>
      </c>
      <c r="OD167" s="4587">
        <f>OD127+OD164+OD165</f>
        <v>261</v>
      </c>
      <c r="OE167" s="4595">
        <f>OE127+OE164+OE165</f>
        <v>98716488.721966207</v>
      </c>
      <c r="OF167" s="4595">
        <f>OF127+OF164+OF165</f>
        <v>120269038.52666667</v>
      </c>
      <c r="OG167" s="4595">
        <f>OG127+OG164+OG165</f>
        <v>21534107.804700457</v>
      </c>
      <c r="OH167" s="4590">
        <f>OG167/OF167</f>
        <v>0.17904947165538204</v>
      </c>
      <c r="OI167" s="4583">
        <f>OI127+OI164+OI165</f>
        <v>208.00000000000006</v>
      </c>
      <c r="OJ167" s="4592">
        <f>OJ127+OJ164+OJ165</f>
        <v>19019142.370967746</v>
      </c>
      <c r="OK167" s="4592">
        <f>OK127+OK164+OK165</f>
        <v>23391570.25</v>
      </c>
      <c r="OL167" s="4592">
        <f>OL127+OL164+OL165</f>
        <v>4213948.8790322542</v>
      </c>
      <c r="OM167" s="4593">
        <f>OL167/OK167</f>
        <v>0.1801481830418056</v>
      </c>
      <c r="ON167" s="4583">
        <f>ON127+ON164+ON165</f>
        <v>201.66666666666669</v>
      </c>
      <c r="OO167" s="4592">
        <f>OO127+OO164+OO165</f>
        <v>25027509.548387095</v>
      </c>
      <c r="OP167" s="4592">
        <f>OP127+OP164+OP165</f>
        <v>29458515.236666668</v>
      </c>
      <c r="OQ167" s="4592">
        <f>OQ127+OQ164+OQ165</f>
        <v>4431005.6882795701</v>
      </c>
      <c r="OR167" s="4593">
        <f>OQ167/OP167</f>
        <v>0.15041510587622384</v>
      </c>
      <c r="OS167" s="4583">
        <f>OS127+OS164+OS165</f>
        <v>193.66666666666666</v>
      </c>
      <c r="OT167" s="4592">
        <f>OT127+OT164+OT165</f>
        <v>22835363.741935484</v>
      </c>
      <c r="OU167" s="4592">
        <f>OU127+OU164+OU165</f>
        <v>28510344.579999998</v>
      </c>
      <c r="OV167" s="4592">
        <f>OV127+OV164+OV165</f>
        <v>5674980.838064516</v>
      </c>
      <c r="OW167" s="4593">
        <f>OV167/OU167</f>
        <v>0.19904988598578757</v>
      </c>
      <c r="OX167" s="4583">
        <f>OX127+OX164+OX165</f>
        <v>214</v>
      </c>
      <c r="OY167" s="4592">
        <f>OY127+OY164+OY165</f>
        <v>25850124.668202765</v>
      </c>
      <c r="OZ167" s="4592">
        <f>OZ127+OZ164+OZ165</f>
        <v>32122918.859999999</v>
      </c>
      <c r="PA167" s="4592">
        <f>PA127+PA164+PA165</f>
        <v>6272794.1917972332</v>
      </c>
      <c r="PB167" s="4590">
        <f>PA167/OZ167</f>
        <v>0.19527472640751281</v>
      </c>
      <c r="PC167" s="4596"/>
      <c r="PD167" s="4587">
        <f>PD127+PD164+PD165</f>
        <v>229</v>
      </c>
      <c r="PE167" s="4597">
        <f>PE127+PE164+PE165</f>
        <v>9213347.8000000007</v>
      </c>
      <c r="PF167" s="4597">
        <f>PF127+PF164+PF165</f>
        <v>11677510.74</v>
      </c>
      <c r="PG167" s="4597">
        <f>PG127+PG164+PG165</f>
        <v>2464162.94</v>
      </c>
      <c r="PH167" s="4590">
        <f>PG167/PF167</f>
        <v>0.21101782690374984</v>
      </c>
      <c r="PI167" s="4587">
        <f>PI127+PI164+PI165</f>
        <v>284</v>
      </c>
      <c r="PJ167" s="4597">
        <f>PJ127+PJ164+PJ165</f>
        <v>9634445</v>
      </c>
      <c r="PK167" s="4597">
        <f>PK127+PK164+PK165</f>
        <v>11940315.404959999</v>
      </c>
      <c r="PL167" s="4597">
        <f>PL127+PL164+PL165</f>
        <v>2305870.40496</v>
      </c>
      <c r="PM167" s="4590">
        <f>PL167/PK167</f>
        <v>0.1931163731237906</v>
      </c>
      <c r="PN167" s="4587">
        <f>PN127+PN164+PN165</f>
        <v>282</v>
      </c>
      <c r="PO167" s="4597">
        <f>PO127+PO164+PO165</f>
        <v>9670213.6666666679</v>
      </c>
      <c r="PP167" s="4597">
        <f>PP127+PP164+PP165</f>
        <v>11830587.030000001</v>
      </c>
      <c r="PQ167" s="4597">
        <f>PQ127+PQ164+PQ165</f>
        <v>2160373.3633333333</v>
      </c>
      <c r="PR167" s="4590">
        <f>PQ167/PP167</f>
        <v>0.18260914338866355</v>
      </c>
      <c r="PS167" s="4591">
        <f>PS127+PS164+PS165</f>
        <v>272</v>
      </c>
      <c r="PT167" s="4584">
        <f>PT127+PT164+PT165</f>
        <v>9816617.7741935477</v>
      </c>
      <c r="PU167" s="4584">
        <f>PU127+PU164+PU165</f>
        <v>11484041.903225806</v>
      </c>
      <c r="PV167" s="4584">
        <f>PV127+PV164+PV165</f>
        <v>1667424.1290322579</v>
      </c>
      <c r="PW167" s="4590">
        <f>PV167/PU167</f>
        <v>0.14519488374244677</v>
      </c>
      <c r="PX167" s="4591">
        <f>PX127+PX164+PX165</f>
        <v>300</v>
      </c>
      <c r="PY167" s="4584">
        <f>PY127+PY164+PY165</f>
        <v>10193800.612903226</v>
      </c>
      <c r="PZ167" s="4584">
        <f>PZ127+PZ164+PZ165</f>
        <v>12248989</v>
      </c>
      <c r="QA167" s="4584">
        <f>QA127+QA164+QA165</f>
        <v>2055188.3870967741</v>
      </c>
      <c r="QB167" s="4590">
        <f>QA167/PZ167</f>
        <v>0.16778432792263706</v>
      </c>
      <c r="QC167" s="4583">
        <f>QC127+QC164+QC165</f>
        <v>312</v>
      </c>
      <c r="QD167" s="4592">
        <f>QD127+QD164+QD165</f>
        <v>10643949</v>
      </c>
      <c r="QE167" s="4592">
        <f>QE127+QE164+QE165</f>
        <v>12734417.879999999</v>
      </c>
      <c r="QF167" s="4592">
        <f>QF127+QF164+QF165</f>
        <v>2090468.88</v>
      </c>
      <c r="QG167" s="4594">
        <f>QF167/QE167</f>
        <v>0.16415896664449653</v>
      </c>
      <c r="QH167" s="4587">
        <f>QH127+QH164+QH165</f>
        <v>315</v>
      </c>
      <c r="QI167" s="4595">
        <f>QI127+QI164+QI165</f>
        <v>10914035</v>
      </c>
      <c r="QJ167" s="4595">
        <f>QJ127+QJ164+QJ165</f>
        <v>13009744.699999999</v>
      </c>
      <c r="QK167" s="4595">
        <f>QK127+QK164+QK165</f>
        <v>2095709.7</v>
      </c>
      <c r="QL167" s="4590">
        <f>QK167/QJ167</f>
        <v>0.16108768836947276</v>
      </c>
      <c r="QM167" s="4587">
        <f>QM127+QM164+QM165</f>
        <v>313</v>
      </c>
      <c r="QN167" s="4595">
        <f>QN127+QN164+QN165</f>
        <v>10948672</v>
      </c>
      <c r="QO167" s="4595">
        <f>QO127+QO164+QO165</f>
        <v>12790912.658</v>
      </c>
      <c r="QP167" s="4595">
        <f>QP127+QP164+QP165</f>
        <v>1842240.6580000001</v>
      </c>
      <c r="QQ167" s="4590">
        <f>QP167/QO167</f>
        <v>0.14402730338775174</v>
      </c>
      <c r="QR167" s="4587">
        <f>QR127+QR164+QR165</f>
        <v>315</v>
      </c>
      <c r="QS167" s="4595">
        <f>QS127+QS164+QS165</f>
        <v>11002034</v>
      </c>
      <c r="QT167" s="4595">
        <f>QT127+QT164+QT165</f>
        <v>13134562.656666666</v>
      </c>
      <c r="QU167" s="4595">
        <f>QU127+QU164+QU165</f>
        <v>2132528.6566666667</v>
      </c>
      <c r="QV167" s="4590">
        <f>QU167/QT167</f>
        <v>0.16236008098710972</v>
      </c>
      <c r="QW167" s="4587">
        <f>QW127+QW164+QW165</f>
        <v>349</v>
      </c>
      <c r="QX167" s="4595">
        <f>QX127+QX164+QX165</f>
        <v>11915697.580645163</v>
      </c>
      <c r="QY167" s="4595">
        <f>QY127+QY164+QY165</f>
        <v>15300438.359999999</v>
      </c>
      <c r="QZ167" s="4595">
        <f>QZ127+QZ164+QZ165</f>
        <v>3384740.7793548391</v>
      </c>
      <c r="RA167" s="4590">
        <f>QZ167/QY167</f>
        <v>0.22121854941121041</v>
      </c>
      <c r="RB167" s="4587">
        <f>RB127+RB164+RB165</f>
        <v>349</v>
      </c>
      <c r="RC167" s="4595">
        <f>RC127+RC164+RC165</f>
        <v>12051853</v>
      </c>
      <c r="RD167" s="4595">
        <f>RD127+RD164+RD165</f>
        <v>15454878.350000001</v>
      </c>
      <c r="RE167" s="4595">
        <f>RE127+RE164+RE165</f>
        <v>3403025.35</v>
      </c>
      <c r="RF167" s="4590">
        <f>RE167/RD167</f>
        <v>0.22019101496195212</v>
      </c>
      <c r="RG167" s="4587">
        <f>RG127+RG164+RG165</f>
        <v>398</v>
      </c>
      <c r="RH167" s="4595">
        <f>RH127+RH164+RH165</f>
        <v>15096490.64516129</v>
      </c>
      <c r="RI167" s="4595">
        <f>RI127+RI164+RI165</f>
        <v>18427827.350000001</v>
      </c>
      <c r="RJ167" s="4595">
        <f>RJ127+RJ164+RJ165</f>
        <v>3331336.7048387099</v>
      </c>
      <c r="RK167" s="4590">
        <f>RJ167/RI167</f>
        <v>0.18077750792682076</v>
      </c>
      <c r="RL167" s="4542">
        <f>RL127+RL164+RL165</f>
        <v>363</v>
      </c>
      <c r="RM167" s="4595">
        <f>RM127+RM164+RM165</f>
        <v>131101156.07956988</v>
      </c>
      <c r="RN167" s="4595">
        <f>RN127+RN164+RN165</f>
        <v>160034226.03285247</v>
      </c>
      <c r="RO167" s="4595">
        <f>RO127+RO164+RO165</f>
        <v>28933069.95328258</v>
      </c>
      <c r="RP167" s="4590">
        <f>RO167/RN167</f>
        <v>0.18079301328543984</v>
      </c>
      <c r="RQ167" s="4583">
        <f>RQ127+RQ164+RQ165</f>
        <v>281.66666666666669</v>
      </c>
      <c r="RR167" s="4592">
        <f>RR127+RR164+RR165</f>
        <v>28518006.466666669</v>
      </c>
      <c r="RS167" s="4592">
        <f>RS127+RS164+RS165</f>
        <v>35448413.174960002</v>
      </c>
      <c r="RT167" s="4592">
        <f>RT127+RT164+RT165</f>
        <v>6930406.7082933336</v>
      </c>
      <c r="RU167" s="4593">
        <f>RT167/RS167</f>
        <v>0.19550682492012997</v>
      </c>
      <c r="RV167" s="4583">
        <f>RV127+RV164+RV165</f>
        <v>312</v>
      </c>
      <c r="RW167" s="4592">
        <f>RW127+RW164+RW165</f>
        <v>30654367.387096778</v>
      </c>
      <c r="RX167" s="4592">
        <f>RX127+RX164+RX165</f>
        <v>36467448.783225805</v>
      </c>
      <c r="RY167" s="4592">
        <f>RY127+RY164+RY165</f>
        <v>5813081.3961290317</v>
      </c>
      <c r="RZ167" s="4593">
        <f>RY167/RX167</f>
        <v>0.15940466333918366</v>
      </c>
      <c r="SA167" s="4587">
        <f>SA127+SA164+SA165</f>
        <v>315</v>
      </c>
      <c r="SB167" s="4595">
        <f>SB127+SB164+SB165</f>
        <v>32864741</v>
      </c>
      <c r="SC167" s="4595">
        <f>SC127+SC164+SC165</f>
        <v>38935220.014666662</v>
      </c>
      <c r="SD167" s="4595">
        <f>SD127+SD164+SD165</f>
        <v>6070479.0146666672</v>
      </c>
      <c r="SE167" s="4590">
        <f>SD167/SC167</f>
        <v>0.15591228230840751</v>
      </c>
      <c r="SF167" s="4542">
        <f>SF127+SF164+SF165</f>
        <v>334</v>
      </c>
      <c r="SG167" s="4595">
        <f>SG127+SG164+SG165</f>
        <v>39064041.225806452</v>
      </c>
      <c r="SH167" s="4595">
        <f>SH127+SH164+SH165</f>
        <v>49183144.060000002</v>
      </c>
      <c r="SI167" s="4595">
        <f>SI127+SI164+SI165</f>
        <v>10119102.834193548</v>
      </c>
      <c r="SJ167" s="4590">
        <f>SI167/SH167</f>
        <v>0.20574330957469797</v>
      </c>
      <c r="SK167" s="3074"/>
      <c r="SL167" s="4587">
        <f>SL127+SL164+SL165</f>
        <v>375</v>
      </c>
      <c r="SM167" s="4597">
        <f>SM127+SM164+SM165</f>
        <v>18782039</v>
      </c>
      <c r="SN167" s="4597">
        <f>SN127+SN164+SN165</f>
        <v>24487341.16</v>
      </c>
      <c r="SO167" s="4597">
        <f>SO127+SO164+SO165</f>
        <v>5705302.1600000001</v>
      </c>
      <c r="SP167" s="4590">
        <f>SO167/SN167</f>
        <v>0.23298985883039006</v>
      </c>
      <c r="SQ167" s="4587">
        <f>SQ127+SQ164+SQ165</f>
        <v>445</v>
      </c>
      <c r="SR167" s="4597">
        <f>SR127+SR164+SR165</f>
        <v>19207367.64516129</v>
      </c>
      <c r="SS167" s="4597">
        <f>SS127+SS164+SS165</f>
        <v>24841596.241290323</v>
      </c>
      <c r="ST167" s="4597">
        <f>ST127+ST164+ST165</f>
        <v>5634228.5961290319</v>
      </c>
      <c r="SU167" s="4590">
        <f>ST167/SS167</f>
        <v>0.2268062221687723</v>
      </c>
      <c r="SV167" s="4587">
        <f>SV127+SV164+SV165</f>
        <v>501</v>
      </c>
      <c r="SW167" s="4597">
        <f>SW127+SW164+SW165</f>
        <v>21889955</v>
      </c>
      <c r="SX167" s="4597">
        <f>SX127+SX164+SX165</f>
        <v>25627524.993333332</v>
      </c>
      <c r="SY167" s="4597">
        <f>SY127+SY164+SY165</f>
        <v>3737569.9933333336</v>
      </c>
      <c r="SZ167" s="4590">
        <f>SY167/SX167</f>
        <v>0.14584201924710302</v>
      </c>
      <c r="TA167" s="4598">
        <f>TA127+TA164+TA165</f>
        <v>518</v>
      </c>
      <c r="TB167" s="4597">
        <f>TB127+TB164+TB165</f>
        <v>24230447.483870968</v>
      </c>
      <c r="TC167" s="4597">
        <f>TC127+TC164+TC165</f>
        <v>25892271.340201613</v>
      </c>
      <c r="TD167" s="4597">
        <f>TD127+TD164+TD165</f>
        <v>1661823.8563306453</v>
      </c>
      <c r="TE167" s="4590">
        <f>TD167/TC167</f>
        <v>6.4182235482385663E-2</v>
      </c>
      <c r="TF167" s="4598">
        <f>TF127+TF164+TF165</f>
        <v>530</v>
      </c>
      <c r="TG167" s="4597">
        <f>TG127+TG164+TG165</f>
        <v>25084170.64516129</v>
      </c>
      <c r="TH167" s="4597">
        <f>TH127+TH164+TH165</f>
        <v>26357044.153333332</v>
      </c>
      <c r="TI167" s="4597">
        <f>TI127+TI164+TI165</f>
        <v>1272873.5081720429</v>
      </c>
      <c r="TJ167" s="4590">
        <f>TI167/TH167</f>
        <v>4.8293484685423826E-2</v>
      </c>
      <c r="TK167" s="4587">
        <f>TK127+TK164+TK165</f>
        <v>565</v>
      </c>
      <c r="TL167" s="4595">
        <f>TL127+TL164+TL165</f>
        <v>26836565.93333333</v>
      </c>
      <c r="TM167" s="4595">
        <f>TM127+TM164+TM165</f>
        <v>27477869.460000001</v>
      </c>
      <c r="TN167" s="4595">
        <f>TN127+TN164+TN165</f>
        <v>641303.52666666976</v>
      </c>
      <c r="TO167" s="4590">
        <f>TN167/TM167</f>
        <v>2.3338910158235745E-2</v>
      </c>
      <c r="TP167" s="4599">
        <f>TP127+TP164+TP165</f>
        <v>562</v>
      </c>
      <c r="TQ167" s="4595">
        <f>TQ127+TQ164+TQ165</f>
        <v>27154024.903225806</v>
      </c>
      <c r="TR167" s="4595">
        <f>TR127+TR164+TR165</f>
        <v>28193816.278680641</v>
      </c>
      <c r="TS167" s="4595">
        <f>TS127+TS164+TS165</f>
        <v>1039791.3754548386</v>
      </c>
      <c r="TT167" s="4590">
        <f>TS167/TR167</f>
        <v>3.6880121696795588E-2</v>
      </c>
      <c r="TU167" s="4599">
        <f>TU127+TU164+TU165</f>
        <v>586</v>
      </c>
      <c r="TV167" s="4595">
        <f>TV127+TV164+TV165</f>
        <v>28063574</v>
      </c>
      <c r="TW167" s="4595">
        <f>TW127+TW164+TW165</f>
        <v>29141737.785999998</v>
      </c>
      <c r="TX167" s="4595">
        <f>TX127+TX164+TX165</f>
        <v>1078163.7859999998</v>
      </c>
      <c r="TY167" s="4590">
        <f>TX167/TW167</f>
        <v>3.6997237224403318E-2</v>
      </c>
      <c r="TZ167" s="4587">
        <f>TZ127+TZ164+TZ165</f>
        <v>583</v>
      </c>
      <c r="UA167" s="4595">
        <f>UA127+UA164+UA165</f>
        <v>28686640</v>
      </c>
      <c r="UB167" s="4595">
        <f>UB127+UB164+UB165</f>
        <v>29876063.14136</v>
      </c>
      <c r="UC167" s="4595">
        <f>UC127+UC164+UC165</f>
        <v>1189423.1413599998</v>
      </c>
      <c r="UD167" s="4590">
        <f>UC167/UB167</f>
        <v>3.9811910148006724E-2</v>
      </c>
      <c r="UE167" s="4587">
        <f>UE127+UE164+UE165</f>
        <v>584</v>
      </c>
      <c r="UF167" s="4595">
        <f>UF127+UF164+UF165</f>
        <v>29551552</v>
      </c>
      <c r="UG167" s="4595">
        <f>UG127+UG164+UG165</f>
        <v>31170000.071000002</v>
      </c>
      <c r="UH167" s="4595">
        <f>UH127+UH164+UH165</f>
        <v>1618448.0710000005</v>
      </c>
      <c r="UI167" s="4590">
        <f>UH167/UG167</f>
        <v>5.1923261703992585E-2</v>
      </c>
      <c r="UJ167" s="4587">
        <f>UJ127+UJ164+UJ165</f>
        <v>0</v>
      </c>
      <c r="UK167" s="4595">
        <f>UK127+UK164+UK165</f>
        <v>0</v>
      </c>
      <c r="UL167" s="4595">
        <f>UL127+UL164+UL165</f>
        <v>0</v>
      </c>
      <c r="UM167" s="4595">
        <f>UM127+UM164+UM165</f>
        <v>0</v>
      </c>
      <c r="UN167" s="4590" t="e">
        <f>UM167/UL167</f>
        <v>#DIV/0!</v>
      </c>
      <c r="UO167" s="4587">
        <f>UO127+UO164+UO165</f>
        <v>0</v>
      </c>
      <c r="UP167" s="4595">
        <f>UP127+UP164+UP165</f>
        <v>0</v>
      </c>
      <c r="UQ167" s="4595">
        <f>UQ127+UQ164+UQ165</f>
        <v>0</v>
      </c>
      <c r="UR167" s="4595">
        <f>UR127+UR164+UR165</f>
        <v>0</v>
      </c>
      <c r="US167" s="4590" t="e">
        <f>UR167/UQ167</f>
        <v>#DIV/0!</v>
      </c>
      <c r="UT167" s="4542">
        <f>UT127+UT164+UT165</f>
        <v>0</v>
      </c>
      <c r="UU167" s="4595">
        <f>UU127+UU164+UU165</f>
        <v>249486336.61075267</v>
      </c>
      <c r="UV167" s="4595">
        <f>UV127+UV164+UV165</f>
        <v>273065264.62519926</v>
      </c>
      <c r="UW167" s="4595">
        <f>UW127+UW164+UW165</f>
        <v>23578928.01444656</v>
      </c>
      <c r="UX167" s="4590">
        <f>UW167/UV167</f>
        <v>8.6349056687273093E-2</v>
      </c>
      <c r="UY167" s="4150">
        <f>UY127+UY164+UY165</f>
        <v>449.33333333333331</v>
      </c>
      <c r="UZ167" s="4154">
        <f>UZ127+UZ164+UZ165</f>
        <v>58023094.645161286</v>
      </c>
      <c r="VA167" s="4154">
        <f>VA127+VA164+VA165</f>
        <v>74956462.394623652</v>
      </c>
      <c r="VB167" s="4154">
        <f>VB127+VB164+VB165</f>
        <v>16933367.749462366</v>
      </c>
      <c r="VC167" s="4155">
        <f>VB167/VA167</f>
        <v>0.22590937737046851</v>
      </c>
      <c r="VD167" s="4150">
        <f>VD127+VD164+VD165</f>
        <v>0</v>
      </c>
      <c r="VE167" s="4154">
        <f>VE127+VE164+VE165</f>
        <v>73017476.062365592</v>
      </c>
      <c r="VF167" s="4154">
        <f>VF127+VF164+VF165</f>
        <v>79509116.953534946</v>
      </c>
      <c r="VG167" s="4154">
        <f>VG127+VG164+VG165</f>
        <v>6491640.891169358</v>
      </c>
      <c r="VH167" s="4155">
        <f>VG167/VF167</f>
        <v>8.1646497155327069E-2</v>
      </c>
      <c r="VI167" s="4151">
        <f>VI127+VI164+VI165</f>
        <v>0</v>
      </c>
      <c r="VJ167" s="4156">
        <f>VJ127+VJ164+VJ165</f>
        <v>83307117.903225809</v>
      </c>
      <c r="VK167" s="4156">
        <f>VK127+VK164+VK165</f>
        <v>86433957.206040651</v>
      </c>
      <c r="VL167" s="4156">
        <f>VL127+VL164+VL165</f>
        <v>3126839.3028148385</v>
      </c>
      <c r="VM167" s="4155">
        <f>VL167/VK167</f>
        <v>3.6176051680256886E-2</v>
      </c>
      <c r="VN167" s="4151">
        <f>VN127+VN164+VN165</f>
        <v>0</v>
      </c>
      <c r="VO167" s="4156">
        <f>VO127+VO164+VO165</f>
        <v>23164191</v>
      </c>
      <c r="VP167" s="4156">
        <f>VP127+VP164+VP165</f>
        <v>25904045.070999999</v>
      </c>
      <c r="VQ167" s="4156">
        <f>VQ127+VQ164+VQ165</f>
        <v>2739854.071</v>
      </c>
      <c r="VR167" s="4153">
        <f>VQ167/VP167</f>
        <v>0.10576935237297404</v>
      </c>
      <c r="VT167" s="6509">
        <f>UC167*3</f>
        <v>3568269.4240799993</v>
      </c>
    </row>
    <row r="168" spans="1:592" s="1193" customFormat="1" ht="15.6" x14ac:dyDescent="0.3">
      <c r="A168" s="1297"/>
      <c r="B168" s="2710" t="s">
        <v>843</v>
      </c>
      <c r="C168" s="4117"/>
      <c r="D168" s="4115"/>
      <c r="E168" s="2492"/>
      <c r="F168" s="2492"/>
      <c r="G168" s="2493"/>
      <c r="H168" s="1874"/>
      <c r="I168" s="1875"/>
      <c r="J168" s="1875"/>
      <c r="K168" s="1875"/>
      <c r="L168" s="1876"/>
      <c r="M168" s="1874"/>
      <c r="N168" s="1875"/>
      <c r="O168" s="1875"/>
      <c r="P168" s="1875"/>
      <c r="Q168" s="1876"/>
      <c r="R168" s="1874"/>
      <c r="S168" s="1875"/>
      <c r="T168" s="1875"/>
      <c r="U168" s="1875"/>
      <c r="V168" s="1876"/>
      <c r="W168" s="1874"/>
      <c r="X168" s="1875"/>
      <c r="Y168" s="1875"/>
      <c r="Z168" s="1875"/>
      <c r="AA168" s="1877"/>
      <c r="AB168" s="1874"/>
      <c r="AC168" s="1875"/>
      <c r="AD168" s="1875"/>
      <c r="AE168" s="1875"/>
      <c r="AF168" s="1877"/>
      <c r="AG168" s="1875"/>
      <c r="AH168" s="1875"/>
      <c r="AI168" s="1875"/>
      <c r="AJ168" s="1875"/>
      <c r="AK168" s="1876"/>
      <c r="AL168" s="1875"/>
      <c r="AM168" s="1875"/>
      <c r="AN168" s="1875"/>
      <c r="AO168" s="1875"/>
      <c r="AP168" s="1876"/>
      <c r="AQ168" s="1875"/>
      <c r="AR168" s="1875"/>
      <c r="AS168" s="1875"/>
      <c r="AT168" s="1875"/>
      <c r="AU168" s="1876"/>
      <c r="AV168" s="1878"/>
      <c r="AW168" s="1875"/>
      <c r="AX168" s="1875"/>
      <c r="AY168" s="1875"/>
      <c r="AZ168" s="1877"/>
      <c r="BA168" s="1878"/>
      <c r="BB168" s="1875"/>
      <c r="BC168" s="1875"/>
      <c r="BD168" s="1875"/>
      <c r="BE168" s="1877"/>
      <c r="BF168" s="1878"/>
      <c r="BG168" s="1875"/>
      <c r="BH168" s="1875"/>
      <c r="BI168" s="1875"/>
      <c r="BJ168" s="1877"/>
      <c r="BK168" s="1878"/>
      <c r="BL168" s="1875"/>
      <c r="BM168" s="1875"/>
      <c r="BN168" s="1875"/>
      <c r="BO168" s="1877"/>
      <c r="BP168" s="1879"/>
      <c r="BQ168" s="1875"/>
      <c r="BR168" s="1875"/>
      <c r="BS168" s="1875"/>
      <c r="BT168" s="1880"/>
      <c r="BU168" s="1875"/>
      <c r="BV168" s="1875"/>
      <c r="BW168" s="1881"/>
      <c r="BX168" s="1880"/>
      <c r="BY168" s="1875"/>
      <c r="BZ168" s="1875"/>
      <c r="CA168" s="1882"/>
      <c r="CB168" s="1875"/>
      <c r="CC168" s="1875"/>
      <c r="CD168" s="1875"/>
      <c r="CE168" s="1875"/>
      <c r="CF168" s="1880"/>
      <c r="CG168" s="1875"/>
      <c r="CH168" s="1875"/>
      <c r="CI168" s="1882"/>
      <c r="CJ168" s="1883"/>
      <c r="CK168" s="1875"/>
      <c r="CL168" s="1875"/>
      <c r="CM168" s="1875"/>
      <c r="CN168" s="1881"/>
      <c r="CO168" s="1883"/>
      <c r="CP168" s="1874"/>
      <c r="CQ168" s="1874"/>
      <c r="CR168" s="1874"/>
      <c r="CS168" s="1881"/>
      <c r="CT168" s="1883"/>
      <c r="CU168" s="1875"/>
      <c r="CV168" s="1875"/>
      <c r="CW168" s="1875"/>
      <c r="CX168" s="1881"/>
      <c r="CY168" s="1883"/>
      <c r="CZ168" s="1875"/>
      <c r="DA168" s="1875"/>
      <c r="DB168" s="1875"/>
      <c r="DC168" s="1881"/>
      <c r="DD168" s="1883"/>
      <c r="DE168" s="1875"/>
      <c r="DF168" s="1875"/>
      <c r="DG168" s="1875"/>
      <c r="DH168" s="1884"/>
      <c r="DI168" s="1883"/>
      <c r="DJ168" s="1875"/>
      <c r="DK168" s="1875"/>
      <c r="DL168" s="1875"/>
      <c r="DM168" s="1884"/>
      <c r="DN168" s="1883"/>
      <c r="DO168" s="1875"/>
      <c r="DP168" s="1875"/>
      <c r="DQ168" s="1875"/>
      <c r="DR168" s="1884"/>
      <c r="DS168" s="1883"/>
      <c r="DT168" s="1875"/>
      <c r="DU168" s="1875"/>
      <c r="DV168" s="1875"/>
      <c r="DW168" s="1884"/>
      <c r="DX168" s="1883"/>
      <c r="DY168" s="1875"/>
      <c r="DZ168" s="1875"/>
      <c r="EA168" s="1875"/>
      <c r="EB168" s="1884"/>
      <c r="EC168" s="1883"/>
      <c r="ED168" s="1875"/>
      <c r="EE168" s="1875"/>
      <c r="EF168" s="1875"/>
      <c r="EG168" s="1884"/>
      <c r="EH168" s="1885"/>
      <c r="EI168" s="1886"/>
      <c r="EJ168" s="1886"/>
      <c r="EK168" s="1886"/>
      <c r="EL168" s="1887"/>
      <c r="EM168" s="1888"/>
      <c r="EN168" s="1889"/>
      <c r="EO168" s="1889"/>
      <c r="EP168" s="1889"/>
      <c r="EQ168" s="166"/>
      <c r="ER168" s="2494"/>
      <c r="ES168" s="2495"/>
      <c r="ET168" s="2495"/>
      <c r="EU168" s="2495"/>
      <c r="EV168" s="2496"/>
      <c r="EW168" s="1890"/>
      <c r="EX168" s="1890"/>
      <c r="EY168" s="1890"/>
      <c r="EZ168" s="1891"/>
      <c r="FA168" s="1885"/>
      <c r="FB168" s="1890"/>
      <c r="FC168" s="1890"/>
      <c r="FD168" s="1892"/>
      <c r="FE168" s="1890"/>
      <c r="FF168" s="1890"/>
      <c r="FG168" s="1890"/>
      <c r="FH168" s="1891"/>
      <c r="FI168" s="1893"/>
      <c r="FJ168" s="1894"/>
      <c r="FK168" s="1895"/>
      <c r="FL168" s="1895"/>
      <c r="FM168" s="1896"/>
      <c r="FN168" s="1890"/>
      <c r="FO168" s="1886"/>
      <c r="FP168" s="1886"/>
      <c r="FQ168" s="1886"/>
      <c r="FR168" s="1897"/>
      <c r="FS168" s="1888"/>
      <c r="FT168" s="1889"/>
      <c r="FU168" s="1889"/>
      <c r="FV168" s="1889"/>
      <c r="FW168" s="1898"/>
      <c r="FX168" s="1885"/>
      <c r="FY168" s="1886"/>
      <c r="FZ168" s="1886"/>
      <c r="GA168" s="1889"/>
      <c r="GB168" s="1898"/>
      <c r="GC168" s="1899"/>
      <c r="GD168" s="1900"/>
      <c r="GE168" s="1900"/>
      <c r="GF168" s="1889"/>
      <c r="GG168" s="166"/>
      <c r="GH168" s="1901"/>
      <c r="GI168" s="1824"/>
      <c r="GJ168" s="1824"/>
      <c r="GK168" s="1902"/>
      <c r="GL168" s="1898"/>
      <c r="GM168" s="1901"/>
      <c r="GN168" s="1824"/>
      <c r="GO168" s="1824"/>
      <c r="GP168" s="1902"/>
      <c r="GQ168" s="1898"/>
      <c r="GR168" s="1903"/>
      <c r="GS168" s="1904"/>
      <c r="GT168" s="1904"/>
      <c r="GU168" s="1902"/>
      <c r="GV168" s="1898"/>
      <c r="GW168" s="1903"/>
      <c r="GX168" s="1904"/>
      <c r="GY168" s="1904"/>
      <c r="GZ168" s="1902"/>
      <c r="HA168" s="1898"/>
      <c r="HB168" s="1903"/>
      <c r="HC168" s="1904"/>
      <c r="HD168" s="1904"/>
      <c r="HE168" s="1902"/>
      <c r="HF168" s="1898"/>
      <c r="HG168" s="1903"/>
      <c r="HH168" s="1904"/>
      <c r="HI168" s="1904"/>
      <c r="HJ168" s="1818"/>
      <c r="HK168" s="1898"/>
      <c r="HL168" s="1903"/>
      <c r="HM168" s="1904"/>
      <c r="HN168" s="1904"/>
      <c r="HO168" s="715"/>
      <c r="HP168" s="166"/>
      <c r="HQ168" s="2498"/>
      <c r="HR168" s="2499"/>
      <c r="HS168" s="2499"/>
      <c r="HT168" s="2499"/>
      <c r="HU168" s="2711"/>
      <c r="HV168" s="2712"/>
      <c r="HW168" s="2713"/>
      <c r="HX168" s="2713"/>
      <c r="HY168" s="2713"/>
      <c r="HZ168" s="2714"/>
      <c r="IA168" s="1912"/>
      <c r="IB168" s="1908"/>
      <c r="IC168" s="1908"/>
      <c r="ID168" s="1909"/>
      <c r="IE168" s="1910"/>
      <c r="IF168" s="1911"/>
      <c r="IG168" s="1912"/>
      <c r="IH168" s="1909"/>
      <c r="II168" s="1835"/>
      <c r="IJ168" s="1836"/>
      <c r="IK168" s="1836"/>
      <c r="IL168" s="693"/>
      <c r="IM168" s="1913"/>
      <c r="IN168" s="1836"/>
      <c r="IO168" s="1836"/>
      <c r="IP168" s="1838"/>
      <c r="IQ168" s="1914"/>
      <c r="IR168" s="1915"/>
      <c r="IS168" s="1916"/>
      <c r="IT168" s="1916"/>
      <c r="IU168" s="2503"/>
      <c r="IV168" s="2504"/>
      <c r="IW168" s="2505"/>
      <c r="IX168" s="2506"/>
      <c r="IY168" s="2507"/>
      <c r="IZ168" s="2064"/>
      <c r="JA168" s="2508"/>
      <c r="JB168" s="1922"/>
      <c r="JC168" s="1923"/>
      <c r="JD168" s="1924"/>
      <c r="JE168" s="2064"/>
      <c r="JF168" s="2508"/>
      <c r="JG168" s="1922"/>
      <c r="JH168" s="1142"/>
      <c r="JI168" s="1142"/>
      <c r="JJ168" s="2509"/>
      <c r="JK168" s="2508"/>
      <c r="JL168" s="2510"/>
      <c r="JM168" s="1142"/>
      <c r="JN168" s="1142"/>
      <c r="JO168" s="2511"/>
      <c r="JP168" s="2508"/>
      <c r="JQ168" s="2510"/>
      <c r="JR168" s="949"/>
      <c r="JS168" s="946"/>
      <c r="JT168" s="2715"/>
      <c r="JU168" s="2508"/>
      <c r="JV168" s="2516"/>
      <c r="JW168" s="1137"/>
      <c r="JX168" s="1978"/>
      <c r="JY168" s="2511"/>
      <c r="JZ168" s="2184"/>
      <c r="KA168" s="2517"/>
      <c r="KB168" s="946"/>
      <c r="KC168" s="946"/>
      <c r="KD168" s="937"/>
      <c r="KE168" s="159"/>
      <c r="KF168" s="2516"/>
      <c r="KG168" s="1978"/>
      <c r="KH168" s="1978"/>
      <c r="KI168" s="2064"/>
      <c r="KJ168" s="2508"/>
      <c r="KK168" s="2516"/>
      <c r="KL168" s="1978"/>
      <c r="KM168" s="1978"/>
      <c r="KN168" s="2064"/>
      <c r="KO168" s="2184"/>
      <c r="KP168" s="2716"/>
      <c r="KQ168" s="1978"/>
      <c r="KR168" s="1978"/>
      <c r="KS168" s="823"/>
      <c r="KT168" s="2717"/>
      <c r="KU168" s="2622"/>
      <c r="KV168" s="1978"/>
      <c r="KW168" s="1978"/>
      <c r="KX168" s="823"/>
      <c r="KY168" s="159"/>
      <c r="KZ168" s="2072"/>
      <c r="LA168" s="823"/>
      <c r="LB168" s="823"/>
      <c r="LC168" s="823"/>
      <c r="LD168" s="1929"/>
      <c r="LE168" s="2074"/>
      <c r="LF168" s="2070"/>
      <c r="LG168" s="2070"/>
      <c r="LH168" s="2071"/>
      <c r="LI168" s="2072"/>
      <c r="LJ168" s="2073"/>
      <c r="LK168" s="2074"/>
      <c r="LL168" s="2071"/>
      <c r="LM168" s="1859"/>
      <c r="LN168" s="1727"/>
      <c r="LO168" s="1727"/>
      <c r="LP168" s="150"/>
      <c r="LQ168" s="1979"/>
      <c r="LR168" s="1727"/>
      <c r="LS168" s="1727"/>
      <c r="LT168" s="1861"/>
      <c r="LV168" s="2718"/>
      <c r="LW168" s="1307"/>
      <c r="LX168" s="1307"/>
      <c r="LY168" s="1307"/>
      <c r="LZ168" s="2541"/>
      <c r="MA168" s="2719"/>
      <c r="MB168" s="954"/>
      <c r="MC168" s="954"/>
      <c r="MD168" s="954"/>
      <c r="ME168" s="2541"/>
      <c r="MF168" s="2540"/>
      <c r="MG168" s="2527"/>
      <c r="MH168" s="2527"/>
      <c r="MI168" s="2527"/>
      <c r="MJ168" s="2528"/>
      <c r="MK168" s="2720"/>
      <c r="ML168" s="2527"/>
      <c r="MM168" s="2527"/>
      <c r="MN168" s="2527"/>
      <c r="MO168" s="2528"/>
      <c r="MP168" s="2523"/>
      <c r="MQ168" s="2524"/>
      <c r="MR168" s="2524"/>
      <c r="MS168" s="2524"/>
      <c r="MT168" s="2525"/>
      <c r="MU168" s="2526"/>
      <c r="MV168" s="2527"/>
      <c r="MW168" s="2527"/>
      <c r="MX168" s="2527"/>
      <c r="MY168" s="2528"/>
      <c r="MZ168" s="2526"/>
      <c r="NA168" s="2527"/>
      <c r="NB168" s="2527"/>
      <c r="NC168" s="2527"/>
      <c r="ND168" s="2528"/>
      <c r="NE168" s="957"/>
      <c r="NF168" s="954"/>
      <c r="NG168" s="954"/>
      <c r="NH168" s="954"/>
      <c r="NI168" s="960"/>
      <c r="NJ168" s="957"/>
      <c r="NK168" s="954"/>
      <c r="NL168" s="954"/>
      <c r="NM168" s="954"/>
      <c r="NN168" s="960"/>
      <c r="NO168" s="2529"/>
      <c r="NP168" s="2530"/>
      <c r="NQ168" s="2721"/>
      <c r="NR168" s="2527"/>
      <c r="NS168" s="960"/>
      <c r="NT168" s="357"/>
      <c r="NU168" s="358"/>
      <c r="NV168" s="358"/>
      <c r="NW168" s="954"/>
      <c r="NX168" s="960"/>
      <c r="NY168" s="1022"/>
      <c r="NZ168" s="1568"/>
      <c r="OA168" s="1568"/>
      <c r="OB168" s="2012"/>
      <c r="OC168" s="659"/>
      <c r="OD168" s="194">
        <f>(NY168+NT168+NO168+NJ168+NE168+MZ168+MU168+MP168+MK168+MF168+MA168+LV168)/12</f>
        <v>0</v>
      </c>
      <c r="OE168" s="2532">
        <f t="shared" ref="OE168:OG173" si="667">NZ168+NU168+NP168+NK168+NF168+NA168+MV168+MQ168+ML168+MG168+MB168+LW168</f>
        <v>0</v>
      </c>
      <c r="OF168" s="2532">
        <f t="shared" si="667"/>
        <v>0</v>
      </c>
      <c r="OG168" s="2532">
        <f t="shared" si="667"/>
        <v>0</v>
      </c>
      <c r="OH168" s="2534"/>
      <c r="OI168" s="2054"/>
      <c r="OJ168" s="2057"/>
      <c r="OK168" s="2055"/>
      <c r="OL168" s="2055"/>
      <c r="OM168" s="374"/>
      <c r="ON168" s="2054"/>
      <c r="OO168" s="2057"/>
      <c r="OP168" s="2055"/>
      <c r="OQ168" s="2055"/>
      <c r="OR168" s="2535"/>
      <c r="OS168" s="2054"/>
      <c r="OT168" s="2057"/>
      <c r="OU168" s="2055"/>
      <c r="OV168" s="2055"/>
      <c r="OW168" s="2535"/>
      <c r="OX168" s="2054"/>
      <c r="OY168" s="2057"/>
      <c r="OZ168" s="2055"/>
      <c r="PA168" s="2055"/>
      <c r="PB168" s="2544"/>
      <c r="PC168" s="79"/>
      <c r="PD168" s="2718"/>
      <c r="PE168" s="1307"/>
      <c r="PF168" s="1307"/>
      <c r="PG168" s="1307"/>
      <c r="PH168" s="2541"/>
      <c r="PI168" s="2719"/>
      <c r="PJ168" s="954"/>
      <c r="PK168" s="954"/>
      <c r="PL168" s="954"/>
      <c r="PM168" s="2541"/>
      <c r="PN168" s="2540"/>
      <c r="PO168" s="2527"/>
      <c r="PP168" s="2527"/>
      <c r="PQ168" s="2527"/>
      <c r="PR168" s="2528"/>
      <c r="PS168" s="2720"/>
      <c r="PT168" s="2527"/>
      <c r="PU168" s="2527"/>
      <c r="PV168" s="2527"/>
      <c r="PW168" s="2528"/>
      <c r="PX168" s="2538"/>
      <c r="PY168" s="2539"/>
      <c r="PZ168" s="2539"/>
      <c r="QA168" s="2539"/>
      <c r="QB168" s="1484"/>
      <c r="QC168" s="2526"/>
      <c r="QD168" s="2527"/>
      <c r="QE168" s="2527"/>
      <c r="QF168" s="2527"/>
      <c r="QG168" s="2528"/>
      <c r="QH168" s="2540"/>
      <c r="QI168" s="2527"/>
      <c r="QJ168" s="2527"/>
      <c r="QK168" s="2527"/>
      <c r="QL168" s="2528"/>
      <c r="QM168" s="2719"/>
      <c r="QN168" s="954"/>
      <c r="QO168" s="954"/>
      <c r="QP168" s="954"/>
      <c r="QQ168" s="960"/>
      <c r="QR168" s="2526"/>
      <c r="QS168" s="2527"/>
      <c r="QT168" s="2527"/>
      <c r="QU168" s="2527"/>
      <c r="QV168" s="2541"/>
      <c r="QW168" s="957"/>
      <c r="QX168" s="954"/>
      <c r="QY168" s="954"/>
      <c r="QZ168" s="954"/>
      <c r="RA168" s="2528"/>
      <c r="RB168" s="1022"/>
      <c r="RC168" s="1568"/>
      <c r="RD168" s="1568"/>
      <c r="RE168" s="2527"/>
      <c r="RF168" s="2528"/>
      <c r="RG168" s="1567"/>
      <c r="RH168" s="1568"/>
      <c r="RI168" s="1568"/>
      <c r="RJ168" s="2012"/>
      <c r="RK168" s="659"/>
      <c r="RL168" s="3716">
        <f>(RG168+RB168+QW168+QR168+QM168+QH168+QC168+PX168+PS168+PN168+PI168+PD168)/12</f>
        <v>0</v>
      </c>
      <c r="RM168" s="2530">
        <f t="shared" ref="RM168:RO173" si="668">RH168+RC168+QX168+QS168+QN168+QI168+QD168+PY168+PT168+PO168+PJ168+PE168</f>
        <v>0</v>
      </c>
      <c r="RN168" s="2530">
        <f t="shared" si="668"/>
        <v>0</v>
      </c>
      <c r="RO168" s="2530">
        <f t="shared" si="668"/>
        <v>0</v>
      </c>
      <c r="RP168" s="2534"/>
      <c r="RQ168" s="2054"/>
      <c r="RR168" s="2057"/>
      <c r="RS168" s="2055"/>
      <c r="RT168" s="2055"/>
      <c r="RU168" s="374"/>
      <c r="RV168" s="2054"/>
      <c r="RW168" s="2057"/>
      <c r="RX168" s="2055"/>
      <c r="RY168" s="2055"/>
      <c r="RZ168" s="2535"/>
      <c r="SA168" s="2054"/>
      <c r="SB168" s="2057"/>
      <c r="SC168" s="2055"/>
      <c r="SD168" s="2055"/>
      <c r="SE168" s="2535"/>
      <c r="SF168" s="194">
        <f>(SA168+RV168+RQ168+RL168+RG168+RB168+QW168+QR168+QM168+QH168+QC168+PX168)/12</f>
        <v>0</v>
      </c>
      <c r="SG168" s="2057"/>
      <c r="SH168" s="2055"/>
      <c r="SI168" s="2055"/>
      <c r="SJ168" s="2544"/>
      <c r="SL168" s="3539"/>
      <c r="SM168" s="3540"/>
      <c r="SN168" s="3540"/>
      <c r="SO168" s="3540"/>
      <c r="SP168" s="2541"/>
      <c r="SQ168" s="2540"/>
      <c r="SR168" s="2527"/>
      <c r="SS168" s="2527"/>
      <c r="ST168" s="2527"/>
      <c r="SU168" s="2541"/>
      <c r="SV168" s="2719"/>
      <c r="SW168" s="954"/>
      <c r="SX168" s="954"/>
      <c r="SY168" s="954"/>
      <c r="SZ168" s="960"/>
      <c r="TA168" s="4107"/>
      <c r="TB168" s="954"/>
      <c r="TC168" s="954"/>
      <c r="TD168" s="954"/>
      <c r="TE168" s="960"/>
      <c r="TF168" s="4107"/>
      <c r="TG168" s="954"/>
      <c r="TH168" s="954"/>
      <c r="TI168" s="954"/>
      <c r="TJ168" s="126"/>
      <c r="TK168" s="2526"/>
      <c r="TL168" s="2527"/>
      <c r="TM168" s="2527"/>
      <c r="TN168" s="2527"/>
      <c r="TO168" s="2528"/>
      <c r="TP168" s="4503"/>
      <c r="TQ168" s="2527"/>
      <c r="TR168" s="2527"/>
      <c r="TS168" s="2527"/>
      <c r="TT168" s="4504"/>
      <c r="TU168" s="4503"/>
      <c r="TV168" s="2527"/>
      <c r="TW168" s="2527"/>
      <c r="TX168" s="2527"/>
      <c r="TY168" s="4504"/>
      <c r="TZ168" s="2526"/>
      <c r="UA168" s="2527"/>
      <c r="UB168" s="2527"/>
      <c r="UC168" s="2527"/>
      <c r="UD168" s="4504"/>
      <c r="UE168" s="2526"/>
      <c r="UF168" s="2527"/>
      <c r="UG168" s="2527"/>
      <c r="UH168" s="2527"/>
      <c r="UI168" s="2528"/>
      <c r="UJ168" s="1022"/>
      <c r="UK168" s="1568"/>
      <c r="UL168" s="1568"/>
      <c r="UM168" s="2527"/>
      <c r="UN168" s="2528"/>
      <c r="UO168" s="1567"/>
      <c r="UP168" s="1568"/>
      <c r="UQ168" s="1568"/>
      <c r="UR168" s="2012"/>
      <c r="US168" s="659"/>
      <c r="UT168" s="194"/>
      <c r="UU168" s="2532"/>
      <c r="UV168" s="2532"/>
      <c r="UW168" s="2532"/>
      <c r="UX168" s="2534"/>
      <c r="UY168" s="2054"/>
      <c r="UZ168" s="2057"/>
      <c r="VA168" s="2055"/>
      <c r="VB168" s="2055"/>
      <c r="VC168" s="374"/>
      <c r="VD168" s="2054"/>
      <c r="VE168" s="2057"/>
      <c r="VF168" s="2055"/>
      <c r="VG168" s="2055"/>
      <c r="VH168" s="2535"/>
      <c r="VI168" s="2054"/>
      <c r="VJ168" s="2057"/>
      <c r="VK168" s="2055"/>
      <c r="VL168" s="2055"/>
      <c r="VM168" s="2535"/>
      <c r="VN168" s="756">
        <f>(VI168+VD168+UY168+UT168+UO168+UJ168+UE168+TZ168+TU168+TP168+TK168+TF168)/12</f>
        <v>0</v>
      </c>
      <c r="VO168" s="2057"/>
      <c r="VP168" s="2055"/>
      <c r="VQ168" s="2055"/>
      <c r="VR168" s="2544"/>
      <c r="VT168" s="1193">
        <f>VT167+UW167</f>
        <v>27147197.43852656</v>
      </c>
    </row>
    <row r="169" spans="1:592" s="1193" customFormat="1" ht="13.45" x14ac:dyDescent="0.3">
      <c r="A169" s="1297"/>
      <c r="B169" s="4600" t="s">
        <v>109</v>
      </c>
      <c r="C169" s="6510" t="s">
        <v>1065</v>
      </c>
      <c r="D169" s="4118" t="s">
        <v>844</v>
      </c>
      <c r="E169" s="4119"/>
      <c r="F169" s="4119"/>
      <c r="G169" s="2605"/>
      <c r="H169" s="2774"/>
      <c r="I169" s="2775"/>
      <c r="J169" s="2775"/>
      <c r="K169" s="2775"/>
      <c r="L169" s="2776"/>
      <c r="M169" s="2774"/>
      <c r="N169" s="2775"/>
      <c r="O169" s="2775"/>
      <c r="P169" s="2775"/>
      <c r="Q169" s="2776"/>
      <c r="R169" s="2774"/>
      <c r="S169" s="2775"/>
      <c r="T169" s="2775"/>
      <c r="U169" s="2775"/>
      <c r="V169" s="2776"/>
      <c r="W169" s="2774"/>
      <c r="X169" s="2775"/>
      <c r="Y169" s="2775"/>
      <c r="Z169" s="2775"/>
      <c r="AA169" s="2777"/>
      <c r="AB169" s="2774"/>
      <c r="AC169" s="2775"/>
      <c r="AD169" s="2775"/>
      <c r="AE169" s="2775"/>
      <c r="AF169" s="2777"/>
      <c r="AG169" s="2775"/>
      <c r="AH169" s="2775"/>
      <c r="AI169" s="2775"/>
      <c r="AJ169" s="2775"/>
      <c r="AK169" s="2776"/>
      <c r="AL169" s="2775"/>
      <c r="AM169" s="2775"/>
      <c r="AN169" s="2775"/>
      <c r="AO169" s="2775"/>
      <c r="AP169" s="2776"/>
      <c r="AQ169" s="2775"/>
      <c r="AR169" s="2775"/>
      <c r="AS169" s="2775"/>
      <c r="AT169" s="2775"/>
      <c r="AU169" s="2776"/>
      <c r="AV169" s="2778"/>
      <c r="AW169" s="2775"/>
      <c r="AX169" s="2775"/>
      <c r="AY169" s="2775"/>
      <c r="AZ169" s="2777"/>
      <c r="BA169" s="2778"/>
      <c r="BB169" s="2775"/>
      <c r="BC169" s="2775"/>
      <c r="BD169" s="2775"/>
      <c r="BE169" s="2777"/>
      <c r="BF169" s="2778"/>
      <c r="BG169" s="2775"/>
      <c r="BH169" s="2775"/>
      <c r="BI169" s="2775"/>
      <c r="BJ169" s="2777"/>
      <c r="BK169" s="2778"/>
      <c r="BL169" s="2775"/>
      <c r="BM169" s="2775"/>
      <c r="BN169" s="2775"/>
      <c r="BO169" s="2777"/>
      <c r="BP169" s="2779"/>
      <c r="BQ169" s="2775"/>
      <c r="BR169" s="2775"/>
      <c r="BS169" s="2775"/>
      <c r="BT169" s="2780"/>
      <c r="BU169" s="2775"/>
      <c r="BV169" s="2775"/>
      <c r="BW169" s="2781"/>
      <c r="BX169" s="2780"/>
      <c r="BY169" s="2775"/>
      <c r="BZ169" s="2775"/>
      <c r="CA169" s="2782"/>
      <c r="CB169" s="2775"/>
      <c r="CC169" s="2775"/>
      <c r="CD169" s="2775"/>
      <c r="CE169" s="2775"/>
      <c r="CF169" s="2780"/>
      <c r="CG169" s="2775"/>
      <c r="CH169" s="2775"/>
      <c r="CI169" s="2782"/>
      <c r="CJ169" s="2783"/>
      <c r="CK169" s="2775"/>
      <c r="CL169" s="2775"/>
      <c r="CM169" s="2775"/>
      <c r="CN169" s="2781"/>
      <c r="CO169" s="2783"/>
      <c r="CP169" s="2774"/>
      <c r="CQ169" s="2774"/>
      <c r="CR169" s="2774"/>
      <c r="CS169" s="2781"/>
      <c r="CT169" s="2783"/>
      <c r="CU169" s="2775"/>
      <c r="CV169" s="2775"/>
      <c r="CW169" s="2775"/>
      <c r="CX169" s="2781"/>
      <c r="CY169" s="2783"/>
      <c r="CZ169" s="2775"/>
      <c r="DA169" s="2775"/>
      <c r="DB169" s="2775"/>
      <c r="DC169" s="2781"/>
      <c r="DD169" s="2783"/>
      <c r="DE169" s="2775"/>
      <c r="DF169" s="2775"/>
      <c r="DG169" s="2775"/>
      <c r="DH169" s="2784"/>
      <c r="DI169" s="2783"/>
      <c r="DJ169" s="2775"/>
      <c r="DK169" s="2775"/>
      <c r="DL169" s="2775"/>
      <c r="DM169" s="2784"/>
      <c r="DN169" s="2783"/>
      <c r="DO169" s="2775"/>
      <c r="DP169" s="2775"/>
      <c r="DQ169" s="2775"/>
      <c r="DR169" s="2784"/>
      <c r="DS169" s="2783"/>
      <c r="DT169" s="2775"/>
      <c r="DU169" s="2775"/>
      <c r="DV169" s="2775"/>
      <c r="DW169" s="2784"/>
      <c r="DX169" s="2783"/>
      <c r="DY169" s="2775"/>
      <c r="DZ169" s="2775"/>
      <c r="EA169" s="2775"/>
      <c r="EB169" s="2784"/>
      <c r="EC169" s="2783"/>
      <c r="ED169" s="2775"/>
      <c r="EE169" s="2775"/>
      <c r="EF169" s="2775"/>
      <c r="EG169" s="2784"/>
      <c r="EH169" s="2785"/>
      <c r="EI169" s="2786"/>
      <c r="EJ169" s="2786"/>
      <c r="EK169" s="2786"/>
      <c r="EL169" s="2787"/>
      <c r="EM169" s="2788"/>
      <c r="EN169" s="2789"/>
      <c r="EO169" s="2789"/>
      <c r="EP169" s="2789"/>
      <c r="EQ169" s="2790"/>
      <c r="ER169" s="3778">
        <f>(CJ169+CO169+CT169+CY169+DD169+DI169+DN169+DS169+DX169+EC169+EH169+EM169)/12</f>
        <v>0</v>
      </c>
      <c r="ES169" s="3779">
        <f t="shared" ref="ES169:EU173" si="669">CK169+CP169+CU169+CZ169+DE169+DJ169+DO169+DT169+DY169+ED169+EI169+EN169</f>
        <v>0</v>
      </c>
      <c r="ET169" s="3779">
        <f t="shared" si="669"/>
        <v>0</v>
      </c>
      <c r="EU169" s="3779">
        <f t="shared" si="669"/>
        <v>0</v>
      </c>
      <c r="EV169" s="3780" t="e">
        <f>EU169/ET169</f>
        <v>#DIV/0!</v>
      </c>
      <c r="EW169" s="2793"/>
      <c r="EX169" s="2793"/>
      <c r="EY169" s="2793"/>
      <c r="EZ169" s="451"/>
      <c r="FA169" s="2785"/>
      <c r="FB169" s="2793"/>
      <c r="FC169" s="2793"/>
      <c r="FD169" s="373"/>
      <c r="FE169" s="2793"/>
      <c r="FF169" s="2793"/>
      <c r="FG169" s="2793"/>
      <c r="FH169" s="451"/>
      <c r="FI169" s="2794"/>
      <c r="FJ169" s="2795"/>
      <c r="FK169" s="2796"/>
      <c r="FL169" s="2796"/>
      <c r="FM169" s="387"/>
      <c r="FN169" s="2793"/>
      <c r="FO169" s="2786"/>
      <c r="FP169" s="2786"/>
      <c r="FQ169" s="2786"/>
      <c r="FR169" s="2797"/>
      <c r="FS169" s="2798"/>
      <c r="FT169" s="2799"/>
      <c r="FU169" s="2799"/>
      <c r="FV169" s="2799"/>
      <c r="FW169" s="2800"/>
      <c r="FX169" s="2785"/>
      <c r="FY169" s="2786"/>
      <c r="FZ169" s="2786"/>
      <c r="GA169" s="2799"/>
      <c r="GB169" s="2800"/>
      <c r="GC169" s="2785"/>
      <c r="GD169" s="2786"/>
      <c r="GE169" s="2786"/>
      <c r="GF169" s="2789"/>
      <c r="GG169" s="2790"/>
      <c r="GH169" s="2788"/>
      <c r="GI169" s="2789"/>
      <c r="GJ169" s="2789"/>
      <c r="GK169" s="2801"/>
      <c r="GL169" s="2800"/>
      <c r="GM169" s="2788"/>
      <c r="GN169" s="2789"/>
      <c r="GO169" s="2789"/>
      <c r="GP169" s="2801"/>
      <c r="GQ169" s="2800"/>
      <c r="GR169" s="2052"/>
      <c r="GS169" s="2789"/>
      <c r="GT169" s="2789"/>
      <c r="GU169" s="2801"/>
      <c r="GV169" s="2800"/>
      <c r="GW169" s="2052"/>
      <c r="GX169" s="1006"/>
      <c r="GY169" s="1006"/>
      <c r="GZ169" s="2801"/>
      <c r="HA169" s="2800"/>
      <c r="HB169" s="2052"/>
      <c r="HC169" s="1006"/>
      <c r="HD169" s="1006"/>
      <c r="HE169" s="2801"/>
      <c r="HF169" s="2800"/>
      <c r="HG169" s="2052"/>
      <c r="HH169" s="1006"/>
      <c r="HI169" s="1006"/>
      <c r="HJ169" s="2820"/>
      <c r="HK169" s="2800"/>
      <c r="HL169" s="2052"/>
      <c r="HM169" s="1006"/>
      <c r="HN169" s="1006"/>
      <c r="HO169" s="1006"/>
      <c r="HP169" s="2790"/>
      <c r="HQ169" s="3590"/>
      <c r="HR169" s="1006"/>
      <c r="HS169" s="1006"/>
      <c r="HT169" s="1006"/>
      <c r="HU169" s="3781"/>
      <c r="HV169" s="2723">
        <f>(FN169+FS169+FX169+GC169+GH169+GM169+GR169+GW169+HB169+HG169+HL169+HQ169)/12</f>
        <v>0</v>
      </c>
      <c r="HW169" s="395">
        <f t="shared" ref="HW169:HY173" si="670">FO169+FT169+FY169+GD169+GI169+GN169+GS169+GX169+HC169+HH169+HM169+HR169</f>
        <v>0</v>
      </c>
      <c r="HX169" s="395">
        <f t="shared" si="670"/>
        <v>0</v>
      </c>
      <c r="HY169" s="395">
        <f t="shared" si="670"/>
        <v>0</v>
      </c>
      <c r="HZ169" s="2734"/>
      <c r="IA169" s="1854"/>
      <c r="IB169" s="1855"/>
      <c r="IC169" s="1855"/>
      <c r="ID169" s="1856"/>
      <c r="IE169" s="1857"/>
      <c r="IF169" s="1858"/>
      <c r="IG169" s="1854"/>
      <c r="IH169" s="1856"/>
      <c r="II169" s="1859"/>
      <c r="IJ169" s="1727"/>
      <c r="IK169" s="1727"/>
      <c r="IL169" s="151"/>
      <c r="IM169" s="1037"/>
      <c r="IN169" s="1727"/>
      <c r="IO169" s="1727"/>
      <c r="IP169" s="3591"/>
      <c r="IQ169" s="2056"/>
      <c r="IR169" s="3782"/>
      <c r="IS169" s="1006"/>
      <c r="IT169" s="1006"/>
      <c r="IU169" s="3783"/>
      <c r="IV169" s="2813"/>
      <c r="IW169" s="2798"/>
      <c r="IX169" s="2799"/>
      <c r="IY169" s="2799"/>
      <c r="IZ169" s="2820"/>
      <c r="JA169" s="3784"/>
      <c r="JB169" s="2819"/>
      <c r="JC169" s="3785"/>
      <c r="JD169" s="3786"/>
      <c r="JE169" s="2799"/>
      <c r="JF169" s="3784"/>
      <c r="JG169" s="3787"/>
      <c r="JH169" s="2789"/>
      <c r="JI169" s="2789"/>
      <c r="JJ169" s="1089"/>
      <c r="JK169" s="95"/>
      <c r="JL169" s="2788"/>
      <c r="JM169" s="2789"/>
      <c r="JN169" s="2789"/>
      <c r="JO169" s="2816"/>
      <c r="JP169" s="95"/>
      <c r="JQ169" s="3788"/>
      <c r="JR169" s="1008"/>
      <c r="JS169" s="1006"/>
      <c r="JT169" s="1089"/>
      <c r="JU169" s="2800"/>
      <c r="JV169" s="3787"/>
      <c r="JW169" s="2789"/>
      <c r="JX169" s="1006"/>
      <c r="JY169" s="2816"/>
      <c r="JZ169" s="2800"/>
      <c r="KA169" s="2821"/>
      <c r="KB169" s="1006"/>
      <c r="KC169" s="1006"/>
      <c r="KD169" s="2789"/>
      <c r="KE169" s="2800"/>
      <c r="KF169" s="3787"/>
      <c r="KG169" s="1006"/>
      <c r="KH169" s="1006"/>
      <c r="KI169" s="1089"/>
      <c r="KJ169" s="95"/>
      <c r="KK169" s="2821"/>
      <c r="KL169" s="1006"/>
      <c r="KM169" s="1006"/>
      <c r="KN169" s="2820"/>
      <c r="KO169" s="2800"/>
      <c r="KP169" s="2052">
        <v>1</v>
      </c>
      <c r="KQ169" s="1006">
        <f>37988+246833</f>
        <v>284821</v>
      </c>
      <c r="KR169" s="2822">
        <v>333333</v>
      </c>
      <c r="KS169" s="1006">
        <f>KR169-KQ169</f>
        <v>48512</v>
      </c>
      <c r="KT169" s="2823">
        <f>KS169/KR169</f>
        <v>0.14553614553614552</v>
      </c>
      <c r="KU169" s="3590">
        <v>2</v>
      </c>
      <c r="KV169" s="1006">
        <f>84375+160333</f>
        <v>244708</v>
      </c>
      <c r="KW169" s="2822">
        <v>333333</v>
      </c>
      <c r="KX169" s="1006">
        <f>KW169-KV169</f>
        <v>88625</v>
      </c>
      <c r="KY169" s="2790">
        <f>KX169/KW169</f>
        <v>0.26587526587526589</v>
      </c>
      <c r="KZ169" s="1857">
        <v>2</v>
      </c>
      <c r="LA169" s="358">
        <f>IS169+IX169+JC169+JH169+JM169+JR169+JW169+KB169+KG169+KL169+KQ169+KV169</f>
        <v>529529</v>
      </c>
      <c r="LB169" s="358">
        <f>IT169+IY169+JD169+JI169+JN169+JS169+JX169+KC169+KH169+KM169+KR169+KW169</f>
        <v>666666</v>
      </c>
      <c r="LC169" s="358">
        <f>IU169+IZ169+JE169+JJ169+JO169+JT169+JY169+KD169+KI169+KN169+KS169+KX169</f>
        <v>137137</v>
      </c>
      <c r="LD169" s="220">
        <f>LC169/LB169</f>
        <v>0.2057057057057057</v>
      </c>
      <c r="LE169" s="1854">
        <f>(IR169+IW169+JB169)/3</f>
        <v>0</v>
      </c>
      <c r="LF169" s="1855">
        <f>IT169+IY169+JD169</f>
        <v>0</v>
      </c>
      <c r="LG169" s="1855">
        <f>IU169+IZ169+JE169</f>
        <v>0</v>
      </c>
      <c r="LH169" s="1856"/>
      <c r="LI169" s="1857">
        <f>(JG169+JL169+JQ169)/3</f>
        <v>0</v>
      </c>
      <c r="LJ169" s="1858">
        <f>(JI169+JN169+JS169)</f>
        <v>0</v>
      </c>
      <c r="LK169" s="1854">
        <f>(JJ169+JO169+JT169)</f>
        <v>0</v>
      </c>
      <c r="LL169" s="1856"/>
      <c r="LM169" s="1859">
        <f>(JV169+KA169+KF169)/3</f>
        <v>0</v>
      </c>
      <c r="LN169" s="1727">
        <f>(JX169+KC169+KH169)</f>
        <v>0</v>
      </c>
      <c r="LO169" s="1727">
        <f>(JY169+KD169+KI169)</f>
        <v>0</v>
      </c>
      <c r="LP169" s="151"/>
      <c r="LQ169" s="1860">
        <f>(KK169+KP169+KU169)/3</f>
        <v>1</v>
      </c>
      <c r="LR169" s="1727">
        <f>(KM169+KR169+KW169)</f>
        <v>666666</v>
      </c>
      <c r="LS169" s="1727">
        <f>(KN169+KS169+KX169)</f>
        <v>137137</v>
      </c>
      <c r="LT169" s="3591">
        <f>LS169/LR169</f>
        <v>0.2057057057057057</v>
      </c>
      <c r="LU169" s="2056"/>
      <c r="LV169" s="401">
        <v>2</v>
      </c>
      <c r="LW169" s="395">
        <v>256167</v>
      </c>
      <c r="LX169" s="395">
        <v>333333</v>
      </c>
      <c r="LY169" s="115">
        <f>LX169-LW169</f>
        <v>77166</v>
      </c>
      <c r="LZ169" s="78">
        <f>LY169/LX169</f>
        <v>0.23149823149823151</v>
      </c>
      <c r="MA169" s="439">
        <v>2</v>
      </c>
      <c r="MB169" s="208">
        <v>256167</v>
      </c>
      <c r="MC169" s="208">
        <v>333333</v>
      </c>
      <c r="MD169" s="96">
        <f>MC169-MB169</f>
        <v>77166</v>
      </c>
      <c r="ME169" s="78">
        <f>MD169/MC169</f>
        <v>0.23149823149823151</v>
      </c>
      <c r="MF169" s="401">
        <v>2</v>
      </c>
      <c r="MG169" s="395">
        <v>256167</v>
      </c>
      <c r="MH169" s="395">
        <v>333333</v>
      </c>
      <c r="MI169" s="372">
        <f>MH169-MG169</f>
        <v>77166</v>
      </c>
      <c r="MJ169" s="207">
        <f>MI169/MH169</f>
        <v>0.23149823149823151</v>
      </c>
      <c r="MK169" s="2573">
        <v>1</v>
      </c>
      <c r="ML169" s="395">
        <v>256167</v>
      </c>
      <c r="MM169" s="395">
        <v>333333</v>
      </c>
      <c r="MN169" s="372">
        <f>MM169-ML169</f>
        <v>77166</v>
      </c>
      <c r="MO169" s="207">
        <f>MN169/MM169</f>
        <v>0.23149823149823151</v>
      </c>
      <c r="MP169" s="3789">
        <v>1</v>
      </c>
      <c r="MQ169" s="2554">
        <v>246833</v>
      </c>
      <c r="MR169" s="2554">
        <v>333333</v>
      </c>
      <c r="MS169" s="2554">
        <f>MR169-MQ169</f>
        <v>86500</v>
      </c>
      <c r="MT169" s="729">
        <f>MS169/MR169</f>
        <v>0.25950025950025951</v>
      </c>
      <c r="MU169" s="209">
        <v>1</v>
      </c>
      <c r="MV169" s="208">
        <v>246833</v>
      </c>
      <c r="MW169" s="208">
        <v>333333</v>
      </c>
      <c r="MX169" s="208">
        <f>MW169-MV169</f>
        <v>86500</v>
      </c>
      <c r="MY169" s="729">
        <f>MX169/MW169</f>
        <v>0.25950025950025951</v>
      </c>
      <c r="MZ169" s="209">
        <v>1</v>
      </c>
      <c r="NA169" s="208">
        <v>246833</v>
      </c>
      <c r="NB169" s="208">
        <v>333333</v>
      </c>
      <c r="NC169" s="208">
        <f>NB169-NA169</f>
        <v>86500</v>
      </c>
      <c r="ND169" s="729">
        <f>NC169/NB169</f>
        <v>0.25950025950025951</v>
      </c>
      <c r="NE169" s="209">
        <v>1</v>
      </c>
      <c r="NF169" s="208">
        <v>246833</v>
      </c>
      <c r="NG169" s="208">
        <v>333333</v>
      </c>
      <c r="NH169" s="208">
        <f>NG169-NF169</f>
        <v>86500</v>
      </c>
      <c r="NI169" s="729">
        <f>NH169/NG169</f>
        <v>0.25950025950025951</v>
      </c>
      <c r="NJ169" s="209">
        <v>1</v>
      </c>
      <c r="NK169" s="208">
        <v>246833</v>
      </c>
      <c r="NL169" s="208">
        <v>333333</v>
      </c>
      <c r="NM169" s="208">
        <f>NL169-NK169</f>
        <v>86500</v>
      </c>
      <c r="NN169" s="1313">
        <f>NM169/NL169</f>
        <v>0.25950025950025951</v>
      </c>
      <c r="NO169" s="2432">
        <v>1</v>
      </c>
      <c r="NP169" s="358">
        <v>246833</v>
      </c>
      <c r="NQ169" s="359">
        <v>333333</v>
      </c>
      <c r="NR169" s="208">
        <f>NQ169-NP169</f>
        <v>86500</v>
      </c>
      <c r="NS169" s="729">
        <f>NR169/NQ169</f>
        <v>0.25950025950025951</v>
      </c>
      <c r="NT169" s="2735">
        <v>2</v>
      </c>
      <c r="NU169" s="2736">
        <v>264963</v>
      </c>
      <c r="NV169" s="2736">
        <v>333333</v>
      </c>
      <c r="NW169" s="447">
        <f>NV169-NU169</f>
        <v>68370</v>
      </c>
      <c r="NX169" s="2835">
        <f>NW169/NV169</f>
        <v>0.20511020511020511</v>
      </c>
      <c r="NY169" s="357">
        <v>2</v>
      </c>
      <c r="NZ169" s="358">
        <v>264963</v>
      </c>
      <c r="OA169" s="358">
        <v>333333</v>
      </c>
      <c r="OB169" s="772">
        <f>OA169-NZ169</f>
        <v>68370</v>
      </c>
      <c r="OC169" s="2771">
        <f>OB169/OA169</f>
        <v>0.20511020511020511</v>
      </c>
      <c r="OD169" s="191">
        <v>2</v>
      </c>
      <c r="OE169" s="358">
        <f t="shared" si="667"/>
        <v>3035592</v>
      </c>
      <c r="OF169" s="358">
        <f t="shared" si="667"/>
        <v>3999996</v>
      </c>
      <c r="OG169" s="358">
        <f t="shared" si="667"/>
        <v>964404</v>
      </c>
      <c r="OH169" s="220">
        <f>OG169/OF169</f>
        <v>0.24110124110124109</v>
      </c>
      <c r="OI169" s="1863">
        <f>(LV169+MA169+MF169)/3</f>
        <v>2</v>
      </c>
      <c r="OJ169" s="105">
        <f t="shared" ref="OJ169:OL170" si="671">LW169+MB169+MG169</f>
        <v>768501</v>
      </c>
      <c r="OK169" s="105">
        <f t="shared" si="671"/>
        <v>999999</v>
      </c>
      <c r="OL169" s="105">
        <f t="shared" si="671"/>
        <v>231498</v>
      </c>
      <c r="OM169" s="106">
        <f>OL169/OK169</f>
        <v>0.23149823149823151</v>
      </c>
      <c r="ON169" s="358">
        <f>(MK169+MP169+MU169)/3</f>
        <v>1</v>
      </c>
      <c r="OO169" s="358">
        <f t="shared" ref="OO169:OQ170" si="672">ML169+MQ169+MV169</f>
        <v>749833</v>
      </c>
      <c r="OP169" s="358">
        <f t="shared" si="672"/>
        <v>999999</v>
      </c>
      <c r="OQ169" s="359">
        <f t="shared" si="672"/>
        <v>250166</v>
      </c>
      <c r="OR169" s="169">
        <f>OQ169/OP169</f>
        <v>0.25016625016625016</v>
      </c>
      <c r="OS169" s="686">
        <f>(NJ169+NE169+MZ169)/3</f>
        <v>1</v>
      </c>
      <c r="OT169" s="146">
        <f t="shared" ref="OT169:OV173" si="673">NK169+NF169+NA169</f>
        <v>740499</v>
      </c>
      <c r="OU169" s="146">
        <f t="shared" si="673"/>
        <v>999999</v>
      </c>
      <c r="OV169" s="1864">
        <f t="shared" si="673"/>
        <v>259500</v>
      </c>
      <c r="OW169" s="203">
        <f>OV169/OU169</f>
        <v>0.25950025950025951</v>
      </c>
      <c r="OX169" s="357">
        <f t="shared" ref="OX169:OX209" si="674">(NO169+NT169+NY169)/3</f>
        <v>1.6666666666666667</v>
      </c>
      <c r="OY169" s="358">
        <f t="shared" ref="OY169:PA200" si="675">NP169+NU169+NZ169</f>
        <v>776759</v>
      </c>
      <c r="OZ169" s="358">
        <f t="shared" si="675"/>
        <v>999999</v>
      </c>
      <c r="PA169" s="359">
        <f t="shared" si="675"/>
        <v>223240</v>
      </c>
      <c r="PB169" s="114">
        <f>PA169/OZ169</f>
        <v>0.22324022324022325</v>
      </c>
      <c r="PC169" s="146"/>
      <c r="PD169" s="401">
        <v>2</v>
      </c>
      <c r="PE169" s="358">
        <v>264963</v>
      </c>
      <c r="PF169" s="358">
        <v>333333</v>
      </c>
      <c r="PG169" s="115">
        <f>PF169-PE169</f>
        <v>68370</v>
      </c>
      <c r="PH169" s="78">
        <f>PG169/PF169</f>
        <v>0.20511020511020511</v>
      </c>
      <c r="PI169" s="401">
        <v>2</v>
      </c>
      <c r="PJ169" s="358">
        <v>264963</v>
      </c>
      <c r="PK169" s="358">
        <v>333333</v>
      </c>
      <c r="PL169" s="96">
        <f>PK169-PJ169</f>
        <v>68370</v>
      </c>
      <c r="PM169" s="78">
        <f>PL169/PK169</f>
        <v>0.20511020511020511</v>
      </c>
      <c r="PN169" s="401">
        <v>2</v>
      </c>
      <c r="PO169" s="395">
        <v>264963</v>
      </c>
      <c r="PP169" s="395">
        <v>333333</v>
      </c>
      <c r="PQ169" s="372">
        <f>PP169-PO169</f>
        <v>68370</v>
      </c>
      <c r="PR169" s="207">
        <f>PQ169/PP169</f>
        <v>0.20511020511020511</v>
      </c>
      <c r="PS169" s="2573">
        <v>2</v>
      </c>
      <c r="PT169" s="395">
        <v>264963</v>
      </c>
      <c r="PU169" s="395">
        <v>333333</v>
      </c>
      <c r="PV169" s="372">
        <f t="shared" ref="PV169:PV200" si="676">PU169-PT169</f>
        <v>68370</v>
      </c>
      <c r="PW169" s="370">
        <f>PV169/PU169</f>
        <v>0.20511020511020511</v>
      </c>
      <c r="PX169" s="3789">
        <v>2</v>
      </c>
      <c r="PY169" s="2554">
        <v>264963</v>
      </c>
      <c r="PZ169" s="2554">
        <v>333333</v>
      </c>
      <c r="QA169" s="1006">
        <f>PZ169-PY169</f>
        <v>68370</v>
      </c>
      <c r="QB169" s="729">
        <f>QA169/PZ169</f>
        <v>0.20511020511020511</v>
      </c>
      <c r="QC169" s="209">
        <v>2</v>
      </c>
      <c r="QD169" s="208">
        <v>264963</v>
      </c>
      <c r="QE169" s="208">
        <v>333333</v>
      </c>
      <c r="QF169" s="208">
        <f>QE169-QD169</f>
        <v>68370</v>
      </c>
      <c r="QG169" s="729">
        <f>QF169/QE169</f>
        <v>0.20511020511020511</v>
      </c>
      <c r="QH169" s="401">
        <v>2</v>
      </c>
      <c r="QI169" s="395">
        <v>264963</v>
      </c>
      <c r="QJ169" s="395">
        <v>333333</v>
      </c>
      <c r="QK169" s="395">
        <f>QJ169-QI169</f>
        <v>68370</v>
      </c>
      <c r="QL169" s="729">
        <f>QK169/QJ169</f>
        <v>0.20511020511020511</v>
      </c>
      <c r="QM169" s="439">
        <v>2</v>
      </c>
      <c r="QN169" s="208">
        <v>264963</v>
      </c>
      <c r="QO169" s="208">
        <v>333333</v>
      </c>
      <c r="QP169" s="208">
        <f>QO169-QN169</f>
        <v>68370</v>
      </c>
      <c r="QQ169" s="2059">
        <f>QP169/QO169</f>
        <v>0.20511020511020511</v>
      </c>
      <c r="QR169" s="209">
        <v>2</v>
      </c>
      <c r="QS169" s="208">
        <v>264963</v>
      </c>
      <c r="QT169" s="208">
        <v>333333</v>
      </c>
      <c r="QU169" s="208">
        <f>QT169-QS169</f>
        <v>68370</v>
      </c>
      <c r="QV169" s="157">
        <f>QU169/QT169</f>
        <v>0.20511020511020511</v>
      </c>
      <c r="QW169" s="1318">
        <v>2</v>
      </c>
      <c r="QX169" s="208">
        <v>264963</v>
      </c>
      <c r="QY169" s="208">
        <v>333333</v>
      </c>
      <c r="QZ169" s="208">
        <f>QY169-QX169</f>
        <v>68370</v>
      </c>
      <c r="RA169" s="157">
        <f>QZ169/QY169</f>
        <v>0.20511020511020511</v>
      </c>
      <c r="RB169" s="2432">
        <v>2</v>
      </c>
      <c r="RC169" s="358">
        <v>232826</v>
      </c>
      <c r="RD169" s="208">
        <v>333333</v>
      </c>
      <c r="RE169" s="395">
        <f>RD169-RC169</f>
        <v>100507</v>
      </c>
      <c r="RF169" s="725">
        <f>RE169/RD169</f>
        <v>0.30152130152130152</v>
      </c>
      <c r="RG169" s="1857">
        <v>2</v>
      </c>
      <c r="RH169" s="358">
        <v>232826</v>
      </c>
      <c r="RI169" s="208">
        <v>333333</v>
      </c>
      <c r="RJ169" s="772">
        <f>RI169-RH169</f>
        <v>100507</v>
      </c>
      <c r="RK169" s="2771">
        <f>RJ169/RI169</f>
        <v>0.30152130152130152</v>
      </c>
      <c r="RL169" s="1567">
        <v>2</v>
      </c>
      <c r="RM169" s="1568">
        <f t="shared" si="668"/>
        <v>3115282</v>
      </c>
      <c r="RN169" s="1568">
        <f t="shared" si="668"/>
        <v>3999996</v>
      </c>
      <c r="RO169" s="1568">
        <f t="shared" si="668"/>
        <v>884714</v>
      </c>
      <c r="RP169" s="220">
        <f>RO169/RN169</f>
        <v>0.22117872117872117</v>
      </c>
      <c r="RQ169" s="1863">
        <f>(PD169+PI169+PN169)/3</f>
        <v>2</v>
      </c>
      <c r="RR169" s="105">
        <f t="shared" ref="RR169:RT200" si="677">PE169+PJ169+PO169</f>
        <v>794889</v>
      </c>
      <c r="RS169" s="105">
        <f t="shared" si="677"/>
        <v>999999</v>
      </c>
      <c r="RT169" s="105">
        <f t="shared" si="677"/>
        <v>205110</v>
      </c>
      <c r="RU169" s="106">
        <f>RT169/RS169</f>
        <v>0.20511020511020511</v>
      </c>
      <c r="RV169" s="1868">
        <v>2</v>
      </c>
      <c r="RW169" s="358">
        <f t="shared" ref="RW169:RY173" si="678">PT169+PY169+QD169</f>
        <v>794889</v>
      </c>
      <c r="RX169" s="358">
        <f t="shared" si="678"/>
        <v>999999</v>
      </c>
      <c r="RY169" s="359">
        <f t="shared" si="678"/>
        <v>205110</v>
      </c>
      <c r="RZ169" s="169">
        <f>RY169/RX169</f>
        <v>0.20511020511020511</v>
      </c>
      <c r="SA169" s="686">
        <v>2</v>
      </c>
      <c r="SB169" s="146">
        <f t="shared" ref="SB169:SD200" si="679">QS169+QN169+QI169</f>
        <v>794889</v>
      </c>
      <c r="SC169" s="146">
        <f t="shared" si="679"/>
        <v>999999</v>
      </c>
      <c r="SD169" s="1864">
        <f t="shared" si="679"/>
        <v>205110</v>
      </c>
      <c r="SE169" s="203">
        <f t="shared" ref="SE169:SE200" si="680">SD169/SC169</f>
        <v>0.20511020511020511</v>
      </c>
      <c r="SF169" s="1567">
        <v>2</v>
      </c>
      <c r="SG169" s="358">
        <f t="shared" ref="SG169:SI173" si="681">QX169+RC169+RH169</f>
        <v>730615</v>
      </c>
      <c r="SH169" s="358">
        <f t="shared" si="681"/>
        <v>999999</v>
      </c>
      <c r="SI169" s="359">
        <f t="shared" si="681"/>
        <v>269384</v>
      </c>
      <c r="SJ169" s="114">
        <f>SI169/SH169</f>
        <v>0.2693842693842694</v>
      </c>
      <c r="SK169" s="2056"/>
      <c r="SL169" s="401">
        <v>2</v>
      </c>
      <c r="SM169" s="358">
        <v>232826</v>
      </c>
      <c r="SN169" s="358">
        <v>333333</v>
      </c>
      <c r="SO169" s="115">
        <f>SN169-SM169</f>
        <v>100507</v>
      </c>
      <c r="SP169" s="78">
        <f>SO169/SN169</f>
        <v>0.30152130152130152</v>
      </c>
      <c r="SQ169" s="401">
        <v>2</v>
      </c>
      <c r="SR169" s="358">
        <v>232826</v>
      </c>
      <c r="SS169" s="358">
        <v>333333</v>
      </c>
      <c r="ST169" s="96">
        <f t="shared" ref="ST169:ST175" si="682">SS169-SR169</f>
        <v>100507</v>
      </c>
      <c r="SU169" s="78">
        <f t="shared" ref="SU169:SU175" si="683">ST169/SS169</f>
        <v>0.30152130152130152</v>
      </c>
      <c r="SV169" s="439">
        <v>2</v>
      </c>
      <c r="SW169" s="208">
        <v>232826</v>
      </c>
      <c r="SX169" s="208">
        <v>333333</v>
      </c>
      <c r="SY169" s="372">
        <f t="shared" ref="SY169:SY175" si="684">SX169-SW169</f>
        <v>100507</v>
      </c>
      <c r="SZ169" s="207">
        <f t="shared" ref="SZ169:SZ175" si="685">SY169/SX169</f>
        <v>0.30152130152130152</v>
      </c>
      <c r="TA169" s="1574">
        <v>2</v>
      </c>
      <c r="TB169" s="208">
        <v>232826</v>
      </c>
      <c r="TC169" s="208">
        <v>333333</v>
      </c>
      <c r="TD169" s="372">
        <f t="shared" ref="TD169:TD175" si="686">TC169-TB169</f>
        <v>100507</v>
      </c>
      <c r="TE169" s="207">
        <f>TD169/TC169</f>
        <v>0.30152130152130152</v>
      </c>
      <c r="TF169" s="1573">
        <v>2</v>
      </c>
      <c r="TG169" s="395">
        <f>66166+166666</f>
        <v>232832</v>
      </c>
      <c r="TH169" s="395">
        <v>333333</v>
      </c>
      <c r="TI169" s="395">
        <f t="shared" ref="TI169:TI176" si="687">TH169-TG169</f>
        <v>100501</v>
      </c>
      <c r="TJ169" s="116">
        <f t="shared" ref="TJ169:TJ176" si="688">TI169/TH169</f>
        <v>0.30150330150330151</v>
      </c>
      <c r="TK169" s="1318">
        <v>2</v>
      </c>
      <c r="TL169" s="395">
        <v>232836</v>
      </c>
      <c r="TM169" s="395">
        <v>333333</v>
      </c>
      <c r="TN169" s="772">
        <f t="shared" ref="TN169:TN176" si="689">TM169-TL169</f>
        <v>100497</v>
      </c>
      <c r="TO169" s="2771">
        <f t="shared" ref="TO169:TO176" si="690">TN169/TM169</f>
        <v>0.30149130149130149</v>
      </c>
      <c r="TP169" s="4434" t="s">
        <v>233</v>
      </c>
      <c r="TQ169" s="395">
        <v>232836</v>
      </c>
      <c r="TR169" s="395">
        <v>333333</v>
      </c>
      <c r="TS169" s="772">
        <f t="shared" ref="TS169:TS177" si="691">TR169-TQ169</f>
        <v>100497</v>
      </c>
      <c r="TT169" s="114">
        <f>TS169/TR169</f>
        <v>0.30149130149130149</v>
      </c>
      <c r="TU169" s="4432">
        <v>2</v>
      </c>
      <c r="TV169" s="395">
        <v>232836</v>
      </c>
      <c r="TW169" s="395">
        <v>333333</v>
      </c>
      <c r="TX169" s="994">
        <f t="shared" ref="TX169:TX177" si="692">TW169-TV169</f>
        <v>100497</v>
      </c>
      <c r="TY169" s="114">
        <f>TX169/TW169</f>
        <v>0.30149130149130149</v>
      </c>
      <c r="TZ169" s="209">
        <v>2</v>
      </c>
      <c r="UA169" s="208">
        <v>232836</v>
      </c>
      <c r="UB169" s="208">
        <v>333333</v>
      </c>
      <c r="UC169" s="994">
        <f t="shared" ref="UC169:UC177" si="693">UB169-UA169</f>
        <v>100497</v>
      </c>
      <c r="UD169" s="114">
        <f t="shared" ref="UD169:UD174" si="694">UC169/UB169</f>
        <v>0.30149130149130149</v>
      </c>
      <c r="UE169" s="2002">
        <v>2</v>
      </c>
      <c r="UF169" s="1575">
        <v>232836</v>
      </c>
      <c r="UG169" s="1575">
        <v>333333</v>
      </c>
      <c r="UH169" s="2552">
        <f>UG169-UF169</f>
        <v>100497</v>
      </c>
      <c r="UI169" s="222">
        <f>UH169/UG169</f>
        <v>0.30149130149130149</v>
      </c>
      <c r="UJ169" s="2432"/>
      <c r="UK169" s="358"/>
      <c r="UL169" s="622"/>
      <c r="UM169" s="395">
        <f>UL169-UK169</f>
        <v>0</v>
      </c>
      <c r="UN169" s="655" t="e">
        <f>UM169/UL169</f>
        <v>#DIV/0!</v>
      </c>
      <c r="UO169" s="1567"/>
      <c r="UP169" s="1568"/>
      <c r="UQ169" s="1568"/>
      <c r="UR169" s="2012">
        <f>UQ169-UP169</f>
        <v>0</v>
      </c>
      <c r="US169" s="659" t="e">
        <f>UR169/UQ169</f>
        <v>#DIV/0!</v>
      </c>
      <c r="UT169" s="1567"/>
      <c r="UU169" s="358">
        <f>UP169+UK169+UF169+UA169+TV169+TQ169+TL169+TG169+TB169+SW169+SR169+SM169</f>
        <v>2328316</v>
      </c>
      <c r="UV169" s="358">
        <f>UQ169+UL169+UG169+UB169+TW169+TR169+TM169+TH169+TC169+SX169+SS169+SN169</f>
        <v>3333330</v>
      </c>
      <c r="UW169" s="358">
        <f>UR169+UM169+UH169+UC169+TX169+TS169+TN169+TI169+TD169+SY169+ST169+SO169</f>
        <v>1005014</v>
      </c>
      <c r="UX169" s="220">
        <f>UW169/UV169</f>
        <v>0.30150450150450153</v>
      </c>
      <c r="UY169" s="1863">
        <f>(SL169+SQ169+SV169)/3</f>
        <v>2</v>
      </c>
      <c r="UZ169" s="105">
        <f t="shared" ref="UZ169:VB175" si="695">SM169+SR169+SW169</f>
        <v>698478</v>
      </c>
      <c r="VA169" s="105">
        <f t="shared" si="695"/>
        <v>999999</v>
      </c>
      <c r="VB169" s="105">
        <f t="shared" si="695"/>
        <v>301521</v>
      </c>
      <c r="VC169" s="106">
        <f t="shared" ref="VC169:VC175" si="696">VB169/VA169</f>
        <v>0.30152130152130152</v>
      </c>
      <c r="VD169" s="1868"/>
      <c r="VE169" s="358">
        <f>TB169+TG169+TL169</f>
        <v>698494</v>
      </c>
      <c r="VF169" s="358">
        <f>TC169+TH169+TM169</f>
        <v>999999</v>
      </c>
      <c r="VG169" s="359">
        <f>TD169+TI169+TN169</f>
        <v>301505</v>
      </c>
      <c r="VH169" s="169">
        <f>VG169/VF169</f>
        <v>0.30150530150530153</v>
      </c>
      <c r="VI169" s="686"/>
      <c r="VJ169" s="146">
        <f>UA169+TV169+TQ169</f>
        <v>698508</v>
      </c>
      <c r="VK169" s="146">
        <f>UB169+TW169+TR169</f>
        <v>999999</v>
      </c>
      <c r="VL169" s="1864">
        <f>UC169+TX169+TS169</f>
        <v>301491</v>
      </c>
      <c r="VM169" s="203">
        <f>VL169/VK169</f>
        <v>0.30149130149130149</v>
      </c>
      <c r="VN169" s="1567">
        <v>2</v>
      </c>
      <c r="VO169" s="358">
        <f t="shared" ref="VO169:VQ173" si="697">UF169+UK169+UP169</f>
        <v>232836</v>
      </c>
      <c r="VP169" s="358">
        <f t="shared" si="697"/>
        <v>333333</v>
      </c>
      <c r="VQ169" s="359">
        <f t="shared" si="697"/>
        <v>100497</v>
      </c>
      <c r="VR169" s="114">
        <f>VQ169/VP169</f>
        <v>0.30149130149130149</v>
      </c>
    </row>
    <row r="170" spans="1:592" s="1193" customFormat="1" ht="13.45" x14ac:dyDescent="0.3">
      <c r="A170" s="1297"/>
      <c r="B170" s="4601" t="s">
        <v>109</v>
      </c>
      <c r="C170" s="6510" t="s">
        <v>1065</v>
      </c>
      <c r="D170" s="3790" t="s">
        <v>845</v>
      </c>
      <c r="E170" s="384"/>
      <c r="F170" s="384"/>
      <c r="G170" s="2161"/>
      <c r="H170" s="2845"/>
      <c r="I170" s="2846"/>
      <c r="J170" s="2846"/>
      <c r="K170" s="2846"/>
      <c r="L170" s="2847"/>
      <c r="M170" s="2845"/>
      <c r="N170" s="2846"/>
      <c r="O170" s="2846"/>
      <c r="P170" s="2846"/>
      <c r="Q170" s="2847"/>
      <c r="R170" s="2845"/>
      <c r="S170" s="2846"/>
      <c r="T170" s="2846"/>
      <c r="U170" s="2846"/>
      <c r="V170" s="2847"/>
      <c r="W170" s="2845"/>
      <c r="X170" s="2846"/>
      <c r="Y170" s="2846"/>
      <c r="Z170" s="2846"/>
      <c r="AA170" s="2848"/>
      <c r="AB170" s="2845"/>
      <c r="AC170" s="2846"/>
      <c r="AD170" s="2846"/>
      <c r="AE170" s="2846"/>
      <c r="AF170" s="2848"/>
      <c r="AG170" s="2846"/>
      <c r="AH170" s="2846"/>
      <c r="AI170" s="2846"/>
      <c r="AJ170" s="2846"/>
      <c r="AK170" s="2847"/>
      <c r="AL170" s="2846"/>
      <c r="AM170" s="2846"/>
      <c r="AN170" s="2846"/>
      <c r="AO170" s="2846"/>
      <c r="AP170" s="2847"/>
      <c r="AQ170" s="2846"/>
      <c r="AR170" s="2846"/>
      <c r="AS170" s="2846"/>
      <c r="AT170" s="2846"/>
      <c r="AU170" s="2847"/>
      <c r="AV170" s="2849"/>
      <c r="AW170" s="2846"/>
      <c r="AX170" s="2846"/>
      <c r="AY170" s="2846"/>
      <c r="AZ170" s="2848"/>
      <c r="BA170" s="2849"/>
      <c r="BB170" s="2846"/>
      <c r="BC170" s="2846"/>
      <c r="BD170" s="2846"/>
      <c r="BE170" s="2848"/>
      <c r="BF170" s="2849"/>
      <c r="BG170" s="2846"/>
      <c r="BH170" s="2846"/>
      <c r="BI170" s="2846"/>
      <c r="BJ170" s="2848"/>
      <c r="BK170" s="2849"/>
      <c r="BL170" s="2846"/>
      <c r="BM170" s="2846"/>
      <c r="BN170" s="2846"/>
      <c r="BO170" s="2848"/>
      <c r="BP170" s="2850"/>
      <c r="BQ170" s="2846"/>
      <c r="BR170" s="2846"/>
      <c r="BS170" s="2846"/>
      <c r="BT170" s="2851"/>
      <c r="BU170" s="2846"/>
      <c r="BV170" s="2846"/>
      <c r="BW170" s="2852"/>
      <c r="BX170" s="2851"/>
      <c r="BY170" s="2846"/>
      <c r="BZ170" s="2846"/>
      <c r="CA170" s="2853"/>
      <c r="CB170" s="2846"/>
      <c r="CC170" s="2846"/>
      <c r="CD170" s="2846"/>
      <c r="CE170" s="2846"/>
      <c r="CF170" s="2851"/>
      <c r="CG170" s="2846"/>
      <c r="CH170" s="2846"/>
      <c r="CI170" s="2853"/>
      <c r="CJ170" s="2854"/>
      <c r="CK170" s="2846"/>
      <c r="CL170" s="2846"/>
      <c r="CM170" s="2846"/>
      <c r="CN170" s="2852"/>
      <c r="CO170" s="2854"/>
      <c r="CP170" s="2845"/>
      <c r="CQ170" s="2845"/>
      <c r="CR170" s="2845"/>
      <c r="CS170" s="2852"/>
      <c r="CT170" s="2854"/>
      <c r="CU170" s="2846"/>
      <c r="CV170" s="2846"/>
      <c r="CW170" s="2846"/>
      <c r="CX170" s="2852"/>
      <c r="CY170" s="2854"/>
      <c r="CZ170" s="2846"/>
      <c r="DA170" s="2846"/>
      <c r="DB170" s="2846"/>
      <c r="DC170" s="2852"/>
      <c r="DD170" s="2854"/>
      <c r="DE170" s="2846"/>
      <c r="DF170" s="2846"/>
      <c r="DG170" s="2846"/>
      <c r="DH170" s="2855"/>
      <c r="DI170" s="2854"/>
      <c r="DJ170" s="2846"/>
      <c r="DK170" s="2846"/>
      <c r="DL170" s="2846"/>
      <c r="DM170" s="2855"/>
      <c r="DN170" s="2854"/>
      <c r="DO170" s="2846"/>
      <c r="DP170" s="2846"/>
      <c r="DQ170" s="2846"/>
      <c r="DR170" s="2855"/>
      <c r="DS170" s="2854"/>
      <c r="DT170" s="2846"/>
      <c r="DU170" s="2846"/>
      <c r="DV170" s="2846"/>
      <c r="DW170" s="2855"/>
      <c r="DX170" s="2854"/>
      <c r="DY170" s="2846"/>
      <c r="DZ170" s="2846"/>
      <c r="EA170" s="2846"/>
      <c r="EB170" s="2855"/>
      <c r="EC170" s="2854"/>
      <c r="ED170" s="2846"/>
      <c r="EE170" s="2846"/>
      <c r="EF170" s="2846"/>
      <c r="EG170" s="2855"/>
      <c r="EH170" s="1567"/>
      <c r="EI170" s="1568"/>
      <c r="EJ170" s="1568"/>
      <c r="EK170" s="1568"/>
      <c r="EL170" s="353"/>
      <c r="EM170" s="1857"/>
      <c r="EN170" s="358"/>
      <c r="EO170" s="358"/>
      <c r="EP170" s="358"/>
      <c r="EQ170" s="94"/>
      <c r="ER170" s="3791">
        <f>(CJ170+CO170+CT170+CY170+DD170+DI170+DN170+DS170+DX170+EC170+EH170+EM170)/12</f>
        <v>0</v>
      </c>
      <c r="ES170" s="3792">
        <f t="shared" si="669"/>
        <v>0</v>
      </c>
      <c r="ET170" s="3792">
        <f t="shared" si="669"/>
        <v>0</v>
      </c>
      <c r="EU170" s="3792">
        <f t="shared" si="669"/>
        <v>0</v>
      </c>
      <c r="EV170" s="370" t="e">
        <f>EU170/ET170</f>
        <v>#DIV/0!</v>
      </c>
      <c r="EW170" s="1569"/>
      <c r="EX170" s="1569"/>
      <c r="EY170" s="1569"/>
      <c r="EZ170" s="210"/>
      <c r="FA170" s="1567"/>
      <c r="FB170" s="1569"/>
      <c r="FC170" s="1569"/>
      <c r="FD170" s="220"/>
      <c r="FE170" s="1569"/>
      <c r="FF170" s="1569"/>
      <c r="FG170" s="1569"/>
      <c r="FH170" s="210"/>
      <c r="FI170" s="580"/>
      <c r="FJ170" s="579"/>
      <c r="FK170" s="137"/>
      <c r="FL170" s="137"/>
      <c r="FM170" s="151"/>
      <c r="FN170" s="1569"/>
      <c r="FO170" s="1568"/>
      <c r="FP170" s="1568"/>
      <c r="FQ170" s="1568"/>
      <c r="FR170" s="408"/>
      <c r="FS170" s="2858"/>
      <c r="FT170" s="2859"/>
      <c r="FU170" s="2859"/>
      <c r="FV170" s="2859"/>
      <c r="FW170" s="2860"/>
      <c r="FX170" s="1567"/>
      <c r="FY170" s="1568"/>
      <c r="FZ170" s="1568"/>
      <c r="GA170" s="2859"/>
      <c r="GB170" s="2860"/>
      <c r="GC170" s="1567"/>
      <c r="GD170" s="1568"/>
      <c r="GE170" s="1568"/>
      <c r="GF170" s="358"/>
      <c r="GG170" s="94"/>
      <c r="GH170" s="1857"/>
      <c r="GI170" s="358"/>
      <c r="GJ170" s="358"/>
      <c r="GK170" s="2861"/>
      <c r="GL170" s="2860"/>
      <c r="GM170" s="1857"/>
      <c r="GN170" s="358"/>
      <c r="GO170" s="358"/>
      <c r="GP170" s="2861"/>
      <c r="GQ170" s="2860"/>
      <c r="GR170" s="1862"/>
      <c r="GS170" s="358"/>
      <c r="GT170" s="358"/>
      <c r="GU170" s="2861"/>
      <c r="GV170" s="2860"/>
      <c r="GW170" s="1862"/>
      <c r="GX170" s="265"/>
      <c r="GY170" s="265"/>
      <c r="GZ170" s="2861"/>
      <c r="HA170" s="2860"/>
      <c r="HB170" s="1862"/>
      <c r="HC170" s="265"/>
      <c r="HD170" s="265"/>
      <c r="HE170" s="2861"/>
      <c r="HF170" s="2860"/>
      <c r="HG170" s="1862"/>
      <c r="HH170" s="265"/>
      <c r="HI170" s="265"/>
      <c r="HJ170" s="1016"/>
      <c r="HK170" s="2860"/>
      <c r="HL170" s="1862"/>
      <c r="HM170" s="265"/>
      <c r="HN170" s="265"/>
      <c r="HO170" s="265"/>
      <c r="HP170" s="94"/>
      <c r="HQ170" s="3793"/>
      <c r="HR170" s="265"/>
      <c r="HS170" s="265"/>
      <c r="HT170" s="265"/>
      <c r="HU170" s="2862"/>
      <c r="HV170" s="2723">
        <f>(FN170+FS170+FX170+GC170+GH170+GM170+GR170+GW170+HB170+HG170+HL170+HQ170)/12</f>
        <v>0</v>
      </c>
      <c r="HW170" s="395">
        <f t="shared" si="670"/>
        <v>0</v>
      </c>
      <c r="HX170" s="395">
        <f t="shared" si="670"/>
        <v>0</v>
      </c>
      <c r="HY170" s="395">
        <f t="shared" si="670"/>
        <v>0</v>
      </c>
      <c r="HZ170" s="2734"/>
      <c r="IA170" s="1854"/>
      <c r="IB170" s="1855"/>
      <c r="IC170" s="1855"/>
      <c r="ID170" s="1856"/>
      <c r="IE170" s="1857"/>
      <c r="IF170" s="1858"/>
      <c r="IG170" s="1854"/>
      <c r="IH170" s="1856"/>
      <c r="II170" s="1934"/>
      <c r="IJ170" s="2878"/>
      <c r="IK170" s="2878"/>
      <c r="IL170" s="151"/>
      <c r="IM170" s="1013"/>
      <c r="IN170" s="2878"/>
      <c r="IO170" s="2878"/>
      <c r="IP170" s="3794"/>
      <c r="IQ170" s="1568"/>
      <c r="IR170" s="3795"/>
      <c r="IS170" s="265"/>
      <c r="IT170" s="265"/>
      <c r="IU170" s="3796"/>
      <c r="IV170" s="2870"/>
      <c r="IW170" s="2858"/>
      <c r="IX170" s="2859"/>
      <c r="IY170" s="2859"/>
      <c r="IZ170" s="1016"/>
      <c r="JA170" s="94"/>
      <c r="JB170" s="2875"/>
      <c r="JC170" s="3797"/>
      <c r="JD170" s="3798"/>
      <c r="JE170" s="2859"/>
      <c r="JF170" s="94"/>
      <c r="JG170" s="621"/>
      <c r="JH170" s="358"/>
      <c r="JI170" s="358"/>
      <c r="JJ170" s="358"/>
      <c r="JK170" s="94"/>
      <c r="JL170" s="1857"/>
      <c r="JM170" s="358"/>
      <c r="JN170" s="358"/>
      <c r="JO170" s="2872"/>
      <c r="JP170" s="94"/>
      <c r="JQ170" s="3799"/>
      <c r="JR170" s="1025"/>
      <c r="JS170" s="265"/>
      <c r="JT170" s="358"/>
      <c r="JU170" s="2860"/>
      <c r="JV170" s="621"/>
      <c r="JW170" s="358"/>
      <c r="JX170" s="265"/>
      <c r="JY170" s="2872"/>
      <c r="JZ170" s="2860"/>
      <c r="KA170" s="2876"/>
      <c r="KB170" s="265"/>
      <c r="KC170" s="265"/>
      <c r="KD170" s="358"/>
      <c r="KE170" s="2860"/>
      <c r="KF170" s="621"/>
      <c r="KG170" s="265"/>
      <c r="KH170" s="265"/>
      <c r="KI170" s="358"/>
      <c r="KJ170" s="94"/>
      <c r="KK170" s="2876"/>
      <c r="KL170" s="265"/>
      <c r="KM170" s="265"/>
      <c r="KN170" s="1016"/>
      <c r="KO170" s="2860"/>
      <c r="KP170" s="1862"/>
      <c r="KQ170" s="265"/>
      <c r="KR170" s="2877"/>
      <c r="KS170" s="265"/>
      <c r="KT170" s="158"/>
      <c r="KU170" s="3793"/>
      <c r="KV170" s="265"/>
      <c r="KW170" s="2877"/>
      <c r="KX170" s="265"/>
      <c r="KY170" s="94"/>
      <c r="KZ170" s="1857"/>
      <c r="LA170" s="358"/>
      <c r="LB170" s="358"/>
      <c r="LC170" s="358"/>
      <c r="LD170" s="220"/>
      <c r="LE170" s="1854"/>
      <c r="LF170" s="1855"/>
      <c r="LG170" s="1855"/>
      <c r="LH170" s="1856"/>
      <c r="LI170" s="1857"/>
      <c r="LJ170" s="1858"/>
      <c r="LK170" s="1854"/>
      <c r="LL170" s="1856"/>
      <c r="LM170" s="1934"/>
      <c r="LN170" s="2878"/>
      <c r="LO170" s="2878"/>
      <c r="LP170" s="151"/>
      <c r="LQ170" s="3800">
        <f>(KK170+KP170+KU170)/3</f>
        <v>0</v>
      </c>
      <c r="LR170" s="2878"/>
      <c r="LS170" s="2878"/>
      <c r="LT170" s="3794"/>
      <c r="LU170" s="1568"/>
      <c r="LV170" s="401">
        <v>7</v>
      </c>
      <c r="LW170" s="395">
        <v>268841</v>
      </c>
      <c r="LX170" s="395">
        <v>398163</v>
      </c>
      <c r="LY170" s="115">
        <f>LX170-LW170</f>
        <v>129322</v>
      </c>
      <c r="LZ170" s="78">
        <f>LY170/LX170</f>
        <v>0.32479662851646185</v>
      </c>
      <c r="MA170" s="401">
        <v>8</v>
      </c>
      <c r="MB170" s="395">
        <v>390213</v>
      </c>
      <c r="MC170" s="395">
        <v>497277</v>
      </c>
      <c r="MD170" s="115">
        <f>MC170-MB170</f>
        <v>107064</v>
      </c>
      <c r="ME170" s="186">
        <f>MD170/MC170</f>
        <v>0.21530052666823521</v>
      </c>
      <c r="MF170" s="401">
        <v>11</v>
      </c>
      <c r="MG170" s="395">
        <v>640370</v>
      </c>
      <c r="MH170" s="395">
        <v>766086</v>
      </c>
      <c r="MI170" s="372">
        <f>MH170-MG170</f>
        <v>125716</v>
      </c>
      <c r="MJ170" s="207">
        <f>MI170/MH170</f>
        <v>0.16410168049017995</v>
      </c>
      <c r="MK170" s="2573">
        <v>14</v>
      </c>
      <c r="ML170" s="395">
        <v>738859</v>
      </c>
      <c r="MM170" s="395">
        <v>901649</v>
      </c>
      <c r="MN170" s="372">
        <f>MM170-ML170</f>
        <v>162790</v>
      </c>
      <c r="MO170" s="207">
        <f>MN170/MM170</f>
        <v>0.18054697559693406</v>
      </c>
      <c r="MP170" s="3801" t="s">
        <v>112</v>
      </c>
      <c r="MQ170" s="1317">
        <v>703859</v>
      </c>
      <c r="MR170" s="1317">
        <v>820110</v>
      </c>
      <c r="MS170" s="1317">
        <f>MR170-MQ170</f>
        <v>116251</v>
      </c>
      <c r="MT170" s="1313">
        <f>MS170/MR170</f>
        <v>0.14175049688456426</v>
      </c>
      <c r="MU170" s="209">
        <v>10</v>
      </c>
      <c r="MV170" s="208">
        <v>581888</v>
      </c>
      <c r="MW170" s="208">
        <v>704205</v>
      </c>
      <c r="MX170" s="208">
        <f>MW170-MV170</f>
        <v>122317</v>
      </c>
      <c r="MY170" s="1313">
        <f>MX170/MW170</f>
        <v>0.17369515979011793</v>
      </c>
      <c r="MZ170" s="1318">
        <v>10</v>
      </c>
      <c r="NA170" s="395">
        <v>581889</v>
      </c>
      <c r="NB170" s="395">
        <v>684555</v>
      </c>
      <c r="NC170" s="395">
        <f>NB170-NA170</f>
        <v>102666</v>
      </c>
      <c r="ND170" s="1313">
        <f>NC170/NB170</f>
        <v>0.14997480114819117</v>
      </c>
      <c r="NE170" s="209">
        <v>10</v>
      </c>
      <c r="NF170" s="208">
        <v>590389</v>
      </c>
      <c r="NG170" s="208">
        <v>695504</v>
      </c>
      <c r="NH170" s="395">
        <f>NG170-NF170</f>
        <v>105115</v>
      </c>
      <c r="NI170" s="1313">
        <f>NH170/NG170</f>
        <v>0.15113500425590651</v>
      </c>
      <c r="NJ170" s="209">
        <v>10</v>
      </c>
      <c r="NK170" s="208">
        <v>574485</v>
      </c>
      <c r="NL170" s="208">
        <v>665544</v>
      </c>
      <c r="NM170" s="395">
        <f>NL170-NK170</f>
        <v>91059</v>
      </c>
      <c r="NN170" s="1313">
        <f>NM170/NL170</f>
        <v>0.13681890303270708</v>
      </c>
      <c r="NO170" s="2432">
        <v>10</v>
      </c>
      <c r="NP170" s="358">
        <v>587827</v>
      </c>
      <c r="NQ170" s="359">
        <v>664809</v>
      </c>
      <c r="NR170" s="208">
        <f>NQ170-NP170</f>
        <v>76982</v>
      </c>
      <c r="NS170" s="1313">
        <f>NR170/NQ170</f>
        <v>0.11579566461946213</v>
      </c>
      <c r="NT170" s="357">
        <v>9</v>
      </c>
      <c r="NU170" s="358">
        <v>561614</v>
      </c>
      <c r="NV170" s="358">
        <v>665878</v>
      </c>
      <c r="NW170" s="208">
        <f>NV170-NU170</f>
        <v>104264</v>
      </c>
      <c r="NX170" s="1313">
        <f>NW170/NV170</f>
        <v>0.15658123560171683</v>
      </c>
      <c r="NY170" s="357">
        <v>9</v>
      </c>
      <c r="NZ170" s="358">
        <v>562527</v>
      </c>
      <c r="OA170" s="358">
        <v>680747</v>
      </c>
      <c r="OB170" s="772">
        <f>OA170-NZ170</f>
        <v>118220</v>
      </c>
      <c r="OC170" s="116">
        <f>OB170/OA170</f>
        <v>0.1736621681770173</v>
      </c>
      <c r="OD170" s="191">
        <v>9</v>
      </c>
      <c r="OE170" s="358">
        <f t="shared" si="667"/>
        <v>6782761</v>
      </c>
      <c r="OF170" s="358">
        <f t="shared" si="667"/>
        <v>8144527</v>
      </c>
      <c r="OG170" s="358">
        <f t="shared" si="667"/>
        <v>1361766</v>
      </c>
      <c r="OH170" s="220">
        <f>OG170/OF170</f>
        <v>0.16720013329196404</v>
      </c>
      <c r="OI170" s="3802">
        <f>(LV170+MA170+MF170)/3</f>
        <v>8.6666666666666661</v>
      </c>
      <c r="OJ170" s="96">
        <f t="shared" si="671"/>
        <v>1299424</v>
      </c>
      <c r="OK170" s="96">
        <f t="shared" si="671"/>
        <v>1661526</v>
      </c>
      <c r="OL170" s="96">
        <f t="shared" si="671"/>
        <v>362102</v>
      </c>
      <c r="OM170" s="114">
        <f>OL170/OK170</f>
        <v>0.21793339375971246</v>
      </c>
      <c r="ON170" s="358">
        <f>(MK170+MP170+MU170)/3</f>
        <v>12.333333333333334</v>
      </c>
      <c r="OO170" s="358">
        <f t="shared" si="672"/>
        <v>2024606</v>
      </c>
      <c r="OP170" s="358">
        <f t="shared" si="672"/>
        <v>2425964</v>
      </c>
      <c r="OQ170" s="359">
        <f t="shared" si="672"/>
        <v>401358</v>
      </c>
      <c r="OR170" s="169">
        <f>OQ170/OP170</f>
        <v>0.16544268587662472</v>
      </c>
      <c r="OS170" s="607">
        <f>(NJ170+NE170+MZ170)/3</f>
        <v>10</v>
      </c>
      <c r="OT170" s="137">
        <f t="shared" si="673"/>
        <v>1746763</v>
      </c>
      <c r="OU170" s="137">
        <f t="shared" si="673"/>
        <v>2045603</v>
      </c>
      <c r="OV170" s="3803">
        <f t="shared" si="673"/>
        <v>298840</v>
      </c>
      <c r="OW170" s="169">
        <f>OV170/OU170</f>
        <v>0.14608895274400752</v>
      </c>
      <c r="OX170" s="357">
        <f t="shared" si="674"/>
        <v>9.3333333333333339</v>
      </c>
      <c r="OY170" s="358">
        <f t="shared" si="675"/>
        <v>1711968</v>
      </c>
      <c r="OZ170" s="358">
        <f t="shared" si="675"/>
        <v>2011434</v>
      </c>
      <c r="PA170" s="359">
        <f t="shared" si="675"/>
        <v>299466</v>
      </c>
      <c r="PB170" s="114">
        <f>PA170/OZ170</f>
        <v>0.14888184250639097</v>
      </c>
      <c r="PC170" s="137"/>
      <c r="PD170" s="401">
        <v>9</v>
      </c>
      <c r="PE170" s="395">
        <v>508528</v>
      </c>
      <c r="PF170" s="395">
        <v>611993</v>
      </c>
      <c r="PG170" s="115">
        <f>PF170-PE170</f>
        <v>103465</v>
      </c>
      <c r="PH170" s="78">
        <f>PG170/PF170</f>
        <v>0.16906239123650108</v>
      </c>
      <c r="PI170" s="401">
        <v>8</v>
      </c>
      <c r="PJ170" s="395">
        <v>492000</v>
      </c>
      <c r="PK170" s="395">
        <v>586597</v>
      </c>
      <c r="PL170" s="115">
        <f>PK170-PJ170</f>
        <v>94597</v>
      </c>
      <c r="PM170" s="186">
        <f>PL170/PK170</f>
        <v>0.16126403646796694</v>
      </c>
      <c r="PN170" s="401">
        <v>7</v>
      </c>
      <c r="PO170" s="395">
        <v>482794</v>
      </c>
      <c r="PP170" s="395">
        <v>609466</v>
      </c>
      <c r="PQ170" s="372">
        <f>PP170-PO170</f>
        <v>126672</v>
      </c>
      <c r="PR170" s="207">
        <f>PQ170/PP170</f>
        <v>0.20784096241627917</v>
      </c>
      <c r="PS170" s="1573">
        <v>7</v>
      </c>
      <c r="PT170" s="395">
        <v>434736</v>
      </c>
      <c r="PU170" s="395">
        <v>544956</v>
      </c>
      <c r="PV170" s="372">
        <f t="shared" si="676"/>
        <v>110220</v>
      </c>
      <c r="PW170" s="370">
        <f>PV170/PU170</f>
        <v>0.20225486094290182</v>
      </c>
      <c r="PX170" s="3804">
        <v>7</v>
      </c>
      <c r="PY170" s="1317">
        <v>443884</v>
      </c>
      <c r="PZ170" s="1317">
        <v>523972</v>
      </c>
      <c r="QA170" s="265">
        <f>PZ170-PY170</f>
        <v>80088</v>
      </c>
      <c r="QB170" s="1313">
        <f>QA170/PZ170</f>
        <v>0.15284786209950149</v>
      </c>
      <c r="QC170" s="209">
        <v>7</v>
      </c>
      <c r="QD170" s="208">
        <v>346463</v>
      </c>
      <c r="QE170" s="208">
        <v>421154</v>
      </c>
      <c r="QF170" s="208">
        <f>QE170-QD170</f>
        <v>74691</v>
      </c>
      <c r="QG170" s="1313">
        <f>QF170/QE170</f>
        <v>0.17734842836587092</v>
      </c>
      <c r="QH170" s="401">
        <v>6</v>
      </c>
      <c r="QI170" s="395">
        <v>265235</v>
      </c>
      <c r="QJ170" s="395">
        <v>328342</v>
      </c>
      <c r="QK170" s="208">
        <f>QJ170-QI170</f>
        <v>63107</v>
      </c>
      <c r="QL170" s="1313">
        <f>QK170/QJ170</f>
        <v>0.19219898764093538</v>
      </c>
      <c r="QM170" s="439">
        <v>6</v>
      </c>
      <c r="QN170" s="208">
        <v>318689</v>
      </c>
      <c r="QO170" s="208">
        <v>386598</v>
      </c>
      <c r="QP170" s="395">
        <f>QO170-QN170</f>
        <v>67909</v>
      </c>
      <c r="QQ170" s="1872">
        <f>QP170/QO170</f>
        <v>0.1756579185613997</v>
      </c>
      <c r="QR170" s="209">
        <v>6</v>
      </c>
      <c r="QS170" s="208">
        <v>290986</v>
      </c>
      <c r="QT170" s="208">
        <v>331560</v>
      </c>
      <c r="QU170" s="395">
        <f>QT170-QS170</f>
        <v>40574</v>
      </c>
      <c r="QV170" s="157">
        <f>QU170/QT170</f>
        <v>0.12237302449028833</v>
      </c>
      <c r="QW170" s="1318">
        <v>6</v>
      </c>
      <c r="QX170" s="208">
        <v>287586</v>
      </c>
      <c r="QY170" s="208">
        <v>364889</v>
      </c>
      <c r="QZ170" s="395">
        <f>QY170-QX170</f>
        <v>77303</v>
      </c>
      <c r="RA170" s="157">
        <f>QZ170/QY170</f>
        <v>0.21185346776690994</v>
      </c>
      <c r="RB170" s="357">
        <v>6</v>
      </c>
      <c r="RC170" s="358">
        <v>287660</v>
      </c>
      <c r="RD170" s="358">
        <v>364879</v>
      </c>
      <c r="RE170" s="208">
        <f>RD170-RC170</f>
        <v>77219</v>
      </c>
      <c r="RF170" s="1313">
        <f>RE170/RD170</f>
        <v>0.21162906059268963</v>
      </c>
      <c r="RG170" s="1857">
        <v>8</v>
      </c>
      <c r="RH170" s="358">
        <v>310055</v>
      </c>
      <c r="RI170" s="358">
        <v>539200</v>
      </c>
      <c r="RJ170" s="772">
        <f>RI170-RH170</f>
        <v>229145</v>
      </c>
      <c r="RK170" s="116">
        <f>RJ170/RI170</f>
        <v>0.42497218100890205</v>
      </c>
      <c r="RL170" s="1567">
        <v>8</v>
      </c>
      <c r="RM170" s="1568">
        <f t="shared" si="668"/>
        <v>4468616</v>
      </c>
      <c r="RN170" s="1568">
        <f t="shared" si="668"/>
        <v>5613606</v>
      </c>
      <c r="RO170" s="1568">
        <f t="shared" si="668"/>
        <v>1144990</v>
      </c>
      <c r="RP170" s="220">
        <f>RO170/RN170</f>
        <v>0.20396693319766296</v>
      </c>
      <c r="RQ170" s="3802">
        <v>7</v>
      </c>
      <c r="RR170" s="96">
        <f t="shared" si="677"/>
        <v>1483322</v>
      </c>
      <c r="RS170" s="96">
        <f t="shared" si="677"/>
        <v>1808056</v>
      </c>
      <c r="RT170" s="96">
        <f t="shared" si="677"/>
        <v>324734</v>
      </c>
      <c r="RU170" s="114">
        <f>RT170/RS170</f>
        <v>0.17960395032012283</v>
      </c>
      <c r="RV170" s="1868">
        <v>7</v>
      </c>
      <c r="RW170" s="358">
        <f t="shared" si="678"/>
        <v>1225083</v>
      </c>
      <c r="RX170" s="358">
        <f t="shared" si="678"/>
        <v>1490082</v>
      </c>
      <c r="RY170" s="359">
        <f t="shared" si="678"/>
        <v>264999</v>
      </c>
      <c r="RZ170" s="169">
        <f>RY170/RX170</f>
        <v>0.17784189058051839</v>
      </c>
      <c r="SA170" s="607">
        <v>6</v>
      </c>
      <c r="SB170" s="137">
        <f t="shared" si="679"/>
        <v>874910</v>
      </c>
      <c r="SC170" s="137">
        <f t="shared" si="679"/>
        <v>1046500</v>
      </c>
      <c r="SD170" s="3803">
        <f t="shared" si="679"/>
        <v>171590</v>
      </c>
      <c r="SE170" s="169">
        <f t="shared" si="680"/>
        <v>0.16396559961777354</v>
      </c>
      <c r="SF170" s="1567">
        <v>8</v>
      </c>
      <c r="SG170" s="358">
        <f t="shared" si="681"/>
        <v>885301</v>
      </c>
      <c r="SH170" s="358">
        <f t="shared" si="681"/>
        <v>1268968</v>
      </c>
      <c r="SI170" s="359">
        <f t="shared" si="681"/>
        <v>383667</v>
      </c>
      <c r="SJ170" s="114">
        <f>SI170/SH170</f>
        <v>0.3023456856280064</v>
      </c>
      <c r="SK170" s="1568"/>
      <c r="SL170" s="401">
        <v>8</v>
      </c>
      <c r="SM170" s="395">
        <v>310055</v>
      </c>
      <c r="SN170" s="395">
        <v>539200</v>
      </c>
      <c r="SO170" s="115">
        <f>SN170-SM170</f>
        <v>229145</v>
      </c>
      <c r="SP170" s="78">
        <f>SO170/SN170</f>
        <v>0.42497218100890205</v>
      </c>
      <c r="SQ170" s="401">
        <v>8</v>
      </c>
      <c r="SR170" s="395">
        <v>310055</v>
      </c>
      <c r="SS170" s="395">
        <v>539200</v>
      </c>
      <c r="ST170" s="115">
        <f t="shared" si="682"/>
        <v>229145</v>
      </c>
      <c r="SU170" s="186">
        <f t="shared" si="683"/>
        <v>0.42497218100890205</v>
      </c>
      <c r="SV170" s="401">
        <v>8</v>
      </c>
      <c r="SW170" s="395">
        <v>310055</v>
      </c>
      <c r="SX170" s="395">
        <v>539200</v>
      </c>
      <c r="SY170" s="372">
        <f t="shared" si="684"/>
        <v>229145</v>
      </c>
      <c r="SZ170" s="207">
        <f t="shared" si="685"/>
        <v>0.42497218100890205</v>
      </c>
      <c r="TA170" s="1574">
        <v>9</v>
      </c>
      <c r="TB170" s="208">
        <v>327540</v>
      </c>
      <c r="TC170" s="208">
        <v>539200</v>
      </c>
      <c r="TD170" s="372">
        <f t="shared" si="686"/>
        <v>211660</v>
      </c>
      <c r="TE170" s="207">
        <f>TD170/TC170</f>
        <v>0.39254451038575666</v>
      </c>
      <c r="TF170" s="4120">
        <v>8</v>
      </c>
      <c r="TG170" s="395">
        <v>303470</v>
      </c>
      <c r="TH170" s="395">
        <v>539200</v>
      </c>
      <c r="TI170" s="395">
        <f t="shared" si="687"/>
        <v>235730</v>
      </c>
      <c r="TJ170" s="116">
        <f t="shared" si="688"/>
        <v>0.43718471810089021</v>
      </c>
      <c r="TK170" s="1318">
        <v>8</v>
      </c>
      <c r="TL170" s="395">
        <v>303470</v>
      </c>
      <c r="TM170" s="395">
        <v>539200</v>
      </c>
      <c r="TN170" s="772">
        <f t="shared" si="689"/>
        <v>235730</v>
      </c>
      <c r="TO170" s="116">
        <f t="shared" si="690"/>
        <v>0.43718471810089021</v>
      </c>
      <c r="TP170" s="4434">
        <v>8</v>
      </c>
      <c r="TQ170" s="395">
        <v>299259</v>
      </c>
      <c r="TR170" s="395">
        <v>539000</v>
      </c>
      <c r="TS170" s="772">
        <f t="shared" si="691"/>
        <v>239741</v>
      </c>
      <c r="TT170" s="114">
        <f>TS170/TR170</f>
        <v>0.44478849721706865</v>
      </c>
      <c r="TU170" s="4432">
        <v>9</v>
      </c>
      <c r="TV170" s="208">
        <v>315359</v>
      </c>
      <c r="TW170" s="395">
        <v>539000</v>
      </c>
      <c r="TX170" s="772">
        <f t="shared" si="692"/>
        <v>223641</v>
      </c>
      <c r="TY170" s="114">
        <f>TX170/TW170</f>
        <v>0.41491836734693877</v>
      </c>
      <c r="TZ170" s="1318">
        <v>9</v>
      </c>
      <c r="UA170" s="395">
        <v>260150</v>
      </c>
      <c r="UB170" s="395">
        <v>539000</v>
      </c>
      <c r="UC170" s="772">
        <f t="shared" si="693"/>
        <v>278850</v>
      </c>
      <c r="UD170" s="116">
        <f t="shared" si="694"/>
        <v>0.51734693877551019</v>
      </c>
      <c r="UE170" s="2002">
        <v>8</v>
      </c>
      <c r="UF170" s="1575">
        <v>299269</v>
      </c>
      <c r="UG170" s="1575">
        <v>539200</v>
      </c>
      <c r="UH170" s="2552">
        <f t="shared" ref="UH170:UH209" si="698">UG170-UF170</f>
        <v>239931</v>
      </c>
      <c r="UI170" s="222">
        <f t="shared" ref="UI170:UI209" si="699">UH170/UG170</f>
        <v>0.44497589020771511</v>
      </c>
      <c r="UJ170" s="357"/>
      <c r="UK170" s="358"/>
      <c r="UL170" s="358"/>
      <c r="UM170" s="208">
        <f>UL170-UK170</f>
        <v>0</v>
      </c>
      <c r="UN170" s="597" t="e">
        <f>UM170/UL170</f>
        <v>#DIV/0!</v>
      </c>
      <c r="UO170" s="1567"/>
      <c r="UP170" s="1568"/>
      <c r="UQ170" s="1568"/>
      <c r="UR170" s="2012">
        <f>UQ170-UP170</f>
        <v>0</v>
      </c>
      <c r="US170" s="659" t="e">
        <f>UR170/UQ170</f>
        <v>#DIV/0!</v>
      </c>
      <c r="UT170" s="1567"/>
      <c r="UU170" s="358">
        <f t="shared" ref="UU170:UW209" si="700">UP170+UK170+UF170+UA170+TV170+TQ170+TL170+TG170+TB170+SW170+SR170+SM170</f>
        <v>3038682</v>
      </c>
      <c r="UV170" s="358">
        <f t="shared" si="700"/>
        <v>5391400</v>
      </c>
      <c r="UW170" s="358">
        <f t="shared" si="700"/>
        <v>2352718</v>
      </c>
      <c r="UX170" s="220">
        <f>UW170/UV170</f>
        <v>0.43638349964758688</v>
      </c>
      <c r="UY170" s="1863">
        <v>7</v>
      </c>
      <c r="UZ170" s="105">
        <f t="shared" si="695"/>
        <v>930165</v>
      </c>
      <c r="VA170" s="105">
        <f t="shared" si="695"/>
        <v>1617600</v>
      </c>
      <c r="VB170" s="105">
        <f t="shared" si="695"/>
        <v>687435</v>
      </c>
      <c r="VC170" s="106">
        <f t="shared" si="696"/>
        <v>0.42497218100890205</v>
      </c>
      <c r="VD170" s="1868"/>
      <c r="VE170" s="358">
        <f t="shared" ref="VE170:VG209" si="701">TB170+TG170+TL170</f>
        <v>934480</v>
      </c>
      <c r="VF170" s="358">
        <f t="shared" si="701"/>
        <v>1617600</v>
      </c>
      <c r="VG170" s="359">
        <f t="shared" si="701"/>
        <v>683120</v>
      </c>
      <c r="VH170" s="169">
        <f t="shared" ref="VH170:VH209" si="702">VG170/VF170</f>
        <v>0.42230464886251234</v>
      </c>
      <c r="VI170" s="686"/>
      <c r="VJ170" s="146">
        <f t="shared" ref="VJ170:VL209" si="703">UA170+TV170+TQ170</f>
        <v>874768</v>
      </c>
      <c r="VK170" s="146">
        <f t="shared" si="703"/>
        <v>1617000</v>
      </c>
      <c r="VL170" s="1864">
        <f t="shared" si="703"/>
        <v>742232</v>
      </c>
      <c r="VM170" s="203">
        <f>VL170/VK170</f>
        <v>0.45901793444650585</v>
      </c>
      <c r="VN170" s="1567">
        <v>8</v>
      </c>
      <c r="VO170" s="358">
        <f t="shared" si="697"/>
        <v>299269</v>
      </c>
      <c r="VP170" s="358">
        <f t="shared" si="697"/>
        <v>539200</v>
      </c>
      <c r="VQ170" s="359">
        <f t="shared" si="697"/>
        <v>239931</v>
      </c>
      <c r="VR170" s="114">
        <f>VQ170/VP170</f>
        <v>0.44497589020771511</v>
      </c>
    </row>
    <row r="171" spans="1:592" s="1193" customFormat="1" ht="13.45" x14ac:dyDescent="0.3">
      <c r="A171" s="1297"/>
      <c r="B171" s="4601" t="s">
        <v>109</v>
      </c>
      <c r="C171" s="6510" t="s">
        <v>1065</v>
      </c>
      <c r="D171" s="3790"/>
      <c r="E171" s="384"/>
      <c r="F171" s="384"/>
      <c r="G171" s="2161"/>
      <c r="H171" s="2845"/>
      <c r="I171" s="2846"/>
      <c r="J171" s="2846"/>
      <c r="K171" s="2846"/>
      <c r="L171" s="2847"/>
      <c r="M171" s="2845"/>
      <c r="N171" s="2846"/>
      <c r="O171" s="2846"/>
      <c r="P171" s="2846"/>
      <c r="Q171" s="2847"/>
      <c r="R171" s="2845"/>
      <c r="S171" s="2846"/>
      <c r="T171" s="2846"/>
      <c r="U171" s="2846"/>
      <c r="V171" s="2847"/>
      <c r="W171" s="2845"/>
      <c r="X171" s="2846"/>
      <c r="Y171" s="2846"/>
      <c r="Z171" s="2846"/>
      <c r="AA171" s="2848"/>
      <c r="AB171" s="2845"/>
      <c r="AC171" s="2846"/>
      <c r="AD171" s="2846"/>
      <c r="AE171" s="2846"/>
      <c r="AF171" s="2848"/>
      <c r="AG171" s="2846"/>
      <c r="AH171" s="2846"/>
      <c r="AI171" s="2846"/>
      <c r="AJ171" s="2846"/>
      <c r="AK171" s="2847"/>
      <c r="AL171" s="2846"/>
      <c r="AM171" s="2846"/>
      <c r="AN171" s="2846"/>
      <c r="AO171" s="2846"/>
      <c r="AP171" s="2847"/>
      <c r="AQ171" s="2846"/>
      <c r="AR171" s="2846"/>
      <c r="AS171" s="2846"/>
      <c r="AT171" s="2846"/>
      <c r="AU171" s="2847"/>
      <c r="AV171" s="2849"/>
      <c r="AW171" s="2846"/>
      <c r="AX171" s="2846"/>
      <c r="AY171" s="2846"/>
      <c r="AZ171" s="2848"/>
      <c r="BA171" s="2849"/>
      <c r="BB171" s="2846"/>
      <c r="BC171" s="2846"/>
      <c r="BD171" s="2846"/>
      <c r="BE171" s="2848"/>
      <c r="BF171" s="2849"/>
      <c r="BG171" s="2846"/>
      <c r="BH171" s="2846"/>
      <c r="BI171" s="2846"/>
      <c r="BJ171" s="2848"/>
      <c r="BK171" s="2849"/>
      <c r="BL171" s="2846"/>
      <c r="BM171" s="2846"/>
      <c r="BN171" s="2846"/>
      <c r="BO171" s="2848"/>
      <c r="BP171" s="2850"/>
      <c r="BQ171" s="2846"/>
      <c r="BR171" s="2846"/>
      <c r="BS171" s="2846"/>
      <c r="BT171" s="2851"/>
      <c r="BU171" s="2846"/>
      <c r="BV171" s="2846"/>
      <c r="BW171" s="2852"/>
      <c r="BX171" s="2851"/>
      <c r="BY171" s="2846"/>
      <c r="BZ171" s="2846"/>
      <c r="CA171" s="2853"/>
      <c r="CB171" s="2846"/>
      <c r="CC171" s="2846"/>
      <c r="CD171" s="2846"/>
      <c r="CE171" s="2846"/>
      <c r="CF171" s="2851"/>
      <c r="CG171" s="2846"/>
      <c r="CH171" s="2846"/>
      <c r="CI171" s="2853"/>
      <c r="CJ171" s="2854"/>
      <c r="CK171" s="2846"/>
      <c r="CL171" s="2846"/>
      <c r="CM171" s="2846"/>
      <c r="CN171" s="2852"/>
      <c r="CO171" s="2854"/>
      <c r="CP171" s="2845"/>
      <c r="CQ171" s="2845"/>
      <c r="CR171" s="2845"/>
      <c r="CS171" s="2852"/>
      <c r="CT171" s="2854"/>
      <c r="CU171" s="2846"/>
      <c r="CV171" s="2846"/>
      <c r="CW171" s="2846"/>
      <c r="CX171" s="2852"/>
      <c r="CY171" s="2854"/>
      <c r="CZ171" s="2846"/>
      <c r="DA171" s="2846"/>
      <c r="DB171" s="2846"/>
      <c r="DC171" s="2852"/>
      <c r="DD171" s="2854"/>
      <c r="DE171" s="2846"/>
      <c r="DF171" s="2846"/>
      <c r="DG171" s="2846"/>
      <c r="DH171" s="2855"/>
      <c r="DI171" s="2854"/>
      <c r="DJ171" s="2846"/>
      <c r="DK171" s="2846"/>
      <c r="DL171" s="2846"/>
      <c r="DM171" s="2855"/>
      <c r="DN171" s="2854"/>
      <c r="DO171" s="2846"/>
      <c r="DP171" s="2846"/>
      <c r="DQ171" s="2846"/>
      <c r="DR171" s="2855"/>
      <c r="DS171" s="2854"/>
      <c r="DT171" s="2846"/>
      <c r="DU171" s="2846"/>
      <c r="DV171" s="2846"/>
      <c r="DW171" s="2855"/>
      <c r="DX171" s="2854"/>
      <c r="DY171" s="2846"/>
      <c r="DZ171" s="2846"/>
      <c r="EA171" s="2846"/>
      <c r="EB171" s="2855"/>
      <c r="EC171" s="2854"/>
      <c r="ED171" s="2846"/>
      <c r="EE171" s="2846"/>
      <c r="EF171" s="2846"/>
      <c r="EG171" s="2855"/>
      <c r="EH171" s="1567"/>
      <c r="EI171" s="1568"/>
      <c r="EJ171" s="1568"/>
      <c r="EK171" s="1568"/>
      <c r="EL171" s="353"/>
      <c r="EM171" s="1857"/>
      <c r="EN171" s="358"/>
      <c r="EO171" s="358"/>
      <c r="EP171" s="358"/>
      <c r="EQ171" s="94"/>
      <c r="ER171" s="3791"/>
      <c r="ES171" s="3792"/>
      <c r="ET171" s="3792"/>
      <c r="EU171" s="3792"/>
      <c r="EV171" s="370"/>
      <c r="EW171" s="1569"/>
      <c r="EX171" s="1569"/>
      <c r="EY171" s="1569"/>
      <c r="EZ171" s="210"/>
      <c r="FA171" s="1567"/>
      <c r="FB171" s="1569"/>
      <c r="FC171" s="1569"/>
      <c r="FD171" s="220"/>
      <c r="FE171" s="1569"/>
      <c r="FF171" s="1569"/>
      <c r="FG171" s="1569"/>
      <c r="FH171" s="210"/>
      <c r="FI171" s="580"/>
      <c r="FJ171" s="579"/>
      <c r="FK171" s="137"/>
      <c r="FL171" s="137"/>
      <c r="FM171" s="151"/>
      <c r="FN171" s="1569"/>
      <c r="FO171" s="1568"/>
      <c r="FP171" s="1568"/>
      <c r="FQ171" s="1568"/>
      <c r="FR171" s="408"/>
      <c r="FS171" s="2858"/>
      <c r="FT171" s="2859"/>
      <c r="FU171" s="2859"/>
      <c r="FV171" s="2859"/>
      <c r="FW171" s="2860"/>
      <c r="FX171" s="1567"/>
      <c r="FY171" s="1568"/>
      <c r="FZ171" s="1568"/>
      <c r="GA171" s="2859"/>
      <c r="GB171" s="2860"/>
      <c r="GC171" s="1567"/>
      <c r="GD171" s="1568"/>
      <c r="GE171" s="1568"/>
      <c r="GF171" s="358"/>
      <c r="GG171" s="94"/>
      <c r="GH171" s="1857"/>
      <c r="GI171" s="358"/>
      <c r="GJ171" s="358"/>
      <c r="GK171" s="2861"/>
      <c r="GL171" s="2860"/>
      <c r="GM171" s="1857"/>
      <c r="GN171" s="358"/>
      <c r="GO171" s="358"/>
      <c r="GP171" s="2861"/>
      <c r="GQ171" s="2860"/>
      <c r="GR171" s="1862"/>
      <c r="GS171" s="358"/>
      <c r="GT171" s="358"/>
      <c r="GU171" s="2861"/>
      <c r="GV171" s="2860"/>
      <c r="GW171" s="1862"/>
      <c r="GX171" s="265"/>
      <c r="GY171" s="265"/>
      <c r="GZ171" s="2861"/>
      <c r="HA171" s="2860"/>
      <c r="HB171" s="1862"/>
      <c r="HC171" s="265"/>
      <c r="HD171" s="265"/>
      <c r="HE171" s="2861"/>
      <c r="HF171" s="2860"/>
      <c r="HG171" s="1862"/>
      <c r="HH171" s="265"/>
      <c r="HI171" s="265"/>
      <c r="HJ171" s="1016"/>
      <c r="HK171" s="2860"/>
      <c r="HL171" s="1862"/>
      <c r="HM171" s="265"/>
      <c r="HN171" s="265"/>
      <c r="HO171" s="265"/>
      <c r="HP171" s="94"/>
      <c r="HQ171" s="3793"/>
      <c r="HR171" s="265"/>
      <c r="HS171" s="265"/>
      <c r="HT171" s="265"/>
      <c r="HU171" s="2862"/>
      <c r="HV171" s="2723"/>
      <c r="HW171" s="395"/>
      <c r="HX171" s="395"/>
      <c r="HY171" s="395"/>
      <c r="HZ171" s="2734"/>
      <c r="IA171" s="1854"/>
      <c r="IB171" s="1855"/>
      <c r="IC171" s="1855"/>
      <c r="ID171" s="1856"/>
      <c r="IE171" s="1857"/>
      <c r="IF171" s="1858"/>
      <c r="IG171" s="1854"/>
      <c r="IH171" s="1856"/>
      <c r="II171" s="1934"/>
      <c r="IJ171" s="2878"/>
      <c r="IK171" s="2878"/>
      <c r="IL171" s="151"/>
      <c r="IM171" s="1013"/>
      <c r="IN171" s="2878"/>
      <c r="IO171" s="2878"/>
      <c r="IP171" s="3794"/>
      <c r="IQ171" s="1568"/>
      <c r="IR171" s="3795"/>
      <c r="IS171" s="265"/>
      <c r="IT171" s="265"/>
      <c r="IU171" s="3796"/>
      <c r="IV171" s="2870"/>
      <c r="IW171" s="2858"/>
      <c r="IX171" s="2859"/>
      <c r="IY171" s="2859"/>
      <c r="IZ171" s="1016"/>
      <c r="JA171" s="94"/>
      <c r="JB171" s="2875"/>
      <c r="JC171" s="3797"/>
      <c r="JD171" s="3798"/>
      <c r="JE171" s="2859"/>
      <c r="JF171" s="94"/>
      <c r="JG171" s="621"/>
      <c r="JH171" s="358"/>
      <c r="JI171" s="358"/>
      <c r="JJ171" s="358"/>
      <c r="JK171" s="94"/>
      <c r="JL171" s="1857"/>
      <c r="JM171" s="358"/>
      <c r="JN171" s="358"/>
      <c r="JO171" s="2872"/>
      <c r="JP171" s="94"/>
      <c r="JQ171" s="3799"/>
      <c r="JR171" s="1025"/>
      <c r="JS171" s="265"/>
      <c r="JT171" s="358"/>
      <c r="JU171" s="2860"/>
      <c r="JV171" s="621"/>
      <c r="JW171" s="358"/>
      <c r="JX171" s="265"/>
      <c r="JY171" s="2872"/>
      <c r="JZ171" s="2860"/>
      <c r="KA171" s="2876"/>
      <c r="KB171" s="265"/>
      <c r="KC171" s="265"/>
      <c r="KD171" s="358"/>
      <c r="KE171" s="2860"/>
      <c r="KF171" s="621"/>
      <c r="KG171" s="265"/>
      <c r="KH171" s="265"/>
      <c r="KI171" s="358"/>
      <c r="KJ171" s="94"/>
      <c r="KK171" s="2876"/>
      <c r="KL171" s="265"/>
      <c r="KM171" s="265"/>
      <c r="KN171" s="1016"/>
      <c r="KO171" s="2860"/>
      <c r="KP171" s="1862"/>
      <c r="KQ171" s="265"/>
      <c r="KR171" s="2877"/>
      <c r="KS171" s="265"/>
      <c r="KT171" s="158"/>
      <c r="KU171" s="3793"/>
      <c r="KV171" s="265"/>
      <c r="KW171" s="2877"/>
      <c r="KX171" s="265"/>
      <c r="KY171" s="94"/>
      <c r="KZ171" s="1857"/>
      <c r="LA171" s="358"/>
      <c r="LB171" s="358"/>
      <c r="LC171" s="358"/>
      <c r="LD171" s="220"/>
      <c r="LE171" s="1854"/>
      <c r="LF171" s="1855"/>
      <c r="LG171" s="1855"/>
      <c r="LH171" s="1856"/>
      <c r="LI171" s="1857"/>
      <c r="LJ171" s="1858"/>
      <c r="LK171" s="1854"/>
      <c r="LL171" s="1856"/>
      <c r="LM171" s="1934"/>
      <c r="LN171" s="2878"/>
      <c r="LO171" s="2878"/>
      <c r="LP171" s="151"/>
      <c r="LQ171" s="3800"/>
      <c r="LR171" s="2878"/>
      <c r="LS171" s="2878"/>
      <c r="LT171" s="3794"/>
      <c r="LU171" s="1568"/>
      <c r="LV171" s="401"/>
      <c r="LW171" s="395"/>
      <c r="LX171" s="395"/>
      <c r="LY171" s="115"/>
      <c r="LZ171" s="78"/>
      <c r="MA171" s="401"/>
      <c r="MB171" s="395"/>
      <c r="MC171" s="395"/>
      <c r="MD171" s="115"/>
      <c r="ME171" s="186"/>
      <c r="MF171" s="401"/>
      <c r="MG171" s="395"/>
      <c r="MH171" s="395"/>
      <c r="MI171" s="372"/>
      <c r="MJ171" s="207"/>
      <c r="MK171" s="2573"/>
      <c r="ML171" s="395"/>
      <c r="MM171" s="395"/>
      <c r="MN171" s="372"/>
      <c r="MO171" s="207"/>
      <c r="MP171" s="3801"/>
      <c r="MQ171" s="1317"/>
      <c r="MR171" s="1317"/>
      <c r="MS171" s="1317"/>
      <c r="MT171" s="1313"/>
      <c r="MU171" s="209"/>
      <c r="MV171" s="208"/>
      <c r="MW171" s="208"/>
      <c r="MX171" s="208"/>
      <c r="MY171" s="1313"/>
      <c r="MZ171" s="1318"/>
      <c r="NA171" s="395"/>
      <c r="NB171" s="395"/>
      <c r="NC171" s="395"/>
      <c r="ND171" s="1313"/>
      <c r="NE171" s="209"/>
      <c r="NF171" s="208"/>
      <c r="NG171" s="208"/>
      <c r="NH171" s="395"/>
      <c r="NI171" s="1313"/>
      <c r="NJ171" s="209"/>
      <c r="NK171" s="208"/>
      <c r="NL171" s="208"/>
      <c r="NM171" s="395"/>
      <c r="NN171" s="1313"/>
      <c r="NO171" s="2432"/>
      <c r="NP171" s="358"/>
      <c r="NQ171" s="359"/>
      <c r="NR171" s="208"/>
      <c r="NS171" s="1313"/>
      <c r="NT171" s="357"/>
      <c r="NU171" s="358"/>
      <c r="NV171" s="358"/>
      <c r="NW171" s="208"/>
      <c r="NX171" s="1313"/>
      <c r="NY171" s="357"/>
      <c r="NZ171" s="358"/>
      <c r="OA171" s="358"/>
      <c r="OB171" s="772"/>
      <c r="OC171" s="116"/>
      <c r="OD171" s="191"/>
      <c r="OE171" s="358"/>
      <c r="OF171" s="358"/>
      <c r="OG171" s="358"/>
      <c r="OH171" s="220"/>
      <c r="OI171" s="3802"/>
      <c r="OJ171" s="96"/>
      <c r="OK171" s="96"/>
      <c r="OL171" s="96"/>
      <c r="OM171" s="114"/>
      <c r="ON171" s="358"/>
      <c r="OO171" s="358"/>
      <c r="OP171" s="358"/>
      <c r="OQ171" s="359"/>
      <c r="OR171" s="169"/>
      <c r="OS171" s="607"/>
      <c r="OT171" s="137"/>
      <c r="OU171" s="137"/>
      <c r="OV171" s="3803"/>
      <c r="OW171" s="169"/>
      <c r="OX171" s="357"/>
      <c r="OY171" s="358"/>
      <c r="OZ171" s="358"/>
      <c r="PA171" s="359"/>
      <c r="PB171" s="114"/>
      <c r="PC171" s="137"/>
      <c r="PD171" s="401"/>
      <c r="PE171" s="395"/>
      <c r="PF171" s="395"/>
      <c r="PG171" s="115"/>
      <c r="PH171" s="78"/>
      <c r="PI171" s="401"/>
      <c r="PJ171" s="395"/>
      <c r="PK171" s="395"/>
      <c r="PL171" s="115"/>
      <c r="PM171" s="186"/>
      <c r="PN171" s="401"/>
      <c r="PO171" s="395"/>
      <c r="PP171" s="395"/>
      <c r="PQ171" s="372"/>
      <c r="PR171" s="207"/>
      <c r="PS171" s="1573"/>
      <c r="PT171" s="395"/>
      <c r="PU171" s="395"/>
      <c r="PV171" s="372"/>
      <c r="PW171" s="370"/>
      <c r="PX171" s="3804"/>
      <c r="PY171" s="1317"/>
      <c r="PZ171" s="1317"/>
      <c r="QA171" s="265"/>
      <c r="QB171" s="1313"/>
      <c r="QC171" s="209"/>
      <c r="QD171" s="208"/>
      <c r="QE171" s="208"/>
      <c r="QF171" s="208"/>
      <c r="QG171" s="1313"/>
      <c r="QH171" s="401"/>
      <c r="QI171" s="395"/>
      <c r="QJ171" s="395"/>
      <c r="QK171" s="208"/>
      <c r="QL171" s="1313"/>
      <c r="QM171" s="439"/>
      <c r="QN171" s="208"/>
      <c r="QO171" s="208"/>
      <c r="QP171" s="395"/>
      <c r="QQ171" s="1872"/>
      <c r="QR171" s="209"/>
      <c r="QS171" s="208"/>
      <c r="QT171" s="208"/>
      <c r="QU171" s="395"/>
      <c r="QV171" s="157"/>
      <c r="QW171" s="1318"/>
      <c r="QX171" s="208"/>
      <c r="QY171" s="208"/>
      <c r="QZ171" s="395"/>
      <c r="RA171" s="157"/>
      <c r="RB171" s="357"/>
      <c r="RC171" s="358"/>
      <c r="RD171" s="358"/>
      <c r="RE171" s="208"/>
      <c r="RF171" s="1313"/>
      <c r="RG171" s="1857"/>
      <c r="RH171" s="358"/>
      <c r="RI171" s="358"/>
      <c r="RJ171" s="772"/>
      <c r="RK171" s="116"/>
      <c r="RL171" s="1567"/>
      <c r="RM171" s="1568"/>
      <c r="RN171" s="1568"/>
      <c r="RO171" s="1568"/>
      <c r="RP171" s="220"/>
      <c r="RQ171" s="3802"/>
      <c r="RR171" s="96"/>
      <c r="RS171" s="96"/>
      <c r="RT171" s="96"/>
      <c r="RU171" s="114"/>
      <c r="RV171" s="1868"/>
      <c r="RW171" s="358"/>
      <c r="RX171" s="358"/>
      <c r="RY171" s="359"/>
      <c r="RZ171" s="169"/>
      <c r="SA171" s="607"/>
      <c r="SB171" s="137"/>
      <c r="SC171" s="137"/>
      <c r="SD171" s="3803"/>
      <c r="SE171" s="169"/>
      <c r="SF171" s="1567"/>
      <c r="SG171" s="358"/>
      <c r="SH171" s="358"/>
      <c r="SI171" s="359"/>
      <c r="SJ171" s="114"/>
      <c r="SK171" s="1568"/>
      <c r="SL171" s="401"/>
      <c r="SM171" s="395"/>
      <c r="SN171" s="395"/>
      <c r="SO171" s="115"/>
      <c r="SP171" s="78"/>
      <c r="SQ171" s="401"/>
      <c r="SR171" s="395"/>
      <c r="SS171" s="395"/>
      <c r="ST171" s="115"/>
      <c r="SU171" s="186"/>
      <c r="SV171" s="401"/>
      <c r="SW171" s="395"/>
      <c r="SX171" s="395"/>
      <c r="SY171" s="372"/>
      <c r="SZ171" s="207"/>
      <c r="TA171" s="1574"/>
      <c r="TB171" s="208"/>
      <c r="TC171" s="208"/>
      <c r="TD171" s="372"/>
      <c r="TE171" s="207"/>
      <c r="TF171" s="4120"/>
      <c r="TG171" s="395"/>
      <c r="TH171" s="395"/>
      <c r="TI171" s="395"/>
      <c r="TJ171" s="116"/>
      <c r="TK171" s="1318"/>
      <c r="TL171" s="395"/>
      <c r="TM171" s="395"/>
      <c r="TN171" s="772"/>
      <c r="TO171" s="116"/>
      <c r="TP171" s="4434"/>
      <c r="TQ171" s="395"/>
      <c r="TR171" s="395"/>
      <c r="TS171" s="772"/>
      <c r="TT171" s="114"/>
      <c r="TU171" s="4432"/>
      <c r="TV171" s="208"/>
      <c r="TW171" s="395"/>
      <c r="TX171" s="772"/>
      <c r="TY171" s="114"/>
      <c r="TZ171" s="1318">
        <v>1</v>
      </c>
      <c r="UA171" s="395">
        <v>50147</v>
      </c>
      <c r="UB171" s="395">
        <v>88000</v>
      </c>
      <c r="UC171" s="772">
        <f t="shared" si="693"/>
        <v>37853</v>
      </c>
      <c r="UD171" s="116">
        <f t="shared" si="694"/>
        <v>0.43014772727272726</v>
      </c>
      <c r="UE171" s="2002">
        <v>1</v>
      </c>
      <c r="UF171" s="1575">
        <v>50147</v>
      </c>
      <c r="UG171" s="1575">
        <v>80000</v>
      </c>
      <c r="UH171" s="2552">
        <f t="shared" si="698"/>
        <v>29853</v>
      </c>
      <c r="UI171" s="222">
        <f t="shared" si="699"/>
        <v>0.37316250000000001</v>
      </c>
      <c r="UJ171" s="357"/>
      <c r="UK171" s="358"/>
      <c r="UL171" s="358"/>
      <c r="UM171" s="208"/>
      <c r="UN171" s="597"/>
      <c r="UO171" s="1567"/>
      <c r="UP171" s="1568"/>
      <c r="UQ171" s="1568"/>
      <c r="UR171" s="2012"/>
      <c r="US171" s="659"/>
      <c r="UT171" s="1567"/>
      <c r="UU171" s="358">
        <f t="shared" si="700"/>
        <v>100294</v>
      </c>
      <c r="UV171" s="358">
        <f t="shared" si="700"/>
        <v>168000</v>
      </c>
      <c r="UW171" s="358">
        <f t="shared" si="700"/>
        <v>67706</v>
      </c>
      <c r="UX171" s="220">
        <f>UW171/UV171</f>
        <v>0.40301190476190474</v>
      </c>
      <c r="UY171" s="1863"/>
      <c r="UZ171" s="105"/>
      <c r="VA171" s="105"/>
      <c r="VB171" s="105"/>
      <c r="VC171" s="106"/>
      <c r="VD171" s="1868"/>
      <c r="VE171" s="358"/>
      <c r="VF171" s="358"/>
      <c r="VG171" s="359"/>
      <c r="VH171" s="169"/>
      <c r="VI171" s="686"/>
      <c r="VJ171" s="146"/>
      <c r="VK171" s="146"/>
      <c r="VL171" s="1864"/>
      <c r="VM171" s="203"/>
      <c r="VN171" s="1567"/>
      <c r="VO171" s="358"/>
      <c r="VP171" s="358"/>
      <c r="VQ171" s="359"/>
      <c r="VR171" s="114"/>
    </row>
    <row r="172" spans="1:592" s="1193" customFormat="1" ht="13.45" x14ac:dyDescent="0.3">
      <c r="A172" s="1297"/>
      <c r="B172" s="4601" t="s">
        <v>109</v>
      </c>
      <c r="C172" s="3775" t="s">
        <v>110</v>
      </c>
      <c r="D172" s="3790" t="s">
        <v>846</v>
      </c>
      <c r="E172" s="384"/>
      <c r="F172" s="384"/>
      <c r="G172" s="2161"/>
      <c r="H172" s="2845"/>
      <c r="I172" s="2846"/>
      <c r="J172" s="2846"/>
      <c r="K172" s="2846"/>
      <c r="L172" s="2847"/>
      <c r="M172" s="2845"/>
      <c r="N172" s="2846"/>
      <c r="O172" s="2846"/>
      <c r="P172" s="2846"/>
      <c r="Q172" s="2847"/>
      <c r="R172" s="2845"/>
      <c r="S172" s="2846"/>
      <c r="T172" s="2846"/>
      <c r="U172" s="2846"/>
      <c r="V172" s="2847"/>
      <c r="W172" s="2845"/>
      <c r="X172" s="2846"/>
      <c r="Y172" s="2846"/>
      <c r="Z172" s="2846"/>
      <c r="AA172" s="2848"/>
      <c r="AB172" s="2845"/>
      <c r="AC172" s="2846"/>
      <c r="AD172" s="2846"/>
      <c r="AE172" s="2846"/>
      <c r="AF172" s="2848"/>
      <c r="AG172" s="2846"/>
      <c r="AH172" s="2846"/>
      <c r="AI172" s="2846"/>
      <c r="AJ172" s="2846"/>
      <c r="AK172" s="2847"/>
      <c r="AL172" s="2846"/>
      <c r="AM172" s="2846"/>
      <c r="AN172" s="2846"/>
      <c r="AO172" s="2846"/>
      <c r="AP172" s="2847"/>
      <c r="AQ172" s="2846"/>
      <c r="AR172" s="2846"/>
      <c r="AS172" s="2846"/>
      <c r="AT172" s="2846"/>
      <c r="AU172" s="2847"/>
      <c r="AV172" s="2849"/>
      <c r="AW172" s="2846"/>
      <c r="AX172" s="2846"/>
      <c r="AY172" s="2846"/>
      <c r="AZ172" s="2848"/>
      <c r="BA172" s="2849"/>
      <c r="BB172" s="2846"/>
      <c r="BC172" s="2846"/>
      <c r="BD172" s="2846"/>
      <c r="BE172" s="2848"/>
      <c r="BF172" s="2849"/>
      <c r="BG172" s="2846"/>
      <c r="BH172" s="2846"/>
      <c r="BI172" s="2846"/>
      <c r="BJ172" s="2848"/>
      <c r="BK172" s="2849"/>
      <c r="BL172" s="2846"/>
      <c r="BM172" s="2846"/>
      <c r="BN172" s="2846"/>
      <c r="BO172" s="2848"/>
      <c r="BP172" s="2850"/>
      <c r="BQ172" s="2846"/>
      <c r="BR172" s="2846"/>
      <c r="BS172" s="2846"/>
      <c r="BT172" s="2851"/>
      <c r="BU172" s="2846"/>
      <c r="BV172" s="2846"/>
      <c r="BW172" s="2852"/>
      <c r="BX172" s="2851"/>
      <c r="BY172" s="2846"/>
      <c r="BZ172" s="2846"/>
      <c r="CA172" s="2853"/>
      <c r="CB172" s="2846"/>
      <c r="CC172" s="2846"/>
      <c r="CD172" s="2846"/>
      <c r="CE172" s="2846"/>
      <c r="CF172" s="2851"/>
      <c r="CG172" s="2846"/>
      <c r="CH172" s="2846"/>
      <c r="CI172" s="2853"/>
      <c r="CJ172" s="2854"/>
      <c r="CK172" s="2846"/>
      <c r="CL172" s="2846"/>
      <c r="CM172" s="2846"/>
      <c r="CN172" s="2852"/>
      <c r="CO172" s="2854"/>
      <c r="CP172" s="2845"/>
      <c r="CQ172" s="2845"/>
      <c r="CR172" s="2845"/>
      <c r="CS172" s="2852"/>
      <c r="CT172" s="2854"/>
      <c r="CU172" s="2846"/>
      <c r="CV172" s="2846"/>
      <c r="CW172" s="2846"/>
      <c r="CX172" s="2852"/>
      <c r="CY172" s="2854"/>
      <c r="CZ172" s="2846"/>
      <c r="DA172" s="2846"/>
      <c r="DB172" s="2846"/>
      <c r="DC172" s="2852"/>
      <c r="DD172" s="2854"/>
      <c r="DE172" s="2846"/>
      <c r="DF172" s="2846"/>
      <c r="DG172" s="2846"/>
      <c r="DH172" s="2855"/>
      <c r="DI172" s="2854"/>
      <c r="DJ172" s="2846"/>
      <c r="DK172" s="2846"/>
      <c r="DL172" s="2846"/>
      <c r="DM172" s="2855"/>
      <c r="DN172" s="2854"/>
      <c r="DO172" s="2846"/>
      <c r="DP172" s="2846"/>
      <c r="DQ172" s="2846"/>
      <c r="DR172" s="2855"/>
      <c r="DS172" s="2854"/>
      <c r="DT172" s="2846"/>
      <c r="DU172" s="2846"/>
      <c r="DV172" s="2846"/>
      <c r="DW172" s="2855"/>
      <c r="DX172" s="2854"/>
      <c r="DY172" s="2846"/>
      <c r="DZ172" s="2846"/>
      <c r="EA172" s="2846"/>
      <c r="EB172" s="2855"/>
      <c r="EC172" s="2854"/>
      <c r="ED172" s="2846"/>
      <c r="EE172" s="2846"/>
      <c r="EF172" s="2846"/>
      <c r="EG172" s="2855"/>
      <c r="EH172" s="1567"/>
      <c r="EI172" s="1568"/>
      <c r="EJ172" s="1568"/>
      <c r="EK172" s="1568"/>
      <c r="EL172" s="353"/>
      <c r="EM172" s="1857"/>
      <c r="EN172" s="358"/>
      <c r="EO172" s="358"/>
      <c r="EP172" s="358"/>
      <c r="EQ172" s="94"/>
      <c r="ER172" s="3791">
        <f>(CJ172+CO172+CT172+CY172+DD172+DI172+DN172+DS172+DX172+EC172+EH172+EM172)/12</f>
        <v>0</v>
      </c>
      <c r="ES172" s="3792">
        <f t="shared" si="669"/>
        <v>0</v>
      </c>
      <c r="ET172" s="3792">
        <f t="shared" si="669"/>
        <v>0</v>
      </c>
      <c r="EU172" s="3792">
        <f t="shared" si="669"/>
        <v>0</v>
      </c>
      <c r="EV172" s="370" t="e">
        <f>EU172/ET172</f>
        <v>#DIV/0!</v>
      </c>
      <c r="EW172" s="1569"/>
      <c r="EX172" s="1569"/>
      <c r="EY172" s="1569"/>
      <c r="EZ172" s="210"/>
      <c r="FA172" s="1567"/>
      <c r="FB172" s="1569"/>
      <c r="FC172" s="1569"/>
      <c r="FD172" s="220"/>
      <c r="FE172" s="1569"/>
      <c r="FF172" s="1569"/>
      <c r="FG172" s="1569"/>
      <c r="FH172" s="210"/>
      <c r="FI172" s="580"/>
      <c r="FJ172" s="579"/>
      <c r="FK172" s="137"/>
      <c r="FL172" s="137"/>
      <c r="FM172" s="151"/>
      <c r="FN172" s="1569"/>
      <c r="FO172" s="1568"/>
      <c r="FP172" s="1568"/>
      <c r="FQ172" s="1568"/>
      <c r="FR172" s="408"/>
      <c r="FS172" s="2858"/>
      <c r="FT172" s="2859"/>
      <c r="FU172" s="2859"/>
      <c r="FV172" s="2859"/>
      <c r="FW172" s="2860"/>
      <c r="FX172" s="1567"/>
      <c r="FY172" s="1568"/>
      <c r="FZ172" s="1568"/>
      <c r="GA172" s="2859"/>
      <c r="GB172" s="2860"/>
      <c r="GC172" s="1567"/>
      <c r="GD172" s="1568"/>
      <c r="GE172" s="1568"/>
      <c r="GF172" s="358"/>
      <c r="GG172" s="94"/>
      <c r="GH172" s="1857"/>
      <c r="GI172" s="358"/>
      <c r="GJ172" s="358"/>
      <c r="GK172" s="2861"/>
      <c r="GL172" s="2860"/>
      <c r="GM172" s="1857"/>
      <c r="GN172" s="358"/>
      <c r="GO172" s="358"/>
      <c r="GP172" s="2861"/>
      <c r="GQ172" s="2860"/>
      <c r="GR172" s="1862"/>
      <c r="GS172" s="358"/>
      <c r="GT172" s="358"/>
      <c r="GU172" s="2861"/>
      <c r="GV172" s="2860"/>
      <c r="GW172" s="1862"/>
      <c r="GX172" s="265"/>
      <c r="GY172" s="265"/>
      <c r="GZ172" s="2861"/>
      <c r="HA172" s="2860"/>
      <c r="HB172" s="1862"/>
      <c r="HC172" s="265"/>
      <c r="HD172" s="265"/>
      <c r="HE172" s="2861"/>
      <c r="HF172" s="2860"/>
      <c r="HG172" s="1862"/>
      <c r="HH172" s="265"/>
      <c r="HI172" s="265"/>
      <c r="HJ172" s="1016"/>
      <c r="HK172" s="2860"/>
      <c r="HL172" s="1862"/>
      <c r="HM172" s="265"/>
      <c r="HN172" s="265"/>
      <c r="HO172" s="265"/>
      <c r="HP172" s="94"/>
      <c r="HQ172" s="3793"/>
      <c r="HR172" s="265"/>
      <c r="HS172" s="265"/>
      <c r="HT172" s="265"/>
      <c r="HU172" s="2862"/>
      <c r="HV172" s="2723">
        <f>(FN172+FS172+FX172+GC172+GH172+GM172+GR172+GW172+HB172+HG172+HL172+HQ172)/12</f>
        <v>0</v>
      </c>
      <c r="HW172" s="395">
        <f t="shared" si="670"/>
        <v>0</v>
      </c>
      <c r="HX172" s="395">
        <f t="shared" si="670"/>
        <v>0</v>
      </c>
      <c r="HY172" s="395">
        <f t="shared" si="670"/>
        <v>0</v>
      </c>
      <c r="HZ172" s="2734"/>
      <c r="IA172" s="1854"/>
      <c r="IB172" s="1855"/>
      <c r="IC172" s="1855"/>
      <c r="ID172" s="1856"/>
      <c r="IE172" s="1857"/>
      <c r="IF172" s="1858"/>
      <c r="IG172" s="1854"/>
      <c r="IH172" s="1856"/>
      <c r="II172" s="1934"/>
      <c r="IJ172" s="2878"/>
      <c r="IK172" s="2878"/>
      <c r="IL172" s="151"/>
      <c r="IM172" s="1013"/>
      <c r="IN172" s="2878"/>
      <c r="IO172" s="2878"/>
      <c r="IP172" s="3794"/>
      <c r="IQ172" s="1568"/>
      <c r="IR172" s="3795"/>
      <c r="IS172" s="265"/>
      <c r="IT172" s="265"/>
      <c r="IU172" s="3796"/>
      <c r="IV172" s="2870"/>
      <c r="IW172" s="2858"/>
      <c r="IX172" s="2859"/>
      <c r="IY172" s="2859"/>
      <c r="IZ172" s="1016"/>
      <c r="JA172" s="94"/>
      <c r="JB172" s="2875"/>
      <c r="JC172" s="3797"/>
      <c r="JD172" s="3798"/>
      <c r="JE172" s="2859"/>
      <c r="JF172" s="94"/>
      <c r="JG172" s="621"/>
      <c r="JH172" s="358"/>
      <c r="JI172" s="358"/>
      <c r="JJ172" s="358"/>
      <c r="JK172" s="94"/>
      <c r="JL172" s="1857"/>
      <c r="JM172" s="358"/>
      <c r="JN172" s="358"/>
      <c r="JO172" s="2872"/>
      <c r="JP172" s="94"/>
      <c r="JQ172" s="3799"/>
      <c r="JR172" s="1025"/>
      <c r="JS172" s="265"/>
      <c r="JT172" s="358"/>
      <c r="JU172" s="2860"/>
      <c r="JV172" s="621"/>
      <c r="JW172" s="358"/>
      <c r="JX172" s="265"/>
      <c r="JY172" s="2872"/>
      <c r="JZ172" s="2860"/>
      <c r="KA172" s="2876"/>
      <c r="KB172" s="265"/>
      <c r="KC172" s="265"/>
      <c r="KD172" s="358"/>
      <c r="KE172" s="2860"/>
      <c r="KF172" s="621"/>
      <c r="KG172" s="265"/>
      <c r="KH172" s="265"/>
      <c r="KI172" s="358"/>
      <c r="KJ172" s="94"/>
      <c r="KK172" s="2876"/>
      <c r="KL172" s="265"/>
      <c r="KM172" s="265"/>
      <c r="KN172" s="1016"/>
      <c r="KO172" s="2860"/>
      <c r="KP172" s="1862"/>
      <c r="KQ172" s="265"/>
      <c r="KR172" s="2877"/>
      <c r="KS172" s="265"/>
      <c r="KT172" s="158"/>
      <c r="KU172" s="3793"/>
      <c r="KV172" s="265"/>
      <c r="KW172" s="2877"/>
      <c r="KX172" s="265"/>
      <c r="KY172" s="94"/>
      <c r="KZ172" s="1857"/>
      <c r="LA172" s="358"/>
      <c r="LB172" s="358"/>
      <c r="LC172" s="358"/>
      <c r="LD172" s="220"/>
      <c r="LE172" s="1854"/>
      <c r="LF172" s="1855"/>
      <c r="LG172" s="1855"/>
      <c r="LH172" s="1856"/>
      <c r="LI172" s="1857"/>
      <c r="LJ172" s="1858"/>
      <c r="LK172" s="1854"/>
      <c r="LL172" s="1856"/>
      <c r="LM172" s="1934"/>
      <c r="LN172" s="2878"/>
      <c r="LO172" s="2878"/>
      <c r="LP172" s="151"/>
      <c r="LQ172" s="3800"/>
      <c r="LR172" s="2878"/>
      <c r="LS172" s="2878"/>
      <c r="LT172" s="3794"/>
      <c r="LU172" s="1568"/>
      <c r="LV172" s="401"/>
      <c r="LW172" s="395"/>
      <c r="LX172" s="395"/>
      <c r="LY172" s="115"/>
      <c r="LZ172" s="78"/>
      <c r="MA172" s="401"/>
      <c r="MB172" s="395"/>
      <c r="MC172" s="395"/>
      <c r="MD172" s="115"/>
      <c r="ME172" s="186"/>
      <c r="MF172" s="401"/>
      <c r="MG172" s="395"/>
      <c r="MH172" s="395"/>
      <c r="MI172" s="372"/>
      <c r="MJ172" s="207"/>
      <c r="MK172" s="2573"/>
      <c r="ML172" s="395"/>
      <c r="MM172" s="395"/>
      <c r="MN172" s="372"/>
      <c r="MO172" s="207"/>
      <c r="MP172" s="3805"/>
      <c r="MQ172" s="1317"/>
      <c r="MR172" s="1317"/>
      <c r="MS172" s="1317"/>
      <c r="MT172" s="1313"/>
      <c r="MU172" s="209"/>
      <c r="MV172" s="208"/>
      <c r="MW172" s="208"/>
      <c r="MX172" s="208"/>
      <c r="MY172" s="1313"/>
      <c r="MZ172" s="1318"/>
      <c r="NA172" s="395"/>
      <c r="NB172" s="395"/>
      <c r="NC172" s="395"/>
      <c r="ND172" s="1313"/>
      <c r="NE172" s="209"/>
      <c r="NF172" s="208"/>
      <c r="NG172" s="208"/>
      <c r="NH172" s="395"/>
      <c r="NI172" s="1313"/>
      <c r="NJ172" s="209">
        <v>1</v>
      </c>
      <c r="NK172" s="208">
        <v>6097</v>
      </c>
      <c r="NL172" s="208">
        <v>8942</v>
      </c>
      <c r="NM172" s="395">
        <f>NL172-NK172</f>
        <v>2845</v>
      </c>
      <c r="NN172" s="1313">
        <f>NM172/NL172</f>
        <v>0.31816148512636994</v>
      </c>
      <c r="NO172" s="2432">
        <v>1</v>
      </c>
      <c r="NP172" s="358">
        <v>26213</v>
      </c>
      <c r="NQ172" s="359">
        <v>43560</v>
      </c>
      <c r="NR172" s="208">
        <f>NQ172-NP172</f>
        <v>17347</v>
      </c>
      <c r="NS172" s="1313">
        <f>NR172/NQ172</f>
        <v>0.39823232323232322</v>
      </c>
      <c r="NT172" s="357">
        <v>1</v>
      </c>
      <c r="NU172" s="358">
        <v>26213</v>
      </c>
      <c r="NV172" s="358">
        <v>43560</v>
      </c>
      <c r="NW172" s="208">
        <f>NV172-NU172</f>
        <v>17347</v>
      </c>
      <c r="NX172" s="1313">
        <f>NW172/NV172</f>
        <v>0.39823232323232322</v>
      </c>
      <c r="NY172" s="357">
        <v>1</v>
      </c>
      <c r="NZ172" s="358">
        <v>25792</v>
      </c>
      <c r="OA172" s="358">
        <v>37878.199999999997</v>
      </c>
      <c r="OB172" s="772">
        <f>OA172-NZ172</f>
        <v>12086.199999999997</v>
      </c>
      <c r="OC172" s="116">
        <f>OB172/OA172</f>
        <v>0.31908063213141064</v>
      </c>
      <c r="OD172" s="191">
        <v>1</v>
      </c>
      <c r="OE172" s="358">
        <f t="shared" si="667"/>
        <v>84315</v>
      </c>
      <c r="OF172" s="358">
        <f t="shared" si="667"/>
        <v>133940.20000000001</v>
      </c>
      <c r="OG172" s="358">
        <f t="shared" si="667"/>
        <v>49625.2</v>
      </c>
      <c r="OH172" s="220">
        <f>OG172/OF172</f>
        <v>0.3705026571559546</v>
      </c>
      <c r="OI172" s="3802"/>
      <c r="OJ172" s="96"/>
      <c r="OK172" s="96"/>
      <c r="OL172" s="96"/>
      <c r="OM172" s="114"/>
      <c r="ON172" s="358"/>
      <c r="OO172" s="358"/>
      <c r="OP172" s="358"/>
      <c r="OQ172" s="359"/>
      <c r="OR172" s="169"/>
      <c r="OS172" s="607">
        <f>(NJ172+NE172+MZ172)/3</f>
        <v>0.33333333333333331</v>
      </c>
      <c r="OT172" s="137">
        <f t="shared" si="673"/>
        <v>6097</v>
      </c>
      <c r="OU172" s="137">
        <f t="shared" si="673"/>
        <v>8942</v>
      </c>
      <c r="OV172" s="3803">
        <f t="shared" si="673"/>
        <v>2845</v>
      </c>
      <c r="OW172" s="169">
        <f>OV172/OU172</f>
        <v>0.31816148512636994</v>
      </c>
      <c r="OX172" s="357">
        <f t="shared" si="674"/>
        <v>1</v>
      </c>
      <c r="OY172" s="358">
        <f t="shared" si="675"/>
        <v>78218</v>
      </c>
      <c r="OZ172" s="358">
        <f t="shared" si="675"/>
        <v>124998.2</v>
      </c>
      <c r="PA172" s="359">
        <f t="shared" si="675"/>
        <v>46780.2</v>
      </c>
      <c r="PB172" s="114">
        <f>PA172/OZ172</f>
        <v>0.37424698915664384</v>
      </c>
      <c r="PC172" s="137"/>
      <c r="PD172" s="401">
        <v>15</v>
      </c>
      <c r="PE172" s="395">
        <f>296910+266011</f>
        <v>562921</v>
      </c>
      <c r="PF172" s="395">
        <f>405234+595360</f>
        <v>1000594</v>
      </c>
      <c r="PG172" s="115">
        <f>PF172-PE172</f>
        <v>437673</v>
      </c>
      <c r="PH172" s="78">
        <f>PG172/PF172</f>
        <v>0.43741317657311557</v>
      </c>
      <c r="PI172" s="401">
        <v>15</v>
      </c>
      <c r="PJ172" s="395">
        <f>240353+266011</f>
        <v>506364</v>
      </c>
      <c r="PK172" s="395">
        <f>313297+595360</f>
        <v>908657</v>
      </c>
      <c r="PL172" s="115">
        <f>PK172-PJ172</f>
        <v>402293</v>
      </c>
      <c r="PM172" s="186">
        <f>PL172/PK172</f>
        <v>0.44273361675527728</v>
      </c>
      <c r="PN172" s="401">
        <v>13</v>
      </c>
      <c r="PO172" s="395">
        <f>215989+266011</f>
        <v>482000</v>
      </c>
      <c r="PP172" s="395">
        <f>278403+539200</f>
        <v>817603</v>
      </c>
      <c r="PQ172" s="372">
        <f>PP172-PO172</f>
        <v>335603</v>
      </c>
      <c r="PR172" s="207">
        <f>PQ172/PP172</f>
        <v>0.41047183046050467</v>
      </c>
      <c r="PS172" s="1573">
        <v>13</v>
      </c>
      <c r="PT172" s="395">
        <f>209220+291011</f>
        <v>500231</v>
      </c>
      <c r="PU172" s="395">
        <f>294379+539200</f>
        <v>833579</v>
      </c>
      <c r="PV172" s="372">
        <f t="shared" si="676"/>
        <v>333348</v>
      </c>
      <c r="PW172" s="370">
        <f>PV172/PU172</f>
        <v>0.39989970956562004</v>
      </c>
      <c r="PX172" s="3806">
        <v>20</v>
      </c>
      <c r="PY172" s="1317">
        <f>226566+290969</f>
        <v>517535</v>
      </c>
      <c r="PZ172" s="1317">
        <f>305168+539200</f>
        <v>844368</v>
      </c>
      <c r="QA172" s="265">
        <f>PZ172-PY172</f>
        <v>326833</v>
      </c>
      <c r="QB172" s="1313">
        <f>QA172/PZ172</f>
        <v>0.38707411934132985</v>
      </c>
      <c r="QC172" s="209">
        <v>13</v>
      </c>
      <c r="QD172" s="208">
        <f>216184+306919</f>
        <v>523103</v>
      </c>
      <c r="QE172" s="208">
        <f>296490+555150</f>
        <v>851640</v>
      </c>
      <c r="QF172" s="208">
        <f>QE172-QD172</f>
        <v>328537</v>
      </c>
      <c r="QG172" s="1313">
        <f>QF172/QE172</f>
        <v>0.3857698088394157</v>
      </c>
      <c r="QH172" s="401">
        <v>14</v>
      </c>
      <c r="QI172" s="395">
        <f>271381+290969</f>
        <v>562350</v>
      </c>
      <c r="QJ172" s="395">
        <f>334921+539200</f>
        <v>874121</v>
      </c>
      <c r="QK172" s="208">
        <f>QJ172-QI172</f>
        <v>311771</v>
      </c>
      <c r="QL172" s="1313">
        <f>QK172/QJ172</f>
        <v>0.35666801278083926</v>
      </c>
      <c r="QM172" s="439">
        <v>14</v>
      </c>
      <c r="QN172" s="208">
        <f>265236+122439+290969</f>
        <v>678644</v>
      </c>
      <c r="QO172" s="208">
        <f>327378+174272+539200</f>
        <v>1040850</v>
      </c>
      <c r="QP172" s="395">
        <f>QO172-QN172</f>
        <v>362206</v>
      </c>
      <c r="QQ172" s="1872">
        <f>QP172/QO172</f>
        <v>0.34799058461834076</v>
      </c>
      <c r="QR172" s="209">
        <v>15</v>
      </c>
      <c r="QS172" s="208">
        <f>470566+310555</f>
        <v>781121</v>
      </c>
      <c r="QT172" s="208">
        <f>656980+539200</f>
        <v>1196180</v>
      </c>
      <c r="QU172" s="395">
        <f>QT172-QS172</f>
        <v>415059</v>
      </c>
      <c r="QV172" s="157">
        <f>QU172/QT172</f>
        <v>0.34698707552375063</v>
      </c>
      <c r="QW172" s="1318">
        <v>15</v>
      </c>
      <c r="QX172" s="208">
        <f>490171+310555</f>
        <v>800726</v>
      </c>
      <c r="QY172" s="208">
        <f>693405+539200</f>
        <v>1232605</v>
      </c>
      <c r="QZ172" s="395">
        <f>QY172-QX172</f>
        <v>431879</v>
      </c>
      <c r="RA172" s="157">
        <f>QZ172/QY172</f>
        <v>0.35037907521063116</v>
      </c>
      <c r="RB172" s="357">
        <v>15</v>
      </c>
      <c r="RC172" s="358">
        <f>489756+308422</f>
        <v>798178</v>
      </c>
      <c r="RD172" s="358">
        <f>742207+539200</f>
        <v>1281407</v>
      </c>
      <c r="RE172" s="208">
        <f>RD172-RC172</f>
        <v>483229</v>
      </c>
      <c r="RF172" s="1313">
        <f>RE172/RD172</f>
        <v>0.37710813192061537</v>
      </c>
      <c r="RG172" s="1857">
        <v>13</v>
      </c>
      <c r="RH172" s="358">
        <v>776487</v>
      </c>
      <c r="RI172" s="358">
        <v>1069316</v>
      </c>
      <c r="RJ172" s="772">
        <f>RI172-RH172</f>
        <v>292829</v>
      </c>
      <c r="RK172" s="116">
        <f>RJ172/RI172</f>
        <v>0.273847019964164</v>
      </c>
      <c r="RL172" s="1567">
        <v>13</v>
      </c>
      <c r="RM172" s="1568">
        <f t="shared" si="668"/>
        <v>7489660</v>
      </c>
      <c r="RN172" s="1568">
        <f t="shared" si="668"/>
        <v>11950920</v>
      </c>
      <c r="RO172" s="1568">
        <f t="shared" si="668"/>
        <v>4461260</v>
      </c>
      <c r="RP172" s="220">
        <f>RO172/RN172</f>
        <v>0.37329845735725786</v>
      </c>
      <c r="RQ172" s="3802">
        <v>6</v>
      </c>
      <c r="RR172" s="96">
        <f t="shared" si="677"/>
        <v>1551285</v>
      </c>
      <c r="RS172" s="96">
        <f t="shared" si="677"/>
        <v>2726854</v>
      </c>
      <c r="RT172" s="96">
        <f t="shared" si="677"/>
        <v>1175569</v>
      </c>
      <c r="RU172" s="114">
        <f>RT172/RS172</f>
        <v>0.43110815613890585</v>
      </c>
      <c r="RV172" s="1868">
        <v>5</v>
      </c>
      <c r="RW172" s="358">
        <f t="shared" si="678"/>
        <v>1540869</v>
      </c>
      <c r="RX172" s="358">
        <f t="shared" si="678"/>
        <v>2529587</v>
      </c>
      <c r="RY172" s="359">
        <f t="shared" si="678"/>
        <v>988718</v>
      </c>
      <c r="RZ172" s="169">
        <f>RY172/RX172</f>
        <v>0.39086143311141303</v>
      </c>
      <c r="SA172" s="607">
        <v>7</v>
      </c>
      <c r="SB172" s="137">
        <f t="shared" si="679"/>
        <v>2022115</v>
      </c>
      <c r="SC172" s="137">
        <f t="shared" si="679"/>
        <v>3111151</v>
      </c>
      <c r="SD172" s="3803">
        <f t="shared" si="679"/>
        <v>1089036</v>
      </c>
      <c r="SE172" s="169">
        <f t="shared" si="680"/>
        <v>0.35004279766555851</v>
      </c>
      <c r="SF172" s="1567">
        <v>13</v>
      </c>
      <c r="SG172" s="358">
        <f t="shared" si="681"/>
        <v>2375391</v>
      </c>
      <c r="SH172" s="358">
        <f t="shared" si="681"/>
        <v>3583328</v>
      </c>
      <c r="SI172" s="359">
        <f t="shared" si="681"/>
        <v>1207937</v>
      </c>
      <c r="SJ172" s="114">
        <f>SI172/SH172</f>
        <v>0.33709919940345956</v>
      </c>
      <c r="SK172" s="1568"/>
      <c r="SL172" s="401">
        <v>11</v>
      </c>
      <c r="SM172" s="395">
        <v>702606</v>
      </c>
      <c r="SN172" s="395">
        <v>993488</v>
      </c>
      <c r="SO172" s="115">
        <f>SN172-SM172</f>
        <v>290882</v>
      </c>
      <c r="SP172" s="78">
        <f>SO172/SN172</f>
        <v>0.29278863962121332</v>
      </c>
      <c r="SQ172" s="401">
        <v>11</v>
      </c>
      <c r="SR172" s="395">
        <v>699642</v>
      </c>
      <c r="SS172" s="395">
        <v>1020362</v>
      </c>
      <c r="ST172" s="115">
        <f t="shared" si="682"/>
        <v>320720</v>
      </c>
      <c r="SU172" s="186">
        <f t="shared" si="683"/>
        <v>0.31431981982864904</v>
      </c>
      <c r="SV172" s="439">
        <v>11</v>
      </c>
      <c r="SW172" s="208">
        <f>1182420-SW170-SW169-88239</f>
        <v>551300</v>
      </c>
      <c r="SX172" s="208">
        <f>1744594-SX170-SX169-93975</f>
        <v>778086</v>
      </c>
      <c r="SY172" s="371">
        <f t="shared" si="684"/>
        <v>226786</v>
      </c>
      <c r="SZ172" s="157">
        <f t="shared" si="685"/>
        <v>0.2914664959914457</v>
      </c>
      <c r="TA172" s="1574">
        <v>10</v>
      </c>
      <c r="TB172" s="208">
        <v>516250</v>
      </c>
      <c r="TC172" s="208">
        <v>721157</v>
      </c>
      <c r="TD172" s="372">
        <f t="shared" si="686"/>
        <v>204907</v>
      </c>
      <c r="TE172" s="207">
        <f>TD172/TC172</f>
        <v>0.28413646404319726</v>
      </c>
      <c r="TF172" s="1573">
        <v>10</v>
      </c>
      <c r="TG172" s="395">
        <v>512124</v>
      </c>
      <c r="TH172" s="395">
        <v>706307</v>
      </c>
      <c r="TI172" s="395">
        <f t="shared" si="687"/>
        <v>194183</v>
      </c>
      <c r="TJ172" s="116">
        <f t="shared" si="688"/>
        <v>0.27492719171691632</v>
      </c>
      <c r="TK172" s="1318">
        <v>10</v>
      </c>
      <c r="TL172" s="395">
        <f>1055814-TL170-TL169</f>
        <v>519508</v>
      </c>
      <c r="TM172" s="395">
        <f>1597562-TM170-TM169</f>
        <v>725029</v>
      </c>
      <c r="TN172" s="772">
        <f t="shared" si="689"/>
        <v>205521</v>
      </c>
      <c r="TO172" s="116">
        <f t="shared" si="690"/>
        <v>0.2834659027432006</v>
      </c>
      <c r="TP172" s="4434">
        <v>11</v>
      </c>
      <c r="TQ172" s="395">
        <v>613002</v>
      </c>
      <c r="TR172" s="395">
        <v>849420</v>
      </c>
      <c r="TS172" s="772">
        <f t="shared" si="691"/>
        <v>236418</v>
      </c>
      <c r="TT172" s="114">
        <f>TS172/TR172</f>
        <v>0.2783287419651056</v>
      </c>
      <c r="TU172" s="4432">
        <v>12</v>
      </c>
      <c r="TV172" s="208">
        <f>781558+5849</f>
        <v>787407</v>
      </c>
      <c r="TW172" s="208">
        <v>1141124</v>
      </c>
      <c r="TX172" s="772">
        <f t="shared" si="692"/>
        <v>353717</v>
      </c>
      <c r="TY172" s="114">
        <f>TX172/TW172</f>
        <v>0.30997244821772219</v>
      </c>
      <c r="TZ172" s="1318">
        <v>10</v>
      </c>
      <c r="UA172" s="395">
        <v>573840</v>
      </c>
      <c r="UB172" s="395">
        <v>757358</v>
      </c>
      <c r="UC172" s="772">
        <f t="shared" si="693"/>
        <v>183518</v>
      </c>
      <c r="UD172" s="116">
        <f t="shared" si="694"/>
        <v>0.24231341056673331</v>
      </c>
      <c r="UE172" s="2002">
        <v>11</v>
      </c>
      <c r="UF172" s="2001">
        <v>581691</v>
      </c>
      <c r="UG172" s="2001">
        <v>760645</v>
      </c>
      <c r="UH172" s="2552">
        <f t="shared" si="698"/>
        <v>178954</v>
      </c>
      <c r="UI172" s="222">
        <f t="shared" si="699"/>
        <v>0.23526612282996667</v>
      </c>
      <c r="UJ172" s="357"/>
      <c r="UK172" s="358"/>
      <c r="UL172" s="358"/>
      <c r="UM172" s="208">
        <f>UL172-UK172</f>
        <v>0</v>
      </c>
      <c r="UN172" s="597" t="e">
        <f>UM172/UL172</f>
        <v>#DIV/0!</v>
      </c>
      <c r="UO172" s="1567"/>
      <c r="UP172" s="1568"/>
      <c r="UQ172" s="1568"/>
      <c r="UR172" s="2012">
        <f>UQ172-UP172</f>
        <v>0</v>
      </c>
      <c r="US172" s="659" t="e">
        <f>UR172/UQ172</f>
        <v>#DIV/0!</v>
      </c>
      <c r="UT172" s="1567"/>
      <c r="UU172" s="358">
        <f t="shared" si="700"/>
        <v>6057370</v>
      </c>
      <c r="UV172" s="358">
        <f t="shared" si="700"/>
        <v>8452976</v>
      </c>
      <c r="UW172" s="358">
        <f t="shared" si="700"/>
        <v>2395606</v>
      </c>
      <c r="UX172" s="220">
        <f>UW172/UV172</f>
        <v>0.28340385681918417</v>
      </c>
      <c r="UY172" s="1863">
        <v>6</v>
      </c>
      <c r="UZ172" s="105">
        <f t="shared" si="695"/>
        <v>1953548</v>
      </c>
      <c r="VA172" s="105">
        <f t="shared" si="695"/>
        <v>2791936</v>
      </c>
      <c r="VB172" s="105">
        <f t="shared" si="695"/>
        <v>838388</v>
      </c>
      <c r="VC172" s="106">
        <f t="shared" si="696"/>
        <v>0.30028911837520633</v>
      </c>
      <c r="VD172" s="1868"/>
      <c r="VE172" s="358">
        <f t="shared" si="701"/>
        <v>1547882</v>
      </c>
      <c r="VF172" s="358">
        <f t="shared" si="701"/>
        <v>2152493</v>
      </c>
      <c r="VG172" s="359">
        <f t="shared" si="701"/>
        <v>604611</v>
      </c>
      <c r="VH172" s="169">
        <f t="shared" si="702"/>
        <v>0.2808887183372954</v>
      </c>
      <c r="VI172" s="686"/>
      <c r="VJ172" s="146">
        <f t="shared" si="703"/>
        <v>1974249</v>
      </c>
      <c r="VK172" s="146">
        <f t="shared" si="703"/>
        <v>2747902</v>
      </c>
      <c r="VL172" s="1864">
        <f t="shared" si="703"/>
        <v>773653</v>
      </c>
      <c r="VM172" s="203">
        <f>VL172/VK172</f>
        <v>0.28154315546915426</v>
      </c>
      <c r="VN172" s="1567">
        <v>13</v>
      </c>
      <c r="VO172" s="358">
        <f t="shared" si="697"/>
        <v>581691</v>
      </c>
      <c r="VP172" s="358">
        <f t="shared" si="697"/>
        <v>760645</v>
      </c>
      <c r="VQ172" s="359">
        <f t="shared" si="697"/>
        <v>178954</v>
      </c>
      <c r="VR172" s="114">
        <f>VQ172/VP172</f>
        <v>0.23526612282996667</v>
      </c>
    </row>
    <row r="173" spans="1:592" s="1193" customFormat="1" ht="13.45" x14ac:dyDescent="0.3">
      <c r="A173" s="1297"/>
      <c r="B173" s="4601" t="s">
        <v>113</v>
      </c>
      <c r="C173" s="2156" t="s">
        <v>114</v>
      </c>
      <c r="D173" s="3790"/>
      <c r="E173" s="384"/>
      <c r="F173" s="384"/>
      <c r="G173" s="2161"/>
      <c r="H173" s="2845"/>
      <c r="I173" s="2846"/>
      <c r="J173" s="2846"/>
      <c r="K173" s="2846"/>
      <c r="L173" s="2847"/>
      <c r="M173" s="2845"/>
      <c r="N173" s="2846"/>
      <c r="O173" s="2846"/>
      <c r="P173" s="2846"/>
      <c r="Q173" s="2847"/>
      <c r="R173" s="2845"/>
      <c r="S173" s="2846"/>
      <c r="T173" s="2846"/>
      <c r="U173" s="2846"/>
      <c r="V173" s="2847"/>
      <c r="W173" s="2845"/>
      <c r="X173" s="2846"/>
      <c r="Y173" s="2846"/>
      <c r="Z173" s="2846"/>
      <c r="AA173" s="2848"/>
      <c r="AB173" s="2845"/>
      <c r="AC173" s="2846"/>
      <c r="AD173" s="2846"/>
      <c r="AE173" s="2846"/>
      <c r="AF173" s="2848"/>
      <c r="AG173" s="2846"/>
      <c r="AH173" s="2846"/>
      <c r="AI173" s="2846"/>
      <c r="AJ173" s="2846"/>
      <c r="AK173" s="2847"/>
      <c r="AL173" s="2846"/>
      <c r="AM173" s="2846"/>
      <c r="AN173" s="2846"/>
      <c r="AO173" s="2846"/>
      <c r="AP173" s="2847"/>
      <c r="AQ173" s="2846"/>
      <c r="AR173" s="2846"/>
      <c r="AS173" s="2846"/>
      <c r="AT173" s="2846"/>
      <c r="AU173" s="2847"/>
      <c r="AV173" s="2849"/>
      <c r="AW173" s="2846"/>
      <c r="AX173" s="2846"/>
      <c r="AY173" s="2846"/>
      <c r="AZ173" s="2848"/>
      <c r="BA173" s="2849"/>
      <c r="BB173" s="2846"/>
      <c r="BC173" s="2846"/>
      <c r="BD173" s="2846"/>
      <c r="BE173" s="2848"/>
      <c r="BF173" s="2849"/>
      <c r="BG173" s="2846"/>
      <c r="BH173" s="2846"/>
      <c r="BI173" s="2846"/>
      <c r="BJ173" s="2848"/>
      <c r="BK173" s="2849"/>
      <c r="BL173" s="2846"/>
      <c r="BM173" s="2846"/>
      <c r="BN173" s="2846"/>
      <c r="BO173" s="2848"/>
      <c r="BP173" s="2850"/>
      <c r="BQ173" s="2846"/>
      <c r="BR173" s="2846"/>
      <c r="BS173" s="2846"/>
      <c r="BT173" s="2851"/>
      <c r="BU173" s="2846"/>
      <c r="BV173" s="2846"/>
      <c r="BW173" s="2852"/>
      <c r="BX173" s="2851"/>
      <c r="BY173" s="2846"/>
      <c r="BZ173" s="2846"/>
      <c r="CA173" s="2853"/>
      <c r="CB173" s="2846"/>
      <c r="CC173" s="2846"/>
      <c r="CD173" s="2846"/>
      <c r="CE173" s="2846"/>
      <c r="CF173" s="2851"/>
      <c r="CG173" s="2846"/>
      <c r="CH173" s="2846"/>
      <c r="CI173" s="2853"/>
      <c r="CJ173" s="2854"/>
      <c r="CK173" s="2846"/>
      <c r="CL173" s="2846"/>
      <c r="CM173" s="2846"/>
      <c r="CN173" s="2852"/>
      <c r="CO173" s="2854"/>
      <c r="CP173" s="2845"/>
      <c r="CQ173" s="2845"/>
      <c r="CR173" s="2845"/>
      <c r="CS173" s="2852"/>
      <c r="CT173" s="2854"/>
      <c r="CU173" s="2846"/>
      <c r="CV173" s="2846"/>
      <c r="CW173" s="2846"/>
      <c r="CX173" s="2852"/>
      <c r="CY173" s="2854"/>
      <c r="CZ173" s="2846"/>
      <c r="DA173" s="2846"/>
      <c r="DB173" s="2846"/>
      <c r="DC173" s="2852"/>
      <c r="DD173" s="2854"/>
      <c r="DE173" s="2846"/>
      <c r="DF173" s="2846"/>
      <c r="DG173" s="2846"/>
      <c r="DH173" s="2855"/>
      <c r="DI173" s="2854"/>
      <c r="DJ173" s="2846"/>
      <c r="DK173" s="2846"/>
      <c r="DL173" s="2846"/>
      <c r="DM173" s="2855"/>
      <c r="DN173" s="2854"/>
      <c r="DO173" s="2846"/>
      <c r="DP173" s="2846"/>
      <c r="DQ173" s="2846"/>
      <c r="DR173" s="2855"/>
      <c r="DS173" s="2854"/>
      <c r="DT173" s="2846"/>
      <c r="DU173" s="2846"/>
      <c r="DV173" s="2846"/>
      <c r="DW173" s="2855"/>
      <c r="DX173" s="2854"/>
      <c r="DY173" s="2846"/>
      <c r="DZ173" s="2846"/>
      <c r="EA173" s="2846"/>
      <c r="EB173" s="2855"/>
      <c r="EC173" s="2854"/>
      <c r="ED173" s="2846"/>
      <c r="EE173" s="2846"/>
      <c r="EF173" s="2846"/>
      <c r="EG173" s="2855"/>
      <c r="EH173" s="1567"/>
      <c r="EI173" s="1568"/>
      <c r="EJ173" s="1568"/>
      <c r="EK173" s="1568"/>
      <c r="EL173" s="353"/>
      <c r="EM173" s="1857"/>
      <c r="EN173" s="358"/>
      <c r="EO173" s="358"/>
      <c r="EP173" s="358"/>
      <c r="EQ173" s="94"/>
      <c r="ER173" s="3807">
        <f>(CJ173+CO173+CT173+CY173+DD173+DI173+DN173+DS173+DX173+EC173+EH173+EM173)/12</f>
        <v>0</v>
      </c>
      <c r="ES173" s="2857">
        <f t="shared" si="669"/>
        <v>0</v>
      </c>
      <c r="ET173" s="2857">
        <f t="shared" si="669"/>
        <v>0</v>
      </c>
      <c r="EU173" s="2857">
        <f t="shared" si="669"/>
        <v>0</v>
      </c>
      <c r="EV173" s="1867" t="e">
        <f>EU173/ET173</f>
        <v>#DIV/0!</v>
      </c>
      <c r="EW173" s="1569"/>
      <c r="EX173" s="1569"/>
      <c r="EY173" s="1569"/>
      <c r="EZ173" s="210"/>
      <c r="FA173" s="1567"/>
      <c r="FB173" s="1569"/>
      <c r="FC173" s="1569"/>
      <c r="FD173" s="220"/>
      <c r="FE173" s="1569"/>
      <c r="FF173" s="1569"/>
      <c r="FG173" s="1569"/>
      <c r="FH173" s="210"/>
      <c r="FI173" s="580"/>
      <c r="FJ173" s="579"/>
      <c r="FK173" s="137"/>
      <c r="FL173" s="137"/>
      <c r="FM173" s="151"/>
      <c r="FN173" s="1569"/>
      <c r="FO173" s="1568">
        <v>0</v>
      </c>
      <c r="FP173" s="1568">
        <v>0</v>
      </c>
      <c r="FQ173" s="1568">
        <v>0</v>
      </c>
      <c r="FR173" s="408"/>
      <c r="FS173" s="2858">
        <v>1</v>
      </c>
      <c r="FT173" s="2859">
        <f>52876</f>
        <v>52876</v>
      </c>
      <c r="FU173" s="2859">
        <f>120000</f>
        <v>120000</v>
      </c>
      <c r="FV173" s="2859">
        <f>FU173-FT173</f>
        <v>67124</v>
      </c>
      <c r="FW173" s="2860">
        <f>FV173/FU173</f>
        <v>0.55936666666666668</v>
      </c>
      <c r="FX173" s="1567">
        <v>1</v>
      </c>
      <c r="FY173" s="1568">
        <v>58333</v>
      </c>
      <c r="FZ173" s="1568">
        <f>120000</f>
        <v>120000</v>
      </c>
      <c r="GA173" s="2859">
        <f>FZ173-FY173</f>
        <v>61667</v>
      </c>
      <c r="GB173" s="2860">
        <f>GA173/FZ173</f>
        <v>0.51389166666666664</v>
      </c>
      <c r="GC173" s="1857">
        <v>1</v>
      </c>
      <c r="GD173" s="358">
        <v>58333</v>
      </c>
      <c r="GE173" s="358">
        <v>120000</v>
      </c>
      <c r="GF173" s="2861">
        <f>GE173-GD173</f>
        <v>61667</v>
      </c>
      <c r="GG173" s="2860">
        <f>GF173/GE173</f>
        <v>0.51389166666666664</v>
      </c>
      <c r="GH173" s="1857">
        <v>3</v>
      </c>
      <c r="GI173" s="358">
        <f>159071</f>
        <v>159071</v>
      </c>
      <c r="GJ173" s="358">
        <v>328096</v>
      </c>
      <c r="GK173" s="2861">
        <f>GJ173-GI173</f>
        <v>169025</v>
      </c>
      <c r="GL173" s="2860">
        <f>GK173/GJ173</f>
        <v>0.51516934068077636</v>
      </c>
      <c r="GM173" s="1857">
        <v>3</v>
      </c>
      <c r="GN173" s="358">
        <v>181732</v>
      </c>
      <c r="GO173" s="358">
        <v>366498</v>
      </c>
      <c r="GP173" s="2861">
        <f>GO173-GN173</f>
        <v>184766</v>
      </c>
      <c r="GQ173" s="2860">
        <f>GP173/GO173</f>
        <v>0.50413917674857711</v>
      </c>
      <c r="GR173" s="1862">
        <v>3</v>
      </c>
      <c r="GS173" s="358">
        <v>181732</v>
      </c>
      <c r="GT173" s="358">
        <v>366498</v>
      </c>
      <c r="GU173" s="2861">
        <f>GT173-GS173</f>
        <v>184766</v>
      </c>
      <c r="GV173" s="2860">
        <f>GU173/GT173</f>
        <v>0.50413917674857711</v>
      </c>
      <c r="GW173" s="1862">
        <v>5</v>
      </c>
      <c r="GX173" s="265">
        <v>281138</v>
      </c>
      <c r="GY173" s="265">
        <v>487016</v>
      </c>
      <c r="GZ173" s="2861">
        <f>GY173-GX173</f>
        <v>205878</v>
      </c>
      <c r="HA173" s="2860">
        <f>GZ173/GY173</f>
        <v>0.42273354468847019</v>
      </c>
      <c r="HB173" s="1862">
        <v>5</v>
      </c>
      <c r="HC173" s="265">
        <v>284321</v>
      </c>
      <c r="HD173" s="265">
        <v>550268</v>
      </c>
      <c r="HE173" s="2861">
        <f>HD173-HC173</f>
        <v>265947</v>
      </c>
      <c r="HF173" s="2860">
        <f>HE173/HD173</f>
        <v>0.48330449889871846</v>
      </c>
      <c r="HG173" s="1862">
        <v>5</v>
      </c>
      <c r="HH173" s="265">
        <v>284231</v>
      </c>
      <c r="HI173" s="265">
        <v>507780</v>
      </c>
      <c r="HJ173" s="1016">
        <f>HI173-HH173</f>
        <v>223549</v>
      </c>
      <c r="HK173" s="2860">
        <f>HJ173/HI173</f>
        <v>0.44024774508645476</v>
      </c>
      <c r="HL173" s="1862">
        <v>5</v>
      </c>
      <c r="HM173" s="265">
        <v>284231</v>
      </c>
      <c r="HN173" s="265">
        <v>505700</v>
      </c>
      <c r="HO173" s="265">
        <f>HN173-HM173</f>
        <v>221469</v>
      </c>
      <c r="HP173" s="94">
        <f>HO173/HN173</f>
        <v>0.43794542218706745</v>
      </c>
      <c r="HQ173" s="3793">
        <v>5</v>
      </c>
      <c r="HR173" s="265">
        <v>284231</v>
      </c>
      <c r="HS173" s="265">
        <v>562257</v>
      </c>
      <c r="HT173" s="265">
        <f>HS173-HR173</f>
        <v>278026</v>
      </c>
      <c r="HU173" s="2862">
        <f>HT173/HS173</f>
        <v>0.49448206069466455</v>
      </c>
      <c r="HV173" s="2594">
        <f>(FN173+FS173+FX173+GC173+GH173+GM173+GR173+GW173+HB173+HG173+HL173+HQ173)/12</f>
        <v>3.0833333333333335</v>
      </c>
      <c r="HW173" s="208">
        <f t="shared" si="670"/>
        <v>2110229</v>
      </c>
      <c r="HX173" s="208">
        <f t="shared" si="670"/>
        <v>4034113</v>
      </c>
      <c r="HY173" s="208">
        <f t="shared" si="670"/>
        <v>1923884</v>
      </c>
      <c r="HZ173" s="2734"/>
      <c r="IA173" s="1854">
        <f>(FN173+FS173+FX173)/3</f>
        <v>0.66666666666666663</v>
      </c>
      <c r="IB173" s="1855">
        <f>FP173+FU173+FZ173</f>
        <v>240000</v>
      </c>
      <c r="IC173" s="1855">
        <f>FQ173+FV173+GA173</f>
        <v>128791</v>
      </c>
      <c r="ID173" s="1856">
        <f>IC173/IB173</f>
        <v>0.53662916666666671</v>
      </c>
      <c r="IE173" s="1857">
        <f>(GC173+GH173+GM173)/3</f>
        <v>2.3333333333333335</v>
      </c>
      <c r="IF173" s="1858">
        <f>(GE173+GJ173+GO173)</f>
        <v>814594</v>
      </c>
      <c r="IG173" s="1854">
        <f>(GF173+GK173+GP173)</f>
        <v>415458</v>
      </c>
      <c r="IH173" s="1856">
        <f>IG173/IF173</f>
        <v>0.51001848773744962</v>
      </c>
      <c r="II173" s="1934">
        <f>(GR173+GW173+HB173)/3</f>
        <v>4.333333333333333</v>
      </c>
      <c r="IJ173" s="2878">
        <f>(GT173+GY173+HD173)</f>
        <v>1403782</v>
      </c>
      <c r="IK173" s="2878">
        <f>(GU173+GZ173+HE173)</f>
        <v>656591</v>
      </c>
      <c r="IL173" s="151">
        <f>IK173/IJ173</f>
        <v>0.46773003215599002</v>
      </c>
      <c r="IM173" s="1013">
        <f>(HB173+HG173+HL173)/3</f>
        <v>5</v>
      </c>
      <c r="IN173" s="2878">
        <f>(HI173+HN173+HS173)</f>
        <v>1575737</v>
      </c>
      <c r="IO173" s="2878">
        <f>(HJ173+HO173+HT173)</f>
        <v>723044</v>
      </c>
      <c r="IP173" s="3794">
        <f>IO173/IN173</f>
        <v>0.45886083781747844</v>
      </c>
      <c r="IQ173" s="1568"/>
      <c r="IR173" s="3795">
        <v>5</v>
      </c>
      <c r="IS173" s="265">
        <v>284321</v>
      </c>
      <c r="IT173" s="265">
        <v>565133</v>
      </c>
      <c r="IU173" s="3796">
        <f>IT173-IS173</f>
        <v>280812</v>
      </c>
      <c r="IV173" s="2870">
        <f>IU173/IT173</f>
        <v>0.49689542107787016</v>
      </c>
      <c r="IW173" s="2858">
        <v>4</v>
      </c>
      <c r="IX173" s="2859">
        <v>284231</v>
      </c>
      <c r="IY173" s="2859">
        <v>506632</v>
      </c>
      <c r="IZ173" s="1016">
        <f>IY173-IX173</f>
        <v>222401</v>
      </c>
      <c r="JA173" s="94">
        <f>IZ173/IY173</f>
        <v>0.43897937753635774</v>
      </c>
      <c r="JB173" s="2875">
        <v>5</v>
      </c>
      <c r="JC173" s="3797">
        <v>284231</v>
      </c>
      <c r="JD173" s="3798">
        <v>553483</v>
      </c>
      <c r="JE173" s="2859">
        <f>JD173-JC173</f>
        <v>269252</v>
      </c>
      <c r="JF173" s="94">
        <f>JE173/JD173</f>
        <v>0.48646841908423566</v>
      </c>
      <c r="JG173" s="2875">
        <v>5</v>
      </c>
      <c r="JH173" s="358">
        <v>284231</v>
      </c>
      <c r="JI173" s="358">
        <v>551515</v>
      </c>
      <c r="JJ173" s="358">
        <f>JI173-JH173</f>
        <v>267284</v>
      </c>
      <c r="JK173" s="94">
        <f>JJ173/JI173</f>
        <v>0.4846359573175707</v>
      </c>
      <c r="JL173" s="1857">
        <v>5</v>
      </c>
      <c r="JM173" s="358">
        <v>255694</v>
      </c>
      <c r="JN173" s="358">
        <v>446178</v>
      </c>
      <c r="JO173" s="2872">
        <f>JN173-JM173</f>
        <v>190484</v>
      </c>
      <c r="JP173" s="2860">
        <f>JO173/JN173</f>
        <v>0.42692378378136081</v>
      </c>
      <c r="JQ173" s="2873">
        <v>5</v>
      </c>
      <c r="JR173" s="1025">
        <v>213905</v>
      </c>
      <c r="JS173" s="265">
        <v>440359</v>
      </c>
      <c r="JT173" s="2872">
        <f>JS173-JR173</f>
        <v>226454</v>
      </c>
      <c r="JU173" s="2860">
        <f>JT173/JS173</f>
        <v>0.51424860170906006</v>
      </c>
      <c r="JV173" s="621">
        <v>4</v>
      </c>
      <c r="JW173" s="358">
        <v>199405</v>
      </c>
      <c r="JX173" s="265">
        <v>399726</v>
      </c>
      <c r="JY173" s="2872">
        <f>JX173-JW173</f>
        <v>200321</v>
      </c>
      <c r="JZ173" s="2860">
        <f>JY173/JX173</f>
        <v>0.50114578486263095</v>
      </c>
      <c r="KA173" s="2876">
        <v>4</v>
      </c>
      <c r="KB173" s="265">
        <v>150713</v>
      </c>
      <c r="KC173" s="265">
        <v>255256</v>
      </c>
      <c r="KD173" s="2861">
        <f>KC173-KB173</f>
        <v>104543</v>
      </c>
      <c r="KE173" s="2860">
        <f>KD173/KC173</f>
        <v>0.40956138151502808</v>
      </c>
      <c r="KF173" s="2876">
        <v>2</v>
      </c>
      <c r="KG173" s="265">
        <v>84132</v>
      </c>
      <c r="KH173" s="265">
        <v>197150</v>
      </c>
      <c r="KI173" s="2861">
        <f>KH173-KG173</f>
        <v>113018</v>
      </c>
      <c r="KJ173" s="2860">
        <f>KI173/KH173</f>
        <v>0.57325893989348209</v>
      </c>
      <c r="KK173" s="2876">
        <v>2</v>
      </c>
      <c r="KL173" s="265">
        <v>87500</v>
      </c>
      <c r="KM173" s="265">
        <v>174600</v>
      </c>
      <c r="KN173" s="1016">
        <f>KM173-KL173</f>
        <v>87100</v>
      </c>
      <c r="KO173" s="2860">
        <f>KN173/KM173</f>
        <v>0.49885452462772051</v>
      </c>
      <c r="KP173" s="1862">
        <v>2</v>
      </c>
      <c r="KQ173" s="265">
        <v>87500</v>
      </c>
      <c r="KR173" s="2877">
        <v>172520</v>
      </c>
      <c r="KS173" s="265">
        <f>KR173-KQ173</f>
        <v>85020</v>
      </c>
      <c r="KT173" s="158">
        <f>KS173/KR173</f>
        <v>0.4928124275446325</v>
      </c>
      <c r="KU173" s="3793">
        <v>6</v>
      </c>
      <c r="KV173" s="265">
        <v>368219</v>
      </c>
      <c r="KW173" s="2877">
        <v>605523</v>
      </c>
      <c r="KX173" s="265">
        <f>KW173-KV173</f>
        <v>237304</v>
      </c>
      <c r="KY173" s="94">
        <f>KX173/KW173</f>
        <v>0.39189923421571105</v>
      </c>
      <c r="KZ173" s="1857">
        <v>6</v>
      </c>
      <c r="LA173" s="358">
        <f>IS173+IX173+JC173+JH173+JM173+JR173+JW173+KB173+KG173+KL173+KQ173+KV173</f>
        <v>2584082</v>
      </c>
      <c r="LB173" s="358">
        <f>IT173+IY173+JD173+JI173+JN173+JS173+JX173+KC173+KH173+KM173+KR173+KW173</f>
        <v>4868075</v>
      </c>
      <c r="LC173" s="358">
        <f>IU173+IZ173+JE173+JJ173+JO173+JT173+JY173+KD173+KI173+KN173+KS173+KX173</f>
        <v>2283993</v>
      </c>
      <c r="LD173" s="220">
        <f>LC173/LB173</f>
        <v>0.46917785777745824</v>
      </c>
      <c r="LE173" s="1854">
        <f>(IR173+IW173+JB173)/3</f>
        <v>4.666666666666667</v>
      </c>
      <c r="LF173" s="1855">
        <f>IT173+IY173+JD173</f>
        <v>1625248</v>
      </c>
      <c r="LG173" s="1855">
        <f>IU173+IZ173+JE173</f>
        <v>772465</v>
      </c>
      <c r="LH173" s="1856">
        <f>LG173/LF173</f>
        <v>0.47529054027446888</v>
      </c>
      <c r="LI173" s="1857">
        <f>(JG173+JL173+JQ173)/3</f>
        <v>5</v>
      </c>
      <c r="LJ173" s="1858">
        <f>(JI173+JN173+JS173)</f>
        <v>1438052</v>
      </c>
      <c r="LK173" s="1854">
        <f>(JJ173+JO173+JT173)</f>
        <v>684222</v>
      </c>
      <c r="LL173" s="1856">
        <f>LK173/LJ173</f>
        <v>0.47579781537802529</v>
      </c>
      <c r="LM173" s="1934">
        <f>(JV173+KA173+KF173)/3</f>
        <v>3.3333333333333335</v>
      </c>
      <c r="LN173" s="2878">
        <f>(JX173+KC173+KH173)</f>
        <v>852132</v>
      </c>
      <c r="LO173" s="2878">
        <f>(JY173+KD173+KI173)</f>
        <v>417882</v>
      </c>
      <c r="LP173" s="151">
        <f>LO173/LN173</f>
        <v>0.49039585416343945</v>
      </c>
      <c r="LQ173" s="3800">
        <f>(KK173+KP173+KU173)/3</f>
        <v>3.3333333333333335</v>
      </c>
      <c r="LR173" s="2878">
        <f>(KM173+KR173+KW173)</f>
        <v>952643</v>
      </c>
      <c r="LS173" s="2878">
        <f>(KN173+KS173+KX173)</f>
        <v>409424</v>
      </c>
      <c r="LT173" s="3794">
        <f>LS173/LR173</f>
        <v>0.42977694687306789</v>
      </c>
      <c r="LU173" s="1568"/>
      <c r="LV173" s="439">
        <v>6</v>
      </c>
      <c r="LW173" s="208">
        <v>403472</v>
      </c>
      <c r="LX173" s="208">
        <v>623771</v>
      </c>
      <c r="LY173" s="96">
        <f>LX173-LW173</f>
        <v>220299</v>
      </c>
      <c r="LZ173" s="78">
        <f>LY173/LX173</f>
        <v>0.35317287914955969</v>
      </c>
      <c r="MA173" s="439">
        <v>5</v>
      </c>
      <c r="MB173" s="208">
        <v>358334</v>
      </c>
      <c r="MC173" s="208">
        <v>553367</v>
      </c>
      <c r="MD173" s="96">
        <f>MC173-MB173</f>
        <v>195033</v>
      </c>
      <c r="ME173" s="78">
        <f>MD173/MC173</f>
        <v>0.3524478329932938</v>
      </c>
      <c r="MF173" s="439">
        <v>6</v>
      </c>
      <c r="MG173" s="208">
        <v>452501</v>
      </c>
      <c r="MH173" s="208">
        <v>681908</v>
      </c>
      <c r="MI173" s="371">
        <f>MH173-MG173</f>
        <v>229407</v>
      </c>
      <c r="MJ173" s="157">
        <f>MI173/MH173</f>
        <v>0.33641928236653623</v>
      </c>
      <c r="MK173" s="354">
        <v>5</v>
      </c>
      <c r="ML173" s="208">
        <v>429168</v>
      </c>
      <c r="MM173" s="208">
        <v>640535</v>
      </c>
      <c r="MN173" s="371">
        <f>MM173-ML173</f>
        <v>211367</v>
      </c>
      <c r="MO173" s="157">
        <f>MN173/MM173</f>
        <v>0.32998509058833631</v>
      </c>
      <c r="MP173" s="3801">
        <v>5</v>
      </c>
      <c r="MQ173" s="265">
        <v>372722</v>
      </c>
      <c r="MR173" s="265">
        <v>528724</v>
      </c>
      <c r="MS173" s="265">
        <f>MR173-MQ173</f>
        <v>156002</v>
      </c>
      <c r="MT173" s="1313">
        <f>MS173/MR173</f>
        <v>0.29505375205211037</v>
      </c>
      <c r="MU173" s="209">
        <v>6</v>
      </c>
      <c r="MV173" s="208">
        <v>488911</v>
      </c>
      <c r="MW173" s="208">
        <v>598060</v>
      </c>
      <c r="MX173" s="208">
        <f>MW173-MV173</f>
        <v>109149</v>
      </c>
      <c r="MY173" s="1313">
        <f>MX173/MW173</f>
        <v>0.18250509982276025</v>
      </c>
      <c r="MZ173" s="209">
        <v>6</v>
      </c>
      <c r="NA173" s="208">
        <v>518539</v>
      </c>
      <c r="NB173" s="208">
        <v>661054</v>
      </c>
      <c r="NC173" s="208">
        <f>NB173-NA173</f>
        <v>142515</v>
      </c>
      <c r="ND173" s="1313">
        <f>NC173/NB173</f>
        <v>0.21558753142708462</v>
      </c>
      <c r="NE173" s="209">
        <v>6</v>
      </c>
      <c r="NF173" s="208">
        <v>518539</v>
      </c>
      <c r="NG173" s="208">
        <v>679774</v>
      </c>
      <c r="NH173" s="208">
        <f>NG173-NF173</f>
        <v>161235</v>
      </c>
      <c r="NI173" s="1313">
        <f>NH173/NG173</f>
        <v>0.23718912462082986</v>
      </c>
      <c r="NJ173" s="209">
        <v>6</v>
      </c>
      <c r="NK173" s="208">
        <v>518539</v>
      </c>
      <c r="NL173" s="208">
        <v>747928</v>
      </c>
      <c r="NM173" s="208">
        <f>NL173-NK173</f>
        <v>229389</v>
      </c>
      <c r="NN173" s="1313">
        <f>NM173/NL173</f>
        <v>0.3066993079547764</v>
      </c>
      <c r="NO173" s="357">
        <v>6</v>
      </c>
      <c r="NP173" s="358">
        <v>518539</v>
      </c>
      <c r="NQ173" s="359">
        <v>642840</v>
      </c>
      <c r="NR173" s="208">
        <f>NQ173-NP173</f>
        <v>124301</v>
      </c>
      <c r="NS173" s="1313">
        <f>NR173/NQ173</f>
        <v>0.19336226743824281</v>
      </c>
      <c r="NT173" s="357">
        <v>6</v>
      </c>
      <c r="NU173" s="358">
        <v>518539</v>
      </c>
      <c r="NV173" s="358">
        <v>724768</v>
      </c>
      <c r="NW173" s="208">
        <f>NV173-NU173</f>
        <v>206229</v>
      </c>
      <c r="NX173" s="1313">
        <f>NW173/NV173</f>
        <v>0.28454484745463376</v>
      </c>
      <c r="NY173" s="357">
        <v>6</v>
      </c>
      <c r="NZ173" s="358">
        <v>518539</v>
      </c>
      <c r="OA173" s="358">
        <v>800468</v>
      </c>
      <c r="OB173" s="994">
        <f>OA173-NZ173</f>
        <v>281929</v>
      </c>
      <c r="OC173" s="114">
        <f>OB173/OA173</f>
        <v>0.35220520995217797</v>
      </c>
      <c r="OD173" s="357">
        <v>6</v>
      </c>
      <c r="OE173" s="358">
        <f t="shared" si="667"/>
        <v>5616342</v>
      </c>
      <c r="OF173" s="358">
        <f t="shared" si="667"/>
        <v>7883197</v>
      </c>
      <c r="OG173" s="358">
        <f t="shared" si="667"/>
        <v>2266855</v>
      </c>
      <c r="OH173" s="220">
        <f>OG173/OF173</f>
        <v>0.28755529006822994</v>
      </c>
      <c r="OI173" s="3802">
        <f>(LV173+MA173+MF173)/3</f>
        <v>5.666666666666667</v>
      </c>
      <c r="OJ173" s="96">
        <f>LW173+MB173+MG173</f>
        <v>1214307</v>
      </c>
      <c r="OK173" s="96">
        <f>LX173+MC173+MH173</f>
        <v>1859046</v>
      </c>
      <c r="OL173" s="96">
        <f>LY173+MD173+MI173</f>
        <v>644739</v>
      </c>
      <c r="OM173" s="114">
        <f>OL173/OK173</f>
        <v>0.3468117518340052</v>
      </c>
      <c r="ON173" s="358">
        <f>(MK173+MP173+MU173)/3</f>
        <v>5.333333333333333</v>
      </c>
      <c r="OO173" s="358">
        <f>ML173+MQ173+MV173</f>
        <v>1290801</v>
      </c>
      <c r="OP173" s="358">
        <f>MM173+MR173+MW173</f>
        <v>1767319</v>
      </c>
      <c r="OQ173" s="359">
        <f>MN173+MS173+MX173</f>
        <v>476518</v>
      </c>
      <c r="OR173" s="169">
        <f>OQ173/OP173</f>
        <v>0.26962761108775496</v>
      </c>
      <c r="OS173" s="607">
        <f>(NJ173+NE173+MZ173)/3</f>
        <v>6</v>
      </c>
      <c r="OT173" s="137">
        <f t="shared" si="673"/>
        <v>1555617</v>
      </c>
      <c r="OU173" s="137">
        <f t="shared" si="673"/>
        <v>2088756</v>
      </c>
      <c r="OV173" s="3803">
        <f t="shared" si="673"/>
        <v>533139</v>
      </c>
      <c r="OW173" s="169">
        <f>OV173/OU173</f>
        <v>0.25524235477959129</v>
      </c>
      <c r="OX173" s="357">
        <f t="shared" si="674"/>
        <v>6</v>
      </c>
      <c r="OY173" s="358">
        <f t="shared" si="675"/>
        <v>1555617</v>
      </c>
      <c r="OZ173" s="358">
        <f t="shared" si="675"/>
        <v>2168076</v>
      </c>
      <c r="PA173" s="359">
        <f t="shared" si="675"/>
        <v>612459</v>
      </c>
      <c r="PB173" s="114">
        <f>PA173/OZ173</f>
        <v>0.28248963597217069</v>
      </c>
      <c r="PC173" s="137"/>
      <c r="PD173" s="439">
        <v>13</v>
      </c>
      <c r="PE173" s="208">
        <f>485800+692547</f>
        <v>1178347</v>
      </c>
      <c r="PF173" s="208">
        <f>674384+1032137</f>
        <v>1706521</v>
      </c>
      <c r="PG173" s="96">
        <f>PF173-PE173</f>
        <v>528174</v>
      </c>
      <c r="PH173" s="78">
        <f>PG173/PF173</f>
        <v>0.30950336972120474</v>
      </c>
      <c r="PI173" s="439">
        <v>13</v>
      </c>
      <c r="PJ173" s="208">
        <f>505175+82578+684145</f>
        <v>1271898</v>
      </c>
      <c r="PK173" s="208">
        <f>774175+42578+1104238</f>
        <v>1920991</v>
      </c>
      <c r="PL173" s="96">
        <f>PK173-PJ173</f>
        <v>649093</v>
      </c>
      <c r="PM173" s="78">
        <f>PL173/PK173</f>
        <v>0.33789486780521094</v>
      </c>
      <c r="PN173" s="439">
        <v>14</v>
      </c>
      <c r="PO173" s="208">
        <f>505175+12166+739084</f>
        <v>1256425</v>
      </c>
      <c r="PP173" s="208">
        <f>772540+1318916</f>
        <v>2091456</v>
      </c>
      <c r="PQ173" s="371">
        <f>PP173-PO173</f>
        <v>835031</v>
      </c>
      <c r="PR173" s="157">
        <f>PQ173/PP173</f>
        <v>0.3992582201107745</v>
      </c>
      <c r="PS173" s="1574">
        <f>5+9</f>
        <v>14</v>
      </c>
      <c r="PT173" s="208">
        <f>505175+792456</f>
        <v>1297631</v>
      </c>
      <c r="PU173" s="208">
        <f>761970+1376709</f>
        <v>2138679</v>
      </c>
      <c r="PV173" s="371">
        <f t="shared" si="676"/>
        <v>841048</v>
      </c>
      <c r="PW173" s="1867">
        <f>PV173/PU173</f>
        <v>0.39325583689744931</v>
      </c>
      <c r="PX173" s="3804">
        <v>19</v>
      </c>
      <c r="PY173" s="265">
        <f>528546+121930+856341</f>
        <v>1506817</v>
      </c>
      <c r="PZ173" s="265">
        <f>951381+185130+1298997</f>
        <v>2435508</v>
      </c>
      <c r="QA173" s="265">
        <f>PZ173-PY173</f>
        <v>928691</v>
      </c>
      <c r="QB173" s="1313">
        <f>QA173/PZ173</f>
        <v>0.38131305666004794</v>
      </c>
      <c r="QC173" s="209">
        <v>20</v>
      </c>
      <c r="QD173" s="208">
        <f>830038+1062381</f>
        <v>1892419</v>
      </c>
      <c r="QE173" s="208">
        <f>1205140+1602539</f>
        <v>2807679</v>
      </c>
      <c r="QF173" s="208">
        <f>QE173-QD173</f>
        <v>915260</v>
      </c>
      <c r="QG173" s="1313">
        <f>QF173/QE173</f>
        <v>0.32598455877612792</v>
      </c>
      <c r="QH173" s="439">
        <v>21</v>
      </c>
      <c r="QI173" s="208">
        <f>851594+167119+949137</f>
        <v>1967850</v>
      </c>
      <c r="QJ173" s="208">
        <f>1208845+167119+1553625</f>
        <v>2929589</v>
      </c>
      <c r="QK173" s="208">
        <f>QJ173-QI173</f>
        <v>961739</v>
      </c>
      <c r="QL173" s="1313">
        <f>QK173/QJ173</f>
        <v>0.32828461603317055</v>
      </c>
      <c r="QM173" s="439">
        <v>22</v>
      </c>
      <c r="QN173" s="208">
        <f>859770+5230+974347</f>
        <v>1839347</v>
      </c>
      <c r="QO173" s="208">
        <f>1132369+8213+1443175</f>
        <v>2583757</v>
      </c>
      <c r="QP173" s="208">
        <f>QO173-QN173</f>
        <v>744410</v>
      </c>
      <c r="QQ173" s="1872">
        <f>QP173/QO173</f>
        <v>0.28811145939807808</v>
      </c>
      <c r="QR173" s="209">
        <v>25</v>
      </c>
      <c r="QS173" s="208">
        <f>864205+1345179</f>
        <v>2209384</v>
      </c>
      <c r="QT173" s="208">
        <f>1121874+2036986</f>
        <v>3158860</v>
      </c>
      <c r="QU173" s="208">
        <f>QT173-QS173</f>
        <v>949476</v>
      </c>
      <c r="QV173" s="157">
        <f>QU173/QT173</f>
        <v>0.30057552408147242</v>
      </c>
      <c r="QW173" s="209">
        <v>25</v>
      </c>
      <c r="QX173" s="208">
        <f>878726+1255288</f>
        <v>2134014</v>
      </c>
      <c r="QY173" s="208">
        <f>1210927+1958808</f>
        <v>3169735</v>
      </c>
      <c r="QZ173" s="208">
        <f>QY173-QX173</f>
        <v>1035721</v>
      </c>
      <c r="RA173" s="157">
        <f>QZ173/QY173</f>
        <v>0.32675318283705107</v>
      </c>
      <c r="RB173" s="357">
        <v>24</v>
      </c>
      <c r="RC173" s="358">
        <f>849481+1224144</f>
        <v>2073625</v>
      </c>
      <c r="RD173" s="358">
        <f>1239346+1886500</f>
        <v>3125846</v>
      </c>
      <c r="RE173" s="208">
        <f>RD173-RC173</f>
        <v>1052221</v>
      </c>
      <c r="RF173" s="1313">
        <f>RE173/RD173</f>
        <v>0.33661959034450195</v>
      </c>
      <c r="RG173" s="1857">
        <v>25</v>
      </c>
      <c r="RH173" s="358">
        <v>1968655</v>
      </c>
      <c r="RI173" s="358">
        <v>2887454</v>
      </c>
      <c r="RJ173" s="994">
        <f>RI173-RH173</f>
        <v>918799</v>
      </c>
      <c r="RK173" s="114">
        <f>RJ173/RI173</f>
        <v>0.31820385710040749</v>
      </c>
      <c r="RL173" s="1567">
        <v>25</v>
      </c>
      <c r="RM173" s="1568">
        <f t="shared" si="668"/>
        <v>20596412</v>
      </c>
      <c r="RN173" s="1568">
        <f t="shared" si="668"/>
        <v>30956075</v>
      </c>
      <c r="RO173" s="1568">
        <f t="shared" si="668"/>
        <v>10359663</v>
      </c>
      <c r="RP173" s="220">
        <f>RO173/RN173</f>
        <v>0.33465686460573568</v>
      </c>
      <c r="RQ173" s="3802">
        <f>(PD173+PI173+PN173)/3</f>
        <v>13.333333333333334</v>
      </c>
      <c r="RR173" s="96">
        <f t="shared" si="677"/>
        <v>3706670</v>
      </c>
      <c r="RS173" s="96">
        <f t="shared" si="677"/>
        <v>5718968</v>
      </c>
      <c r="RT173" s="96">
        <f t="shared" si="677"/>
        <v>2012298</v>
      </c>
      <c r="RU173" s="114">
        <f>RT173/RS173</f>
        <v>0.35186383277542382</v>
      </c>
      <c r="RV173" s="1868">
        <v>9</v>
      </c>
      <c r="RW173" s="358">
        <f t="shared" si="678"/>
        <v>4696867</v>
      </c>
      <c r="RX173" s="358">
        <f t="shared" si="678"/>
        <v>7381866</v>
      </c>
      <c r="RY173" s="359">
        <f t="shared" si="678"/>
        <v>2684999</v>
      </c>
      <c r="RZ173" s="169">
        <f>RY173/RX173</f>
        <v>0.36372903544984425</v>
      </c>
      <c r="SA173" s="607">
        <v>10</v>
      </c>
      <c r="SB173" s="137">
        <f t="shared" si="679"/>
        <v>6016581</v>
      </c>
      <c r="SC173" s="137">
        <f t="shared" si="679"/>
        <v>8672206</v>
      </c>
      <c r="SD173" s="3803">
        <f t="shared" si="679"/>
        <v>2655625</v>
      </c>
      <c r="SE173" s="169">
        <f t="shared" si="680"/>
        <v>0.30622254591277004</v>
      </c>
      <c r="SF173" s="1567">
        <v>25</v>
      </c>
      <c r="SG173" s="358">
        <f t="shared" si="681"/>
        <v>6176294</v>
      </c>
      <c r="SH173" s="358">
        <f t="shared" si="681"/>
        <v>9183035</v>
      </c>
      <c r="SI173" s="359">
        <f t="shared" si="681"/>
        <v>3006741</v>
      </c>
      <c r="SJ173" s="114">
        <f>SI173/SH173</f>
        <v>0.32742344987250949</v>
      </c>
      <c r="SK173" s="1568"/>
      <c r="SL173" s="439">
        <v>26</v>
      </c>
      <c r="SM173" s="208">
        <f>1927122+11631+175000+175000</f>
        <v>2288753</v>
      </c>
      <c r="SN173" s="208">
        <v>2868280</v>
      </c>
      <c r="SO173" s="115">
        <f>SN173-SM173</f>
        <v>579527</v>
      </c>
      <c r="SP173" s="78">
        <f>SO173/SN173</f>
        <v>0.20204687129568941</v>
      </c>
      <c r="SQ173" s="439">
        <v>27</v>
      </c>
      <c r="SR173" s="208">
        <f>2086323+175000</f>
        <v>2261323</v>
      </c>
      <c r="SS173" s="208">
        <v>3004399</v>
      </c>
      <c r="ST173" s="96">
        <f t="shared" si="682"/>
        <v>743076</v>
      </c>
      <c r="SU173" s="78">
        <f t="shared" si="683"/>
        <v>0.24732933275507016</v>
      </c>
      <c r="SV173" s="439">
        <v>30</v>
      </c>
      <c r="SW173" s="208">
        <f>2084796+175000+12786+16500+28858</f>
        <v>2317940</v>
      </c>
      <c r="SX173" s="208">
        <v>2983124</v>
      </c>
      <c r="SY173" s="371">
        <f t="shared" si="684"/>
        <v>665184</v>
      </c>
      <c r="SZ173" s="157">
        <f t="shared" si="685"/>
        <v>0.22298235004646136</v>
      </c>
      <c r="TA173" s="1574">
        <v>31</v>
      </c>
      <c r="TB173" s="208">
        <f>2154095+175000+4645</f>
        <v>2333740</v>
      </c>
      <c r="TC173" s="208">
        <v>3502681</v>
      </c>
      <c r="TD173" s="371">
        <f t="shared" si="686"/>
        <v>1168941</v>
      </c>
      <c r="TE173" s="157">
        <f>TD173/TC173</f>
        <v>0.33372750758633174</v>
      </c>
      <c r="TF173" s="4121">
        <v>32</v>
      </c>
      <c r="TG173" s="208">
        <f>2232428+175000</f>
        <v>2407428</v>
      </c>
      <c r="TH173" s="208">
        <v>3478292</v>
      </c>
      <c r="TI173" s="208">
        <f t="shared" si="687"/>
        <v>1070864</v>
      </c>
      <c r="TJ173" s="114">
        <f t="shared" si="688"/>
        <v>0.30787064455773122</v>
      </c>
      <c r="TK173" s="209">
        <v>31</v>
      </c>
      <c r="TL173" s="208">
        <f>2223717+175000+19200+21800</f>
        <v>2439717</v>
      </c>
      <c r="TM173" s="208">
        <f>3359829</f>
        <v>3359829</v>
      </c>
      <c r="TN173" s="994">
        <f t="shared" si="689"/>
        <v>920112</v>
      </c>
      <c r="TO173" s="114">
        <f t="shared" si="690"/>
        <v>0.27385679449757711</v>
      </c>
      <c r="TP173" s="4432">
        <v>30</v>
      </c>
      <c r="TQ173" s="208">
        <f>2296184+36896+13200</f>
        <v>2346280</v>
      </c>
      <c r="TR173" s="208">
        <v>3366321</v>
      </c>
      <c r="TS173" s="994">
        <f t="shared" si="691"/>
        <v>1020041</v>
      </c>
      <c r="TT173" s="114">
        <f>TS173/TR173</f>
        <v>0.30301358664250971</v>
      </c>
      <c r="TU173" s="4432">
        <v>30</v>
      </c>
      <c r="TV173" s="208">
        <f>2116437+175000+20435+1848</f>
        <v>2313720</v>
      </c>
      <c r="TW173" s="208">
        <v>3198097</v>
      </c>
      <c r="TX173" s="772">
        <f t="shared" si="692"/>
        <v>884377</v>
      </c>
      <c r="TY173" s="114">
        <f>TX173/TW173</f>
        <v>0.27653226278002202</v>
      </c>
      <c r="TZ173" s="209">
        <v>28</v>
      </c>
      <c r="UA173" s="208">
        <f>1974549+175000</f>
        <v>2149549</v>
      </c>
      <c r="UB173" s="208">
        <v>2838343</v>
      </c>
      <c r="UC173" s="772">
        <f t="shared" si="693"/>
        <v>688794</v>
      </c>
      <c r="UD173" s="114">
        <f t="shared" si="694"/>
        <v>0.24267468730875727</v>
      </c>
      <c r="UE173" s="2002">
        <v>24</v>
      </c>
      <c r="UF173" s="2001">
        <f>1706284+175000</f>
        <v>1881284</v>
      </c>
      <c r="UG173" s="2001">
        <v>2663800</v>
      </c>
      <c r="UH173" s="2552">
        <f t="shared" si="698"/>
        <v>782516</v>
      </c>
      <c r="UI173" s="222">
        <f t="shared" si="699"/>
        <v>0.29375929123808092</v>
      </c>
      <c r="UJ173" s="357"/>
      <c r="UK173" s="358"/>
      <c r="UL173" s="358"/>
      <c r="UM173" s="208">
        <f>UL173-UK173</f>
        <v>0</v>
      </c>
      <c r="UN173" s="597" t="e">
        <f>UM173/UL173</f>
        <v>#DIV/0!</v>
      </c>
      <c r="UO173" s="1567"/>
      <c r="UP173" s="1568"/>
      <c r="UQ173" s="1568"/>
      <c r="UR173" s="2552">
        <f>UQ173-UP173</f>
        <v>0</v>
      </c>
      <c r="US173" s="602" t="e">
        <f>UR173/UQ173</f>
        <v>#DIV/0!</v>
      </c>
      <c r="UT173" s="1567"/>
      <c r="UU173" s="358">
        <f t="shared" si="700"/>
        <v>22739734</v>
      </c>
      <c r="UV173" s="358">
        <f t="shared" si="700"/>
        <v>31263166</v>
      </c>
      <c r="UW173" s="358">
        <f t="shared" si="700"/>
        <v>8523432</v>
      </c>
      <c r="UX173" s="220">
        <f>UW173/UV173</f>
        <v>0.27263495961989265</v>
      </c>
      <c r="UY173" s="1863">
        <f>(SL173+SQ173+SV173)/3</f>
        <v>27.666666666666668</v>
      </c>
      <c r="UZ173" s="105">
        <f t="shared" si="695"/>
        <v>6868016</v>
      </c>
      <c r="VA173" s="105">
        <f t="shared" si="695"/>
        <v>8855803</v>
      </c>
      <c r="VB173" s="105">
        <f t="shared" si="695"/>
        <v>1987787</v>
      </c>
      <c r="VC173" s="106">
        <f t="shared" si="696"/>
        <v>0.2244615197515121</v>
      </c>
      <c r="VD173" s="1868"/>
      <c r="VE173" s="358">
        <f t="shared" si="701"/>
        <v>7180885</v>
      </c>
      <c r="VF173" s="358">
        <f t="shared" si="701"/>
        <v>10340802</v>
      </c>
      <c r="VG173" s="359">
        <f t="shared" si="701"/>
        <v>3159917</v>
      </c>
      <c r="VH173" s="169">
        <f t="shared" si="702"/>
        <v>0.30557755578339091</v>
      </c>
      <c r="VI173" s="686"/>
      <c r="VJ173" s="146">
        <f t="shared" si="703"/>
        <v>6809549</v>
      </c>
      <c r="VK173" s="146">
        <f t="shared" si="703"/>
        <v>9402761</v>
      </c>
      <c r="VL173" s="1864">
        <f t="shared" si="703"/>
        <v>2593212</v>
      </c>
      <c r="VM173" s="203">
        <f>VL173/VK173</f>
        <v>0.27579261027691759</v>
      </c>
      <c r="VN173" s="1567">
        <v>25</v>
      </c>
      <c r="VO173" s="358">
        <f t="shared" si="697"/>
        <v>1881284</v>
      </c>
      <c r="VP173" s="358">
        <f t="shared" si="697"/>
        <v>2663800</v>
      </c>
      <c r="VQ173" s="359">
        <f t="shared" si="697"/>
        <v>782516</v>
      </c>
      <c r="VR173" s="114">
        <f>VQ173/VP173</f>
        <v>0.29375929123808092</v>
      </c>
      <c r="VS173" s="1193">
        <f>TW173*4</f>
        <v>12792388</v>
      </c>
      <c r="VT173" s="1193">
        <f>TS173*5</f>
        <v>5100205</v>
      </c>
    </row>
    <row r="174" spans="1:592" s="1193" customFormat="1" ht="13.45" x14ac:dyDescent="0.3">
      <c r="A174" s="1297"/>
      <c r="B174" s="4601" t="s">
        <v>961</v>
      </c>
      <c r="C174" s="2156" t="s">
        <v>991</v>
      </c>
      <c r="D174" s="3790"/>
      <c r="E174" s="384"/>
      <c r="F174" s="384"/>
      <c r="G174" s="2161"/>
      <c r="H174" s="2845"/>
      <c r="I174" s="2846"/>
      <c r="J174" s="2846"/>
      <c r="K174" s="2846"/>
      <c r="L174" s="2847"/>
      <c r="M174" s="2845"/>
      <c r="N174" s="2846"/>
      <c r="O174" s="2846"/>
      <c r="P174" s="2846"/>
      <c r="Q174" s="2847"/>
      <c r="R174" s="2845"/>
      <c r="S174" s="2846"/>
      <c r="T174" s="2846"/>
      <c r="U174" s="2846"/>
      <c r="V174" s="2847"/>
      <c r="W174" s="2845"/>
      <c r="X174" s="2846"/>
      <c r="Y174" s="2846"/>
      <c r="Z174" s="2846"/>
      <c r="AA174" s="2848"/>
      <c r="AB174" s="2845"/>
      <c r="AC174" s="2846"/>
      <c r="AD174" s="2846"/>
      <c r="AE174" s="2846"/>
      <c r="AF174" s="2848"/>
      <c r="AG174" s="2846"/>
      <c r="AH174" s="2846"/>
      <c r="AI174" s="2846"/>
      <c r="AJ174" s="2846"/>
      <c r="AK174" s="2847"/>
      <c r="AL174" s="2846"/>
      <c r="AM174" s="2846"/>
      <c r="AN174" s="2846"/>
      <c r="AO174" s="2846"/>
      <c r="AP174" s="2847"/>
      <c r="AQ174" s="2846"/>
      <c r="AR174" s="2846"/>
      <c r="AS174" s="2846"/>
      <c r="AT174" s="2846"/>
      <c r="AU174" s="2847"/>
      <c r="AV174" s="2849"/>
      <c r="AW174" s="2846"/>
      <c r="AX174" s="2846"/>
      <c r="AY174" s="2846"/>
      <c r="AZ174" s="2848"/>
      <c r="BA174" s="2849"/>
      <c r="BB174" s="2846"/>
      <c r="BC174" s="2846"/>
      <c r="BD174" s="2846"/>
      <c r="BE174" s="2848"/>
      <c r="BF174" s="2849"/>
      <c r="BG174" s="2846"/>
      <c r="BH174" s="2846"/>
      <c r="BI174" s="2846"/>
      <c r="BJ174" s="2848"/>
      <c r="BK174" s="2849"/>
      <c r="BL174" s="2846"/>
      <c r="BM174" s="2846"/>
      <c r="BN174" s="2846"/>
      <c r="BO174" s="2848"/>
      <c r="BP174" s="2850"/>
      <c r="BQ174" s="2846"/>
      <c r="BR174" s="2846"/>
      <c r="BS174" s="2846"/>
      <c r="BT174" s="2851"/>
      <c r="BU174" s="2846"/>
      <c r="BV174" s="2846"/>
      <c r="BW174" s="2852"/>
      <c r="BX174" s="2851"/>
      <c r="BY174" s="2846"/>
      <c r="BZ174" s="2846"/>
      <c r="CA174" s="2853"/>
      <c r="CB174" s="2846"/>
      <c r="CC174" s="2846"/>
      <c r="CD174" s="2846"/>
      <c r="CE174" s="2846"/>
      <c r="CF174" s="2851"/>
      <c r="CG174" s="2846"/>
      <c r="CH174" s="2846"/>
      <c r="CI174" s="2853"/>
      <c r="CJ174" s="2854"/>
      <c r="CK174" s="2846"/>
      <c r="CL174" s="2846"/>
      <c r="CM174" s="2846"/>
      <c r="CN174" s="2852"/>
      <c r="CO174" s="2854"/>
      <c r="CP174" s="2845"/>
      <c r="CQ174" s="2845"/>
      <c r="CR174" s="2845"/>
      <c r="CS174" s="2852"/>
      <c r="CT174" s="2854"/>
      <c r="CU174" s="2846"/>
      <c r="CV174" s="2846"/>
      <c r="CW174" s="2846"/>
      <c r="CX174" s="2852"/>
      <c r="CY174" s="2854"/>
      <c r="CZ174" s="2846"/>
      <c r="DA174" s="2846"/>
      <c r="DB174" s="2846"/>
      <c r="DC174" s="2852"/>
      <c r="DD174" s="2854"/>
      <c r="DE174" s="2846"/>
      <c r="DF174" s="2846"/>
      <c r="DG174" s="2846"/>
      <c r="DH174" s="2855"/>
      <c r="DI174" s="2854"/>
      <c r="DJ174" s="2846"/>
      <c r="DK174" s="2846"/>
      <c r="DL174" s="2846"/>
      <c r="DM174" s="2855"/>
      <c r="DN174" s="2854"/>
      <c r="DO174" s="2846"/>
      <c r="DP174" s="2846"/>
      <c r="DQ174" s="2846"/>
      <c r="DR174" s="2855"/>
      <c r="DS174" s="2854"/>
      <c r="DT174" s="2846"/>
      <c r="DU174" s="2846"/>
      <c r="DV174" s="2846"/>
      <c r="DW174" s="2855"/>
      <c r="DX174" s="2854"/>
      <c r="DY174" s="2846"/>
      <c r="DZ174" s="2846"/>
      <c r="EA174" s="2846"/>
      <c r="EB174" s="2855"/>
      <c r="EC174" s="2854"/>
      <c r="ED174" s="2846"/>
      <c r="EE174" s="2846"/>
      <c r="EF174" s="2846"/>
      <c r="EG174" s="2855"/>
      <c r="EH174" s="1567"/>
      <c r="EI174" s="1568"/>
      <c r="EJ174" s="1568"/>
      <c r="EK174" s="1568"/>
      <c r="EL174" s="353"/>
      <c r="EM174" s="1857"/>
      <c r="EN174" s="358"/>
      <c r="EO174" s="358"/>
      <c r="EP174" s="358"/>
      <c r="EQ174" s="94"/>
      <c r="ER174" s="3807"/>
      <c r="ES174" s="2857"/>
      <c r="ET174" s="2857"/>
      <c r="EU174" s="2857"/>
      <c r="EV174" s="1867"/>
      <c r="EW174" s="1569"/>
      <c r="EX174" s="1569"/>
      <c r="EY174" s="1569"/>
      <c r="EZ174" s="210"/>
      <c r="FA174" s="1567"/>
      <c r="FB174" s="1569"/>
      <c r="FC174" s="1569"/>
      <c r="FD174" s="220"/>
      <c r="FE174" s="1569"/>
      <c r="FF174" s="1569"/>
      <c r="FG174" s="1569"/>
      <c r="FH174" s="210"/>
      <c r="FI174" s="580"/>
      <c r="FJ174" s="579"/>
      <c r="FK174" s="137"/>
      <c r="FL174" s="137"/>
      <c r="FM174" s="151"/>
      <c r="FN174" s="1569"/>
      <c r="FO174" s="1568"/>
      <c r="FP174" s="1568"/>
      <c r="FQ174" s="1568"/>
      <c r="FR174" s="408"/>
      <c r="FS174" s="2858"/>
      <c r="FT174" s="2859"/>
      <c r="FU174" s="2859"/>
      <c r="FV174" s="2859"/>
      <c r="FW174" s="2860"/>
      <c r="FX174" s="1567"/>
      <c r="FY174" s="1568"/>
      <c r="FZ174" s="1568"/>
      <c r="GA174" s="2859"/>
      <c r="GB174" s="2860"/>
      <c r="GC174" s="1857"/>
      <c r="GD174" s="358"/>
      <c r="GE174" s="358"/>
      <c r="GF174" s="358"/>
      <c r="GG174" s="94"/>
      <c r="GH174" s="1857"/>
      <c r="GI174" s="358"/>
      <c r="GJ174" s="358"/>
      <c r="GK174" s="2861"/>
      <c r="GL174" s="2860"/>
      <c r="GM174" s="1857"/>
      <c r="GN174" s="358"/>
      <c r="GO174" s="358"/>
      <c r="GP174" s="2861"/>
      <c r="GQ174" s="2860"/>
      <c r="GR174" s="1858"/>
      <c r="GS174" s="358"/>
      <c r="GT174" s="358"/>
      <c r="GU174" s="2861"/>
      <c r="GV174" s="2860"/>
      <c r="GW174" s="1858"/>
      <c r="GX174" s="358"/>
      <c r="GY174" s="358"/>
      <c r="GZ174" s="2861"/>
      <c r="HA174" s="2860"/>
      <c r="HB174" s="1858"/>
      <c r="HC174" s="358"/>
      <c r="HD174" s="358"/>
      <c r="HE174" s="2861"/>
      <c r="HF174" s="2860"/>
      <c r="HG174" s="1858"/>
      <c r="HH174" s="358"/>
      <c r="HI174" s="358"/>
      <c r="HJ174" s="358"/>
      <c r="HK174" s="2860"/>
      <c r="HL174" s="1858"/>
      <c r="HM174" s="358"/>
      <c r="HN174" s="358"/>
      <c r="HO174" s="358"/>
      <c r="HP174" s="94"/>
      <c r="HQ174" s="3793"/>
      <c r="HR174" s="265"/>
      <c r="HS174" s="265"/>
      <c r="HT174" s="265"/>
      <c r="HU174" s="2862"/>
      <c r="HV174" s="3808"/>
      <c r="HW174" s="208"/>
      <c r="HX174" s="208"/>
      <c r="HY174" s="208"/>
      <c r="HZ174" s="2552"/>
      <c r="IA174" s="1854"/>
      <c r="IB174" s="1855"/>
      <c r="IC174" s="1855"/>
      <c r="ID174" s="1856"/>
      <c r="IE174" s="1858"/>
      <c r="IF174" s="1858"/>
      <c r="IG174" s="1854"/>
      <c r="IH174" s="1856"/>
      <c r="II174" s="1934"/>
      <c r="IJ174" s="2878"/>
      <c r="IK174" s="2878"/>
      <c r="IL174" s="151"/>
      <c r="IM174" s="1013"/>
      <c r="IN174" s="2878"/>
      <c r="IO174" s="2878"/>
      <c r="IP174" s="3794"/>
      <c r="IQ174" s="1568"/>
      <c r="IR174" s="3795"/>
      <c r="IS174" s="265"/>
      <c r="IT174" s="265"/>
      <c r="IU174" s="1025"/>
      <c r="IV174" s="2870"/>
      <c r="IW174" s="2858"/>
      <c r="IX174" s="2859"/>
      <c r="IY174" s="2859"/>
      <c r="IZ174" s="358"/>
      <c r="JA174" s="94"/>
      <c r="JB174" s="2875"/>
      <c r="JC174" s="358"/>
      <c r="JD174" s="358"/>
      <c r="JE174" s="2859"/>
      <c r="JF174" s="94"/>
      <c r="JG174" s="2875"/>
      <c r="JH174" s="358"/>
      <c r="JI174" s="358"/>
      <c r="JJ174" s="358"/>
      <c r="JK174" s="94"/>
      <c r="JL174" s="1857"/>
      <c r="JM174" s="358"/>
      <c r="JN174" s="358"/>
      <c r="JO174" s="2872"/>
      <c r="JP174" s="2860"/>
      <c r="JQ174" s="2873"/>
      <c r="JR174" s="1025"/>
      <c r="JS174" s="265"/>
      <c r="JT174" s="2872"/>
      <c r="JU174" s="2860"/>
      <c r="JV174" s="621"/>
      <c r="JW174" s="358"/>
      <c r="JX174" s="358"/>
      <c r="JY174" s="2872"/>
      <c r="JZ174" s="2860"/>
      <c r="KA174" s="2875"/>
      <c r="KB174" s="358"/>
      <c r="KC174" s="358"/>
      <c r="KD174" s="2861"/>
      <c r="KE174" s="2860"/>
      <c r="KF174" s="2875"/>
      <c r="KG174" s="358"/>
      <c r="KH174" s="358"/>
      <c r="KI174" s="358"/>
      <c r="KJ174" s="2860"/>
      <c r="KK174" s="2876"/>
      <c r="KL174" s="265"/>
      <c r="KM174" s="265"/>
      <c r="KN174" s="1016"/>
      <c r="KO174" s="2860"/>
      <c r="KP174" s="1862"/>
      <c r="KQ174" s="265"/>
      <c r="KR174" s="2877"/>
      <c r="KS174" s="265"/>
      <c r="KT174" s="158"/>
      <c r="KU174" s="3809"/>
      <c r="KV174" s="358"/>
      <c r="KW174" s="1858"/>
      <c r="KX174" s="358"/>
      <c r="KY174" s="94"/>
      <c r="KZ174" s="1857"/>
      <c r="LA174" s="358"/>
      <c r="LB174" s="358"/>
      <c r="LC174" s="358"/>
      <c r="LD174" s="220"/>
      <c r="LE174" s="1854"/>
      <c r="LF174" s="1855"/>
      <c r="LG174" s="1855"/>
      <c r="LH174" s="1856"/>
      <c r="LI174" s="1857"/>
      <c r="LJ174" s="1858"/>
      <c r="LK174" s="1854"/>
      <c r="LL174" s="1856"/>
      <c r="LM174" s="1934"/>
      <c r="LN174" s="2878"/>
      <c r="LO174" s="2878"/>
      <c r="LP174" s="151"/>
      <c r="LQ174" s="3800"/>
      <c r="LR174" s="2878"/>
      <c r="LS174" s="2878"/>
      <c r="LT174" s="3794"/>
      <c r="LU174" s="1568"/>
      <c r="LV174" s="439"/>
      <c r="LW174" s="208"/>
      <c r="LX174" s="208"/>
      <c r="LY174" s="96"/>
      <c r="LZ174" s="78"/>
      <c r="MA174" s="439"/>
      <c r="MB174" s="208"/>
      <c r="MC174" s="208"/>
      <c r="MD174" s="96"/>
      <c r="ME174" s="78"/>
      <c r="MF174" s="439"/>
      <c r="MG174" s="208"/>
      <c r="MH174" s="208"/>
      <c r="MI174" s="371"/>
      <c r="MJ174" s="157"/>
      <c r="MK174" s="354"/>
      <c r="ML174" s="208"/>
      <c r="MM174" s="208"/>
      <c r="MN174" s="371"/>
      <c r="MO174" s="157"/>
      <c r="MP174" s="3801"/>
      <c r="MQ174" s="265"/>
      <c r="MR174" s="265"/>
      <c r="MS174" s="265"/>
      <c r="MT174" s="1313"/>
      <c r="MU174" s="209"/>
      <c r="MV174" s="208"/>
      <c r="MW174" s="208"/>
      <c r="MX174" s="208"/>
      <c r="MY174" s="1313"/>
      <c r="MZ174" s="209"/>
      <c r="NA174" s="208"/>
      <c r="NB174" s="208"/>
      <c r="NC174" s="208"/>
      <c r="ND174" s="1313"/>
      <c r="NE174" s="209"/>
      <c r="NF174" s="208"/>
      <c r="NG174" s="208"/>
      <c r="NH174" s="208"/>
      <c r="NI174" s="1313"/>
      <c r="NJ174" s="209"/>
      <c r="NK174" s="208"/>
      <c r="NL174" s="208"/>
      <c r="NM174" s="208"/>
      <c r="NN174" s="1313"/>
      <c r="NO174" s="357"/>
      <c r="NP174" s="358"/>
      <c r="NQ174" s="359"/>
      <c r="NR174" s="208"/>
      <c r="NS174" s="1313"/>
      <c r="NT174" s="357"/>
      <c r="NU174" s="358"/>
      <c r="NV174" s="358"/>
      <c r="NW174" s="358"/>
      <c r="NX174" s="151"/>
      <c r="NY174" s="357"/>
      <c r="NZ174" s="358"/>
      <c r="OA174" s="358"/>
      <c r="OB174" s="994"/>
      <c r="OC174" s="114"/>
      <c r="OD174" s="358"/>
      <c r="OE174" s="358"/>
      <c r="OF174" s="358"/>
      <c r="OG174" s="358"/>
      <c r="OH174" s="220"/>
      <c r="OI174" s="3802"/>
      <c r="OJ174" s="3803"/>
      <c r="OK174" s="96"/>
      <c r="OL174" s="96"/>
      <c r="OM174" s="114"/>
      <c r="ON174" s="358"/>
      <c r="OO174" s="358"/>
      <c r="OP174" s="358"/>
      <c r="OQ174" s="359"/>
      <c r="OR174" s="169"/>
      <c r="OS174" s="607"/>
      <c r="OT174" s="137"/>
      <c r="OU174" s="137"/>
      <c r="OV174" s="3803"/>
      <c r="OW174" s="169"/>
      <c r="OX174" s="357"/>
      <c r="OY174" s="358"/>
      <c r="OZ174" s="358"/>
      <c r="PA174" s="359"/>
      <c r="PB174" s="114"/>
      <c r="PC174" s="137"/>
      <c r="PD174" s="439"/>
      <c r="PE174" s="208"/>
      <c r="PF174" s="208"/>
      <c r="PG174" s="96"/>
      <c r="PH174" s="78"/>
      <c r="PI174" s="439"/>
      <c r="PJ174" s="208"/>
      <c r="PK174" s="208"/>
      <c r="PL174" s="96"/>
      <c r="PM174" s="78"/>
      <c r="PN174" s="439"/>
      <c r="PO174" s="208"/>
      <c r="PP174" s="208"/>
      <c r="PQ174" s="371"/>
      <c r="PR174" s="157"/>
      <c r="PS174" s="1574"/>
      <c r="PT174" s="208"/>
      <c r="PU174" s="208"/>
      <c r="PV174" s="371"/>
      <c r="PW174" s="1867"/>
      <c r="PX174" s="3804"/>
      <c r="PY174" s="265"/>
      <c r="PZ174" s="265"/>
      <c r="QA174" s="265"/>
      <c r="QB174" s="1313"/>
      <c r="QC174" s="209"/>
      <c r="QD174" s="208"/>
      <c r="QE174" s="208"/>
      <c r="QF174" s="208"/>
      <c r="QG174" s="1313"/>
      <c r="QH174" s="439"/>
      <c r="QI174" s="208"/>
      <c r="QJ174" s="208"/>
      <c r="QK174" s="208"/>
      <c r="QL174" s="1313"/>
      <c r="QM174" s="439"/>
      <c r="QN174" s="208"/>
      <c r="QO174" s="208"/>
      <c r="QP174" s="208"/>
      <c r="QQ174" s="1872"/>
      <c r="QR174" s="209"/>
      <c r="QS174" s="208"/>
      <c r="QT174" s="208"/>
      <c r="QU174" s="208"/>
      <c r="QV174" s="157"/>
      <c r="QW174" s="209"/>
      <c r="QX174" s="208"/>
      <c r="QY174" s="208"/>
      <c r="QZ174" s="208"/>
      <c r="RA174" s="157"/>
      <c r="RB174" s="357"/>
      <c r="RC174" s="358"/>
      <c r="RD174" s="358"/>
      <c r="RE174" s="208"/>
      <c r="RF174" s="1313"/>
      <c r="RG174" s="1857"/>
      <c r="RH174" s="358"/>
      <c r="RI174" s="358"/>
      <c r="RJ174" s="994"/>
      <c r="RK174" s="114"/>
      <c r="RL174" s="1567"/>
      <c r="RM174" s="1568"/>
      <c r="RN174" s="1568"/>
      <c r="RO174" s="1568"/>
      <c r="RP174" s="220"/>
      <c r="RQ174" s="3802"/>
      <c r="RR174" s="96"/>
      <c r="RS174" s="96"/>
      <c r="RT174" s="96"/>
      <c r="RU174" s="114"/>
      <c r="RV174" s="1868"/>
      <c r="RW174" s="358"/>
      <c r="RX174" s="358"/>
      <c r="RY174" s="359"/>
      <c r="RZ174" s="169"/>
      <c r="SA174" s="607"/>
      <c r="SB174" s="137"/>
      <c r="SC174" s="137"/>
      <c r="SD174" s="3803"/>
      <c r="SE174" s="169"/>
      <c r="SF174" s="1567"/>
      <c r="SG174" s="358"/>
      <c r="SH174" s="358"/>
      <c r="SI174" s="359"/>
      <c r="SJ174" s="114"/>
      <c r="SK174" s="1568"/>
      <c r="SL174" s="439"/>
      <c r="SM174" s="208"/>
      <c r="SN174" s="208"/>
      <c r="SO174" s="115"/>
      <c r="SP174" s="78"/>
      <c r="SQ174" s="439">
        <v>1</v>
      </c>
      <c r="SR174" s="208">
        <v>9127</v>
      </c>
      <c r="SS174" s="208">
        <v>19000</v>
      </c>
      <c r="ST174" s="96">
        <f t="shared" si="682"/>
        <v>9873</v>
      </c>
      <c r="SU174" s="78">
        <f t="shared" si="683"/>
        <v>0.51963157894736844</v>
      </c>
      <c r="SV174" s="439">
        <v>2</v>
      </c>
      <c r="SW174" s="208">
        <v>130061</v>
      </c>
      <c r="SX174" s="208">
        <v>223456</v>
      </c>
      <c r="SY174" s="371">
        <f t="shared" si="684"/>
        <v>93395</v>
      </c>
      <c r="SZ174" s="157">
        <f t="shared" si="685"/>
        <v>0.41795700272089359</v>
      </c>
      <c r="TA174" s="1574">
        <v>3</v>
      </c>
      <c r="TB174" s="208">
        <v>164198</v>
      </c>
      <c r="TC174" s="208">
        <v>187569</v>
      </c>
      <c r="TD174" s="371">
        <f t="shared" si="686"/>
        <v>23371</v>
      </c>
      <c r="TE174" s="157">
        <f>TD174/TC174</f>
        <v>0.12459948072442674</v>
      </c>
      <c r="TF174" s="4121">
        <v>4</v>
      </c>
      <c r="TG174" s="208">
        <v>249119</v>
      </c>
      <c r="TH174" s="208">
        <v>365760</v>
      </c>
      <c r="TI174" s="208">
        <f t="shared" si="687"/>
        <v>116641</v>
      </c>
      <c r="TJ174" s="114">
        <f t="shared" si="688"/>
        <v>0.31890037182852143</v>
      </c>
      <c r="TK174" s="209">
        <v>4</v>
      </c>
      <c r="TL174" s="208">
        <v>266170</v>
      </c>
      <c r="TM174" s="208">
        <v>375000</v>
      </c>
      <c r="TN174" s="994">
        <f t="shared" si="689"/>
        <v>108830</v>
      </c>
      <c r="TO174" s="114">
        <f t="shared" si="690"/>
        <v>0.29021333333333332</v>
      </c>
      <c r="TP174" s="4432">
        <v>4</v>
      </c>
      <c r="TQ174" s="208">
        <f>266170+1500</f>
        <v>267670</v>
      </c>
      <c r="TR174" s="208">
        <v>408330</v>
      </c>
      <c r="TS174" s="994">
        <f t="shared" si="691"/>
        <v>140660</v>
      </c>
      <c r="TT174" s="114">
        <f>TS174/TR174</f>
        <v>0.34447628143903214</v>
      </c>
      <c r="TU174" s="4432">
        <v>4</v>
      </c>
      <c r="TV174" s="208">
        <v>266170</v>
      </c>
      <c r="TW174" s="208">
        <v>404460</v>
      </c>
      <c r="TX174" s="772">
        <f t="shared" si="692"/>
        <v>138290</v>
      </c>
      <c r="TY174" s="114">
        <f>TX174/TW174</f>
        <v>0.34191267368837464</v>
      </c>
      <c r="TZ174" s="209">
        <v>4</v>
      </c>
      <c r="UA174" s="208">
        <v>266170</v>
      </c>
      <c r="UB174" s="208">
        <v>404460</v>
      </c>
      <c r="UC174" s="772">
        <f t="shared" si="693"/>
        <v>138290</v>
      </c>
      <c r="UD174" s="114">
        <f t="shared" si="694"/>
        <v>0.34191267368837464</v>
      </c>
      <c r="UE174" s="2002">
        <v>2</v>
      </c>
      <c r="UF174" s="1575">
        <v>105518</v>
      </c>
      <c r="UG174" s="1575">
        <v>150930</v>
      </c>
      <c r="UH174" s="2552">
        <f t="shared" si="698"/>
        <v>45412</v>
      </c>
      <c r="UI174" s="222">
        <f t="shared" si="699"/>
        <v>0.30088120320678458</v>
      </c>
      <c r="UJ174" s="357"/>
      <c r="UK174" s="358"/>
      <c r="UL174" s="358"/>
      <c r="UM174" s="208"/>
      <c r="UN174" s="790"/>
      <c r="UO174" s="1567"/>
      <c r="UP174" s="1568"/>
      <c r="UQ174" s="1568"/>
      <c r="UR174" s="2552"/>
      <c r="US174" s="793"/>
      <c r="UT174" s="1567"/>
      <c r="UU174" s="358">
        <f t="shared" si="700"/>
        <v>1724203</v>
      </c>
      <c r="UV174" s="358">
        <f t="shared" si="700"/>
        <v>2538965</v>
      </c>
      <c r="UW174" s="358">
        <f t="shared" si="700"/>
        <v>814762</v>
      </c>
      <c r="UX174" s="220">
        <f t="shared" ref="UX174:UX209" si="704">UW174/UV174</f>
        <v>0.320903202682983</v>
      </c>
      <c r="UY174" s="1863">
        <f>(SL174+SQ174+SV174)/3</f>
        <v>1</v>
      </c>
      <c r="UZ174" s="105">
        <f t="shared" si="695"/>
        <v>139188</v>
      </c>
      <c r="VA174" s="105">
        <f t="shared" si="695"/>
        <v>242456</v>
      </c>
      <c r="VB174" s="105">
        <f t="shared" si="695"/>
        <v>103268</v>
      </c>
      <c r="VC174" s="106">
        <f t="shared" si="696"/>
        <v>0.42592470386379383</v>
      </c>
      <c r="VD174" s="1868"/>
      <c r="VE174" s="358">
        <f t="shared" si="701"/>
        <v>679487</v>
      </c>
      <c r="VF174" s="358">
        <f t="shared" si="701"/>
        <v>928329</v>
      </c>
      <c r="VG174" s="359">
        <f t="shared" si="701"/>
        <v>248842</v>
      </c>
      <c r="VH174" s="169">
        <f t="shared" si="702"/>
        <v>0.26805367493636417</v>
      </c>
      <c r="VI174" s="686"/>
      <c r="VJ174" s="146">
        <f t="shared" si="703"/>
        <v>800010</v>
      </c>
      <c r="VK174" s="146">
        <f t="shared" si="703"/>
        <v>1217250</v>
      </c>
      <c r="VL174" s="1864">
        <f t="shared" si="703"/>
        <v>417240</v>
      </c>
      <c r="VM174" s="203"/>
      <c r="VN174" s="1567"/>
      <c r="VO174" s="358"/>
      <c r="VP174" s="358"/>
      <c r="VQ174" s="359"/>
      <c r="VR174" s="114"/>
      <c r="VS174" s="1193">
        <f>TX173*4</f>
        <v>3537508</v>
      </c>
    </row>
    <row r="175" spans="1:592" s="1193" customFormat="1" x14ac:dyDescent="0.3">
      <c r="A175" s="1297"/>
      <c r="B175" s="4602" t="s">
        <v>245</v>
      </c>
      <c r="C175" s="3810" t="s">
        <v>12</v>
      </c>
      <c r="D175" s="2844"/>
      <c r="E175" s="384"/>
      <c r="F175" s="384"/>
      <c r="G175" s="2161">
        <v>7856000</v>
      </c>
      <c r="H175" s="2845"/>
      <c r="I175" s="2846"/>
      <c r="J175" s="2846"/>
      <c r="K175" s="2846"/>
      <c r="L175" s="2847"/>
      <c r="M175" s="2845"/>
      <c r="N175" s="2846"/>
      <c r="O175" s="2846"/>
      <c r="P175" s="2846"/>
      <c r="Q175" s="2847"/>
      <c r="R175" s="2845"/>
      <c r="S175" s="2846"/>
      <c r="T175" s="2846"/>
      <c r="U175" s="2846"/>
      <c r="V175" s="2847"/>
      <c r="W175" s="2845"/>
      <c r="X175" s="2846"/>
      <c r="Y175" s="2846"/>
      <c r="Z175" s="2846"/>
      <c r="AA175" s="2848"/>
      <c r="AB175" s="2845"/>
      <c r="AC175" s="2846"/>
      <c r="AD175" s="2846"/>
      <c r="AE175" s="2846"/>
      <c r="AF175" s="2848"/>
      <c r="AG175" s="2846"/>
      <c r="AH175" s="2846"/>
      <c r="AI175" s="2846"/>
      <c r="AJ175" s="2846"/>
      <c r="AK175" s="2847"/>
      <c r="AL175" s="2846"/>
      <c r="AM175" s="2846"/>
      <c r="AN175" s="2846"/>
      <c r="AO175" s="2846"/>
      <c r="AP175" s="2847"/>
      <c r="AQ175" s="2846"/>
      <c r="AR175" s="2846"/>
      <c r="AS175" s="2846"/>
      <c r="AT175" s="2846"/>
      <c r="AU175" s="2847"/>
      <c r="AV175" s="2849"/>
      <c r="AW175" s="2846"/>
      <c r="AX175" s="2846"/>
      <c r="AY175" s="2846"/>
      <c r="AZ175" s="2848"/>
      <c r="BA175" s="2849"/>
      <c r="BB175" s="2846"/>
      <c r="BC175" s="2846"/>
      <c r="BD175" s="2846"/>
      <c r="BE175" s="2848"/>
      <c r="BF175" s="2849"/>
      <c r="BG175" s="2846"/>
      <c r="BH175" s="2846"/>
      <c r="BI175" s="2846"/>
      <c r="BJ175" s="2848"/>
      <c r="BK175" s="2849"/>
      <c r="BL175" s="2846"/>
      <c r="BM175" s="2846"/>
      <c r="BN175" s="2846"/>
      <c r="BO175" s="2848"/>
      <c r="BP175" s="2850"/>
      <c r="BQ175" s="2846"/>
      <c r="BR175" s="2846"/>
      <c r="BS175" s="2846"/>
      <c r="BT175" s="2851"/>
      <c r="BU175" s="2846"/>
      <c r="BV175" s="2846"/>
      <c r="BW175" s="2852"/>
      <c r="BX175" s="2851"/>
      <c r="BY175" s="2846"/>
      <c r="BZ175" s="2846"/>
      <c r="CA175" s="2853"/>
      <c r="CB175" s="2846"/>
      <c r="CC175" s="2846"/>
      <c r="CD175" s="2846"/>
      <c r="CE175" s="2846"/>
      <c r="CF175" s="2851"/>
      <c r="CG175" s="2846"/>
      <c r="CH175" s="2846"/>
      <c r="CI175" s="2853"/>
      <c r="CJ175" s="2854"/>
      <c r="CK175" s="2846"/>
      <c r="CL175" s="2846"/>
      <c r="CM175" s="2846"/>
      <c r="CN175" s="2852"/>
      <c r="CO175" s="2854"/>
      <c r="CP175" s="2845"/>
      <c r="CQ175" s="2845"/>
      <c r="CR175" s="2845"/>
      <c r="CS175" s="2852"/>
      <c r="CT175" s="2854"/>
      <c r="CU175" s="2846"/>
      <c r="CV175" s="2846"/>
      <c r="CW175" s="2846"/>
      <c r="CX175" s="2852"/>
      <c r="CY175" s="2854"/>
      <c r="CZ175" s="2846"/>
      <c r="DA175" s="2846"/>
      <c r="DB175" s="2846"/>
      <c r="DC175" s="2852"/>
      <c r="DD175" s="2854"/>
      <c r="DE175" s="2846"/>
      <c r="DF175" s="2846"/>
      <c r="DG175" s="2846"/>
      <c r="DH175" s="2855"/>
      <c r="DI175" s="2854"/>
      <c r="DJ175" s="2846"/>
      <c r="DK175" s="2846"/>
      <c r="DL175" s="2846"/>
      <c r="DM175" s="2855"/>
      <c r="DN175" s="2854"/>
      <c r="DO175" s="2846"/>
      <c r="DP175" s="2846"/>
      <c r="DQ175" s="2846"/>
      <c r="DR175" s="2855"/>
      <c r="DS175" s="2854"/>
      <c r="DT175" s="2846"/>
      <c r="DU175" s="2846"/>
      <c r="DV175" s="2846"/>
      <c r="DW175" s="2855"/>
      <c r="DX175" s="2854"/>
      <c r="DY175" s="2846"/>
      <c r="DZ175" s="2846"/>
      <c r="EA175" s="2846"/>
      <c r="EB175" s="2855"/>
      <c r="EC175" s="2854"/>
      <c r="ED175" s="2846"/>
      <c r="EE175" s="2846"/>
      <c r="EF175" s="2846"/>
      <c r="EG175" s="2855"/>
      <c r="EH175" s="1567"/>
      <c r="EI175" s="1568"/>
      <c r="EJ175" s="1568"/>
      <c r="EK175" s="1568"/>
      <c r="EL175" s="353"/>
      <c r="EM175" s="1857"/>
      <c r="EN175" s="358"/>
      <c r="EO175" s="358"/>
      <c r="EP175" s="358"/>
      <c r="EQ175" s="94"/>
      <c r="ER175" s="2856"/>
      <c r="ES175" s="2857"/>
      <c r="ET175" s="2857"/>
      <c r="EU175" s="2857"/>
      <c r="EV175" s="1867"/>
      <c r="EW175" s="1569"/>
      <c r="EX175" s="1569"/>
      <c r="EY175" s="1569"/>
      <c r="EZ175" s="210"/>
      <c r="FA175" s="1567"/>
      <c r="FB175" s="1569"/>
      <c r="FC175" s="1569"/>
      <c r="FD175" s="220"/>
      <c r="FE175" s="1569"/>
      <c r="FF175" s="1569"/>
      <c r="FG175" s="1569"/>
      <c r="FH175" s="210"/>
      <c r="FI175" s="580"/>
      <c r="FJ175" s="579"/>
      <c r="FK175" s="137"/>
      <c r="FL175" s="137"/>
      <c r="FM175" s="151"/>
      <c r="FN175" s="1569"/>
      <c r="FO175" s="1568"/>
      <c r="FP175" s="1568"/>
      <c r="FQ175" s="1568"/>
      <c r="FR175" s="408"/>
      <c r="FS175" s="2858"/>
      <c r="FT175" s="2859"/>
      <c r="FU175" s="2859"/>
      <c r="FV175" s="2859"/>
      <c r="FW175" s="2860"/>
      <c r="FX175" s="1567"/>
      <c r="FY175" s="1568"/>
      <c r="FZ175" s="1568"/>
      <c r="GA175" s="2859"/>
      <c r="GB175" s="2860"/>
      <c r="GC175" s="1567"/>
      <c r="GD175" s="1568"/>
      <c r="GE175" s="1568"/>
      <c r="GF175" s="358"/>
      <c r="GG175" s="94"/>
      <c r="GH175" s="1857"/>
      <c r="GI175" s="358"/>
      <c r="GJ175" s="358"/>
      <c r="GK175" s="2861"/>
      <c r="GL175" s="2860"/>
      <c r="GM175" s="1857"/>
      <c r="GN175" s="358"/>
      <c r="GO175" s="358"/>
      <c r="GP175" s="2861"/>
      <c r="GQ175" s="2860"/>
      <c r="GR175" s="358"/>
      <c r="GS175" s="358"/>
      <c r="GT175" s="358"/>
      <c r="GU175" s="2861"/>
      <c r="GV175" s="2860"/>
      <c r="GW175" s="358"/>
      <c r="GX175" s="358"/>
      <c r="GY175" s="358"/>
      <c r="GZ175" s="2861"/>
      <c r="HA175" s="2860"/>
      <c r="HB175" s="358"/>
      <c r="HC175" s="358"/>
      <c r="HD175" s="358"/>
      <c r="HE175" s="2861"/>
      <c r="HF175" s="2860"/>
      <c r="HG175" s="358"/>
      <c r="HH175" s="358"/>
      <c r="HI175" s="358"/>
      <c r="HJ175" s="2861"/>
      <c r="HK175" s="2860"/>
      <c r="HL175" s="358"/>
      <c r="HM175" s="358"/>
      <c r="HN175" s="358"/>
      <c r="HO175" s="2861"/>
      <c r="HP175" s="2860"/>
      <c r="HQ175" s="1312"/>
      <c r="HR175" s="265"/>
      <c r="HS175" s="265"/>
      <c r="HT175" s="265"/>
      <c r="HU175" s="3811"/>
      <c r="HV175" s="3812"/>
      <c r="HW175" s="208"/>
      <c r="HX175" s="208"/>
      <c r="HY175" s="208"/>
      <c r="HZ175" s="2737"/>
      <c r="IA175" s="1934"/>
      <c r="IB175" s="1855"/>
      <c r="IC175" s="1855"/>
      <c r="ID175" s="1856"/>
      <c r="IE175" s="2863"/>
      <c r="IF175" s="2863"/>
      <c r="IG175" s="2863"/>
      <c r="IH175" s="2864"/>
      <c r="II175" s="2865"/>
      <c r="IJ175" s="3813"/>
      <c r="IK175" s="3813"/>
      <c r="IL175" s="2864"/>
      <c r="IM175" s="2866"/>
      <c r="IN175" s="3813"/>
      <c r="IO175" s="3813"/>
      <c r="IP175" s="2867"/>
      <c r="IQ175" s="1568"/>
      <c r="IR175" s="2868"/>
      <c r="IS175" s="2015"/>
      <c r="IT175" s="2015"/>
      <c r="IU175" s="2869"/>
      <c r="IV175" s="2870"/>
      <c r="IW175" s="2858"/>
      <c r="IX175" s="2859"/>
      <c r="IY175" s="2859"/>
      <c r="IZ175" s="2859"/>
      <c r="JA175" s="362"/>
      <c r="JB175" s="2871"/>
      <c r="JC175" s="1568"/>
      <c r="JD175" s="1568"/>
      <c r="JE175" s="2859"/>
      <c r="JF175" s="2860"/>
      <c r="JG175" s="2871"/>
      <c r="JH175" s="1568"/>
      <c r="JI175" s="1568"/>
      <c r="JJ175" s="358"/>
      <c r="JK175" s="94"/>
      <c r="JL175" s="1857"/>
      <c r="JM175" s="358"/>
      <c r="JN175" s="358"/>
      <c r="JO175" s="2861"/>
      <c r="JP175" s="2860"/>
      <c r="JQ175" s="2873"/>
      <c r="JR175" s="1025"/>
      <c r="JS175" s="265"/>
      <c r="JT175" s="2872"/>
      <c r="JU175" s="2860"/>
      <c r="JV175" s="2874"/>
      <c r="JW175" s="358"/>
      <c r="JX175" s="2872"/>
      <c r="JY175" s="2861"/>
      <c r="JZ175" s="2860"/>
      <c r="KA175" s="357"/>
      <c r="KB175" s="358"/>
      <c r="KC175" s="2872"/>
      <c r="KD175" s="2861"/>
      <c r="KE175" s="2860"/>
      <c r="KF175" s="2875"/>
      <c r="KG175" s="358"/>
      <c r="KH175" s="2872"/>
      <c r="KI175" s="1016"/>
      <c r="KJ175" s="2860"/>
      <c r="KK175" s="2876"/>
      <c r="KL175" s="265"/>
      <c r="KM175" s="265"/>
      <c r="KN175" s="1016"/>
      <c r="KO175" s="2860"/>
      <c r="KP175" s="1862"/>
      <c r="KQ175" s="265"/>
      <c r="KR175" s="2877"/>
      <c r="KS175" s="265"/>
      <c r="KT175" s="158"/>
      <c r="KU175" s="3814"/>
      <c r="KV175" s="2861"/>
      <c r="KW175" s="2861"/>
      <c r="KX175" s="2861"/>
      <c r="KY175" s="2860"/>
      <c r="KZ175" s="357"/>
      <c r="LA175" s="358"/>
      <c r="LB175" s="358"/>
      <c r="LC175" s="358"/>
      <c r="LD175" s="2673"/>
      <c r="LE175" s="1854"/>
      <c r="LF175" s="1855"/>
      <c r="LG175" s="1855"/>
      <c r="LH175" s="1856"/>
      <c r="LI175" s="2866"/>
      <c r="LJ175" s="2863"/>
      <c r="LK175" s="2863"/>
      <c r="LL175" s="2864"/>
      <c r="LM175" s="1934"/>
      <c r="LN175" s="2878"/>
      <c r="LO175" s="2878"/>
      <c r="LP175" s="151"/>
      <c r="LQ175" s="2866"/>
      <c r="LR175" s="3813"/>
      <c r="LS175" s="3813"/>
      <c r="LT175" s="2867"/>
      <c r="LU175" s="1568"/>
      <c r="LV175" s="405"/>
      <c r="LW175" s="1575"/>
      <c r="LX175" s="1575"/>
      <c r="LY175" s="96"/>
      <c r="LZ175" s="78"/>
      <c r="MA175" s="439"/>
      <c r="MB175" s="208"/>
      <c r="MC175" s="208"/>
      <c r="MD175" s="96"/>
      <c r="ME175" s="78"/>
      <c r="MF175" s="405"/>
      <c r="MG175" s="1575"/>
      <c r="MH175" s="1575"/>
      <c r="MI175" s="371"/>
      <c r="MJ175" s="157"/>
      <c r="MK175" s="1866"/>
      <c r="ML175" s="1575"/>
      <c r="MM175" s="1575"/>
      <c r="MN175" s="371"/>
      <c r="MO175" s="157"/>
      <c r="MP175" s="355"/>
      <c r="MQ175" s="265"/>
      <c r="MR175" s="265"/>
      <c r="MS175" s="265"/>
      <c r="MT175" s="1313"/>
      <c r="MU175" s="1868"/>
      <c r="MV175" s="1575"/>
      <c r="MW175" s="1575"/>
      <c r="MX175" s="1575"/>
      <c r="MY175" s="1872"/>
      <c r="MZ175" s="1868"/>
      <c r="NA175" s="1575"/>
      <c r="NB175" s="1575"/>
      <c r="NC175" s="1575"/>
      <c r="ND175" s="1872"/>
      <c r="NE175" s="1868"/>
      <c r="NF175" s="1575"/>
      <c r="NG175" s="1575"/>
      <c r="NH175" s="1575"/>
      <c r="NI175" s="1872"/>
      <c r="NJ175" s="209"/>
      <c r="NK175" s="208"/>
      <c r="NL175" s="208"/>
      <c r="NM175" s="208"/>
      <c r="NN175" s="1313"/>
      <c r="NO175" s="1022"/>
      <c r="NP175" s="1568"/>
      <c r="NQ175" s="1871"/>
      <c r="NR175" s="1575"/>
      <c r="NS175" s="1313"/>
      <c r="NT175" s="357"/>
      <c r="NU175" s="358"/>
      <c r="NV175" s="358"/>
      <c r="NW175" s="358"/>
      <c r="NX175" s="2773"/>
      <c r="NY175" s="357"/>
      <c r="NZ175" s="358"/>
      <c r="OA175" s="358"/>
      <c r="OB175" s="994">
        <f>OA175-NZ175</f>
        <v>0</v>
      </c>
      <c r="OC175" s="114"/>
      <c r="OD175" s="191"/>
      <c r="OE175" s="358">
        <f>NZ175+NU175+NP175+NK175+NF175+NA175+MV175+MQ175+ML175+MG175+MB175+LW175</f>
        <v>0</v>
      </c>
      <c r="OF175" s="358">
        <f>OA175+NV175+NQ175+NL175+NG175+NB175+MW175+MR175+MM175+MH175+MC175+LX175</f>
        <v>0</v>
      </c>
      <c r="OG175" s="358">
        <f>OB175+NW175+NR175+NM175+NH175+NC175+MX175+MS175+MN175+MI175+MD175+LY175</f>
        <v>0</v>
      </c>
      <c r="OH175" s="220"/>
      <c r="OI175" s="1868"/>
      <c r="OJ175" s="1871"/>
      <c r="OK175" s="1575"/>
      <c r="OL175" s="1575"/>
      <c r="OM175" s="83"/>
      <c r="ON175" s="1868"/>
      <c r="OO175" s="1871"/>
      <c r="OP175" s="1575"/>
      <c r="OQ175" s="1575"/>
      <c r="OR175" s="2675"/>
      <c r="OS175" s="1868"/>
      <c r="OT175" s="1871"/>
      <c r="OU175" s="1575"/>
      <c r="OV175" s="1575"/>
      <c r="OW175" s="2675"/>
      <c r="OX175" s="357">
        <f>(NO175+NT175+NY175)/3</f>
        <v>0</v>
      </c>
      <c r="OY175" s="358">
        <f>NP175+NU175+NZ175</f>
        <v>0</v>
      </c>
      <c r="OZ175" s="358">
        <f>NQ175+NV175+OA175</f>
        <v>0</v>
      </c>
      <c r="PA175" s="359">
        <f>NR175+NW175+OB175</f>
        <v>0</v>
      </c>
      <c r="PB175" s="114"/>
      <c r="PC175" s="137"/>
      <c r="PD175" s="439"/>
      <c r="PE175" s="208">
        <v>305184</v>
      </c>
      <c r="PF175" s="208">
        <v>0</v>
      </c>
      <c r="PG175" s="2827">
        <f>PF175-PE175</f>
        <v>-305184</v>
      </c>
      <c r="PH175" s="2828" t="s">
        <v>851</v>
      </c>
      <c r="PI175" s="439">
        <v>72</v>
      </c>
      <c r="PJ175" s="208">
        <f>1909355+41888+22199+126545+79767</f>
        <v>2179754</v>
      </c>
      <c r="PK175" s="208">
        <v>0</v>
      </c>
      <c r="PL175" s="2829">
        <f>PK175-PJ175</f>
        <v>-2179754</v>
      </c>
      <c r="PM175" s="2828" t="s">
        <v>851</v>
      </c>
      <c r="PN175" s="2830">
        <v>110</v>
      </c>
      <c r="PO175" s="443">
        <f>4496073+1000000+173400+3507</f>
        <v>5672980</v>
      </c>
      <c r="PP175" s="443">
        <v>5081543</v>
      </c>
      <c r="PQ175" s="2831">
        <f>PP175-PO175</f>
        <v>-591437</v>
      </c>
      <c r="PR175" s="2832">
        <f>PQ175/PP175</f>
        <v>-0.1163892542088102</v>
      </c>
      <c r="PS175" s="2833">
        <v>106</v>
      </c>
      <c r="PT175" s="447">
        <f>(6260649+122064)+78135+44014+242314</f>
        <v>6747176</v>
      </c>
      <c r="PU175" s="447">
        <v>7856000</v>
      </c>
      <c r="PV175" s="2834">
        <f>PU175-PT175</f>
        <v>1108824</v>
      </c>
      <c r="PW175" s="2832">
        <f>PV175/PU175</f>
        <v>0.14114358452138492</v>
      </c>
      <c r="PX175" s="3815">
        <v>104</v>
      </c>
      <c r="PY175" s="3816">
        <f>6220353+79836+29606</f>
        <v>6329795</v>
      </c>
      <c r="PZ175" s="3816">
        <v>7856000</v>
      </c>
      <c r="QA175" s="3816">
        <f>PZ175-PY175</f>
        <v>1526205</v>
      </c>
      <c r="QB175" s="3817">
        <f>QA175/PZ175</f>
        <v>0.19427253054989815</v>
      </c>
      <c r="QC175" s="2836">
        <v>102</v>
      </c>
      <c r="QD175" s="447">
        <f>6025265+284281+153438</f>
        <v>6462984</v>
      </c>
      <c r="QE175" s="447">
        <v>7856000</v>
      </c>
      <c r="QF175" s="447">
        <f>QE175-QD175</f>
        <v>1393016</v>
      </c>
      <c r="QG175" s="3817">
        <f>QF175/QE175</f>
        <v>0.17731873727087577</v>
      </c>
      <c r="QH175" s="2837">
        <v>102</v>
      </c>
      <c r="QI175" s="447">
        <f>5964598+80644+169773+61394+6805+29439+8690</f>
        <v>6321343</v>
      </c>
      <c r="QJ175" s="447">
        <v>7856000</v>
      </c>
      <c r="QK175" s="447">
        <f>QJ175-QI175</f>
        <v>1534657</v>
      </c>
      <c r="QL175" s="3817">
        <f>QK175/QJ175</f>
        <v>0.19534839613034624</v>
      </c>
      <c r="QM175" s="439">
        <v>106</v>
      </c>
      <c r="QN175" s="208">
        <f>6075126+149045+60961</f>
        <v>6285132</v>
      </c>
      <c r="QO175" s="208">
        <v>7856000</v>
      </c>
      <c r="QP175" s="208">
        <f>QO175-QN175</f>
        <v>1570868</v>
      </c>
      <c r="QQ175" s="1872">
        <f>QP175/QO175</f>
        <v>0.19995773930753563</v>
      </c>
      <c r="QR175" s="209">
        <v>108</v>
      </c>
      <c r="QS175" s="208">
        <f>6315234</f>
        <v>6315234</v>
      </c>
      <c r="QT175" s="208">
        <v>7856000</v>
      </c>
      <c r="QU175" s="208">
        <f>QT175-QS175</f>
        <v>1540766</v>
      </c>
      <c r="QV175" s="157">
        <f>QU175/QT175</f>
        <v>0.19612601832993889</v>
      </c>
      <c r="QW175" s="209">
        <v>106</v>
      </c>
      <c r="QX175" s="208">
        <f>6265120+39192+29025+92398</f>
        <v>6425735</v>
      </c>
      <c r="QY175" s="208">
        <f>7856000-1924720</f>
        <v>5931280</v>
      </c>
      <c r="QZ175" s="2879">
        <f>QY175-QX175</f>
        <v>-494455</v>
      </c>
      <c r="RA175" s="2880">
        <f>QZ175/QY175</f>
        <v>-8.3363961910413939E-2</v>
      </c>
      <c r="RB175" s="357">
        <v>106</v>
      </c>
      <c r="RC175" s="358">
        <v>6229256</v>
      </c>
      <c r="RD175" s="208">
        <f>7856000-1924720+7998</f>
        <v>5939278</v>
      </c>
      <c r="RE175" s="2879">
        <f>RD175-RC175</f>
        <v>-289978</v>
      </c>
      <c r="RF175" s="2882">
        <f>RE175/RD175</f>
        <v>-4.8823779590717931E-2</v>
      </c>
      <c r="RG175" s="1857">
        <v>104</v>
      </c>
      <c r="RH175" s="208">
        <f>5340989+1000000</f>
        <v>6340989</v>
      </c>
      <c r="RI175" s="208">
        <f>7856000-549920</f>
        <v>7306080</v>
      </c>
      <c r="RJ175" s="994">
        <f>RI175-RH175</f>
        <v>965091</v>
      </c>
      <c r="RK175" s="114">
        <f>RJ175/RI175</f>
        <v>0.13209422836870113</v>
      </c>
      <c r="RL175" s="1567">
        <v>104</v>
      </c>
      <c r="RM175" s="1568">
        <f>RH175+RC175+QX175+QS175+QN175+QI175+QD175+PY175+PT175+PO175+PJ175+PE175</f>
        <v>65615562</v>
      </c>
      <c r="RN175" s="1568">
        <f>RI175+RD175+QY175+QT175+QO175+QJ175+QE175+PZ175+PU175+PP175+PK175+PF175</f>
        <v>71394181</v>
      </c>
      <c r="RO175" s="1568">
        <f>RJ175+RE175+QZ175+QU175+QP175+QK175+QF175+QA175+PV175+PQ175+PL175+PG175</f>
        <v>5778619</v>
      </c>
      <c r="RP175" s="220">
        <f>RO175/RN175</f>
        <v>8.0939635682633571E-2</v>
      </c>
      <c r="RQ175" s="3802">
        <f>(PD175+PI175+PN175)/3</f>
        <v>60.666666666666664</v>
      </c>
      <c r="RR175" s="96">
        <f>PE175+PJ175+PO175</f>
        <v>8157918</v>
      </c>
      <c r="RS175" s="96">
        <f>PF175+PK175+PP175</f>
        <v>5081543</v>
      </c>
      <c r="RT175" s="2827">
        <f>PG175+PL175+PQ175</f>
        <v>-3076375</v>
      </c>
      <c r="RU175" s="114">
        <f>RT175/RS175</f>
        <v>-0.60540174509986433</v>
      </c>
      <c r="RV175" s="2842">
        <v>102</v>
      </c>
      <c r="RW175" s="358">
        <f>PT175+PY175+QD175</f>
        <v>19539955</v>
      </c>
      <c r="RX175" s="358">
        <f>PU175+PZ175+QE175</f>
        <v>23568000</v>
      </c>
      <c r="RY175" s="359">
        <f>PV175+QA175+QF175</f>
        <v>4028045</v>
      </c>
      <c r="RZ175" s="169">
        <f>RY175/RX175</f>
        <v>0.17091161744738628</v>
      </c>
      <c r="SA175" s="607">
        <v>108</v>
      </c>
      <c r="SB175" s="137">
        <f>QS175+QN175+QI175</f>
        <v>18921709</v>
      </c>
      <c r="SC175" s="137">
        <f>QT175+QO175+QJ175</f>
        <v>23568000</v>
      </c>
      <c r="SD175" s="3803">
        <f>QU175+QP175+QK175</f>
        <v>4646291</v>
      </c>
      <c r="SE175" s="169">
        <f>SD175/SC175</f>
        <v>0.19714405125594026</v>
      </c>
      <c r="SF175" s="1567">
        <v>104</v>
      </c>
      <c r="SG175" s="358">
        <f>QX175+RC175+RH175</f>
        <v>18995980</v>
      </c>
      <c r="SH175" s="358">
        <f>QY175+RD175+RI175</f>
        <v>19176638</v>
      </c>
      <c r="SI175" s="359">
        <f>QZ175+RE175+RJ175</f>
        <v>180658</v>
      </c>
      <c r="SJ175" s="114">
        <f>SI175/SH175</f>
        <v>9.4207337073370211E-3</v>
      </c>
      <c r="SK175" s="1568"/>
      <c r="SL175" s="439">
        <v>106</v>
      </c>
      <c r="SM175" s="208">
        <f>5378443+151619</f>
        <v>5530062</v>
      </c>
      <c r="SN175" s="208">
        <f>7600000-549920</f>
        <v>7050080</v>
      </c>
      <c r="SO175" s="96">
        <f>SN175-SM175</f>
        <v>1520018</v>
      </c>
      <c r="SP175" s="78">
        <f>SO175/SN175</f>
        <v>0.21560294351269774</v>
      </c>
      <c r="SQ175" s="439">
        <v>106</v>
      </c>
      <c r="SR175" s="208">
        <v>5647813</v>
      </c>
      <c r="SS175" s="208">
        <f>6800000-532000</f>
        <v>6268000</v>
      </c>
      <c r="ST175" s="115">
        <f t="shared" si="682"/>
        <v>620187</v>
      </c>
      <c r="SU175" s="78">
        <f t="shared" si="683"/>
        <v>9.8944958519463944E-2</v>
      </c>
      <c r="SV175" s="2837">
        <v>96</v>
      </c>
      <c r="SW175" s="447">
        <f>5109132+103591+195820</f>
        <v>5408543</v>
      </c>
      <c r="SX175" s="447">
        <f>6194000-476000-309700</f>
        <v>5408300</v>
      </c>
      <c r="SY175" s="2834">
        <f t="shared" si="684"/>
        <v>-243</v>
      </c>
      <c r="SZ175" s="2838">
        <f t="shared" si="685"/>
        <v>-4.4930939481907436E-5</v>
      </c>
      <c r="TA175" s="1574"/>
      <c r="TB175" s="208">
        <v>0</v>
      </c>
      <c r="TC175" s="208">
        <v>0</v>
      </c>
      <c r="TD175" s="371">
        <f t="shared" si="686"/>
        <v>0</v>
      </c>
      <c r="TE175" s="157" t="s">
        <v>68</v>
      </c>
      <c r="TF175" s="354"/>
      <c r="TG175" s="208">
        <v>0</v>
      </c>
      <c r="TH175" s="208">
        <v>0</v>
      </c>
      <c r="TI175" s="208">
        <f t="shared" si="687"/>
        <v>0</v>
      </c>
      <c r="TJ175" s="2155">
        <v>0</v>
      </c>
      <c r="TK175" s="209"/>
      <c r="TL175" s="208"/>
      <c r="TM175" s="208"/>
      <c r="TN175" s="994">
        <f t="shared" si="689"/>
        <v>0</v>
      </c>
      <c r="TO175" s="2155">
        <v>0</v>
      </c>
      <c r="TP175" s="4432"/>
      <c r="TQ175" s="208">
        <v>0</v>
      </c>
      <c r="TR175" s="208">
        <v>0</v>
      </c>
      <c r="TS175" s="994">
        <f t="shared" si="691"/>
        <v>0</v>
      </c>
      <c r="TT175" s="2155">
        <v>0</v>
      </c>
      <c r="TU175" s="4432"/>
      <c r="TV175" s="208">
        <v>0</v>
      </c>
      <c r="TW175" s="208">
        <v>0</v>
      </c>
      <c r="TX175" s="772">
        <f t="shared" si="692"/>
        <v>0</v>
      </c>
      <c r="TY175" s="2155">
        <v>0</v>
      </c>
      <c r="TZ175" s="209"/>
      <c r="UA175" s="208">
        <v>0</v>
      </c>
      <c r="UB175" s="208">
        <v>0</v>
      </c>
      <c r="UC175" s="772">
        <f t="shared" si="693"/>
        <v>0</v>
      </c>
      <c r="UD175" s="2155">
        <v>0</v>
      </c>
      <c r="UE175" s="2002"/>
      <c r="UF175" s="1575">
        <v>0</v>
      </c>
      <c r="UG175" s="1575">
        <v>0</v>
      </c>
      <c r="UH175" s="2552">
        <f t="shared" si="698"/>
        <v>0</v>
      </c>
      <c r="UI175" s="222"/>
      <c r="UJ175" s="2735"/>
      <c r="UK175" s="2736"/>
      <c r="UL175" s="447"/>
      <c r="UM175" s="2839">
        <f>UL175-UK175</f>
        <v>0</v>
      </c>
      <c r="UN175" s="2840" t="e">
        <f>UM175/UL175</f>
        <v>#DIV/0!</v>
      </c>
      <c r="UO175" s="1567"/>
      <c r="UP175" s="1575"/>
      <c r="UQ175" s="1575"/>
      <c r="UR175" s="2552">
        <f>UQ175-UP175</f>
        <v>0</v>
      </c>
      <c r="US175" s="2826" t="e">
        <f>UR175/UQ175</f>
        <v>#DIV/0!</v>
      </c>
      <c r="UT175" s="1567"/>
      <c r="UU175" s="358">
        <f t="shared" si="700"/>
        <v>16586418</v>
      </c>
      <c r="UV175" s="358">
        <f t="shared" si="700"/>
        <v>18726380</v>
      </c>
      <c r="UW175" s="358">
        <f t="shared" si="700"/>
        <v>2139962</v>
      </c>
      <c r="UX175" s="220">
        <f t="shared" si="704"/>
        <v>0.11427526302467428</v>
      </c>
      <c r="UY175" s="1863">
        <f>(SL175+SQ175+SV175)/3</f>
        <v>102.66666666666667</v>
      </c>
      <c r="UZ175" s="105">
        <f t="shared" si="695"/>
        <v>16586418</v>
      </c>
      <c r="VA175" s="105">
        <f t="shared" si="695"/>
        <v>18726380</v>
      </c>
      <c r="VB175" s="105">
        <f t="shared" si="695"/>
        <v>2139962</v>
      </c>
      <c r="VC175" s="106">
        <f t="shared" si="696"/>
        <v>0.11427526302467428</v>
      </c>
      <c r="VD175" s="1868"/>
      <c r="VE175" s="358">
        <f t="shared" si="701"/>
        <v>0</v>
      </c>
      <c r="VF175" s="358">
        <f t="shared" si="701"/>
        <v>0</v>
      </c>
      <c r="VG175" s="359">
        <f t="shared" si="701"/>
        <v>0</v>
      </c>
      <c r="VH175" s="169">
        <v>0</v>
      </c>
      <c r="VI175" s="686"/>
      <c r="VJ175" s="146">
        <f t="shared" si="703"/>
        <v>0</v>
      </c>
      <c r="VK175" s="146">
        <f t="shared" si="703"/>
        <v>0</v>
      </c>
      <c r="VL175" s="1864">
        <f t="shared" si="703"/>
        <v>0</v>
      </c>
      <c r="VM175" s="203" t="e">
        <f>VL175/VK175</f>
        <v>#DIV/0!</v>
      </c>
      <c r="VN175" s="1567">
        <v>104</v>
      </c>
      <c r="VO175" s="358">
        <f>UF175+UK175+UP175</f>
        <v>0</v>
      </c>
      <c r="VP175" s="358">
        <f>UG175+UL175+UQ175</f>
        <v>0</v>
      </c>
      <c r="VQ175" s="359">
        <f>UH175+UM175+UR175</f>
        <v>0</v>
      </c>
      <c r="VR175" s="114" t="e">
        <f>VQ175/VP175</f>
        <v>#DIV/0!</v>
      </c>
    </row>
    <row r="176" spans="1:592" s="1193" customFormat="1" x14ac:dyDescent="0.3">
      <c r="A176" s="1297"/>
      <c r="B176" s="4602" t="s">
        <v>992</v>
      </c>
      <c r="C176" s="3810" t="s">
        <v>992</v>
      </c>
      <c r="D176" s="2844"/>
      <c r="E176" s="384"/>
      <c r="F176" s="384"/>
      <c r="G176" s="2161"/>
      <c r="H176" s="2845"/>
      <c r="I176" s="2846"/>
      <c r="J176" s="2846"/>
      <c r="K176" s="2846"/>
      <c r="L176" s="2847"/>
      <c r="M176" s="2845"/>
      <c r="N176" s="2846"/>
      <c r="O176" s="2846"/>
      <c r="P176" s="2846"/>
      <c r="Q176" s="2847"/>
      <c r="R176" s="2845"/>
      <c r="S176" s="2846"/>
      <c r="T176" s="2846"/>
      <c r="U176" s="2846"/>
      <c r="V176" s="2847"/>
      <c r="W176" s="2845"/>
      <c r="X176" s="2846"/>
      <c r="Y176" s="2846"/>
      <c r="Z176" s="2846"/>
      <c r="AA176" s="2848"/>
      <c r="AB176" s="2845"/>
      <c r="AC176" s="2846"/>
      <c r="AD176" s="2846"/>
      <c r="AE176" s="2846"/>
      <c r="AF176" s="2848"/>
      <c r="AG176" s="2846"/>
      <c r="AH176" s="2846"/>
      <c r="AI176" s="2846"/>
      <c r="AJ176" s="2846"/>
      <c r="AK176" s="2847"/>
      <c r="AL176" s="2846"/>
      <c r="AM176" s="2846"/>
      <c r="AN176" s="2846"/>
      <c r="AO176" s="2846"/>
      <c r="AP176" s="2847"/>
      <c r="AQ176" s="2846"/>
      <c r="AR176" s="2846"/>
      <c r="AS176" s="2846"/>
      <c r="AT176" s="2846"/>
      <c r="AU176" s="2847"/>
      <c r="AV176" s="2849"/>
      <c r="AW176" s="2846"/>
      <c r="AX176" s="2846"/>
      <c r="AY176" s="2846"/>
      <c r="AZ176" s="2848"/>
      <c r="BA176" s="2849"/>
      <c r="BB176" s="2846"/>
      <c r="BC176" s="2846"/>
      <c r="BD176" s="2846"/>
      <c r="BE176" s="2848"/>
      <c r="BF176" s="2849"/>
      <c r="BG176" s="2846"/>
      <c r="BH176" s="2846"/>
      <c r="BI176" s="2846"/>
      <c r="BJ176" s="2848"/>
      <c r="BK176" s="2849"/>
      <c r="BL176" s="2846"/>
      <c r="BM176" s="2846"/>
      <c r="BN176" s="2846"/>
      <c r="BO176" s="2848"/>
      <c r="BP176" s="2850"/>
      <c r="BQ176" s="2846"/>
      <c r="BR176" s="2846"/>
      <c r="BS176" s="2846"/>
      <c r="BT176" s="2851"/>
      <c r="BU176" s="2846"/>
      <c r="BV176" s="2846"/>
      <c r="BW176" s="2852"/>
      <c r="BX176" s="2851"/>
      <c r="BY176" s="2846"/>
      <c r="BZ176" s="2846"/>
      <c r="CA176" s="2853"/>
      <c r="CB176" s="2846"/>
      <c r="CC176" s="2846"/>
      <c r="CD176" s="2846"/>
      <c r="CE176" s="2846"/>
      <c r="CF176" s="2851"/>
      <c r="CG176" s="2846"/>
      <c r="CH176" s="2846"/>
      <c r="CI176" s="2853"/>
      <c r="CJ176" s="2854"/>
      <c r="CK176" s="2846"/>
      <c r="CL176" s="2846"/>
      <c r="CM176" s="2846"/>
      <c r="CN176" s="2852"/>
      <c r="CO176" s="2854"/>
      <c r="CP176" s="2845"/>
      <c r="CQ176" s="2845"/>
      <c r="CR176" s="2845"/>
      <c r="CS176" s="2852"/>
      <c r="CT176" s="2854"/>
      <c r="CU176" s="2846"/>
      <c r="CV176" s="2846"/>
      <c r="CW176" s="2846"/>
      <c r="CX176" s="2852"/>
      <c r="CY176" s="2854"/>
      <c r="CZ176" s="2846"/>
      <c r="DA176" s="2846"/>
      <c r="DB176" s="2846"/>
      <c r="DC176" s="2852"/>
      <c r="DD176" s="2854"/>
      <c r="DE176" s="2846"/>
      <c r="DF176" s="2846"/>
      <c r="DG176" s="2846"/>
      <c r="DH176" s="2855"/>
      <c r="DI176" s="2854"/>
      <c r="DJ176" s="2846"/>
      <c r="DK176" s="2846"/>
      <c r="DL176" s="2846"/>
      <c r="DM176" s="2855"/>
      <c r="DN176" s="2854"/>
      <c r="DO176" s="2846"/>
      <c r="DP176" s="2846"/>
      <c r="DQ176" s="2846"/>
      <c r="DR176" s="2855"/>
      <c r="DS176" s="2854"/>
      <c r="DT176" s="2846"/>
      <c r="DU176" s="2846"/>
      <c r="DV176" s="2846"/>
      <c r="DW176" s="2855"/>
      <c r="DX176" s="2854"/>
      <c r="DY176" s="2846"/>
      <c r="DZ176" s="2846"/>
      <c r="EA176" s="2846"/>
      <c r="EB176" s="2855"/>
      <c r="EC176" s="2854"/>
      <c r="ED176" s="2846"/>
      <c r="EE176" s="2846"/>
      <c r="EF176" s="2846"/>
      <c r="EG176" s="2855"/>
      <c r="EH176" s="1567"/>
      <c r="EI176" s="1568"/>
      <c r="EJ176" s="1568"/>
      <c r="EK176" s="1568"/>
      <c r="EL176" s="353"/>
      <c r="EM176" s="1857"/>
      <c r="EN176" s="358"/>
      <c r="EO176" s="358"/>
      <c r="EP176" s="358"/>
      <c r="EQ176" s="94"/>
      <c r="ER176" s="2856"/>
      <c r="ES176" s="2857"/>
      <c r="ET176" s="2857"/>
      <c r="EU176" s="2857"/>
      <c r="EV176" s="1867"/>
      <c r="EW176" s="1569"/>
      <c r="EX176" s="1569"/>
      <c r="EY176" s="1569"/>
      <c r="EZ176" s="210"/>
      <c r="FA176" s="1567"/>
      <c r="FB176" s="1569"/>
      <c r="FC176" s="1569"/>
      <c r="FD176" s="220"/>
      <c r="FE176" s="1569"/>
      <c r="FF176" s="1569"/>
      <c r="FG176" s="1569"/>
      <c r="FH176" s="210"/>
      <c r="FI176" s="580"/>
      <c r="FJ176" s="579"/>
      <c r="FK176" s="137"/>
      <c r="FL176" s="137"/>
      <c r="FM176" s="151"/>
      <c r="FN176" s="1569"/>
      <c r="FO176" s="1568"/>
      <c r="FP176" s="1568"/>
      <c r="FQ176" s="1568"/>
      <c r="FR176" s="408"/>
      <c r="FS176" s="2858"/>
      <c r="FT176" s="2859"/>
      <c r="FU176" s="2859"/>
      <c r="FV176" s="2859"/>
      <c r="FW176" s="2860"/>
      <c r="FX176" s="1567"/>
      <c r="FY176" s="1568"/>
      <c r="FZ176" s="1568"/>
      <c r="GA176" s="2859"/>
      <c r="GB176" s="2860"/>
      <c r="GC176" s="1567"/>
      <c r="GD176" s="1568"/>
      <c r="GE176" s="1568"/>
      <c r="GF176" s="358"/>
      <c r="GG176" s="94"/>
      <c r="GH176" s="1857"/>
      <c r="GI176" s="358"/>
      <c r="GJ176" s="358"/>
      <c r="GK176" s="2861"/>
      <c r="GL176" s="2860"/>
      <c r="GM176" s="1857"/>
      <c r="GN176" s="358"/>
      <c r="GO176" s="358"/>
      <c r="GP176" s="2861"/>
      <c r="GQ176" s="2860"/>
      <c r="GR176" s="358"/>
      <c r="GS176" s="358"/>
      <c r="GT176" s="358"/>
      <c r="GU176" s="2861"/>
      <c r="GV176" s="2860"/>
      <c r="GW176" s="358"/>
      <c r="GX176" s="358"/>
      <c r="GY176" s="358"/>
      <c r="GZ176" s="2861"/>
      <c r="HA176" s="2860"/>
      <c r="HB176" s="358"/>
      <c r="HC176" s="358"/>
      <c r="HD176" s="358"/>
      <c r="HE176" s="2861"/>
      <c r="HF176" s="2860"/>
      <c r="HG176" s="358"/>
      <c r="HH176" s="358"/>
      <c r="HI176" s="358"/>
      <c r="HJ176" s="358"/>
      <c r="HK176" s="2860"/>
      <c r="HL176" s="358"/>
      <c r="HM176" s="358"/>
      <c r="HN176" s="358"/>
      <c r="HO176" s="358"/>
      <c r="HP176" s="94"/>
      <c r="HQ176" s="1312"/>
      <c r="HR176" s="265"/>
      <c r="HS176" s="265"/>
      <c r="HT176" s="265"/>
      <c r="HU176" s="2862"/>
      <c r="HV176" s="359"/>
      <c r="HW176" s="208"/>
      <c r="HX176" s="208"/>
      <c r="HY176" s="208"/>
      <c r="HZ176" s="2552"/>
      <c r="IA176" s="1854"/>
      <c r="IB176" s="1855"/>
      <c r="IC176" s="1855"/>
      <c r="ID176" s="1856"/>
      <c r="IE176" s="1568"/>
      <c r="IF176" s="1568"/>
      <c r="IG176" s="2863"/>
      <c r="IH176" s="2864"/>
      <c r="II176" s="2865"/>
      <c r="IJ176" s="2863"/>
      <c r="IK176" s="2863"/>
      <c r="IL176" s="2673"/>
      <c r="IM176" s="2866"/>
      <c r="IN176" s="2863"/>
      <c r="IO176" s="2863"/>
      <c r="IP176" s="2867"/>
      <c r="IQ176" s="1568"/>
      <c r="IR176" s="2868"/>
      <c r="IS176" s="2015"/>
      <c r="IT176" s="2015"/>
      <c r="IU176" s="2869"/>
      <c r="IV176" s="2870"/>
      <c r="IW176" s="2858"/>
      <c r="IX176" s="2859"/>
      <c r="IY176" s="2859"/>
      <c r="IZ176" s="358"/>
      <c r="JA176" s="362"/>
      <c r="JB176" s="2871"/>
      <c r="JC176" s="1568"/>
      <c r="JD176" s="1568"/>
      <c r="JE176" s="2859"/>
      <c r="JF176" s="94"/>
      <c r="JG176" s="2871"/>
      <c r="JH176" s="1568"/>
      <c r="JI176" s="1568"/>
      <c r="JJ176" s="358"/>
      <c r="JK176" s="94"/>
      <c r="JL176" s="1857"/>
      <c r="JM176" s="358"/>
      <c r="JN176" s="358"/>
      <c r="JO176" s="2872"/>
      <c r="JP176" s="94"/>
      <c r="JQ176" s="2873"/>
      <c r="JR176" s="1025"/>
      <c r="JS176" s="265"/>
      <c r="JT176" s="358"/>
      <c r="JU176" s="2860"/>
      <c r="JV176" s="2874"/>
      <c r="JW176" s="358"/>
      <c r="JX176" s="358"/>
      <c r="JY176" s="2872"/>
      <c r="JZ176" s="2860"/>
      <c r="KA176" s="357"/>
      <c r="KB176" s="358"/>
      <c r="KC176" s="358"/>
      <c r="KD176" s="358"/>
      <c r="KE176" s="2860"/>
      <c r="KF176" s="2875"/>
      <c r="KG176" s="358"/>
      <c r="KH176" s="358"/>
      <c r="KI176" s="358"/>
      <c r="KJ176" s="94"/>
      <c r="KK176" s="2876"/>
      <c r="KL176" s="265"/>
      <c r="KM176" s="265"/>
      <c r="KN176" s="1016"/>
      <c r="KO176" s="2860"/>
      <c r="KP176" s="1862"/>
      <c r="KQ176" s="265"/>
      <c r="KR176" s="2877"/>
      <c r="KS176" s="265"/>
      <c r="KT176" s="158"/>
      <c r="KU176" s="357"/>
      <c r="KV176" s="358"/>
      <c r="KW176" s="358"/>
      <c r="KX176" s="358"/>
      <c r="KY176" s="94"/>
      <c r="KZ176" s="357"/>
      <c r="LA176" s="358"/>
      <c r="LB176" s="358"/>
      <c r="LC176" s="358"/>
      <c r="LD176" s="2673"/>
      <c r="LE176" s="1854"/>
      <c r="LF176" s="1855"/>
      <c r="LG176" s="1855"/>
      <c r="LH176" s="1856"/>
      <c r="LI176" s="1022"/>
      <c r="LJ176" s="1568"/>
      <c r="LK176" s="2863"/>
      <c r="LL176" s="2864"/>
      <c r="LM176" s="1934"/>
      <c r="LN176" s="2878"/>
      <c r="LO176" s="2878"/>
      <c r="LP176" s="151"/>
      <c r="LQ176" s="2866"/>
      <c r="LR176" s="2863"/>
      <c r="LS176" s="2863"/>
      <c r="LT176" s="2867"/>
      <c r="LU176" s="1568"/>
      <c r="LV176" s="405"/>
      <c r="LW176" s="1575"/>
      <c r="LX176" s="1575"/>
      <c r="LY176" s="96"/>
      <c r="LZ176" s="78"/>
      <c r="MA176" s="439"/>
      <c r="MB176" s="208"/>
      <c r="MC176" s="208"/>
      <c r="MD176" s="96"/>
      <c r="ME176" s="78"/>
      <c r="MF176" s="405"/>
      <c r="MG176" s="1575"/>
      <c r="MH176" s="1575"/>
      <c r="MI176" s="371"/>
      <c r="MJ176" s="157"/>
      <c r="MK176" s="1866"/>
      <c r="ML176" s="1575"/>
      <c r="MM176" s="1575"/>
      <c r="MN176" s="371"/>
      <c r="MO176" s="157"/>
      <c r="MP176" s="355"/>
      <c r="MQ176" s="265"/>
      <c r="MR176" s="265"/>
      <c r="MS176" s="265"/>
      <c r="MT176" s="1313"/>
      <c r="MU176" s="1868"/>
      <c r="MV176" s="1575"/>
      <c r="MW176" s="1575"/>
      <c r="MX176" s="1575"/>
      <c r="MY176" s="1872"/>
      <c r="MZ176" s="1868"/>
      <c r="NA176" s="1575"/>
      <c r="NB176" s="1575"/>
      <c r="NC176" s="1575"/>
      <c r="ND176" s="1872"/>
      <c r="NE176" s="1868"/>
      <c r="NF176" s="1575"/>
      <c r="NG176" s="1575"/>
      <c r="NH176" s="1575"/>
      <c r="NI176" s="1872"/>
      <c r="NJ176" s="209"/>
      <c r="NK176" s="208"/>
      <c r="NL176" s="208"/>
      <c r="NM176" s="208"/>
      <c r="NN176" s="1313"/>
      <c r="NO176" s="1022"/>
      <c r="NP176" s="1568"/>
      <c r="NQ176" s="1871"/>
      <c r="NR176" s="1575"/>
      <c r="NS176" s="1313"/>
      <c r="NT176" s="357"/>
      <c r="NU176" s="358"/>
      <c r="NV176" s="358"/>
      <c r="NW176" s="358"/>
      <c r="NX176" s="2773"/>
      <c r="NY176" s="357"/>
      <c r="NZ176" s="358"/>
      <c r="OA176" s="358"/>
      <c r="OB176" s="994"/>
      <c r="OC176" s="114"/>
      <c r="OD176" s="191"/>
      <c r="OE176" s="358"/>
      <c r="OF176" s="358"/>
      <c r="OG176" s="358"/>
      <c r="OH176" s="220"/>
      <c r="OI176" s="1868"/>
      <c r="OJ176" s="1871"/>
      <c r="OK176" s="1575"/>
      <c r="OL176" s="1575"/>
      <c r="OM176" s="83"/>
      <c r="ON176" s="1568"/>
      <c r="OO176" s="1568"/>
      <c r="OP176" s="1568"/>
      <c r="OQ176" s="1871"/>
      <c r="OR176" s="2675"/>
      <c r="OS176" s="1022"/>
      <c r="OT176" s="1568"/>
      <c r="OU176" s="1568"/>
      <c r="OV176" s="1871"/>
      <c r="OW176" s="2675"/>
      <c r="OX176" s="357"/>
      <c r="OY176" s="358"/>
      <c r="OZ176" s="358"/>
      <c r="PA176" s="359"/>
      <c r="PB176" s="114"/>
      <c r="PC176" s="137"/>
      <c r="PD176" s="439"/>
      <c r="PE176" s="208"/>
      <c r="PF176" s="208"/>
      <c r="PG176" s="2827"/>
      <c r="PH176" s="2828"/>
      <c r="PI176" s="439"/>
      <c r="PJ176" s="208"/>
      <c r="PK176" s="208"/>
      <c r="PL176" s="2829"/>
      <c r="PM176" s="2828"/>
      <c r="PN176" s="2830"/>
      <c r="PO176" s="443"/>
      <c r="PP176" s="443"/>
      <c r="PQ176" s="2831"/>
      <c r="PR176" s="2832"/>
      <c r="PS176" s="2833"/>
      <c r="PT176" s="447"/>
      <c r="PU176" s="447"/>
      <c r="PV176" s="2834"/>
      <c r="PW176" s="2832"/>
      <c r="PX176" s="3815"/>
      <c r="PY176" s="3816"/>
      <c r="PZ176" s="3816"/>
      <c r="QA176" s="3816"/>
      <c r="QB176" s="3817"/>
      <c r="QC176" s="2836"/>
      <c r="QD176" s="447"/>
      <c r="QE176" s="447"/>
      <c r="QF176" s="447"/>
      <c r="QG176" s="3817"/>
      <c r="QH176" s="2837"/>
      <c r="QI176" s="447"/>
      <c r="QJ176" s="447"/>
      <c r="QK176" s="447"/>
      <c r="QL176" s="3817"/>
      <c r="QM176" s="439"/>
      <c r="QN176" s="208"/>
      <c r="QO176" s="208"/>
      <c r="QP176" s="208"/>
      <c r="QQ176" s="1872"/>
      <c r="QR176" s="209"/>
      <c r="QS176" s="208"/>
      <c r="QT176" s="208"/>
      <c r="QU176" s="208"/>
      <c r="QV176" s="157"/>
      <c r="QW176" s="209"/>
      <c r="QX176" s="208"/>
      <c r="QY176" s="208"/>
      <c r="QZ176" s="2879"/>
      <c r="RA176" s="2880"/>
      <c r="RB176" s="357"/>
      <c r="RC176" s="358"/>
      <c r="RD176" s="358"/>
      <c r="RE176" s="2881"/>
      <c r="RF176" s="2882"/>
      <c r="RG176" s="1567"/>
      <c r="RH176" s="1568"/>
      <c r="RI176" s="1568"/>
      <c r="RJ176" s="2552"/>
      <c r="RK176" s="114"/>
      <c r="RL176" s="1569"/>
      <c r="RM176" s="1568"/>
      <c r="RN176" s="1568"/>
      <c r="RO176" s="1568"/>
      <c r="RP176" s="220"/>
      <c r="RQ176" s="3802"/>
      <c r="RR176" s="96"/>
      <c r="RS176" s="96"/>
      <c r="RT176" s="2827"/>
      <c r="RU176" s="114"/>
      <c r="RV176" s="4122"/>
      <c r="RW176" s="358"/>
      <c r="RX176" s="358"/>
      <c r="RY176" s="359"/>
      <c r="RZ176" s="169"/>
      <c r="SA176" s="607"/>
      <c r="SB176" s="137"/>
      <c r="SC176" s="137"/>
      <c r="SD176" s="3803"/>
      <c r="SE176" s="169"/>
      <c r="SF176" s="1567"/>
      <c r="SG176" s="358"/>
      <c r="SH176" s="358"/>
      <c r="SI176" s="359"/>
      <c r="SJ176" s="114"/>
      <c r="SK176" s="1568"/>
      <c r="SL176" s="439"/>
      <c r="SM176" s="208"/>
      <c r="SN176" s="208"/>
      <c r="SO176" s="96"/>
      <c r="SP176" s="78"/>
      <c r="SQ176" s="439"/>
      <c r="SR176" s="208"/>
      <c r="SS176" s="208"/>
      <c r="ST176" s="115"/>
      <c r="SU176" s="78"/>
      <c r="SV176" s="2837"/>
      <c r="SW176" s="447"/>
      <c r="SX176" s="447"/>
      <c r="SY176" s="2834"/>
      <c r="SZ176" s="2838"/>
      <c r="TA176" s="1574"/>
      <c r="TB176" s="208"/>
      <c r="TC176" s="208"/>
      <c r="TD176" s="371"/>
      <c r="TE176" s="157"/>
      <c r="TF176" s="1574">
        <v>1</v>
      </c>
      <c r="TG176" s="208">
        <v>54200</v>
      </c>
      <c r="TH176" s="208">
        <v>65000</v>
      </c>
      <c r="TI176" s="208">
        <f t="shared" si="687"/>
        <v>10800</v>
      </c>
      <c r="TJ176" s="114">
        <f t="shared" si="688"/>
        <v>0.16615384615384615</v>
      </c>
      <c r="TK176" s="209">
        <v>1</v>
      </c>
      <c r="TL176" s="208">
        <v>54200</v>
      </c>
      <c r="TM176" s="208">
        <v>59200</v>
      </c>
      <c r="TN176" s="994">
        <f t="shared" si="689"/>
        <v>5000</v>
      </c>
      <c r="TO176" s="114">
        <f t="shared" si="690"/>
        <v>8.4459459459459457E-2</v>
      </c>
      <c r="TP176" s="4432">
        <v>1</v>
      </c>
      <c r="TQ176" s="208">
        <v>54200</v>
      </c>
      <c r="TR176" s="208">
        <v>57632.67</v>
      </c>
      <c r="TS176" s="994">
        <f t="shared" si="691"/>
        <v>3432.6699999999983</v>
      </c>
      <c r="TT176" s="114">
        <f>TS176/TR176</f>
        <v>5.9561182919340684E-2</v>
      </c>
      <c r="TU176" s="4432">
        <v>1</v>
      </c>
      <c r="TV176" s="208">
        <v>48975</v>
      </c>
      <c r="TW176" s="208">
        <v>51670</v>
      </c>
      <c r="TX176" s="772">
        <f t="shared" si="692"/>
        <v>2695</v>
      </c>
      <c r="TY176" s="114">
        <f>TX176/TW176</f>
        <v>5.2157925295142252E-2</v>
      </c>
      <c r="TZ176" s="209">
        <v>1</v>
      </c>
      <c r="UA176" s="208">
        <v>19232.258064516129</v>
      </c>
      <c r="UB176" s="208">
        <v>21155.483870967742</v>
      </c>
      <c r="UC176" s="772">
        <f t="shared" si="693"/>
        <v>1923.2258064516136</v>
      </c>
      <c r="UD176" s="114">
        <f>UC176/UB176</f>
        <v>9.0909090909090939E-2</v>
      </c>
      <c r="UE176" s="2002"/>
      <c r="UF176" s="1575">
        <v>0</v>
      </c>
      <c r="UG176" s="1575">
        <v>0</v>
      </c>
      <c r="UH176" s="2552">
        <f t="shared" si="698"/>
        <v>0</v>
      </c>
      <c r="UI176" s="222" t="s">
        <v>1066</v>
      </c>
      <c r="UJ176" s="2735"/>
      <c r="UK176" s="2736"/>
      <c r="UL176" s="2736"/>
      <c r="UM176" s="2839"/>
      <c r="UN176" s="4123"/>
      <c r="UO176" s="1567"/>
      <c r="UP176" s="1568"/>
      <c r="UQ176" s="1568"/>
      <c r="UR176" s="2552"/>
      <c r="US176" s="106"/>
      <c r="UT176" s="1569"/>
      <c r="UU176" s="358">
        <f t="shared" si="700"/>
        <v>230807.25806451612</v>
      </c>
      <c r="UV176" s="358">
        <f t="shared" si="700"/>
        <v>254658.15387096774</v>
      </c>
      <c r="UW176" s="358">
        <f t="shared" si="700"/>
        <v>23850.895806451612</v>
      </c>
      <c r="UX176" s="220">
        <f t="shared" si="704"/>
        <v>9.3658480766873761E-2</v>
      </c>
      <c r="UY176" s="1863"/>
      <c r="UZ176" s="105"/>
      <c r="VA176" s="105"/>
      <c r="VB176" s="105"/>
      <c r="VC176" s="106"/>
      <c r="VD176" s="1568"/>
      <c r="VE176" s="358">
        <f t="shared" si="701"/>
        <v>108400</v>
      </c>
      <c r="VF176" s="358">
        <f t="shared" si="701"/>
        <v>124200</v>
      </c>
      <c r="VG176" s="359">
        <f t="shared" si="701"/>
        <v>15800</v>
      </c>
      <c r="VH176" s="169">
        <f t="shared" si="702"/>
        <v>0.12721417069243157</v>
      </c>
      <c r="VI176" s="686"/>
      <c r="VJ176" s="146">
        <f t="shared" si="703"/>
        <v>122407.25806451612</v>
      </c>
      <c r="VK176" s="146">
        <f t="shared" si="703"/>
        <v>130458.15387096774</v>
      </c>
      <c r="VL176" s="1864">
        <f t="shared" si="703"/>
        <v>8050.8958064516119</v>
      </c>
      <c r="VM176" s="203"/>
      <c r="VN176" s="1567"/>
      <c r="VO176" s="358"/>
      <c r="VP176" s="358"/>
      <c r="VQ176" s="359"/>
      <c r="VR176" s="114"/>
    </row>
    <row r="177" spans="1:745" s="1193" customFormat="1" x14ac:dyDescent="0.3">
      <c r="A177" s="1297"/>
      <c r="B177" s="4602" t="s">
        <v>1019</v>
      </c>
      <c r="C177" s="3810" t="s">
        <v>237</v>
      </c>
      <c r="D177" s="2844"/>
      <c r="E177" s="384"/>
      <c r="F177" s="384"/>
      <c r="G177" s="2161"/>
      <c r="H177" s="2845"/>
      <c r="I177" s="2846"/>
      <c r="J177" s="2846"/>
      <c r="K177" s="2846"/>
      <c r="L177" s="2847"/>
      <c r="M177" s="2845"/>
      <c r="N177" s="2846"/>
      <c r="O177" s="2846"/>
      <c r="P177" s="2846"/>
      <c r="Q177" s="2847"/>
      <c r="R177" s="2845"/>
      <c r="S177" s="2846"/>
      <c r="T177" s="2846"/>
      <c r="U177" s="2846"/>
      <c r="V177" s="2847"/>
      <c r="W177" s="2845"/>
      <c r="X177" s="2846"/>
      <c r="Y177" s="2846"/>
      <c r="Z177" s="2846"/>
      <c r="AA177" s="2848"/>
      <c r="AB177" s="2845"/>
      <c r="AC177" s="2846"/>
      <c r="AD177" s="2846"/>
      <c r="AE177" s="2846"/>
      <c r="AF177" s="2848"/>
      <c r="AG177" s="2846"/>
      <c r="AH177" s="2846"/>
      <c r="AI177" s="2846"/>
      <c r="AJ177" s="2846"/>
      <c r="AK177" s="2847"/>
      <c r="AL177" s="2846"/>
      <c r="AM177" s="2846"/>
      <c r="AN177" s="2846"/>
      <c r="AO177" s="2846"/>
      <c r="AP177" s="2847"/>
      <c r="AQ177" s="2846"/>
      <c r="AR177" s="2846"/>
      <c r="AS177" s="2846"/>
      <c r="AT177" s="2846"/>
      <c r="AU177" s="2847"/>
      <c r="AV177" s="2849"/>
      <c r="AW177" s="2846"/>
      <c r="AX177" s="2846"/>
      <c r="AY177" s="2846"/>
      <c r="AZ177" s="2848"/>
      <c r="BA177" s="2849"/>
      <c r="BB177" s="2846"/>
      <c r="BC177" s="2846"/>
      <c r="BD177" s="2846"/>
      <c r="BE177" s="2848"/>
      <c r="BF177" s="2849"/>
      <c r="BG177" s="2846"/>
      <c r="BH177" s="2846"/>
      <c r="BI177" s="2846"/>
      <c r="BJ177" s="2848"/>
      <c r="BK177" s="2849"/>
      <c r="BL177" s="2846"/>
      <c r="BM177" s="2846"/>
      <c r="BN177" s="2846"/>
      <c r="BO177" s="2848"/>
      <c r="BP177" s="2850"/>
      <c r="BQ177" s="2846"/>
      <c r="BR177" s="2846"/>
      <c r="BS177" s="2846"/>
      <c r="BT177" s="2851"/>
      <c r="BU177" s="2846"/>
      <c r="BV177" s="2846"/>
      <c r="BW177" s="2852"/>
      <c r="BX177" s="2851"/>
      <c r="BY177" s="2846"/>
      <c r="BZ177" s="2846"/>
      <c r="CA177" s="2853"/>
      <c r="CB177" s="2846"/>
      <c r="CC177" s="2846"/>
      <c r="CD177" s="2846"/>
      <c r="CE177" s="2846"/>
      <c r="CF177" s="2851"/>
      <c r="CG177" s="2846"/>
      <c r="CH177" s="2846"/>
      <c r="CI177" s="2853"/>
      <c r="CJ177" s="2854"/>
      <c r="CK177" s="2846"/>
      <c r="CL177" s="2846"/>
      <c r="CM177" s="2846"/>
      <c r="CN177" s="2852"/>
      <c r="CO177" s="2854"/>
      <c r="CP177" s="2845"/>
      <c r="CQ177" s="2845"/>
      <c r="CR177" s="2845"/>
      <c r="CS177" s="2852"/>
      <c r="CT177" s="2854"/>
      <c r="CU177" s="2846"/>
      <c r="CV177" s="2846"/>
      <c r="CW177" s="2846"/>
      <c r="CX177" s="2852"/>
      <c r="CY177" s="2854"/>
      <c r="CZ177" s="2846"/>
      <c r="DA177" s="2846"/>
      <c r="DB177" s="2846"/>
      <c r="DC177" s="2852"/>
      <c r="DD177" s="2854"/>
      <c r="DE177" s="2846"/>
      <c r="DF177" s="2846"/>
      <c r="DG177" s="2846"/>
      <c r="DH177" s="2855"/>
      <c r="DI177" s="2854"/>
      <c r="DJ177" s="2846"/>
      <c r="DK177" s="2846"/>
      <c r="DL177" s="2846"/>
      <c r="DM177" s="2855"/>
      <c r="DN177" s="2854"/>
      <c r="DO177" s="2846"/>
      <c r="DP177" s="2846"/>
      <c r="DQ177" s="2846"/>
      <c r="DR177" s="2855"/>
      <c r="DS177" s="2854"/>
      <c r="DT177" s="2846"/>
      <c r="DU177" s="2846"/>
      <c r="DV177" s="2846"/>
      <c r="DW177" s="2855"/>
      <c r="DX177" s="2854"/>
      <c r="DY177" s="2846"/>
      <c r="DZ177" s="2846"/>
      <c r="EA177" s="2846"/>
      <c r="EB177" s="2855"/>
      <c r="EC177" s="2854"/>
      <c r="ED177" s="2846"/>
      <c r="EE177" s="2846"/>
      <c r="EF177" s="2846"/>
      <c r="EG177" s="2855"/>
      <c r="EH177" s="1567"/>
      <c r="EI177" s="1568"/>
      <c r="EJ177" s="1568"/>
      <c r="EK177" s="1568"/>
      <c r="EL177" s="353"/>
      <c r="EM177" s="1857"/>
      <c r="EN177" s="358"/>
      <c r="EO177" s="358"/>
      <c r="EP177" s="358"/>
      <c r="EQ177" s="94"/>
      <c r="ER177" s="2856"/>
      <c r="ES177" s="2857"/>
      <c r="ET177" s="2857"/>
      <c r="EU177" s="2857"/>
      <c r="EV177" s="1867"/>
      <c r="EW177" s="1569"/>
      <c r="EX177" s="1569"/>
      <c r="EY177" s="1569"/>
      <c r="EZ177" s="210"/>
      <c r="FA177" s="1567"/>
      <c r="FB177" s="1569"/>
      <c r="FC177" s="1569"/>
      <c r="FD177" s="220"/>
      <c r="FE177" s="1569"/>
      <c r="FF177" s="1569"/>
      <c r="FG177" s="1569"/>
      <c r="FH177" s="210"/>
      <c r="FI177" s="580"/>
      <c r="FJ177" s="579"/>
      <c r="FK177" s="137"/>
      <c r="FL177" s="137"/>
      <c r="FM177" s="151"/>
      <c r="FN177" s="1569"/>
      <c r="FO177" s="1568"/>
      <c r="FP177" s="1568"/>
      <c r="FQ177" s="1568"/>
      <c r="FR177" s="408"/>
      <c r="FS177" s="2858"/>
      <c r="FT177" s="2859"/>
      <c r="FU177" s="2859"/>
      <c r="FV177" s="2859"/>
      <c r="FW177" s="2860"/>
      <c r="FX177" s="1567"/>
      <c r="FY177" s="1568"/>
      <c r="FZ177" s="1568"/>
      <c r="GA177" s="2859"/>
      <c r="GB177" s="2860"/>
      <c r="GC177" s="1567"/>
      <c r="GD177" s="1568"/>
      <c r="GE177" s="1568"/>
      <c r="GF177" s="358"/>
      <c r="GG177" s="94"/>
      <c r="GH177" s="1857"/>
      <c r="GI177" s="358"/>
      <c r="GJ177" s="358"/>
      <c r="GK177" s="2861"/>
      <c r="GL177" s="2860"/>
      <c r="GM177" s="1857"/>
      <c r="GN177" s="358"/>
      <c r="GO177" s="358"/>
      <c r="GP177" s="2861"/>
      <c r="GQ177" s="2860"/>
      <c r="GR177" s="358"/>
      <c r="GS177" s="358"/>
      <c r="GT177" s="358"/>
      <c r="GU177" s="2861"/>
      <c r="GV177" s="2860"/>
      <c r="GW177" s="358"/>
      <c r="GX177" s="358"/>
      <c r="GY177" s="358"/>
      <c r="GZ177" s="2861"/>
      <c r="HA177" s="2860"/>
      <c r="HB177" s="358"/>
      <c r="HC177" s="358"/>
      <c r="HD177" s="358"/>
      <c r="HE177" s="2861"/>
      <c r="HF177" s="2860"/>
      <c r="HG177" s="358"/>
      <c r="HH177" s="358"/>
      <c r="HI177" s="358"/>
      <c r="HJ177" s="358"/>
      <c r="HK177" s="2860"/>
      <c r="HL177" s="358"/>
      <c r="HM177" s="358"/>
      <c r="HN177" s="358"/>
      <c r="HO177" s="358"/>
      <c r="HP177" s="94"/>
      <c r="HQ177" s="1312"/>
      <c r="HR177" s="265"/>
      <c r="HS177" s="265"/>
      <c r="HT177" s="265"/>
      <c r="HU177" s="2862"/>
      <c r="HV177" s="359"/>
      <c r="HW177" s="208"/>
      <c r="HX177" s="208"/>
      <c r="HY177" s="208"/>
      <c r="HZ177" s="2552"/>
      <c r="IA177" s="1854"/>
      <c r="IB177" s="1855"/>
      <c r="IC177" s="1855"/>
      <c r="ID177" s="1856"/>
      <c r="IE177" s="1568"/>
      <c r="IF177" s="1568"/>
      <c r="IG177" s="2863"/>
      <c r="IH177" s="2864"/>
      <c r="II177" s="2865"/>
      <c r="IJ177" s="2863"/>
      <c r="IK177" s="2863"/>
      <c r="IL177" s="2673"/>
      <c r="IM177" s="2866"/>
      <c r="IN177" s="2863"/>
      <c r="IO177" s="2863"/>
      <c r="IP177" s="2867"/>
      <c r="IQ177" s="1568"/>
      <c r="IR177" s="2868"/>
      <c r="IS177" s="2015"/>
      <c r="IT177" s="2015"/>
      <c r="IU177" s="2869"/>
      <c r="IV177" s="2870"/>
      <c r="IW177" s="2858"/>
      <c r="IX177" s="2859"/>
      <c r="IY177" s="2859"/>
      <c r="IZ177" s="358"/>
      <c r="JA177" s="362"/>
      <c r="JB177" s="2871"/>
      <c r="JC177" s="1568"/>
      <c r="JD177" s="1568"/>
      <c r="JE177" s="2859"/>
      <c r="JF177" s="94"/>
      <c r="JG177" s="2871"/>
      <c r="JH177" s="1568"/>
      <c r="JI177" s="1568"/>
      <c r="JJ177" s="358"/>
      <c r="JK177" s="94"/>
      <c r="JL177" s="1857"/>
      <c r="JM177" s="358"/>
      <c r="JN177" s="358"/>
      <c r="JO177" s="2872"/>
      <c r="JP177" s="94"/>
      <c r="JQ177" s="2873"/>
      <c r="JR177" s="1025"/>
      <c r="JS177" s="265"/>
      <c r="JT177" s="358"/>
      <c r="JU177" s="2860"/>
      <c r="JV177" s="2874"/>
      <c r="JW177" s="358"/>
      <c r="JX177" s="358"/>
      <c r="JY177" s="2872"/>
      <c r="JZ177" s="2860"/>
      <c r="KA177" s="357"/>
      <c r="KB177" s="358"/>
      <c r="KC177" s="358"/>
      <c r="KD177" s="358"/>
      <c r="KE177" s="2860"/>
      <c r="KF177" s="2875"/>
      <c r="KG177" s="358"/>
      <c r="KH177" s="358"/>
      <c r="KI177" s="358"/>
      <c r="KJ177" s="94"/>
      <c r="KK177" s="2876"/>
      <c r="KL177" s="265"/>
      <c r="KM177" s="265"/>
      <c r="KN177" s="1016"/>
      <c r="KO177" s="2860"/>
      <c r="KP177" s="1862"/>
      <c r="KQ177" s="265"/>
      <c r="KR177" s="2877"/>
      <c r="KS177" s="265"/>
      <c r="KT177" s="158"/>
      <c r="KU177" s="357"/>
      <c r="KV177" s="358"/>
      <c r="KW177" s="358"/>
      <c r="KX177" s="358"/>
      <c r="KY177" s="94"/>
      <c r="KZ177" s="357"/>
      <c r="LA177" s="358"/>
      <c r="LB177" s="358"/>
      <c r="LC177" s="358"/>
      <c r="LD177" s="2673"/>
      <c r="LE177" s="1854"/>
      <c r="LF177" s="1855"/>
      <c r="LG177" s="1855"/>
      <c r="LH177" s="1856"/>
      <c r="LI177" s="1022"/>
      <c r="LJ177" s="1568"/>
      <c r="LK177" s="2863"/>
      <c r="LL177" s="2864"/>
      <c r="LM177" s="1934"/>
      <c r="LN177" s="2878"/>
      <c r="LO177" s="2878"/>
      <c r="LP177" s="151"/>
      <c r="LQ177" s="2866"/>
      <c r="LR177" s="2863"/>
      <c r="LS177" s="2863"/>
      <c r="LT177" s="2867"/>
      <c r="LU177" s="1568"/>
      <c r="LV177" s="405"/>
      <c r="LW177" s="1575"/>
      <c r="LX177" s="1575"/>
      <c r="LY177" s="96"/>
      <c r="LZ177" s="78"/>
      <c r="MA177" s="439"/>
      <c r="MB177" s="208"/>
      <c r="MC177" s="208"/>
      <c r="MD177" s="96"/>
      <c r="ME177" s="78"/>
      <c r="MF177" s="405"/>
      <c r="MG177" s="1575"/>
      <c r="MH177" s="1575"/>
      <c r="MI177" s="371"/>
      <c r="MJ177" s="157"/>
      <c r="MK177" s="1866"/>
      <c r="ML177" s="1575"/>
      <c r="MM177" s="1575"/>
      <c r="MN177" s="371"/>
      <c r="MO177" s="157"/>
      <c r="MP177" s="355"/>
      <c r="MQ177" s="265"/>
      <c r="MR177" s="265"/>
      <c r="MS177" s="265"/>
      <c r="MT177" s="1313"/>
      <c r="MU177" s="1868"/>
      <c r="MV177" s="1575"/>
      <c r="MW177" s="1575"/>
      <c r="MX177" s="1575"/>
      <c r="MY177" s="1872"/>
      <c r="MZ177" s="1868"/>
      <c r="NA177" s="1575"/>
      <c r="NB177" s="1575"/>
      <c r="NC177" s="1575"/>
      <c r="ND177" s="1872"/>
      <c r="NE177" s="1868"/>
      <c r="NF177" s="1575"/>
      <c r="NG177" s="1575"/>
      <c r="NH177" s="1575"/>
      <c r="NI177" s="1872"/>
      <c r="NJ177" s="209"/>
      <c r="NK177" s="208"/>
      <c r="NL177" s="208"/>
      <c r="NM177" s="208"/>
      <c r="NN177" s="1313"/>
      <c r="NO177" s="1022"/>
      <c r="NP177" s="1568"/>
      <c r="NQ177" s="1871"/>
      <c r="NR177" s="1575"/>
      <c r="NS177" s="1313"/>
      <c r="NT177" s="357"/>
      <c r="NU177" s="358"/>
      <c r="NV177" s="358"/>
      <c r="NW177" s="358"/>
      <c r="NX177" s="2773"/>
      <c r="NY177" s="357"/>
      <c r="NZ177" s="358"/>
      <c r="OA177" s="358"/>
      <c r="OB177" s="994"/>
      <c r="OC177" s="114"/>
      <c r="OD177" s="191"/>
      <c r="OE177" s="358"/>
      <c r="OF177" s="358"/>
      <c r="OG177" s="358"/>
      <c r="OH177" s="220"/>
      <c r="OI177" s="1868"/>
      <c r="OJ177" s="1871"/>
      <c r="OK177" s="1575"/>
      <c r="OL177" s="1575"/>
      <c r="OM177" s="83"/>
      <c r="ON177" s="1568"/>
      <c r="OO177" s="1568"/>
      <c r="OP177" s="1568"/>
      <c r="OQ177" s="1871"/>
      <c r="OR177" s="2675"/>
      <c r="OS177" s="1022"/>
      <c r="OT177" s="1568"/>
      <c r="OU177" s="1568"/>
      <c r="OV177" s="1871"/>
      <c r="OW177" s="2675"/>
      <c r="OX177" s="357"/>
      <c r="OY177" s="358"/>
      <c r="OZ177" s="358"/>
      <c r="PA177" s="359"/>
      <c r="PB177" s="114"/>
      <c r="PC177" s="137"/>
      <c r="PD177" s="439"/>
      <c r="PE177" s="208"/>
      <c r="PF177" s="208"/>
      <c r="PG177" s="2827"/>
      <c r="PH177" s="2828"/>
      <c r="PI177" s="439"/>
      <c r="PJ177" s="208"/>
      <c r="PK177" s="208"/>
      <c r="PL177" s="2829"/>
      <c r="PM177" s="2828"/>
      <c r="PN177" s="2830"/>
      <c r="PO177" s="443"/>
      <c r="PP177" s="443"/>
      <c r="PQ177" s="2831"/>
      <c r="PR177" s="2832"/>
      <c r="PS177" s="2833"/>
      <c r="PT177" s="447"/>
      <c r="PU177" s="447"/>
      <c r="PV177" s="2834"/>
      <c r="PW177" s="2832"/>
      <c r="PX177" s="3815"/>
      <c r="PY177" s="3816"/>
      <c r="PZ177" s="3816"/>
      <c r="QA177" s="3816"/>
      <c r="QB177" s="3817"/>
      <c r="QC177" s="2836"/>
      <c r="QD177" s="447"/>
      <c r="QE177" s="447"/>
      <c r="QF177" s="447"/>
      <c r="QG177" s="3817"/>
      <c r="QH177" s="2837"/>
      <c r="QI177" s="447"/>
      <c r="QJ177" s="447"/>
      <c r="QK177" s="447"/>
      <c r="QL177" s="3817"/>
      <c r="QM177" s="439"/>
      <c r="QN177" s="208"/>
      <c r="QO177" s="208"/>
      <c r="QP177" s="208"/>
      <c r="QQ177" s="1872"/>
      <c r="QR177" s="209"/>
      <c r="QS177" s="208"/>
      <c r="QT177" s="208"/>
      <c r="QU177" s="208"/>
      <c r="QV177" s="157"/>
      <c r="QW177" s="209"/>
      <c r="QX177" s="208"/>
      <c r="QY177" s="208"/>
      <c r="QZ177" s="2879"/>
      <c r="RA177" s="2880"/>
      <c r="RB177" s="357"/>
      <c r="RC177" s="358"/>
      <c r="RD177" s="358"/>
      <c r="RE177" s="2881"/>
      <c r="RF177" s="2882"/>
      <c r="RG177" s="1567"/>
      <c r="RH177" s="1568"/>
      <c r="RI177" s="1568"/>
      <c r="RJ177" s="2552"/>
      <c r="RK177" s="114"/>
      <c r="RL177" s="1569"/>
      <c r="RM177" s="1568"/>
      <c r="RN177" s="1568"/>
      <c r="RO177" s="1568"/>
      <c r="RP177" s="220"/>
      <c r="RQ177" s="3802"/>
      <c r="RR177" s="96"/>
      <c r="RS177" s="96"/>
      <c r="RT177" s="2827"/>
      <c r="RU177" s="114"/>
      <c r="RV177" s="4122"/>
      <c r="RW177" s="358"/>
      <c r="RX177" s="358"/>
      <c r="RY177" s="359"/>
      <c r="RZ177" s="169"/>
      <c r="SA177" s="607"/>
      <c r="SB177" s="137"/>
      <c r="SC177" s="137"/>
      <c r="SD177" s="3803"/>
      <c r="SE177" s="169"/>
      <c r="SF177" s="1567"/>
      <c r="SG177" s="358"/>
      <c r="SH177" s="358"/>
      <c r="SI177" s="359"/>
      <c r="SJ177" s="114"/>
      <c r="SK177" s="1568"/>
      <c r="SL177" s="439"/>
      <c r="SM177" s="208"/>
      <c r="SN177" s="208"/>
      <c r="SO177" s="96"/>
      <c r="SP177" s="78"/>
      <c r="SQ177" s="439"/>
      <c r="SR177" s="208"/>
      <c r="SS177" s="208"/>
      <c r="ST177" s="115"/>
      <c r="SU177" s="78"/>
      <c r="SV177" s="2837"/>
      <c r="SW177" s="447"/>
      <c r="SX177" s="447"/>
      <c r="SY177" s="2834"/>
      <c r="SZ177" s="2838"/>
      <c r="TA177" s="1574"/>
      <c r="TB177" s="208"/>
      <c r="TC177" s="208"/>
      <c r="TD177" s="371"/>
      <c r="TE177" s="157"/>
      <c r="TF177" s="1574"/>
      <c r="TG177" s="208"/>
      <c r="TH177" s="208"/>
      <c r="TI177" s="208"/>
      <c r="TJ177" s="114"/>
      <c r="TK177" s="209"/>
      <c r="TL177" s="208"/>
      <c r="TM177" s="208"/>
      <c r="TN177" s="994"/>
      <c r="TO177" s="114"/>
      <c r="TP177" s="4432">
        <v>1</v>
      </c>
      <c r="TQ177" s="208">
        <v>22549</v>
      </c>
      <c r="TR177" s="208">
        <v>28572</v>
      </c>
      <c r="TS177" s="994">
        <f t="shared" si="691"/>
        <v>6023</v>
      </c>
      <c r="TT177" s="114">
        <f>TS177/TR177</f>
        <v>0.21080078398432031</v>
      </c>
      <c r="TU177" s="4432">
        <v>1</v>
      </c>
      <c r="TV177" s="208">
        <v>60000</v>
      </c>
      <c r="TW177" s="208">
        <v>75000</v>
      </c>
      <c r="TX177" s="772">
        <f t="shared" si="692"/>
        <v>15000</v>
      </c>
      <c r="TY177" s="114">
        <f>TX177/TW177</f>
        <v>0.2</v>
      </c>
      <c r="TZ177" s="209">
        <v>1</v>
      </c>
      <c r="UA177" s="208">
        <v>60000</v>
      </c>
      <c r="UB177" s="208">
        <v>75000</v>
      </c>
      <c r="UC177" s="772">
        <f t="shared" si="693"/>
        <v>15000</v>
      </c>
      <c r="UD177" s="114">
        <f>UC177/UB177</f>
        <v>0.2</v>
      </c>
      <c r="UE177" s="2002">
        <v>1</v>
      </c>
      <c r="UF177" s="1575">
        <v>60000</v>
      </c>
      <c r="UG177" s="1575">
        <v>75000</v>
      </c>
      <c r="UH177" s="2552">
        <f t="shared" si="698"/>
        <v>15000</v>
      </c>
      <c r="UI177" s="222">
        <f t="shared" si="699"/>
        <v>0.2</v>
      </c>
      <c r="UJ177" s="2735"/>
      <c r="UK177" s="2736"/>
      <c r="UL177" s="2736"/>
      <c r="UM177" s="2839"/>
      <c r="UN177" s="4123"/>
      <c r="UO177" s="1567"/>
      <c r="UP177" s="1568"/>
      <c r="UQ177" s="1568"/>
      <c r="UR177" s="2552"/>
      <c r="US177" s="106"/>
      <c r="UT177" s="1569"/>
      <c r="UU177" s="358">
        <f t="shared" si="700"/>
        <v>202549</v>
      </c>
      <c r="UV177" s="358">
        <f t="shared" si="700"/>
        <v>253572</v>
      </c>
      <c r="UW177" s="358">
        <f t="shared" si="700"/>
        <v>51023</v>
      </c>
      <c r="UX177" s="220">
        <f>UW177/UV177</f>
        <v>0.20121701134194628</v>
      </c>
      <c r="UY177" s="1863"/>
      <c r="UZ177" s="105"/>
      <c r="VA177" s="105"/>
      <c r="VB177" s="105"/>
      <c r="VC177" s="106"/>
      <c r="VD177" s="1568"/>
      <c r="VE177" s="358"/>
      <c r="VF177" s="358"/>
      <c r="VG177" s="359"/>
      <c r="VH177" s="169"/>
      <c r="VI177" s="686"/>
      <c r="VJ177" s="146"/>
      <c r="VK177" s="146">
        <f t="shared" si="703"/>
        <v>178572</v>
      </c>
      <c r="VL177" s="1864"/>
      <c r="VM177" s="203"/>
      <c r="VN177" s="1567"/>
      <c r="VO177" s="358"/>
      <c r="VP177" s="358"/>
      <c r="VQ177" s="359"/>
      <c r="VR177" s="114"/>
    </row>
    <row r="178" spans="1:745" s="2370" customFormat="1" ht="13.45" x14ac:dyDescent="0.3">
      <c r="A178" s="2352"/>
      <c r="B178" s="6149" t="s">
        <v>1047</v>
      </c>
      <c r="C178" s="5256" t="s">
        <v>982</v>
      </c>
      <c r="D178" s="1992"/>
      <c r="E178" s="1993"/>
      <c r="F178" s="1993"/>
      <c r="G178" s="1994"/>
      <c r="H178" s="2031"/>
      <c r="I178" s="1914"/>
      <c r="J178" s="1914"/>
      <c r="K178" s="1914"/>
      <c r="L178" s="593"/>
      <c r="M178" s="2031"/>
      <c r="N178" s="1914"/>
      <c r="O178" s="1914"/>
      <c r="P178" s="1914"/>
      <c r="Q178" s="593"/>
      <c r="R178" s="2031"/>
      <c r="S178" s="1914"/>
      <c r="T178" s="1914"/>
      <c r="U178" s="1914"/>
      <c r="V178" s="593"/>
      <c r="W178" s="2031"/>
      <c r="X178" s="1914"/>
      <c r="Y178" s="1914"/>
      <c r="Z178" s="1914"/>
      <c r="AA178" s="2032"/>
      <c r="AB178" s="2031"/>
      <c r="AC178" s="1914"/>
      <c r="AD178" s="1914"/>
      <c r="AE178" s="1914"/>
      <c r="AF178" s="2032"/>
      <c r="AG178" s="1914"/>
      <c r="AH178" s="1914"/>
      <c r="AI178" s="1914"/>
      <c r="AJ178" s="1914"/>
      <c r="AK178" s="593"/>
      <c r="AL178" s="1914"/>
      <c r="AM178" s="1914"/>
      <c r="AN178" s="1914"/>
      <c r="AO178" s="1914"/>
      <c r="AP178" s="593"/>
      <c r="AQ178" s="1914"/>
      <c r="AR178" s="1914"/>
      <c r="AS178" s="1914"/>
      <c r="AT178" s="1914"/>
      <c r="AU178" s="593"/>
      <c r="AV178" s="2033"/>
      <c r="AW178" s="1914"/>
      <c r="AX178" s="1914"/>
      <c r="AY178" s="1914"/>
      <c r="AZ178" s="2032"/>
      <c r="BA178" s="2033"/>
      <c r="BB178" s="1914"/>
      <c r="BC178" s="1914"/>
      <c r="BD178" s="1914"/>
      <c r="BE178" s="2032"/>
      <c r="BF178" s="2033"/>
      <c r="BG178" s="1914"/>
      <c r="BH178" s="1914"/>
      <c r="BI178" s="1914"/>
      <c r="BJ178" s="2032"/>
      <c r="BK178" s="2033"/>
      <c r="BL178" s="1914"/>
      <c r="BM178" s="1914"/>
      <c r="BN178" s="1914"/>
      <c r="BO178" s="2032"/>
      <c r="BP178" s="2034"/>
      <c r="BQ178" s="1914"/>
      <c r="BR178" s="1914"/>
      <c r="BS178" s="1914"/>
      <c r="BT178" s="2035"/>
      <c r="BU178" s="1914"/>
      <c r="BV178" s="1914"/>
      <c r="BW178" s="2036"/>
      <c r="BX178" s="2035"/>
      <c r="BY178" s="1914"/>
      <c r="BZ178" s="1914"/>
      <c r="CA178" s="2010"/>
      <c r="CB178" s="1914"/>
      <c r="CC178" s="1914"/>
      <c r="CD178" s="1914"/>
      <c r="CE178" s="1914"/>
      <c r="CF178" s="2035"/>
      <c r="CG178" s="1914"/>
      <c r="CH178" s="1914"/>
      <c r="CI178" s="2010"/>
      <c r="CJ178" s="2037"/>
      <c r="CK178" s="1914"/>
      <c r="CL178" s="1914"/>
      <c r="CM178" s="1914"/>
      <c r="CN178" s="2036"/>
      <c r="CO178" s="2037"/>
      <c r="CP178" s="2031"/>
      <c r="CQ178" s="2031"/>
      <c r="CR178" s="2031"/>
      <c r="CS178" s="2036"/>
      <c r="CT178" s="2037"/>
      <c r="CU178" s="1914"/>
      <c r="CV178" s="1914"/>
      <c r="CW178" s="1914"/>
      <c r="CX178" s="2036"/>
      <c r="CY178" s="2037"/>
      <c r="CZ178" s="1914"/>
      <c r="DA178" s="1914"/>
      <c r="DB178" s="1914"/>
      <c r="DC178" s="2036"/>
      <c r="DD178" s="2037"/>
      <c r="DE178" s="1914"/>
      <c r="DF178" s="1914"/>
      <c r="DG178" s="1914"/>
      <c r="DH178" s="2038"/>
      <c r="DI178" s="2037"/>
      <c r="DJ178" s="1914"/>
      <c r="DK178" s="1914"/>
      <c r="DL178" s="1914"/>
      <c r="DM178" s="2038"/>
      <c r="DN178" s="2037"/>
      <c r="DO178" s="1914"/>
      <c r="DP178" s="1914"/>
      <c r="DQ178" s="1914"/>
      <c r="DR178" s="2038"/>
      <c r="DS178" s="2037"/>
      <c r="DT178" s="1914"/>
      <c r="DU178" s="1914"/>
      <c r="DV178" s="1914"/>
      <c r="DW178" s="2038"/>
      <c r="DX178" s="2037"/>
      <c r="DY178" s="1914"/>
      <c r="DZ178" s="1914"/>
      <c r="EA178" s="1914"/>
      <c r="EB178" s="2038"/>
      <c r="EC178" s="2037"/>
      <c r="ED178" s="1914"/>
      <c r="EE178" s="1914"/>
      <c r="EF178" s="1914"/>
      <c r="EG178" s="2038"/>
      <c r="EH178" s="2037"/>
      <c r="EI178" s="1914"/>
      <c r="EJ178" s="1914"/>
      <c r="EK178" s="1914"/>
      <c r="EL178" s="2038"/>
      <c r="EM178" s="1910"/>
      <c r="EN178" s="715"/>
      <c r="EO178" s="715"/>
      <c r="EP178" s="715"/>
      <c r="EQ178" s="366"/>
      <c r="ER178" s="2402"/>
      <c r="ES178" s="2403"/>
      <c r="ET178" s="2403"/>
      <c r="EU178" s="2403"/>
      <c r="EV178" s="2404"/>
      <c r="EW178" s="2031"/>
      <c r="EX178" s="2031"/>
      <c r="EY178" s="2031"/>
      <c r="EZ178" s="593"/>
      <c r="FA178" s="2037"/>
      <c r="FB178" s="2031"/>
      <c r="FC178" s="2031"/>
      <c r="FD178" s="2036"/>
      <c r="FE178" s="2031"/>
      <c r="FF178" s="2031"/>
      <c r="FG178" s="2031"/>
      <c r="FH178" s="593"/>
      <c r="FI178" s="2039"/>
      <c r="FJ178" s="2040"/>
      <c r="FK178" s="2041"/>
      <c r="FL178" s="2041"/>
      <c r="FM178" s="693"/>
      <c r="FN178" s="2031"/>
      <c r="FO178" s="1914"/>
      <c r="FP178" s="1914"/>
      <c r="FQ178" s="1914"/>
      <c r="FR178" s="2032"/>
      <c r="FS178" s="1910"/>
      <c r="FT178" s="715"/>
      <c r="FU178" s="715"/>
      <c r="FV178" s="715"/>
      <c r="FW178" s="366"/>
      <c r="FX178" s="2037"/>
      <c r="FY178" s="1914"/>
      <c r="FZ178" s="1914"/>
      <c r="GA178" s="715"/>
      <c r="GB178" s="366"/>
      <c r="GC178" s="2110"/>
      <c r="GD178" s="2111"/>
      <c r="GE178" s="2111"/>
      <c r="GF178" s="715"/>
      <c r="GG178" s="366"/>
      <c r="GH178" s="2042"/>
      <c r="GI178" s="2043"/>
      <c r="GJ178" s="2043"/>
      <c r="GK178" s="715"/>
      <c r="GL178" s="366"/>
      <c r="GM178" s="2042"/>
      <c r="GN178" s="2043"/>
      <c r="GO178" s="2043"/>
      <c r="GP178" s="715"/>
      <c r="GQ178" s="366"/>
      <c r="GR178" s="2042"/>
      <c r="GS178" s="2043"/>
      <c r="GT178" s="2043"/>
      <c r="GU178" s="715"/>
      <c r="GV178" s="366"/>
      <c r="GW178" s="2042"/>
      <c r="GX178" s="2043"/>
      <c r="GY178" s="2043"/>
      <c r="GZ178" s="715"/>
      <c r="HA178" s="366"/>
      <c r="HB178" s="2042"/>
      <c r="HC178" s="2043"/>
      <c r="HD178" s="2043"/>
      <c r="HE178" s="715"/>
      <c r="HF178" s="366"/>
      <c r="HG178" s="2042"/>
      <c r="HH178" s="2043"/>
      <c r="HI178" s="2043"/>
      <c r="HJ178" s="2113"/>
      <c r="HK178" s="366"/>
      <c r="HL178" s="2042"/>
      <c r="HM178" s="2043"/>
      <c r="HN178" s="2043"/>
      <c r="HO178" s="715"/>
      <c r="HP178" s="366"/>
      <c r="HQ178" s="2114"/>
      <c r="HR178" s="1904"/>
      <c r="HS178" s="1904"/>
      <c r="HT178" s="1904"/>
      <c r="HU178" s="2115"/>
      <c r="HV178" s="2405"/>
      <c r="HW178" s="2406"/>
      <c r="HX178" s="2406"/>
      <c r="HY178" s="2406"/>
      <c r="HZ178" s="1906"/>
      <c r="IA178" s="1907"/>
      <c r="IB178" s="1908"/>
      <c r="IC178" s="1908"/>
      <c r="ID178" s="1909"/>
      <c r="IE178" s="1910"/>
      <c r="IF178" s="1911"/>
      <c r="IG178" s="1912"/>
      <c r="IH178" s="1909"/>
      <c r="II178" s="1907"/>
      <c r="IJ178" s="2116"/>
      <c r="IK178" s="2116"/>
      <c r="IL178" s="693"/>
      <c r="IM178" s="2117"/>
      <c r="IN178" s="2116"/>
      <c r="IO178" s="2116"/>
      <c r="IP178" s="1838"/>
      <c r="IQ178" s="1914"/>
      <c r="IR178" s="2044"/>
      <c r="IS178" s="715"/>
      <c r="IT178" s="715"/>
      <c r="IU178" s="2131"/>
      <c r="IV178" s="2045"/>
      <c r="IW178" s="1910"/>
      <c r="IX178" s="715"/>
      <c r="IY178" s="715"/>
      <c r="IZ178" s="2113"/>
      <c r="JA178" s="2132"/>
      <c r="JB178" s="2407"/>
      <c r="JC178" s="2408"/>
      <c r="JD178" s="2409"/>
      <c r="JE178" s="2113"/>
      <c r="JF178" s="2132"/>
      <c r="JG178" s="2410"/>
      <c r="JH178" s="2043"/>
      <c r="JI178" s="2043"/>
      <c r="JJ178" s="2411"/>
      <c r="JK178" s="2132"/>
      <c r="JL178" s="2129"/>
      <c r="JM178" s="2043"/>
      <c r="JN178" s="2043"/>
      <c r="JO178" s="715"/>
      <c r="JP178" s="2132"/>
      <c r="JQ178" s="2129"/>
      <c r="JR178" s="2130"/>
      <c r="JS178" s="1904"/>
      <c r="JT178" s="2131"/>
      <c r="JU178" s="2132"/>
      <c r="JV178" s="2410"/>
      <c r="JW178" s="2043"/>
      <c r="JX178" s="1904"/>
      <c r="JY178" s="715"/>
      <c r="JZ178" s="2132"/>
      <c r="KA178" s="2410"/>
      <c r="KB178" s="2130"/>
      <c r="KC178" s="2130"/>
      <c r="KD178" s="2414"/>
      <c r="KE178" s="2415"/>
      <c r="KF178" s="2410"/>
      <c r="KG178" s="2130"/>
      <c r="KH178" s="2043"/>
      <c r="KI178" s="2113"/>
      <c r="KJ178" s="2132"/>
      <c r="KK178" s="2410"/>
      <c r="KL178" s="2130"/>
      <c r="KM178" s="2043"/>
      <c r="KN178" s="5255"/>
      <c r="KO178" s="2417"/>
      <c r="KP178" s="2136"/>
      <c r="KQ178" s="2130"/>
      <c r="KR178" s="1904"/>
      <c r="KS178" s="2131"/>
      <c r="KT178" s="2137"/>
      <c r="KU178" s="2114"/>
      <c r="KV178" s="1904"/>
      <c r="KW178" s="1904"/>
      <c r="KX178" s="1904"/>
      <c r="KY178" s="2418"/>
      <c r="KZ178" s="1832"/>
      <c r="LA178" s="622"/>
      <c r="LB178" s="622"/>
      <c r="LC178" s="622"/>
      <c r="LD178" s="239"/>
      <c r="LE178" s="2419"/>
      <c r="LF178" s="2420"/>
      <c r="LG178" s="2420"/>
      <c r="LH178" s="2421"/>
      <c r="LI178" s="2422"/>
      <c r="LJ178" s="2423"/>
      <c r="LK178" s="2419"/>
      <c r="LL178" s="2421"/>
      <c r="LM178" s="1907"/>
      <c r="LN178" s="2116"/>
      <c r="LO178" s="2116"/>
      <c r="LP178" s="2013"/>
      <c r="LQ178" s="2424"/>
      <c r="LR178" s="2116"/>
      <c r="LS178" s="2116"/>
      <c r="LT178" s="1838"/>
      <c r="LU178" s="2425"/>
      <c r="LV178" s="2426"/>
      <c r="LW178" s="436"/>
      <c r="LX178" s="436"/>
      <c r="LY178" s="2427"/>
      <c r="LZ178" s="1588"/>
      <c r="MA178" s="2422"/>
      <c r="MB178" s="1587"/>
      <c r="MC178" s="1587"/>
      <c r="MD178" s="2148"/>
      <c r="ME178" s="2149"/>
      <c r="MF178" s="406"/>
      <c r="MG178" s="2428"/>
      <c r="MH178" s="5114"/>
      <c r="MI178" s="2148"/>
      <c r="MJ178" s="2149"/>
      <c r="MK178" s="2429"/>
      <c r="ML178" s="436"/>
      <c r="MM178" s="1587"/>
      <c r="MN178" s="2148"/>
      <c r="MO178" s="2149"/>
      <c r="MP178" s="2153"/>
      <c r="MQ178" s="1904"/>
      <c r="MR178" s="1904"/>
      <c r="MS178" s="1904"/>
      <c r="MT178" s="787"/>
      <c r="MU178" s="1318"/>
      <c r="MV178" s="395"/>
      <c r="MW178" s="395"/>
      <c r="MX178" s="395"/>
      <c r="MY178" s="655"/>
      <c r="MZ178" s="1318"/>
      <c r="NA178" s="395"/>
      <c r="NB178" s="395"/>
      <c r="NC178" s="395"/>
      <c r="ND178" s="801"/>
      <c r="NE178" s="1318"/>
      <c r="NF178" s="395"/>
      <c r="NG178" s="395"/>
      <c r="NH178" s="395"/>
      <c r="NI178" s="801"/>
      <c r="NJ178" s="1318"/>
      <c r="NK178" s="395"/>
      <c r="NL178" s="395"/>
      <c r="NM178" s="395"/>
      <c r="NN178" s="801"/>
      <c r="NO178" s="2432"/>
      <c r="NP178" s="622"/>
      <c r="NQ178" s="2437"/>
      <c r="NR178" s="395"/>
      <c r="NS178" s="801"/>
      <c r="NT178" s="2432"/>
      <c r="NU178" s="622"/>
      <c r="NV178" s="622"/>
      <c r="NW178" s="395"/>
      <c r="NX178" s="801"/>
      <c r="NY178" s="2432"/>
      <c r="NZ178" s="622"/>
      <c r="OA178" s="622"/>
      <c r="OB178" s="622"/>
      <c r="OC178" s="116"/>
      <c r="OD178" s="2433"/>
      <c r="OE178" s="622"/>
      <c r="OF178" s="622"/>
      <c r="OG178" s="622"/>
      <c r="OH178" s="1576"/>
      <c r="OI178" s="2435"/>
      <c r="OJ178" s="2436"/>
      <c r="OK178" s="2436"/>
      <c r="OL178" s="2436"/>
      <c r="OM178" s="1439"/>
      <c r="ON178" s="622"/>
      <c r="OO178" s="622"/>
      <c r="OP178" s="622"/>
      <c r="OQ178" s="2437"/>
      <c r="OR178" s="421"/>
      <c r="OS178" s="2438"/>
      <c r="OT178" s="2439"/>
      <c r="OU178" s="2439"/>
      <c r="OV178" s="2440"/>
      <c r="OW178" s="460"/>
      <c r="OX178" s="2432"/>
      <c r="OY178" s="622"/>
      <c r="OZ178" s="622"/>
      <c r="PA178" s="2437"/>
      <c r="PB178" s="116"/>
      <c r="PC178" s="2441"/>
      <c r="PD178" s="2426"/>
      <c r="PE178" s="436"/>
      <c r="PF178" s="436"/>
      <c r="PG178" s="115"/>
      <c r="PH178" s="1588"/>
      <c r="PI178" s="401"/>
      <c r="PJ178" s="395"/>
      <c r="PK178" s="395"/>
      <c r="PL178" s="115"/>
      <c r="PM178" s="186"/>
      <c r="PN178" s="2426"/>
      <c r="PO178" s="436"/>
      <c r="PP178" s="1587"/>
      <c r="PQ178" s="2148"/>
      <c r="PR178" s="2149"/>
      <c r="PS178" s="2429"/>
      <c r="PT178" s="436"/>
      <c r="PU178" s="1587"/>
      <c r="PV178" s="2148"/>
      <c r="PW178" s="207"/>
      <c r="PX178" s="2153"/>
      <c r="PY178" s="1904"/>
      <c r="PZ178" s="1904"/>
      <c r="QA178" s="1904"/>
      <c r="QB178" s="787"/>
      <c r="QC178" s="1318"/>
      <c r="QD178" s="395"/>
      <c r="QE178" s="395"/>
      <c r="QF178" s="395"/>
      <c r="QG178" s="655"/>
      <c r="QH178" s="401"/>
      <c r="QI178" s="395"/>
      <c r="QJ178" s="395"/>
      <c r="QK178" s="395"/>
      <c r="QL178" s="801"/>
      <c r="QM178" s="1832"/>
      <c r="QN178" s="622"/>
      <c r="QO178" s="622"/>
      <c r="QP178" s="395"/>
      <c r="QQ178" s="801"/>
      <c r="QR178" s="1318"/>
      <c r="QS178" s="395"/>
      <c r="QT178" s="395"/>
      <c r="QU178" s="395"/>
      <c r="QV178" s="207"/>
      <c r="QW178" s="2002"/>
      <c r="QX178" s="2001"/>
      <c r="QY178" s="2001"/>
      <c r="QZ178" s="2001"/>
      <c r="RA178" s="370"/>
      <c r="RB178" s="156"/>
      <c r="RC178" s="5246"/>
      <c r="RD178" s="208"/>
      <c r="RE178" s="208"/>
      <c r="RF178" s="116"/>
      <c r="RG178" s="1857"/>
      <c r="RH178" s="208"/>
      <c r="RI178" s="208"/>
      <c r="RJ178" s="994"/>
      <c r="RK178" s="114"/>
      <c r="RL178" s="1567"/>
      <c r="RM178" s="1568">
        <f>RH178+RC178+QX178+QS178+QN178+QI178+QD178+PY178+PT178+PO178+PJ178+PE178</f>
        <v>0</v>
      </c>
      <c r="RN178" s="1568">
        <f>RI178+RD178+QY178+QT178+QO178+QJ178+QE178+PZ178+PU178+PP178+PK178+PF178</f>
        <v>0</v>
      </c>
      <c r="RO178" s="1568">
        <f>RJ178+RE178+QZ178+QU178+QP178+QK178+QF178+QA178+PV178+PQ178+PL178+PG178</f>
        <v>0</v>
      </c>
      <c r="RP178" s="220"/>
      <c r="RQ178" s="2435"/>
      <c r="RR178" s="2436"/>
      <c r="RS178" s="2436"/>
      <c r="RT178" s="2436"/>
      <c r="RU178" s="1439"/>
      <c r="RV178" s="622"/>
      <c r="RW178" s="622"/>
      <c r="RX178" s="622"/>
      <c r="RY178" s="2437"/>
      <c r="RZ178" s="421"/>
      <c r="SA178" s="2438"/>
      <c r="SB178" s="2439"/>
      <c r="SC178" s="2439"/>
      <c r="SD178" s="2440"/>
      <c r="SE178" s="460"/>
      <c r="SF178" s="1567"/>
      <c r="SG178" s="358"/>
      <c r="SH178" s="358"/>
      <c r="SI178" s="359"/>
      <c r="SJ178" s="2155"/>
      <c r="SK178" s="1193"/>
      <c r="SL178" s="440"/>
      <c r="SM178" s="435"/>
      <c r="SN178" s="435"/>
      <c r="SO178" s="96"/>
      <c r="SP178" s="78"/>
      <c r="SQ178" s="439"/>
      <c r="SR178" s="208"/>
      <c r="SS178" s="208"/>
      <c r="ST178" s="96"/>
      <c r="SU178" s="78"/>
      <c r="SV178" s="2426"/>
      <c r="SW178" s="436"/>
      <c r="SX178" s="1585"/>
      <c r="SY178" s="2151"/>
      <c r="SZ178" s="1595"/>
      <c r="TA178" s="2429"/>
      <c r="TB178" s="436">
        <f>TC178</f>
        <v>125000</v>
      </c>
      <c r="TC178" s="1587">
        <v>125000</v>
      </c>
      <c r="TD178" s="115">
        <f>TC178-TB178</f>
        <v>0</v>
      </c>
      <c r="TE178" s="4462">
        <f>TD178/TC178</f>
        <v>0</v>
      </c>
      <c r="TF178" s="2573"/>
      <c r="TG178" s="395">
        <v>0</v>
      </c>
      <c r="TH178" s="395"/>
      <c r="TI178" s="395"/>
      <c r="TJ178" s="116"/>
      <c r="TK178" s="1318"/>
      <c r="TL178" s="395"/>
      <c r="TM178" s="395"/>
      <c r="TN178" s="395"/>
      <c r="TO178" s="114"/>
      <c r="TP178" s="4434"/>
      <c r="TQ178" s="395"/>
      <c r="TR178" s="395"/>
      <c r="TS178" s="772"/>
      <c r="TT178" s="116"/>
      <c r="TU178" s="3900"/>
      <c r="TV178" s="395">
        <v>0</v>
      </c>
      <c r="TW178" s="622">
        <v>0</v>
      </c>
      <c r="TX178" s="772">
        <v>0</v>
      </c>
      <c r="TY178" s="116"/>
      <c r="TZ178" s="2002"/>
      <c r="UA178" s="2001">
        <v>0</v>
      </c>
      <c r="UB178" s="2001">
        <v>0</v>
      </c>
      <c r="UC178" s="2012">
        <v>0</v>
      </c>
      <c r="UD178" s="441"/>
      <c r="UE178" s="2002"/>
      <c r="UF178" s="1575">
        <v>0</v>
      </c>
      <c r="UG178" s="1575">
        <v>0</v>
      </c>
      <c r="UH178" s="2552">
        <v>0</v>
      </c>
      <c r="UI178" s="222"/>
      <c r="UJ178" s="156"/>
      <c r="UK178" s="5246"/>
      <c r="UL178" s="208"/>
      <c r="UM178" s="208"/>
      <c r="UN178" s="116"/>
      <c r="UO178" s="1567"/>
      <c r="UP178" s="1568"/>
      <c r="UQ178" s="1568"/>
      <c r="UR178" s="1873"/>
      <c r="US178" s="2050"/>
      <c r="UT178" s="1567"/>
      <c r="UU178" s="358">
        <f>UP178+UK178+UF178+UA178+TV178+TQ178+TL178+TG178+TB178+SW178+SR178+SM178</f>
        <v>125000</v>
      </c>
      <c r="UV178" s="358">
        <f>UQ178+UL178+UG178+UB178+TW178+TR178+TM178+TH178+TC178+SX178+SS178+SN178</f>
        <v>125000</v>
      </c>
      <c r="UW178" s="358">
        <f>UR178+UM178+UH178+UC178+TX178+TS178+TN178+TI178+TD178+SY178+ST178+SO178</f>
        <v>0</v>
      </c>
      <c r="UX178" s="2281">
        <f>UW178/UV178</f>
        <v>0</v>
      </c>
      <c r="UY178" s="1863">
        <f>(SL178+SQ178+SV178)/3</f>
        <v>0</v>
      </c>
      <c r="UZ178" s="105">
        <f>SM178+SR178+SW178</f>
        <v>0</v>
      </c>
      <c r="VA178" s="105">
        <f>SN178+SS178+SX178</f>
        <v>0</v>
      </c>
      <c r="VB178" s="105">
        <f>SO178+ST178+SY178</f>
        <v>0</v>
      </c>
      <c r="VC178" s="106" t="e">
        <f>VB178/VA178</f>
        <v>#DIV/0!</v>
      </c>
      <c r="VD178" s="2288"/>
      <c r="VE178" s="358">
        <f>TB178+TG178+TL178</f>
        <v>125000</v>
      </c>
      <c r="VF178" s="358">
        <f>TC178+TH178+TM178</f>
        <v>125000</v>
      </c>
      <c r="VG178" s="359">
        <f>TD178+TI178+TN178</f>
        <v>0</v>
      </c>
      <c r="VH178" s="169">
        <f>VG178/VF178</f>
        <v>0</v>
      </c>
      <c r="VI178" s="2292"/>
      <c r="VJ178" s="146">
        <f>UA178+TV178+TQ178</f>
        <v>0</v>
      </c>
      <c r="VK178" s="146">
        <f>UB178+TW178+TR178</f>
        <v>0</v>
      </c>
      <c r="VL178" s="1864">
        <f>UC178+TX178+TS178</f>
        <v>0</v>
      </c>
      <c r="VM178" s="2393"/>
      <c r="VN178" s="1571"/>
      <c r="VO178" s="358"/>
      <c r="VP178" s="358"/>
      <c r="VQ178" s="359"/>
      <c r="VR178" s="2155"/>
      <c r="VS178" s="2308"/>
      <c r="VT178" s="2308"/>
      <c r="VU178" s="2308"/>
      <c r="VV178" s="2308"/>
      <c r="VW178" s="2308"/>
      <c r="VX178" s="2308"/>
      <c r="VY178" s="2308"/>
      <c r="VZ178" s="2308"/>
      <c r="WA178" s="2308"/>
      <c r="WB178" s="2308"/>
      <c r="WC178" s="2308"/>
      <c r="WD178" s="2308"/>
      <c r="WE178" s="2308"/>
      <c r="WF178" s="2308"/>
      <c r="WG178" s="2308"/>
      <c r="WH178" s="2308"/>
      <c r="WI178" s="2308"/>
      <c r="WJ178" s="2308"/>
      <c r="WK178" s="2308"/>
      <c r="WL178" s="2308"/>
      <c r="WM178" s="2308"/>
      <c r="WN178" s="2308"/>
      <c r="WO178" s="2308"/>
      <c r="WP178" s="2308"/>
      <c r="WQ178" s="2308"/>
      <c r="WR178" s="2308"/>
      <c r="WS178" s="2308"/>
      <c r="WT178" s="2308"/>
      <c r="WU178" s="2308"/>
      <c r="WV178" s="2308"/>
      <c r="WW178" s="2308"/>
      <c r="WX178" s="2308"/>
      <c r="WY178" s="2308"/>
      <c r="WZ178" s="2308"/>
      <c r="XA178" s="2308"/>
      <c r="XB178" s="2308"/>
      <c r="XC178" s="2308"/>
      <c r="XD178" s="2308"/>
      <c r="XE178" s="2308"/>
      <c r="XF178" s="2308"/>
      <c r="XG178" s="2308"/>
      <c r="XH178" s="2308"/>
      <c r="XI178" s="2308"/>
      <c r="XJ178" s="2308"/>
      <c r="XK178" s="2308"/>
      <c r="XL178" s="2308"/>
      <c r="XM178" s="2308"/>
      <c r="XN178" s="2308"/>
      <c r="XO178" s="2308"/>
      <c r="XP178" s="2308"/>
      <c r="XQ178" s="2308"/>
      <c r="XR178" s="2308"/>
      <c r="XS178" s="2308"/>
      <c r="XT178" s="2308"/>
      <c r="XU178" s="2308"/>
      <c r="XV178" s="2308"/>
      <c r="XW178" s="2308"/>
      <c r="XX178" s="2308"/>
      <c r="XY178" s="2308"/>
      <c r="XZ178" s="2308"/>
      <c r="YA178" s="2308"/>
      <c r="YB178" s="2308"/>
      <c r="YC178" s="2308"/>
      <c r="YD178" s="2308"/>
      <c r="YE178" s="2308"/>
      <c r="YF178" s="2308"/>
      <c r="YG178" s="2308"/>
      <c r="YH178" s="2308"/>
      <c r="YI178" s="2308"/>
      <c r="YJ178" s="2308"/>
      <c r="YK178" s="2308"/>
      <c r="YL178" s="2308"/>
      <c r="YM178" s="2308"/>
      <c r="YN178" s="2308"/>
      <c r="YO178" s="2308"/>
      <c r="YP178" s="2308"/>
      <c r="YQ178" s="2308"/>
      <c r="YR178" s="2308"/>
      <c r="YS178" s="2308"/>
      <c r="YT178" s="2308"/>
      <c r="YU178" s="2308"/>
      <c r="YV178" s="2308"/>
      <c r="YW178" s="2308"/>
      <c r="YX178" s="2308"/>
      <c r="YY178" s="2308"/>
      <c r="YZ178" s="2308"/>
      <c r="ZA178" s="2308"/>
      <c r="ZB178" s="2308"/>
      <c r="ZC178" s="2308"/>
      <c r="ZD178" s="2308"/>
      <c r="ZE178" s="2308"/>
      <c r="ZF178" s="2308"/>
      <c r="ZG178" s="2308"/>
      <c r="ZH178" s="2308"/>
      <c r="ZI178" s="2308"/>
      <c r="ZJ178" s="2308"/>
      <c r="ZK178" s="2308"/>
      <c r="ZL178" s="2308"/>
      <c r="ZM178" s="2308"/>
      <c r="ZN178" s="2308"/>
      <c r="ZO178" s="2308"/>
      <c r="ZP178" s="2308"/>
      <c r="ZQ178" s="2308"/>
      <c r="ZR178" s="2308"/>
      <c r="ZS178" s="2308"/>
      <c r="ZT178" s="2308"/>
      <c r="ZU178" s="2308"/>
      <c r="ZV178" s="2308"/>
      <c r="ZW178" s="2308"/>
      <c r="ZX178" s="2308"/>
      <c r="ZY178" s="2308"/>
      <c r="ZZ178" s="2308"/>
      <c r="AAA178" s="2308"/>
      <c r="AAB178" s="2308"/>
      <c r="AAC178" s="2308"/>
      <c r="AAD178" s="2308"/>
      <c r="AAE178" s="2308"/>
      <c r="AAF178" s="2308"/>
      <c r="AAG178" s="2308"/>
      <c r="AAH178" s="2308"/>
      <c r="AAI178" s="2308"/>
      <c r="AAJ178" s="2308"/>
      <c r="AAK178" s="2308"/>
      <c r="AAL178" s="2308"/>
      <c r="AAM178" s="2308"/>
      <c r="AAN178" s="2308"/>
      <c r="AAO178" s="2308"/>
      <c r="AAP178" s="2308"/>
      <c r="AAQ178" s="2308"/>
      <c r="AAR178" s="2308"/>
      <c r="AAS178" s="2308"/>
      <c r="AAT178" s="2308"/>
      <c r="AAU178" s="2308"/>
      <c r="AAV178" s="2308"/>
      <c r="AAW178" s="2308"/>
      <c r="AAX178" s="2308"/>
      <c r="AAY178" s="2308"/>
      <c r="AAZ178" s="2308"/>
      <c r="ABA178" s="2308"/>
      <c r="ABB178" s="2308"/>
      <c r="ABC178" s="2308"/>
      <c r="ABD178" s="2308"/>
      <c r="ABE178" s="2308"/>
      <c r="ABF178" s="2308"/>
      <c r="ABG178" s="2308"/>
      <c r="ABH178" s="2308"/>
      <c r="ABI178" s="2308"/>
      <c r="ABJ178" s="2308"/>
      <c r="ABK178" s="2308"/>
      <c r="ABL178" s="2308"/>
      <c r="ABM178" s="2308"/>
      <c r="ABN178" s="2308"/>
      <c r="ABO178" s="2308"/>
      <c r="ABP178" s="2308"/>
      <c r="ABQ178" s="2308"/>
    </row>
    <row r="179" spans="1:745" s="1193" customFormat="1" x14ac:dyDescent="0.3">
      <c r="A179" s="1297"/>
      <c r="B179" s="113"/>
      <c r="C179" s="2843"/>
      <c r="D179" s="2844"/>
      <c r="E179" s="384"/>
      <c r="F179" s="384"/>
      <c r="G179" s="2161"/>
      <c r="H179" s="2845"/>
      <c r="I179" s="2846"/>
      <c r="J179" s="2846"/>
      <c r="K179" s="2846"/>
      <c r="L179" s="2847"/>
      <c r="M179" s="2845"/>
      <c r="N179" s="2846"/>
      <c r="O179" s="2846"/>
      <c r="P179" s="2846"/>
      <c r="Q179" s="2847"/>
      <c r="R179" s="2845"/>
      <c r="S179" s="2846"/>
      <c r="T179" s="2846"/>
      <c r="U179" s="2846"/>
      <c r="V179" s="2847"/>
      <c r="W179" s="2845"/>
      <c r="X179" s="2846"/>
      <c r="Y179" s="2846"/>
      <c r="Z179" s="2846"/>
      <c r="AA179" s="2848"/>
      <c r="AB179" s="2845"/>
      <c r="AC179" s="2846"/>
      <c r="AD179" s="2846"/>
      <c r="AE179" s="2846"/>
      <c r="AF179" s="2848"/>
      <c r="AG179" s="2846"/>
      <c r="AH179" s="2846"/>
      <c r="AI179" s="2846"/>
      <c r="AJ179" s="2846"/>
      <c r="AK179" s="2847"/>
      <c r="AL179" s="2846"/>
      <c r="AM179" s="2846"/>
      <c r="AN179" s="2846"/>
      <c r="AO179" s="2846"/>
      <c r="AP179" s="2847"/>
      <c r="AQ179" s="2846"/>
      <c r="AR179" s="2846"/>
      <c r="AS179" s="2846"/>
      <c r="AT179" s="2846"/>
      <c r="AU179" s="2847"/>
      <c r="AV179" s="2849"/>
      <c r="AW179" s="2846"/>
      <c r="AX179" s="2846"/>
      <c r="AY179" s="2846"/>
      <c r="AZ179" s="2848"/>
      <c r="BA179" s="2849"/>
      <c r="BB179" s="2846"/>
      <c r="BC179" s="2846"/>
      <c r="BD179" s="2846"/>
      <c r="BE179" s="2848"/>
      <c r="BF179" s="2849"/>
      <c r="BG179" s="2846"/>
      <c r="BH179" s="2846"/>
      <c r="BI179" s="2846"/>
      <c r="BJ179" s="2848"/>
      <c r="BK179" s="2849"/>
      <c r="BL179" s="2846"/>
      <c r="BM179" s="2846"/>
      <c r="BN179" s="2846"/>
      <c r="BO179" s="2848"/>
      <c r="BP179" s="2850"/>
      <c r="BQ179" s="2846"/>
      <c r="BR179" s="2846"/>
      <c r="BS179" s="2846"/>
      <c r="BT179" s="2851"/>
      <c r="BU179" s="2846"/>
      <c r="BV179" s="2846"/>
      <c r="BW179" s="2852"/>
      <c r="BX179" s="2851"/>
      <c r="BY179" s="2846"/>
      <c r="BZ179" s="2846"/>
      <c r="CA179" s="2853"/>
      <c r="CB179" s="2846"/>
      <c r="CC179" s="2846"/>
      <c r="CD179" s="2846"/>
      <c r="CE179" s="2846"/>
      <c r="CF179" s="2851"/>
      <c r="CG179" s="2846"/>
      <c r="CH179" s="2846"/>
      <c r="CI179" s="2853"/>
      <c r="CJ179" s="2854"/>
      <c r="CK179" s="2846"/>
      <c r="CL179" s="2846"/>
      <c r="CM179" s="2846"/>
      <c r="CN179" s="2852"/>
      <c r="CO179" s="2854"/>
      <c r="CP179" s="2845"/>
      <c r="CQ179" s="2845"/>
      <c r="CR179" s="2845"/>
      <c r="CS179" s="2852"/>
      <c r="CT179" s="2854"/>
      <c r="CU179" s="2846"/>
      <c r="CV179" s="2846"/>
      <c r="CW179" s="2846"/>
      <c r="CX179" s="2852"/>
      <c r="CY179" s="2854"/>
      <c r="CZ179" s="2846"/>
      <c r="DA179" s="2846"/>
      <c r="DB179" s="2846"/>
      <c r="DC179" s="2852"/>
      <c r="DD179" s="2854"/>
      <c r="DE179" s="2846"/>
      <c r="DF179" s="2846"/>
      <c r="DG179" s="2846"/>
      <c r="DH179" s="2855"/>
      <c r="DI179" s="2854"/>
      <c r="DJ179" s="2846"/>
      <c r="DK179" s="2846"/>
      <c r="DL179" s="2846"/>
      <c r="DM179" s="2855"/>
      <c r="DN179" s="2854"/>
      <c r="DO179" s="2846"/>
      <c r="DP179" s="2846"/>
      <c r="DQ179" s="2846"/>
      <c r="DR179" s="2855"/>
      <c r="DS179" s="2854"/>
      <c r="DT179" s="2846"/>
      <c r="DU179" s="2846"/>
      <c r="DV179" s="2846"/>
      <c r="DW179" s="2855"/>
      <c r="DX179" s="2854"/>
      <c r="DY179" s="2846"/>
      <c r="DZ179" s="2846"/>
      <c r="EA179" s="2846"/>
      <c r="EB179" s="2855"/>
      <c r="EC179" s="2854"/>
      <c r="ED179" s="2846"/>
      <c r="EE179" s="2846"/>
      <c r="EF179" s="2846"/>
      <c r="EG179" s="2855"/>
      <c r="EH179" s="1567"/>
      <c r="EI179" s="1568"/>
      <c r="EJ179" s="1568"/>
      <c r="EK179" s="1568"/>
      <c r="EL179" s="353"/>
      <c r="EM179" s="1857"/>
      <c r="EN179" s="358"/>
      <c r="EO179" s="358"/>
      <c r="EP179" s="358"/>
      <c r="EQ179" s="94"/>
      <c r="ER179" s="2856"/>
      <c r="ES179" s="2857"/>
      <c r="ET179" s="2857"/>
      <c r="EU179" s="2857"/>
      <c r="EV179" s="1867"/>
      <c r="EW179" s="1569"/>
      <c r="EX179" s="1569"/>
      <c r="EY179" s="1569"/>
      <c r="EZ179" s="210"/>
      <c r="FA179" s="1567"/>
      <c r="FB179" s="1569"/>
      <c r="FC179" s="1569"/>
      <c r="FD179" s="220"/>
      <c r="FE179" s="1569"/>
      <c r="FF179" s="1569"/>
      <c r="FG179" s="1569"/>
      <c r="FH179" s="210"/>
      <c r="FI179" s="580"/>
      <c r="FJ179" s="579"/>
      <c r="FK179" s="137"/>
      <c r="FL179" s="137"/>
      <c r="FM179" s="151"/>
      <c r="FN179" s="1569"/>
      <c r="FO179" s="1568"/>
      <c r="FP179" s="1568"/>
      <c r="FQ179" s="1568"/>
      <c r="FR179" s="408"/>
      <c r="FS179" s="2858"/>
      <c r="FT179" s="2859"/>
      <c r="FU179" s="2859"/>
      <c r="FV179" s="2859"/>
      <c r="FW179" s="2860"/>
      <c r="FX179" s="1567"/>
      <c r="FY179" s="1568"/>
      <c r="FZ179" s="1568"/>
      <c r="GA179" s="2859"/>
      <c r="GB179" s="2860"/>
      <c r="GC179" s="1567"/>
      <c r="GD179" s="1568"/>
      <c r="GE179" s="1568"/>
      <c r="GF179" s="358"/>
      <c r="GG179" s="94"/>
      <c r="GH179" s="1857"/>
      <c r="GI179" s="358"/>
      <c r="GJ179" s="358"/>
      <c r="GK179" s="2861"/>
      <c r="GL179" s="2860"/>
      <c r="GM179" s="1857"/>
      <c r="GN179" s="358"/>
      <c r="GO179" s="358"/>
      <c r="GP179" s="2861"/>
      <c r="GQ179" s="2860"/>
      <c r="GR179" s="358"/>
      <c r="GS179" s="358"/>
      <c r="GT179" s="358"/>
      <c r="GU179" s="2861"/>
      <c r="GV179" s="2860"/>
      <c r="GW179" s="358"/>
      <c r="GX179" s="358"/>
      <c r="GY179" s="358"/>
      <c r="GZ179" s="2861"/>
      <c r="HA179" s="2860"/>
      <c r="HB179" s="358"/>
      <c r="HC179" s="358"/>
      <c r="HD179" s="358"/>
      <c r="HE179" s="2861"/>
      <c r="HF179" s="2860"/>
      <c r="HG179" s="358"/>
      <c r="HH179" s="358"/>
      <c r="HI179" s="358"/>
      <c r="HJ179" s="358"/>
      <c r="HK179" s="2860"/>
      <c r="HL179" s="358"/>
      <c r="HM179" s="358"/>
      <c r="HN179" s="358"/>
      <c r="HO179" s="358"/>
      <c r="HP179" s="94"/>
      <c r="HQ179" s="1312"/>
      <c r="HR179" s="265"/>
      <c r="HS179" s="265"/>
      <c r="HT179" s="265"/>
      <c r="HU179" s="2862"/>
      <c r="HV179" s="359"/>
      <c r="HW179" s="208"/>
      <c r="HX179" s="208"/>
      <c r="HY179" s="208"/>
      <c r="HZ179" s="2552"/>
      <c r="IA179" s="1854"/>
      <c r="IB179" s="1855"/>
      <c r="IC179" s="1855"/>
      <c r="ID179" s="1856"/>
      <c r="IE179" s="1568"/>
      <c r="IF179" s="1568"/>
      <c r="IG179" s="2863"/>
      <c r="IH179" s="2864"/>
      <c r="II179" s="2865"/>
      <c r="IJ179" s="2863"/>
      <c r="IK179" s="2863"/>
      <c r="IL179" s="2673"/>
      <c r="IM179" s="2866"/>
      <c r="IN179" s="2863"/>
      <c r="IO179" s="2863"/>
      <c r="IP179" s="2867"/>
      <c r="IQ179" s="1568"/>
      <c r="IR179" s="2868"/>
      <c r="IS179" s="2015"/>
      <c r="IT179" s="2015"/>
      <c r="IU179" s="2869"/>
      <c r="IV179" s="2870"/>
      <c r="IW179" s="2858"/>
      <c r="IX179" s="2859"/>
      <c r="IY179" s="2859"/>
      <c r="IZ179" s="358"/>
      <c r="JA179" s="94"/>
      <c r="JB179" s="2871"/>
      <c r="JC179" s="1568"/>
      <c r="JD179" s="1568"/>
      <c r="JE179" s="2859"/>
      <c r="JF179" s="94"/>
      <c r="JG179" s="2871"/>
      <c r="JH179" s="1568"/>
      <c r="JI179" s="1568"/>
      <c r="JJ179" s="358"/>
      <c r="JK179" s="94"/>
      <c r="JL179" s="1857"/>
      <c r="JM179" s="358"/>
      <c r="JN179" s="358"/>
      <c r="JO179" s="2872"/>
      <c r="JP179" s="94"/>
      <c r="JQ179" s="2873"/>
      <c r="JR179" s="1025"/>
      <c r="JS179" s="265"/>
      <c r="JT179" s="358"/>
      <c r="JU179" s="2860"/>
      <c r="JV179" s="2874"/>
      <c r="JW179" s="358"/>
      <c r="JX179" s="358"/>
      <c r="JY179" s="2872"/>
      <c r="JZ179" s="2860"/>
      <c r="KA179" s="357"/>
      <c r="KB179" s="358"/>
      <c r="KC179" s="358"/>
      <c r="KD179" s="358"/>
      <c r="KE179" s="2860"/>
      <c r="KF179" s="2875"/>
      <c r="KG179" s="358"/>
      <c r="KH179" s="358"/>
      <c r="KI179" s="358"/>
      <c r="KJ179" s="94"/>
      <c r="KK179" s="2876"/>
      <c r="KL179" s="265"/>
      <c r="KM179" s="265"/>
      <c r="KN179" s="1016"/>
      <c r="KO179" s="2860"/>
      <c r="KP179" s="1862"/>
      <c r="KQ179" s="265"/>
      <c r="KR179" s="2877"/>
      <c r="KS179" s="265"/>
      <c r="KT179" s="158"/>
      <c r="KU179" s="357"/>
      <c r="KV179" s="358"/>
      <c r="KW179" s="358"/>
      <c r="KX179" s="358"/>
      <c r="KY179" s="94"/>
      <c r="KZ179" s="357"/>
      <c r="LA179" s="358"/>
      <c r="LB179" s="358"/>
      <c r="LC179" s="358"/>
      <c r="LD179" s="2673"/>
      <c r="LE179" s="1854"/>
      <c r="LF179" s="1855"/>
      <c r="LG179" s="1855"/>
      <c r="LH179" s="1856"/>
      <c r="LI179" s="1022"/>
      <c r="LJ179" s="1568"/>
      <c r="LK179" s="2863"/>
      <c r="LL179" s="2864"/>
      <c r="LM179" s="1934"/>
      <c r="LN179" s="2878"/>
      <c r="LO179" s="2878"/>
      <c r="LP179" s="151"/>
      <c r="LQ179" s="2866"/>
      <c r="LR179" s="2863"/>
      <c r="LS179" s="2863"/>
      <c r="LT179" s="2867"/>
      <c r="LU179" s="1568"/>
      <c r="LV179" s="405"/>
      <c r="LW179" s="1575"/>
      <c r="LX179" s="1575"/>
      <c r="LY179" s="96"/>
      <c r="LZ179" s="78"/>
      <c r="MA179" s="439"/>
      <c r="MB179" s="208"/>
      <c r="MC179" s="208"/>
      <c r="MD179" s="96"/>
      <c r="ME179" s="78"/>
      <c r="MF179" s="405"/>
      <c r="MG179" s="1575"/>
      <c r="MH179" s="1575"/>
      <c r="MI179" s="371"/>
      <c r="MJ179" s="157"/>
      <c r="MK179" s="1866"/>
      <c r="ML179" s="1575"/>
      <c r="MM179" s="1575"/>
      <c r="MN179" s="371"/>
      <c r="MO179" s="157"/>
      <c r="MP179" s="355"/>
      <c r="MQ179" s="265"/>
      <c r="MR179" s="265"/>
      <c r="MS179" s="265"/>
      <c r="MT179" s="1313"/>
      <c r="MU179" s="1868"/>
      <c r="MV179" s="1575"/>
      <c r="MW179" s="1575"/>
      <c r="MX179" s="1575"/>
      <c r="MY179" s="1872"/>
      <c r="MZ179" s="1868"/>
      <c r="NA179" s="1575"/>
      <c r="NB179" s="1575"/>
      <c r="NC179" s="1575"/>
      <c r="ND179" s="1872"/>
      <c r="NE179" s="1868"/>
      <c r="NF179" s="1575"/>
      <c r="NG179" s="1575"/>
      <c r="NH179" s="1575"/>
      <c r="NI179" s="1872"/>
      <c r="NJ179" s="209"/>
      <c r="NK179" s="208"/>
      <c r="NL179" s="208"/>
      <c r="NM179" s="208"/>
      <c r="NN179" s="1313"/>
      <c r="NO179" s="1022"/>
      <c r="NP179" s="1568"/>
      <c r="NQ179" s="1871"/>
      <c r="NR179" s="1575"/>
      <c r="NS179" s="1313"/>
      <c r="NT179" s="357"/>
      <c r="NU179" s="358"/>
      <c r="NV179" s="358"/>
      <c r="NW179" s="358"/>
      <c r="NX179" s="2773"/>
      <c r="NY179" s="357"/>
      <c r="NZ179" s="358"/>
      <c r="OA179" s="358"/>
      <c r="OB179" s="994"/>
      <c r="OC179" s="114"/>
      <c r="OD179" s="191"/>
      <c r="OE179" s="358"/>
      <c r="OF179" s="358"/>
      <c r="OG179" s="358"/>
      <c r="OH179" s="220"/>
      <c r="OI179" s="1868"/>
      <c r="OJ179" s="1871"/>
      <c r="OK179" s="1575"/>
      <c r="OL179" s="1575"/>
      <c r="OM179" s="83"/>
      <c r="ON179" s="1568"/>
      <c r="OO179" s="1568"/>
      <c r="OP179" s="1568"/>
      <c r="OQ179" s="1871"/>
      <c r="OR179" s="2675"/>
      <c r="OS179" s="1022"/>
      <c r="OT179" s="1568"/>
      <c r="OU179" s="1568"/>
      <c r="OV179" s="1871"/>
      <c r="OW179" s="2675"/>
      <c r="OX179" s="357"/>
      <c r="OY179" s="358"/>
      <c r="OZ179" s="358"/>
      <c r="PA179" s="359"/>
      <c r="PB179" s="114"/>
      <c r="PC179" s="137"/>
      <c r="PD179" s="439"/>
      <c r="PE179" s="208"/>
      <c r="PF179" s="208"/>
      <c r="PG179" s="2827"/>
      <c r="PH179" s="2828"/>
      <c r="PI179" s="439"/>
      <c r="PJ179" s="208"/>
      <c r="PK179" s="208"/>
      <c r="PL179" s="2827"/>
      <c r="PM179" s="2828"/>
      <c r="PN179" s="405"/>
      <c r="PO179" s="1575"/>
      <c r="PP179" s="1575"/>
      <c r="PQ179" s="1707"/>
      <c r="PR179" s="1867"/>
      <c r="PS179" s="1574"/>
      <c r="PT179" s="208"/>
      <c r="PU179" s="208"/>
      <c r="PV179" s="371"/>
      <c r="PW179" s="1867"/>
      <c r="PX179" s="355"/>
      <c r="PY179" s="265"/>
      <c r="PZ179" s="265"/>
      <c r="QA179" s="265"/>
      <c r="QB179" s="1313"/>
      <c r="QC179" s="209"/>
      <c r="QD179" s="208"/>
      <c r="QE179" s="208"/>
      <c r="QF179" s="208"/>
      <c r="QG179" s="1313"/>
      <c r="QH179" s="439"/>
      <c r="QI179" s="208"/>
      <c r="QJ179" s="208"/>
      <c r="QK179" s="208"/>
      <c r="QL179" s="1313"/>
      <c r="QM179" s="439"/>
      <c r="QN179" s="208"/>
      <c r="QO179" s="208"/>
      <c r="QP179" s="208"/>
      <c r="QQ179" s="1872"/>
      <c r="QR179" s="209"/>
      <c r="QS179" s="208"/>
      <c r="QT179" s="208"/>
      <c r="QU179" s="208"/>
      <c r="QV179" s="157"/>
      <c r="QW179" s="209"/>
      <c r="QX179" s="208"/>
      <c r="QY179" s="208"/>
      <c r="QZ179" s="2879"/>
      <c r="RA179" s="2880"/>
      <c r="RB179" s="1022"/>
      <c r="RC179" s="1568"/>
      <c r="RD179" s="1568"/>
      <c r="RE179" s="2881"/>
      <c r="RF179" s="2882"/>
      <c r="RG179" s="1567"/>
      <c r="RH179" s="1568"/>
      <c r="RI179" s="1568"/>
      <c r="RJ179" s="2552"/>
      <c r="RK179" s="114"/>
      <c r="RL179" s="3708"/>
      <c r="RM179" s="1568"/>
      <c r="RN179" s="1568"/>
      <c r="RO179" s="1568"/>
      <c r="RP179" s="220"/>
      <c r="RQ179" s="3802"/>
      <c r="RR179" s="96"/>
      <c r="RS179" s="96"/>
      <c r="RT179" s="2827"/>
      <c r="RU179" s="114"/>
      <c r="RV179" s="1568"/>
      <c r="RW179" s="358"/>
      <c r="RX179" s="358"/>
      <c r="RY179" s="359"/>
      <c r="RZ179" s="169"/>
      <c r="SA179" s="607"/>
      <c r="SB179" s="137"/>
      <c r="SC179" s="137"/>
      <c r="SD179" s="3803"/>
      <c r="SE179" s="169"/>
      <c r="SF179" s="190"/>
      <c r="SG179" s="358"/>
      <c r="SH179" s="358"/>
      <c r="SI179" s="359"/>
      <c r="SJ179" s="114"/>
      <c r="SK179" s="1568"/>
      <c r="SL179" s="405"/>
      <c r="SM179" s="1575"/>
      <c r="SN179" s="1575"/>
      <c r="SO179" s="3534"/>
      <c r="SP179" s="3525"/>
      <c r="SQ179" s="405"/>
      <c r="SR179" s="1575"/>
      <c r="SS179" s="1575"/>
      <c r="ST179" s="3527"/>
      <c r="SU179" s="3541"/>
      <c r="SV179" s="439"/>
      <c r="SW179" s="208"/>
      <c r="SX179" s="208"/>
      <c r="SY179" s="371"/>
      <c r="SZ179" s="157"/>
      <c r="TA179" s="1574"/>
      <c r="TB179" s="208"/>
      <c r="TC179" s="208"/>
      <c r="TD179" s="371"/>
      <c r="TE179" s="157"/>
      <c r="TF179" s="354"/>
      <c r="TG179" s="208"/>
      <c r="TH179" s="208"/>
      <c r="TI179" s="208"/>
      <c r="TJ179" s="114"/>
      <c r="TK179" s="209"/>
      <c r="TL179" s="208"/>
      <c r="TM179" s="208"/>
      <c r="TN179" s="994"/>
      <c r="TO179" s="114"/>
      <c r="TP179" s="4432"/>
      <c r="TQ179" s="208"/>
      <c r="TR179" s="208"/>
      <c r="TS179" s="994"/>
      <c r="TT179" s="2155"/>
      <c r="TU179" s="4506"/>
      <c r="TV179" s="1575"/>
      <c r="TW179" s="1575"/>
      <c r="TX179" s="2552"/>
      <c r="TY179" s="83"/>
      <c r="TZ179" s="1318"/>
      <c r="UA179" s="395"/>
      <c r="UB179" s="395"/>
      <c r="UC179" s="2552"/>
      <c r="UD179" s="83"/>
      <c r="UE179" s="2002"/>
      <c r="UF179" s="1575"/>
      <c r="UG179" s="1575"/>
      <c r="UH179" s="2552"/>
      <c r="UI179" s="222"/>
      <c r="UJ179" s="1022"/>
      <c r="UK179" s="1568"/>
      <c r="UL179" s="1568"/>
      <c r="UM179" s="2881"/>
      <c r="UN179" s="2882"/>
      <c r="UO179" s="1567"/>
      <c r="UP179" s="1568"/>
      <c r="UQ179" s="1568"/>
      <c r="UR179" s="2552"/>
      <c r="US179" s="114"/>
      <c r="UT179" s="191"/>
      <c r="UU179" s="358">
        <f t="shared" si="700"/>
        <v>0</v>
      </c>
      <c r="UV179" s="358">
        <f t="shared" si="700"/>
        <v>0</v>
      </c>
      <c r="UW179" s="358">
        <f t="shared" si="700"/>
        <v>0</v>
      </c>
      <c r="UX179" s="220"/>
      <c r="UY179" s="1863"/>
      <c r="UZ179" s="105"/>
      <c r="VA179" s="105"/>
      <c r="VB179" s="2841"/>
      <c r="VC179" s="106"/>
      <c r="VD179" s="1568"/>
      <c r="VE179" s="358"/>
      <c r="VF179" s="358"/>
      <c r="VG179" s="359"/>
      <c r="VH179" s="169"/>
      <c r="VI179" s="686"/>
      <c r="VJ179" s="146"/>
      <c r="VK179" s="146"/>
      <c r="VL179" s="1864"/>
      <c r="VM179" s="203"/>
      <c r="VN179" s="190"/>
      <c r="VO179" s="358"/>
      <c r="VP179" s="358"/>
      <c r="VQ179" s="359"/>
      <c r="VR179" s="114"/>
    </row>
    <row r="180" spans="1:745" s="1193" customFormat="1" hidden="1" x14ac:dyDescent="0.3">
      <c r="A180" s="1297"/>
      <c r="B180" s="113"/>
      <c r="C180" s="2843"/>
      <c r="D180" s="2844"/>
      <c r="E180" s="384"/>
      <c r="F180" s="384"/>
      <c r="G180" s="2161"/>
      <c r="H180" s="2845"/>
      <c r="I180" s="2846"/>
      <c r="J180" s="2846"/>
      <c r="K180" s="2846"/>
      <c r="L180" s="2847"/>
      <c r="M180" s="2845"/>
      <c r="N180" s="2846"/>
      <c r="O180" s="2846"/>
      <c r="P180" s="2846"/>
      <c r="Q180" s="2847"/>
      <c r="R180" s="2845"/>
      <c r="S180" s="2846"/>
      <c r="T180" s="2846"/>
      <c r="U180" s="2846"/>
      <c r="V180" s="2847"/>
      <c r="W180" s="2845"/>
      <c r="X180" s="2846"/>
      <c r="Y180" s="2846"/>
      <c r="Z180" s="2846"/>
      <c r="AA180" s="2848"/>
      <c r="AB180" s="2845"/>
      <c r="AC180" s="2846"/>
      <c r="AD180" s="2846"/>
      <c r="AE180" s="2846"/>
      <c r="AF180" s="2848"/>
      <c r="AG180" s="2846"/>
      <c r="AH180" s="2846"/>
      <c r="AI180" s="2846"/>
      <c r="AJ180" s="2846"/>
      <c r="AK180" s="2847"/>
      <c r="AL180" s="2846"/>
      <c r="AM180" s="2846"/>
      <c r="AN180" s="2846"/>
      <c r="AO180" s="2846"/>
      <c r="AP180" s="2847"/>
      <c r="AQ180" s="2846"/>
      <c r="AR180" s="2846"/>
      <c r="AS180" s="2846"/>
      <c r="AT180" s="2846"/>
      <c r="AU180" s="2847"/>
      <c r="AV180" s="2849"/>
      <c r="AW180" s="2846"/>
      <c r="AX180" s="2846"/>
      <c r="AY180" s="2846"/>
      <c r="AZ180" s="2848"/>
      <c r="BA180" s="2849"/>
      <c r="BB180" s="2846"/>
      <c r="BC180" s="2846"/>
      <c r="BD180" s="2846"/>
      <c r="BE180" s="2848"/>
      <c r="BF180" s="2849"/>
      <c r="BG180" s="2846"/>
      <c r="BH180" s="2846"/>
      <c r="BI180" s="2846"/>
      <c r="BJ180" s="2848"/>
      <c r="BK180" s="2849"/>
      <c r="BL180" s="2846"/>
      <c r="BM180" s="2846"/>
      <c r="BN180" s="2846"/>
      <c r="BO180" s="2848"/>
      <c r="BP180" s="2850"/>
      <c r="BQ180" s="2846"/>
      <c r="BR180" s="2846"/>
      <c r="BS180" s="2846"/>
      <c r="BT180" s="2851"/>
      <c r="BU180" s="2846"/>
      <c r="BV180" s="2846"/>
      <c r="BW180" s="2852"/>
      <c r="BX180" s="2851"/>
      <c r="BY180" s="2846"/>
      <c r="BZ180" s="2846"/>
      <c r="CA180" s="2853"/>
      <c r="CB180" s="2846"/>
      <c r="CC180" s="2846"/>
      <c r="CD180" s="2846"/>
      <c r="CE180" s="2846"/>
      <c r="CF180" s="2851"/>
      <c r="CG180" s="2846"/>
      <c r="CH180" s="2846"/>
      <c r="CI180" s="2853"/>
      <c r="CJ180" s="2854"/>
      <c r="CK180" s="2846"/>
      <c r="CL180" s="2846"/>
      <c r="CM180" s="2846"/>
      <c r="CN180" s="2852"/>
      <c r="CO180" s="2854"/>
      <c r="CP180" s="2845"/>
      <c r="CQ180" s="2845"/>
      <c r="CR180" s="2845"/>
      <c r="CS180" s="2852"/>
      <c r="CT180" s="2854"/>
      <c r="CU180" s="2846"/>
      <c r="CV180" s="2846"/>
      <c r="CW180" s="2846"/>
      <c r="CX180" s="2852"/>
      <c r="CY180" s="2854"/>
      <c r="CZ180" s="2846"/>
      <c r="DA180" s="2846"/>
      <c r="DB180" s="2846"/>
      <c r="DC180" s="2852"/>
      <c r="DD180" s="2854"/>
      <c r="DE180" s="2846"/>
      <c r="DF180" s="2846"/>
      <c r="DG180" s="2846"/>
      <c r="DH180" s="2855"/>
      <c r="DI180" s="2854"/>
      <c r="DJ180" s="2846"/>
      <c r="DK180" s="2846"/>
      <c r="DL180" s="2846"/>
      <c r="DM180" s="2855"/>
      <c r="DN180" s="2854"/>
      <c r="DO180" s="2846"/>
      <c r="DP180" s="2846"/>
      <c r="DQ180" s="2846"/>
      <c r="DR180" s="2855"/>
      <c r="DS180" s="2854"/>
      <c r="DT180" s="2846"/>
      <c r="DU180" s="2846"/>
      <c r="DV180" s="2846"/>
      <c r="DW180" s="2855"/>
      <c r="DX180" s="2854"/>
      <c r="DY180" s="2846"/>
      <c r="DZ180" s="2846"/>
      <c r="EA180" s="2846"/>
      <c r="EB180" s="2855"/>
      <c r="EC180" s="2854"/>
      <c r="ED180" s="2846"/>
      <c r="EE180" s="2846"/>
      <c r="EF180" s="2846"/>
      <c r="EG180" s="2855"/>
      <c r="EH180" s="1567"/>
      <c r="EI180" s="1568"/>
      <c r="EJ180" s="1568"/>
      <c r="EK180" s="1568"/>
      <c r="EL180" s="353"/>
      <c r="EM180" s="1857"/>
      <c r="EN180" s="358"/>
      <c r="EO180" s="358"/>
      <c r="EP180" s="358"/>
      <c r="EQ180" s="94"/>
      <c r="ER180" s="2856"/>
      <c r="ES180" s="2857"/>
      <c r="ET180" s="2857"/>
      <c r="EU180" s="2857"/>
      <c r="EV180" s="1867"/>
      <c r="EW180" s="1569"/>
      <c r="EX180" s="1569"/>
      <c r="EY180" s="1569"/>
      <c r="EZ180" s="210"/>
      <c r="FA180" s="1567"/>
      <c r="FB180" s="1569"/>
      <c r="FC180" s="1569"/>
      <c r="FD180" s="220"/>
      <c r="FE180" s="1569"/>
      <c r="FF180" s="1569"/>
      <c r="FG180" s="1569"/>
      <c r="FH180" s="210"/>
      <c r="FI180" s="580"/>
      <c r="FJ180" s="579"/>
      <c r="FK180" s="137"/>
      <c r="FL180" s="137"/>
      <c r="FM180" s="151"/>
      <c r="FN180" s="1569"/>
      <c r="FO180" s="1568"/>
      <c r="FP180" s="1568"/>
      <c r="FQ180" s="1568"/>
      <c r="FR180" s="408"/>
      <c r="FS180" s="2858"/>
      <c r="FT180" s="2859"/>
      <c r="FU180" s="2859"/>
      <c r="FV180" s="2859"/>
      <c r="FW180" s="2860"/>
      <c r="FX180" s="1567"/>
      <c r="FY180" s="1568"/>
      <c r="FZ180" s="1568"/>
      <c r="GA180" s="2859"/>
      <c r="GB180" s="2860"/>
      <c r="GC180" s="1567"/>
      <c r="GD180" s="1568"/>
      <c r="GE180" s="1568"/>
      <c r="GF180" s="358"/>
      <c r="GG180" s="94"/>
      <c r="GH180" s="1857"/>
      <c r="GI180" s="358"/>
      <c r="GJ180" s="358"/>
      <c r="GK180" s="2861"/>
      <c r="GL180" s="2860"/>
      <c r="GM180" s="1857"/>
      <c r="GN180" s="358"/>
      <c r="GO180" s="358"/>
      <c r="GP180" s="2861"/>
      <c r="GQ180" s="2860"/>
      <c r="GR180" s="358"/>
      <c r="GS180" s="358"/>
      <c r="GT180" s="358"/>
      <c r="GU180" s="2861"/>
      <c r="GV180" s="2860"/>
      <c r="GW180" s="358"/>
      <c r="GX180" s="358"/>
      <c r="GY180" s="358"/>
      <c r="GZ180" s="2861"/>
      <c r="HA180" s="2860"/>
      <c r="HB180" s="358"/>
      <c r="HC180" s="358"/>
      <c r="HD180" s="358"/>
      <c r="HE180" s="2861"/>
      <c r="HF180" s="2860"/>
      <c r="HG180" s="358"/>
      <c r="HH180" s="358"/>
      <c r="HI180" s="358"/>
      <c r="HJ180" s="358"/>
      <c r="HK180" s="2860"/>
      <c r="HL180" s="358"/>
      <c r="HM180" s="358"/>
      <c r="HN180" s="358"/>
      <c r="HO180" s="358"/>
      <c r="HP180" s="94"/>
      <c r="HQ180" s="1312"/>
      <c r="HR180" s="265"/>
      <c r="HS180" s="265"/>
      <c r="HT180" s="265"/>
      <c r="HU180" s="2862"/>
      <c r="HV180" s="359"/>
      <c r="HW180" s="208"/>
      <c r="HX180" s="208"/>
      <c r="HY180" s="208"/>
      <c r="HZ180" s="2552"/>
      <c r="IA180" s="1854"/>
      <c r="IB180" s="1855"/>
      <c r="IC180" s="1855"/>
      <c r="ID180" s="1856"/>
      <c r="IE180" s="1568"/>
      <c r="IF180" s="1568"/>
      <c r="IG180" s="2863"/>
      <c r="IH180" s="2864"/>
      <c r="II180" s="2865"/>
      <c r="IJ180" s="2863"/>
      <c r="IK180" s="2863"/>
      <c r="IL180" s="2673"/>
      <c r="IM180" s="2866"/>
      <c r="IN180" s="2863"/>
      <c r="IO180" s="2863"/>
      <c r="IP180" s="2867"/>
      <c r="IQ180" s="1568"/>
      <c r="IR180" s="2868"/>
      <c r="IS180" s="2015"/>
      <c r="IT180" s="2015"/>
      <c r="IU180" s="2869"/>
      <c r="IV180" s="2870"/>
      <c r="IW180" s="2858"/>
      <c r="IX180" s="2859"/>
      <c r="IY180" s="2859"/>
      <c r="IZ180" s="358"/>
      <c r="JA180" s="94"/>
      <c r="JB180" s="2871"/>
      <c r="JC180" s="1568"/>
      <c r="JD180" s="1568"/>
      <c r="JE180" s="2859"/>
      <c r="JF180" s="94"/>
      <c r="JG180" s="2871"/>
      <c r="JH180" s="1568"/>
      <c r="JI180" s="1568"/>
      <c r="JJ180" s="358"/>
      <c r="JK180" s="94"/>
      <c r="JL180" s="1857"/>
      <c r="JM180" s="358"/>
      <c r="JN180" s="358"/>
      <c r="JO180" s="2872"/>
      <c r="JP180" s="94"/>
      <c r="JQ180" s="2873"/>
      <c r="JR180" s="1025"/>
      <c r="JS180" s="265"/>
      <c r="JT180" s="358"/>
      <c r="JU180" s="2860"/>
      <c r="JV180" s="2874"/>
      <c r="JW180" s="358"/>
      <c r="JX180" s="358"/>
      <c r="JY180" s="2872"/>
      <c r="JZ180" s="2860"/>
      <c r="KA180" s="357"/>
      <c r="KB180" s="358"/>
      <c r="KC180" s="358"/>
      <c r="KD180" s="358"/>
      <c r="KE180" s="2860"/>
      <c r="KF180" s="2875"/>
      <c r="KG180" s="358"/>
      <c r="KH180" s="358"/>
      <c r="KI180" s="358"/>
      <c r="KJ180" s="94"/>
      <c r="KK180" s="2876"/>
      <c r="KL180" s="265"/>
      <c r="KM180" s="265"/>
      <c r="KN180" s="1016"/>
      <c r="KO180" s="2860"/>
      <c r="KP180" s="1862"/>
      <c r="KQ180" s="265"/>
      <c r="KR180" s="2877"/>
      <c r="KS180" s="265"/>
      <c r="KT180" s="158"/>
      <c r="KU180" s="357"/>
      <c r="KV180" s="358"/>
      <c r="KW180" s="358"/>
      <c r="KX180" s="358"/>
      <c r="KY180" s="94"/>
      <c r="KZ180" s="357"/>
      <c r="LA180" s="358"/>
      <c r="LB180" s="358"/>
      <c r="LC180" s="358"/>
      <c r="LD180" s="2673"/>
      <c r="LE180" s="1854"/>
      <c r="LF180" s="1855"/>
      <c r="LG180" s="1855"/>
      <c r="LH180" s="1856"/>
      <c r="LI180" s="1022"/>
      <c r="LJ180" s="1568"/>
      <c r="LK180" s="2863"/>
      <c r="LL180" s="2864"/>
      <c r="LM180" s="1934"/>
      <c r="LN180" s="2878"/>
      <c r="LO180" s="2878"/>
      <c r="LP180" s="151"/>
      <c r="LQ180" s="2866"/>
      <c r="LR180" s="2863"/>
      <c r="LS180" s="2863"/>
      <c r="LT180" s="2867"/>
      <c r="LU180" s="1568"/>
      <c r="LV180" s="405"/>
      <c r="LW180" s="1575"/>
      <c r="LX180" s="1575"/>
      <c r="LY180" s="96"/>
      <c r="LZ180" s="78"/>
      <c r="MA180" s="439"/>
      <c r="MB180" s="208"/>
      <c r="MC180" s="208"/>
      <c r="MD180" s="96"/>
      <c r="ME180" s="78"/>
      <c r="MF180" s="405"/>
      <c r="MG180" s="1575"/>
      <c r="MH180" s="1575"/>
      <c r="MI180" s="371"/>
      <c r="MJ180" s="157"/>
      <c r="MK180" s="1866"/>
      <c r="ML180" s="1575"/>
      <c r="MM180" s="1575"/>
      <c r="MN180" s="371"/>
      <c r="MO180" s="157"/>
      <c r="MP180" s="355"/>
      <c r="MQ180" s="265"/>
      <c r="MR180" s="265"/>
      <c r="MS180" s="265"/>
      <c r="MT180" s="1313"/>
      <c r="MU180" s="1868"/>
      <c r="MV180" s="1575"/>
      <c r="MW180" s="1575"/>
      <c r="MX180" s="1575"/>
      <c r="MY180" s="1872"/>
      <c r="MZ180" s="1868"/>
      <c r="NA180" s="1575"/>
      <c r="NB180" s="1575"/>
      <c r="NC180" s="1575"/>
      <c r="ND180" s="1872"/>
      <c r="NE180" s="1868"/>
      <c r="NF180" s="1575"/>
      <c r="NG180" s="1575"/>
      <c r="NH180" s="1575"/>
      <c r="NI180" s="1872"/>
      <c r="NJ180" s="209"/>
      <c r="NK180" s="208"/>
      <c r="NL180" s="208"/>
      <c r="NM180" s="208"/>
      <c r="NN180" s="1313"/>
      <c r="NO180" s="1022"/>
      <c r="NP180" s="1568"/>
      <c r="NQ180" s="1871"/>
      <c r="NR180" s="1575"/>
      <c r="NS180" s="1313"/>
      <c r="NT180" s="357"/>
      <c r="NU180" s="358"/>
      <c r="NV180" s="358"/>
      <c r="NW180" s="358"/>
      <c r="NX180" s="2773"/>
      <c r="NY180" s="357"/>
      <c r="NZ180" s="358"/>
      <c r="OA180" s="358"/>
      <c r="OB180" s="994"/>
      <c r="OC180" s="114"/>
      <c r="OD180" s="191"/>
      <c r="OE180" s="358"/>
      <c r="OF180" s="358"/>
      <c r="OG180" s="358"/>
      <c r="OH180" s="220"/>
      <c r="OI180" s="1868"/>
      <c r="OJ180" s="1871"/>
      <c r="OK180" s="1575"/>
      <c r="OL180" s="1575"/>
      <c r="OM180" s="83"/>
      <c r="ON180" s="1568"/>
      <c r="OO180" s="1568"/>
      <c r="OP180" s="1568"/>
      <c r="OQ180" s="1871"/>
      <c r="OR180" s="2675"/>
      <c r="OS180" s="1022"/>
      <c r="OT180" s="1568"/>
      <c r="OU180" s="1568"/>
      <c r="OV180" s="1871"/>
      <c r="OW180" s="2675"/>
      <c r="OX180" s="357"/>
      <c r="OY180" s="358"/>
      <c r="OZ180" s="358"/>
      <c r="PA180" s="359"/>
      <c r="PB180" s="114"/>
      <c r="PC180" s="137"/>
      <c r="PD180" s="439"/>
      <c r="PE180" s="208"/>
      <c r="PF180" s="208"/>
      <c r="PG180" s="2827"/>
      <c r="PH180" s="2828"/>
      <c r="PI180" s="439"/>
      <c r="PJ180" s="208"/>
      <c r="PK180" s="208"/>
      <c r="PL180" s="2827"/>
      <c r="PM180" s="2828"/>
      <c r="PN180" s="405"/>
      <c r="PO180" s="1575"/>
      <c r="PP180" s="1575"/>
      <c r="PQ180" s="1707"/>
      <c r="PR180" s="1867"/>
      <c r="PS180" s="1574"/>
      <c r="PT180" s="208"/>
      <c r="PU180" s="208"/>
      <c r="PV180" s="371"/>
      <c r="PW180" s="1867"/>
      <c r="PX180" s="355"/>
      <c r="PY180" s="265"/>
      <c r="PZ180" s="265"/>
      <c r="QA180" s="265"/>
      <c r="QB180" s="1313"/>
      <c r="QC180" s="209"/>
      <c r="QD180" s="208"/>
      <c r="QE180" s="208"/>
      <c r="QF180" s="208"/>
      <c r="QG180" s="1313"/>
      <c r="QH180" s="439"/>
      <c r="QI180" s="208"/>
      <c r="QJ180" s="208"/>
      <c r="QK180" s="208"/>
      <c r="QL180" s="1313"/>
      <c r="QM180" s="439"/>
      <c r="QN180" s="208"/>
      <c r="QO180" s="208"/>
      <c r="QP180" s="208"/>
      <c r="QQ180" s="1872"/>
      <c r="QR180" s="209"/>
      <c r="QS180" s="208"/>
      <c r="QT180" s="208"/>
      <c r="QU180" s="208"/>
      <c r="QV180" s="157"/>
      <c r="QW180" s="209"/>
      <c r="QX180" s="208"/>
      <c r="QY180" s="208"/>
      <c r="QZ180" s="2879"/>
      <c r="RA180" s="2880"/>
      <c r="RB180" s="1022"/>
      <c r="RC180" s="1568"/>
      <c r="RD180" s="1568"/>
      <c r="RE180" s="2881"/>
      <c r="RF180" s="2882"/>
      <c r="RG180" s="1567"/>
      <c r="RH180" s="1568"/>
      <c r="RI180" s="1568"/>
      <c r="RJ180" s="2552"/>
      <c r="RK180" s="114"/>
      <c r="RL180" s="3708"/>
      <c r="RM180" s="1568"/>
      <c r="RN180" s="1568"/>
      <c r="RO180" s="1568"/>
      <c r="RP180" s="220"/>
      <c r="RQ180" s="3802"/>
      <c r="RR180" s="96"/>
      <c r="RS180" s="96"/>
      <c r="RT180" s="2827"/>
      <c r="RU180" s="114"/>
      <c r="RV180" s="1568"/>
      <c r="RW180" s="358"/>
      <c r="RX180" s="358"/>
      <c r="RY180" s="359"/>
      <c r="RZ180" s="169"/>
      <c r="SA180" s="607"/>
      <c r="SB180" s="137"/>
      <c r="SC180" s="137"/>
      <c r="SD180" s="3803"/>
      <c r="SE180" s="169"/>
      <c r="SF180" s="190"/>
      <c r="SG180" s="358"/>
      <c r="SH180" s="358"/>
      <c r="SI180" s="359"/>
      <c r="SJ180" s="114"/>
      <c r="SK180" s="1568"/>
      <c r="SL180" s="405"/>
      <c r="SM180" s="1575"/>
      <c r="SN180" s="1575"/>
      <c r="SO180" s="3534"/>
      <c r="SP180" s="3525"/>
      <c r="SQ180" s="405"/>
      <c r="SR180" s="1575"/>
      <c r="SS180" s="1575"/>
      <c r="ST180" s="3527"/>
      <c r="SU180" s="3541"/>
      <c r="SV180" s="439"/>
      <c r="SW180" s="208"/>
      <c r="SX180" s="208"/>
      <c r="SY180" s="371"/>
      <c r="SZ180" s="157"/>
      <c r="TA180" s="1574"/>
      <c r="TB180" s="208"/>
      <c r="TC180" s="208"/>
      <c r="TD180" s="371"/>
      <c r="TE180" s="157"/>
      <c r="TF180" s="354"/>
      <c r="TG180" s="208"/>
      <c r="TH180" s="208"/>
      <c r="TI180" s="208"/>
      <c r="TJ180" s="114"/>
      <c r="TK180" s="209"/>
      <c r="TL180" s="208"/>
      <c r="TM180" s="208"/>
      <c r="TN180" s="994"/>
      <c r="TO180" s="114"/>
      <c r="TP180" s="4432"/>
      <c r="TQ180" s="208"/>
      <c r="TR180" s="208"/>
      <c r="TS180" s="994"/>
      <c r="TT180" s="114"/>
      <c r="TU180" s="4506"/>
      <c r="TV180" s="1575"/>
      <c r="TW180" s="1575"/>
      <c r="TX180" s="2552"/>
      <c r="TY180" s="83"/>
      <c r="TZ180" s="1868"/>
      <c r="UA180" s="1575"/>
      <c r="UB180" s="1575"/>
      <c r="UC180" s="2552"/>
      <c r="UD180" s="83"/>
      <c r="UE180" s="2002"/>
      <c r="UF180" s="1575"/>
      <c r="UG180" s="1575"/>
      <c r="UH180" s="2552">
        <f t="shared" si="698"/>
        <v>0</v>
      </c>
      <c r="UI180" s="222" t="e">
        <f t="shared" si="699"/>
        <v>#DIV/0!</v>
      </c>
      <c r="UJ180" s="1022"/>
      <c r="UK180" s="1568"/>
      <c r="UL180" s="1568"/>
      <c r="UM180" s="2881"/>
      <c r="UN180" s="3665"/>
      <c r="UO180" s="1567"/>
      <c r="UP180" s="1568"/>
      <c r="UQ180" s="1568"/>
      <c r="UR180" s="2552"/>
      <c r="US180" s="632"/>
      <c r="UT180" s="191"/>
      <c r="UU180" s="358">
        <f t="shared" si="700"/>
        <v>0</v>
      </c>
      <c r="UV180" s="358">
        <f t="shared" si="700"/>
        <v>0</v>
      </c>
      <c r="UW180" s="358">
        <f t="shared" si="700"/>
        <v>0</v>
      </c>
      <c r="UX180" s="220" t="e">
        <f t="shared" si="704"/>
        <v>#DIV/0!</v>
      </c>
      <c r="UY180" s="1863"/>
      <c r="UZ180" s="105"/>
      <c r="VA180" s="105"/>
      <c r="VB180" s="2841"/>
      <c r="VC180" s="106"/>
      <c r="VD180" s="1568"/>
      <c r="VE180" s="358">
        <f t="shared" si="701"/>
        <v>0</v>
      </c>
      <c r="VF180" s="358">
        <f t="shared" si="701"/>
        <v>0</v>
      </c>
      <c r="VG180" s="359">
        <f t="shared" si="701"/>
        <v>0</v>
      </c>
      <c r="VH180" s="169" t="e">
        <f t="shared" si="702"/>
        <v>#DIV/0!</v>
      </c>
      <c r="VI180" s="686"/>
      <c r="VJ180" s="146">
        <f t="shared" si="703"/>
        <v>0</v>
      </c>
      <c r="VK180" s="146">
        <f t="shared" si="703"/>
        <v>0</v>
      </c>
      <c r="VL180" s="1864">
        <f t="shared" si="703"/>
        <v>0</v>
      </c>
      <c r="VM180" s="203"/>
      <c r="VN180" s="190"/>
      <c r="VO180" s="358"/>
      <c r="VP180" s="358"/>
      <c r="VQ180" s="359"/>
      <c r="VR180" s="114"/>
    </row>
    <row r="181" spans="1:745" s="1193" customFormat="1" ht="13.45" hidden="1" x14ac:dyDescent="0.3">
      <c r="A181" s="1297"/>
      <c r="B181" s="113" t="s">
        <v>109</v>
      </c>
      <c r="C181" s="3775" t="s">
        <v>110</v>
      </c>
      <c r="D181" s="3790" t="s">
        <v>847</v>
      </c>
      <c r="E181" s="2086"/>
      <c r="F181" s="2086"/>
      <c r="G181" s="2161"/>
      <c r="H181" s="2845"/>
      <c r="I181" s="2846"/>
      <c r="J181" s="2846"/>
      <c r="K181" s="2846"/>
      <c r="L181" s="2847"/>
      <c r="M181" s="2845"/>
      <c r="N181" s="2846"/>
      <c r="O181" s="2846"/>
      <c r="P181" s="2846"/>
      <c r="Q181" s="2847"/>
      <c r="R181" s="2845"/>
      <c r="S181" s="2846"/>
      <c r="T181" s="2846"/>
      <c r="U181" s="2846"/>
      <c r="V181" s="2847"/>
      <c r="W181" s="2845"/>
      <c r="X181" s="2846"/>
      <c r="Y181" s="2846"/>
      <c r="Z181" s="2846"/>
      <c r="AA181" s="2848"/>
      <c r="AB181" s="2845"/>
      <c r="AC181" s="2846"/>
      <c r="AD181" s="2846"/>
      <c r="AE181" s="2846"/>
      <c r="AF181" s="2848"/>
      <c r="AG181" s="2846"/>
      <c r="AH181" s="2846"/>
      <c r="AI181" s="2846"/>
      <c r="AJ181" s="2846"/>
      <c r="AK181" s="2847"/>
      <c r="AL181" s="2846"/>
      <c r="AM181" s="2846"/>
      <c r="AN181" s="2846"/>
      <c r="AO181" s="2846"/>
      <c r="AP181" s="2847"/>
      <c r="AQ181" s="2846"/>
      <c r="AR181" s="2846"/>
      <c r="AS181" s="2846"/>
      <c r="AT181" s="2846"/>
      <c r="AU181" s="2847"/>
      <c r="AV181" s="2849"/>
      <c r="AW181" s="2846"/>
      <c r="AX181" s="2846"/>
      <c r="AY181" s="2846"/>
      <c r="AZ181" s="2848"/>
      <c r="BA181" s="2849"/>
      <c r="BB181" s="2846"/>
      <c r="BC181" s="2846"/>
      <c r="BD181" s="2846"/>
      <c r="BE181" s="2848"/>
      <c r="BF181" s="2849"/>
      <c r="BG181" s="2846"/>
      <c r="BH181" s="2846"/>
      <c r="BI181" s="2846"/>
      <c r="BJ181" s="2848"/>
      <c r="BK181" s="2849"/>
      <c r="BL181" s="2846"/>
      <c r="BM181" s="2846"/>
      <c r="BN181" s="2846"/>
      <c r="BO181" s="2848"/>
      <c r="BP181" s="2850"/>
      <c r="BQ181" s="2846"/>
      <c r="BR181" s="2846"/>
      <c r="BS181" s="2846"/>
      <c r="BT181" s="2851"/>
      <c r="BU181" s="2846"/>
      <c r="BV181" s="2846"/>
      <c r="BW181" s="2852"/>
      <c r="BX181" s="2851"/>
      <c r="BY181" s="2846"/>
      <c r="BZ181" s="2846"/>
      <c r="CA181" s="2853"/>
      <c r="CB181" s="2846"/>
      <c r="CC181" s="2846"/>
      <c r="CD181" s="2846"/>
      <c r="CE181" s="2846"/>
      <c r="CF181" s="2851"/>
      <c r="CG181" s="2846"/>
      <c r="CH181" s="2846"/>
      <c r="CI181" s="2853"/>
      <c r="CJ181" s="2854"/>
      <c r="CK181" s="2846"/>
      <c r="CL181" s="2846"/>
      <c r="CM181" s="2846"/>
      <c r="CN181" s="2852"/>
      <c r="CO181" s="2854"/>
      <c r="CP181" s="2845"/>
      <c r="CQ181" s="2845"/>
      <c r="CR181" s="2845"/>
      <c r="CS181" s="2852"/>
      <c r="CT181" s="2854"/>
      <c r="CU181" s="2846"/>
      <c r="CV181" s="2846"/>
      <c r="CW181" s="2846"/>
      <c r="CX181" s="2852"/>
      <c r="CY181" s="2854"/>
      <c r="CZ181" s="2846"/>
      <c r="DA181" s="2846"/>
      <c r="DB181" s="2846"/>
      <c r="DC181" s="2852"/>
      <c r="DD181" s="2854"/>
      <c r="DE181" s="2846"/>
      <c r="DF181" s="2846"/>
      <c r="DG181" s="2846"/>
      <c r="DH181" s="2855"/>
      <c r="DI181" s="2854"/>
      <c r="DJ181" s="2846"/>
      <c r="DK181" s="2846"/>
      <c r="DL181" s="2846"/>
      <c r="DM181" s="2855"/>
      <c r="DN181" s="2854"/>
      <c r="DO181" s="2846"/>
      <c r="DP181" s="2846"/>
      <c r="DQ181" s="2846"/>
      <c r="DR181" s="2855"/>
      <c r="DS181" s="2854"/>
      <c r="DT181" s="2846"/>
      <c r="DU181" s="2846"/>
      <c r="DV181" s="2846"/>
      <c r="DW181" s="2855"/>
      <c r="DX181" s="2854"/>
      <c r="DY181" s="2846"/>
      <c r="DZ181" s="2846"/>
      <c r="EA181" s="2846"/>
      <c r="EB181" s="2855"/>
      <c r="EC181" s="2854"/>
      <c r="ED181" s="2846"/>
      <c r="EE181" s="2846"/>
      <c r="EF181" s="2846"/>
      <c r="EG181" s="2855"/>
      <c r="EH181" s="1567"/>
      <c r="EI181" s="1568"/>
      <c r="EJ181" s="1568"/>
      <c r="EK181" s="1568"/>
      <c r="EL181" s="353"/>
      <c r="EM181" s="1857"/>
      <c r="EN181" s="358"/>
      <c r="EO181" s="358"/>
      <c r="EP181" s="358"/>
      <c r="EQ181" s="94"/>
      <c r="ER181" s="3791">
        <f>(CJ181+CO181+CT181+CY181+DD181+DI181+DN181+DS181+DX181+EC181+EH181+EM181)/12</f>
        <v>0</v>
      </c>
      <c r="ES181" s="3792">
        <f t="shared" ref="ES181:EU185" si="705">CK181+CP181+CU181+CZ181+DE181+DJ181+DO181+DT181+DY181+ED181+EI181+EN181</f>
        <v>0</v>
      </c>
      <c r="ET181" s="3792">
        <f t="shared" si="705"/>
        <v>0</v>
      </c>
      <c r="EU181" s="3792">
        <f t="shared" si="705"/>
        <v>0</v>
      </c>
      <c r="EV181" s="370" t="e">
        <f>EU181/ET181</f>
        <v>#DIV/0!</v>
      </c>
      <c r="EW181" s="1569"/>
      <c r="EX181" s="1569"/>
      <c r="EY181" s="1569"/>
      <c r="EZ181" s="210"/>
      <c r="FA181" s="1567"/>
      <c r="FB181" s="1569"/>
      <c r="FC181" s="1569"/>
      <c r="FD181" s="220"/>
      <c r="FE181" s="1569"/>
      <c r="FF181" s="1569"/>
      <c r="FG181" s="1569"/>
      <c r="FH181" s="210"/>
      <c r="FI181" s="580"/>
      <c r="FJ181" s="579"/>
      <c r="FK181" s="137"/>
      <c r="FL181" s="137"/>
      <c r="FM181" s="151"/>
      <c r="FN181" s="1569"/>
      <c r="FO181" s="1568"/>
      <c r="FP181" s="1568"/>
      <c r="FQ181" s="1568"/>
      <c r="FR181" s="408"/>
      <c r="FS181" s="2858"/>
      <c r="FT181" s="2859"/>
      <c r="FU181" s="2859"/>
      <c r="FV181" s="2859"/>
      <c r="FW181" s="2860"/>
      <c r="FX181" s="1567"/>
      <c r="FY181" s="1568"/>
      <c r="FZ181" s="1568"/>
      <c r="GA181" s="2859"/>
      <c r="GB181" s="2860"/>
      <c r="GC181" s="1567"/>
      <c r="GD181" s="1568"/>
      <c r="GE181" s="1568"/>
      <c r="GF181" s="358"/>
      <c r="GG181" s="94"/>
      <c r="GH181" s="1857"/>
      <c r="GI181" s="358"/>
      <c r="GJ181" s="358"/>
      <c r="GK181" s="2861"/>
      <c r="GL181" s="2860"/>
      <c r="GM181" s="1857"/>
      <c r="GN181" s="358"/>
      <c r="GO181" s="358"/>
      <c r="GP181" s="2861"/>
      <c r="GQ181" s="2860"/>
      <c r="GR181" s="1862"/>
      <c r="GS181" s="358"/>
      <c r="GT181" s="358"/>
      <c r="GU181" s="2861"/>
      <c r="GV181" s="2860"/>
      <c r="GW181" s="1862"/>
      <c r="GX181" s="265"/>
      <c r="GY181" s="265"/>
      <c r="GZ181" s="2861"/>
      <c r="HA181" s="2860"/>
      <c r="HB181" s="1862"/>
      <c r="HC181" s="265"/>
      <c r="HD181" s="265"/>
      <c r="HE181" s="2861"/>
      <c r="HF181" s="2860"/>
      <c r="HG181" s="1862"/>
      <c r="HH181" s="265"/>
      <c r="HI181" s="265"/>
      <c r="HJ181" s="1016"/>
      <c r="HK181" s="2860"/>
      <c r="HL181" s="1862"/>
      <c r="HM181" s="265"/>
      <c r="HN181" s="265"/>
      <c r="HO181" s="265"/>
      <c r="HP181" s="94"/>
      <c r="HQ181" s="3793"/>
      <c r="HR181" s="265"/>
      <c r="HS181" s="265"/>
      <c r="HT181" s="265"/>
      <c r="HU181" s="2862"/>
      <c r="HV181" s="2723">
        <f>(FN181+FS181+FX181+GC181+GH181+GM181+GR181+GW181+HB181+HG181+HL181+HQ181)/12</f>
        <v>0</v>
      </c>
      <c r="HW181" s="395">
        <f t="shared" ref="HW181:HY185" si="706">FO181+FT181+FY181+GD181+GI181+GN181+GS181+GX181+HC181+HH181+HM181+HR181</f>
        <v>0</v>
      </c>
      <c r="HX181" s="395">
        <f t="shared" si="706"/>
        <v>0</v>
      </c>
      <c r="HY181" s="395">
        <f t="shared" si="706"/>
        <v>0</v>
      </c>
      <c r="HZ181" s="2734"/>
      <c r="IA181" s="1854"/>
      <c r="IB181" s="1855"/>
      <c r="IC181" s="1855"/>
      <c r="ID181" s="1856"/>
      <c r="IE181" s="1857"/>
      <c r="IF181" s="1858"/>
      <c r="IG181" s="1854"/>
      <c r="IH181" s="1856"/>
      <c r="II181" s="1934"/>
      <c r="IJ181" s="2878"/>
      <c r="IK181" s="2878"/>
      <c r="IL181" s="151"/>
      <c r="IM181" s="1013"/>
      <c r="IN181" s="2878"/>
      <c r="IO181" s="2878"/>
      <c r="IP181" s="3794"/>
      <c r="IQ181" s="1568"/>
      <c r="IR181" s="3795"/>
      <c r="IS181" s="265"/>
      <c r="IT181" s="265"/>
      <c r="IU181" s="3796"/>
      <c r="IV181" s="2870"/>
      <c r="IW181" s="2858"/>
      <c r="IX181" s="2859"/>
      <c r="IY181" s="2859"/>
      <c r="IZ181" s="1016"/>
      <c r="JA181" s="94"/>
      <c r="JB181" s="2875"/>
      <c r="JC181" s="3797"/>
      <c r="JD181" s="3798"/>
      <c r="JE181" s="2859"/>
      <c r="JF181" s="94"/>
      <c r="JG181" s="621"/>
      <c r="JH181" s="358"/>
      <c r="JI181" s="358"/>
      <c r="JJ181" s="358"/>
      <c r="JK181" s="94"/>
      <c r="JL181" s="1857"/>
      <c r="JM181" s="358"/>
      <c r="JN181" s="358"/>
      <c r="JO181" s="2872"/>
      <c r="JP181" s="94"/>
      <c r="JQ181" s="3799"/>
      <c r="JR181" s="1025"/>
      <c r="JS181" s="265"/>
      <c r="JT181" s="358"/>
      <c r="JU181" s="2860"/>
      <c r="JV181" s="621"/>
      <c r="JW181" s="358"/>
      <c r="JX181" s="265"/>
      <c r="JY181" s="2872"/>
      <c r="JZ181" s="2860"/>
      <c r="KA181" s="2876"/>
      <c r="KB181" s="265"/>
      <c r="KC181" s="265"/>
      <c r="KD181" s="358"/>
      <c r="KE181" s="2860"/>
      <c r="KF181" s="621"/>
      <c r="KG181" s="265"/>
      <c r="KH181" s="265"/>
      <c r="KI181" s="358"/>
      <c r="KJ181" s="94"/>
      <c r="KK181" s="2876"/>
      <c r="KL181" s="265"/>
      <c r="KM181" s="265"/>
      <c r="KN181" s="1016"/>
      <c r="KO181" s="2860"/>
      <c r="KP181" s="1862"/>
      <c r="KQ181" s="265"/>
      <c r="KR181" s="2877"/>
      <c r="KS181" s="265"/>
      <c r="KT181" s="158"/>
      <c r="KU181" s="3793"/>
      <c r="KV181" s="265"/>
      <c r="KW181" s="2877"/>
      <c r="KX181" s="265"/>
      <c r="KY181" s="94"/>
      <c r="KZ181" s="1857"/>
      <c r="LA181" s="358"/>
      <c r="LB181" s="358"/>
      <c r="LC181" s="358"/>
      <c r="LD181" s="220"/>
      <c r="LE181" s="1854"/>
      <c r="LF181" s="1855"/>
      <c r="LG181" s="1855"/>
      <c r="LH181" s="1856"/>
      <c r="LI181" s="1857"/>
      <c r="LJ181" s="1858"/>
      <c r="LK181" s="1854"/>
      <c r="LL181" s="1856"/>
      <c r="LM181" s="1934"/>
      <c r="LN181" s="2878"/>
      <c r="LO181" s="2878"/>
      <c r="LP181" s="151"/>
      <c r="LQ181" s="3800"/>
      <c r="LR181" s="2878"/>
      <c r="LS181" s="2878"/>
      <c r="LT181" s="3794"/>
      <c r="LU181" s="1568"/>
      <c r="LV181" s="401"/>
      <c r="LW181" s="395"/>
      <c r="LX181" s="395"/>
      <c r="LY181" s="115"/>
      <c r="LZ181" s="78"/>
      <c r="MA181" s="401"/>
      <c r="MB181" s="395"/>
      <c r="MC181" s="395"/>
      <c r="MD181" s="115"/>
      <c r="ME181" s="186"/>
      <c r="MF181" s="401"/>
      <c r="MG181" s="395"/>
      <c r="MH181" s="395"/>
      <c r="MI181" s="372"/>
      <c r="MJ181" s="207"/>
      <c r="MK181" s="2573"/>
      <c r="ML181" s="395"/>
      <c r="MM181" s="395"/>
      <c r="MN181" s="372"/>
      <c r="MO181" s="207"/>
      <c r="MP181" s="3805"/>
      <c r="MQ181" s="1317"/>
      <c r="MR181" s="1317"/>
      <c r="MS181" s="1317"/>
      <c r="MT181" s="1313"/>
      <c r="MU181" s="209">
        <v>6</v>
      </c>
      <c r="MV181" s="208">
        <v>192621</v>
      </c>
      <c r="MW181" s="208">
        <v>446880</v>
      </c>
      <c r="MX181" s="208">
        <f>MW181-MV181</f>
        <v>254259</v>
      </c>
      <c r="MY181" s="1313">
        <f>MX181/MW181</f>
        <v>0.56896482277121374</v>
      </c>
      <c r="MZ181" s="1318">
        <v>8</v>
      </c>
      <c r="NA181" s="395">
        <v>246780</v>
      </c>
      <c r="NB181" s="395">
        <v>595000</v>
      </c>
      <c r="NC181" s="395">
        <f>NB181-NA181</f>
        <v>348220</v>
      </c>
      <c r="ND181" s="1313">
        <f>NC181/NB181</f>
        <v>0.58524369747899163</v>
      </c>
      <c r="NE181" s="209">
        <v>8</v>
      </c>
      <c r="NF181" s="208">
        <v>300734</v>
      </c>
      <c r="NG181" s="208">
        <v>595000</v>
      </c>
      <c r="NH181" s="395">
        <f>NG181-NF181</f>
        <v>294266</v>
      </c>
      <c r="NI181" s="1313">
        <f>NH181/NG181</f>
        <v>0.49456470588235296</v>
      </c>
      <c r="NJ181" s="209">
        <v>8</v>
      </c>
      <c r="NK181" s="208">
        <v>294774</v>
      </c>
      <c r="NL181" s="208">
        <v>595360</v>
      </c>
      <c r="NM181" s="395">
        <f t="shared" ref="NM181:NM186" si="707">NL181-NK181</f>
        <v>300586</v>
      </c>
      <c r="NN181" s="1313">
        <f>NM181/NL181</f>
        <v>0.50488108035474333</v>
      </c>
      <c r="NO181" s="2432">
        <v>8</v>
      </c>
      <c r="NP181" s="358">
        <v>285533</v>
      </c>
      <c r="NQ181" s="358">
        <v>595360</v>
      </c>
      <c r="NR181" s="208">
        <f t="shared" ref="NR181:NR186" si="708">NQ181-NP181</f>
        <v>309827</v>
      </c>
      <c r="NS181" s="1313">
        <f t="shared" ref="NS181:NS186" si="709">NR181/NQ181</f>
        <v>0.52040278151034669</v>
      </c>
      <c r="NT181" s="357">
        <v>7</v>
      </c>
      <c r="NU181" s="358">
        <v>266431</v>
      </c>
      <c r="NV181" s="358">
        <v>595360</v>
      </c>
      <c r="NW181" s="208">
        <f t="shared" ref="NW181:NW186" si="710">NV181-NU181</f>
        <v>328929</v>
      </c>
      <c r="NX181" s="1313">
        <f t="shared" ref="NX181:NX186" si="711">NW181/NV181</f>
        <v>0.55248757054555231</v>
      </c>
      <c r="NY181" s="357">
        <v>7</v>
      </c>
      <c r="NZ181" s="358">
        <v>266431</v>
      </c>
      <c r="OA181" s="358">
        <v>595360</v>
      </c>
      <c r="OB181" s="772">
        <f t="shared" ref="OB181:OB187" si="712">OA181-NZ181</f>
        <v>328929</v>
      </c>
      <c r="OC181" s="116">
        <f t="shared" ref="OC181:OC190" si="713">OB181/OA181</f>
        <v>0.55248757054555231</v>
      </c>
      <c r="OD181" s="191">
        <v>7</v>
      </c>
      <c r="OE181" s="358">
        <f t="shared" ref="OE181:OG190" si="714">NZ181+NU181+NP181+NK181+NF181+NA181+MV181+MQ181+ML181+MG181+MB181+LW181</f>
        <v>1853304</v>
      </c>
      <c r="OF181" s="358">
        <f t="shared" si="714"/>
        <v>4018320</v>
      </c>
      <c r="OG181" s="358">
        <f t="shared" si="714"/>
        <v>2165016</v>
      </c>
      <c r="OH181" s="220">
        <f t="shared" ref="OH181:OH190" si="715">OG181/OF181</f>
        <v>0.53878635847817002</v>
      </c>
      <c r="OI181" s="3802"/>
      <c r="OJ181" s="96">
        <f>LW181+MB181+MG181</f>
        <v>0</v>
      </c>
      <c r="OK181" s="96"/>
      <c r="OL181" s="96"/>
      <c r="OM181" s="114"/>
      <c r="ON181" s="358">
        <f>(MK181+MP181+MU181)/3</f>
        <v>2</v>
      </c>
      <c r="OO181" s="358">
        <f>ML181+MQ181+MV181</f>
        <v>192621</v>
      </c>
      <c r="OP181" s="358">
        <f>MM181+MR181+MW181</f>
        <v>446880</v>
      </c>
      <c r="OQ181" s="359">
        <f>MN181+MS181+MX181</f>
        <v>254259</v>
      </c>
      <c r="OR181" s="169">
        <f>OQ181/OP181</f>
        <v>0.56896482277121374</v>
      </c>
      <c r="OS181" s="607">
        <f>(NJ181+NE181+MZ181)/3</f>
        <v>8</v>
      </c>
      <c r="OT181" s="137">
        <f t="shared" ref="OT181:OV185" si="716">NK181+NF181+NA181</f>
        <v>842288</v>
      </c>
      <c r="OU181" s="137">
        <f t="shared" si="716"/>
        <v>1785360</v>
      </c>
      <c r="OV181" s="3803">
        <f t="shared" si="716"/>
        <v>943072</v>
      </c>
      <c r="OW181" s="169">
        <f>OV181/OU181</f>
        <v>0.52822511986378096</v>
      </c>
      <c r="OX181" s="357">
        <f t="shared" ref="OX181:OX187" si="717">(NO181+NT181+NY181)/3</f>
        <v>7.333333333333333</v>
      </c>
      <c r="OY181" s="358">
        <f t="shared" ref="OY181:PA187" si="718">NP181+NU181+NZ181</f>
        <v>818395</v>
      </c>
      <c r="OZ181" s="358">
        <f t="shared" si="718"/>
        <v>1786080</v>
      </c>
      <c r="PA181" s="359">
        <f t="shared" si="718"/>
        <v>967685</v>
      </c>
      <c r="PB181" s="114">
        <f t="shared" ref="PB181:PB190" si="719">PA181/OZ181</f>
        <v>0.5417926408671504</v>
      </c>
      <c r="PC181" s="137"/>
      <c r="PD181" s="401"/>
      <c r="PE181" s="395"/>
      <c r="PF181" s="395"/>
      <c r="PG181" s="115"/>
      <c r="PH181" s="78"/>
      <c r="PI181" s="401"/>
      <c r="PJ181" s="395"/>
      <c r="PK181" s="395"/>
      <c r="PL181" s="115"/>
      <c r="PM181" s="186"/>
      <c r="PN181" s="401"/>
      <c r="PO181" s="395"/>
      <c r="PP181" s="395"/>
      <c r="PQ181" s="372"/>
      <c r="PR181" s="207"/>
      <c r="PS181" s="1573"/>
      <c r="PT181" s="395"/>
      <c r="PU181" s="395"/>
      <c r="PV181" s="372"/>
      <c r="PW181" s="370"/>
      <c r="PX181" s="3806"/>
      <c r="PY181" s="1317"/>
      <c r="PZ181" s="1317"/>
      <c r="QA181" s="265"/>
      <c r="QB181" s="1313"/>
      <c r="QC181" s="209"/>
      <c r="QD181" s="208"/>
      <c r="QE181" s="208"/>
      <c r="QF181" s="208"/>
      <c r="QG181" s="1313"/>
      <c r="QH181" s="401"/>
      <c r="QI181" s="395"/>
      <c r="QJ181" s="395"/>
      <c r="QK181" s="208"/>
      <c r="QL181" s="1313"/>
      <c r="QM181" s="439"/>
      <c r="QN181" s="208"/>
      <c r="QO181" s="208"/>
      <c r="QP181" s="395"/>
      <c r="QQ181" s="1872"/>
      <c r="QR181" s="209"/>
      <c r="QS181" s="208"/>
      <c r="QT181" s="208"/>
      <c r="QU181" s="395"/>
      <c r="QV181" s="157"/>
      <c r="QW181" s="1318"/>
      <c r="QX181" s="208"/>
      <c r="QY181" s="994"/>
      <c r="QZ181" s="395">
        <f>QY181-QX181</f>
        <v>0</v>
      </c>
      <c r="RA181" s="157"/>
      <c r="RB181" s="357"/>
      <c r="RC181" s="358"/>
      <c r="RD181" s="358"/>
      <c r="RE181" s="208"/>
      <c r="RF181" s="1313"/>
      <c r="RG181" s="1567"/>
      <c r="RH181" s="1568"/>
      <c r="RI181" s="1568"/>
      <c r="RJ181" s="2012">
        <f t="shared" ref="RJ181:RJ186" si="720">RI181-RH181</f>
        <v>0</v>
      </c>
      <c r="RK181" s="2050">
        <v>0</v>
      </c>
      <c r="RL181" s="1567"/>
      <c r="RM181" s="1568">
        <f t="shared" ref="RM181:RO196" si="721">RH181+RC181+QX181+QS181+QN181+QI181+QD181+PY181+PT181+PO181+PJ181+PE181</f>
        <v>0</v>
      </c>
      <c r="RN181" s="1568">
        <f t="shared" si="721"/>
        <v>0</v>
      </c>
      <c r="RO181" s="1568">
        <f t="shared" si="721"/>
        <v>0</v>
      </c>
      <c r="RP181" s="2281">
        <v>0</v>
      </c>
      <c r="RQ181" s="3802">
        <f t="shared" ref="RQ181:RQ207" si="722">(PD181+PI181+PN181)/3</f>
        <v>0</v>
      </c>
      <c r="RR181" s="96">
        <f t="shared" ref="RR181:RT187" si="723">PE181+PJ181+PO181</f>
        <v>0</v>
      </c>
      <c r="RS181" s="96">
        <f t="shared" si="723"/>
        <v>0</v>
      </c>
      <c r="RT181" s="96">
        <f t="shared" si="723"/>
        <v>0</v>
      </c>
      <c r="RU181" s="114" t="e">
        <f t="shared" ref="RU181:RU187" si="724">RT181/RS181</f>
        <v>#DIV/0!</v>
      </c>
      <c r="RV181" s="1868">
        <v>8</v>
      </c>
      <c r="RW181" s="358">
        <f t="shared" ref="RW181:RY187" si="725">PT181+PY181+QD181</f>
        <v>0</v>
      </c>
      <c r="RX181" s="358">
        <f t="shared" si="725"/>
        <v>0</v>
      </c>
      <c r="RY181" s="359">
        <f t="shared" si="725"/>
        <v>0</v>
      </c>
      <c r="RZ181" s="169" t="e">
        <f t="shared" ref="RZ181:RZ187" si="726">RY181/RX181</f>
        <v>#DIV/0!</v>
      </c>
      <c r="SA181" s="607">
        <v>8</v>
      </c>
      <c r="SB181" s="137">
        <f t="shared" ref="SB181:SD182" si="727">QS181+QN181+QI181</f>
        <v>0</v>
      </c>
      <c r="SC181" s="137">
        <f t="shared" si="727"/>
        <v>0</v>
      </c>
      <c r="SD181" s="3803">
        <f t="shared" si="727"/>
        <v>0</v>
      </c>
      <c r="SE181" s="169" t="e">
        <f t="shared" ref="SE181:SE187" si="728">SD181/SC181</f>
        <v>#DIV/0!</v>
      </c>
      <c r="SF181" s="1567"/>
      <c r="SG181" s="358">
        <f t="shared" ref="SG181:SI182" si="729">QX181+RC181+RH181</f>
        <v>0</v>
      </c>
      <c r="SH181" s="358">
        <f t="shared" si="729"/>
        <v>0</v>
      </c>
      <c r="SI181" s="359">
        <f t="shared" si="729"/>
        <v>0</v>
      </c>
      <c r="SJ181" s="2155">
        <v>0</v>
      </c>
      <c r="SK181" s="1568"/>
      <c r="SL181" s="2445"/>
      <c r="SM181" s="2001"/>
      <c r="SN181" s="2001"/>
      <c r="SO181" s="3534"/>
      <c r="SP181" s="3525"/>
      <c r="SQ181" s="2445"/>
      <c r="SR181" s="2001"/>
      <c r="SS181" s="2001"/>
      <c r="ST181" s="3534"/>
      <c r="SU181" s="1498"/>
      <c r="SV181" s="401"/>
      <c r="SW181" s="395"/>
      <c r="SX181" s="395"/>
      <c r="SY181" s="372"/>
      <c r="SZ181" s="207"/>
      <c r="TA181" s="1573"/>
      <c r="TB181" s="395"/>
      <c r="TC181" s="395"/>
      <c r="TD181" s="372"/>
      <c r="TE181" s="207"/>
      <c r="TF181" s="1573"/>
      <c r="TG181" s="395"/>
      <c r="TH181" s="395"/>
      <c r="TI181" s="208"/>
      <c r="TJ181" s="114"/>
      <c r="TK181" s="209"/>
      <c r="TL181" s="208"/>
      <c r="TM181" s="208"/>
      <c r="TN181" s="994"/>
      <c r="TO181" s="114"/>
      <c r="TP181" s="4434"/>
      <c r="TQ181" s="395"/>
      <c r="TR181" s="395"/>
      <c r="TS181" s="994"/>
      <c r="TT181" s="114"/>
      <c r="TU181" s="4506"/>
      <c r="TV181" s="1575"/>
      <c r="TW181" s="1575"/>
      <c r="TX181" s="2012"/>
      <c r="TY181" s="83"/>
      <c r="TZ181" s="1868"/>
      <c r="UA181" s="1575"/>
      <c r="UB181" s="1575"/>
      <c r="UC181" s="2012"/>
      <c r="UD181" s="83"/>
      <c r="UE181" s="2002"/>
      <c r="UF181" s="1575"/>
      <c r="UG181" s="1575"/>
      <c r="UH181" s="2552">
        <f t="shared" si="698"/>
        <v>0</v>
      </c>
      <c r="UI181" s="222" t="e">
        <f t="shared" si="699"/>
        <v>#DIV/0!</v>
      </c>
      <c r="UJ181" s="357"/>
      <c r="UK181" s="358"/>
      <c r="UL181" s="358"/>
      <c r="UM181" s="208"/>
      <c r="UN181" s="597"/>
      <c r="UO181" s="1567"/>
      <c r="UP181" s="1568"/>
      <c r="UQ181" s="1568"/>
      <c r="UR181" s="2012">
        <f t="shared" ref="UR181:UR186" si="730">UQ181-UP181</f>
        <v>0</v>
      </c>
      <c r="US181" s="659">
        <v>0</v>
      </c>
      <c r="UT181" s="1567"/>
      <c r="UU181" s="358">
        <f t="shared" si="700"/>
        <v>0</v>
      </c>
      <c r="UV181" s="358">
        <f t="shared" si="700"/>
        <v>0</v>
      </c>
      <c r="UW181" s="358">
        <f t="shared" si="700"/>
        <v>0</v>
      </c>
      <c r="UX181" s="220" t="e">
        <f t="shared" si="704"/>
        <v>#DIV/0!</v>
      </c>
      <c r="UY181" s="1863">
        <f t="shared" ref="UY181:UY194" si="731">(SL181+SQ181+SV181)/3</f>
        <v>0</v>
      </c>
      <c r="UZ181" s="105">
        <f t="shared" ref="UZ181:VB196" si="732">SM181+SR181+SW181</f>
        <v>0</v>
      </c>
      <c r="VA181" s="105">
        <f t="shared" si="732"/>
        <v>0</v>
      </c>
      <c r="VB181" s="105">
        <f t="shared" si="732"/>
        <v>0</v>
      </c>
      <c r="VC181" s="106" t="e">
        <f t="shared" ref="VC181:VC187" si="733">VB181/VA181</f>
        <v>#DIV/0!</v>
      </c>
      <c r="VD181" s="1868"/>
      <c r="VE181" s="358">
        <f t="shared" si="701"/>
        <v>0</v>
      </c>
      <c r="VF181" s="358">
        <f t="shared" si="701"/>
        <v>0</v>
      </c>
      <c r="VG181" s="359">
        <f t="shared" si="701"/>
        <v>0</v>
      </c>
      <c r="VH181" s="169" t="e">
        <f t="shared" si="702"/>
        <v>#DIV/0!</v>
      </c>
      <c r="VI181" s="686"/>
      <c r="VJ181" s="146">
        <f t="shared" si="703"/>
        <v>0</v>
      </c>
      <c r="VK181" s="146">
        <f t="shared" si="703"/>
        <v>0</v>
      </c>
      <c r="VL181" s="1864">
        <f t="shared" si="703"/>
        <v>0</v>
      </c>
      <c r="VM181" s="203" t="e">
        <f t="shared" ref="VM181:VM194" si="734">VL181/VK181</f>
        <v>#DIV/0!</v>
      </c>
      <c r="VN181" s="1567"/>
      <c r="VO181" s="358">
        <f t="shared" ref="VO181:VQ190" si="735">UF181+UK181+UP181</f>
        <v>0</v>
      </c>
      <c r="VP181" s="358">
        <f t="shared" si="735"/>
        <v>0</v>
      </c>
      <c r="VQ181" s="359">
        <f t="shared" si="735"/>
        <v>0</v>
      </c>
      <c r="VR181" s="2155">
        <v>0</v>
      </c>
    </row>
    <row r="182" spans="1:745" s="1193" customFormat="1" ht="13.45" hidden="1" x14ac:dyDescent="0.3">
      <c r="A182" s="1297"/>
      <c r="B182" s="113" t="s">
        <v>113</v>
      </c>
      <c r="C182" s="2156" t="s">
        <v>114</v>
      </c>
      <c r="D182" s="3790" t="s">
        <v>848</v>
      </c>
      <c r="E182" s="384"/>
      <c r="F182" s="384"/>
      <c r="G182" s="2161"/>
      <c r="H182" s="2845"/>
      <c r="I182" s="2846"/>
      <c r="J182" s="2846"/>
      <c r="K182" s="2846"/>
      <c r="L182" s="2847"/>
      <c r="M182" s="2845"/>
      <c r="N182" s="2846"/>
      <c r="O182" s="2846"/>
      <c r="P182" s="2846"/>
      <c r="Q182" s="2847"/>
      <c r="R182" s="2845"/>
      <c r="S182" s="2846"/>
      <c r="T182" s="2846"/>
      <c r="U182" s="2846"/>
      <c r="V182" s="2847"/>
      <c r="W182" s="2845"/>
      <c r="X182" s="2846"/>
      <c r="Y182" s="2846"/>
      <c r="Z182" s="2846"/>
      <c r="AA182" s="2848"/>
      <c r="AB182" s="2845"/>
      <c r="AC182" s="2846"/>
      <c r="AD182" s="2846"/>
      <c r="AE182" s="2846"/>
      <c r="AF182" s="2848"/>
      <c r="AG182" s="2846"/>
      <c r="AH182" s="2846"/>
      <c r="AI182" s="2846"/>
      <c r="AJ182" s="2846"/>
      <c r="AK182" s="2847"/>
      <c r="AL182" s="2846"/>
      <c r="AM182" s="2846"/>
      <c r="AN182" s="2846"/>
      <c r="AO182" s="2846"/>
      <c r="AP182" s="2847"/>
      <c r="AQ182" s="2846"/>
      <c r="AR182" s="2846"/>
      <c r="AS182" s="2846"/>
      <c r="AT182" s="2846"/>
      <c r="AU182" s="2847"/>
      <c r="AV182" s="2849"/>
      <c r="AW182" s="2846"/>
      <c r="AX182" s="2846"/>
      <c r="AY182" s="2846"/>
      <c r="AZ182" s="2848"/>
      <c r="BA182" s="2849"/>
      <c r="BB182" s="2846"/>
      <c r="BC182" s="2846"/>
      <c r="BD182" s="2846"/>
      <c r="BE182" s="2848"/>
      <c r="BF182" s="2849"/>
      <c r="BG182" s="2846"/>
      <c r="BH182" s="2846"/>
      <c r="BI182" s="2846"/>
      <c r="BJ182" s="2848"/>
      <c r="BK182" s="2849"/>
      <c r="BL182" s="2846"/>
      <c r="BM182" s="2846"/>
      <c r="BN182" s="2846"/>
      <c r="BO182" s="2848"/>
      <c r="BP182" s="2850"/>
      <c r="BQ182" s="2846"/>
      <c r="BR182" s="2846"/>
      <c r="BS182" s="2846"/>
      <c r="BT182" s="2851"/>
      <c r="BU182" s="2846"/>
      <c r="BV182" s="2846"/>
      <c r="BW182" s="2852"/>
      <c r="BX182" s="2851"/>
      <c r="BY182" s="2846"/>
      <c r="BZ182" s="2846"/>
      <c r="CA182" s="2853"/>
      <c r="CB182" s="2846"/>
      <c r="CC182" s="2846"/>
      <c r="CD182" s="2846"/>
      <c r="CE182" s="2846"/>
      <c r="CF182" s="2851"/>
      <c r="CG182" s="2846"/>
      <c r="CH182" s="2846"/>
      <c r="CI182" s="2853"/>
      <c r="CJ182" s="2854"/>
      <c r="CK182" s="2846"/>
      <c r="CL182" s="2846"/>
      <c r="CM182" s="2846"/>
      <c r="CN182" s="2852"/>
      <c r="CO182" s="2854"/>
      <c r="CP182" s="2845"/>
      <c r="CQ182" s="2845"/>
      <c r="CR182" s="2845"/>
      <c r="CS182" s="2852"/>
      <c r="CT182" s="2854"/>
      <c r="CU182" s="2846"/>
      <c r="CV182" s="2846"/>
      <c r="CW182" s="2846"/>
      <c r="CX182" s="2852"/>
      <c r="CY182" s="2854"/>
      <c r="CZ182" s="2846"/>
      <c r="DA182" s="2846"/>
      <c r="DB182" s="2846"/>
      <c r="DC182" s="2852"/>
      <c r="DD182" s="2854"/>
      <c r="DE182" s="2846"/>
      <c r="DF182" s="2846"/>
      <c r="DG182" s="2846"/>
      <c r="DH182" s="2855"/>
      <c r="DI182" s="2854"/>
      <c r="DJ182" s="2846"/>
      <c r="DK182" s="2846"/>
      <c r="DL182" s="2846"/>
      <c r="DM182" s="2855"/>
      <c r="DN182" s="2854"/>
      <c r="DO182" s="2846"/>
      <c r="DP182" s="2846"/>
      <c r="DQ182" s="2846"/>
      <c r="DR182" s="2855"/>
      <c r="DS182" s="2854"/>
      <c r="DT182" s="2846"/>
      <c r="DU182" s="2846"/>
      <c r="DV182" s="2846"/>
      <c r="DW182" s="2855"/>
      <c r="DX182" s="2854"/>
      <c r="DY182" s="2846"/>
      <c r="DZ182" s="2846"/>
      <c r="EA182" s="2846"/>
      <c r="EB182" s="2855"/>
      <c r="EC182" s="2854"/>
      <c r="ED182" s="2846"/>
      <c r="EE182" s="2846"/>
      <c r="EF182" s="2846"/>
      <c r="EG182" s="2855"/>
      <c r="EH182" s="1567"/>
      <c r="EI182" s="1568"/>
      <c r="EJ182" s="1568"/>
      <c r="EK182" s="1568"/>
      <c r="EL182" s="353"/>
      <c r="EM182" s="1857"/>
      <c r="EN182" s="358"/>
      <c r="EO182" s="358"/>
      <c r="EP182" s="358"/>
      <c r="EQ182" s="94"/>
      <c r="ER182" s="3807">
        <f>(CJ182+CO182+CT182+CY182+DD182+DI182+DN182+DS182+DX182+EC182+EH182+EM182)/12</f>
        <v>0</v>
      </c>
      <c r="ES182" s="2857">
        <f t="shared" si="705"/>
        <v>0</v>
      </c>
      <c r="ET182" s="2857">
        <f t="shared" si="705"/>
        <v>0</v>
      </c>
      <c r="EU182" s="2857">
        <f t="shared" si="705"/>
        <v>0</v>
      </c>
      <c r="EV182" s="1867" t="e">
        <f>EU182/ET182</f>
        <v>#DIV/0!</v>
      </c>
      <c r="EW182" s="1569"/>
      <c r="EX182" s="1569"/>
      <c r="EY182" s="1569"/>
      <c r="EZ182" s="210"/>
      <c r="FA182" s="1567"/>
      <c r="FB182" s="1569"/>
      <c r="FC182" s="1569"/>
      <c r="FD182" s="220"/>
      <c r="FE182" s="1569"/>
      <c r="FF182" s="1569"/>
      <c r="FG182" s="1569"/>
      <c r="FH182" s="210"/>
      <c r="FI182" s="580"/>
      <c r="FJ182" s="579"/>
      <c r="FK182" s="137"/>
      <c r="FL182" s="137"/>
      <c r="FM182" s="151"/>
      <c r="FN182" s="1569"/>
      <c r="FO182" s="1568"/>
      <c r="FP182" s="1568"/>
      <c r="FQ182" s="1568"/>
      <c r="FR182" s="408"/>
      <c r="FS182" s="1857"/>
      <c r="FT182" s="358"/>
      <c r="FU182" s="358"/>
      <c r="FV182" s="358"/>
      <c r="FW182" s="94"/>
      <c r="FX182" s="1567"/>
      <c r="FY182" s="1568"/>
      <c r="FZ182" s="1568"/>
      <c r="GA182" s="358"/>
      <c r="GB182" s="94"/>
      <c r="GC182" s="1857"/>
      <c r="GD182" s="358"/>
      <c r="GE182" s="358"/>
      <c r="GF182" s="358"/>
      <c r="GG182" s="94"/>
      <c r="GH182" s="1857"/>
      <c r="GI182" s="358"/>
      <c r="GJ182" s="358"/>
      <c r="GK182" s="358"/>
      <c r="GL182" s="94"/>
      <c r="GM182" s="1857"/>
      <c r="GN182" s="358"/>
      <c r="GO182" s="358"/>
      <c r="GP182" s="358"/>
      <c r="GQ182" s="94"/>
      <c r="GR182" s="1857"/>
      <c r="GS182" s="358"/>
      <c r="GT182" s="358"/>
      <c r="GU182" s="358"/>
      <c r="GV182" s="94"/>
      <c r="GW182" s="1857"/>
      <c r="GX182" s="358"/>
      <c r="GY182" s="358"/>
      <c r="GZ182" s="358"/>
      <c r="HA182" s="94"/>
      <c r="HB182" s="1857"/>
      <c r="HC182" s="358"/>
      <c r="HD182" s="358"/>
      <c r="HE182" s="358"/>
      <c r="HF182" s="94"/>
      <c r="HG182" s="1857"/>
      <c r="HH182" s="358"/>
      <c r="HI182" s="358"/>
      <c r="HJ182" s="1016"/>
      <c r="HK182" s="94"/>
      <c r="HL182" s="1857"/>
      <c r="HM182" s="358"/>
      <c r="HN182" s="358"/>
      <c r="HO182" s="358"/>
      <c r="HP182" s="94"/>
      <c r="HQ182" s="3793"/>
      <c r="HR182" s="265"/>
      <c r="HS182" s="265"/>
      <c r="HT182" s="265"/>
      <c r="HU182" s="3811"/>
      <c r="HV182" s="2594">
        <f>(FN182+FS182+FX182+GC182+GH182+GM182+GR182+GW182+HB182+HG182+HL182+HQ182)/12</f>
        <v>0</v>
      </c>
      <c r="HW182" s="208">
        <f t="shared" si="706"/>
        <v>0</v>
      </c>
      <c r="HX182" s="208">
        <f t="shared" si="706"/>
        <v>0</v>
      </c>
      <c r="HY182" s="208">
        <f t="shared" si="706"/>
        <v>0</v>
      </c>
      <c r="HZ182" s="2737"/>
      <c r="IA182" s="1934"/>
      <c r="IB182" s="1855"/>
      <c r="IC182" s="1855"/>
      <c r="ID182" s="1856"/>
      <c r="IE182" s="1857"/>
      <c r="IF182" s="1858"/>
      <c r="IG182" s="1854"/>
      <c r="IH182" s="1856"/>
      <c r="II182" s="1934"/>
      <c r="IJ182" s="2878"/>
      <c r="IK182" s="2878"/>
      <c r="IL182" s="151"/>
      <c r="IM182" s="1013"/>
      <c r="IN182" s="2878"/>
      <c r="IO182" s="2878"/>
      <c r="IP182" s="3794"/>
      <c r="IQ182" s="1568"/>
      <c r="IR182" s="3795"/>
      <c r="IS182" s="358"/>
      <c r="IT182" s="358"/>
      <c r="IU182" s="3818"/>
      <c r="IV182" s="158"/>
      <c r="IW182" s="1857"/>
      <c r="IX182" s="358"/>
      <c r="IY182" s="358"/>
      <c r="IZ182" s="1016"/>
      <c r="JA182" s="94"/>
      <c r="JB182" s="2875"/>
      <c r="JC182" s="3797"/>
      <c r="JD182" s="3798"/>
      <c r="JE182" s="358"/>
      <c r="JF182" s="94"/>
      <c r="JG182" s="2875"/>
      <c r="JH182" s="358"/>
      <c r="JI182" s="358"/>
      <c r="JJ182" s="358"/>
      <c r="JK182" s="94"/>
      <c r="JL182" s="1857"/>
      <c r="JM182" s="358"/>
      <c r="JN182" s="358"/>
      <c r="JO182" s="358"/>
      <c r="JP182" s="94"/>
      <c r="JQ182" s="2873"/>
      <c r="JR182" s="1025"/>
      <c r="JS182" s="265"/>
      <c r="JT182" s="358"/>
      <c r="JU182" s="94"/>
      <c r="JV182" s="621"/>
      <c r="JW182" s="358"/>
      <c r="JX182" s="265"/>
      <c r="JY182" s="358"/>
      <c r="JZ182" s="94"/>
      <c r="KA182" s="2875"/>
      <c r="KB182" s="265"/>
      <c r="KC182" s="1025"/>
      <c r="KD182" s="358"/>
      <c r="KE182" s="94"/>
      <c r="KF182" s="2875"/>
      <c r="KG182" s="265"/>
      <c r="KH182" s="358"/>
      <c r="KI182" s="358"/>
      <c r="KJ182" s="94"/>
      <c r="KK182" s="2876"/>
      <c r="KL182" s="265"/>
      <c r="KM182" s="265"/>
      <c r="KN182" s="1016"/>
      <c r="KO182" s="2860"/>
      <c r="KP182" s="1862"/>
      <c r="KQ182" s="265"/>
      <c r="KR182" s="2877"/>
      <c r="KS182" s="265"/>
      <c r="KT182" s="158"/>
      <c r="KU182" s="3793"/>
      <c r="KV182" s="265"/>
      <c r="KW182" s="2877"/>
      <c r="KX182" s="265"/>
      <c r="KY182" s="94"/>
      <c r="KZ182" s="1857"/>
      <c r="LA182" s="358"/>
      <c r="LB182" s="358"/>
      <c r="LC182" s="358"/>
      <c r="LD182" s="220"/>
      <c r="LE182" s="1854"/>
      <c r="LF182" s="1855"/>
      <c r="LG182" s="1855"/>
      <c r="LH182" s="1856"/>
      <c r="LI182" s="1857"/>
      <c r="LJ182" s="1858"/>
      <c r="LK182" s="1854"/>
      <c r="LL182" s="1856"/>
      <c r="LM182" s="1934"/>
      <c r="LN182" s="2878"/>
      <c r="LO182" s="2878"/>
      <c r="LP182" s="151"/>
      <c r="LQ182" s="3800"/>
      <c r="LR182" s="2878"/>
      <c r="LS182" s="2878"/>
      <c r="LT182" s="3794"/>
      <c r="LU182" s="1568"/>
      <c r="LV182" s="439"/>
      <c r="LW182" s="208"/>
      <c r="LX182" s="208"/>
      <c r="LY182" s="96"/>
      <c r="LZ182" s="78"/>
      <c r="MA182" s="439"/>
      <c r="MB182" s="208"/>
      <c r="MC182" s="208"/>
      <c r="MD182" s="96"/>
      <c r="ME182" s="78"/>
      <c r="MF182" s="439"/>
      <c r="MG182" s="208"/>
      <c r="MH182" s="208"/>
      <c r="MI182" s="371"/>
      <c r="MJ182" s="157"/>
      <c r="MK182" s="354"/>
      <c r="ML182" s="208"/>
      <c r="MM182" s="208"/>
      <c r="MN182" s="371"/>
      <c r="MO182" s="157"/>
      <c r="MP182" s="3801"/>
      <c r="MQ182" s="265"/>
      <c r="MR182" s="265"/>
      <c r="MS182" s="265"/>
      <c r="MT182" s="1313"/>
      <c r="MU182" s="209"/>
      <c r="MV182" s="208"/>
      <c r="MW182" s="208"/>
      <c r="MX182" s="208"/>
      <c r="MY182" s="2014"/>
      <c r="MZ182" s="209"/>
      <c r="NA182" s="208"/>
      <c r="NB182" s="208"/>
      <c r="NC182" s="208"/>
      <c r="ND182" s="2014"/>
      <c r="NE182" s="209"/>
      <c r="NF182" s="208"/>
      <c r="NG182" s="208"/>
      <c r="NH182" s="208"/>
      <c r="NI182" s="1313"/>
      <c r="NJ182" s="209">
        <v>1</v>
      </c>
      <c r="NK182" s="208">
        <v>17473</v>
      </c>
      <c r="NL182" s="208">
        <v>22850</v>
      </c>
      <c r="NM182" s="208">
        <f t="shared" si="707"/>
        <v>5377</v>
      </c>
      <c r="NN182" s="1313">
        <f>NM182/NL182</f>
        <v>0.23531728665207877</v>
      </c>
      <c r="NO182" s="357">
        <v>1</v>
      </c>
      <c r="NP182" s="358">
        <v>54142</v>
      </c>
      <c r="NQ182" s="359">
        <v>70048</v>
      </c>
      <c r="NR182" s="208">
        <f t="shared" si="708"/>
        <v>15906</v>
      </c>
      <c r="NS182" s="1313">
        <f t="shared" si="709"/>
        <v>0.22707286432160803</v>
      </c>
      <c r="NT182" s="357">
        <v>1</v>
      </c>
      <c r="NU182" s="358">
        <v>54142</v>
      </c>
      <c r="NV182" s="358">
        <v>63680</v>
      </c>
      <c r="NW182" s="208">
        <f t="shared" si="710"/>
        <v>9538</v>
      </c>
      <c r="NX182" s="1313">
        <f t="shared" si="711"/>
        <v>0.14978015075376885</v>
      </c>
      <c r="NY182" s="357">
        <v>1</v>
      </c>
      <c r="NZ182" s="358">
        <v>54142</v>
      </c>
      <c r="OA182" s="358">
        <v>70048</v>
      </c>
      <c r="OB182" s="994">
        <f t="shared" si="712"/>
        <v>15906</v>
      </c>
      <c r="OC182" s="114">
        <f t="shared" si="713"/>
        <v>0.22707286432160803</v>
      </c>
      <c r="OD182" s="357">
        <v>1</v>
      </c>
      <c r="OE182" s="358">
        <f t="shared" si="714"/>
        <v>179899</v>
      </c>
      <c r="OF182" s="358">
        <f t="shared" si="714"/>
        <v>226626</v>
      </c>
      <c r="OG182" s="358">
        <f t="shared" si="714"/>
        <v>46727</v>
      </c>
      <c r="OH182" s="220">
        <f t="shared" si="715"/>
        <v>0.20618552152003741</v>
      </c>
      <c r="OI182" s="3802"/>
      <c r="OJ182" s="96"/>
      <c r="OK182" s="96"/>
      <c r="OL182" s="96"/>
      <c r="OM182" s="114"/>
      <c r="ON182" s="358"/>
      <c r="OO182" s="358"/>
      <c r="OP182" s="358"/>
      <c r="OQ182" s="359"/>
      <c r="OR182" s="169"/>
      <c r="OS182" s="607">
        <f>(NJ182+NE182+MZ182)/3</f>
        <v>0.33333333333333331</v>
      </c>
      <c r="OT182" s="137">
        <f t="shared" si="716"/>
        <v>17473</v>
      </c>
      <c r="OU182" s="137">
        <f t="shared" si="716"/>
        <v>22850</v>
      </c>
      <c r="OV182" s="3803">
        <f t="shared" si="716"/>
        <v>5377</v>
      </c>
      <c r="OW182" s="169">
        <f>OV182/OU182</f>
        <v>0.23531728665207877</v>
      </c>
      <c r="OX182" s="357">
        <f t="shared" si="717"/>
        <v>1</v>
      </c>
      <c r="OY182" s="358">
        <f t="shared" si="718"/>
        <v>162426</v>
      </c>
      <c r="OZ182" s="358">
        <f t="shared" si="718"/>
        <v>203776</v>
      </c>
      <c r="PA182" s="359">
        <f t="shared" si="718"/>
        <v>41350</v>
      </c>
      <c r="PB182" s="114">
        <f t="shared" si="719"/>
        <v>0.2029188913316583</v>
      </c>
      <c r="PC182" s="137"/>
      <c r="PD182" s="439"/>
      <c r="PE182" s="208"/>
      <c r="PF182" s="208"/>
      <c r="PG182" s="96"/>
      <c r="PH182" s="78"/>
      <c r="PI182" s="439"/>
      <c r="PJ182" s="208"/>
      <c r="PK182" s="208"/>
      <c r="PL182" s="96"/>
      <c r="PM182" s="78"/>
      <c r="PN182" s="439"/>
      <c r="PO182" s="208"/>
      <c r="PP182" s="208"/>
      <c r="PQ182" s="371"/>
      <c r="PR182" s="157"/>
      <c r="PS182" s="1574"/>
      <c r="PT182" s="208"/>
      <c r="PU182" s="208"/>
      <c r="PV182" s="371"/>
      <c r="PW182" s="1867"/>
      <c r="PX182" s="3804"/>
      <c r="PY182" s="265"/>
      <c r="PZ182" s="265"/>
      <c r="QA182" s="265"/>
      <c r="QB182" s="1313"/>
      <c r="QC182" s="209"/>
      <c r="QD182" s="208"/>
      <c r="QE182" s="208"/>
      <c r="QF182" s="208"/>
      <c r="QG182" s="1313"/>
      <c r="QH182" s="439"/>
      <c r="QI182" s="208"/>
      <c r="QJ182" s="208"/>
      <c r="QK182" s="208"/>
      <c r="QL182" s="1313"/>
      <c r="QM182" s="439"/>
      <c r="QN182" s="208"/>
      <c r="QO182" s="208"/>
      <c r="QP182" s="208"/>
      <c r="QQ182" s="1872"/>
      <c r="QR182" s="209"/>
      <c r="QS182" s="208"/>
      <c r="QT182" s="208"/>
      <c r="QU182" s="208"/>
      <c r="QV182" s="157"/>
      <c r="QW182" s="209"/>
      <c r="QX182" s="208"/>
      <c r="QY182" s="208"/>
      <c r="QZ182" s="208"/>
      <c r="RA182" s="157">
        <v>0</v>
      </c>
      <c r="RB182" s="357"/>
      <c r="RC182" s="358"/>
      <c r="RD182" s="358"/>
      <c r="RE182" s="208"/>
      <c r="RF182" s="1313">
        <v>0</v>
      </c>
      <c r="RG182" s="1567"/>
      <c r="RH182" s="1568">
        <v>0</v>
      </c>
      <c r="RI182" s="1568">
        <v>0</v>
      </c>
      <c r="RJ182" s="2552">
        <f t="shared" si="720"/>
        <v>0</v>
      </c>
      <c r="RK182" s="114"/>
      <c r="RL182" s="1567"/>
      <c r="RM182" s="1568">
        <f t="shared" si="721"/>
        <v>0</v>
      </c>
      <c r="RN182" s="1568">
        <f t="shared" si="721"/>
        <v>0</v>
      </c>
      <c r="RO182" s="1568">
        <f t="shared" si="721"/>
        <v>0</v>
      </c>
      <c r="RP182" s="2281">
        <v>0</v>
      </c>
      <c r="RQ182" s="3802">
        <f t="shared" si="722"/>
        <v>0</v>
      </c>
      <c r="RR182" s="96">
        <f t="shared" si="723"/>
        <v>0</v>
      </c>
      <c r="RS182" s="96">
        <f t="shared" si="723"/>
        <v>0</v>
      </c>
      <c r="RT182" s="96">
        <f t="shared" si="723"/>
        <v>0</v>
      </c>
      <c r="RU182" s="114" t="e">
        <f t="shared" si="724"/>
        <v>#DIV/0!</v>
      </c>
      <c r="RV182" s="1868">
        <f>10+1</f>
        <v>11</v>
      </c>
      <c r="RW182" s="358">
        <f t="shared" si="725"/>
        <v>0</v>
      </c>
      <c r="RX182" s="358">
        <f t="shared" si="725"/>
        <v>0</v>
      </c>
      <c r="RY182" s="359">
        <f t="shared" si="725"/>
        <v>0</v>
      </c>
      <c r="RZ182" s="169" t="e">
        <f t="shared" si="726"/>
        <v>#DIV/0!</v>
      </c>
      <c r="SA182" s="607">
        <v>15</v>
      </c>
      <c r="SB182" s="137">
        <f t="shared" si="727"/>
        <v>0</v>
      </c>
      <c r="SC182" s="137">
        <f t="shared" si="727"/>
        <v>0</v>
      </c>
      <c r="SD182" s="3803">
        <f t="shared" si="727"/>
        <v>0</v>
      </c>
      <c r="SE182" s="169" t="e">
        <f t="shared" si="728"/>
        <v>#DIV/0!</v>
      </c>
      <c r="SF182" s="1567"/>
      <c r="SG182" s="358">
        <f t="shared" si="729"/>
        <v>0</v>
      </c>
      <c r="SH182" s="358">
        <f t="shared" si="729"/>
        <v>0</v>
      </c>
      <c r="SI182" s="359">
        <f t="shared" si="729"/>
        <v>0</v>
      </c>
      <c r="SJ182" s="114">
        <v>0</v>
      </c>
      <c r="SK182" s="1568"/>
      <c r="SL182" s="405"/>
      <c r="SM182" s="1575"/>
      <c r="SN182" s="1575"/>
      <c r="SO182" s="3534"/>
      <c r="SP182" s="3525"/>
      <c r="SQ182" s="405"/>
      <c r="SR182" s="1575"/>
      <c r="SS182" s="1575"/>
      <c r="ST182" s="3523"/>
      <c r="SU182" s="222"/>
      <c r="SV182" s="439"/>
      <c r="SW182" s="208"/>
      <c r="SX182" s="208"/>
      <c r="SY182" s="371"/>
      <c r="SZ182" s="157"/>
      <c r="TA182" s="1574"/>
      <c r="TB182" s="208"/>
      <c r="TC182" s="208"/>
      <c r="TD182" s="371"/>
      <c r="TE182" s="157"/>
      <c r="TF182" s="4121"/>
      <c r="TG182" s="208"/>
      <c r="TH182" s="208"/>
      <c r="TI182" s="208"/>
      <c r="TJ182" s="114"/>
      <c r="TK182" s="209"/>
      <c r="TL182" s="208"/>
      <c r="TM182" s="208"/>
      <c r="TN182" s="994"/>
      <c r="TO182" s="114"/>
      <c r="TP182" s="4432"/>
      <c r="TQ182" s="208"/>
      <c r="TR182" s="208"/>
      <c r="TS182" s="994"/>
      <c r="TT182" s="114"/>
      <c r="TU182" s="4506"/>
      <c r="TV182" s="1575"/>
      <c r="TW182" s="1575"/>
      <c r="TX182" s="2552"/>
      <c r="TY182" s="83"/>
      <c r="TZ182" s="1868"/>
      <c r="UA182" s="1575"/>
      <c r="UB182" s="1575"/>
      <c r="UC182" s="2552"/>
      <c r="UD182" s="83"/>
      <c r="UE182" s="2002"/>
      <c r="UF182" s="1575"/>
      <c r="UG182" s="1575"/>
      <c r="UH182" s="2552">
        <f t="shared" si="698"/>
        <v>0</v>
      </c>
      <c r="UI182" s="222" t="e">
        <f t="shared" si="699"/>
        <v>#DIV/0!</v>
      </c>
      <c r="UJ182" s="357"/>
      <c r="UK182" s="358"/>
      <c r="UL182" s="358"/>
      <c r="UM182" s="208"/>
      <c r="UN182" s="597">
        <v>0</v>
      </c>
      <c r="UO182" s="1567"/>
      <c r="UP182" s="1568"/>
      <c r="UQ182" s="1568"/>
      <c r="UR182" s="2552">
        <f t="shared" si="730"/>
        <v>0</v>
      </c>
      <c r="US182" s="602"/>
      <c r="UT182" s="1567"/>
      <c r="UU182" s="358">
        <f t="shared" si="700"/>
        <v>0</v>
      </c>
      <c r="UV182" s="358">
        <f t="shared" si="700"/>
        <v>0</v>
      </c>
      <c r="UW182" s="358">
        <f t="shared" si="700"/>
        <v>0</v>
      </c>
      <c r="UX182" s="220" t="e">
        <f t="shared" si="704"/>
        <v>#DIV/0!</v>
      </c>
      <c r="UY182" s="1863">
        <f t="shared" si="731"/>
        <v>0</v>
      </c>
      <c r="UZ182" s="105">
        <f t="shared" si="732"/>
        <v>0</v>
      </c>
      <c r="VA182" s="105">
        <f t="shared" si="732"/>
        <v>0</v>
      </c>
      <c r="VB182" s="105">
        <f t="shared" si="732"/>
        <v>0</v>
      </c>
      <c r="VC182" s="106" t="e">
        <f t="shared" si="733"/>
        <v>#DIV/0!</v>
      </c>
      <c r="VD182" s="1868"/>
      <c r="VE182" s="358">
        <f t="shared" si="701"/>
        <v>0</v>
      </c>
      <c r="VF182" s="358">
        <f t="shared" si="701"/>
        <v>0</v>
      </c>
      <c r="VG182" s="359">
        <f t="shared" si="701"/>
        <v>0</v>
      </c>
      <c r="VH182" s="169" t="e">
        <f t="shared" si="702"/>
        <v>#DIV/0!</v>
      </c>
      <c r="VI182" s="686"/>
      <c r="VJ182" s="146">
        <f t="shared" si="703"/>
        <v>0</v>
      </c>
      <c r="VK182" s="146">
        <f t="shared" si="703"/>
        <v>0</v>
      </c>
      <c r="VL182" s="1864">
        <f t="shared" si="703"/>
        <v>0</v>
      </c>
      <c r="VM182" s="203" t="e">
        <f t="shared" si="734"/>
        <v>#DIV/0!</v>
      </c>
      <c r="VN182" s="1567"/>
      <c r="VO182" s="358">
        <f t="shared" si="735"/>
        <v>0</v>
      </c>
      <c r="VP182" s="358">
        <f t="shared" si="735"/>
        <v>0</v>
      </c>
      <c r="VQ182" s="359">
        <f t="shared" si="735"/>
        <v>0</v>
      </c>
      <c r="VR182" s="114">
        <v>0</v>
      </c>
    </row>
    <row r="183" spans="1:745" s="1193" customFormat="1" ht="13.45" hidden="1" x14ac:dyDescent="0.3">
      <c r="A183" s="1297"/>
      <c r="B183" s="113" t="s">
        <v>106</v>
      </c>
      <c r="C183" s="2642" t="s">
        <v>107</v>
      </c>
      <c r="D183" s="2844"/>
      <c r="E183" s="384"/>
      <c r="F183" s="384"/>
      <c r="G183" s="2161"/>
      <c r="H183" s="2845"/>
      <c r="I183" s="2846"/>
      <c r="J183" s="2846"/>
      <c r="K183" s="2846"/>
      <c r="L183" s="2847"/>
      <c r="M183" s="2845"/>
      <c r="N183" s="2846"/>
      <c r="O183" s="2846"/>
      <c r="P183" s="2846"/>
      <c r="Q183" s="2847"/>
      <c r="R183" s="2845"/>
      <c r="S183" s="2846"/>
      <c r="T183" s="2846"/>
      <c r="U183" s="2846"/>
      <c r="V183" s="2847"/>
      <c r="W183" s="2845"/>
      <c r="X183" s="2846"/>
      <c r="Y183" s="2846"/>
      <c r="Z183" s="2846"/>
      <c r="AA183" s="2848"/>
      <c r="AB183" s="2845"/>
      <c r="AC183" s="2846"/>
      <c r="AD183" s="2846"/>
      <c r="AE183" s="2846"/>
      <c r="AF183" s="2848"/>
      <c r="AG183" s="2846"/>
      <c r="AH183" s="2846"/>
      <c r="AI183" s="2846"/>
      <c r="AJ183" s="2846"/>
      <c r="AK183" s="2847"/>
      <c r="AL183" s="2846"/>
      <c r="AM183" s="2846"/>
      <c r="AN183" s="2846"/>
      <c r="AO183" s="2846"/>
      <c r="AP183" s="2847"/>
      <c r="AQ183" s="2846"/>
      <c r="AR183" s="2846"/>
      <c r="AS183" s="2846"/>
      <c r="AT183" s="2846"/>
      <c r="AU183" s="2847"/>
      <c r="AV183" s="2849"/>
      <c r="AW183" s="2846"/>
      <c r="AX183" s="2846"/>
      <c r="AY183" s="2846"/>
      <c r="AZ183" s="2848"/>
      <c r="BA183" s="2849"/>
      <c r="BB183" s="2846"/>
      <c r="BC183" s="2846"/>
      <c r="BD183" s="2846"/>
      <c r="BE183" s="2848"/>
      <c r="BF183" s="2849"/>
      <c r="BG183" s="2846"/>
      <c r="BH183" s="2846"/>
      <c r="BI183" s="2846"/>
      <c r="BJ183" s="2848"/>
      <c r="BK183" s="2849"/>
      <c r="BL183" s="2846"/>
      <c r="BM183" s="2846"/>
      <c r="BN183" s="2846"/>
      <c r="BO183" s="2848"/>
      <c r="BP183" s="2850"/>
      <c r="BQ183" s="2846"/>
      <c r="BR183" s="2846"/>
      <c r="BS183" s="2846"/>
      <c r="BT183" s="2851"/>
      <c r="BU183" s="2846"/>
      <c r="BV183" s="2846"/>
      <c r="BW183" s="2852"/>
      <c r="BX183" s="2851"/>
      <c r="BY183" s="2846"/>
      <c r="BZ183" s="2846"/>
      <c r="CA183" s="2853"/>
      <c r="CB183" s="2846"/>
      <c r="CC183" s="2846"/>
      <c r="CD183" s="2846"/>
      <c r="CE183" s="2846"/>
      <c r="CF183" s="2851"/>
      <c r="CG183" s="2846"/>
      <c r="CH183" s="2846"/>
      <c r="CI183" s="2853"/>
      <c r="CJ183" s="2854"/>
      <c r="CK183" s="2846"/>
      <c r="CL183" s="2846"/>
      <c r="CM183" s="2846"/>
      <c r="CN183" s="2852"/>
      <c r="CO183" s="2854"/>
      <c r="CP183" s="2845"/>
      <c r="CQ183" s="2845"/>
      <c r="CR183" s="2845"/>
      <c r="CS183" s="2852"/>
      <c r="CT183" s="2854"/>
      <c r="CU183" s="2846"/>
      <c r="CV183" s="2846"/>
      <c r="CW183" s="2846"/>
      <c r="CX183" s="2852"/>
      <c r="CY183" s="2854"/>
      <c r="CZ183" s="2846"/>
      <c r="DA183" s="2846"/>
      <c r="DB183" s="2846"/>
      <c r="DC183" s="2852"/>
      <c r="DD183" s="2854"/>
      <c r="DE183" s="2846"/>
      <c r="DF183" s="2846"/>
      <c r="DG183" s="2846"/>
      <c r="DH183" s="2855"/>
      <c r="DI183" s="2854"/>
      <c r="DJ183" s="2846"/>
      <c r="DK183" s="2846"/>
      <c r="DL183" s="2846"/>
      <c r="DM183" s="2855"/>
      <c r="DN183" s="2854"/>
      <c r="DO183" s="2846"/>
      <c r="DP183" s="2846"/>
      <c r="DQ183" s="2846"/>
      <c r="DR183" s="2855"/>
      <c r="DS183" s="2854"/>
      <c r="DT183" s="2846"/>
      <c r="DU183" s="2846"/>
      <c r="DV183" s="2846"/>
      <c r="DW183" s="2855"/>
      <c r="DX183" s="2854"/>
      <c r="DY183" s="2846"/>
      <c r="DZ183" s="2846"/>
      <c r="EA183" s="2846"/>
      <c r="EB183" s="2855"/>
      <c r="EC183" s="2854"/>
      <c r="ED183" s="2846"/>
      <c r="EE183" s="2846"/>
      <c r="EF183" s="2846"/>
      <c r="EG183" s="2855"/>
      <c r="EH183" s="1567"/>
      <c r="EI183" s="1568"/>
      <c r="EJ183" s="1568"/>
      <c r="EK183" s="1568"/>
      <c r="EL183" s="353"/>
      <c r="EM183" s="1857"/>
      <c r="EN183" s="358"/>
      <c r="EO183" s="358"/>
      <c r="EP183" s="358"/>
      <c r="EQ183" s="94"/>
      <c r="ER183" s="3791">
        <f>(CJ183+CO183+CT183+CY183+DD183+DI183+DN183+DS183+DX183+EC183+EH183+EM183)/12</f>
        <v>0</v>
      </c>
      <c r="ES183" s="3792">
        <f t="shared" si="705"/>
        <v>0</v>
      </c>
      <c r="ET183" s="3792">
        <f t="shared" si="705"/>
        <v>0</v>
      </c>
      <c r="EU183" s="3792">
        <f t="shared" si="705"/>
        <v>0</v>
      </c>
      <c r="EV183" s="370" t="e">
        <f>EU183/ET183</f>
        <v>#DIV/0!</v>
      </c>
      <c r="EW183" s="1569"/>
      <c r="EX183" s="1569"/>
      <c r="EY183" s="1569"/>
      <c r="EZ183" s="210"/>
      <c r="FA183" s="1567"/>
      <c r="FB183" s="1569"/>
      <c r="FC183" s="1569"/>
      <c r="FD183" s="220"/>
      <c r="FE183" s="1569"/>
      <c r="FF183" s="1569"/>
      <c r="FG183" s="1569"/>
      <c r="FH183" s="210"/>
      <c r="FI183" s="580"/>
      <c r="FJ183" s="579"/>
      <c r="FK183" s="137"/>
      <c r="FL183" s="137"/>
      <c r="FM183" s="151"/>
      <c r="FN183" s="1569"/>
      <c r="FO183" s="1568"/>
      <c r="FP183" s="1568"/>
      <c r="FQ183" s="1568"/>
      <c r="FR183" s="408"/>
      <c r="FS183" s="2858"/>
      <c r="FT183" s="2859"/>
      <c r="FU183" s="2859"/>
      <c r="FV183" s="2859"/>
      <c r="FW183" s="2860"/>
      <c r="FX183" s="1567"/>
      <c r="FY183" s="1568"/>
      <c r="FZ183" s="1568"/>
      <c r="GA183" s="2859"/>
      <c r="GB183" s="2860"/>
      <c r="GC183" s="1567"/>
      <c r="GD183" s="1568"/>
      <c r="GE183" s="1568"/>
      <c r="GF183" s="358"/>
      <c r="GG183" s="94"/>
      <c r="GH183" s="1857"/>
      <c r="GI183" s="358"/>
      <c r="GJ183" s="358"/>
      <c r="GK183" s="2861">
        <f>GJ183-GI183</f>
        <v>0</v>
      </c>
      <c r="GL183" s="2860" t="e">
        <f>GK183/GJ183</f>
        <v>#DIV/0!</v>
      </c>
      <c r="GM183" s="1857"/>
      <c r="GN183" s="358"/>
      <c r="GO183" s="358"/>
      <c r="GP183" s="2861">
        <f>GO183-GN183</f>
        <v>0</v>
      </c>
      <c r="GQ183" s="2860" t="e">
        <f>GP183/GO183</f>
        <v>#DIV/0!</v>
      </c>
      <c r="GR183" s="358"/>
      <c r="GS183" s="358"/>
      <c r="GT183" s="358"/>
      <c r="GU183" s="2861">
        <f>GT183-GS183</f>
        <v>0</v>
      </c>
      <c r="GV183" s="2860" t="e">
        <f>GU183/GT183</f>
        <v>#DIV/0!</v>
      </c>
      <c r="GW183" s="358"/>
      <c r="GX183" s="358"/>
      <c r="GY183" s="358"/>
      <c r="GZ183" s="2861">
        <f>GY183-GX183</f>
        <v>0</v>
      </c>
      <c r="HA183" s="2860" t="e">
        <f>GZ183/GY183</f>
        <v>#DIV/0!</v>
      </c>
      <c r="HB183" s="358"/>
      <c r="HC183" s="358"/>
      <c r="HD183" s="358"/>
      <c r="HE183" s="2861">
        <f>HD183-HC183</f>
        <v>0</v>
      </c>
      <c r="HF183" s="2860" t="e">
        <f>HE183/HD183</f>
        <v>#DIV/0!</v>
      </c>
      <c r="HG183" s="358"/>
      <c r="HH183" s="358"/>
      <c r="HI183" s="358"/>
      <c r="HJ183" s="2861">
        <f>HI183-HH183</f>
        <v>0</v>
      </c>
      <c r="HK183" s="2860" t="e">
        <f>HJ183/HI183</f>
        <v>#DIV/0!</v>
      </c>
      <c r="HL183" s="358"/>
      <c r="HM183" s="358"/>
      <c r="HN183" s="358"/>
      <c r="HO183" s="2861"/>
      <c r="HP183" s="2860"/>
      <c r="HQ183" s="1083"/>
      <c r="HR183" s="265"/>
      <c r="HS183" s="265"/>
      <c r="HT183" s="265"/>
      <c r="HU183" s="2862"/>
      <c r="HV183" s="2723">
        <f>(FN183+FS183+FX183+GC183+GH183+GM183+GR183+GW183+HB183+HG183+HL183+HQ183)/12</f>
        <v>0</v>
      </c>
      <c r="HW183" s="395">
        <f t="shared" si="706"/>
        <v>0</v>
      </c>
      <c r="HX183" s="395">
        <f t="shared" si="706"/>
        <v>0</v>
      </c>
      <c r="HY183" s="395">
        <f t="shared" si="706"/>
        <v>0</v>
      </c>
      <c r="HZ183" s="2734"/>
      <c r="IA183" s="1854"/>
      <c r="IB183" s="1855"/>
      <c r="IC183" s="1855"/>
      <c r="ID183" s="1856"/>
      <c r="IE183" s="2863"/>
      <c r="IF183" s="2863"/>
      <c r="IG183" s="2863"/>
      <c r="IH183" s="2864"/>
      <c r="II183" s="2865"/>
      <c r="IJ183" s="3813"/>
      <c r="IK183" s="3813"/>
      <c r="IL183" s="2864"/>
      <c r="IM183" s="2866"/>
      <c r="IN183" s="3813"/>
      <c r="IO183" s="3813"/>
      <c r="IP183" s="2867"/>
      <c r="IQ183" s="1568"/>
      <c r="IR183" s="2868"/>
      <c r="IS183" s="2015"/>
      <c r="IT183" s="2015"/>
      <c r="IU183" s="2869"/>
      <c r="IV183" s="2870"/>
      <c r="IW183" s="2858"/>
      <c r="IX183" s="2859"/>
      <c r="IY183" s="2859"/>
      <c r="IZ183" s="2859"/>
      <c r="JA183" s="94"/>
      <c r="JB183" s="2871"/>
      <c r="JC183" s="1568"/>
      <c r="JD183" s="1568"/>
      <c r="JE183" s="2859"/>
      <c r="JF183" s="2860"/>
      <c r="JG183" s="2871"/>
      <c r="JH183" s="1568"/>
      <c r="JI183" s="1568"/>
      <c r="JJ183" s="358"/>
      <c r="JK183" s="94"/>
      <c r="JL183" s="1857"/>
      <c r="JM183" s="358"/>
      <c r="JN183" s="358"/>
      <c r="JO183" s="2861">
        <f>JN183-JM183</f>
        <v>0</v>
      </c>
      <c r="JP183" s="2860"/>
      <c r="JQ183" s="2873"/>
      <c r="JR183" s="1025"/>
      <c r="JS183" s="265"/>
      <c r="JT183" s="2872">
        <f>JS183-JR183</f>
        <v>0</v>
      </c>
      <c r="JU183" s="2860"/>
      <c r="JV183" s="2874"/>
      <c r="JW183" s="358"/>
      <c r="JX183" s="2872"/>
      <c r="JY183" s="2861"/>
      <c r="JZ183" s="2860"/>
      <c r="KA183" s="357"/>
      <c r="KB183" s="358"/>
      <c r="KC183" s="2872"/>
      <c r="KD183" s="2861">
        <f>KC183-KB183</f>
        <v>0</v>
      </c>
      <c r="KE183" s="2860"/>
      <c r="KF183" s="2875">
        <v>15</v>
      </c>
      <c r="KG183" s="358">
        <v>417543</v>
      </c>
      <c r="KH183" s="2872">
        <v>676008</v>
      </c>
      <c r="KI183" s="2861">
        <f>KH183-KG183</f>
        <v>258465</v>
      </c>
      <c r="KJ183" s="2860">
        <f>KI183/KH183</f>
        <v>0.38234014982071218</v>
      </c>
      <c r="KK183" s="3819">
        <v>15</v>
      </c>
      <c r="KL183" s="1317">
        <v>471005</v>
      </c>
      <c r="KM183" s="1317">
        <v>884340</v>
      </c>
      <c r="KN183" s="1016">
        <f>KM183-KL183</f>
        <v>413335</v>
      </c>
      <c r="KO183" s="2860">
        <f>KN183/KM183</f>
        <v>0.46739376258000315</v>
      </c>
      <c r="KP183" s="1862">
        <v>14</v>
      </c>
      <c r="KQ183" s="265">
        <v>362044</v>
      </c>
      <c r="KR183" s="2877">
        <v>652356</v>
      </c>
      <c r="KS183" s="265">
        <f>KR183-KQ183</f>
        <v>290312</v>
      </c>
      <c r="KT183" s="158">
        <f>KS183/KR183</f>
        <v>0.44502081685460088</v>
      </c>
      <c r="KU183" s="3793">
        <v>12</v>
      </c>
      <c r="KV183" s="265">
        <v>340333</v>
      </c>
      <c r="KW183" s="2877">
        <v>606510</v>
      </c>
      <c r="KX183" s="265">
        <f>KW183-KV183</f>
        <v>266177</v>
      </c>
      <c r="KY183" s="2860">
        <f>KX183/KW183</f>
        <v>0.43886663039356316</v>
      </c>
      <c r="KZ183" s="1857">
        <v>12</v>
      </c>
      <c r="LA183" s="358">
        <f t="shared" ref="LA183:LC184" si="736">IS183+IX183+JC183+JH183+JM183+JR183+JW183+KB183+KG183+KL183+KQ183+KV183</f>
        <v>1590925</v>
      </c>
      <c r="LB183" s="358">
        <f t="shared" si="736"/>
        <v>2819214</v>
      </c>
      <c r="LC183" s="358">
        <f t="shared" si="736"/>
        <v>1228289</v>
      </c>
      <c r="LD183" s="220">
        <f>LC183/LB183</f>
        <v>0.43568491075881433</v>
      </c>
      <c r="LE183" s="1854">
        <f>(IR183+IW183+JB183)/3</f>
        <v>0</v>
      </c>
      <c r="LF183" s="1855">
        <f>IT183+IY183+JD183</f>
        <v>0</v>
      </c>
      <c r="LG183" s="1855">
        <f>IU183+IZ183+JE183</f>
        <v>0</v>
      </c>
      <c r="LH183" s="1856"/>
      <c r="LI183" s="1857">
        <f>(JG183+JL183+JQ183)/3</f>
        <v>0</v>
      </c>
      <c r="LJ183" s="1858">
        <f>(JI183+JN183+JS183)</f>
        <v>0</v>
      </c>
      <c r="LK183" s="1854">
        <f>(JJ183+JO183+JT183)</f>
        <v>0</v>
      </c>
      <c r="LL183" s="1856"/>
      <c r="LM183" s="1934">
        <f>(JV183+KA183+KF183)/3</f>
        <v>5</v>
      </c>
      <c r="LN183" s="2878">
        <f>(JX183+KC183+KH183)</f>
        <v>676008</v>
      </c>
      <c r="LO183" s="2878">
        <f>(JY183+KD183+KI183)</f>
        <v>258465</v>
      </c>
      <c r="LP183" s="151">
        <f>LO183/LN183</f>
        <v>0.38234014982071218</v>
      </c>
      <c r="LQ183" s="3800">
        <f>(KK183+KP183+KU183)/3</f>
        <v>13.666666666666666</v>
      </c>
      <c r="LR183" s="2878">
        <f>(KM183+KR183+KW183)</f>
        <v>2143206</v>
      </c>
      <c r="LS183" s="2878">
        <f>(KN183+KS183+KX183)</f>
        <v>969824</v>
      </c>
      <c r="LT183" s="3794">
        <f>LS183/LR183</f>
        <v>0.45251086456458223</v>
      </c>
      <c r="LU183" s="1568"/>
      <c r="LV183" s="401">
        <v>11</v>
      </c>
      <c r="LW183" s="395">
        <v>307317</v>
      </c>
      <c r="LX183" s="395">
        <v>562770</v>
      </c>
      <c r="LY183" s="115">
        <f>LX183-LW183</f>
        <v>255453</v>
      </c>
      <c r="LZ183" s="78">
        <f>LY183/LX183</f>
        <v>0.45392078469001546</v>
      </c>
      <c r="MA183" s="439">
        <v>11</v>
      </c>
      <c r="MB183" s="208">
        <v>309139</v>
      </c>
      <c r="MC183" s="208">
        <v>715716</v>
      </c>
      <c r="MD183" s="96">
        <f>MC183-MB183</f>
        <v>406577</v>
      </c>
      <c r="ME183" s="78">
        <f>MD183/MC183</f>
        <v>0.56807029603921111</v>
      </c>
      <c r="MF183" s="401">
        <v>8</v>
      </c>
      <c r="MG183" s="395">
        <v>238333</v>
      </c>
      <c r="MH183" s="395">
        <v>421830</v>
      </c>
      <c r="MI183" s="372">
        <f>MH183-MG183</f>
        <v>183497</v>
      </c>
      <c r="MJ183" s="207">
        <f>MI183/MH183</f>
        <v>0.43500225209207499</v>
      </c>
      <c r="MK183" s="2573">
        <v>7</v>
      </c>
      <c r="ML183" s="395">
        <v>206333</v>
      </c>
      <c r="MM183" s="395">
        <v>377856</v>
      </c>
      <c r="MN183" s="372">
        <f>MM183-ML183</f>
        <v>171523</v>
      </c>
      <c r="MO183" s="207">
        <f>MN183/MM183</f>
        <v>0.4539374788279133</v>
      </c>
      <c r="MP183" s="355">
        <v>7</v>
      </c>
      <c r="MQ183" s="265">
        <v>206333</v>
      </c>
      <c r="MR183" s="265">
        <v>473220</v>
      </c>
      <c r="MS183" s="265">
        <f>MR183-MQ183</f>
        <v>266887</v>
      </c>
      <c r="MT183" s="1313">
        <f>MS183/MR183</f>
        <v>0.56398081230717212</v>
      </c>
      <c r="MU183" s="209">
        <v>7</v>
      </c>
      <c r="MV183" s="208">
        <v>206333</v>
      </c>
      <c r="MW183" s="208">
        <v>353700</v>
      </c>
      <c r="MX183" s="208">
        <f>MW183-MV183</f>
        <v>147367</v>
      </c>
      <c r="MY183" s="1313">
        <f>MX183/MW183</f>
        <v>0.41664404862878146</v>
      </c>
      <c r="MZ183" s="209">
        <v>7</v>
      </c>
      <c r="NA183" s="208">
        <v>206333</v>
      </c>
      <c r="NB183" s="208">
        <v>475600</v>
      </c>
      <c r="NC183" s="208">
        <f>NB183-NA183</f>
        <v>269267</v>
      </c>
      <c r="ND183" s="1313">
        <f>NC183/NB183</f>
        <v>0.56616274179983184</v>
      </c>
      <c r="NE183" s="209">
        <v>7</v>
      </c>
      <c r="NF183" s="208">
        <v>206333</v>
      </c>
      <c r="NG183" s="208">
        <v>380520</v>
      </c>
      <c r="NH183" s="208">
        <f>NG183-NF183</f>
        <v>174187</v>
      </c>
      <c r="NI183" s="1313">
        <f>NH183/NG183</f>
        <v>0.45776043309155889</v>
      </c>
      <c r="NJ183" s="209">
        <v>7</v>
      </c>
      <c r="NK183" s="208">
        <v>206333</v>
      </c>
      <c r="NL183" s="208">
        <v>376660</v>
      </c>
      <c r="NM183" s="208">
        <f t="shared" si="707"/>
        <v>170327</v>
      </c>
      <c r="NN183" s="1313">
        <f>NM183/NL183</f>
        <v>0.45220357882440398</v>
      </c>
      <c r="NO183" s="2432">
        <v>7</v>
      </c>
      <c r="NP183" s="358">
        <v>227333</v>
      </c>
      <c r="NQ183" s="359">
        <v>475650</v>
      </c>
      <c r="NR183" s="208">
        <f t="shared" si="708"/>
        <v>248317</v>
      </c>
      <c r="NS183" s="1313">
        <f t="shared" si="709"/>
        <v>0.5220582360979712</v>
      </c>
      <c r="NT183" s="357">
        <v>7</v>
      </c>
      <c r="NU183" s="358">
        <v>227333</v>
      </c>
      <c r="NV183" s="358">
        <v>378090</v>
      </c>
      <c r="NW183" s="208">
        <f t="shared" si="710"/>
        <v>150757</v>
      </c>
      <c r="NX183" s="1313">
        <f t="shared" si="711"/>
        <v>0.39873310587426275</v>
      </c>
      <c r="NY183" s="357">
        <v>7</v>
      </c>
      <c r="NZ183" s="358">
        <v>224430</v>
      </c>
      <c r="OA183" s="358">
        <v>360576</v>
      </c>
      <c r="OB183" s="772">
        <f t="shared" si="712"/>
        <v>136146</v>
      </c>
      <c r="OC183" s="116">
        <f t="shared" si="713"/>
        <v>0.37757920660276889</v>
      </c>
      <c r="OD183" s="191">
        <v>7</v>
      </c>
      <c r="OE183" s="358">
        <f t="shared" si="714"/>
        <v>2771883</v>
      </c>
      <c r="OF183" s="358">
        <f t="shared" si="714"/>
        <v>5352188</v>
      </c>
      <c r="OG183" s="358">
        <f t="shared" si="714"/>
        <v>2580305</v>
      </c>
      <c r="OH183" s="220">
        <f t="shared" si="715"/>
        <v>0.48210283345801752</v>
      </c>
      <c r="OI183" s="3802">
        <f>(LV183+MA183+MF183)/3</f>
        <v>10</v>
      </c>
      <c r="OJ183" s="96">
        <f>LW183+MB183+MG183</f>
        <v>854789</v>
      </c>
      <c r="OK183" s="96">
        <f>LX183+MC183+MH183</f>
        <v>1700316</v>
      </c>
      <c r="OL183" s="96">
        <f>LY183+MD183+MI183</f>
        <v>845527</v>
      </c>
      <c r="OM183" s="114">
        <f>OL183/OK183</f>
        <v>0.49727638862423218</v>
      </c>
      <c r="ON183" s="358">
        <f>(MK183+MP183+MU183)/3</f>
        <v>7</v>
      </c>
      <c r="OO183" s="358">
        <f>ML183+MQ183+MV183</f>
        <v>618999</v>
      </c>
      <c r="OP183" s="358">
        <f>MM183+MR183+MW183</f>
        <v>1204776</v>
      </c>
      <c r="OQ183" s="359">
        <f>MN183+MS183+MX183</f>
        <v>585777</v>
      </c>
      <c r="OR183" s="169">
        <f>OQ183/OP183</f>
        <v>0.48621237474850099</v>
      </c>
      <c r="OS183" s="607">
        <f>(NJ183+NE183+MZ183)/3</f>
        <v>7</v>
      </c>
      <c r="OT183" s="137">
        <f t="shared" si="716"/>
        <v>618999</v>
      </c>
      <c r="OU183" s="137">
        <f t="shared" si="716"/>
        <v>1232780</v>
      </c>
      <c r="OV183" s="3803">
        <f t="shared" si="716"/>
        <v>613781</v>
      </c>
      <c r="OW183" s="169">
        <f>OV183/OU183</f>
        <v>0.49788364509482635</v>
      </c>
      <c r="OX183" s="357">
        <f t="shared" si="717"/>
        <v>7</v>
      </c>
      <c r="OY183" s="358">
        <f t="shared" si="718"/>
        <v>679096</v>
      </c>
      <c r="OZ183" s="358">
        <f t="shared" si="718"/>
        <v>1214316</v>
      </c>
      <c r="PA183" s="359">
        <f t="shared" si="718"/>
        <v>535220</v>
      </c>
      <c r="PB183" s="114">
        <f t="shared" si="719"/>
        <v>0.44075841873120342</v>
      </c>
      <c r="PC183" s="137"/>
      <c r="PD183" s="401">
        <v>6</v>
      </c>
      <c r="PE183" s="395">
        <v>197333</v>
      </c>
      <c r="PF183" s="395">
        <v>323118</v>
      </c>
      <c r="PG183" s="115">
        <f t="shared" ref="PG183:PG190" si="737">PF183-PE183</f>
        <v>125785</v>
      </c>
      <c r="PH183" s="78">
        <f>PG183/PF183</f>
        <v>0.38928502899869399</v>
      </c>
      <c r="PI183" s="439">
        <v>6</v>
      </c>
      <c r="PJ183" s="208">
        <v>213393</v>
      </c>
      <c r="PK183" s="208">
        <v>432799</v>
      </c>
      <c r="PL183" s="96">
        <f>PK183-PJ183</f>
        <v>219406</v>
      </c>
      <c r="PM183" s="78">
        <f>PL183/PK183</f>
        <v>0.50694664266784351</v>
      </c>
      <c r="PN183" s="401">
        <v>6</v>
      </c>
      <c r="PO183" s="395">
        <v>213393</v>
      </c>
      <c r="PP183" s="395">
        <v>346500</v>
      </c>
      <c r="PQ183" s="372">
        <f t="shared" ref="PQ183:PQ191" si="738">PP183-PO183</f>
        <v>133107</v>
      </c>
      <c r="PR183" s="207">
        <f>PQ183/PP183</f>
        <v>0.38414718614718613</v>
      </c>
      <c r="PS183" s="1573">
        <v>6</v>
      </c>
      <c r="PT183" s="395">
        <v>219226</v>
      </c>
      <c r="PU183" s="395">
        <v>432799</v>
      </c>
      <c r="PV183" s="372">
        <f>PU183-PT183</f>
        <v>213573</v>
      </c>
      <c r="PW183" s="370">
        <f>PV183/PU183</f>
        <v>0.49346925478108777</v>
      </c>
      <c r="PX183" s="3806">
        <v>6</v>
      </c>
      <c r="PY183" s="265">
        <v>188394</v>
      </c>
      <c r="PZ183" s="265">
        <v>294550</v>
      </c>
      <c r="QA183" s="265">
        <f>PZ183-PY183</f>
        <v>106156</v>
      </c>
      <c r="QB183" s="1313">
        <f>QA183/PZ183</f>
        <v>0.36040061110168053</v>
      </c>
      <c r="QC183" s="209">
        <v>5</v>
      </c>
      <c r="QD183" s="208">
        <v>178726</v>
      </c>
      <c r="QE183" s="208">
        <v>272322</v>
      </c>
      <c r="QF183" s="208">
        <f>QE183-QD183</f>
        <v>93596</v>
      </c>
      <c r="QG183" s="1313">
        <f>QF183/QE183</f>
        <v>0.34369606568694411</v>
      </c>
      <c r="QH183" s="401">
        <v>5</v>
      </c>
      <c r="QI183" s="395">
        <v>178726</v>
      </c>
      <c r="QJ183" s="395">
        <v>356841</v>
      </c>
      <c r="QK183" s="395">
        <f>QJ183-QI183</f>
        <v>178115</v>
      </c>
      <c r="QL183" s="801">
        <f>QK183/QJ183</f>
        <v>0.49914387640433694</v>
      </c>
      <c r="QM183" s="439">
        <v>5</v>
      </c>
      <c r="QN183" s="208">
        <v>178726</v>
      </c>
      <c r="QO183" s="208">
        <v>277092</v>
      </c>
      <c r="QP183" s="208">
        <f>QO183-QN183</f>
        <v>98366</v>
      </c>
      <c r="QQ183" s="1872">
        <f>QP183/QO183</f>
        <v>0.35499400920993751</v>
      </c>
      <c r="QR183" s="209">
        <v>5</v>
      </c>
      <c r="QS183" s="208">
        <v>178726</v>
      </c>
      <c r="QT183" s="208">
        <v>230508</v>
      </c>
      <c r="QU183" s="208">
        <f>QT183-QS183</f>
        <v>51782</v>
      </c>
      <c r="QV183" s="157">
        <f>QU183/QT183</f>
        <v>0.22464296250021693</v>
      </c>
      <c r="QW183" s="1318">
        <v>5</v>
      </c>
      <c r="QX183" s="208">
        <v>178726</v>
      </c>
      <c r="QY183" s="208">
        <v>341775</v>
      </c>
      <c r="QZ183" s="208">
        <f t="shared" ref="QZ183:QZ188" si="739">QY183-QX183</f>
        <v>163049</v>
      </c>
      <c r="RA183" s="157">
        <f>QZ183/QY183</f>
        <v>0.47706532075195668</v>
      </c>
      <c r="RB183" s="357">
        <v>5</v>
      </c>
      <c r="RC183" s="358">
        <v>178226</v>
      </c>
      <c r="RD183" s="358">
        <v>271980</v>
      </c>
      <c r="RE183" s="208">
        <f>RD183-RC183</f>
        <v>93754</v>
      </c>
      <c r="RF183" s="1313">
        <f>RE183/RD183</f>
        <v>0.34470916979189647</v>
      </c>
      <c r="RG183" s="1567"/>
      <c r="RH183" s="1568">
        <v>0</v>
      </c>
      <c r="RI183" s="1568">
        <v>0</v>
      </c>
      <c r="RJ183" s="2012">
        <f t="shared" si="720"/>
        <v>0</v>
      </c>
      <c r="RK183" s="116" t="s">
        <v>68</v>
      </c>
      <c r="RL183" s="1567"/>
      <c r="RM183" s="1568">
        <f t="shared" si="721"/>
        <v>2103595</v>
      </c>
      <c r="RN183" s="1568">
        <f t="shared" si="721"/>
        <v>3580284</v>
      </c>
      <c r="RO183" s="1568">
        <f t="shared" si="721"/>
        <v>1476689</v>
      </c>
      <c r="RP183" s="220">
        <f>RO183/RN183</f>
        <v>0.41245024137749964</v>
      </c>
      <c r="RQ183" s="3802">
        <f t="shared" si="722"/>
        <v>6</v>
      </c>
      <c r="RR183" s="96">
        <f t="shared" si="723"/>
        <v>624119</v>
      </c>
      <c r="RS183" s="96">
        <f t="shared" si="723"/>
        <v>1102417</v>
      </c>
      <c r="RT183" s="96">
        <f t="shared" si="723"/>
        <v>478298</v>
      </c>
      <c r="RU183" s="114">
        <f t="shared" si="724"/>
        <v>0.43386304819319732</v>
      </c>
      <c r="RV183" s="1868">
        <v>5</v>
      </c>
      <c r="RW183" s="358">
        <f t="shared" si="725"/>
        <v>586346</v>
      </c>
      <c r="RX183" s="358">
        <f t="shared" si="725"/>
        <v>999671</v>
      </c>
      <c r="RY183" s="359">
        <f t="shared" si="725"/>
        <v>413325</v>
      </c>
      <c r="RZ183" s="169">
        <f t="shared" si="726"/>
        <v>0.41346102867843521</v>
      </c>
      <c r="SA183" s="607">
        <v>5</v>
      </c>
      <c r="SB183" s="137">
        <f>QS183+QN183+QI183</f>
        <v>536178</v>
      </c>
      <c r="SC183" s="137">
        <f>QT183+QO183+QJ183</f>
        <v>864441</v>
      </c>
      <c r="SD183" s="3803">
        <f>QU183+QP183+QK183</f>
        <v>328263</v>
      </c>
      <c r="SE183" s="169">
        <f t="shared" si="728"/>
        <v>0.37974020204964826</v>
      </c>
      <c r="SF183" s="1567"/>
      <c r="SG183" s="358">
        <f>QX183+RC183+RH183</f>
        <v>356952</v>
      </c>
      <c r="SH183" s="358">
        <f>QY183+RD183+RI183</f>
        <v>613755</v>
      </c>
      <c r="SI183" s="359">
        <f>QZ183+RE183+RJ183</f>
        <v>256803</v>
      </c>
      <c r="SJ183" s="114">
        <f>SI183/SH183</f>
        <v>0.41841288462008458</v>
      </c>
      <c r="SK183" s="1568"/>
      <c r="SL183" s="2445"/>
      <c r="SM183" s="2001"/>
      <c r="SN183" s="2001"/>
      <c r="SO183" s="3534"/>
      <c r="SP183" s="3525"/>
      <c r="SQ183" s="405"/>
      <c r="SR183" s="1575"/>
      <c r="SS183" s="1575"/>
      <c r="ST183" s="3523"/>
      <c r="SU183" s="3525"/>
      <c r="SV183" s="401"/>
      <c r="SW183" s="395"/>
      <c r="SX183" s="395"/>
      <c r="SY183" s="372">
        <f t="shared" ref="SY183:SY191" si="740">SX183-SW183</f>
        <v>0</v>
      </c>
      <c r="SZ183" s="207" t="e">
        <f>SY183/SX183</f>
        <v>#DIV/0!</v>
      </c>
      <c r="TA183" s="1573"/>
      <c r="TB183" s="395"/>
      <c r="TC183" s="395"/>
      <c r="TD183" s="372">
        <f>TC183-TB183</f>
        <v>0</v>
      </c>
      <c r="TE183" s="207" t="e">
        <f>TD183/TC183</f>
        <v>#DIV/0!</v>
      </c>
      <c r="TF183" s="1573"/>
      <c r="TG183" s="208"/>
      <c r="TH183" s="208"/>
      <c r="TI183" s="208">
        <f>TH183-TG183</f>
        <v>0</v>
      </c>
      <c r="TJ183" s="114" t="e">
        <f>TI183/TH183</f>
        <v>#DIV/0!</v>
      </c>
      <c r="TK183" s="209"/>
      <c r="TL183" s="208"/>
      <c r="TM183" s="208"/>
      <c r="TN183" s="994">
        <f>TM183-TL183</f>
        <v>0</v>
      </c>
      <c r="TO183" s="114" t="e">
        <f>TN183/TM183</f>
        <v>#DIV/0!</v>
      </c>
      <c r="TP183" s="4434"/>
      <c r="TQ183" s="395"/>
      <c r="TR183" s="395"/>
      <c r="TS183" s="772">
        <f>TR183-TQ183</f>
        <v>0</v>
      </c>
      <c r="TT183" s="116" t="e">
        <f>TS183/TR183</f>
        <v>#DIV/0!</v>
      </c>
      <c r="TU183" s="4506"/>
      <c r="TV183" s="1575"/>
      <c r="TW183" s="1575"/>
      <c r="TX183" s="2552">
        <f>TW183-TV183</f>
        <v>0</v>
      </c>
      <c r="TY183" s="83" t="e">
        <f>TX183/TW183</f>
        <v>#DIV/0!</v>
      </c>
      <c r="TZ183" s="1868"/>
      <c r="UA183" s="1575"/>
      <c r="UB183" s="1575"/>
      <c r="UC183" s="2552">
        <f>UB183-UA183</f>
        <v>0</v>
      </c>
      <c r="UD183" s="83" t="e">
        <f>UC183/UB183</f>
        <v>#DIV/0!</v>
      </c>
      <c r="UE183" s="2002"/>
      <c r="UF183" s="1575"/>
      <c r="UG183" s="1575"/>
      <c r="UH183" s="2552">
        <f t="shared" si="698"/>
        <v>0</v>
      </c>
      <c r="UI183" s="222" t="e">
        <f t="shared" si="699"/>
        <v>#DIV/0!</v>
      </c>
      <c r="UJ183" s="357"/>
      <c r="UK183" s="358"/>
      <c r="UL183" s="358"/>
      <c r="UM183" s="208">
        <f>UL183-UK183</f>
        <v>0</v>
      </c>
      <c r="UN183" s="597" t="e">
        <f>UM183/UL183</f>
        <v>#DIV/0!</v>
      </c>
      <c r="UO183" s="1567"/>
      <c r="UP183" s="1568">
        <v>0</v>
      </c>
      <c r="UQ183" s="1568">
        <v>0</v>
      </c>
      <c r="UR183" s="2012">
        <f t="shared" si="730"/>
        <v>0</v>
      </c>
      <c r="US183" s="659" t="s">
        <v>68</v>
      </c>
      <c r="UT183" s="1567"/>
      <c r="UU183" s="358">
        <f t="shared" si="700"/>
        <v>0</v>
      </c>
      <c r="UV183" s="358">
        <f t="shared" si="700"/>
        <v>0</v>
      </c>
      <c r="UW183" s="358">
        <f t="shared" si="700"/>
        <v>0</v>
      </c>
      <c r="UX183" s="220" t="e">
        <f t="shared" si="704"/>
        <v>#DIV/0!</v>
      </c>
      <c r="UY183" s="1863">
        <f t="shared" si="731"/>
        <v>0</v>
      </c>
      <c r="UZ183" s="105">
        <f t="shared" si="732"/>
        <v>0</v>
      </c>
      <c r="VA183" s="105">
        <f t="shared" si="732"/>
        <v>0</v>
      </c>
      <c r="VB183" s="105">
        <f t="shared" si="732"/>
        <v>0</v>
      </c>
      <c r="VC183" s="106" t="e">
        <f t="shared" si="733"/>
        <v>#DIV/0!</v>
      </c>
      <c r="VD183" s="1868"/>
      <c r="VE183" s="358">
        <f t="shared" si="701"/>
        <v>0</v>
      </c>
      <c r="VF183" s="358">
        <f t="shared" si="701"/>
        <v>0</v>
      </c>
      <c r="VG183" s="359">
        <f t="shared" si="701"/>
        <v>0</v>
      </c>
      <c r="VH183" s="169" t="e">
        <f t="shared" si="702"/>
        <v>#DIV/0!</v>
      </c>
      <c r="VI183" s="686"/>
      <c r="VJ183" s="146">
        <f t="shared" si="703"/>
        <v>0</v>
      </c>
      <c r="VK183" s="146">
        <f t="shared" si="703"/>
        <v>0</v>
      </c>
      <c r="VL183" s="1864">
        <f t="shared" si="703"/>
        <v>0</v>
      </c>
      <c r="VM183" s="203" t="e">
        <f t="shared" si="734"/>
        <v>#DIV/0!</v>
      </c>
      <c r="VN183" s="1567"/>
      <c r="VO183" s="358">
        <f t="shared" si="735"/>
        <v>0</v>
      </c>
      <c r="VP183" s="358">
        <f t="shared" si="735"/>
        <v>0</v>
      </c>
      <c r="VQ183" s="359">
        <f t="shared" si="735"/>
        <v>0</v>
      </c>
      <c r="VR183" s="114" t="e">
        <f>VQ183/VP183</f>
        <v>#DIV/0!</v>
      </c>
    </row>
    <row r="184" spans="1:745" ht="13.45" hidden="1" x14ac:dyDescent="0.3">
      <c r="B184" s="113" t="s">
        <v>54</v>
      </c>
      <c r="C184" s="3775" t="s">
        <v>54</v>
      </c>
      <c r="D184" s="3820"/>
      <c r="E184" s="384"/>
      <c r="F184" s="384"/>
      <c r="G184" s="3821">
        <v>0</v>
      </c>
      <c r="H184" s="3822"/>
      <c r="I184" s="2859"/>
      <c r="J184" s="2859"/>
      <c r="K184" s="2859"/>
      <c r="L184" s="3823"/>
      <c r="M184" s="3824"/>
      <c r="N184" s="3825"/>
      <c r="O184" s="3825"/>
      <c r="P184" s="3825"/>
      <c r="Q184" s="3826"/>
      <c r="R184" s="3826"/>
      <c r="S184" s="2859"/>
      <c r="T184" s="2859"/>
      <c r="U184" s="2859"/>
      <c r="V184" s="3823"/>
      <c r="W184" s="2859"/>
      <c r="X184" s="2859"/>
      <c r="Y184" s="3827"/>
      <c r="Z184" s="2859"/>
      <c r="AA184" s="3828"/>
      <c r="AB184" s="3827"/>
      <c r="AC184" s="3829"/>
      <c r="AD184" s="3830"/>
      <c r="AE184" s="2859"/>
      <c r="AF184" s="3823"/>
      <c r="AG184" s="3831"/>
      <c r="AH184" s="2859"/>
      <c r="AI184" s="2859"/>
      <c r="AJ184" s="3832"/>
      <c r="AK184" s="3823"/>
      <c r="AL184" s="3831"/>
      <c r="AM184" s="2859"/>
      <c r="AN184" s="2859"/>
      <c r="AO184" s="3827"/>
      <c r="AP184" s="3823"/>
      <c r="AQ184" s="3833"/>
      <c r="AR184" s="3834"/>
      <c r="AS184" s="3834"/>
      <c r="AT184" s="3835"/>
      <c r="AU184" s="3823"/>
      <c r="AV184" s="3836"/>
      <c r="AW184" s="3827"/>
      <c r="AX184" s="3827"/>
      <c r="AY184" s="3827"/>
      <c r="AZ184" s="3823"/>
      <c r="BA184" s="3837"/>
      <c r="BB184" s="3838"/>
      <c r="BC184" s="3829"/>
      <c r="BD184" s="3827"/>
      <c r="BE184" s="3826"/>
      <c r="BF184" s="3836"/>
      <c r="BG184" s="3827"/>
      <c r="BH184" s="2859"/>
      <c r="BI184" s="3827"/>
      <c r="BJ184" s="3839"/>
      <c r="BK184" s="3836"/>
      <c r="BL184" s="3827"/>
      <c r="BM184" s="2859"/>
      <c r="BN184" s="3827"/>
      <c r="BO184" s="3840"/>
      <c r="BP184" s="3841"/>
      <c r="BQ184" s="3842"/>
      <c r="BR184" s="3832"/>
      <c r="BS184" s="3843"/>
      <c r="BT184" s="3844"/>
      <c r="BU184" s="3832"/>
      <c r="BV184" s="3832"/>
      <c r="BW184" s="3845"/>
      <c r="BX184" s="3846"/>
      <c r="BY184" s="3832"/>
      <c r="BZ184" s="3832"/>
      <c r="CA184" s="3847"/>
      <c r="CB184" s="3848"/>
      <c r="CC184" s="3832"/>
      <c r="CD184" s="3832"/>
      <c r="CE184" s="3849"/>
      <c r="CF184" s="3846"/>
      <c r="CG184" s="2859"/>
      <c r="CH184" s="2859"/>
      <c r="CI184" s="3847"/>
      <c r="CJ184" s="3850"/>
      <c r="CK184" s="2859"/>
      <c r="CL184" s="2859"/>
      <c r="CM184" s="2859"/>
      <c r="CN184" s="3845"/>
      <c r="CO184" s="3850"/>
      <c r="CP184" s="2859"/>
      <c r="CQ184" s="2859"/>
      <c r="CR184" s="2859"/>
      <c r="CS184" s="3845"/>
      <c r="CT184" s="3850"/>
      <c r="CU184" s="2859"/>
      <c r="CV184" s="2859"/>
      <c r="CW184" s="2859"/>
      <c r="CX184" s="3845"/>
      <c r="CY184" s="3850"/>
      <c r="CZ184" s="2859"/>
      <c r="DA184" s="2859"/>
      <c r="DB184" s="2859"/>
      <c r="DC184" s="3845"/>
      <c r="DD184" s="3851"/>
      <c r="DE184" s="3852"/>
      <c r="DF184" s="3852"/>
      <c r="DG184" s="3829"/>
      <c r="DH184" s="3853"/>
      <c r="DI184" s="3850"/>
      <c r="DJ184" s="3852"/>
      <c r="DK184" s="3852"/>
      <c r="DL184" s="2859"/>
      <c r="DM184" s="3853"/>
      <c r="DN184" s="3850"/>
      <c r="DO184" s="2859"/>
      <c r="DP184" s="2859"/>
      <c r="DQ184" s="2859"/>
      <c r="DR184" s="3853"/>
      <c r="DS184" s="3854"/>
      <c r="DT184" s="3829"/>
      <c r="DU184" s="3829"/>
      <c r="DV184" s="2859"/>
      <c r="DW184" s="3845"/>
      <c r="DX184" s="3850"/>
      <c r="DY184" s="2859"/>
      <c r="DZ184" s="2859"/>
      <c r="EA184" s="2859"/>
      <c r="EB184" s="3853"/>
      <c r="EC184" s="3850"/>
      <c r="ED184" s="2859"/>
      <c r="EE184" s="2859"/>
      <c r="EF184" s="3832"/>
      <c r="EG184" s="3853"/>
      <c r="EH184" s="3850"/>
      <c r="EI184" s="2859"/>
      <c r="EJ184" s="2859"/>
      <c r="EK184" s="2859"/>
      <c r="EL184" s="3853"/>
      <c r="EM184" s="3850"/>
      <c r="EN184" s="2859"/>
      <c r="EO184" s="2859"/>
      <c r="EP184" s="2859"/>
      <c r="EQ184" s="3853"/>
      <c r="ER184" s="3791">
        <f>(CJ184+CO184+CT184+CY184+DD184+DI184+DN184+DS184+DX184+EC184+EH184+EM184)/12</f>
        <v>0</v>
      </c>
      <c r="ES184" s="3792">
        <f t="shared" si="705"/>
        <v>0</v>
      </c>
      <c r="ET184" s="3792">
        <f t="shared" si="705"/>
        <v>0</v>
      </c>
      <c r="EU184" s="3792">
        <f t="shared" si="705"/>
        <v>0</v>
      </c>
      <c r="EV184" s="370" t="e">
        <f>EU184/ET184</f>
        <v>#DIV/0!</v>
      </c>
      <c r="EW184" s="3855"/>
      <c r="EX184" s="3856"/>
      <c r="EY184" s="3856"/>
      <c r="EZ184" s="3857"/>
      <c r="FA184" s="3858"/>
      <c r="FB184" s="3856"/>
      <c r="FC184" s="3856"/>
      <c r="FD184" s="3859"/>
      <c r="FE184" s="3860"/>
      <c r="FF184" s="3832"/>
      <c r="FG184" s="3832"/>
      <c r="FH184" s="3861"/>
      <c r="FI184" s="3862"/>
      <c r="FJ184" s="3860"/>
      <c r="FK184" s="3832"/>
      <c r="FL184" s="3832"/>
      <c r="FM184" s="3845"/>
      <c r="FN184" s="422"/>
      <c r="FO184" s="1016"/>
      <c r="FP184" s="1016"/>
      <c r="FQ184" s="1016"/>
      <c r="FR184" s="158"/>
      <c r="FS184" s="136"/>
      <c r="FT184" s="1016"/>
      <c r="FU184" s="1016"/>
      <c r="FV184" s="1016"/>
      <c r="FW184" s="94"/>
      <c r="FX184" s="136"/>
      <c r="FY184" s="358"/>
      <c r="FZ184" s="358"/>
      <c r="GA184" s="1016"/>
      <c r="GB184" s="94"/>
      <c r="GC184" s="136"/>
      <c r="GD184" s="358"/>
      <c r="GE184" s="358"/>
      <c r="GF184" s="1016"/>
      <c r="GG184" s="94"/>
      <c r="GH184" s="136"/>
      <c r="GI184" s="358"/>
      <c r="GJ184" s="358"/>
      <c r="GK184" s="1016"/>
      <c r="GL184" s="94"/>
      <c r="GM184" s="136"/>
      <c r="GN184" s="358"/>
      <c r="GO184" s="358"/>
      <c r="GP184" s="1016"/>
      <c r="GQ184" s="94"/>
      <c r="GR184" s="136"/>
      <c r="GS184" s="358"/>
      <c r="GT184" s="358"/>
      <c r="GU184" s="1016"/>
      <c r="GV184" s="94"/>
      <c r="GW184" s="136"/>
      <c r="GX184" s="358"/>
      <c r="GY184" s="358"/>
      <c r="GZ184" s="1016"/>
      <c r="HA184" s="94"/>
      <c r="HB184" s="136"/>
      <c r="HC184" s="358"/>
      <c r="HD184" s="358"/>
      <c r="HE184" s="1016"/>
      <c r="HF184" s="94"/>
      <c r="HG184" s="136"/>
      <c r="HH184" s="358"/>
      <c r="HI184" s="358"/>
      <c r="HJ184" s="1016"/>
      <c r="HK184" s="94"/>
      <c r="HL184" s="136"/>
      <c r="HM184" s="358"/>
      <c r="HN184" s="358"/>
      <c r="HO184" s="1016"/>
      <c r="HP184" s="94"/>
      <c r="HQ184" s="1312"/>
      <c r="HR184" s="265"/>
      <c r="HS184" s="265"/>
      <c r="HT184" s="265"/>
      <c r="HU184" s="3811"/>
      <c r="HV184" s="2723">
        <f>(FN184+FS184+FX184+GC184+GH184+GM184+GR184+GW184+HB184+HG184+HL184+HQ184)/12</f>
        <v>0</v>
      </c>
      <c r="HW184" s="395">
        <f t="shared" si="706"/>
        <v>0</v>
      </c>
      <c r="HX184" s="395">
        <f t="shared" si="706"/>
        <v>0</v>
      </c>
      <c r="HY184" s="395">
        <f t="shared" si="706"/>
        <v>0</v>
      </c>
      <c r="HZ184" s="2009"/>
      <c r="IA184" s="1934"/>
      <c r="IB184" s="1855"/>
      <c r="IC184" s="1855"/>
      <c r="ID184" s="1856"/>
      <c r="IE184" s="1857"/>
      <c r="IF184" s="1858"/>
      <c r="IG184" s="1854"/>
      <c r="IH184" s="1856"/>
      <c r="II184" s="1934"/>
      <c r="IJ184" s="2878"/>
      <c r="IK184" s="2878"/>
      <c r="IL184" s="151"/>
      <c r="IM184" s="3800"/>
      <c r="IN184" s="2878"/>
      <c r="IO184" s="2878"/>
      <c r="IP184" s="3794"/>
      <c r="IQ184" s="149"/>
      <c r="IR184" s="3863"/>
      <c r="IS184" s="1016"/>
      <c r="IT184" s="1016"/>
      <c r="IU184" s="1016"/>
      <c r="IV184" s="158"/>
      <c r="IW184" s="770"/>
      <c r="IX184" s="3864"/>
      <c r="IY184" s="3864"/>
      <c r="IZ184" s="3864"/>
      <c r="JA184" s="362"/>
      <c r="JB184" s="621"/>
      <c r="JC184" s="3797"/>
      <c r="JD184" s="3798"/>
      <c r="JE184" s="1016"/>
      <c r="JF184" s="94"/>
      <c r="JG184" s="621"/>
      <c r="JH184" s="358"/>
      <c r="JI184" s="358"/>
      <c r="JJ184" s="358"/>
      <c r="JK184" s="94"/>
      <c r="JL184" s="136">
        <v>8</v>
      </c>
      <c r="JM184" s="358">
        <v>120384</v>
      </c>
      <c r="JN184" s="358">
        <v>266390</v>
      </c>
      <c r="JO184" s="3818">
        <f>JN184-JM184</f>
        <v>146006</v>
      </c>
      <c r="JP184" s="94">
        <f>JO184/JN184</f>
        <v>0.54809114456248353</v>
      </c>
      <c r="JQ184" s="3799">
        <v>7</v>
      </c>
      <c r="JR184" s="1025">
        <v>159652</v>
      </c>
      <c r="JS184" s="265">
        <v>435295</v>
      </c>
      <c r="JT184" s="3818">
        <f>JS184-JR184</f>
        <v>275643</v>
      </c>
      <c r="JU184" s="94">
        <f>JT184/JS184</f>
        <v>0.63323263533925267</v>
      </c>
      <c r="JV184" s="621">
        <v>12</v>
      </c>
      <c r="JW184" s="358">
        <v>292322</v>
      </c>
      <c r="JX184" s="265">
        <v>695390</v>
      </c>
      <c r="JY184" s="3818">
        <f>JX184-JW184</f>
        <v>403068</v>
      </c>
      <c r="JZ184" s="94">
        <f>JY184/JX184</f>
        <v>0.57962869756539492</v>
      </c>
      <c r="KA184" s="621">
        <v>12</v>
      </c>
      <c r="KB184" s="265">
        <v>296408</v>
      </c>
      <c r="KC184" s="1025">
        <v>668725</v>
      </c>
      <c r="KD184" s="1016">
        <f>KC184-KB184</f>
        <v>372317</v>
      </c>
      <c r="KE184" s="94">
        <f>KD184/KC184</f>
        <v>0.5567565142622154</v>
      </c>
      <c r="KF184" s="621">
        <v>12</v>
      </c>
      <c r="KG184" s="265">
        <v>276614</v>
      </c>
      <c r="KH184" s="358">
        <v>679516.1</v>
      </c>
      <c r="KI184" s="1016">
        <f>KH184-KG184</f>
        <v>402902.1</v>
      </c>
      <c r="KJ184" s="94">
        <f>KI184/KH184</f>
        <v>0.59292502414585913</v>
      </c>
      <c r="KK184" s="2876">
        <v>11</v>
      </c>
      <c r="KL184" s="265">
        <v>253946</v>
      </c>
      <c r="KM184" s="265">
        <v>583930</v>
      </c>
      <c r="KN184" s="1016">
        <f>KM184-KL184</f>
        <v>329984</v>
      </c>
      <c r="KO184" s="2860">
        <f>KN184/KM184</f>
        <v>0.56510883153802682</v>
      </c>
      <c r="KP184" s="2000">
        <v>11</v>
      </c>
      <c r="KQ184" s="1317">
        <v>269055</v>
      </c>
      <c r="KR184" s="3865">
        <v>625712</v>
      </c>
      <c r="KS184" s="1317">
        <f>KR184-KQ184</f>
        <v>356657</v>
      </c>
      <c r="KT184" s="158">
        <f>KS184/KR184</f>
        <v>0.57000185388805069</v>
      </c>
      <c r="KU184" s="3793">
        <v>12</v>
      </c>
      <c r="KV184" s="265">
        <v>294029</v>
      </c>
      <c r="KW184" s="2877">
        <v>625712</v>
      </c>
      <c r="KX184" s="265">
        <f>KW184-KV184</f>
        <v>331683</v>
      </c>
      <c r="KY184" s="94">
        <f>KX184/KW184</f>
        <v>0.530088922699261</v>
      </c>
      <c r="KZ184" s="1857">
        <v>12</v>
      </c>
      <c r="LA184" s="358">
        <f t="shared" si="736"/>
        <v>1962410</v>
      </c>
      <c r="LB184" s="358">
        <f t="shared" si="736"/>
        <v>4580670.0999999996</v>
      </c>
      <c r="LC184" s="358">
        <f t="shared" si="736"/>
        <v>2618260.1</v>
      </c>
      <c r="LD184" s="220">
        <f>LC184/LB184</f>
        <v>0.57158888172278555</v>
      </c>
      <c r="LE184" s="1854">
        <f>(IR184+IW184+JB184)/3</f>
        <v>0</v>
      </c>
      <c r="LF184" s="1855">
        <f>IT184+IY184+JD184</f>
        <v>0</v>
      </c>
      <c r="LG184" s="1855">
        <f>IU184+IZ184+JE184</f>
        <v>0</v>
      </c>
      <c r="LH184" s="1856"/>
      <c r="LI184" s="1857">
        <f>(JG184+JL184+JQ184)/3</f>
        <v>5</v>
      </c>
      <c r="LJ184" s="1858">
        <f>(JI184+JN184+JS184)</f>
        <v>701685</v>
      </c>
      <c r="LK184" s="1854">
        <f>(JJ184+JO184+JT184)</f>
        <v>421649</v>
      </c>
      <c r="LL184" s="1856">
        <f>LK184/LJ184</f>
        <v>0.60090923990109524</v>
      </c>
      <c r="LM184" s="1934">
        <f>(JV184+KA184+KF184)/3</f>
        <v>12</v>
      </c>
      <c r="LN184" s="2878">
        <f>(JX184+KC184+KH184)</f>
        <v>2043631.1</v>
      </c>
      <c r="LO184" s="2878">
        <f>(JY184+KD184+KI184)</f>
        <v>1178287.1000000001</v>
      </c>
      <c r="LP184" s="151">
        <f>LO184/LN184</f>
        <v>0.57656545743505272</v>
      </c>
      <c r="LQ184" s="3800">
        <f>(KK184+KP184+KU184)/3</f>
        <v>11.333333333333334</v>
      </c>
      <c r="LR184" s="2878">
        <f>(KM184+KR184+KW184)</f>
        <v>1835354</v>
      </c>
      <c r="LS184" s="2878">
        <f>(KN184+KS184+KX184)</f>
        <v>1018324</v>
      </c>
      <c r="LT184" s="3794">
        <f>LS184/LR184</f>
        <v>0.55483792227548467</v>
      </c>
      <c r="LU184" s="149"/>
      <c r="LV184" s="401">
        <v>12</v>
      </c>
      <c r="LW184" s="395">
        <v>288166</v>
      </c>
      <c r="LX184" s="395">
        <v>468277</v>
      </c>
      <c r="LY184" s="115">
        <f>LX184-LW184</f>
        <v>180111</v>
      </c>
      <c r="LZ184" s="78">
        <f>LY184/LX184</f>
        <v>0.38462491217804845</v>
      </c>
      <c r="MA184" s="439">
        <v>12</v>
      </c>
      <c r="MB184" s="208">
        <v>321364</v>
      </c>
      <c r="MC184" s="208">
        <v>625712</v>
      </c>
      <c r="MD184" s="96">
        <f>MC184-MB184</f>
        <v>304348</v>
      </c>
      <c r="ME184" s="78">
        <f>MD184/MC184</f>
        <v>0.48640269005548881</v>
      </c>
      <c r="MF184" s="439">
        <v>14</v>
      </c>
      <c r="MG184" s="208">
        <v>295516</v>
      </c>
      <c r="MH184" s="208">
        <v>625712</v>
      </c>
      <c r="MI184" s="371">
        <f>MH184-MG184</f>
        <v>330196</v>
      </c>
      <c r="MJ184" s="157">
        <f>MI184/MH184</f>
        <v>0.52771242999974433</v>
      </c>
      <c r="MK184" s="354">
        <v>12</v>
      </c>
      <c r="ML184" s="208">
        <v>287681</v>
      </c>
      <c r="MM184" s="208">
        <v>625712</v>
      </c>
      <c r="MN184" s="371">
        <f>MM184-ML184</f>
        <v>338031</v>
      </c>
      <c r="MO184" s="157">
        <f>MN184/MM184</f>
        <v>0.54023416523895973</v>
      </c>
      <c r="MP184" s="3801">
        <v>12</v>
      </c>
      <c r="MQ184" s="265">
        <v>287681</v>
      </c>
      <c r="MR184" s="265">
        <v>625712</v>
      </c>
      <c r="MS184" s="265">
        <f>MR184-MQ184</f>
        <v>338031</v>
      </c>
      <c r="MT184" s="1313">
        <f>MS184/MR184</f>
        <v>0.54023416523895973</v>
      </c>
      <c r="MU184" s="209">
        <v>12</v>
      </c>
      <c r="MV184" s="208">
        <v>281848</v>
      </c>
      <c r="MW184" s="208">
        <v>625712</v>
      </c>
      <c r="MX184" s="208">
        <f>MW184-MV184</f>
        <v>343864</v>
      </c>
      <c r="MY184" s="1313">
        <f>MX184/MW184</f>
        <v>0.54955634541130749</v>
      </c>
      <c r="MZ184" s="209">
        <v>10</v>
      </c>
      <c r="NA184" s="208">
        <v>242467</v>
      </c>
      <c r="NB184" s="208">
        <v>625712</v>
      </c>
      <c r="NC184" s="208">
        <f>NB184-NA184</f>
        <v>383245</v>
      </c>
      <c r="ND184" s="1313">
        <f>NC184/NB184</f>
        <v>0.61249424655432527</v>
      </c>
      <c r="NE184" s="209">
        <v>12</v>
      </c>
      <c r="NF184" s="208">
        <v>242467</v>
      </c>
      <c r="NG184" s="208">
        <v>625712</v>
      </c>
      <c r="NH184" s="208">
        <f>NG184-NF184</f>
        <v>383245</v>
      </c>
      <c r="NI184" s="1313">
        <f>NH184/NG184</f>
        <v>0.61249424655432527</v>
      </c>
      <c r="NJ184" s="209">
        <v>12</v>
      </c>
      <c r="NK184" s="208">
        <v>281704</v>
      </c>
      <c r="NL184" s="208">
        <v>625712</v>
      </c>
      <c r="NM184" s="208">
        <f t="shared" si="707"/>
        <v>344008</v>
      </c>
      <c r="NN184" s="1313">
        <f>NM184/NL184</f>
        <v>0.54978648323829493</v>
      </c>
      <c r="NO184" s="2738">
        <v>12</v>
      </c>
      <c r="NP184" s="358">
        <v>280068</v>
      </c>
      <c r="NQ184" s="359">
        <v>625712</v>
      </c>
      <c r="NR184" s="208">
        <f t="shared" si="708"/>
        <v>345644</v>
      </c>
      <c r="NS184" s="1313">
        <f t="shared" si="709"/>
        <v>0.55240110466156955</v>
      </c>
      <c r="NT184" s="357">
        <v>12</v>
      </c>
      <c r="NU184" s="358">
        <v>295979</v>
      </c>
      <c r="NV184" s="358">
        <v>625712</v>
      </c>
      <c r="NW184" s="395">
        <f t="shared" si="710"/>
        <v>329733</v>
      </c>
      <c r="NX184" s="801">
        <f t="shared" si="711"/>
        <v>0.52697247295880534</v>
      </c>
      <c r="NY184" s="402">
        <v>12</v>
      </c>
      <c r="NZ184" s="358">
        <v>296194</v>
      </c>
      <c r="OA184" s="358">
        <v>625712</v>
      </c>
      <c r="OB184" s="772">
        <f t="shared" si="712"/>
        <v>329518</v>
      </c>
      <c r="OC184" s="116">
        <f t="shared" si="713"/>
        <v>0.5266288643976782</v>
      </c>
      <c r="OD184" s="191">
        <v>12</v>
      </c>
      <c r="OE184" s="358">
        <f t="shared" si="714"/>
        <v>3401135</v>
      </c>
      <c r="OF184" s="358">
        <f t="shared" si="714"/>
        <v>7351109</v>
      </c>
      <c r="OG184" s="358">
        <f t="shared" si="714"/>
        <v>3949974</v>
      </c>
      <c r="OH184" s="220">
        <f t="shared" si="715"/>
        <v>0.53733035382824546</v>
      </c>
      <c r="OI184" s="3802">
        <f>(LV184+MA184+MF184)/3</f>
        <v>12.666666666666666</v>
      </c>
      <c r="OJ184" s="96">
        <f t="shared" ref="OJ184:OL185" si="741">LW184+MB184+MG184</f>
        <v>905046</v>
      </c>
      <c r="OK184" s="96">
        <f t="shared" si="741"/>
        <v>1719701</v>
      </c>
      <c r="OL184" s="96">
        <f t="shared" si="741"/>
        <v>814655</v>
      </c>
      <c r="OM184" s="114">
        <f>OL184/OK184</f>
        <v>0.47371897789208706</v>
      </c>
      <c r="ON184" s="358">
        <f>(MK184+MP184+MU184)/3</f>
        <v>12</v>
      </c>
      <c r="OO184" s="358">
        <f t="shared" ref="OO184:OQ185" si="742">ML184+MQ184+MV184</f>
        <v>857210</v>
      </c>
      <c r="OP184" s="358">
        <f t="shared" si="742"/>
        <v>1877136</v>
      </c>
      <c r="OQ184" s="359">
        <f t="shared" si="742"/>
        <v>1019926</v>
      </c>
      <c r="OR184" s="169">
        <f>OQ184/OP184</f>
        <v>0.54334155862974232</v>
      </c>
      <c r="OS184" s="607">
        <f>(NJ184+NE184+MZ184)/3</f>
        <v>11.333333333333334</v>
      </c>
      <c r="OT184" s="137">
        <f t="shared" si="716"/>
        <v>766638</v>
      </c>
      <c r="OU184" s="137">
        <f t="shared" si="716"/>
        <v>1877136</v>
      </c>
      <c r="OV184" s="3803">
        <f t="shared" si="716"/>
        <v>1110498</v>
      </c>
      <c r="OW184" s="169">
        <f>OV184/OU184</f>
        <v>0.59159165878231523</v>
      </c>
      <c r="OX184" s="357">
        <f t="shared" si="717"/>
        <v>12</v>
      </c>
      <c r="OY184" s="358">
        <f t="shared" si="718"/>
        <v>872241</v>
      </c>
      <c r="OZ184" s="358">
        <f t="shared" si="718"/>
        <v>1877136</v>
      </c>
      <c r="PA184" s="359">
        <f t="shared" si="718"/>
        <v>1004895</v>
      </c>
      <c r="PB184" s="114">
        <f t="shared" si="719"/>
        <v>0.53533414733935103</v>
      </c>
      <c r="PC184" s="137"/>
      <c r="PD184" s="401">
        <v>12</v>
      </c>
      <c r="PE184" s="395">
        <v>294229</v>
      </c>
      <c r="PF184" s="395">
        <v>625712</v>
      </c>
      <c r="PG184" s="115">
        <f t="shared" si="737"/>
        <v>331483</v>
      </c>
      <c r="PH184" s="78">
        <f>PG184/PF184</f>
        <v>0.52976928682844504</v>
      </c>
      <c r="PI184" s="439">
        <v>12</v>
      </c>
      <c r="PJ184" s="208">
        <v>296866</v>
      </c>
      <c r="PK184" s="208">
        <v>625712</v>
      </c>
      <c r="PL184" s="115">
        <f>PK184-PJ184</f>
        <v>328846</v>
      </c>
      <c r="PM184" s="186">
        <f>PL184/PK184</f>
        <v>0.52555488787173654</v>
      </c>
      <c r="PN184" s="439">
        <v>12</v>
      </c>
      <c r="PO184" s="208">
        <v>296866</v>
      </c>
      <c r="PP184" s="208">
        <v>625712</v>
      </c>
      <c r="PQ184" s="372">
        <f t="shared" si="738"/>
        <v>328846</v>
      </c>
      <c r="PR184" s="207">
        <f>PQ184/PP184</f>
        <v>0.52555488787173654</v>
      </c>
      <c r="PS184" s="354">
        <v>12</v>
      </c>
      <c r="PT184" s="208">
        <v>294323</v>
      </c>
      <c r="PU184" s="208">
        <v>625712</v>
      </c>
      <c r="PV184" s="372">
        <f>PU184-PT184</f>
        <v>331389</v>
      </c>
      <c r="PW184" s="370">
        <f>PV184/PU184</f>
        <v>0.52961905796916153</v>
      </c>
      <c r="PX184" s="3801">
        <v>12</v>
      </c>
      <c r="PY184" s="265">
        <v>296866</v>
      </c>
      <c r="PZ184" s="265">
        <v>625712</v>
      </c>
      <c r="QA184" s="265">
        <f>PZ184-PY184</f>
        <v>328846</v>
      </c>
      <c r="QB184" s="1313">
        <f>QA184/PZ184</f>
        <v>0.52555488787173654</v>
      </c>
      <c r="QC184" s="209">
        <v>12</v>
      </c>
      <c r="QD184" s="208">
        <v>296866</v>
      </c>
      <c r="QE184" s="208">
        <v>625712</v>
      </c>
      <c r="QF184" s="208">
        <f>QE184-QD184</f>
        <v>328846</v>
      </c>
      <c r="QG184" s="1313">
        <f>QF184/QE184</f>
        <v>0.52555488787173654</v>
      </c>
      <c r="QH184" s="439">
        <v>12</v>
      </c>
      <c r="QI184" s="208">
        <v>296866</v>
      </c>
      <c r="QJ184" s="208">
        <v>625712</v>
      </c>
      <c r="QK184" s="208">
        <f>QJ184-QI184</f>
        <v>328846</v>
      </c>
      <c r="QL184" s="1313">
        <f>QK184/QJ184</f>
        <v>0.52555488787173654</v>
      </c>
      <c r="QM184" s="401"/>
      <c r="QN184" s="395">
        <v>0</v>
      </c>
      <c r="QO184" s="395">
        <v>0</v>
      </c>
      <c r="QP184" s="395">
        <f>QO184-QN184</f>
        <v>0</v>
      </c>
      <c r="QQ184" s="3866" t="s">
        <v>819</v>
      </c>
      <c r="QR184" s="209"/>
      <c r="QS184" s="208">
        <v>0</v>
      </c>
      <c r="QT184" s="208">
        <v>0</v>
      </c>
      <c r="QU184" s="208">
        <f>QT184-QS184</f>
        <v>0</v>
      </c>
      <c r="QV184" s="157" t="s">
        <v>68</v>
      </c>
      <c r="QW184" s="2739"/>
      <c r="QX184" s="208">
        <v>0</v>
      </c>
      <c r="QY184" s="208">
        <v>0</v>
      </c>
      <c r="QZ184" s="208">
        <f t="shared" si="739"/>
        <v>0</v>
      </c>
      <c r="RA184" s="157" t="s">
        <v>68</v>
      </c>
      <c r="RB184" s="1022"/>
      <c r="RC184" s="1568"/>
      <c r="RD184" s="1568">
        <v>0</v>
      </c>
      <c r="RE184" s="2001">
        <f>RD184-RC184</f>
        <v>0</v>
      </c>
      <c r="RF184" s="3867">
        <v>0</v>
      </c>
      <c r="RG184" s="1567"/>
      <c r="RH184" s="1568">
        <v>0</v>
      </c>
      <c r="RI184" s="1568">
        <v>0</v>
      </c>
      <c r="RJ184" s="2012">
        <f t="shared" si="720"/>
        <v>0</v>
      </c>
      <c r="RK184" s="116"/>
      <c r="RL184" s="1567"/>
      <c r="RM184" s="1568">
        <f t="shared" si="721"/>
        <v>2072882</v>
      </c>
      <c r="RN184" s="1568">
        <f t="shared" si="721"/>
        <v>4379984</v>
      </c>
      <c r="RO184" s="1568">
        <f t="shared" si="721"/>
        <v>2307102</v>
      </c>
      <c r="RP184" s="220">
        <f>RO184/RN184</f>
        <v>0.52673754059375555</v>
      </c>
      <c r="RQ184" s="3802">
        <f t="shared" si="722"/>
        <v>12</v>
      </c>
      <c r="RR184" s="96">
        <f t="shared" si="723"/>
        <v>887961</v>
      </c>
      <c r="RS184" s="96">
        <f t="shared" si="723"/>
        <v>1877136</v>
      </c>
      <c r="RT184" s="96">
        <f t="shared" si="723"/>
        <v>989175</v>
      </c>
      <c r="RU184" s="114">
        <f t="shared" si="724"/>
        <v>0.52695968752397271</v>
      </c>
      <c r="RV184" s="1868">
        <v>12</v>
      </c>
      <c r="RW184" s="358">
        <f t="shared" si="725"/>
        <v>888055</v>
      </c>
      <c r="RX184" s="358">
        <f t="shared" si="725"/>
        <v>1877136</v>
      </c>
      <c r="RY184" s="359">
        <f t="shared" si="725"/>
        <v>989081</v>
      </c>
      <c r="RZ184" s="169">
        <f t="shared" si="726"/>
        <v>0.52690961123754487</v>
      </c>
      <c r="SA184" s="607"/>
      <c r="SB184" s="137">
        <f t="shared" ref="SB184:SD187" si="743">QS184+QN184+QI184</f>
        <v>296866</v>
      </c>
      <c r="SC184" s="137">
        <f t="shared" si="743"/>
        <v>625712</v>
      </c>
      <c r="SD184" s="3803">
        <f t="shared" si="743"/>
        <v>328846</v>
      </c>
      <c r="SE184" s="169">
        <f t="shared" si="728"/>
        <v>0.52555488787173654</v>
      </c>
      <c r="SF184" s="1567"/>
      <c r="SG184" s="358">
        <f t="shared" ref="SG184:SI190" si="744">QX184+RC184+RH184</f>
        <v>0</v>
      </c>
      <c r="SH184" s="358">
        <f t="shared" si="744"/>
        <v>0</v>
      </c>
      <c r="SI184" s="359">
        <f t="shared" si="744"/>
        <v>0</v>
      </c>
      <c r="SJ184" s="2155">
        <v>0</v>
      </c>
      <c r="SK184" s="149"/>
      <c r="SL184" s="2445"/>
      <c r="SM184" s="2001"/>
      <c r="SN184" s="2001"/>
      <c r="SO184" s="3534"/>
      <c r="SP184" s="3525"/>
      <c r="SQ184" s="405"/>
      <c r="SR184" s="1575"/>
      <c r="SS184" s="1575"/>
      <c r="ST184" s="3534"/>
      <c r="SU184" s="1498"/>
      <c r="SV184" s="439"/>
      <c r="SW184" s="208"/>
      <c r="SX184" s="208"/>
      <c r="SY184" s="372">
        <f t="shared" si="740"/>
        <v>0</v>
      </c>
      <c r="SZ184" s="207" t="e">
        <f>SY184/SX184</f>
        <v>#DIV/0!</v>
      </c>
      <c r="TA184" s="354"/>
      <c r="TB184" s="208"/>
      <c r="TC184" s="208"/>
      <c r="TD184" s="372">
        <f>TC184-TB184</f>
        <v>0</v>
      </c>
      <c r="TE184" s="207" t="e">
        <f>TD184/TC184</f>
        <v>#DIV/0!</v>
      </c>
      <c r="TF184" s="4108"/>
      <c r="TG184" s="208"/>
      <c r="TH184" s="208"/>
      <c r="TI184" s="208">
        <f>TH184-TG184</f>
        <v>0</v>
      </c>
      <c r="TJ184" s="114" t="e">
        <f>TI184/TH184</f>
        <v>#DIV/0!</v>
      </c>
      <c r="TK184" s="209"/>
      <c r="TL184" s="208"/>
      <c r="TM184" s="208"/>
      <c r="TN184" s="994">
        <f>TM184-TL184</f>
        <v>0</v>
      </c>
      <c r="TO184" s="114" t="e">
        <f>TN184/TM184</f>
        <v>#DIV/0!</v>
      </c>
      <c r="TP184" s="4432"/>
      <c r="TQ184" s="208"/>
      <c r="TR184" s="208"/>
      <c r="TS184" s="994">
        <f>TR184-TQ184</f>
        <v>0</v>
      </c>
      <c r="TT184" s="114" t="e">
        <f>TS184/TR184</f>
        <v>#DIV/0!</v>
      </c>
      <c r="TU184" s="4464"/>
      <c r="TV184" s="2001"/>
      <c r="TW184" s="2001"/>
      <c r="TX184" s="2012">
        <f>TW184-TV184</f>
        <v>0</v>
      </c>
      <c r="TY184" s="5265" t="s">
        <v>819</v>
      </c>
      <c r="TZ184" s="1868"/>
      <c r="UA184" s="1575"/>
      <c r="UB184" s="1575"/>
      <c r="UC184" s="2012">
        <f>UB184-UA184</f>
        <v>0</v>
      </c>
      <c r="UD184" s="5265" t="s">
        <v>819</v>
      </c>
      <c r="UE184" s="2002"/>
      <c r="UF184" s="1575"/>
      <c r="UG184" s="1575"/>
      <c r="UH184" s="2552">
        <f t="shared" si="698"/>
        <v>0</v>
      </c>
      <c r="UI184" s="222" t="e">
        <f t="shared" si="699"/>
        <v>#DIV/0!</v>
      </c>
      <c r="UJ184" s="1022"/>
      <c r="UK184" s="1568"/>
      <c r="UL184" s="1568"/>
      <c r="UM184" s="2001">
        <f>UL184-UK184</f>
        <v>0</v>
      </c>
      <c r="UN184" s="2740">
        <v>0</v>
      </c>
      <c r="UO184" s="1567"/>
      <c r="UP184" s="1568"/>
      <c r="UQ184" s="1568"/>
      <c r="UR184" s="2012">
        <f t="shared" si="730"/>
        <v>0</v>
      </c>
      <c r="US184" s="659"/>
      <c r="UT184" s="1567"/>
      <c r="UU184" s="358">
        <f t="shared" si="700"/>
        <v>0</v>
      </c>
      <c r="UV184" s="358">
        <f t="shared" si="700"/>
        <v>0</v>
      </c>
      <c r="UW184" s="358">
        <f t="shared" si="700"/>
        <v>0</v>
      </c>
      <c r="UX184" s="220" t="e">
        <f t="shared" si="704"/>
        <v>#DIV/0!</v>
      </c>
      <c r="UY184" s="1863">
        <f t="shared" si="731"/>
        <v>0</v>
      </c>
      <c r="UZ184" s="105">
        <f t="shared" si="732"/>
        <v>0</v>
      </c>
      <c r="VA184" s="105">
        <f t="shared" si="732"/>
        <v>0</v>
      </c>
      <c r="VB184" s="105">
        <f t="shared" si="732"/>
        <v>0</v>
      </c>
      <c r="VC184" s="106" t="e">
        <f t="shared" si="733"/>
        <v>#DIV/0!</v>
      </c>
      <c r="VD184" s="1868"/>
      <c r="VE184" s="358">
        <f t="shared" si="701"/>
        <v>0</v>
      </c>
      <c r="VF184" s="358">
        <f t="shared" si="701"/>
        <v>0</v>
      </c>
      <c r="VG184" s="359">
        <f t="shared" si="701"/>
        <v>0</v>
      </c>
      <c r="VH184" s="169" t="e">
        <f t="shared" si="702"/>
        <v>#DIV/0!</v>
      </c>
      <c r="VI184" s="686"/>
      <c r="VJ184" s="146">
        <f t="shared" si="703"/>
        <v>0</v>
      </c>
      <c r="VK184" s="146">
        <f t="shared" si="703"/>
        <v>0</v>
      </c>
      <c r="VL184" s="1864">
        <f t="shared" si="703"/>
        <v>0</v>
      </c>
      <c r="VM184" s="203" t="e">
        <f t="shared" si="734"/>
        <v>#DIV/0!</v>
      </c>
      <c r="VN184" s="1567"/>
      <c r="VO184" s="358">
        <f t="shared" si="735"/>
        <v>0</v>
      </c>
      <c r="VP184" s="358">
        <f t="shared" si="735"/>
        <v>0</v>
      </c>
      <c r="VQ184" s="359">
        <f t="shared" si="735"/>
        <v>0</v>
      </c>
      <c r="VR184" s="2155">
        <v>0</v>
      </c>
    </row>
    <row r="185" spans="1:745" s="1193" customFormat="1" ht="13.45" hidden="1" x14ac:dyDescent="0.3">
      <c r="A185" s="1297"/>
      <c r="B185" s="113" t="s">
        <v>119</v>
      </c>
      <c r="C185" s="2156" t="s">
        <v>119</v>
      </c>
      <c r="D185" s="2844"/>
      <c r="E185" s="384"/>
      <c r="F185" s="384"/>
      <c r="G185" s="2161"/>
      <c r="H185" s="2845"/>
      <c r="I185" s="2846"/>
      <c r="J185" s="2846"/>
      <c r="K185" s="2846"/>
      <c r="L185" s="2847"/>
      <c r="M185" s="2845"/>
      <c r="N185" s="2846"/>
      <c r="O185" s="2846"/>
      <c r="P185" s="2846"/>
      <c r="Q185" s="2847"/>
      <c r="R185" s="2845"/>
      <c r="S185" s="2846"/>
      <c r="T185" s="2846"/>
      <c r="U185" s="2846"/>
      <c r="V185" s="2847"/>
      <c r="W185" s="2845"/>
      <c r="X185" s="2846"/>
      <c r="Y185" s="2846"/>
      <c r="Z185" s="2846"/>
      <c r="AA185" s="2848"/>
      <c r="AB185" s="2845"/>
      <c r="AC185" s="2846"/>
      <c r="AD185" s="2846"/>
      <c r="AE185" s="2846"/>
      <c r="AF185" s="2848"/>
      <c r="AG185" s="2846"/>
      <c r="AH185" s="2846"/>
      <c r="AI185" s="2846"/>
      <c r="AJ185" s="2846"/>
      <c r="AK185" s="2847"/>
      <c r="AL185" s="2846"/>
      <c r="AM185" s="2846"/>
      <c r="AN185" s="2846"/>
      <c r="AO185" s="2846"/>
      <c r="AP185" s="2847"/>
      <c r="AQ185" s="2846"/>
      <c r="AR185" s="2846"/>
      <c r="AS185" s="2846"/>
      <c r="AT185" s="2846"/>
      <c r="AU185" s="2847"/>
      <c r="AV185" s="2849"/>
      <c r="AW185" s="2846"/>
      <c r="AX185" s="2846"/>
      <c r="AY185" s="2846"/>
      <c r="AZ185" s="2848"/>
      <c r="BA185" s="2849"/>
      <c r="BB185" s="2846"/>
      <c r="BC185" s="2846"/>
      <c r="BD185" s="2846"/>
      <c r="BE185" s="2848"/>
      <c r="BF185" s="2849"/>
      <c r="BG185" s="2846"/>
      <c r="BH185" s="2846"/>
      <c r="BI185" s="2846"/>
      <c r="BJ185" s="2848"/>
      <c r="BK185" s="2849"/>
      <c r="BL185" s="2846"/>
      <c r="BM185" s="2846"/>
      <c r="BN185" s="2846"/>
      <c r="BO185" s="2848"/>
      <c r="BP185" s="2850"/>
      <c r="BQ185" s="2846"/>
      <c r="BR185" s="2846"/>
      <c r="BS185" s="2846"/>
      <c r="BT185" s="2851"/>
      <c r="BU185" s="2846"/>
      <c r="BV185" s="2846"/>
      <c r="BW185" s="2852"/>
      <c r="BX185" s="2851"/>
      <c r="BY185" s="2846"/>
      <c r="BZ185" s="2846"/>
      <c r="CA185" s="2853"/>
      <c r="CB185" s="2846"/>
      <c r="CC185" s="2846"/>
      <c r="CD185" s="2846"/>
      <c r="CE185" s="2846"/>
      <c r="CF185" s="2851"/>
      <c r="CG185" s="2846"/>
      <c r="CH185" s="2846"/>
      <c r="CI185" s="2853"/>
      <c r="CJ185" s="2854"/>
      <c r="CK185" s="2846"/>
      <c r="CL185" s="2846"/>
      <c r="CM185" s="2846"/>
      <c r="CN185" s="2852"/>
      <c r="CO185" s="2854"/>
      <c r="CP185" s="2845"/>
      <c r="CQ185" s="2845"/>
      <c r="CR185" s="2845"/>
      <c r="CS185" s="2852"/>
      <c r="CT185" s="2854"/>
      <c r="CU185" s="2846"/>
      <c r="CV185" s="2846"/>
      <c r="CW185" s="2846"/>
      <c r="CX185" s="2852"/>
      <c r="CY185" s="2854"/>
      <c r="CZ185" s="2846"/>
      <c r="DA185" s="2846"/>
      <c r="DB185" s="2846"/>
      <c r="DC185" s="2852"/>
      <c r="DD185" s="2854"/>
      <c r="DE185" s="2846"/>
      <c r="DF185" s="2846"/>
      <c r="DG185" s="2846"/>
      <c r="DH185" s="2855"/>
      <c r="DI185" s="2854"/>
      <c r="DJ185" s="2846"/>
      <c r="DK185" s="2846"/>
      <c r="DL185" s="2846"/>
      <c r="DM185" s="2855"/>
      <c r="DN185" s="2854"/>
      <c r="DO185" s="2846"/>
      <c r="DP185" s="2846"/>
      <c r="DQ185" s="2846"/>
      <c r="DR185" s="2855"/>
      <c r="DS185" s="2854"/>
      <c r="DT185" s="2846"/>
      <c r="DU185" s="2846"/>
      <c r="DV185" s="2846"/>
      <c r="DW185" s="2855"/>
      <c r="DX185" s="2854"/>
      <c r="DY185" s="2846"/>
      <c r="DZ185" s="2846"/>
      <c r="EA185" s="2846"/>
      <c r="EB185" s="2855"/>
      <c r="EC185" s="2854"/>
      <c r="ED185" s="2846"/>
      <c r="EE185" s="2846"/>
      <c r="EF185" s="2846"/>
      <c r="EG185" s="2855"/>
      <c r="EH185" s="1567"/>
      <c r="EI185" s="1568"/>
      <c r="EJ185" s="1568"/>
      <c r="EK185" s="1568"/>
      <c r="EL185" s="353"/>
      <c r="EM185" s="1857"/>
      <c r="EN185" s="358"/>
      <c r="EO185" s="358"/>
      <c r="EP185" s="358"/>
      <c r="EQ185" s="94"/>
      <c r="ER185" s="3791">
        <f>(CJ185+CO185+CT185+CY185+DD185+DI185+DN185+DS185+DX185+EC185+EH185+EM185)/12</f>
        <v>0</v>
      </c>
      <c r="ES185" s="3792">
        <f t="shared" si="705"/>
        <v>0</v>
      </c>
      <c r="ET185" s="3792">
        <f t="shared" si="705"/>
        <v>0</v>
      </c>
      <c r="EU185" s="3792">
        <f t="shared" si="705"/>
        <v>0</v>
      </c>
      <c r="EV185" s="370" t="e">
        <f>EU185/ET185</f>
        <v>#DIV/0!</v>
      </c>
      <c r="EW185" s="1569"/>
      <c r="EX185" s="1569"/>
      <c r="EY185" s="1569"/>
      <c r="EZ185" s="210"/>
      <c r="FA185" s="1567"/>
      <c r="FB185" s="1569"/>
      <c r="FC185" s="1569"/>
      <c r="FD185" s="220"/>
      <c r="FE185" s="1569"/>
      <c r="FF185" s="1569"/>
      <c r="FG185" s="1569"/>
      <c r="FH185" s="210"/>
      <c r="FI185" s="580"/>
      <c r="FJ185" s="579"/>
      <c r="FK185" s="137"/>
      <c r="FL185" s="137"/>
      <c r="FM185" s="151"/>
      <c r="FN185" s="1569"/>
      <c r="FO185" s="1568"/>
      <c r="FP185" s="1568"/>
      <c r="FQ185" s="1568"/>
      <c r="FR185" s="408"/>
      <c r="FS185" s="2858"/>
      <c r="FT185" s="2859"/>
      <c r="FU185" s="2859"/>
      <c r="FV185" s="2859"/>
      <c r="FW185" s="2860"/>
      <c r="FX185" s="1567"/>
      <c r="FY185" s="1568"/>
      <c r="FZ185" s="1568"/>
      <c r="GA185" s="2859"/>
      <c r="GB185" s="2860"/>
      <c r="GC185" s="1567"/>
      <c r="GD185" s="1568"/>
      <c r="GE185" s="1568"/>
      <c r="GF185" s="358"/>
      <c r="GG185" s="94"/>
      <c r="GH185" s="1857"/>
      <c r="GI185" s="358"/>
      <c r="GJ185" s="358"/>
      <c r="GK185" s="2861"/>
      <c r="GL185" s="2860"/>
      <c r="GM185" s="1857"/>
      <c r="GN185" s="358"/>
      <c r="GO185" s="358"/>
      <c r="GP185" s="2861"/>
      <c r="GQ185" s="2860"/>
      <c r="GR185" s="358"/>
      <c r="GS185" s="358"/>
      <c r="GT185" s="358"/>
      <c r="GU185" s="2861"/>
      <c r="GV185" s="2860"/>
      <c r="GW185" s="358"/>
      <c r="GX185" s="358"/>
      <c r="GY185" s="358"/>
      <c r="GZ185" s="2861"/>
      <c r="HA185" s="2860"/>
      <c r="HB185" s="358"/>
      <c r="HC185" s="358"/>
      <c r="HD185" s="358"/>
      <c r="HE185" s="2861"/>
      <c r="HF185" s="2860"/>
      <c r="HG185" s="358"/>
      <c r="HH185" s="358"/>
      <c r="HI185" s="358"/>
      <c r="HJ185" s="2861"/>
      <c r="HK185" s="2860"/>
      <c r="HL185" s="358"/>
      <c r="HM185" s="358"/>
      <c r="HN185" s="358"/>
      <c r="HO185" s="2861"/>
      <c r="HP185" s="2860"/>
      <c r="HQ185" s="1312"/>
      <c r="HR185" s="265"/>
      <c r="HS185" s="265"/>
      <c r="HT185" s="265"/>
      <c r="HU185" s="3811"/>
      <c r="HV185" s="2723">
        <f>(FN185+FS185+FX185+GC185+GH185+GM185+GR185+GW185+HB185+HG185+HL185+HQ185)/12</f>
        <v>0</v>
      </c>
      <c r="HW185" s="395">
        <f t="shared" si="706"/>
        <v>0</v>
      </c>
      <c r="HX185" s="395">
        <f t="shared" si="706"/>
        <v>0</v>
      </c>
      <c r="HY185" s="395">
        <f t="shared" si="706"/>
        <v>0</v>
      </c>
      <c r="HZ185" s="2737"/>
      <c r="IA185" s="1934"/>
      <c r="IB185" s="1855"/>
      <c r="IC185" s="1855"/>
      <c r="ID185" s="1856"/>
      <c r="IE185" s="2863"/>
      <c r="IF185" s="2863"/>
      <c r="IG185" s="2863"/>
      <c r="IH185" s="2864"/>
      <c r="II185" s="2865"/>
      <c r="IJ185" s="3813"/>
      <c r="IK185" s="3813"/>
      <c r="IL185" s="2864"/>
      <c r="IM185" s="2866"/>
      <c r="IN185" s="3813"/>
      <c r="IO185" s="3813"/>
      <c r="IP185" s="2867"/>
      <c r="IQ185" s="1568"/>
      <c r="IR185" s="2868"/>
      <c r="IS185" s="2015"/>
      <c r="IT185" s="2015"/>
      <c r="IU185" s="2869"/>
      <c r="IV185" s="2870"/>
      <c r="IW185" s="2858"/>
      <c r="IX185" s="2859"/>
      <c r="IY185" s="2859"/>
      <c r="IZ185" s="2859"/>
      <c r="JA185" s="362"/>
      <c r="JB185" s="2871"/>
      <c r="JC185" s="1568"/>
      <c r="JD185" s="1568"/>
      <c r="JE185" s="2859"/>
      <c r="JF185" s="2860"/>
      <c r="JG185" s="2871"/>
      <c r="JH185" s="1568"/>
      <c r="JI185" s="1568"/>
      <c r="JJ185" s="358"/>
      <c r="JK185" s="94"/>
      <c r="JL185" s="1857"/>
      <c r="JM185" s="358"/>
      <c r="JN185" s="358"/>
      <c r="JO185" s="2861"/>
      <c r="JP185" s="2860"/>
      <c r="JQ185" s="2873"/>
      <c r="JR185" s="1025"/>
      <c r="JS185" s="265"/>
      <c r="JT185" s="2872"/>
      <c r="JU185" s="2860"/>
      <c r="JV185" s="2874"/>
      <c r="JW185" s="358"/>
      <c r="JX185" s="2872"/>
      <c r="JY185" s="2861"/>
      <c r="JZ185" s="2860"/>
      <c r="KA185" s="357"/>
      <c r="KB185" s="358"/>
      <c r="KC185" s="2872"/>
      <c r="KD185" s="2861"/>
      <c r="KE185" s="2860"/>
      <c r="KF185" s="2875"/>
      <c r="KG185" s="358"/>
      <c r="KH185" s="2872"/>
      <c r="KI185" s="1016">
        <f>KH185-KG185</f>
        <v>0</v>
      </c>
      <c r="KJ185" s="2860"/>
      <c r="KK185" s="2876"/>
      <c r="KL185" s="265"/>
      <c r="KM185" s="265"/>
      <c r="KN185" s="1016">
        <f>KM185-KL185</f>
        <v>0</v>
      </c>
      <c r="KO185" s="2860"/>
      <c r="KP185" s="1862"/>
      <c r="KQ185" s="265"/>
      <c r="KR185" s="2877"/>
      <c r="KS185" s="265">
        <f>KR185-KQ185</f>
        <v>0</v>
      </c>
      <c r="KT185" s="158"/>
      <c r="KU185" s="3814"/>
      <c r="KV185" s="2861"/>
      <c r="KW185" s="2861"/>
      <c r="KX185" s="2861"/>
      <c r="KY185" s="2860"/>
      <c r="KZ185" s="357"/>
      <c r="LA185" s="358"/>
      <c r="LB185" s="358"/>
      <c r="LC185" s="358"/>
      <c r="LD185" s="2673"/>
      <c r="LE185" s="1854"/>
      <c r="LF185" s="1855"/>
      <c r="LG185" s="1855"/>
      <c r="LH185" s="1856"/>
      <c r="LI185" s="2866"/>
      <c r="LJ185" s="2863"/>
      <c r="LK185" s="2863"/>
      <c r="LL185" s="2864"/>
      <c r="LM185" s="1934"/>
      <c r="LN185" s="2878"/>
      <c r="LO185" s="2878"/>
      <c r="LP185" s="151"/>
      <c r="LQ185" s="2866"/>
      <c r="LR185" s="3813"/>
      <c r="LS185" s="3813"/>
      <c r="LT185" s="2867"/>
      <c r="LU185" s="1568"/>
      <c r="LV185" s="405"/>
      <c r="LW185" s="1575"/>
      <c r="LX185" s="1575"/>
      <c r="LY185" s="96"/>
      <c r="LZ185" s="78"/>
      <c r="MA185" s="439">
        <v>2</v>
      </c>
      <c r="MB185" s="208">
        <v>55334</v>
      </c>
      <c r="MC185" s="208">
        <v>74494</v>
      </c>
      <c r="MD185" s="115">
        <f>MC185-MB185</f>
        <v>19160</v>
      </c>
      <c r="ME185" s="186">
        <f>MD185/MC185</f>
        <v>0.2572019223024673</v>
      </c>
      <c r="MF185" s="439">
        <v>3</v>
      </c>
      <c r="MG185" s="208">
        <f>141712+13268</f>
        <v>154980</v>
      </c>
      <c r="MH185" s="208">
        <v>229960</v>
      </c>
      <c r="MI185" s="371">
        <f>MH185-MG185</f>
        <v>74980</v>
      </c>
      <c r="MJ185" s="157">
        <f>MI185/MH185</f>
        <v>0.32605670551400245</v>
      </c>
      <c r="MK185" s="2573">
        <v>2</v>
      </c>
      <c r="ML185" s="395">
        <v>111004</v>
      </c>
      <c r="MM185" s="395">
        <v>144194</v>
      </c>
      <c r="MN185" s="372">
        <f>MM185-ML185</f>
        <v>33190</v>
      </c>
      <c r="MO185" s="157">
        <f>MN185/MM185</f>
        <v>0.23017601287154804</v>
      </c>
      <c r="MP185" s="3805">
        <v>2</v>
      </c>
      <c r="MQ185" s="1317">
        <v>111004</v>
      </c>
      <c r="MR185" s="1317">
        <v>156452</v>
      </c>
      <c r="MS185" s="1317">
        <f>MR185-MQ185</f>
        <v>45448</v>
      </c>
      <c r="MT185" s="1313">
        <f>MS185/MR185</f>
        <v>0.29049165239178787</v>
      </c>
      <c r="MU185" s="209">
        <v>4</v>
      </c>
      <c r="MV185" s="208">
        <v>200974</v>
      </c>
      <c r="MW185" s="208">
        <v>260500</v>
      </c>
      <c r="MX185" s="208">
        <f>MW185-MV185</f>
        <v>59526</v>
      </c>
      <c r="MY185" s="1313">
        <f>MX185/MW185</f>
        <v>0.22850671785028792</v>
      </c>
      <c r="MZ185" s="209">
        <v>5</v>
      </c>
      <c r="NA185" s="208">
        <v>320656</v>
      </c>
      <c r="NB185" s="208">
        <v>439696</v>
      </c>
      <c r="NC185" s="208">
        <f>NB185-NA185</f>
        <v>119040</v>
      </c>
      <c r="ND185" s="1313">
        <f>NC185/NB185</f>
        <v>0.27073250609512028</v>
      </c>
      <c r="NE185" s="209">
        <v>5</v>
      </c>
      <c r="NF185" s="208">
        <v>320656</v>
      </c>
      <c r="NG185" s="208">
        <v>439696</v>
      </c>
      <c r="NH185" s="208">
        <f>NG185-NF185</f>
        <v>119040</v>
      </c>
      <c r="NI185" s="1313">
        <f>NH185/NG185</f>
        <v>0.27073250609512028</v>
      </c>
      <c r="NJ185" s="1318">
        <v>2</v>
      </c>
      <c r="NK185" s="395">
        <v>151318</v>
      </c>
      <c r="NL185" s="395">
        <v>206200</v>
      </c>
      <c r="NM185" s="395">
        <f t="shared" si="707"/>
        <v>54882</v>
      </c>
      <c r="NN185" s="801">
        <f>NM185/NL185</f>
        <v>0.26615906886517943</v>
      </c>
      <c r="NO185" s="2432">
        <v>2</v>
      </c>
      <c r="NP185" s="358">
        <f>187945-NP198</f>
        <v>151318</v>
      </c>
      <c r="NQ185" s="359">
        <f>254587-NQ198</f>
        <v>206200</v>
      </c>
      <c r="NR185" s="208">
        <f t="shared" si="708"/>
        <v>54882</v>
      </c>
      <c r="NS185" s="1313">
        <f t="shared" si="709"/>
        <v>0.26615906886517943</v>
      </c>
      <c r="NT185" s="357">
        <v>2</v>
      </c>
      <c r="NU185" s="358">
        <v>151318</v>
      </c>
      <c r="NV185" s="358">
        <v>173629</v>
      </c>
      <c r="NW185" s="208">
        <f t="shared" si="710"/>
        <v>22311</v>
      </c>
      <c r="NX185" s="1313">
        <f t="shared" si="711"/>
        <v>0.12849811955376117</v>
      </c>
      <c r="NY185" s="357">
        <v>2</v>
      </c>
      <c r="NZ185" s="358">
        <v>151303</v>
      </c>
      <c r="OA185" s="358">
        <v>208548</v>
      </c>
      <c r="OB185" s="994">
        <f t="shared" si="712"/>
        <v>57245</v>
      </c>
      <c r="OC185" s="116">
        <f t="shared" si="713"/>
        <v>0.27449316224562209</v>
      </c>
      <c r="OD185" s="191">
        <v>2</v>
      </c>
      <c r="OE185" s="358">
        <f t="shared" si="714"/>
        <v>1879865</v>
      </c>
      <c r="OF185" s="358">
        <f t="shared" si="714"/>
        <v>2539569</v>
      </c>
      <c r="OG185" s="358">
        <f t="shared" si="714"/>
        <v>659704</v>
      </c>
      <c r="OH185" s="220">
        <f t="shared" si="715"/>
        <v>0.25977006334539443</v>
      </c>
      <c r="OI185" s="3802">
        <f>(LV185+MA185+MF185)/3</f>
        <v>1.6666666666666667</v>
      </c>
      <c r="OJ185" s="96">
        <f t="shared" si="741"/>
        <v>210314</v>
      </c>
      <c r="OK185" s="96">
        <f t="shared" si="741"/>
        <v>304454</v>
      </c>
      <c r="OL185" s="96">
        <f t="shared" si="741"/>
        <v>94140</v>
      </c>
      <c r="OM185" s="114">
        <f>OL185/OK185</f>
        <v>0.30920927299362139</v>
      </c>
      <c r="ON185" s="358">
        <f>(MK185+MP185+MU185)/3</f>
        <v>2.6666666666666665</v>
      </c>
      <c r="OO185" s="358">
        <f t="shared" si="742"/>
        <v>422982</v>
      </c>
      <c r="OP185" s="358">
        <f t="shared" si="742"/>
        <v>561146</v>
      </c>
      <c r="OQ185" s="359">
        <f t="shared" si="742"/>
        <v>138164</v>
      </c>
      <c r="OR185" s="169">
        <f>OQ185/OP185</f>
        <v>0.24621756191793223</v>
      </c>
      <c r="OS185" s="607">
        <f>(NJ185+NE185+MZ185)/3</f>
        <v>4</v>
      </c>
      <c r="OT185" s="137">
        <f t="shared" si="716"/>
        <v>792630</v>
      </c>
      <c r="OU185" s="137">
        <f t="shared" si="716"/>
        <v>1085592</v>
      </c>
      <c r="OV185" s="3803">
        <f t="shared" si="716"/>
        <v>292962</v>
      </c>
      <c r="OW185" s="169">
        <f>OV185/OU185</f>
        <v>0.26986381624035549</v>
      </c>
      <c r="OX185" s="357">
        <f t="shared" si="717"/>
        <v>2</v>
      </c>
      <c r="OY185" s="358">
        <f t="shared" si="718"/>
        <v>453939</v>
      </c>
      <c r="OZ185" s="358">
        <f t="shared" si="718"/>
        <v>588377</v>
      </c>
      <c r="PA185" s="359">
        <f t="shared" si="718"/>
        <v>134438</v>
      </c>
      <c r="PB185" s="114">
        <f t="shared" si="719"/>
        <v>0.22848955686575104</v>
      </c>
      <c r="PC185" s="137"/>
      <c r="PD185" s="439">
        <v>4</v>
      </c>
      <c r="PE185" s="208">
        <v>293976</v>
      </c>
      <c r="PF185" s="208">
        <v>415827</v>
      </c>
      <c r="PG185" s="115">
        <f t="shared" si="737"/>
        <v>121851</v>
      </c>
      <c r="PH185" s="78">
        <f>PG185/PF185</f>
        <v>0.29303291994026359</v>
      </c>
      <c r="PI185" s="439">
        <v>5</v>
      </c>
      <c r="PJ185" s="208">
        <f>291664+40833</f>
        <v>332497</v>
      </c>
      <c r="PK185" s="208">
        <f>379548+116129</f>
        <v>495677</v>
      </c>
      <c r="PL185" s="115">
        <f>PK185-PJ185</f>
        <v>163180</v>
      </c>
      <c r="PM185" s="186">
        <f>PL185/PK185</f>
        <v>0.32920631782390547</v>
      </c>
      <c r="PN185" s="439">
        <v>2</v>
      </c>
      <c r="PO185" s="208">
        <v>144448</v>
      </c>
      <c r="PP185" s="208">
        <v>212667</v>
      </c>
      <c r="PQ185" s="372">
        <f t="shared" si="738"/>
        <v>68219</v>
      </c>
      <c r="PR185" s="207">
        <f>PQ185/PP185</f>
        <v>0.32077849407759551</v>
      </c>
      <c r="PS185" s="2573">
        <v>2</v>
      </c>
      <c r="PT185" s="395">
        <v>143292</v>
      </c>
      <c r="PU185" s="395">
        <v>209677</v>
      </c>
      <c r="PV185" s="372">
        <f>PU185-PT185</f>
        <v>66385</v>
      </c>
      <c r="PW185" s="370">
        <f>PV185/PU185</f>
        <v>0.31660601782742026</v>
      </c>
      <c r="PX185" s="3805">
        <v>2</v>
      </c>
      <c r="PY185" s="1317">
        <v>144448</v>
      </c>
      <c r="PZ185" s="1317">
        <v>216774.19</v>
      </c>
      <c r="QA185" s="265">
        <f>PZ185-PY185</f>
        <v>72326.19</v>
      </c>
      <c r="QB185" s="1313">
        <f>QA185/PZ185</f>
        <v>0.333647608140065</v>
      </c>
      <c r="QC185" s="209">
        <v>1</v>
      </c>
      <c r="QD185" s="208">
        <v>73615</v>
      </c>
      <c r="QE185" s="208">
        <v>96666.666666666672</v>
      </c>
      <c r="QF185" s="208">
        <f>QE185-QD185</f>
        <v>23051.666666666672</v>
      </c>
      <c r="QG185" s="1313">
        <f>QF185/QE185</f>
        <v>0.23846551724137935</v>
      </c>
      <c r="QH185" s="401">
        <v>1</v>
      </c>
      <c r="QI185" s="395">
        <v>37995</v>
      </c>
      <c r="QJ185" s="395">
        <v>51613</v>
      </c>
      <c r="QK185" s="395">
        <f>QJ185-QI185</f>
        <v>13618</v>
      </c>
      <c r="QL185" s="801">
        <f>QK185/QJ185</f>
        <v>0.26384825528452133</v>
      </c>
      <c r="QM185" s="401"/>
      <c r="QN185" s="395">
        <v>0</v>
      </c>
      <c r="QO185" s="395">
        <v>0</v>
      </c>
      <c r="QP185" s="395">
        <f>QO185-QN185</f>
        <v>0</v>
      </c>
      <c r="QQ185" s="3866" t="s">
        <v>819</v>
      </c>
      <c r="QR185" s="1318"/>
      <c r="QS185" s="395">
        <v>0</v>
      </c>
      <c r="QT185" s="395">
        <v>0</v>
      </c>
      <c r="QU185" s="395">
        <f>QT185-QS185</f>
        <v>0</v>
      </c>
      <c r="QV185" s="207" t="s">
        <v>68</v>
      </c>
      <c r="QW185" s="1318"/>
      <c r="QX185" s="208">
        <v>0</v>
      </c>
      <c r="QY185" s="208">
        <v>0</v>
      </c>
      <c r="QZ185" s="395">
        <f t="shared" si="739"/>
        <v>0</v>
      </c>
      <c r="RA185" s="207" t="s">
        <v>68</v>
      </c>
      <c r="RB185" s="1022"/>
      <c r="RC185" s="1568"/>
      <c r="RD185" s="1568">
        <v>0</v>
      </c>
      <c r="RE185" s="1575">
        <f>RD185-RC185</f>
        <v>0</v>
      </c>
      <c r="RF185" s="3868">
        <v>0</v>
      </c>
      <c r="RG185" s="1567"/>
      <c r="RH185" s="1568"/>
      <c r="RI185" s="1568"/>
      <c r="RJ185" s="2552">
        <f t="shared" si="720"/>
        <v>0</v>
      </c>
      <c r="RK185" s="116"/>
      <c r="RL185" s="1567"/>
      <c r="RM185" s="1568">
        <f t="shared" si="721"/>
        <v>1170271</v>
      </c>
      <c r="RN185" s="1568">
        <f t="shared" si="721"/>
        <v>1698901.8566666667</v>
      </c>
      <c r="RO185" s="1568">
        <f t="shared" si="721"/>
        <v>528630.85666666669</v>
      </c>
      <c r="RP185" s="220">
        <f>RO185/RN185</f>
        <v>0.31116032664998539</v>
      </c>
      <c r="RQ185" s="3802">
        <f t="shared" si="722"/>
        <v>3.6666666666666665</v>
      </c>
      <c r="RR185" s="96">
        <f t="shared" si="723"/>
        <v>770921</v>
      </c>
      <c r="RS185" s="96">
        <f t="shared" si="723"/>
        <v>1124171</v>
      </c>
      <c r="RT185" s="96">
        <f t="shared" si="723"/>
        <v>353250</v>
      </c>
      <c r="RU185" s="114">
        <f t="shared" si="724"/>
        <v>0.31423155374048967</v>
      </c>
      <c r="RV185" s="1868">
        <v>1</v>
      </c>
      <c r="RW185" s="358">
        <f t="shared" si="725"/>
        <v>361355</v>
      </c>
      <c r="RX185" s="358">
        <f t="shared" si="725"/>
        <v>523117.85666666669</v>
      </c>
      <c r="RY185" s="359">
        <f t="shared" si="725"/>
        <v>161762.85666666669</v>
      </c>
      <c r="RZ185" s="169">
        <f t="shared" si="726"/>
        <v>0.3092283213144888</v>
      </c>
      <c r="SA185" s="607"/>
      <c r="SB185" s="137">
        <f t="shared" si="743"/>
        <v>37995</v>
      </c>
      <c r="SC185" s="137">
        <f t="shared" si="743"/>
        <v>51613</v>
      </c>
      <c r="SD185" s="3803">
        <f t="shared" si="743"/>
        <v>13618</v>
      </c>
      <c r="SE185" s="169">
        <f t="shared" si="728"/>
        <v>0.26384825528452133</v>
      </c>
      <c r="SF185" s="1567"/>
      <c r="SG185" s="358">
        <f t="shared" si="744"/>
        <v>0</v>
      </c>
      <c r="SH185" s="358">
        <f t="shared" si="744"/>
        <v>0</v>
      </c>
      <c r="SI185" s="359">
        <f t="shared" si="744"/>
        <v>0</v>
      </c>
      <c r="SJ185" s="2155">
        <v>0</v>
      </c>
      <c r="SK185" s="1568"/>
      <c r="SL185" s="405"/>
      <c r="SM185" s="1575"/>
      <c r="SN185" s="1575"/>
      <c r="SO185" s="3534"/>
      <c r="SP185" s="3525"/>
      <c r="SQ185" s="405"/>
      <c r="SR185" s="1575"/>
      <c r="SS185" s="1575"/>
      <c r="ST185" s="3534"/>
      <c r="SU185" s="1498"/>
      <c r="SV185" s="439"/>
      <c r="SW185" s="208"/>
      <c r="SX185" s="208"/>
      <c r="SY185" s="372">
        <f t="shared" si="740"/>
        <v>0</v>
      </c>
      <c r="SZ185" s="207" t="e">
        <f>SY185/SX185</f>
        <v>#DIV/0!</v>
      </c>
      <c r="TA185" s="2573"/>
      <c r="TB185" s="395"/>
      <c r="TC185" s="395"/>
      <c r="TD185" s="372">
        <f>TC185-TB185</f>
        <v>0</v>
      </c>
      <c r="TE185" s="207" t="e">
        <f>TD185/TC185</f>
        <v>#DIV/0!</v>
      </c>
      <c r="TF185" s="2573"/>
      <c r="TG185" s="395"/>
      <c r="TH185" s="395"/>
      <c r="TI185" s="208">
        <f>TH185-TG185</f>
        <v>0</v>
      </c>
      <c r="TJ185" s="114" t="e">
        <f>TI185/TH185</f>
        <v>#DIV/0!</v>
      </c>
      <c r="TK185" s="209"/>
      <c r="TL185" s="208"/>
      <c r="TM185" s="208"/>
      <c r="TN185" s="994">
        <f>TM185-TL185</f>
        <v>0</v>
      </c>
      <c r="TO185" s="114" t="e">
        <f>TN185/TM185</f>
        <v>#DIV/0!</v>
      </c>
      <c r="TP185" s="4434"/>
      <c r="TQ185" s="395"/>
      <c r="TR185" s="395"/>
      <c r="TS185" s="772">
        <f>TR185-TQ185</f>
        <v>0</v>
      </c>
      <c r="TT185" s="116" t="e">
        <f>TS185/TR185</f>
        <v>#DIV/0!</v>
      </c>
      <c r="TU185" s="4464"/>
      <c r="TV185" s="2001"/>
      <c r="TW185" s="2001"/>
      <c r="TX185" s="2012">
        <f>TW185-TV185</f>
        <v>0</v>
      </c>
      <c r="TY185" s="5265" t="s">
        <v>819</v>
      </c>
      <c r="TZ185" s="2002"/>
      <c r="UA185" s="2001"/>
      <c r="UB185" s="2001"/>
      <c r="UC185" s="2012">
        <f>UB185-UA185</f>
        <v>0</v>
      </c>
      <c r="UD185" s="5265" t="s">
        <v>819</v>
      </c>
      <c r="UE185" s="2002"/>
      <c r="UF185" s="1575"/>
      <c r="UG185" s="1575"/>
      <c r="UH185" s="2552">
        <f t="shared" si="698"/>
        <v>0</v>
      </c>
      <c r="UI185" s="222" t="e">
        <f t="shared" si="699"/>
        <v>#DIV/0!</v>
      </c>
      <c r="UJ185" s="1022"/>
      <c r="UK185" s="1568"/>
      <c r="UL185" s="1568"/>
      <c r="UM185" s="1575">
        <f>UL185-UK185</f>
        <v>0</v>
      </c>
      <c r="UN185" s="2767">
        <v>0</v>
      </c>
      <c r="UO185" s="1567"/>
      <c r="UP185" s="1568"/>
      <c r="UQ185" s="1568"/>
      <c r="UR185" s="2552">
        <f t="shared" si="730"/>
        <v>0</v>
      </c>
      <c r="US185" s="659"/>
      <c r="UT185" s="1567"/>
      <c r="UU185" s="358">
        <f t="shared" si="700"/>
        <v>0</v>
      </c>
      <c r="UV185" s="358">
        <f t="shared" si="700"/>
        <v>0</v>
      </c>
      <c r="UW185" s="358">
        <f t="shared" si="700"/>
        <v>0</v>
      </c>
      <c r="UX185" s="220" t="e">
        <f t="shared" si="704"/>
        <v>#DIV/0!</v>
      </c>
      <c r="UY185" s="1863">
        <f t="shared" si="731"/>
        <v>0</v>
      </c>
      <c r="UZ185" s="105">
        <f t="shared" si="732"/>
        <v>0</v>
      </c>
      <c r="VA185" s="105">
        <f t="shared" si="732"/>
        <v>0</v>
      </c>
      <c r="VB185" s="105">
        <f t="shared" si="732"/>
        <v>0</v>
      </c>
      <c r="VC185" s="106" t="e">
        <f t="shared" si="733"/>
        <v>#DIV/0!</v>
      </c>
      <c r="VD185" s="1868"/>
      <c r="VE185" s="358">
        <f t="shared" si="701"/>
        <v>0</v>
      </c>
      <c r="VF185" s="358">
        <f t="shared" si="701"/>
        <v>0</v>
      </c>
      <c r="VG185" s="359">
        <f t="shared" si="701"/>
        <v>0</v>
      </c>
      <c r="VH185" s="169" t="e">
        <f t="shared" si="702"/>
        <v>#DIV/0!</v>
      </c>
      <c r="VI185" s="686"/>
      <c r="VJ185" s="146">
        <f t="shared" si="703"/>
        <v>0</v>
      </c>
      <c r="VK185" s="146">
        <f t="shared" si="703"/>
        <v>0</v>
      </c>
      <c r="VL185" s="1864">
        <f t="shared" si="703"/>
        <v>0</v>
      </c>
      <c r="VM185" s="203" t="e">
        <f t="shared" si="734"/>
        <v>#DIV/0!</v>
      </c>
      <c r="VN185" s="1567"/>
      <c r="VO185" s="358">
        <f t="shared" si="735"/>
        <v>0</v>
      </c>
      <c r="VP185" s="358">
        <f t="shared" si="735"/>
        <v>0</v>
      </c>
      <c r="VQ185" s="359">
        <f t="shared" si="735"/>
        <v>0</v>
      </c>
      <c r="VR185" s="2155">
        <v>0</v>
      </c>
    </row>
    <row r="186" spans="1:745" s="1193" customFormat="1" ht="13.45" hidden="1" x14ac:dyDescent="0.3">
      <c r="A186" s="1297"/>
      <c r="B186" s="583" t="s">
        <v>849</v>
      </c>
      <c r="C186" s="1991" t="s">
        <v>186</v>
      </c>
      <c r="D186" s="2277"/>
      <c r="E186" s="384"/>
      <c r="F186" s="384"/>
      <c r="G186" s="2161"/>
      <c r="H186" s="2845"/>
      <c r="I186" s="2846"/>
      <c r="J186" s="2846"/>
      <c r="K186" s="2846"/>
      <c r="L186" s="2847"/>
      <c r="M186" s="2845"/>
      <c r="N186" s="2846"/>
      <c r="O186" s="2846"/>
      <c r="P186" s="2846"/>
      <c r="Q186" s="2847"/>
      <c r="R186" s="2845"/>
      <c r="S186" s="2846"/>
      <c r="T186" s="2846"/>
      <c r="U186" s="2846"/>
      <c r="V186" s="2847"/>
      <c r="W186" s="2845"/>
      <c r="X186" s="2846"/>
      <c r="Y186" s="2846"/>
      <c r="Z186" s="2846"/>
      <c r="AA186" s="2848"/>
      <c r="AB186" s="2845"/>
      <c r="AC186" s="2846"/>
      <c r="AD186" s="2846"/>
      <c r="AE186" s="2846"/>
      <c r="AF186" s="2848"/>
      <c r="AG186" s="2846"/>
      <c r="AH186" s="2846"/>
      <c r="AI186" s="2846"/>
      <c r="AJ186" s="2846"/>
      <c r="AK186" s="2847"/>
      <c r="AL186" s="2846"/>
      <c r="AM186" s="2846"/>
      <c r="AN186" s="2846"/>
      <c r="AO186" s="2846"/>
      <c r="AP186" s="2847"/>
      <c r="AQ186" s="2846"/>
      <c r="AR186" s="2846"/>
      <c r="AS186" s="2846"/>
      <c r="AT186" s="2846"/>
      <c r="AU186" s="2847"/>
      <c r="AV186" s="2849"/>
      <c r="AW186" s="2846"/>
      <c r="AX186" s="2846"/>
      <c r="AY186" s="2846"/>
      <c r="AZ186" s="2848"/>
      <c r="BA186" s="2849"/>
      <c r="BB186" s="2846"/>
      <c r="BC186" s="2846"/>
      <c r="BD186" s="2846"/>
      <c r="BE186" s="2848"/>
      <c r="BF186" s="2849"/>
      <c r="BG186" s="2846"/>
      <c r="BH186" s="2846"/>
      <c r="BI186" s="2846"/>
      <c r="BJ186" s="2848"/>
      <c r="BK186" s="2849"/>
      <c r="BL186" s="2846"/>
      <c r="BM186" s="2846"/>
      <c r="BN186" s="2846"/>
      <c r="BO186" s="2848"/>
      <c r="BP186" s="2850"/>
      <c r="BQ186" s="2846"/>
      <c r="BR186" s="2846"/>
      <c r="BS186" s="2846"/>
      <c r="BT186" s="2851"/>
      <c r="BU186" s="2846"/>
      <c r="BV186" s="2846"/>
      <c r="BW186" s="2852"/>
      <c r="BX186" s="2851"/>
      <c r="BY186" s="2846"/>
      <c r="BZ186" s="2846"/>
      <c r="CA186" s="2853"/>
      <c r="CB186" s="2846"/>
      <c r="CC186" s="2846"/>
      <c r="CD186" s="2846"/>
      <c r="CE186" s="2846"/>
      <c r="CF186" s="2851"/>
      <c r="CG186" s="2846"/>
      <c r="CH186" s="2846"/>
      <c r="CI186" s="2853"/>
      <c r="CJ186" s="2854"/>
      <c r="CK186" s="2846"/>
      <c r="CL186" s="2846"/>
      <c r="CM186" s="2846"/>
      <c r="CN186" s="2852"/>
      <c r="CO186" s="2854"/>
      <c r="CP186" s="2845"/>
      <c r="CQ186" s="2845"/>
      <c r="CR186" s="2845"/>
      <c r="CS186" s="2852"/>
      <c r="CT186" s="2854"/>
      <c r="CU186" s="2846"/>
      <c r="CV186" s="2846"/>
      <c r="CW186" s="2846"/>
      <c r="CX186" s="2852"/>
      <c r="CY186" s="2854"/>
      <c r="CZ186" s="2846"/>
      <c r="DA186" s="2846"/>
      <c r="DB186" s="2846"/>
      <c r="DC186" s="2852"/>
      <c r="DD186" s="2854"/>
      <c r="DE186" s="2846"/>
      <c r="DF186" s="2846"/>
      <c r="DG186" s="2846"/>
      <c r="DH186" s="2855"/>
      <c r="DI186" s="2854"/>
      <c r="DJ186" s="2846"/>
      <c r="DK186" s="2846"/>
      <c r="DL186" s="2846"/>
      <c r="DM186" s="2855"/>
      <c r="DN186" s="2854"/>
      <c r="DO186" s="2846"/>
      <c r="DP186" s="2846"/>
      <c r="DQ186" s="2846"/>
      <c r="DR186" s="2855"/>
      <c r="DS186" s="2854"/>
      <c r="DT186" s="2846"/>
      <c r="DU186" s="2846"/>
      <c r="DV186" s="2846"/>
      <c r="DW186" s="2855"/>
      <c r="DX186" s="2854"/>
      <c r="DY186" s="2846"/>
      <c r="DZ186" s="2846"/>
      <c r="EA186" s="2846"/>
      <c r="EB186" s="2855"/>
      <c r="EC186" s="2854"/>
      <c r="ED186" s="2846"/>
      <c r="EE186" s="2846"/>
      <c r="EF186" s="2846"/>
      <c r="EG186" s="2855"/>
      <c r="EH186" s="1567"/>
      <c r="EI186" s="1568"/>
      <c r="EJ186" s="1568"/>
      <c r="EK186" s="1568"/>
      <c r="EL186" s="353"/>
      <c r="EM186" s="1857"/>
      <c r="EN186" s="358"/>
      <c r="EO186" s="358"/>
      <c r="EP186" s="358"/>
      <c r="EQ186" s="94"/>
      <c r="ER186" s="2856"/>
      <c r="ES186" s="2857"/>
      <c r="ET186" s="2857"/>
      <c r="EU186" s="2857"/>
      <c r="EV186" s="1867"/>
      <c r="EW186" s="1569"/>
      <c r="EX186" s="1569"/>
      <c r="EY186" s="1569"/>
      <c r="EZ186" s="210"/>
      <c r="FA186" s="1567"/>
      <c r="FB186" s="1569"/>
      <c r="FC186" s="1569"/>
      <c r="FD186" s="220"/>
      <c r="FE186" s="1569"/>
      <c r="FF186" s="1569"/>
      <c r="FG186" s="1569"/>
      <c r="FH186" s="210"/>
      <c r="FI186" s="580"/>
      <c r="FJ186" s="579"/>
      <c r="FK186" s="137"/>
      <c r="FL186" s="137"/>
      <c r="FM186" s="151"/>
      <c r="FN186" s="1569"/>
      <c r="FO186" s="1568"/>
      <c r="FP186" s="1568"/>
      <c r="FQ186" s="1568"/>
      <c r="FR186" s="408"/>
      <c r="FS186" s="2858"/>
      <c r="FT186" s="2859"/>
      <c r="FU186" s="2859"/>
      <c r="FV186" s="2859"/>
      <c r="FW186" s="2860"/>
      <c r="FX186" s="1567"/>
      <c r="FY186" s="1568"/>
      <c r="FZ186" s="1568"/>
      <c r="GA186" s="2859"/>
      <c r="GB186" s="2860"/>
      <c r="GC186" s="1567"/>
      <c r="GD186" s="1568"/>
      <c r="GE186" s="1568"/>
      <c r="GF186" s="358"/>
      <c r="GG186" s="94"/>
      <c r="GH186" s="1857"/>
      <c r="GI186" s="358"/>
      <c r="GJ186" s="358"/>
      <c r="GK186" s="2861"/>
      <c r="GL186" s="2860"/>
      <c r="GM186" s="1857"/>
      <c r="GN186" s="358"/>
      <c r="GO186" s="358"/>
      <c r="GP186" s="2861"/>
      <c r="GQ186" s="2860"/>
      <c r="GR186" s="358"/>
      <c r="GS186" s="358"/>
      <c r="GT186" s="358"/>
      <c r="GU186" s="2861"/>
      <c r="GV186" s="2860"/>
      <c r="GW186" s="358"/>
      <c r="GX186" s="358"/>
      <c r="GY186" s="358"/>
      <c r="GZ186" s="2861"/>
      <c r="HA186" s="2860"/>
      <c r="HB186" s="358"/>
      <c r="HC186" s="358"/>
      <c r="HD186" s="358"/>
      <c r="HE186" s="2861"/>
      <c r="HF186" s="2860"/>
      <c r="HG186" s="358"/>
      <c r="HH186" s="358"/>
      <c r="HI186" s="358"/>
      <c r="HJ186" s="2861"/>
      <c r="HK186" s="2860"/>
      <c r="HL186" s="358"/>
      <c r="HM186" s="358"/>
      <c r="HN186" s="358"/>
      <c r="HO186" s="2861"/>
      <c r="HP186" s="2860"/>
      <c r="HQ186" s="1312"/>
      <c r="HR186" s="265"/>
      <c r="HS186" s="265"/>
      <c r="HT186" s="265"/>
      <c r="HU186" s="3811"/>
      <c r="HV186" s="3812"/>
      <c r="HW186" s="208"/>
      <c r="HX186" s="208"/>
      <c r="HY186" s="208"/>
      <c r="HZ186" s="2737"/>
      <c r="IA186" s="1934"/>
      <c r="IB186" s="1855"/>
      <c r="IC186" s="1855"/>
      <c r="ID186" s="1856"/>
      <c r="IE186" s="2863"/>
      <c r="IF186" s="2863"/>
      <c r="IG186" s="2863"/>
      <c r="IH186" s="2864"/>
      <c r="II186" s="2865"/>
      <c r="IJ186" s="3813"/>
      <c r="IK186" s="3813"/>
      <c r="IL186" s="2864"/>
      <c r="IM186" s="2866"/>
      <c r="IN186" s="3813"/>
      <c r="IO186" s="3813"/>
      <c r="IP186" s="2867"/>
      <c r="IQ186" s="1568"/>
      <c r="IR186" s="2868"/>
      <c r="IS186" s="2015"/>
      <c r="IT186" s="2015"/>
      <c r="IU186" s="2869"/>
      <c r="IV186" s="2870"/>
      <c r="IW186" s="2858"/>
      <c r="IX186" s="2859"/>
      <c r="IY186" s="2859"/>
      <c r="IZ186" s="2859"/>
      <c r="JA186" s="362"/>
      <c r="JB186" s="2871"/>
      <c r="JC186" s="1568"/>
      <c r="JD186" s="1568"/>
      <c r="JE186" s="2859"/>
      <c r="JF186" s="2860"/>
      <c r="JG186" s="2871"/>
      <c r="JH186" s="1568"/>
      <c r="JI186" s="1568"/>
      <c r="JJ186" s="358"/>
      <c r="JK186" s="94"/>
      <c r="JL186" s="1857"/>
      <c r="JM186" s="358"/>
      <c r="JN186" s="358"/>
      <c r="JO186" s="2861"/>
      <c r="JP186" s="2860"/>
      <c r="JQ186" s="2873"/>
      <c r="JR186" s="1025"/>
      <c r="JS186" s="265"/>
      <c r="JT186" s="2872"/>
      <c r="JU186" s="2860"/>
      <c r="JV186" s="2874"/>
      <c r="JW186" s="358"/>
      <c r="JX186" s="2872"/>
      <c r="JY186" s="2861"/>
      <c r="JZ186" s="2860"/>
      <c r="KA186" s="357"/>
      <c r="KB186" s="358"/>
      <c r="KC186" s="2872"/>
      <c r="KD186" s="2861"/>
      <c r="KE186" s="2860"/>
      <c r="KF186" s="2875"/>
      <c r="KG186" s="358"/>
      <c r="KH186" s="2872"/>
      <c r="KI186" s="1016">
        <f>KH186-KG186</f>
        <v>0</v>
      </c>
      <c r="KJ186" s="2860"/>
      <c r="KK186" s="2876"/>
      <c r="KL186" s="265"/>
      <c r="KM186" s="265"/>
      <c r="KN186" s="1016">
        <f>KM186-KL186</f>
        <v>0</v>
      </c>
      <c r="KO186" s="2860"/>
      <c r="KP186" s="1862"/>
      <c r="KQ186" s="265"/>
      <c r="KR186" s="2877"/>
      <c r="KS186" s="265">
        <f>KR186-KQ186</f>
        <v>0</v>
      </c>
      <c r="KT186" s="158" t="e">
        <f>KS186/KR186</f>
        <v>#DIV/0!</v>
      </c>
      <c r="KU186" s="3814"/>
      <c r="KV186" s="2861"/>
      <c r="KW186" s="2861"/>
      <c r="KX186" s="2861"/>
      <c r="KY186" s="2860"/>
      <c r="KZ186" s="357"/>
      <c r="LA186" s="358"/>
      <c r="LB186" s="358"/>
      <c r="LC186" s="358"/>
      <c r="LD186" s="2673"/>
      <c r="LE186" s="1854"/>
      <c r="LF186" s="1855"/>
      <c r="LG186" s="1855"/>
      <c r="LH186" s="1856"/>
      <c r="LI186" s="2866"/>
      <c r="LJ186" s="2863"/>
      <c r="LK186" s="2863"/>
      <c r="LL186" s="2864"/>
      <c r="LM186" s="1934"/>
      <c r="LN186" s="2878"/>
      <c r="LO186" s="2878"/>
      <c r="LP186" s="151"/>
      <c r="LQ186" s="2866"/>
      <c r="LR186" s="3813"/>
      <c r="LS186" s="3813"/>
      <c r="LT186" s="2867"/>
      <c r="LU186" s="1568"/>
      <c r="LV186" s="405"/>
      <c r="LW186" s="1575"/>
      <c r="LX186" s="1575"/>
      <c r="LY186" s="96"/>
      <c r="LZ186" s="78"/>
      <c r="MA186" s="439"/>
      <c r="MB186" s="208"/>
      <c r="MC186" s="208"/>
      <c r="MD186" s="96"/>
      <c r="ME186" s="78"/>
      <c r="MF186" s="405"/>
      <c r="MG186" s="1575"/>
      <c r="MH186" s="1575"/>
      <c r="MI186" s="371"/>
      <c r="MJ186" s="157"/>
      <c r="MK186" s="1866"/>
      <c r="ML186" s="1575"/>
      <c r="MM186" s="1575"/>
      <c r="MN186" s="371"/>
      <c r="MO186" s="157"/>
      <c r="MP186" s="355"/>
      <c r="MQ186" s="265"/>
      <c r="MR186" s="265"/>
      <c r="MS186" s="265"/>
      <c r="MT186" s="1313"/>
      <c r="MU186" s="1868"/>
      <c r="MV186" s="1575"/>
      <c r="MW186" s="1575"/>
      <c r="MX186" s="1575"/>
      <c r="MY186" s="1872"/>
      <c r="MZ186" s="1868"/>
      <c r="NA186" s="1575"/>
      <c r="NB186" s="1575"/>
      <c r="NC186" s="1575"/>
      <c r="ND186" s="1872"/>
      <c r="NE186" s="1868"/>
      <c r="NF186" s="1575"/>
      <c r="NG186" s="1575"/>
      <c r="NH186" s="1575">
        <f>NG186-NF186</f>
        <v>0</v>
      </c>
      <c r="NI186" s="1872"/>
      <c r="NJ186" s="209"/>
      <c r="NK186" s="208"/>
      <c r="NL186" s="208"/>
      <c r="NM186" s="208">
        <f t="shared" si="707"/>
        <v>0</v>
      </c>
      <c r="NN186" s="1313"/>
      <c r="NO186" s="2432">
        <v>1</v>
      </c>
      <c r="NP186" s="358">
        <v>67252</v>
      </c>
      <c r="NQ186" s="359">
        <v>134216</v>
      </c>
      <c r="NR186" s="208">
        <f t="shared" si="708"/>
        <v>66964</v>
      </c>
      <c r="NS186" s="1313">
        <f t="shared" si="709"/>
        <v>0.49892710258091433</v>
      </c>
      <c r="NT186" s="357">
        <v>1</v>
      </c>
      <c r="NU186" s="358">
        <v>89966</v>
      </c>
      <c r="NV186" s="358">
        <v>141280</v>
      </c>
      <c r="NW186" s="395">
        <f t="shared" si="710"/>
        <v>51314</v>
      </c>
      <c r="NX186" s="801">
        <f t="shared" si="711"/>
        <v>0.36320781426953569</v>
      </c>
      <c r="NY186" s="357">
        <v>1</v>
      </c>
      <c r="NZ186" s="358">
        <v>89966</v>
      </c>
      <c r="OA186" s="358">
        <v>141280</v>
      </c>
      <c r="OB186" s="772">
        <f t="shared" si="712"/>
        <v>51314</v>
      </c>
      <c r="OC186" s="116">
        <f t="shared" si="713"/>
        <v>0.36320781426953569</v>
      </c>
      <c r="OD186" s="191">
        <v>1</v>
      </c>
      <c r="OE186" s="358">
        <f t="shared" si="714"/>
        <v>247184</v>
      </c>
      <c r="OF186" s="358">
        <f t="shared" si="714"/>
        <v>416776</v>
      </c>
      <c r="OG186" s="358">
        <f t="shared" si="714"/>
        <v>169592</v>
      </c>
      <c r="OH186" s="220">
        <f t="shared" si="715"/>
        <v>0.4069140257596407</v>
      </c>
      <c r="OI186" s="1868"/>
      <c r="OJ186" s="1871"/>
      <c r="OK186" s="1575"/>
      <c r="OL186" s="1575"/>
      <c r="OM186" s="83"/>
      <c r="ON186" s="1868"/>
      <c r="OO186" s="1871"/>
      <c r="OP186" s="1575"/>
      <c r="OQ186" s="1575"/>
      <c r="OR186" s="2675"/>
      <c r="OS186" s="1868"/>
      <c r="OT186" s="1871"/>
      <c r="OU186" s="1575"/>
      <c r="OV186" s="1575"/>
      <c r="OW186" s="2675"/>
      <c r="OX186" s="357">
        <f t="shared" si="717"/>
        <v>1</v>
      </c>
      <c r="OY186" s="358">
        <f t="shared" si="718"/>
        <v>247184</v>
      </c>
      <c r="OZ186" s="358">
        <f t="shared" si="718"/>
        <v>416776</v>
      </c>
      <c r="PA186" s="359">
        <f t="shared" si="718"/>
        <v>169592</v>
      </c>
      <c r="PB186" s="114">
        <f t="shared" si="719"/>
        <v>0.4069140257596407</v>
      </c>
      <c r="PC186" s="137"/>
      <c r="PD186" s="439">
        <v>2</v>
      </c>
      <c r="PE186" s="208">
        <f>89966+7160</f>
        <v>97126</v>
      </c>
      <c r="PF186" s="208">
        <f>134216+52000</f>
        <v>186216</v>
      </c>
      <c r="PG186" s="115">
        <f t="shared" si="737"/>
        <v>89090</v>
      </c>
      <c r="PH186" s="78">
        <f>PG186/PF186</f>
        <v>0.47842290673196719</v>
      </c>
      <c r="PI186" s="439">
        <v>1</v>
      </c>
      <c r="PJ186" s="208">
        <v>89966</v>
      </c>
      <c r="PK186" s="208">
        <v>141280</v>
      </c>
      <c r="PL186" s="115">
        <f>PK186-PJ186</f>
        <v>51314</v>
      </c>
      <c r="PM186" s="186">
        <f>PL186/PK186</f>
        <v>0.36320781426953569</v>
      </c>
      <c r="PN186" s="439">
        <v>1</v>
      </c>
      <c r="PO186" s="208">
        <v>89966</v>
      </c>
      <c r="PP186" s="208">
        <v>169536</v>
      </c>
      <c r="PQ186" s="372">
        <f t="shared" si="738"/>
        <v>79570</v>
      </c>
      <c r="PR186" s="157">
        <f>PQ186/PP186</f>
        <v>0.46933984522461308</v>
      </c>
      <c r="PS186" s="354">
        <v>1</v>
      </c>
      <c r="PT186" s="208">
        <v>89966</v>
      </c>
      <c r="PU186" s="208">
        <v>176600</v>
      </c>
      <c r="PV186" s="372">
        <f>PU186-PT186</f>
        <v>86634</v>
      </c>
      <c r="PW186" s="370">
        <f>PV186/PU186</f>
        <v>0.49056625141562854</v>
      </c>
      <c r="PX186" s="355">
        <v>1</v>
      </c>
      <c r="PY186" s="265">
        <v>89966</v>
      </c>
      <c r="PZ186" s="265">
        <v>134216</v>
      </c>
      <c r="QA186" s="265">
        <f>PZ186-PY186</f>
        <v>44250</v>
      </c>
      <c r="QB186" s="1313">
        <f>QA186/PZ186</f>
        <v>0.32969243607319543</v>
      </c>
      <c r="QC186" s="209">
        <v>1</v>
      </c>
      <c r="QD186" s="208">
        <v>89966</v>
      </c>
      <c r="QE186" s="208">
        <v>141280</v>
      </c>
      <c r="QF186" s="208">
        <f>QE186-QD186</f>
        <v>51314</v>
      </c>
      <c r="QG186" s="1313">
        <f>QF186/QE186</f>
        <v>0.36320781426953569</v>
      </c>
      <c r="QH186" s="439">
        <v>1</v>
      </c>
      <c r="QI186" s="208">
        <v>89966</v>
      </c>
      <c r="QJ186" s="208">
        <v>176600</v>
      </c>
      <c r="QK186" s="208">
        <f>QJ186-QI186</f>
        <v>86634</v>
      </c>
      <c r="QL186" s="1313">
        <f>QK186/QJ186</f>
        <v>0.49056625141562854</v>
      </c>
      <c r="QM186" s="439">
        <v>1</v>
      </c>
      <c r="QN186" s="208">
        <v>89966</v>
      </c>
      <c r="QO186" s="208">
        <v>105960</v>
      </c>
      <c r="QP186" s="395">
        <f>QO186-QN186</f>
        <v>15994</v>
      </c>
      <c r="QQ186" s="1872">
        <f>QP186/QO186</f>
        <v>0.1509437523593809</v>
      </c>
      <c r="QR186" s="209">
        <v>1</v>
      </c>
      <c r="QS186" s="208">
        <v>89966</v>
      </c>
      <c r="QT186" s="208">
        <v>102000</v>
      </c>
      <c r="QU186" s="208">
        <f>QT186-QS186</f>
        <v>12034</v>
      </c>
      <c r="QV186" s="207">
        <f>QU186/QT186</f>
        <v>0.11798039215686275</v>
      </c>
      <c r="QW186" s="1318"/>
      <c r="QX186" s="208">
        <v>0</v>
      </c>
      <c r="QY186" s="208">
        <v>0</v>
      </c>
      <c r="QZ186" s="208">
        <f t="shared" si="739"/>
        <v>0</v>
      </c>
      <c r="RA186" s="2590">
        <v>0</v>
      </c>
      <c r="RB186" s="1022"/>
      <c r="RC186" s="1568"/>
      <c r="RD186" s="1568">
        <v>0</v>
      </c>
      <c r="RE186" s="2001">
        <f>RD186-RC186</f>
        <v>0</v>
      </c>
      <c r="RF186" s="3867">
        <v>0</v>
      </c>
      <c r="RG186" s="1567"/>
      <c r="RH186" s="1568"/>
      <c r="RI186" s="1568"/>
      <c r="RJ186" s="2012">
        <f t="shared" si="720"/>
        <v>0</v>
      </c>
      <c r="RK186" s="116"/>
      <c r="RL186" s="1567"/>
      <c r="RM186" s="1568">
        <f t="shared" si="721"/>
        <v>816854</v>
      </c>
      <c r="RN186" s="1568">
        <f t="shared" si="721"/>
        <v>1333688</v>
      </c>
      <c r="RO186" s="1568">
        <f t="shared" si="721"/>
        <v>516834</v>
      </c>
      <c r="RP186" s="220">
        <f>RO186/RN186</f>
        <v>0.38752241903653628</v>
      </c>
      <c r="RQ186" s="3802">
        <f t="shared" si="722"/>
        <v>1.3333333333333333</v>
      </c>
      <c r="RR186" s="96">
        <f t="shared" si="723"/>
        <v>277058</v>
      </c>
      <c r="RS186" s="96">
        <f t="shared" si="723"/>
        <v>497032</v>
      </c>
      <c r="RT186" s="96">
        <f t="shared" si="723"/>
        <v>219974</v>
      </c>
      <c r="RU186" s="114">
        <f t="shared" si="724"/>
        <v>0.4425751259476251</v>
      </c>
      <c r="RV186" s="1868">
        <v>1</v>
      </c>
      <c r="RW186" s="358">
        <f t="shared" si="725"/>
        <v>269898</v>
      </c>
      <c r="RX186" s="358">
        <f t="shared" si="725"/>
        <v>452096</v>
      </c>
      <c r="RY186" s="359">
        <f t="shared" si="725"/>
        <v>182198</v>
      </c>
      <c r="RZ186" s="169">
        <f t="shared" si="726"/>
        <v>0.40300732587768967</v>
      </c>
      <c r="SA186" s="607">
        <v>1</v>
      </c>
      <c r="SB186" s="137">
        <f t="shared" si="743"/>
        <v>269898</v>
      </c>
      <c r="SC186" s="137">
        <f t="shared" si="743"/>
        <v>384560</v>
      </c>
      <c r="SD186" s="3803">
        <f t="shared" si="743"/>
        <v>114662</v>
      </c>
      <c r="SE186" s="169">
        <f t="shared" si="728"/>
        <v>0.29816413563553151</v>
      </c>
      <c r="SF186" s="1567"/>
      <c r="SG186" s="358">
        <f t="shared" si="744"/>
        <v>0</v>
      </c>
      <c r="SH186" s="358">
        <f t="shared" si="744"/>
        <v>0</v>
      </c>
      <c r="SI186" s="359">
        <f t="shared" si="744"/>
        <v>0</v>
      </c>
      <c r="SJ186" s="2155">
        <v>0</v>
      </c>
      <c r="SK186" s="1568"/>
      <c r="SL186" s="405"/>
      <c r="SM186" s="1575"/>
      <c r="SN186" s="1575"/>
      <c r="SO186" s="3534"/>
      <c r="SP186" s="3525"/>
      <c r="SQ186" s="405"/>
      <c r="SR186" s="1575"/>
      <c r="SS186" s="1575"/>
      <c r="ST186" s="3534"/>
      <c r="SU186" s="1498"/>
      <c r="SV186" s="439"/>
      <c r="SW186" s="208"/>
      <c r="SX186" s="208"/>
      <c r="SY186" s="372">
        <f t="shared" si="740"/>
        <v>0</v>
      </c>
      <c r="SZ186" s="157" t="e">
        <f>SY186/SX186</f>
        <v>#DIV/0!</v>
      </c>
      <c r="TA186" s="354"/>
      <c r="TB186" s="208"/>
      <c r="TC186" s="208"/>
      <c r="TD186" s="372">
        <f>TC186-TB186</f>
        <v>0</v>
      </c>
      <c r="TE186" s="207" t="e">
        <f>TD186/TC186</f>
        <v>#DIV/0!</v>
      </c>
      <c r="TF186" s="354"/>
      <c r="TG186" s="208"/>
      <c r="TH186" s="208"/>
      <c r="TI186" s="208">
        <f>TH186-TG186</f>
        <v>0</v>
      </c>
      <c r="TJ186" s="114" t="e">
        <f>TI186/TH186</f>
        <v>#DIV/0!</v>
      </c>
      <c r="TK186" s="209"/>
      <c r="TL186" s="208"/>
      <c r="TM186" s="208"/>
      <c r="TN186" s="994">
        <f>TM186-TL186</f>
        <v>0</v>
      </c>
      <c r="TO186" s="114" t="e">
        <f>TN186/TM186</f>
        <v>#DIV/0!</v>
      </c>
      <c r="TP186" s="4432"/>
      <c r="TQ186" s="208"/>
      <c r="TR186" s="208"/>
      <c r="TS186" s="994">
        <f>TR186-TQ186</f>
        <v>0</v>
      </c>
      <c r="TT186" s="114" t="e">
        <f>TS186/TR186</f>
        <v>#DIV/0!</v>
      </c>
      <c r="TU186" s="4506"/>
      <c r="TV186" s="1575"/>
      <c r="TW186" s="1575"/>
      <c r="TX186" s="2012">
        <f>TW186-TV186</f>
        <v>0</v>
      </c>
      <c r="TY186" s="83" t="e">
        <f>TX186/TW186</f>
        <v>#DIV/0!</v>
      </c>
      <c r="TZ186" s="1868"/>
      <c r="UA186" s="1575"/>
      <c r="UB186" s="1575"/>
      <c r="UC186" s="2012">
        <f>UB186-UA186</f>
        <v>0</v>
      </c>
      <c r="UD186" s="83" t="e">
        <f>UC186/UB186</f>
        <v>#DIV/0!</v>
      </c>
      <c r="UE186" s="2002"/>
      <c r="UF186" s="1575"/>
      <c r="UG186" s="1575"/>
      <c r="UH186" s="2552">
        <f t="shared" si="698"/>
        <v>0</v>
      </c>
      <c r="UI186" s="222" t="e">
        <f t="shared" si="699"/>
        <v>#DIV/0!</v>
      </c>
      <c r="UJ186" s="1022"/>
      <c r="UK186" s="1568"/>
      <c r="UL186" s="1568"/>
      <c r="UM186" s="2001">
        <f>UL186-UK186</f>
        <v>0</v>
      </c>
      <c r="UN186" s="2772">
        <v>0</v>
      </c>
      <c r="UO186" s="1567"/>
      <c r="UP186" s="1568"/>
      <c r="UQ186" s="1568"/>
      <c r="UR186" s="2012">
        <f t="shared" si="730"/>
        <v>0</v>
      </c>
      <c r="US186" s="2771"/>
      <c r="UT186" s="1567"/>
      <c r="UU186" s="358">
        <f t="shared" si="700"/>
        <v>0</v>
      </c>
      <c r="UV186" s="358">
        <f t="shared" si="700"/>
        <v>0</v>
      </c>
      <c r="UW186" s="358">
        <f t="shared" si="700"/>
        <v>0</v>
      </c>
      <c r="UX186" s="220" t="e">
        <f t="shared" si="704"/>
        <v>#DIV/0!</v>
      </c>
      <c r="UY186" s="1863">
        <f t="shared" si="731"/>
        <v>0</v>
      </c>
      <c r="UZ186" s="105">
        <f t="shared" si="732"/>
        <v>0</v>
      </c>
      <c r="VA186" s="105">
        <f t="shared" si="732"/>
        <v>0</v>
      </c>
      <c r="VB186" s="105">
        <f t="shared" si="732"/>
        <v>0</v>
      </c>
      <c r="VC186" s="106" t="e">
        <f t="shared" si="733"/>
        <v>#DIV/0!</v>
      </c>
      <c r="VD186" s="1868"/>
      <c r="VE186" s="358">
        <f t="shared" si="701"/>
        <v>0</v>
      </c>
      <c r="VF186" s="358">
        <f t="shared" si="701"/>
        <v>0</v>
      </c>
      <c r="VG186" s="359">
        <f t="shared" si="701"/>
        <v>0</v>
      </c>
      <c r="VH186" s="169" t="e">
        <f t="shared" si="702"/>
        <v>#DIV/0!</v>
      </c>
      <c r="VI186" s="686"/>
      <c r="VJ186" s="146">
        <f t="shared" si="703"/>
        <v>0</v>
      </c>
      <c r="VK186" s="146">
        <f t="shared" si="703"/>
        <v>0</v>
      </c>
      <c r="VL186" s="1864">
        <f t="shared" si="703"/>
        <v>0</v>
      </c>
      <c r="VM186" s="203" t="e">
        <f t="shared" si="734"/>
        <v>#DIV/0!</v>
      </c>
      <c r="VN186" s="1567"/>
      <c r="VO186" s="358">
        <f t="shared" si="735"/>
        <v>0</v>
      </c>
      <c r="VP186" s="358">
        <f t="shared" si="735"/>
        <v>0</v>
      </c>
      <c r="VQ186" s="359">
        <f t="shared" si="735"/>
        <v>0</v>
      </c>
      <c r="VR186" s="2155">
        <v>0</v>
      </c>
    </row>
    <row r="187" spans="1:745" s="1193" customFormat="1" ht="13.45" hidden="1" x14ac:dyDescent="0.3">
      <c r="A187" s="1297"/>
      <c r="B187" s="583" t="s">
        <v>850</v>
      </c>
      <c r="C187" s="1991" t="s">
        <v>237</v>
      </c>
      <c r="D187" s="2844"/>
      <c r="E187" s="384"/>
      <c r="F187" s="384"/>
      <c r="G187" s="2161"/>
      <c r="H187" s="2845"/>
      <c r="I187" s="2846"/>
      <c r="J187" s="2846"/>
      <c r="K187" s="2846"/>
      <c r="L187" s="2847"/>
      <c r="M187" s="2845"/>
      <c r="N187" s="2846"/>
      <c r="O187" s="2846"/>
      <c r="P187" s="2846"/>
      <c r="Q187" s="2847"/>
      <c r="R187" s="2845"/>
      <c r="S187" s="2846"/>
      <c r="T187" s="2846"/>
      <c r="U187" s="2846"/>
      <c r="V187" s="2847"/>
      <c r="W187" s="2845"/>
      <c r="X187" s="2846"/>
      <c r="Y187" s="2846"/>
      <c r="Z187" s="2846"/>
      <c r="AA187" s="2848"/>
      <c r="AB187" s="2845"/>
      <c r="AC187" s="2846"/>
      <c r="AD187" s="2846"/>
      <c r="AE187" s="2846"/>
      <c r="AF187" s="2848"/>
      <c r="AG187" s="2846"/>
      <c r="AH187" s="2846"/>
      <c r="AI187" s="2846"/>
      <c r="AJ187" s="2846"/>
      <c r="AK187" s="2847"/>
      <c r="AL187" s="2846"/>
      <c r="AM187" s="2846"/>
      <c r="AN187" s="2846"/>
      <c r="AO187" s="2846"/>
      <c r="AP187" s="2847"/>
      <c r="AQ187" s="2846"/>
      <c r="AR187" s="2846"/>
      <c r="AS187" s="2846"/>
      <c r="AT187" s="2846"/>
      <c r="AU187" s="2847"/>
      <c r="AV187" s="2849"/>
      <c r="AW187" s="2846"/>
      <c r="AX187" s="2846"/>
      <c r="AY187" s="2846"/>
      <c r="AZ187" s="2848"/>
      <c r="BA187" s="2849"/>
      <c r="BB187" s="2846"/>
      <c r="BC187" s="2846"/>
      <c r="BD187" s="2846"/>
      <c r="BE187" s="2848"/>
      <c r="BF187" s="2849"/>
      <c r="BG187" s="2846"/>
      <c r="BH187" s="2846"/>
      <c r="BI187" s="2846"/>
      <c r="BJ187" s="2848"/>
      <c r="BK187" s="2849"/>
      <c r="BL187" s="2846"/>
      <c r="BM187" s="2846"/>
      <c r="BN187" s="2846"/>
      <c r="BO187" s="2848"/>
      <c r="BP187" s="2850"/>
      <c r="BQ187" s="2846"/>
      <c r="BR187" s="2846"/>
      <c r="BS187" s="2846"/>
      <c r="BT187" s="2851"/>
      <c r="BU187" s="2846"/>
      <c r="BV187" s="2846"/>
      <c r="BW187" s="2852"/>
      <c r="BX187" s="2851"/>
      <c r="BY187" s="2846"/>
      <c r="BZ187" s="2846"/>
      <c r="CA187" s="2853"/>
      <c r="CB187" s="2846"/>
      <c r="CC187" s="2846"/>
      <c r="CD187" s="2846"/>
      <c r="CE187" s="2846"/>
      <c r="CF187" s="2851"/>
      <c r="CG187" s="2846"/>
      <c r="CH187" s="2846"/>
      <c r="CI187" s="2853"/>
      <c r="CJ187" s="2854"/>
      <c r="CK187" s="2846"/>
      <c r="CL187" s="2846"/>
      <c r="CM187" s="2846"/>
      <c r="CN187" s="2852"/>
      <c r="CO187" s="2854"/>
      <c r="CP187" s="2845"/>
      <c r="CQ187" s="2845"/>
      <c r="CR187" s="2845"/>
      <c r="CS187" s="2852"/>
      <c r="CT187" s="2854"/>
      <c r="CU187" s="2846"/>
      <c r="CV187" s="2846"/>
      <c r="CW187" s="2846"/>
      <c r="CX187" s="2852"/>
      <c r="CY187" s="2854"/>
      <c r="CZ187" s="2846"/>
      <c r="DA187" s="2846"/>
      <c r="DB187" s="2846"/>
      <c r="DC187" s="2852"/>
      <c r="DD187" s="2854"/>
      <c r="DE187" s="2846"/>
      <c r="DF187" s="2846"/>
      <c r="DG187" s="2846"/>
      <c r="DH187" s="2855"/>
      <c r="DI187" s="2854"/>
      <c r="DJ187" s="2846"/>
      <c r="DK187" s="2846"/>
      <c r="DL187" s="2846"/>
      <c r="DM187" s="2855"/>
      <c r="DN187" s="2854"/>
      <c r="DO187" s="2846"/>
      <c r="DP187" s="2846"/>
      <c r="DQ187" s="2846"/>
      <c r="DR187" s="2855"/>
      <c r="DS187" s="2854"/>
      <c r="DT187" s="2846"/>
      <c r="DU187" s="2846"/>
      <c r="DV187" s="2846"/>
      <c r="DW187" s="2855"/>
      <c r="DX187" s="2854"/>
      <c r="DY187" s="2846"/>
      <c r="DZ187" s="2846"/>
      <c r="EA187" s="2846"/>
      <c r="EB187" s="2855"/>
      <c r="EC187" s="2854"/>
      <c r="ED187" s="2846"/>
      <c r="EE187" s="2846"/>
      <c r="EF187" s="2846"/>
      <c r="EG187" s="2855"/>
      <c r="EH187" s="1567"/>
      <c r="EI187" s="1568"/>
      <c r="EJ187" s="1568"/>
      <c r="EK187" s="1568"/>
      <c r="EL187" s="353"/>
      <c r="EM187" s="1857"/>
      <c r="EN187" s="358"/>
      <c r="EO187" s="358"/>
      <c r="EP187" s="358"/>
      <c r="EQ187" s="94"/>
      <c r="ER187" s="2856"/>
      <c r="ES187" s="2857"/>
      <c r="ET187" s="2857"/>
      <c r="EU187" s="2857"/>
      <c r="EV187" s="1867"/>
      <c r="EW187" s="1569"/>
      <c r="EX187" s="1569"/>
      <c r="EY187" s="1569"/>
      <c r="EZ187" s="210"/>
      <c r="FA187" s="1567"/>
      <c r="FB187" s="1569"/>
      <c r="FC187" s="1569"/>
      <c r="FD187" s="220"/>
      <c r="FE187" s="1569"/>
      <c r="FF187" s="1569"/>
      <c r="FG187" s="1569"/>
      <c r="FH187" s="210"/>
      <c r="FI187" s="580"/>
      <c r="FJ187" s="579"/>
      <c r="FK187" s="137"/>
      <c r="FL187" s="137"/>
      <c r="FM187" s="151"/>
      <c r="FN187" s="1569"/>
      <c r="FO187" s="1568"/>
      <c r="FP187" s="1568"/>
      <c r="FQ187" s="1568"/>
      <c r="FR187" s="408"/>
      <c r="FS187" s="2858"/>
      <c r="FT187" s="2859"/>
      <c r="FU187" s="2859"/>
      <c r="FV187" s="2859"/>
      <c r="FW187" s="2860"/>
      <c r="FX187" s="1567"/>
      <c r="FY187" s="1568"/>
      <c r="FZ187" s="1568"/>
      <c r="GA187" s="2859"/>
      <c r="GB187" s="2860"/>
      <c r="GC187" s="1567"/>
      <c r="GD187" s="1568"/>
      <c r="GE187" s="1568"/>
      <c r="GF187" s="358"/>
      <c r="GG187" s="94"/>
      <c r="GH187" s="1857"/>
      <c r="GI187" s="358"/>
      <c r="GJ187" s="358"/>
      <c r="GK187" s="2861"/>
      <c r="GL187" s="2860"/>
      <c r="GM187" s="1857"/>
      <c r="GN187" s="358"/>
      <c r="GO187" s="358"/>
      <c r="GP187" s="2861"/>
      <c r="GQ187" s="2860"/>
      <c r="GR187" s="358"/>
      <c r="GS187" s="358"/>
      <c r="GT187" s="358"/>
      <c r="GU187" s="2861"/>
      <c r="GV187" s="2860"/>
      <c r="GW187" s="358"/>
      <c r="GX187" s="358"/>
      <c r="GY187" s="358"/>
      <c r="GZ187" s="2861"/>
      <c r="HA187" s="2860"/>
      <c r="HB187" s="358"/>
      <c r="HC187" s="358"/>
      <c r="HD187" s="358"/>
      <c r="HE187" s="2861"/>
      <c r="HF187" s="2860"/>
      <c r="HG187" s="358"/>
      <c r="HH187" s="358"/>
      <c r="HI187" s="358"/>
      <c r="HJ187" s="2861"/>
      <c r="HK187" s="2860"/>
      <c r="HL187" s="358"/>
      <c r="HM187" s="358"/>
      <c r="HN187" s="358"/>
      <c r="HO187" s="2861"/>
      <c r="HP187" s="2860"/>
      <c r="HQ187" s="1312"/>
      <c r="HR187" s="265"/>
      <c r="HS187" s="265"/>
      <c r="HT187" s="265"/>
      <c r="HU187" s="3811"/>
      <c r="HV187" s="3812"/>
      <c r="HW187" s="208"/>
      <c r="HX187" s="208"/>
      <c r="HY187" s="208"/>
      <c r="HZ187" s="2737"/>
      <c r="IA187" s="1934"/>
      <c r="IB187" s="1855"/>
      <c r="IC187" s="1855"/>
      <c r="ID187" s="1856"/>
      <c r="IE187" s="2863"/>
      <c r="IF187" s="2863"/>
      <c r="IG187" s="2863"/>
      <c r="IH187" s="2864"/>
      <c r="II187" s="2865"/>
      <c r="IJ187" s="3813"/>
      <c r="IK187" s="3813"/>
      <c r="IL187" s="2864"/>
      <c r="IM187" s="2866"/>
      <c r="IN187" s="3813"/>
      <c r="IO187" s="3813"/>
      <c r="IP187" s="2867"/>
      <c r="IQ187" s="1568"/>
      <c r="IR187" s="2868"/>
      <c r="IS187" s="2015"/>
      <c r="IT187" s="2015"/>
      <c r="IU187" s="2869"/>
      <c r="IV187" s="2870"/>
      <c r="IW187" s="2858"/>
      <c r="IX187" s="2859"/>
      <c r="IY187" s="2859"/>
      <c r="IZ187" s="2859"/>
      <c r="JA187" s="362"/>
      <c r="JB187" s="2871"/>
      <c r="JC187" s="1568"/>
      <c r="JD187" s="1568"/>
      <c r="JE187" s="2859"/>
      <c r="JF187" s="2860"/>
      <c r="JG187" s="2871"/>
      <c r="JH187" s="1568"/>
      <c r="JI187" s="1568"/>
      <c r="JJ187" s="358"/>
      <c r="JK187" s="94"/>
      <c r="JL187" s="1857"/>
      <c r="JM187" s="358"/>
      <c r="JN187" s="358"/>
      <c r="JO187" s="2861"/>
      <c r="JP187" s="2860"/>
      <c r="JQ187" s="2873"/>
      <c r="JR187" s="1025"/>
      <c r="JS187" s="265"/>
      <c r="JT187" s="2872"/>
      <c r="JU187" s="2860"/>
      <c r="JV187" s="2874"/>
      <c r="JW187" s="358"/>
      <c r="JX187" s="2872"/>
      <c r="JY187" s="2861"/>
      <c r="JZ187" s="2860"/>
      <c r="KA187" s="357"/>
      <c r="KB187" s="358"/>
      <c r="KC187" s="2872"/>
      <c r="KD187" s="2861"/>
      <c r="KE187" s="2860"/>
      <c r="KF187" s="2875"/>
      <c r="KG187" s="358"/>
      <c r="KH187" s="2872"/>
      <c r="KI187" s="1016"/>
      <c r="KJ187" s="2860"/>
      <c r="KK187" s="2876"/>
      <c r="KL187" s="265"/>
      <c r="KM187" s="265"/>
      <c r="KN187" s="1016"/>
      <c r="KO187" s="2860"/>
      <c r="KP187" s="1862"/>
      <c r="KQ187" s="265"/>
      <c r="KR187" s="2877"/>
      <c r="KS187" s="265"/>
      <c r="KT187" s="158"/>
      <c r="KU187" s="3814"/>
      <c r="KV187" s="2861"/>
      <c r="KW187" s="2861"/>
      <c r="KX187" s="2861"/>
      <c r="KY187" s="2860"/>
      <c r="KZ187" s="357"/>
      <c r="LA187" s="358"/>
      <c r="LB187" s="358"/>
      <c r="LC187" s="358"/>
      <c r="LD187" s="2673"/>
      <c r="LE187" s="1854"/>
      <c r="LF187" s="1855"/>
      <c r="LG187" s="1855"/>
      <c r="LH187" s="1856"/>
      <c r="LI187" s="2866"/>
      <c r="LJ187" s="2863"/>
      <c r="LK187" s="2863"/>
      <c r="LL187" s="2864"/>
      <c r="LM187" s="1934"/>
      <c r="LN187" s="2878"/>
      <c r="LO187" s="2878"/>
      <c r="LP187" s="151"/>
      <c r="LQ187" s="2866"/>
      <c r="LR187" s="3813"/>
      <c r="LS187" s="3813"/>
      <c r="LT187" s="2867"/>
      <c r="LU187" s="1568"/>
      <c r="LV187" s="405"/>
      <c r="LW187" s="1575"/>
      <c r="LX187" s="1575"/>
      <c r="LY187" s="96"/>
      <c r="LZ187" s="78"/>
      <c r="MA187" s="439"/>
      <c r="MB187" s="208"/>
      <c r="MC187" s="208"/>
      <c r="MD187" s="96"/>
      <c r="ME187" s="78"/>
      <c r="MF187" s="405"/>
      <c r="MG187" s="1575"/>
      <c r="MH187" s="1575"/>
      <c r="MI187" s="371"/>
      <c r="MJ187" s="157"/>
      <c r="MK187" s="1866"/>
      <c r="ML187" s="1575"/>
      <c r="MM187" s="1575"/>
      <c r="MN187" s="371"/>
      <c r="MO187" s="157"/>
      <c r="MP187" s="355"/>
      <c r="MQ187" s="265"/>
      <c r="MR187" s="265"/>
      <c r="MS187" s="265"/>
      <c r="MT187" s="1313"/>
      <c r="MU187" s="1868"/>
      <c r="MV187" s="1575"/>
      <c r="MW187" s="1575"/>
      <c r="MX187" s="1575"/>
      <c r="MY187" s="1872"/>
      <c r="MZ187" s="1868"/>
      <c r="NA187" s="1575"/>
      <c r="NB187" s="1575"/>
      <c r="NC187" s="1575"/>
      <c r="ND187" s="1872"/>
      <c r="NE187" s="1868"/>
      <c r="NF187" s="1575"/>
      <c r="NG187" s="1575"/>
      <c r="NH187" s="1575"/>
      <c r="NI187" s="1872"/>
      <c r="NJ187" s="209"/>
      <c r="NK187" s="208"/>
      <c r="NL187" s="208"/>
      <c r="NM187" s="208"/>
      <c r="NN187" s="1313"/>
      <c r="NO187" s="1022"/>
      <c r="NP187" s="1568"/>
      <c r="NQ187" s="1871"/>
      <c r="NR187" s="1575"/>
      <c r="NS187" s="1313"/>
      <c r="NT187" s="357"/>
      <c r="NU187" s="358"/>
      <c r="NV187" s="358"/>
      <c r="NW187" s="358"/>
      <c r="NX187" s="2773"/>
      <c r="NY187" s="357">
        <v>3</v>
      </c>
      <c r="NZ187" s="358">
        <v>90687</v>
      </c>
      <c r="OA187" s="358">
        <v>212607</v>
      </c>
      <c r="OB187" s="772">
        <f t="shared" si="712"/>
        <v>121920</v>
      </c>
      <c r="OC187" s="116">
        <f t="shared" si="713"/>
        <v>0.57345242630769444</v>
      </c>
      <c r="OD187" s="191">
        <v>3</v>
      </c>
      <c r="OE187" s="358">
        <f t="shared" si="714"/>
        <v>90687</v>
      </c>
      <c r="OF187" s="358">
        <f t="shared" si="714"/>
        <v>212607</v>
      </c>
      <c r="OG187" s="358">
        <f t="shared" si="714"/>
        <v>121920</v>
      </c>
      <c r="OH187" s="220">
        <f t="shared" si="715"/>
        <v>0.57345242630769444</v>
      </c>
      <c r="OI187" s="1868"/>
      <c r="OJ187" s="1871"/>
      <c r="OK187" s="1575"/>
      <c r="OL187" s="1575"/>
      <c r="OM187" s="83"/>
      <c r="ON187" s="1868"/>
      <c r="OO187" s="1871"/>
      <c r="OP187" s="1575"/>
      <c r="OQ187" s="1575"/>
      <c r="OR187" s="2675"/>
      <c r="OS187" s="1868"/>
      <c r="OT187" s="1871"/>
      <c r="OU187" s="1575"/>
      <c r="OV187" s="1575"/>
      <c r="OW187" s="2675"/>
      <c r="OX187" s="357">
        <f t="shared" si="717"/>
        <v>1</v>
      </c>
      <c r="OY187" s="358">
        <f t="shared" si="718"/>
        <v>90687</v>
      </c>
      <c r="OZ187" s="358">
        <f t="shared" si="718"/>
        <v>212607</v>
      </c>
      <c r="PA187" s="359">
        <f t="shared" si="718"/>
        <v>121920</v>
      </c>
      <c r="PB187" s="114">
        <f t="shared" si="719"/>
        <v>0.57345242630769444</v>
      </c>
      <c r="PC187" s="137"/>
      <c r="PD187" s="439">
        <v>3</v>
      </c>
      <c r="PE187" s="208">
        <v>97930</v>
      </c>
      <c r="PF187" s="208">
        <v>121000</v>
      </c>
      <c r="PG187" s="115">
        <f t="shared" si="737"/>
        <v>23070</v>
      </c>
      <c r="PH187" s="78">
        <f>PG187/PF187</f>
        <v>0.19066115702479339</v>
      </c>
      <c r="PI187" s="439">
        <v>2</v>
      </c>
      <c r="PJ187" s="208">
        <f>80834+4600</f>
        <v>85434</v>
      </c>
      <c r="PK187" s="208">
        <v>97500</v>
      </c>
      <c r="PL187" s="115">
        <f>PK187-PJ187</f>
        <v>12066</v>
      </c>
      <c r="PM187" s="186">
        <f>PL187/PK187</f>
        <v>0.12375384615384616</v>
      </c>
      <c r="PN187" s="439">
        <v>2</v>
      </c>
      <c r="PO187" s="208">
        <v>85000</v>
      </c>
      <c r="PP187" s="208">
        <v>107500</v>
      </c>
      <c r="PQ187" s="372">
        <f t="shared" si="738"/>
        <v>22500</v>
      </c>
      <c r="PR187" s="157">
        <f>PQ187/PP187</f>
        <v>0.20930232558139536</v>
      </c>
      <c r="PS187" s="354">
        <v>2</v>
      </c>
      <c r="PT187" s="208">
        <f>85000+33200</f>
        <v>118200</v>
      </c>
      <c r="PU187" s="208">
        <f>107250+33200</f>
        <v>140450</v>
      </c>
      <c r="PV187" s="372">
        <f>PU187-PT187</f>
        <v>22250</v>
      </c>
      <c r="PW187" s="370">
        <f>PV187/PU187</f>
        <v>0.1584193663225347</v>
      </c>
      <c r="PX187" s="3806">
        <v>2</v>
      </c>
      <c r="PY187" s="1317">
        <v>85000</v>
      </c>
      <c r="PZ187" s="1317">
        <v>105000</v>
      </c>
      <c r="QA187" s="1317">
        <f>PZ187-PY187</f>
        <v>20000</v>
      </c>
      <c r="QB187" s="801">
        <f>QA187/PZ187</f>
        <v>0.19047619047619047</v>
      </c>
      <c r="QC187" s="209">
        <v>1</v>
      </c>
      <c r="QD187" s="208">
        <v>84199</v>
      </c>
      <c r="QE187" s="208">
        <v>102142.85</v>
      </c>
      <c r="QF187" s="208">
        <f>QE187-QD187</f>
        <v>17943.850000000006</v>
      </c>
      <c r="QG187" s="1313">
        <f>QF187/QE187</f>
        <v>0.17567406822895587</v>
      </c>
      <c r="QH187" s="439">
        <v>2</v>
      </c>
      <c r="QI187" s="208">
        <v>82676</v>
      </c>
      <c r="QJ187" s="208">
        <v>102000</v>
      </c>
      <c r="QK187" s="208">
        <f>QJ187-QI187</f>
        <v>19324</v>
      </c>
      <c r="QL187" s="1313">
        <f>QK187/QJ187</f>
        <v>0.18945098039215685</v>
      </c>
      <c r="QM187" s="439">
        <v>2</v>
      </c>
      <c r="QN187" s="208">
        <v>85000</v>
      </c>
      <c r="QO187" s="208">
        <v>94286</v>
      </c>
      <c r="QP187" s="395">
        <f>QO187-QN187</f>
        <v>9286</v>
      </c>
      <c r="QQ187" s="1872">
        <f>QP187/QO187</f>
        <v>9.848758034066564E-2</v>
      </c>
      <c r="QR187" s="209">
        <v>2</v>
      </c>
      <c r="QS187" s="208">
        <v>81983</v>
      </c>
      <c r="QT187" s="208">
        <v>92000</v>
      </c>
      <c r="QU187" s="208">
        <f>QT187-QS187</f>
        <v>10017</v>
      </c>
      <c r="QV187" s="207">
        <f>QU187/QT187</f>
        <v>0.1088804347826087</v>
      </c>
      <c r="QW187" s="209"/>
      <c r="QX187" s="208">
        <v>0</v>
      </c>
      <c r="QY187" s="208">
        <v>0</v>
      </c>
      <c r="QZ187" s="208">
        <f t="shared" si="739"/>
        <v>0</v>
      </c>
      <c r="RA187" s="2590">
        <v>0</v>
      </c>
      <c r="RB187" s="1022"/>
      <c r="RC187" s="1568"/>
      <c r="RD187" s="1568"/>
      <c r="RE187" s="2001">
        <f>RD187-RC187</f>
        <v>0</v>
      </c>
      <c r="RF187" s="3867">
        <v>0</v>
      </c>
      <c r="RG187" s="1567"/>
      <c r="RH187" s="1568"/>
      <c r="RI187" s="1568"/>
      <c r="RJ187" s="2012"/>
      <c r="RK187" s="116"/>
      <c r="RL187" s="1567"/>
      <c r="RM187" s="1568">
        <f t="shared" si="721"/>
        <v>805422</v>
      </c>
      <c r="RN187" s="1568">
        <f t="shared" si="721"/>
        <v>961878.85</v>
      </c>
      <c r="RO187" s="1568">
        <f t="shared" si="721"/>
        <v>156456.85</v>
      </c>
      <c r="RP187" s="220">
        <f>RO187/RN187</f>
        <v>0.16265754257929677</v>
      </c>
      <c r="RQ187" s="3802">
        <f t="shared" si="722"/>
        <v>2.3333333333333335</v>
      </c>
      <c r="RR187" s="96">
        <f t="shared" si="723"/>
        <v>268364</v>
      </c>
      <c r="RS187" s="96">
        <f t="shared" si="723"/>
        <v>326000</v>
      </c>
      <c r="RT187" s="96">
        <f t="shared" si="723"/>
        <v>57636</v>
      </c>
      <c r="RU187" s="114">
        <f t="shared" si="724"/>
        <v>0.17679754601226993</v>
      </c>
      <c r="RV187" s="1868">
        <v>1</v>
      </c>
      <c r="RW187" s="358">
        <f t="shared" si="725"/>
        <v>287399</v>
      </c>
      <c r="RX187" s="358">
        <f t="shared" si="725"/>
        <v>347592.85</v>
      </c>
      <c r="RY187" s="359">
        <f t="shared" si="725"/>
        <v>60193.850000000006</v>
      </c>
      <c r="RZ187" s="169">
        <f t="shared" si="726"/>
        <v>0.1731734412833866</v>
      </c>
      <c r="SA187" s="607">
        <v>2</v>
      </c>
      <c r="SB187" s="137">
        <f t="shared" si="743"/>
        <v>249659</v>
      </c>
      <c r="SC187" s="137">
        <f t="shared" si="743"/>
        <v>288286</v>
      </c>
      <c r="SD187" s="3803">
        <f t="shared" si="743"/>
        <v>38627</v>
      </c>
      <c r="SE187" s="169">
        <f t="shared" si="728"/>
        <v>0.13398846978347892</v>
      </c>
      <c r="SF187" s="1567"/>
      <c r="SG187" s="358">
        <f t="shared" si="744"/>
        <v>0</v>
      </c>
      <c r="SH187" s="358">
        <f t="shared" si="744"/>
        <v>0</v>
      </c>
      <c r="SI187" s="359">
        <f t="shared" si="744"/>
        <v>0</v>
      </c>
      <c r="SJ187" s="114"/>
      <c r="SK187" s="1568"/>
      <c r="SL187" s="405"/>
      <c r="SM187" s="1575"/>
      <c r="SN187" s="1575"/>
      <c r="SO187" s="3534"/>
      <c r="SP187" s="3525"/>
      <c r="SQ187" s="405"/>
      <c r="SR187" s="1575"/>
      <c r="SS187" s="1575"/>
      <c r="ST187" s="3534"/>
      <c r="SU187" s="1498"/>
      <c r="SV187" s="439"/>
      <c r="SW187" s="208"/>
      <c r="SX187" s="208"/>
      <c r="SY187" s="372">
        <f t="shared" si="740"/>
        <v>0</v>
      </c>
      <c r="SZ187" s="157" t="e">
        <f>SY187/SX187</f>
        <v>#DIV/0!</v>
      </c>
      <c r="TA187" s="354"/>
      <c r="TB187" s="208"/>
      <c r="TC187" s="208"/>
      <c r="TD187" s="372">
        <f>TC187-TB187</f>
        <v>0</v>
      </c>
      <c r="TE187" s="207" t="e">
        <f>TD187/TC187</f>
        <v>#DIV/0!</v>
      </c>
      <c r="TF187" s="1573"/>
      <c r="TG187" s="395"/>
      <c r="TH187" s="395"/>
      <c r="TI187" s="395">
        <f>TH187-TG187</f>
        <v>0</v>
      </c>
      <c r="TJ187" s="116" t="e">
        <f>TI187/TH187</f>
        <v>#DIV/0!</v>
      </c>
      <c r="TK187" s="209"/>
      <c r="TL187" s="208"/>
      <c r="TM187" s="208"/>
      <c r="TN187" s="994">
        <f>TM187-TL187</f>
        <v>0</v>
      </c>
      <c r="TO187" s="114" t="e">
        <f>TN187/TM187</f>
        <v>#DIV/0!</v>
      </c>
      <c r="TP187" s="4432"/>
      <c r="TQ187" s="208"/>
      <c r="TR187" s="208"/>
      <c r="TS187" s="994">
        <f>TR187-TQ187</f>
        <v>0</v>
      </c>
      <c r="TT187" s="114" t="e">
        <f>TS187/TR187</f>
        <v>#DIV/0!</v>
      </c>
      <c r="TU187" s="4506"/>
      <c r="TV187" s="1575"/>
      <c r="TW187" s="1575"/>
      <c r="TX187" s="2012">
        <f>TW187-TV187</f>
        <v>0</v>
      </c>
      <c r="TY187" s="83" t="e">
        <f>TX187/TW187</f>
        <v>#DIV/0!</v>
      </c>
      <c r="TZ187" s="1868"/>
      <c r="UA187" s="1575"/>
      <c r="UB187" s="1575"/>
      <c r="UC187" s="2012">
        <f>UB187-UA187</f>
        <v>0</v>
      </c>
      <c r="UD187" s="83" t="e">
        <f>UC187/UB187</f>
        <v>#DIV/0!</v>
      </c>
      <c r="UE187" s="2002"/>
      <c r="UF187" s="1575"/>
      <c r="UG187" s="1575"/>
      <c r="UH187" s="2552">
        <f t="shared" si="698"/>
        <v>0</v>
      </c>
      <c r="UI187" s="222" t="e">
        <f t="shared" si="699"/>
        <v>#DIV/0!</v>
      </c>
      <c r="UJ187" s="1022"/>
      <c r="UK187" s="1568"/>
      <c r="UL187" s="1568"/>
      <c r="UM187" s="2001">
        <f>UL187-UK187</f>
        <v>0</v>
      </c>
      <c r="UN187" s="2772">
        <v>0</v>
      </c>
      <c r="UO187" s="1567"/>
      <c r="UP187" s="1568"/>
      <c r="UQ187" s="1568"/>
      <c r="UR187" s="2012"/>
      <c r="US187" s="116"/>
      <c r="UT187" s="1567"/>
      <c r="UU187" s="358">
        <f t="shared" si="700"/>
        <v>0</v>
      </c>
      <c r="UV187" s="358">
        <f t="shared" si="700"/>
        <v>0</v>
      </c>
      <c r="UW187" s="358">
        <f t="shared" si="700"/>
        <v>0</v>
      </c>
      <c r="UX187" s="220" t="e">
        <f t="shared" si="704"/>
        <v>#DIV/0!</v>
      </c>
      <c r="UY187" s="1863">
        <f t="shared" si="731"/>
        <v>0</v>
      </c>
      <c r="UZ187" s="105">
        <f t="shared" si="732"/>
        <v>0</v>
      </c>
      <c r="VA187" s="105">
        <f t="shared" si="732"/>
        <v>0</v>
      </c>
      <c r="VB187" s="105">
        <f t="shared" si="732"/>
        <v>0</v>
      </c>
      <c r="VC187" s="106" t="e">
        <f t="shared" si="733"/>
        <v>#DIV/0!</v>
      </c>
      <c r="VD187" s="1868"/>
      <c r="VE187" s="358">
        <f t="shared" si="701"/>
        <v>0</v>
      </c>
      <c r="VF187" s="358">
        <f t="shared" si="701"/>
        <v>0</v>
      </c>
      <c r="VG187" s="359">
        <f t="shared" si="701"/>
        <v>0</v>
      </c>
      <c r="VH187" s="169" t="e">
        <f t="shared" si="702"/>
        <v>#DIV/0!</v>
      </c>
      <c r="VI187" s="686"/>
      <c r="VJ187" s="146">
        <f t="shared" si="703"/>
        <v>0</v>
      </c>
      <c r="VK187" s="146">
        <f t="shared" si="703"/>
        <v>0</v>
      </c>
      <c r="VL187" s="1864">
        <f t="shared" si="703"/>
        <v>0</v>
      </c>
      <c r="VM187" s="203" t="e">
        <f t="shared" si="734"/>
        <v>#DIV/0!</v>
      </c>
      <c r="VN187" s="1567"/>
      <c r="VO187" s="358">
        <f t="shared" si="735"/>
        <v>0</v>
      </c>
      <c r="VP187" s="358">
        <f t="shared" si="735"/>
        <v>0</v>
      </c>
      <c r="VQ187" s="359">
        <f t="shared" si="735"/>
        <v>0</v>
      </c>
      <c r="VR187" s="114"/>
    </row>
    <row r="188" spans="1:745" s="2425" customFormat="1" ht="13.45" hidden="1" x14ac:dyDescent="0.3">
      <c r="A188" s="2399"/>
      <c r="B188" s="583" t="s">
        <v>109</v>
      </c>
      <c r="C188" s="2104" t="s">
        <v>110</v>
      </c>
      <c r="D188" s="3869" t="s">
        <v>852</v>
      </c>
      <c r="E188" s="2086"/>
      <c r="F188" s="2086"/>
      <c r="G188" s="1994"/>
      <c r="H188" s="3870"/>
      <c r="I188" s="3871"/>
      <c r="J188" s="3871"/>
      <c r="K188" s="3871"/>
      <c r="L188" s="3872"/>
      <c r="M188" s="3870"/>
      <c r="N188" s="3871"/>
      <c r="O188" s="3871"/>
      <c r="P188" s="3871"/>
      <c r="Q188" s="3872"/>
      <c r="R188" s="3870"/>
      <c r="S188" s="3871"/>
      <c r="T188" s="3871"/>
      <c r="U188" s="3871"/>
      <c r="V188" s="3872"/>
      <c r="W188" s="3870"/>
      <c r="X188" s="3871"/>
      <c r="Y188" s="3871"/>
      <c r="Z188" s="3871"/>
      <c r="AA188" s="3873"/>
      <c r="AB188" s="3870"/>
      <c r="AC188" s="3871"/>
      <c r="AD188" s="3871"/>
      <c r="AE188" s="3871"/>
      <c r="AF188" s="3873"/>
      <c r="AG188" s="3871"/>
      <c r="AH188" s="3871"/>
      <c r="AI188" s="3871"/>
      <c r="AJ188" s="3871"/>
      <c r="AK188" s="3872"/>
      <c r="AL188" s="3871"/>
      <c r="AM188" s="3871"/>
      <c r="AN188" s="3871"/>
      <c r="AO188" s="3871"/>
      <c r="AP188" s="3872"/>
      <c r="AQ188" s="3871"/>
      <c r="AR188" s="3871"/>
      <c r="AS188" s="3871"/>
      <c r="AT188" s="3871"/>
      <c r="AU188" s="3872"/>
      <c r="AV188" s="3874"/>
      <c r="AW188" s="3871"/>
      <c r="AX188" s="3871"/>
      <c r="AY188" s="3871"/>
      <c r="AZ188" s="3873"/>
      <c r="BA188" s="3874"/>
      <c r="BB188" s="3871"/>
      <c r="BC188" s="3871"/>
      <c r="BD188" s="3871"/>
      <c r="BE188" s="3873"/>
      <c r="BF188" s="3874"/>
      <c r="BG188" s="3871"/>
      <c r="BH188" s="3871"/>
      <c r="BI188" s="3871"/>
      <c r="BJ188" s="3873"/>
      <c r="BK188" s="3874"/>
      <c r="BL188" s="3871"/>
      <c r="BM188" s="3871"/>
      <c r="BN188" s="3871"/>
      <c r="BO188" s="3873"/>
      <c r="BP188" s="3875"/>
      <c r="BQ188" s="3871"/>
      <c r="BR188" s="3871"/>
      <c r="BS188" s="3871"/>
      <c r="BT188" s="3876"/>
      <c r="BU188" s="3871"/>
      <c r="BV188" s="3871"/>
      <c r="BW188" s="3877"/>
      <c r="BX188" s="3876"/>
      <c r="BY188" s="3871"/>
      <c r="BZ188" s="3871"/>
      <c r="CA188" s="3878"/>
      <c r="CB188" s="3871"/>
      <c r="CC188" s="3871"/>
      <c r="CD188" s="3871"/>
      <c r="CE188" s="3871"/>
      <c r="CF188" s="3876"/>
      <c r="CG188" s="3871"/>
      <c r="CH188" s="3871"/>
      <c r="CI188" s="3878"/>
      <c r="CJ188" s="3879"/>
      <c r="CK188" s="3871"/>
      <c r="CL188" s="3871"/>
      <c r="CM188" s="3871"/>
      <c r="CN188" s="3877"/>
      <c r="CO188" s="3879"/>
      <c r="CP188" s="3870"/>
      <c r="CQ188" s="3870"/>
      <c r="CR188" s="3870"/>
      <c r="CS188" s="3877"/>
      <c r="CT188" s="3879"/>
      <c r="CU188" s="3871"/>
      <c r="CV188" s="3871"/>
      <c r="CW188" s="3871"/>
      <c r="CX188" s="3877"/>
      <c r="CY188" s="3879"/>
      <c r="CZ188" s="3871"/>
      <c r="DA188" s="3871"/>
      <c r="DB188" s="3871"/>
      <c r="DC188" s="3877"/>
      <c r="DD188" s="3879"/>
      <c r="DE188" s="3871"/>
      <c r="DF188" s="3871"/>
      <c r="DG188" s="3871"/>
      <c r="DH188" s="3880"/>
      <c r="DI188" s="3879"/>
      <c r="DJ188" s="3871"/>
      <c r="DK188" s="3871"/>
      <c r="DL188" s="3871"/>
      <c r="DM188" s="3880"/>
      <c r="DN188" s="3879"/>
      <c r="DO188" s="3871"/>
      <c r="DP188" s="3871"/>
      <c r="DQ188" s="3871"/>
      <c r="DR188" s="3880"/>
      <c r="DS188" s="3879"/>
      <c r="DT188" s="3871"/>
      <c r="DU188" s="3871"/>
      <c r="DV188" s="3871"/>
      <c r="DW188" s="3880"/>
      <c r="DX188" s="3879"/>
      <c r="DY188" s="3871"/>
      <c r="DZ188" s="3871"/>
      <c r="EA188" s="3871"/>
      <c r="EB188" s="3880"/>
      <c r="EC188" s="3879"/>
      <c r="ED188" s="3871"/>
      <c r="EE188" s="3871"/>
      <c r="EF188" s="3871"/>
      <c r="EG188" s="3880"/>
      <c r="EH188" s="2108"/>
      <c r="EI188" s="1873"/>
      <c r="EJ188" s="1873"/>
      <c r="EK188" s="1873"/>
      <c r="EL188" s="3881"/>
      <c r="EM188" s="1832"/>
      <c r="EN188" s="622"/>
      <c r="EO188" s="622"/>
      <c r="EP188" s="622"/>
      <c r="EQ188" s="362"/>
      <c r="ER188" s="3791">
        <f>(CJ188+CO188+CT188+CY188+DD188+DI188+DN188+DS188+DX188+EC188+EH188+EM188)/12</f>
        <v>0</v>
      </c>
      <c r="ES188" s="3792">
        <f>CK188+CP188+CU188+CZ188+DE188+DJ188+DO188+DT188+DY188+ED188+EI188+EN188</f>
        <v>0</v>
      </c>
      <c r="ET188" s="3792">
        <f>CL188+CQ188+CV188+DA188+DF188+DK188+DP188+DU188+DZ188+EE188+EJ188+EO188</f>
        <v>0</v>
      </c>
      <c r="EU188" s="3792">
        <f>CM188+CR188+CW188+DB188+DG188+DL188+DQ188+DV188+EA188+EF188+EK188+EP188</f>
        <v>0</v>
      </c>
      <c r="EV188" s="370" t="e">
        <f>EU188/ET188</f>
        <v>#DIV/0!</v>
      </c>
      <c r="EW188" s="3882"/>
      <c r="EX188" s="3882"/>
      <c r="EY188" s="3882"/>
      <c r="EZ188" s="3883"/>
      <c r="FA188" s="2108"/>
      <c r="FB188" s="3882"/>
      <c r="FC188" s="3882"/>
      <c r="FD188" s="1576"/>
      <c r="FE188" s="3882"/>
      <c r="FF188" s="3882"/>
      <c r="FG188" s="3882"/>
      <c r="FH188" s="3883"/>
      <c r="FI188" s="3884"/>
      <c r="FJ188" s="3885"/>
      <c r="FK188" s="3886"/>
      <c r="FL188" s="3886"/>
      <c r="FM188" s="239"/>
      <c r="FN188" s="3882"/>
      <c r="FO188" s="1873"/>
      <c r="FP188" s="1873"/>
      <c r="FQ188" s="1873"/>
      <c r="FR188" s="3887"/>
      <c r="FS188" s="3888"/>
      <c r="FT188" s="3889"/>
      <c r="FU188" s="3889"/>
      <c r="FV188" s="3889"/>
      <c r="FW188" s="3890"/>
      <c r="FX188" s="2108"/>
      <c r="FY188" s="1873"/>
      <c r="FZ188" s="1873"/>
      <c r="GA188" s="3889"/>
      <c r="GB188" s="3890"/>
      <c r="GC188" s="2108"/>
      <c r="GD188" s="1873"/>
      <c r="GE188" s="1873"/>
      <c r="GF188" s="622"/>
      <c r="GG188" s="362"/>
      <c r="GH188" s="1832"/>
      <c r="GI188" s="622"/>
      <c r="GJ188" s="622"/>
      <c r="GK188" s="3891"/>
      <c r="GL188" s="3890"/>
      <c r="GM188" s="1832"/>
      <c r="GN188" s="622"/>
      <c r="GO188" s="622"/>
      <c r="GP188" s="3891"/>
      <c r="GQ188" s="3890"/>
      <c r="GR188" s="2000"/>
      <c r="GS188" s="622"/>
      <c r="GT188" s="622"/>
      <c r="GU188" s="3891"/>
      <c r="GV188" s="3890"/>
      <c r="GW188" s="2000"/>
      <c r="GX188" s="1317"/>
      <c r="GY188" s="1317"/>
      <c r="GZ188" s="3891"/>
      <c r="HA188" s="3890"/>
      <c r="HB188" s="2000"/>
      <c r="HC188" s="1317"/>
      <c r="HD188" s="1317"/>
      <c r="HE188" s="3891"/>
      <c r="HF188" s="3890"/>
      <c r="HG188" s="2000"/>
      <c r="HH188" s="1317"/>
      <c r="HI188" s="1317"/>
      <c r="HJ188" s="3864"/>
      <c r="HK188" s="3890"/>
      <c r="HL188" s="2000"/>
      <c r="HM188" s="1317"/>
      <c r="HN188" s="1317"/>
      <c r="HO188" s="1317"/>
      <c r="HP188" s="362"/>
      <c r="HQ188" s="3892"/>
      <c r="HR188" s="1317"/>
      <c r="HS188" s="1317"/>
      <c r="HT188" s="1317"/>
      <c r="HU188" s="3893"/>
      <c r="HV188" s="2723">
        <f>(FN188+FS188+FX188+GC188+GH188+GM188+GR188+GW188+HB188+HG188+HL188+HQ188)/12</f>
        <v>0</v>
      </c>
      <c r="HW188" s="395">
        <f>FO188+FT188+FY188+GD188+GI188+GN188+GS188+GX188+HC188+HH188+HM188+HR188</f>
        <v>0</v>
      </c>
      <c r="HX188" s="395">
        <f>FP188+FU188+FZ188+GE188+GJ188+GO188+GT188+GY188+HD188+HI188+HN188+HS188</f>
        <v>0</v>
      </c>
      <c r="HY188" s="395">
        <f>FQ188+FV188+GA188+GF188+GK188+GP188+GU188+GZ188+HE188+HJ188+HO188+HT188</f>
        <v>0</v>
      </c>
      <c r="HZ188" s="2890"/>
      <c r="IA188" s="1834"/>
      <c r="IB188" s="1830"/>
      <c r="IC188" s="1830"/>
      <c r="ID188" s="1831"/>
      <c r="IE188" s="1832"/>
      <c r="IF188" s="1833"/>
      <c r="IG188" s="1834"/>
      <c r="IH188" s="1831"/>
      <c r="II188" s="1829"/>
      <c r="IJ188" s="3894"/>
      <c r="IK188" s="3894"/>
      <c r="IL188" s="239"/>
      <c r="IM188" s="3895"/>
      <c r="IN188" s="3894"/>
      <c r="IO188" s="3894"/>
      <c r="IP188" s="3896"/>
      <c r="IQ188" s="1873"/>
      <c r="IR188" s="3897"/>
      <c r="IS188" s="1317"/>
      <c r="IT188" s="1317"/>
      <c r="IU188" s="3898"/>
      <c r="IV188" s="3899"/>
      <c r="IW188" s="3888"/>
      <c r="IX188" s="3889"/>
      <c r="IY188" s="3889"/>
      <c r="IZ188" s="3864"/>
      <c r="JA188" s="362"/>
      <c r="JB188" s="3900"/>
      <c r="JC188" s="3901"/>
      <c r="JD188" s="3902"/>
      <c r="JE188" s="3889"/>
      <c r="JF188" s="362"/>
      <c r="JG188" s="658"/>
      <c r="JH188" s="622"/>
      <c r="JI188" s="622"/>
      <c r="JJ188" s="622"/>
      <c r="JK188" s="362"/>
      <c r="JL188" s="1832"/>
      <c r="JM188" s="622"/>
      <c r="JN188" s="622"/>
      <c r="JO188" s="3903"/>
      <c r="JP188" s="362"/>
      <c r="JQ188" s="3904"/>
      <c r="JR188" s="3905"/>
      <c r="JS188" s="1317"/>
      <c r="JT188" s="622"/>
      <c r="JU188" s="3890"/>
      <c r="JV188" s="658"/>
      <c r="JW188" s="622"/>
      <c r="JX188" s="1317"/>
      <c r="JY188" s="3903"/>
      <c r="JZ188" s="3890"/>
      <c r="KA188" s="3819"/>
      <c r="KB188" s="1317"/>
      <c r="KC188" s="1317"/>
      <c r="KD188" s="622"/>
      <c r="KE188" s="3890"/>
      <c r="KF188" s="658"/>
      <c r="KG188" s="1317"/>
      <c r="KH188" s="1317"/>
      <c r="KI188" s="622"/>
      <c r="KJ188" s="362"/>
      <c r="KK188" s="3819"/>
      <c r="KL188" s="1317"/>
      <c r="KM188" s="1317"/>
      <c r="KN188" s="3864"/>
      <c r="KO188" s="3890"/>
      <c r="KP188" s="2000"/>
      <c r="KQ188" s="1317"/>
      <c r="KR188" s="3865"/>
      <c r="KS188" s="1317"/>
      <c r="KT188" s="3906"/>
      <c r="KU188" s="3892"/>
      <c r="KV188" s="1317"/>
      <c r="KW188" s="3865"/>
      <c r="KX188" s="1317"/>
      <c r="KY188" s="362"/>
      <c r="KZ188" s="1832"/>
      <c r="LA188" s="622"/>
      <c r="LB188" s="622"/>
      <c r="LC188" s="622"/>
      <c r="LD188" s="1576"/>
      <c r="LE188" s="1834"/>
      <c r="LF188" s="1830"/>
      <c r="LG188" s="1830"/>
      <c r="LH188" s="1831"/>
      <c r="LI188" s="1832"/>
      <c r="LJ188" s="1833"/>
      <c r="LK188" s="1834"/>
      <c r="LL188" s="1831"/>
      <c r="LM188" s="1829"/>
      <c r="LN188" s="3894"/>
      <c r="LO188" s="3894"/>
      <c r="LP188" s="239"/>
      <c r="LQ188" s="3907"/>
      <c r="LR188" s="3894"/>
      <c r="LS188" s="3894"/>
      <c r="LT188" s="3896"/>
      <c r="LU188" s="1873"/>
      <c r="LV188" s="401"/>
      <c r="LW188" s="395"/>
      <c r="LX188" s="395"/>
      <c r="LY188" s="115"/>
      <c r="LZ188" s="186"/>
      <c r="MA188" s="401"/>
      <c r="MB188" s="395"/>
      <c r="MC188" s="395"/>
      <c r="MD188" s="115"/>
      <c r="ME188" s="186"/>
      <c r="MF188" s="401"/>
      <c r="MG188" s="395"/>
      <c r="MH188" s="395"/>
      <c r="MI188" s="372"/>
      <c r="MJ188" s="207"/>
      <c r="MK188" s="2573"/>
      <c r="ML188" s="395"/>
      <c r="MM188" s="395"/>
      <c r="MN188" s="372"/>
      <c r="MO188" s="207"/>
      <c r="MP188" s="3805"/>
      <c r="MQ188" s="1317"/>
      <c r="MR188" s="1317"/>
      <c r="MS188" s="1317"/>
      <c r="MT188" s="801"/>
      <c r="MU188" s="1318"/>
      <c r="MV188" s="395"/>
      <c r="MW188" s="395"/>
      <c r="MX188" s="395"/>
      <c r="MY188" s="801"/>
      <c r="MZ188" s="1318"/>
      <c r="NA188" s="395"/>
      <c r="NB188" s="395"/>
      <c r="NC188" s="395"/>
      <c r="ND188" s="801"/>
      <c r="NE188" s="1318"/>
      <c r="NF188" s="395"/>
      <c r="NG188" s="395"/>
      <c r="NH188" s="395"/>
      <c r="NI188" s="801"/>
      <c r="NJ188" s="1318"/>
      <c r="NK188" s="395"/>
      <c r="NL188" s="395"/>
      <c r="NM188" s="395"/>
      <c r="NN188" s="801"/>
      <c r="NO188" s="2432">
        <v>3</v>
      </c>
      <c r="NP188" s="622">
        <v>72772</v>
      </c>
      <c r="NQ188" s="2437">
        <v>90493</v>
      </c>
      <c r="NR188" s="395">
        <f>NQ188-NP188</f>
        <v>17721</v>
      </c>
      <c r="NS188" s="801">
        <f>NR188/NQ188</f>
        <v>0.19582730155923664</v>
      </c>
      <c r="NT188" s="2432">
        <v>4</v>
      </c>
      <c r="NU188" s="622">
        <v>142482</v>
      </c>
      <c r="NV188" s="622">
        <v>190466</v>
      </c>
      <c r="NW188" s="395">
        <f>NV188-NU188</f>
        <v>47984</v>
      </c>
      <c r="NX188" s="801">
        <f>NW188/NV188</f>
        <v>0.25192947822708517</v>
      </c>
      <c r="NY188" s="2432">
        <v>4</v>
      </c>
      <c r="NZ188" s="622">
        <v>142482</v>
      </c>
      <c r="OA188" s="622">
        <v>189330</v>
      </c>
      <c r="OB188" s="772">
        <f>OA188-NZ188</f>
        <v>46848</v>
      </c>
      <c r="OC188" s="116">
        <f t="shared" si="713"/>
        <v>0.24744097607352242</v>
      </c>
      <c r="OD188" s="2433">
        <v>4</v>
      </c>
      <c r="OE188" s="622">
        <f t="shared" si="714"/>
        <v>357736</v>
      </c>
      <c r="OF188" s="622">
        <f t="shared" si="714"/>
        <v>470289</v>
      </c>
      <c r="OG188" s="622">
        <f t="shared" si="714"/>
        <v>112553</v>
      </c>
      <c r="OH188" s="1576">
        <f t="shared" si="715"/>
        <v>0.23932730725149853</v>
      </c>
      <c r="OI188" s="3908"/>
      <c r="OJ188" s="115"/>
      <c r="OK188" s="115"/>
      <c r="OL188" s="115"/>
      <c r="OM188" s="116"/>
      <c r="ON188" s="622"/>
      <c r="OO188" s="622"/>
      <c r="OP188" s="622"/>
      <c r="OQ188" s="2437"/>
      <c r="OR188" s="421"/>
      <c r="OS188" s="3909">
        <f>(NJ188+NE188+MZ188)/3</f>
        <v>0</v>
      </c>
      <c r="OT188" s="3886"/>
      <c r="OU188" s="3886"/>
      <c r="OV188" s="3910"/>
      <c r="OW188" s="421"/>
      <c r="OX188" s="2432">
        <f t="shared" si="674"/>
        <v>3.6666666666666665</v>
      </c>
      <c r="OY188" s="622">
        <f t="shared" si="675"/>
        <v>357736</v>
      </c>
      <c r="OZ188" s="622">
        <f t="shared" si="675"/>
        <v>470289</v>
      </c>
      <c r="PA188" s="2437">
        <f t="shared" si="675"/>
        <v>112553</v>
      </c>
      <c r="PB188" s="116">
        <f t="shared" si="719"/>
        <v>0.23932730725149853</v>
      </c>
      <c r="PC188" s="3886"/>
      <c r="PD188" s="401"/>
      <c r="PE188" s="395"/>
      <c r="PF188" s="395"/>
      <c r="PG188" s="115">
        <f t="shared" si="737"/>
        <v>0</v>
      </c>
      <c r="PH188" s="186"/>
      <c r="PI188" s="401"/>
      <c r="PJ188" s="395"/>
      <c r="PK188" s="395"/>
      <c r="PL188" s="115"/>
      <c r="PM188" s="186"/>
      <c r="PN188" s="401"/>
      <c r="PO188" s="395"/>
      <c r="PP188" s="395"/>
      <c r="PQ188" s="372">
        <f t="shared" si="738"/>
        <v>0</v>
      </c>
      <c r="PR188" s="207"/>
      <c r="PS188" s="2891"/>
      <c r="PT188" s="2001"/>
      <c r="PU188" s="2001"/>
      <c r="PV188" s="2892">
        <f t="shared" si="676"/>
        <v>0</v>
      </c>
      <c r="PW188" s="370"/>
      <c r="PX188" s="3805"/>
      <c r="PY188" s="1317"/>
      <c r="PZ188" s="1317"/>
      <c r="QA188" s="1317">
        <v>0</v>
      </c>
      <c r="QB188" s="801"/>
      <c r="QC188" s="2002"/>
      <c r="QD188" s="2001"/>
      <c r="QE188" s="2001"/>
      <c r="QF188" s="2001"/>
      <c r="QG188" s="2003"/>
      <c r="QH188" s="2445"/>
      <c r="QI188" s="2001"/>
      <c r="QJ188" s="2001"/>
      <c r="QK188" s="2001"/>
      <c r="QL188" s="801"/>
      <c r="QM188" s="401"/>
      <c r="QN188" s="395"/>
      <c r="QO188" s="395"/>
      <c r="QP188" s="395"/>
      <c r="QQ188" s="801"/>
      <c r="QR188" s="1318"/>
      <c r="QS188" s="395"/>
      <c r="QT188" s="395"/>
      <c r="QU188" s="395"/>
      <c r="QV188" s="370"/>
      <c r="QW188" s="2002"/>
      <c r="QX188" s="2001"/>
      <c r="QY188" s="2001"/>
      <c r="QZ188" s="2001">
        <f t="shared" si="739"/>
        <v>0</v>
      </c>
      <c r="RA188" s="801" t="e">
        <f>QZ188/QY188</f>
        <v>#DIV/0!</v>
      </c>
      <c r="RB188" s="2432"/>
      <c r="RC188" s="622"/>
      <c r="RD188" s="622"/>
      <c r="RE188" s="395">
        <f t="shared" ref="RE188:RE200" si="745">RD188-RC188</f>
        <v>0</v>
      </c>
      <c r="RF188" s="801" t="e">
        <f t="shared" ref="RF188:RF200" si="746">RE188/RD188</f>
        <v>#DIV/0!</v>
      </c>
      <c r="RG188" s="2108"/>
      <c r="RH188" s="1873"/>
      <c r="RI188" s="1873"/>
      <c r="RJ188" s="2012">
        <f>RI188-RH188</f>
        <v>0</v>
      </c>
      <c r="RK188" s="116" t="e">
        <f>RJ188/RI188</f>
        <v>#DIV/0!</v>
      </c>
      <c r="RL188" s="3717"/>
      <c r="RM188" s="1873">
        <f t="shared" si="721"/>
        <v>0</v>
      </c>
      <c r="RN188" s="1873">
        <f t="shared" si="721"/>
        <v>0</v>
      </c>
      <c r="RO188" s="1873">
        <f t="shared" si="721"/>
        <v>0</v>
      </c>
      <c r="RP188" s="1576" t="e">
        <f t="shared" ref="RP188:RP200" si="747">RO188/RN188</f>
        <v>#DIV/0!</v>
      </c>
      <c r="RQ188" s="3908">
        <f t="shared" si="722"/>
        <v>0</v>
      </c>
      <c r="RR188" s="115">
        <f t="shared" si="677"/>
        <v>0</v>
      </c>
      <c r="RS188" s="115">
        <f t="shared" si="677"/>
        <v>0</v>
      </c>
      <c r="RT188" s="115">
        <f t="shared" si="677"/>
        <v>0</v>
      </c>
      <c r="RU188" s="116"/>
      <c r="RV188" s="622"/>
      <c r="RW188" s="622"/>
      <c r="RX188" s="622"/>
      <c r="RY188" s="2437"/>
      <c r="RZ188" s="421"/>
      <c r="SA188" s="3909">
        <f t="shared" ref="SA188:SA208" si="748">(QR188+QM188+QH188)/3</f>
        <v>0</v>
      </c>
      <c r="SB188" s="3886">
        <f t="shared" si="679"/>
        <v>0</v>
      </c>
      <c r="SC188" s="3886">
        <f t="shared" si="679"/>
        <v>0</v>
      </c>
      <c r="SD188" s="3910">
        <f t="shared" si="679"/>
        <v>0</v>
      </c>
      <c r="SE188" s="421" t="e">
        <f t="shared" si="680"/>
        <v>#DIV/0!</v>
      </c>
      <c r="SF188" s="3736"/>
      <c r="SG188" s="622">
        <f t="shared" si="744"/>
        <v>0</v>
      </c>
      <c r="SH188" s="622">
        <f t="shared" si="744"/>
        <v>0</v>
      </c>
      <c r="SI188" s="2437">
        <f t="shared" si="744"/>
        <v>0</v>
      </c>
      <c r="SJ188" s="116" t="e">
        <f>SI188/SH188</f>
        <v>#DIV/0!</v>
      </c>
      <c r="SK188" s="1568"/>
      <c r="SL188" s="2445"/>
      <c r="SM188" s="2001"/>
      <c r="SN188" s="2001"/>
      <c r="SO188" s="3534">
        <f>SN188-SM188</f>
        <v>0</v>
      </c>
      <c r="SP188" s="1498"/>
      <c r="SQ188" s="2445"/>
      <c r="SR188" s="2001"/>
      <c r="SS188" s="2001"/>
      <c r="ST188" s="3534"/>
      <c r="SU188" s="1498"/>
      <c r="SV188" s="401"/>
      <c r="SW188" s="395"/>
      <c r="SX188" s="395"/>
      <c r="SY188" s="372">
        <f t="shared" si="740"/>
        <v>0</v>
      </c>
      <c r="SZ188" s="207"/>
      <c r="TA188" s="2573"/>
      <c r="TB188" s="395"/>
      <c r="TC188" s="395"/>
      <c r="TD188" s="372">
        <f t="shared" ref="TD188:TD200" si="749">TC188-TB188</f>
        <v>0</v>
      </c>
      <c r="TE188" s="207"/>
      <c r="TF188" s="2573"/>
      <c r="TG188" s="395"/>
      <c r="TH188" s="395"/>
      <c r="TI188" s="395">
        <v>0</v>
      </c>
      <c r="TJ188" s="116"/>
      <c r="TK188" s="2002"/>
      <c r="TL188" s="2001"/>
      <c r="TM188" s="2001"/>
      <c r="TN188" s="2012"/>
      <c r="TO188" s="441"/>
      <c r="TP188" s="4464"/>
      <c r="TQ188" s="2001"/>
      <c r="TR188" s="2001"/>
      <c r="TS188" s="2012"/>
      <c r="TT188" s="116"/>
      <c r="TU188" s="4464"/>
      <c r="TV188" s="2001"/>
      <c r="TW188" s="2001"/>
      <c r="TX188" s="2012"/>
      <c r="TY188" s="441"/>
      <c r="TZ188" s="2002"/>
      <c r="UA188" s="2001"/>
      <c r="UB188" s="2001"/>
      <c r="UC188" s="2012"/>
      <c r="UD188" s="441"/>
      <c r="UE188" s="2002"/>
      <c r="UF188" s="1575"/>
      <c r="UG188" s="1575"/>
      <c r="UH188" s="2552">
        <f t="shared" si="698"/>
        <v>0</v>
      </c>
      <c r="UI188" s="222" t="e">
        <f t="shared" si="699"/>
        <v>#DIV/0!</v>
      </c>
      <c r="UJ188" s="2432"/>
      <c r="UK188" s="622"/>
      <c r="UL188" s="622"/>
      <c r="UM188" s="395">
        <f t="shared" ref="UM188:UM200" si="750">UL188-UK188</f>
        <v>0</v>
      </c>
      <c r="UN188" s="725" t="e">
        <f t="shared" ref="UN188:UN194" si="751">UM188/UL188</f>
        <v>#DIV/0!</v>
      </c>
      <c r="UO188" s="2108"/>
      <c r="UP188" s="1873"/>
      <c r="UQ188" s="1873"/>
      <c r="UR188" s="2012">
        <f>UQ188-UP188</f>
        <v>0</v>
      </c>
      <c r="US188" s="2893" t="e">
        <f>UR188/UQ188</f>
        <v>#DIV/0!</v>
      </c>
      <c r="UT188" s="2433"/>
      <c r="UU188" s="358">
        <f t="shared" si="700"/>
        <v>0</v>
      </c>
      <c r="UV188" s="358">
        <f t="shared" si="700"/>
        <v>0</v>
      </c>
      <c r="UW188" s="358">
        <f t="shared" si="700"/>
        <v>0</v>
      </c>
      <c r="UX188" s="220" t="e">
        <f t="shared" si="704"/>
        <v>#DIV/0!</v>
      </c>
      <c r="UY188" s="2435">
        <f t="shared" si="731"/>
        <v>0</v>
      </c>
      <c r="UZ188" s="2436">
        <f t="shared" si="732"/>
        <v>0</v>
      </c>
      <c r="VA188" s="2436">
        <f t="shared" si="732"/>
        <v>0</v>
      </c>
      <c r="VB188" s="2436">
        <f t="shared" si="732"/>
        <v>0</v>
      </c>
      <c r="VC188" s="1439"/>
      <c r="VD188" s="622"/>
      <c r="VE188" s="358">
        <f t="shared" si="701"/>
        <v>0</v>
      </c>
      <c r="VF188" s="358">
        <f t="shared" si="701"/>
        <v>0</v>
      </c>
      <c r="VG188" s="359">
        <f t="shared" si="701"/>
        <v>0</v>
      </c>
      <c r="VH188" s="169" t="e">
        <f t="shared" si="702"/>
        <v>#DIV/0!</v>
      </c>
      <c r="VI188" s="2438">
        <f t="shared" ref="VI188:VI194" si="752">(TZ188+TU188+TP188)/3</f>
        <v>0</v>
      </c>
      <c r="VJ188" s="146">
        <f t="shared" si="703"/>
        <v>0</v>
      </c>
      <c r="VK188" s="146">
        <f t="shared" si="703"/>
        <v>0</v>
      </c>
      <c r="VL188" s="1864">
        <f t="shared" si="703"/>
        <v>0</v>
      </c>
      <c r="VM188" s="460" t="e">
        <f t="shared" si="734"/>
        <v>#DIV/0!</v>
      </c>
      <c r="VN188" s="2433"/>
      <c r="VO188" s="622">
        <f t="shared" si="735"/>
        <v>0</v>
      </c>
      <c r="VP188" s="622">
        <f t="shared" si="735"/>
        <v>0</v>
      </c>
      <c r="VQ188" s="2437">
        <f t="shared" si="735"/>
        <v>0</v>
      </c>
      <c r="VR188" s="116" t="e">
        <f>VQ188/VP188</f>
        <v>#DIV/0!</v>
      </c>
      <c r="VS188" s="1193"/>
      <c r="VT188" s="1193"/>
      <c r="VU188" s="1193"/>
      <c r="VV188" s="1193"/>
      <c r="VW188" s="1193"/>
      <c r="VX188" s="1193"/>
      <c r="VY188" s="1193"/>
      <c r="VZ188" s="1193"/>
      <c r="WA188" s="1193"/>
      <c r="WB188" s="1193"/>
      <c r="WC188" s="1193"/>
      <c r="WD188" s="1193"/>
      <c r="WE188" s="1193"/>
      <c r="WF188" s="1193"/>
      <c r="WG188" s="1193"/>
      <c r="WH188" s="1193"/>
      <c r="WI188" s="1193"/>
      <c r="WJ188" s="1193"/>
      <c r="WK188" s="1193"/>
      <c r="WL188" s="1193"/>
      <c r="WM188" s="1193"/>
      <c r="WN188" s="1193"/>
      <c r="WO188" s="1193"/>
      <c r="WP188" s="1193"/>
      <c r="WQ188" s="1193"/>
      <c r="WR188" s="1193"/>
      <c r="WS188" s="1193"/>
      <c r="WT188" s="1193"/>
      <c r="WU188" s="1193"/>
      <c r="WV188" s="1193"/>
      <c r="WW188" s="1193"/>
      <c r="WX188" s="1193"/>
      <c r="WY188" s="1193"/>
      <c r="WZ188" s="1193"/>
      <c r="XA188" s="1193"/>
      <c r="XB188" s="1193"/>
      <c r="XC188" s="1193"/>
      <c r="XD188" s="1193"/>
      <c r="XE188" s="1193"/>
      <c r="XF188" s="1193"/>
      <c r="XG188" s="1193"/>
      <c r="XH188" s="1193"/>
      <c r="XI188" s="1193"/>
      <c r="XJ188" s="1193"/>
      <c r="XK188" s="1193"/>
      <c r="XL188" s="1193"/>
      <c r="XM188" s="1193"/>
      <c r="XN188" s="1193"/>
      <c r="XO188" s="1193"/>
      <c r="XP188" s="1193"/>
      <c r="XQ188" s="1193"/>
      <c r="XR188" s="1193"/>
      <c r="XS188" s="1193"/>
      <c r="XT188" s="1193"/>
      <c r="XU188" s="1193"/>
      <c r="XV188" s="1193"/>
      <c r="XW188" s="1193"/>
      <c r="XX188" s="1193"/>
      <c r="XY188" s="1193"/>
      <c r="XZ188" s="1193"/>
      <c r="YA188" s="1193"/>
      <c r="YB188" s="1193"/>
      <c r="YC188" s="1193"/>
      <c r="YD188" s="1193"/>
      <c r="YE188" s="1193"/>
      <c r="YF188" s="1193"/>
      <c r="YG188" s="1193"/>
      <c r="YH188" s="1193"/>
      <c r="YI188" s="1193"/>
      <c r="YJ188" s="1193"/>
      <c r="YK188" s="1193"/>
      <c r="YL188" s="1193"/>
      <c r="YM188" s="1193"/>
      <c r="YN188" s="1193"/>
      <c r="YO188" s="1193"/>
      <c r="YP188" s="1193"/>
      <c r="YQ188" s="1193"/>
      <c r="YR188" s="1193"/>
      <c r="YS188" s="1193"/>
      <c r="YT188" s="1193"/>
      <c r="YU188" s="1193"/>
      <c r="YV188" s="1193"/>
      <c r="YW188" s="1193"/>
      <c r="YX188" s="1193"/>
      <c r="YY188" s="1193"/>
      <c r="YZ188" s="1193"/>
      <c r="ZA188" s="1193"/>
      <c r="ZB188" s="1193"/>
      <c r="ZC188" s="1193"/>
      <c r="ZD188" s="1193"/>
      <c r="ZE188" s="1193"/>
      <c r="ZF188" s="1193"/>
      <c r="ZG188" s="1193"/>
      <c r="ZH188" s="1193"/>
      <c r="ZI188" s="1193"/>
      <c r="ZJ188" s="1193"/>
      <c r="ZK188" s="1193"/>
      <c r="ZL188" s="1193"/>
      <c r="ZM188" s="1193"/>
      <c r="ZN188" s="1193"/>
      <c r="ZO188" s="1193"/>
      <c r="ZP188" s="1193"/>
      <c r="ZQ188" s="1193"/>
      <c r="ZR188" s="1193"/>
      <c r="ZS188" s="1193"/>
      <c r="ZT188" s="1193"/>
      <c r="ZU188" s="1193"/>
      <c r="ZV188" s="1193"/>
      <c r="ZW188" s="1193"/>
      <c r="ZX188" s="1193"/>
      <c r="ZY188" s="1193"/>
      <c r="ZZ188" s="1193"/>
      <c r="AAA188" s="1193"/>
      <c r="AAB188" s="1193"/>
      <c r="AAC188" s="1193"/>
      <c r="AAD188" s="1193"/>
      <c r="AAE188" s="1193"/>
      <c r="AAF188" s="1193"/>
      <c r="AAG188" s="1193"/>
      <c r="AAH188" s="1193"/>
      <c r="AAI188" s="1193"/>
      <c r="AAJ188" s="1193"/>
      <c r="AAK188" s="1193"/>
      <c r="AAL188" s="1193"/>
      <c r="AAM188" s="1193"/>
      <c r="AAN188" s="1193"/>
      <c r="AAO188" s="1193"/>
      <c r="AAP188" s="1193"/>
      <c r="AAQ188" s="1193"/>
      <c r="AAR188" s="1193"/>
      <c r="AAS188" s="1193"/>
      <c r="AAT188" s="1193"/>
      <c r="AAU188" s="1193"/>
      <c r="AAV188" s="1193"/>
      <c r="AAW188" s="1193"/>
      <c r="AAX188" s="1193"/>
      <c r="AAY188" s="1193"/>
      <c r="AAZ188" s="1193"/>
      <c r="ABA188" s="1193"/>
      <c r="ABB188" s="1193"/>
      <c r="ABC188" s="1193"/>
      <c r="ABD188" s="1193"/>
      <c r="ABE188" s="1193"/>
      <c r="ABF188" s="1193"/>
      <c r="ABG188" s="1193"/>
      <c r="ABH188" s="1193"/>
      <c r="ABI188" s="1193"/>
      <c r="ABJ188" s="1193"/>
      <c r="ABK188" s="1193"/>
      <c r="ABL188" s="1193"/>
      <c r="ABM188" s="1193"/>
      <c r="ABN188" s="1193"/>
      <c r="ABO188" s="1193"/>
      <c r="ABP188" s="1193"/>
      <c r="ABQ188" s="1193"/>
    </row>
    <row r="189" spans="1:745" s="2425" customFormat="1" ht="13.45" hidden="1" x14ac:dyDescent="0.3">
      <c r="A189" s="2399"/>
      <c r="B189" s="583" t="s">
        <v>109</v>
      </c>
      <c r="C189" s="2104" t="s">
        <v>110</v>
      </c>
      <c r="D189" s="3869" t="s">
        <v>853</v>
      </c>
      <c r="E189" s="2086"/>
      <c r="F189" s="2086"/>
      <c r="G189" s="1994"/>
      <c r="H189" s="3870"/>
      <c r="I189" s="3871"/>
      <c r="J189" s="3871"/>
      <c r="K189" s="3871"/>
      <c r="L189" s="3872"/>
      <c r="M189" s="3870"/>
      <c r="N189" s="3871"/>
      <c r="O189" s="3871"/>
      <c r="P189" s="3871"/>
      <c r="Q189" s="3872"/>
      <c r="R189" s="3870"/>
      <c r="S189" s="3871"/>
      <c r="T189" s="3871"/>
      <c r="U189" s="3871"/>
      <c r="V189" s="3872"/>
      <c r="W189" s="3870"/>
      <c r="X189" s="3871"/>
      <c r="Y189" s="3871"/>
      <c r="Z189" s="3871"/>
      <c r="AA189" s="3873"/>
      <c r="AB189" s="3870"/>
      <c r="AC189" s="3871"/>
      <c r="AD189" s="3871"/>
      <c r="AE189" s="3871"/>
      <c r="AF189" s="3873"/>
      <c r="AG189" s="3871"/>
      <c r="AH189" s="3871"/>
      <c r="AI189" s="3871"/>
      <c r="AJ189" s="3871"/>
      <c r="AK189" s="3872"/>
      <c r="AL189" s="3871"/>
      <c r="AM189" s="3871"/>
      <c r="AN189" s="3871"/>
      <c r="AO189" s="3871"/>
      <c r="AP189" s="3872"/>
      <c r="AQ189" s="3871"/>
      <c r="AR189" s="3871"/>
      <c r="AS189" s="3871"/>
      <c r="AT189" s="3871"/>
      <c r="AU189" s="3872"/>
      <c r="AV189" s="3874"/>
      <c r="AW189" s="3871"/>
      <c r="AX189" s="3871"/>
      <c r="AY189" s="3871"/>
      <c r="AZ189" s="3873"/>
      <c r="BA189" s="3874"/>
      <c r="BB189" s="3871"/>
      <c r="BC189" s="3871"/>
      <c r="BD189" s="3871"/>
      <c r="BE189" s="3873"/>
      <c r="BF189" s="3874"/>
      <c r="BG189" s="3871"/>
      <c r="BH189" s="3871"/>
      <c r="BI189" s="3871"/>
      <c r="BJ189" s="3873"/>
      <c r="BK189" s="3874"/>
      <c r="BL189" s="3871"/>
      <c r="BM189" s="3871"/>
      <c r="BN189" s="3871"/>
      <c r="BO189" s="3873"/>
      <c r="BP189" s="3875"/>
      <c r="BQ189" s="3871"/>
      <c r="BR189" s="3871"/>
      <c r="BS189" s="3871"/>
      <c r="BT189" s="3876"/>
      <c r="BU189" s="3871"/>
      <c r="BV189" s="3871"/>
      <c r="BW189" s="3877"/>
      <c r="BX189" s="3876"/>
      <c r="BY189" s="3871"/>
      <c r="BZ189" s="3871"/>
      <c r="CA189" s="3878"/>
      <c r="CB189" s="3871"/>
      <c r="CC189" s="3871"/>
      <c r="CD189" s="3871"/>
      <c r="CE189" s="3871"/>
      <c r="CF189" s="3876"/>
      <c r="CG189" s="3871"/>
      <c r="CH189" s="3871"/>
      <c r="CI189" s="3878"/>
      <c r="CJ189" s="3879"/>
      <c r="CK189" s="3871"/>
      <c r="CL189" s="3871"/>
      <c r="CM189" s="3871"/>
      <c r="CN189" s="3877"/>
      <c r="CO189" s="3879"/>
      <c r="CP189" s="3870"/>
      <c r="CQ189" s="3870"/>
      <c r="CR189" s="3870"/>
      <c r="CS189" s="3877"/>
      <c r="CT189" s="3879"/>
      <c r="CU189" s="3871"/>
      <c r="CV189" s="3871"/>
      <c r="CW189" s="3871"/>
      <c r="CX189" s="3877"/>
      <c r="CY189" s="3879"/>
      <c r="CZ189" s="3871"/>
      <c r="DA189" s="3871"/>
      <c r="DB189" s="3871"/>
      <c r="DC189" s="3877"/>
      <c r="DD189" s="3879"/>
      <c r="DE189" s="3871"/>
      <c r="DF189" s="3871"/>
      <c r="DG189" s="3871"/>
      <c r="DH189" s="3880"/>
      <c r="DI189" s="3879"/>
      <c r="DJ189" s="3871"/>
      <c r="DK189" s="3871"/>
      <c r="DL189" s="3871"/>
      <c r="DM189" s="3880"/>
      <c r="DN189" s="3879"/>
      <c r="DO189" s="3871"/>
      <c r="DP189" s="3871"/>
      <c r="DQ189" s="3871"/>
      <c r="DR189" s="3880"/>
      <c r="DS189" s="3879"/>
      <c r="DT189" s="3871"/>
      <c r="DU189" s="3871"/>
      <c r="DV189" s="3871"/>
      <c r="DW189" s="3880"/>
      <c r="DX189" s="3879"/>
      <c r="DY189" s="3871"/>
      <c r="DZ189" s="3871"/>
      <c r="EA189" s="3871"/>
      <c r="EB189" s="3880"/>
      <c r="EC189" s="3879"/>
      <c r="ED189" s="3871"/>
      <c r="EE189" s="3871"/>
      <c r="EF189" s="3871"/>
      <c r="EG189" s="3880"/>
      <c r="EH189" s="2108"/>
      <c r="EI189" s="1873"/>
      <c r="EJ189" s="1873"/>
      <c r="EK189" s="1873"/>
      <c r="EL189" s="3881"/>
      <c r="EM189" s="1832"/>
      <c r="EN189" s="622"/>
      <c r="EO189" s="622"/>
      <c r="EP189" s="622"/>
      <c r="EQ189" s="362"/>
      <c r="ER189" s="3791"/>
      <c r="ES189" s="3792"/>
      <c r="ET189" s="3792"/>
      <c r="EU189" s="3792"/>
      <c r="EV189" s="370"/>
      <c r="EW189" s="3882"/>
      <c r="EX189" s="3882"/>
      <c r="EY189" s="3882"/>
      <c r="EZ189" s="3883"/>
      <c r="FA189" s="2108"/>
      <c r="FB189" s="3882"/>
      <c r="FC189" s="3882"/>
      <c r="FD189" s="1576"/>
      <c r="FE189" s="3882"/>
      <c r="FF189" s="3882"/>
      <c r="FG189" s="3882"/>
      <c r="FH189" s="3883"/>
      <c r="FI189" s="3884"/>
      <c r="FJ189" s="3885"/>
      <c r="FK189" s="3886"/>
      <c r="FL189" s="3886"/>
      <c r="FM189" s="239"/>
      <c r="FN189" s="3882"/>
      <c r="FO189" s="1873"/>
      <c r="FP189" s="1873"/>
      <c r="FQ189" s="1873"/>
      <c r="FR189" s="3887"/>
      <c r="FS189" s="1832"/>
      <c r="FT189" s="622"/>
      <c r="FU189" s="622"/>
      <c r="FV189" s="622"/>
      <c r="FW189" s="362"/>
      <c r="FX189" s="2108"/>
      <c r="FY189" s="1873"/>
      <c r="FZ189" s="1873"/>
      <c r="GA189" s="622"/>
      <c r="GB189" s="362"/>
      <c r="GC189" s="2108"/>
      <c r="GD189" s="1873"/>
      <c r="GE189" s="1873"/>
      <c r="GF189" s="622"/>
      <c r="GG189" s="362"/>
      <c r="GH189" s="1832"/>
      <c r="GI189" s="622"/>
      <c r="GJ189" s="622"/>
      <c r="GK189" s="622"/>
      <c r="GL189" s="362"/>
      <c r="GM189" s="1832"/>
      <c r="GN189" s="622"/>
      <c r="GO189" s="622"/>
      <c r="GP189" s="622"/>
      <c r="GQ189" s="362"/>
      <c r="GR189" s="1832"/>
      <c r="GS189" s="622"/>
      <c r="GT189" s="622"/>
      <c r="GU189" s="622"/>
      <c r="GV189" s="362"/>
      <c r="GW189" s="1832"/>
      <c r="GX189" s="622"/>
      <c r="GY189" s="622"/>
      <c r="GZ189" s="622"/>
      <c r="HA189" s="362"/>
      <c r="HB189" s="1832"/>
      <c r="HC189" s="622"/>
      <c r="HD189" s="622"/>
      <c r="HE189" s="622"/>
      <c r="HF189" s="362"/>
      <c r="HG189" s="1832"/>
      <c r="HH189" s="622"/>
      <c r="HI189" s="622"/>
      <c r="HJ189" s="3864"/>
      <c r="HK189" s="362"/>
      <c r="HL189" s="1832"/>
      <c r="HM189" s="622"/>
      <c r="HN189" s="622"/>
      <c r="HO189" s="622"/>
      <c r="HP189" s="362"/>
      <c r="HQ189" s="3892"/>
      <c r="HR189" s="1317"/>
      <c r="HS189" s="1317"/>
      <c r="HT189" s="1317"/>
      <c r="HU189" s="3893"/>
      <c r="HV189" s="2723"/>
      <c r="HW189" s="395"/>
      <c r="HX189" s="395"/>
      <c r="HY189" s="395"/>
      <c r="HZ189" s="2890"/>
      <c r="IA189" s="1834"/>
      <c r="IB189" s="1830"/>
      <c r="IC189" s="1830"/>
      <c r="ID189" s="1831"/>
      <c r="IE189" s="1832"/>
      <c r="IF189" s="1833"/>
      <c r="IG189" s="1834"/>
      <c r="IH189" s="1831"/>
      <c r="II189" s="1829"/>
      <c r="IJ189" s="3894"/>
      <c r="IK189" s="3894"/>
      <c r="IL189" s="239"/>
      <c r="IM189" s="3895"/>
      <c r="IN189" s="3894"/>
      <c r="IO189" s="3894"/>
      <c r="IP189" s="3896"/>
      <c r="IQ189" s="1873"/>
      <c r="IR189" s="3897"/>
      <c r="IS189" s="1317"/>
      <c r="IT189" s="1317"/>
      <c r="IU189" s="3898"/>
      <c r="IV189" s="3906"/>
      <c r="IW189" s="3888"/>
      <c r="IX189" s="3889"/>
      <c r="IY189" s="3889"/>
      <c r="IZ189" s="3864"/>
      <c r="JA189" s="362"/>
      <c r="JB189" s="3900"/>
      <c r="JC189" s="3901"/>
      <c r="JD189" s="3902"/>
      <c r="JE189" s="622"/>
      <c r="JF189" s="362"/>
      <c r="JG189" s="658"/>
      <c r="JH189" s="622"/>
      <c r="JI189" s="622"/>
      <c r="JJ189" s="622"/>
      <c r="JK189" s="362"/>
      <c r="JL189" s="1832"/>
      <c r="JM189" s="622"/>
      <c r="JN189" s="622"/>
      <c r="JO189" s="3903"/>
      <c r="JP189" s="362"/>
      <c r="JQ189" s="3904"/>
      <c r="JR189" s="3905"/>
      <c r="JS189" s="1317"/>
      <c r="JT189" s="622"/>
      <c r="JU189" s="362"/>
      <c r="JV189" s="658"/>
      <c r="JW189" s="622"/>
      <c r="JX189" s="1317"/>
      <c r="JY189" s="3903"/>
      <c r="JZ189" s="3890"/>
      <c r="KA189" s="3900"/>
      <c r="KB189" s="3666"/>
      <c r="KC189" s="3905"/>
      <c r="KD189" s="622"/>
      <c r="KE189" s="362"/>
      <c r="KF189" s="658"/>
      <c r="KG189" s="3905"/>
      <c r="KH189" s="622"/>
      <c r="KI189" s="622"/>
      <c r="KJ189" s="362"/>
      <c r="KK189" s="3819"/>
      <c r="KL189" s="1317"/>
      <c r="KM189" s="1317"/>
      <c r="KN189" s="3864"/>
      <c r="KO189" s="3890"/>
      <c r="KP189" s="2000"/>
      <c r="KQ189" s="1317"/>
      <c r="KR189" s="3865"/>
      <c r="KS189" s="1317"/>
      <c r="KT189" s="3906"/>
      <c r="KU189" s="3892"/>
      <c r="KV189" s="1317"/>
      <c r="KW189" s="3865"/>
      <c r="KX189" s="1317"/>
      <c r="KY189" s="362"/>
      <c r="KZ189" s="1832"/>
      <c r="LA189" s="622"/>
      <c r="LB189" s="622"/>
      <c r="LC189" s="622"/>
      <c r="LD189" s="1576"/>
      <c r="LE189" s="1834"/>
      <c r="LF189" s="1830"/>
      <c r="LG189" s="1830"/>
      <c r="LH189" s="1831"/>
      <c r="LI189" s="1832"/>
      <c r="LJ189" s="1833"/>
      <c r="LK189" s="1834"/>
      <c r="LL189" s="1831"/>
      <c r="LM189" s="1829"/>
      <c r="LN189" s="3894"/>
      <c r="LO189" s="3894"/>
      <c r="LP189" s="239"/>
      <c r="LQ189" s="3907"/>
      <c r="LR189" s="3894"/>
      <c r="LS189" s="3894"/>
      <c r="LT189" s="3896"/>
      <c r="LU189" s="1873"/>
      <c r="LV189" s="401"/>
      <c r="LW189" s="395"/>
      <c r="LX189" s="395"/>
      <c r="LY189" s="115"/>
      <c r="LZ189" s="186"/>
      <c r="MA189" s="401"/>
      <c r="MB189" s="395"/>
      <c r="MC189" s="395"/>
      <c r="MD189" s="115"/>
      <c r="ME189" s="186"/>
      <c r="MF189" s="401"/>
      <c r="MG189" s="395"/>
      <c r="MH189" s="395"/>
      <c r="MI189" s="372"/>
      <c r="MJ189" s="207"/>
      <c r="MK189" s="2573"/>
      <c r="ML189" s="395"/>
      <c r="MM189" s="395"/>
      <c r="MN189" s="372"/>
      <c r="MO189" s="207"/>
      <c r="MP189" s="3805"/>
      <c r="MQ189" s="1317"/>
      <c r="MR189" s="1317"/>
      <c r="MS189" s="1317"/>
      <c r="MT189" s="801"/>
      <c r="MU189" s="1318"/>
      <c r="MV189" s="395"/>
      <c r="MW189" s="395"/>
      <c r="MX189" s="395"/>
      <c r="MY189" s="801"/>
      <c r="MZ189" s="1318"/>
      <c r="NA189" s="395"/>
      <c r="NB189" s="395"/>
      <c r="NC189" s="395"/>
      <c r="ND189" s="801"/>
      <c r="NE189" s="1318"/>
      <c r="NF189" s="395"/>
      <c r="NG189" s="395"/>
      <c r="NH189" s="395"/>
      <c r="NI189" s="801"/>
      <c r="NJ189" s="1318"/>
      <c r="NK189" s="395"/>
      <c r="NL189" s="395"/>
      <c r="NM189" s="395"/>
      <c r="NN189" s="801"/>
      <c r="NO189" s="2432"/>
      <c r="NP189" s="622"/>
      <c r="NQ189" s="2437">
        <v>0</v>
      </c>
      <c r="NR189" s="395">
        <v>0</v>
      </c>
      <c r="NS189" s="801"/>
      <c r="NT189" s="2432">
        <v>1</v>
      </c>
      <c r="NU189" s="622">
        <v>18930</v>
      </c>
      <c r="NV189" s="622">
        <v>20910</v>
      </c>
      <c r="NW189" s="395">
        <f>NV189-NU189</f>
        <v>1980</v>
      </c>
      <c r="NX189" s="801">
        <f>NW189/NV189</f>
        <v>9.4691535150645628E-2</v>
      </c>
      <c r="NY189" s="2432">
        <v>1</v>
      </c>
      <c r="NZ189" s="622">
        <v>20001</v>
      </c>
      <c r="OA189" s="622">
        <v>26136</v>
      </c>
      <c r="OB189" s="772">
        <f>OA189-NZ189</f>
        <v>6135</v>
      </c>
      <c r="OC189" s="116">
        <f t="shared" si="713"/>
        <v>0.23473370064279156</v>
      </c>
      <c r="OD189" s="2433">
        <v>1</v>
      </c>
      <c r="OE189" s="622">
        <f t="shared" si="714"/>
        <v>38931</v>
      </c>
      <c r="OF189" s="622">
        <f t="shared" si="714"/>
        <v>47046</v>
      </c>
      <c r="OG189" s="622">
        <f t="shared" si="714"/>
        <v>8115</v>
      </c>
      <c r="OH189" s="1576">
        <f t="shared" si="715"/>
        <v>0.17249075373039152</v>
      </c>
      <c r="OI189" s="3908"/>
      <c r="OJ189" s="115"/>
      <c r="OK189" s="115"/>
      <c r="OL189" s="115"/>
      <c r="OM189" s="116"/>
      <c r="ON189" s="622"/>
      <c r="OO189" s="622"/>
      <c r="OP189" s="622"/>
      <c r="OQ189" s="2437"/>
      <c r="OR189" s="421"/>
      <c r="OS189" s="3909">
        <f>(NJ189+NE189+MZ189)/3</f>
        <v>0</v>
      </c>
      <c r="OT189" s="3886"/>
      <c r="OU189" s="3886"/>
      <c r="OV189" s="3910"/>
      <c r="OW189" s="421"/>
      <c r="OX189" s="2432">
        <f t="shared" si="674"/>
        <v>0.66666666666666663</v>
      </c>
      <c r="OY189" s="622">
        <f t="shared" si="675"/>
        <v>38931</v>
      </c>
      <c r="OZ189" s="622">
        <f t="shared" si="675"/>
        <v>47046</v>
      </c>
      <c r="PA189" s="2437">
        <f t="shared" si="675"/>
        <v>8115</v>
      </c>
      <c r="PB189" s="116">
        <f t="shared" si="719"/>
        <v>0.17249075373039152</v>
      </c>
      <c r="PC189" s="3886"/>
      <c r="PD189" s="401"/>
      <c r="PE189" s="395"/>
      <c r="PF189" s="395"/>
      <c r="PG189" s="115">
        <f t="shared" si="737"/>
        <v>0</v>
      </c>
      <c r="PH189" s="186"/>
      <c r="PI189" s="401"/>
      <c r="PJ189" s="395"/>
      <c r="PK189" s="395"/>
      <c r="PL189" s="115"/>
      <c r="PM189" s="186"/>
      <c r="PN189" s="401"/>
      <c r="PO189" s="395"/>
      <c r="PP189" s="395"/>
      <c r="PQ189" s="372">
        <f t="shared" si="738"/>
        <v>0</v>
      </c>
      <c r="PR189" s="2894"/>
      <c r="PS189" s="2891"/>
      <c r="PT189" s="2001"/>
      <c r="PU189" s="2001"/>
      <c r="PV189" s="2892">
        <f t="shared" si="676"/>
        <v>0</v>
      </c>
      <c r="PW189" s="370"/>
      <c r="PX189" s="3805"/>
      <c r="PY189" s="1317"/>
      <c r="PZ189" s="1317"/>
      <c r="QA189" s="1317">
        <v>0</v>
      </c>
      <c r="QB189" s="801"/>
      <c r="QC189" s="2002"/>
      <c r="QD189" s="2001"/>
      <c r="QE189" s="2001"/>
      <c r="QF189" s="2001"/>
      <c r="QG189" s="2003"/>
      <c r="QH189" s="2445"/>
      <c r="QI189" s="2001"/>
      <c r="QJ189" s="2001"/>
      <c r="QK189" s="2001"/>
      <c r="QL189" s="801"/>
      <c r="QM189" s="401"/>
      <c r="QN189" s="395"/>
      <c r="QO189" s="395"/>
      <c r="QP189" s="395"/>
      <c r="QQ189" s="801"/>
      <c r="QR189" s="1318"/>
      <c r="QS189" s="395"/>
      <c r="QT189" s="395"/>
      <c r="QU189" s="395"/>
      <c r="QV189" s="370"/>
      <c r="QW189" s="2002"/>
      <c r="QX189" s="2001"/>
      <c r="QY189" s="2001"/>
      <c r="QZ189" s="2001">
        <v>0</v>
      </c>
      <c r="RA189" s="801"/>
      <c r="RB189" s="2432"/>
      <c r="RC189" s="622"/>
      <c r="RD189" s="622"/>
      <c r="RE189" s="395">
        <f t="shared" si="745"/>
        <v>0</v>
      </c>
      <c r="RF189" s="801" t="e">
        <f t="shared" si="746"/>
        <v>#DIV/0!</v>
      </c>
      <c r="RG189" s="2108"/>
      <c r="RH189" s="1873"/>
      <c r="RI189" s="1873"/>
      <c r="RJ189" s="2012">
        <f>RI189-RH189</f>
        <v>0</v>
      </c>
      <c r="RK189" s="116" t="e">
        <f>RJ189/RI189</f>
        <v>#DIV/0!</v>
      </c>
      <c r="RL189" s="3717"/>
      <c r="RM189" s="1873">
        <f t="shared" si="721"/>
        <v>0</v>
      </c>
      <c r="RN189" s="1873">
        <f t="shared" si="721"/>
        <v>0</v>
      </c>
      <c r="RO189" s="1873">
        <f t="shared" si="721"/>
        <v>0</v>
      </c>
      <c r="RP189" s="1576" t="e">
        <f t="shared" si="747"/>
        <v>#DIV/0!</v>
      </c>
      <c r="RQ189" s="3908">
        <f t="shared" si="722"/>
        <v>0</v>
      </c>
      <c r="RR189" s="115">
        <f t="shared" si="677"/>
        <v>0</v>
      </c>
      <c r="RS189" s="115">
        <f t="shared" si="677"/>
        <v>0</v>
      </c>
      <c r="RT189" s="115">
        <f t="shared" si="677"/>
        <v>0</v>
      </c>
      <c r="RU189" s="116"/>
      <c r="RV189" s="622"/>
      <c r="RW189" s="622"/>
      <c r="RX189" s="622"/>
      <c r="RY189" s="2437"/>
      <c r="RZ189" s="421"/>
      <c r="SA189" s="3909">
        <f t="shared" si="748"/>
        <v>0</v>
      </c>
      <c r="SB189" s="3886">
        <f t="shared" si="679"/>
        <v>0</v>
      </c>
      <c r="SC189" s="3886">
        <f t="shared" si="679"/>
        <v>0</v>
      </c>
      <c r="SD189" s="3910">
        <f t="shared" si="679"/>
        <v>0</v>
      </c>
      <c r="SE189" s="421" t="e">
        <f t="shared" si="680"/>
        <v>#DIV/0!</v>
      </c>
      <c r="SF189" s="3736"/>
      <c r="SG189" s="622">
        <f t="shared" si="744"/>
        <v>0</v>
      </c>
      <c r="SH189" s="622">
        <f t="shared" si="744"/>
        <v>0</v>
      </c>
      <c r="SI189" s="2437">
        <f t="shared" si="744"/>
        <v>0</v>
      </c>
      <c r="SJ189" s="116" t="e">
        <f>SI189/SH189</f>
        <v>#DIV/0!</v>
      </c>
      <c r="SK189" s="1568"/>
      <c r="SL189" s="2445"/>
      <c r="SM189" s="2001"/>
      <c r="SN189" s="2001"/>
      <c r="SO189" s="3534">
        <f>SN189-SM189</f>
        <v>0</v>
      </c>
      <c r="SP189" s="1498"/>
      <c r="SQ189" s="2445"/>
      <c r="SR189" s="2001"/>
      <c r="SS189" s="2001"/>
      <c r="ST189" s="3534"/>
      <c r="SU189" s="1498"/>
      <c r="SV189" s="401"/>
      <c r="SW189" s="395"/>
      <c r="SX189" s="395"/>
      <c r="SY189" s="372">
        <f t="shared" si="740"/>
        <v>0</v>
      </c>
      <c r="SZ189" s="2894"/>
      <c r="TA189" s="2573"/>
      <c r="TB189" s="395"/>
      <c r="TC189" s="395"/>
      <c r="TD189" s="372">
        <f t="shared" si="749"/>
        <v>0</v>
      </c>
      <c r="TE189" s="207"/>
      <c r="TF189" s="2573"/>
      <c r="TG189" s="395"/>
      <c r="TH189" s="395"/>
      <c r="TI189" s="395">
        <v>0</v>
      </c>
      <c r="TJ189" s="116"/>
      <c r="TK189" s="2002"/>
      <c r="TL189" s="2001"/>
      <c r="TM189" s="2001"/>
      <c r="TN189" s="2012"/>
      <c r="TO189" s="441"/>
      <c r="TP189" s="4464"/>
      <c r="TQ189" s="2001"/>
      <c r="TR189" s="2001"/>
      <c r="TS189" s="2012"/>
      <c r="TT189" s="116"/>
      <c r="TU189" s="4464"/>
      <c r="TV189" s="2001"/>
      <c r="TW189" s="2001"/>
      <c r="TX189" s="2012"/>
      <c r="TY189" s="441"/>
      <c r="TZ189" s="2002"/>
      <c r="UA189" s="2001"/>
      <c r="UB189" s="2001"/>
      <c r="UC189" s="2012"/>
      <c r="UD189" s="441"/>
      <c r="UE189" s="2002"/>
      <c r="UF189" s="1575"/>
      <c r="UG189" s="1575"/>
      <c r="UH189" s="2552">
        <f t="shared" si="698"/>
        <v>0</v>
      </c>
      <c r="UI189" s="222" t="e">
        <f t="shared" si="699"/>
        <v>#DIV/0!</v>
      </c>
      <c r="UJ189" s="2432"/>
      <c r="UK189" s="622"/>
      <c r="UL189" s="622"/>
      <c r="UM189" s="395">
        <f t="shared" si="750"/>
        <v>0</v>
      </c>
      <c r="UN189" s="725" t="e">
        <f t="shared" si="751"/>
        <v>#DIV/0!</v>
      </c>
      <c r="UO189" s="2108"/>
      <c r="UP189" s="1873"/>
      <c r="UQ189" s="1873"/>
      <c r="UR189" s="2012">
        <f>UQ189-UP189</f>
        <v>0</v>
      </c>
      <c r="US189" s="659" t="e">
        <f>UR189/UQ189</f>
        <v>#DIV/0!</v>
      </c>
      <c r="UT189" s="2433"/>
      <c r="UU189" s="358">
        <f t="shared" si="700"/>
        <v>0</v>
      </c>
      <c r="UV189" s="358">
        <f t="shared" si="700"/>
        <v>0</v>
      </c>
      <c r="UW189" s="358">
        <f t="shared" si="700"/>
        <v>0</v>
      </c>
      <c r="UX189" s="220" t="e">
        <f t="shared" si="704"/>
        <v>#DIV/0!</v>
      </c>
      <c r="UY189" s="2435">
        <f t="shared" si="731"/>
        <v>0</v>
      </c>
      <c r="UZ189" s="2436">
        <f t="shared" si="732"/>
        <v>0</v>
      </c>
      <c r="VA189" s="2436">
        <f t="shared" si="732"/>
        <v>0</v>
      </c>
      <c r="VB189" s="2436">
        <f t="shared" si="732"/>
        <v>0</v>
      </c>
      <c r="VC189" s="1439"/>
      <c r="VD189" s="622"/>
      <c r="VE189" s="358">
        <f t="shared" si="701"/>
        <v>0</v>
      </c>
      <c r="VF189" s="358">
        <f t="shared" si="701"/>
        <v>0</v>
      </c>
      <c r="VG189" s="359">
        <f t="shared" si="701"/>
        <v>0</v>
      </c>
      <c r="VH189" s="169" t="e">
        <f t="shared" si="702"/>
        <v>#DIV/0!</v>
      </c>
      <c r="VI189" s="2438">
        <f t="shared" si="752"/>
        <v>0</v>
      </c>
      <c r="VJ189" s="146">
        <f t="shared" si="703"/>
        <v>0</v>
      </c>
      <c r="VK189" s="146">
        <f t="shared" si="703"/>
        <v>0</v>
      </c>
      <c r="VL189" s="1864">
        <f t="shared" si="703"/>
        <v>0</v>
      </c>
      <c r="VM189" s="460" t="e">
        <f t="shared" si="734"/>
        <v>#DIV/0!</v>
      </c>
      <c r="VN189" s="2433"/>
      <c r="VO189" s="622">
        <f t="shared" si="735"/>
        <v>0</v>
      </c>
      <c r="VP189" s="622">
        <f t="shared" si="735"/>
        <v>0</v>
      </c>
      <c r="VQ189" s="2437">
        <f t="shared" si="735"/>
        <v>0</v>
      </c>
      <c r="VR189" s="116" t="e">
        <f>VQ189/VP189</f>
        <v>#DIV/0!</v>
      </c>
      <c r="VS189" s="1193"/>
      <c r="VT189" s="1193"/>
      <c r="VU189" s="1193"/>
      <c r="VV189" s="1193"/>
      <c r="VW189" s="1193"/>
      <c r="VX189" s="1193"/>
      <c r="VY189" s="1193"/>
      <c r="VZ189" s="1193"/>
      <c r="WA189" s="1193"/>
      <c r="WB189" s="1193"/>
      <c r="WC189" s="1193"/>
      <c r="WD189" s="1193"/>
      <c r="WE189" s="1193"/>
      <c r="WF189" s="1193"/>
      <c r="WG189" s="1193"/>
      <c r="WH189" s="1193"/>
      <c r="WI189" s="1193"/>
      <c r="WJ189" s="1193"/>
      <c r="WK189" s="1193"/>
      <c r="WL189" s="1193"/>
      <c r="WM189" s="1193"/>
      <c r="WN189" s="1193"/>
      <c r="WO189" s="1193"/>
      <c r="WP189" s="1193"/>
      <c r="WQ189" s="1193"/>
      <c r="WR189" s="1193"/>
      <c r="WS189" s="1193"/>
      <c r="WT189" s="1193"/>
      <c r="WU189" s="1193"/>
      <c r="WV189" s="1193"/>
      <c r="WW189" s="1193"/>
      <c r="WX189" s="1193"/>
      <c r="WY189" s="1193"/>
      <c r="WZ189" s="1193"/>
      <c r="XA189" s="1193"/>
      <c r="XB189" s="1193"/>
      <c r="XC189" s="1193"/>
      <c r="XD189" s="1193"/>
      <c r="XE189" s="1193"/>
      <c r="XF189" s="1193"/>
      <c r="XG189" s="1193"/>
      <c r="XH189" s="1193"/>
      <c r="XI189" s="1193"/>
      <c r="XJ189" s="1193"/>
      <c r="XK189" s="1193"/>
      <c r="XL189" s="1193"/>
      <c r="XM189" s="1193"/>
      <c r="XN189" s="1193"/>
      <c r="XO189" s="1193"/>
      <c r="XP189" s="1193"/>
      <c r="XQ189" s="1193"/>
      <c r="XR189" s="1193"/>
      <c r="XS189" s="1193"/>
      <c r="XT189" s="1193"/>
      <c r="XU189" s="1193"/>
      <c r="XV189" s="1193"/>
      <c r="XW189" s="1193"/>
      <c r="XX189" s="1193"/>
      <c r="XY189" s="1193"/>
      <c r="XZ189" s="1193"/>
      <c r="YA189" s="1193"/>
      <c r="YB189" s="1193"/>
      <c r="YC189" s="1193"/>
      <c r="YD189" s="1193"/>
      <c r="YE189" s="1193"/>
      <c r="YF189" s="1193"/>
      <c r="YG189" s="1193"/>
      <c r="YH189" s="1193"/>
      <c r="YI189" s="1193"/>
      <c r="YJ189" s="1193"/>
      <c r="YK189" s="1193"/>
      <c r="YL189" s="1193"/>
      <c r="YM189" s="1193"/>
      <c r="YN189" s="1193"/>
      <c r="YO189" s="1193"/>
      <c r="YP189" s="1193"/>
      <c r="YQ189" s="1193"/>
      <c r="YR189" s="1193"/>
      <c r="YS189" s="1193"/>
      <c r="YT189" s="1193"/>
      <c r="YU189" s="1193"/>
      <c r="YV189" s="1193"/>
      <c r="YW189" s="1193"/>
      <c r="YX189" s="1193"/>
      <c r="YY189" s="1193"/>
      <c r="YZ189" s="1193"/>
      <c r="ZA189" s="1193"/>
      <c r="ZB189" s="1193"/>
      <c r="ZC189" s="1193"/>
      <c r="ZD189" s="1193"/>
      <c r="ZE189" s="1193"/>
      <c r="ZF189" s="1193"/>
      <c r="ZG189" s="1193"/>
      <c r="ZH189" s="1193"/>
      <c r="ZI189" s="1193"/>
      <c r="ZJ189" s="1193"/>
      <c r="ZK189" s="1193"/>
      <c r="ZL189" s="1193"/>
      <c r="ZM189" s="1193"/>
      <c r="ZN189" s="1193"/>
      <c r="ZO189" s="1193"/>
      <c r="ZP189" s="1193"/>
      <c r="ZQ189" s="1193"/>
      <c r="ZR189" s="1193"/>
      <c r="ZS189" s="1193"/>
      <c r="ZT189" s="1193"/>
      <c r="ZU189" s="1193"/>
      <c r="ZV189" s="1193"/>
      <c r="ZW189" s="1193"/>
      <c r="ZX189" s="1193"/>
      <c r="ZY189" s="1193"/>
      <c r="ZZ189" s="1193"/>
      <c r="AAA189" s="1193"/>
      <c r="AAB189" s="1193"/>
      <c r="AAC189" s="1193"/>
      <c r="AAD189" s="1193"/>
      <c r="AAE189" s="1193"/>
      <c r="AAF189" s="1193"/>
      <c r="AAG189" s="1193"/>
      <c r="AAH189" s="1193"/>
      <c r="AAI189" s="1193"/>
      <c r="AAJ189" s="1193"/>
      <c r="AAK189" s="1193"/>
      <c r="AAL189" s="1193"/>
      <c r="AAM189" s="1193"/>
      <c r="AAN189" s="1193"/>
      <c r="AAO189" s="1193"/>
      <c r="AAP189" s="1193"/>
      <c r="AAQ189" s="1193"/>
      <c r="AAR189" s="1193"/>
      <c r="AAS189" s="1193"/>
      <c r="AAT189" s="1193"/>
      <c r="AAU189" s="1193"/>
      <c r="AAV189" s="1193"/>
      <c r="AAW189" s="1193"/>
      <c r="AAX189" s="1193"/>
      <c r="AAY189" s="1193"/>
      <c r="AAZ189" s="1193"/>
      <c r="ABA189" s="1193"/>
      <c r="ABB189" s="1193"/>
      <c r="ABC189" s="1193"/>
      <c r="ABD189" s="1193"/>
      <c r="ABE189" s="1193"/>
      <c r="ABF189" s="1193"/>
      <c r="ABG189" s="1193"/>
      <c r="ABH189" s="1193"/>
      <c r="ABI189" s="1193"/>
      <c r="ABJ189" s="1193"/>
      <c r="ABK189" s="1193"/>
      <c r="ABL189" s="1193"/>
      <c r="ABM189" s="1193"/>
      <c r="ABN189" s="1193"/>
      <c r="ABO189" s="1193"/>
      <c r="ABP189" s="1193"/>
      <c r="ABQ189" s="1193"/>
    </row>
    <row r="190" spans="1:745" s="2425" customFormat="1" ht="13.45" hidden="1" x14ac:dyDescent="0.3">
      <c r="A190" s="2399"/>
      <c r="B190" s="583" t="s">
        <v>109</v>
      </c>
      <c r="C190" s="2104" t="s">
        <v>110</v>
      </c>
      <c r="D190" s="3869" t="s">
        <v>854</v>
      </c>
      <c r="E190" s="2086"/>
      <c r="F190" s="2086"/>
      <c r="G190" s="1994"/>
      <c r="H190" s="3870"/>
      <c r="I190" s="3871"/>
      <c r="J190" s="3871"/>
      <c r="K190" s="3871"/>
      <c r="L190" s="3872"/>
      <c r="M190" s="3870"/>
      <c r="N190" s="3871"/>
      <c r="O190" s="3871"/>
      <c r="P190" s="3871"/>
      <c r="Q190" s="3872"/>
      <c r="R190" s="3870"/>
      <c r="S190" s="3871"/>
      <c r="T190" s="3871"/>
      <c r="U190" s="3871"/>
      <c r="V190" s="3872"/>
      <c r="W190" s="3870"/>
      <c r="X190" s="3871"/>
      <c r="Y190" s="3871"/>
      <c r="Z190" s="3871"/>
      <c r="AA190" s="3873"/>
      <c r="AB190" s="3870"/>
      <c r="AC190" s="3871"/>
      <c r="AD190" s="3871"/>
      <c r="AE190" s="3871"/>
      <c r="AF190" s="3873"/>
      <c r="AG190" s="3871"/>
      <c r="AH190" s="3871"/>
      <c r="AI190" s="3871"/>
      <c r="AJ190" s="3871"/>
      <c r="AK190" s="3872"/>
      <c r="AL190" s="3871"/>
      <c r="AM190" s="3871"/>
      <c r="AN190" s="3871"/>
      <c r="AO190" s="3871"/>
      <c r="AP190" s="3872"/>
      <c r="AQ190" s="3871"/>
      <c r="AR190" s="3871"/>
      <c r="AS190" s="3871"/>
      <c r="AT190" s="3871"/>
      <c r="AU190" s="3872"/>
      <c r="AV190" s="3874"/>
      <c r="AW190" s="3871"/>
      <c r="AX190" s="3871"/>
      <c r="AY190" s="3871"/>
      <c r="AZ190" s="3873"/>
      <c r="BA190" s="3874"/>
      <c r="BB190" s="3871"/>
      <c r="BC190" s="3871"/>
      <c r="BD190" s="3871"/>
      <c r="BE190" s="3873"/>
      <c r="BF190" s="3874"/>
      <c r="BG190" s="3871"/>
      <c r="BH190" s="3871"/>
      <c r="BI190" s="3871"/>
      <c r="BJ190" s="3873"/>
      <c r="BK190" s="3874"/>
      <c r="BL190" s="3871"/>
      <c r="BM190" s="3871"/>
      <c r="BN190" s="3871"/>
      <c r="BO190" s="3873"/>
      <c r="BP190" s="3875"/>
      <c r="BQ190" s="3871"/>
      <c r="BR190" s="3871"/>
      <c r="BS190" s="3871"/>
      <c r="BT190" s="3876"/>
      <c r="BU190" s="3871"/>
      <c r="BV190" s="3871"/>
      <c r="BW190" s="3877"/>
      <c r="BX190" s="3876"/>
      <c r="BY190" s="3871"/>
      <c r="BZ190" s="3871"/>
      <c r="CA190" s="3878"/>
      <c r="CB190" s="3871"/>
      <c r="CC190" s="3871"/>
      <c r="CD190" s="3871"/>
      <c r="CE190" s="3871"/>
      <c r="CF190" s="3876"/>
      <c r="CG190" s="3871"/>
      <c r="CH190" s="3871"/>
      <c r="CI190" s="3878"/>
      <c r="CJ190" s="3879"/>
      <c r="CK190" s="3871"/>
      <c r="CL190" s="3871"/>
      <c r="CM190" s="3871"/>
      <c r="CN190" s="3877"/>
      <c r="CO190" s="3879"/>
      <c r="CP190" s="3870"/>
      <c r="CQ190" s="3870"/>
      <c r="CR190" s="3870"/>
      <c r="CS190" s="3877"/>
      <c r="CT190" s="3879"/>
      <c r="CU190" s="3871"/>
      <c r="CV190" s="3871"/>
      <c r="CW190" s="3871"/>
      <c r="CX190" s="3877"/>
      <c r="CY190" s="3879"/>
      <c r="CZ190" s="3871"/>
      <c r="DA190" s="3871"/>
      <c r="DB190" s="3871"/>
      <c r="DC190" s="3877"/>
      <c r="DD190" s="3879"/>
      <c r="DE190" s="3871"/>
      <c r="DF190" s="3871"/>
      <c r="DG190" s="3871"/>
      <c r="DH190" s="3880"/>
      <c r="DI190" s="3879"/>
      <c r="DJ190" s="3871"/>
      <c r="DK190" s="3871"/>
      <c r="DL190" s="3871"/>
      <c r="DM190" s="3880"/>
      <c r="DN190" s="3879"/>
      <c r="DO190" s="3871"/>
      <c r="DP190" s="3871"/>
      <c r="DQ190" s="3871"/>
      <c r="DR190" s="3880"/>
      <c r="DS190" s="3879"/>
      <c r="DT190" s="3871"/>
      <c r="DU190" s="3871"/>
      <c r="DV190" s="3871"/>
      <c r="DW190" s="3880"/>
      <c r="DX190" s="3879"/>
      <c r="DY190" s="3871"/>
      <c r="DZ190" s="3871"/>
      <c r="EA190" s="3871"/>
      <c r="EB190" s="3880"/>
      <c r="EC190" s="3879"/>
      <c r="ED190" s="3871"/>
      <c r="EE190" s="3871"/>
      <c r="EF190" s="3871"/>
      <c r="EG190" s="3880"/>
      <c r="EH190" s="2108"/>
      <c r="EI190" s="1873"/>
      <c r="EJ190" s="1873"/>
      <c r="EK190" s="1873"/>
      <c r="EL190" s="3881"/>
      <c r="EM190" s="1832"/>
      <c r="EN190" s="622"/>
      <c r="EO190" s="622"/>
      <c r="EP190" s="622"/>
      <c r="EQ190" s="362"/>
      <c r="ER190" s="3791"/>
      <c r="ES190" s="3792"/>
      <c r="ET190" s="3792"/>
      <c r="EU190" s="3792"/>
      <c r="EV190" s="370"/>
      <c r="EW190" s="3882"/>
      <c r="EX190" s="3882"/>
      <c r="EY190" s="3882"/>
      <c r="EZ190" s="3883"/>
      <c r="FA190" s="2108"/>
      <c r="FB190" s="3882"/>
      <c r="FC190" s="3882"/>
      <c r="FD190" s="1576"/>
      <c r="FE190" s="3882"/>
      <c r="FF190" s="3882"/>
      <c r="FG190" s="3882"/>
      <c r="FH190" s="3883"/>
      <c r="FI190" s="3884"/>
      <c r="FJ190" s="3885"/>
      <c r="FK190" s="3886"/>
      <c r="FL190" s="3886"/>
      <c r="FM190" s="239"/>
      <c r="FN190" s="3882"/>
      <c r="FO190" s="1873"/>
      <c r="FP190" s="1873"/>
      <c r="FQ190" s="1873"/>
      <c r="FR190" s="3887"/>
      <c r="FS190" s="1832"/>
      <c r="FT190" s="622"/>
      <c r="FU190" s="622"/>
      <c r="FV190" s="622"/>
      <c r="FW190" s="362"/>
      <c r="FX190" s="2108"/>
      <c r="FY190" s="1873"/>
      <c r="FZ190" s="1873"/>
      <c r="GA190" s="622"/>
      <c r="GB190" s="362"/>
      <c r="GC190" s="2108"/>
      <c r="GD190" s="1873"/>
      <c r="GE190" s="1873"/>
      <c r="GF190" s="622"/>
      <c r="GG190" s="362"/>
      <c r="GH190" s="1832"/>
      <c r="GI190" s="622"/>
      <c r="GJ190" s="622"/>
      <c r="GK190" s="622"/>
      <c r="GL190" s="362"/>
      <c r="GM190" s="1832"/>
      <c r="GN190" s="622"/>
      <c r="GO190" s="622"/>
      <c r="GP190" s="622"/>
      <c r="GQ190" s="362"/>
      <c r="GR190" s="1832"/>
      <c r="GS190" s="622"/>
      <c r="GT190" s="622"/>
      <c r="GU190" s="622"/>
      <c r="GV190" s="362"/>
      <c r="GW190" s="1832"/>
      <c r="GX190" s="622"/>
      <c r="GY190" s="622"/>
      <c r="GZ190" s="622"/>
      <c r="HA190" s="362"/>
      <c r="HB190" s="1832"/>
      <c r="HC190" s="622"/>
      <c r="HD190" s="622"/>
      <c r="HE190" s="622"/>
      <c r="HF190" s="362"/>
      <c r="HG190" s="1832"/>
      <c r="HH190" s="622"/>
      <c r="HI190" s="622"/>
      <c r="HJ190" s="3864"/>
      <c r="HK190" s="362"/>
      <c r="HL190" s="1832"/>
      <c r="HM190" s="622"/>
      <c r="HN190" s="622"/>
      <c r="HO190" s="622"/>
      <c r="HP190" s="362"/>
      <c r="HQ190" s="3892"/>
      <c r="HR190" s="1317"/>
      <c r="HS190" s="1317"/>
      <c r="HT190" s="1317"/>
      <c r="HU190" s="3893"/>
      <c r="HV190" s="2723"/>
      <c r="HW190" s="395"/>
      <c r="HX190" s="395"/>
      <c r="HY190" s="395"/>
      <c r="HZ190" s="2890"/>
      <c r="IA190" s="1834"/>
      <c r="IB190" s="1830"/>
      <c r="IC190" s="1830"/>
      <c r="ID190" s="1831"/>
      <c r="IE190" s="1832"/>
      <c r="IF190" s="1833"/>
      <c r="IG190" s="1834"/>
      <c r="IH190" s="1831"/>
      <c r="II190" s="1829"/>
      <c r="IJ190" s="3894"/>
      <c r="IK190" s="3894"/>
      <c r="IL190" s="239"/>
      <c r="IM190" s="3895"/>
      <c r="IN190" s="3894"/>
      <c r="IO190" s="3894"/>
      <c r="IP190" s="3896"/>
      <c r="IQ190" s="1873"/>
      <c r="IR190" s="3897"/>
      <c r="IS190" s="1317"/>
      <c r="IT190" s="1317"/>
      <c r="IU190" s="3898"/>
      <c r="IV190" s="3906"/>
      <c r="IW190" s="3888"/>
      <c r="IX190" s="3889"/>
      <c r="IY190" s="3889"/>
      <c r="IZ190" s="3864"/>
      <c r="JA190" s="362"/>
      <c r="JB190" s="3900"/>
      <c r="JC190" s="3901"/>
      <c r="JD190" s="3902"/>
      <c r="JE190" s="622"/>
      <c r="JF190" s="362"/>
      <c r="JG190" s="658"/>
      <c r="JH190" s="622"/>
      <c r="JI190" s="622"/>
      <c r="JJ190" s="622"/>
      <c r="JK190" s="362"/>
      <c r="JL190" s="1832"/>
      <c r="JM190" s="622"/>
      <c r="JN190" s="622"/>
      <c r="JO190" s="3903"/>
      <c r="JP190" s="362"/>
      <c r="JQ190" s="3904"/>
      <c r="JR190" s="3905"/>
      <c r="JS190" s="1317"/>
      <c r="JT190" s="622"/>
      <c r="JU190" s="362"/>
      <c r="JV190" s="658"/>
      <c r="JW190" s="622"/>
      <c r="JX190" s="1317"/>
      <c r="JY190" s="3903"/>
      <c r="JZ190" s="3890"/>
      <c r="KA190" s="3900"/>
      <c r="KB190" s="3666"/>
      <c r="KC190" s="3905"/>
      <c r="KD190" s="622"/>
      <c r="KE190" s="362"/>
      <c r="KF190" s="658"/>
      <c r="KG190" s="3905"/>
      <c r="KH190" s="622"/>
      <c r="KI190" s="622"/>
      <c r="KJ190" s="362"/>
      <c r="KK190" s="3819"/>
      <c r="KL190" s="1317"/>
      <c r="KM190" s="1317"/>
      <c r="KN190" s="3864"/>
      <c r="KO190" s="3890"/>
      <c r="KP190" s="2000"/>
      <c r="KQ190" s="1317"/>
      <c r="KR190" s="3865"/>
      <c r="KS190" s="1317"/>
      <c r="KT190" s="3906"/>
      <c r="KU190" s="3892"/>
      <c r="KV190" s="1317"/>
      <c r="KW190" s="3865"/>
      <c r="KX190" s="1317"/>
      <c r="KY190" s="362"/>
      <c r="KZ190" s="1832"/>
      <c r="LA190" s="622"/>
      <c r="LB190" s="622"/>
      <c r="LC190" s="622"/>
      <c r="LD190" s="1576"/>
      <c r="LE190" s="1834"/>
      <c r="LF190" s="1830"/>
      <c r="LG190" s="1830"/>
      <c r="LH190" s="1831"/>
      <c r="LI190" s="1832"/>
      <c r="LJ190" s="1833"/>
      <c r="LK190" s="1834"/>
      <c r="LL190" s="1831"/>
      <c r="LM190" s="1829"/>
      <c r="LN190" s="3894"/>
      <c r="LO190" s="3894"/>
      <c r="LP190" s="239"/>
      <c r="LQ190" s="3907"/>
      <c r="LR190" s="3894"/>
      <c r="LS190" s="3894"/>
      <c r="LT190" s="3896"/>
      <c r="LU190" s="1873"/>
      <c r="LV190" s="401"/>
      <c r="LW190" s="395"/>
      <c r="LX190" s="395"/>
      <c r="LY190" s="115"/>
      <c r="LZ190" s="186"/>
      <c r="MA190" s="401"/>
      <c r="MB190" s="395"/>
      <c r="MC190" s="395"/>
      <c r="MD190" s="115"/>
      <c r="ME190" s="186"/>
      <c r="MF190" s="401"/>
      <c r="MG190" s="395"/>
      <c r="MH190" s="395"/>
      <c r="MI190" s="372"/>
      <c r="MJ190" s="207"/>
      <c r="MK190" s="2573"/>
      <c r="ML190" s="395"/>
      <c r="MM190" s="395"/>
      <c r="MN190" s="372"/>
      <c r="MO190" s="207"/>
      <c r="MP190" s="3805"/>
      <c r="MQ190" s="1317"/>
      <c r="MR190" s="1317"/>
      <c r="MS190" s="1317"/>
      <c r="MT190" s="801"/>
      <c r="MU190" s="1318"/>
      <c r="MV190" s="395"/>
      <c r="MW190" s="395"/>
      <c r="MX190" s="395"/>
      <c r="MY190" s="801"/>
      <c r="MZ190" s="1318"/>
      <c r="NA190" s="395"/>
      <c r="NB190" s="395"/>
      <c r="NC190" s="395"/>
      <c r="ND190" s="801"/>
      <c r="NE190" s="1318"/>
      <c r="NF190" s="395"/>
      <c r="NG190" s="395"/>
      <c r="NH190" s="395"/>
      <c r="NI190" s="801"/>
      <c r="NJ190" s="1318"/>
      <c r="NK190" s="395"/>
      <c r="NL190" s="395"/>
      <c r="NM190" s="395"/>
      <c r="NN190" s="801"/>
      <c r="NO190" s="2432"/>
      <c r="NP190" s="622"/>
      <c r="NQ190" s="2437"/>
      <c r="NR190" s="395"/>
      <c r="NS190" s="801"/>
      <c r="NT190" s="2432"/>
      <c r="NU190" s="622"/>
      <c r="NV190" s="622"/>
      <c r="NW190" s="395"/>
      <c r="NX190" s="801"/>
      <c r="NY190" s="2432">
        <v>2</v>
      </c>
      <c r="NZ190" s="622">
        <v>55920</v>
      </c>
      <c r="OA190" s="622">
        <v>75931</v>
      </c>
      <c r="OB190" s="772">
        <f>OA190-NZ190</f>
        <v>20011</v>
      </c>
      <c r="OC190" s="116">
        <f t="shared" si="713"/>
        <v>0.26354189988278831</v>
      </c>
      <c r="OD190" s="2433">
        <v>2</v>
      </c>
      <c r="OE190" s="622">
        <f t="shared" si="714"/>
        <v>55920</v>
      </c>
      <c r="OF190" s="622">
        <f t="shared" si="714"/>
        <v>75931</v>
      </c>
      <c r="OG190" s="622">
        <f t="shared" si="714"/>
        <v>20011</v>
      </c>
      <c r="OH190" s="1576">
        <f t="shared" si="715"/>
        <v>0.26354189988278831</v>
      </c>
      <c r="OI190" s="3908"/>
      <c r="OJ190" s="115"/>
      <c r="OK190" s="115"/>
      <c r="OL190" s="115"/>
      <c r="OM190" s="116"/>
      <c r="ON190" s="622"/>
      <c r="OO190" s="622"/>
      <c r="OP190" s="622"/>
      <c r="OQ190" s="2437"/>
      <c r="OR190" s="421"/>
      <c r="OS190" s="3909">
        <f>(NJ190+NE190+MZ190)/3</f>
        <v>0</v>
      </c>
      <c r="OT190" s="3886"/>
      <c r="OU190" s="3886"/>
      <c r="OV190" s="3910"/>
      <c r="OW190" s="421"/>
      <c r="OX190" s="2432">
        <f t="shared" si="674"/>
        <v>0.66666666666666663</v>
      </c>
      <c r="OY190" s="622">
        <f t="shared" si="675"/>
        <v>55920</v>
      </c>
      <c r="OZ190" s="622">
        <f t="shared" si="675"/>
        <v>75931</v>
      </c>
      <c r="PA190" s="2437">
        <f t="shared" si="675"/>
        <v>20011</v>
      </c>
      <c r="PB190" s="116">
        <f t="shared" si="719"/>
        <v>0.26354189988278831</v>
      </c>
      <c r="PC190" s="3886"/>
      <c r="PD190" s="401"/>
      <c r="PE190" s="395"/>
      <c r="PF190" s="395"/>
      <c r="PG190" s="115">
        <f t="shared" si="737"/>
        <v>0</v>
      </c>
      <c r="PH190" s="186"/>
      <c r="PI190" s="401"/>
      <c r="PJ190" s="395"/>
      <c r="PK190" s="395"/>
      <c r="PL190" s="115"/>
      <c r="PM190" s="186"/>
      <c r="PN190" s="401"/>
      <c r="PO190" s="395"/>
      <c r="PP190" s="395"/>
      <c r="PQ190" s="372">
        <f t="shared" si="738"/>
        <v>0</v>
      </c>
      <c r="PR190" s="207"/>
      <c r="PS190" s="2891"/>
      <c r="PT190" s="2001"/>
      <c r="PU190" s="2001"/>
      <c r="PV190" s="2892">
        <f t="shared" si="676"/>
        <v>0</v>
      </c>
      <c r="PW190" s="370"/>
      <c r="PX190" s="3805"/>
      <c r="PY190" s="1317"/>
      <c r="PZ190" s="1317"/>
      <c r="QA190" s="1317">
        <v>0</v>
      </c>
      <c r="QB190" s="801"/>
      <c r="QC190" s="2002"/>
      <c r="QD190" s="2001"/>
      <c r="QE190" s="2001"/>
      <c r="QF190" s="2001"/>
      <c r="QG190" s="2003"/>
      <c r="QH190" s="2445"/>
      <c r="QI190" s="2001"/>
      <c r="QJ190" s="2001"/>
      <c r="QK190" s="2001"/>
      <c r="QL190" s="801"/>
      <c r="QM190" s="401"/>
      <c r="QN190" s="395"/>
      <c r="QO190" s="395"/>
      <c r="QP190" s="395"/>
      <c r="QQ190" s="801"/>
      <c r="QR190" s="1318"/>
      <c r="QS190" s="395"/>
      <c r="QT190" s="395"/>
      <c r="QU190" s="395"/>
      <c r="QV190" s="370"/>
      <c r="QW190" s="2002"/>
      <c r="QX190" s="2001"/>
      <c r="QY190" s="2001"/>
      <c r="QZ190" s="2001"/>
      <c r="RA190" s="801"/>
      <c r="RB190" s="2432"/>
      <c r="RC190" s="622"/>
      <c r="RD190" s="622"/>
      <c r="RE190" s="395">
        <f t="shared" si="745"/>
        <v>0</v>
      </c>
      <c r="RF190" s="801" t="e">
        <f t="shared" si="746"/>
        <v>#DIV/0!</v>
      </c>
      <c r="RG190" s="2108"/>
      <c r="RH190" s="1873"/>
      <c r="RI190" s="1873"/>
      <c r="RJ190" s="2012">
        <f>RI190-RH190</f>
        <v>0</v>
      </c>
      <c r="RK190" s="116" t="e">
        <f>RJ190/RI190</f>
        <v>#DIV/0!</v>
      </c>
      <c r="RL190" s="3717"/>
      <c r="RM190" s="1873">
        <f t="shared" si="721"/>
        <v>0</v>
      </c>
      <c r="RN190" s="1873">
        <f t="shared" si="721"/>
        <v>0</v>
      </c>
      <c r="RO190" s="1873">
        <f t="shared" si="721"/>
        <v>0</v>
      </c>
      <c r="RP190" s="1576" t="e">
        <f t="shared" si="747"/>
        <v>#DIV/0!</v>
      </c>
      <c r="RQ190" s="3908">
        <f t="shared" si="722"/>
        <v>0</v>
      </c>
      <c r="RR190" s="115">
        <f t="shared" si="677"/>
        <v>0</v>
      </c>
      <c r="RS190" s="115">
        <f t="shared" si="677"/>
        <v>0</v>
      </c>
      <c r="RT190" s="115">
        <f t="shared" si="677"/>
        <v>0</v>
      </c>
      <c r="RU190" s="116"/>
      <c r="RV190" s="622"/>
      <c r="RW190" s="622"/>
      <c r="RX190" s="622"/>
      <c r="RY190" s="2437"/>
      <c r="RZ190" s="421"/>
      <c r="SA190" s="3909">
        <f t="shared" si="748"/>
        <v>0</v>
      </c>
      <c r="SB190" s="3886">
        <f t="shared" si="679"/>
        <v>0</v>
      </c>
      <c r="SC190" s="3886">
        <f t="shared" si="679"/>
        <v>0</v>
      </c>
      <c r="SD190" s="3910">
        <f t="shared" si="679"/>
        <v>0</v>
      </c>
      <c r="SE190" s="421" t="e">
        <f t="shared" si="680"/>
        <v>#DIV/0!</v>
      </c>
      <c r="SF190" s="3736"/>
      <c r="SG190" s="622">
        <f t="shared" si="744"/>
        <v>0</v>
      </c>
      <c r="SH190" s="622">
        <f t="shared" si="744"/>
        <v>0</v>
      </c>
      <c r="SI190" s="2437">
        <f t="shared" si="744"/>
        <v>0</v>
      </c>
      <c r="SJ190" s="116" t="e">
        <f>SI190/SH190</f>
        <v>#DIV/0!</v>
      </c>
      <c r="SK190" s="1568"/>
      <c r="SL190" s="2445"/>
      <c r="SM190" s="2001"/>
      <c r="SN190" s="2001"/>
      <c r="SO190" s="3534">
        <f>SN190-SM190</f>
        <v>0</v>
      </c>
      <c r="SP190" s="1498"/>
      <c r="SQ190" s="2445"/>
      <c r="SR190" s="2001"/>
      <c r="SS190" s="2001"/>
      <c r="ST190" s="3534"/>
      <c r="SU190" s="1498"/>
      <c r="SV190" s="401"/>
      <c r="SW190" s="395"/>
      <c r="SX190" s="395"/>
      <c r="SY190" s="372">
        <f t="shared" si="740"/>
        <v>0</v>
      </c>
      <c r="SZ190" s="207"/>
      <c r="TA190" s="2573"/>
      <c r="TB190" s="395"/>
      <c r="TC190" s="395"/>
      <c r="TD190" s="372">
        <f t="shared" si="749"/>
        <v>0</v>
      </c>
      <c r="TE190" s="207"/>
      <c r="TF190" s="2573"/>
      <c r="TG190" s="395"/>
      <c r="TH190" s="395"/>
      <c r="TI190" s="395">
        <v>0</v>
      </c>
      <c r="TJ190" s="116"/>
      <c r="TK190" s="2002"/>
      <c r="TL190" s="2001"/>
      <c r="TM190" s="2001"/>
      <c r="TN190" s="2012"/>
      <c r="TO190" s="441"/>
      <c r="TP190" s="4464"/>
      <c r="TQ190" s="2001"/>
      <c r="TR190" s="2001"/>
      <c r="TS190" s="2012"/>
      <c r="TT190" s="116"/>
      <c r="TU190" s="4464"/>
      <c r="TV190" s="2001"/>
      <c r="TW190" s="2001"/>
      <c r="TX190" s="2012"/>
      <c r="TY190" s="441"/>
      <c r="TZ190" s="2002"/>
      <c r="UA190" s="2001"/>
      <c r="UB190" s="2001"/>
      <c r="UC190" s="2012"/>
      <c r="UD190" s="441"/>
      <c r="UE190" s="2002"/>
      <c r="UF190" s="1575"/>
      <c r="UG190" s="1575"/>
      <c r="UH190" s="2552">
        <f t="shared" si="698"/>
        <v>0</v>
      </c>
      <c r="UI190" s="222" t="e">
        <f t="shared" si="699"/>
        <v>#DIV/0!</v>
      </c>
      <c r="UJ190" s="2432"/>
      <c r="UK190" s="622"/>
      <c r="UL190" s="622"/>
      <c r="UM190" s="395">
        <f t="shared" si="750"/>
        <v>0</v>
      </c>
      <c r="UN190" s="725" t="e">
        <f t="shared" si="751"/>
        <v>#DIV/0!</v>
      </c>
      <c r="UO190" s="2108"/>
      <c r="UP190" s="1873"/>
      <c r="UQ190" s="1873"/>
      <c r="UR190" s="2012">
        <f>UQ190-UP190</f>
        <v>0</v>
      </c>
      <c r="US190" s="659" t="e">
        <f>UR190/UQ190</f>
        <v>#DIV/0!</v>
      </c>
      <c r="UT190" s="2433"/>
      <c r="UU190" s="358">
        <f t="shared" si="700"/>
        <v>0</v>
      </c>
      <c r="UV190" s="358">
        <f t="shared" si="700"/>
        <v>0</v>
      </c>
      <c r="UW190" s="358">
        <f t="shared" si="700"/>
        <v>0</v>
      </c>
      <c r="UX190" s="220" t="e">
        <f t="shared" si="704"/>
        <v>#DIV/0!</v>
      </c>
      <c r="UY190" s="2435">
        <f t="shared" si="731"/>
        <v>0</v>
      </c>
      <c r="UZ190" s="2436">
        <f t="shared" si="732"/>
        <v>0</v>
      </c>
      <c r="VA190" s="2436">
        <f t="shared" si="732"/>
        <v>0</v>
      </c>
      <c r="VB190" s="2436">
        <f t="shared" si="732"/>
        <v>0</v>
      </c>
      <c r="VC190" s="1439"/>
      <c r="VD190" s="622"/>
      <c r="VE190" s="358">
        <f t="shared" si="701"/>
        <v>0</v>
      </c>
      <c r="VF190" s="358">
        <f t="shared" si="701"/>
        <v>0</v>
      </c>
      <c r="VG190" s="359">
        <f t="shared" si="701"/>
        <v>0</v>
      </c>
      <c r="VH190" s="169" t="e">
        <f t="shared" si="702"/>
        <v>#DIV/0!</v>
      </c>
      <c r="VI190" s="2438">
        <f t="shared" si="752"/>
        <v>0</v>
      </c>
      <c r="VJ190" s="146">
        <f t="shared" si="703"/>
        <v>0</v>
      </c>
      <c r="VK190" s="146">
        <f t="shared" si="703"/>
        <v>0</v>
      </c>
      <c r="VL190" s="1864">
        <f t="shared" si="703"/>
        <v>0</v>
      </c>
      <c r="VM190" s="460" t="e">
        <f t="shared" si="734"/>
        <v>#DIV/0!</v>
      </c>
      <c r="VN190" s="2433"/>
      <c r="VO190" s="622">
        <f t="shared" si="735"/>
        <v>0</v>
      </c>
      <c r="VP190" s="622">
        <f t="shared" si="735"/>
        <v>0</v>
      </c>
      <c r="VQ190" s="2437">
        <f t="shared" si="735"/>
        <v>0</v>
      </c>
      <c r="VR190" s="116" t="e">
        <f>VQ190/VP190</f>
        <v>#DIV/0!</v>
      </c>
      <c r="VS190" s="1193"/>
      <c r="VT190" s="1193"/>
      <c r="VU190" s="1193"/>
      <c r="VV190" s="1193"/>
      <c r="VW190" s="1193"/>
      <c r="VX190" s="1193"/>
      <c r="VY190" s="1193"/>
      <c r="VZ190" s="1193"/>
      <c r="WA190" s="1193"/>
      <c r="WB190" s="1193"/>
      <c r="WC190" s="1193"/>
      <c r="WD190" s="1193"/>
      <c r="WE190" s="1193"/>
      <c r="WF190" s="1193"/>
      <c r="WG190" s="1193"/>
      <c r="WH190" s="1193"/>
      <c r="WI190" s="1193"/>
      <c r="WJ190" s="1193"/>
      <c r="WK190" s="1193"/>
      <c r="WL190" s="1193"/>
      <c r="WM190" s="1193"/>
      <c r="WN190" s="1193"/>
      <c r="WO190" s="1193"/>
      <c r="WP190" s="1193"/>
      <c r="WQ190" s="1193"/>
      <c r="WR190" s="1193"/>
      <c r="WS190" s="1193"/>
      <c r="WT190" s="1193"/>
      <c r="WU190" s="1193"/>
      <c r="WV190" s="1193"/>
      <c r="WW190" s="1193"/>
      <c r="WX190" s="1193"/>
      <c r="WY190" s="1193"/>
      <c r="WZ190" s="1193"/>
      <c r="XA190" s="1193"/>
      <c r="XB190" s="1193"/>
      <c r="XC190" s="1193"/>
      <c r="XD190" s="1193"/>
      <c r="XE190" s="1193"/>
      <c r="XF190" s="1193"/>
      <c r="XG190" s="1193"/>
      <c r="XH190" s="1193"/>
      <c r="XI190" s="1193"/>
      <c r="XJ190" s="1193"/>
      <c r="XK190" s="1193"/>
      <c r="XL190" s="1193"/>
      <c r="XM190" s="1193"/>
      <c r="XN190" s="1193"/>
      <c r="XO190" s="1193"/>
      <c r="XP190" s="1193"/>
      <c r="XQ190" s="1193"/>
      <c r="XR190" s="1193"/>
      <c r="XS190" s="1193"/>
      <c r="XT190" s="1193"/>
      <c r="XU190" s="1193"/>
      <c r="XV190" s="1193"/>
      <c r="XW190" s="1193"/>
      <c r="XX190" s="1193"/>
      <c r="XY190" s="1193"/>
      <c r="XZ190" s="1193"/>
      <c r="YA190" s="1193"/>
      <c r="YB190" s="1193"/>
      <c r="YC190" s="1193"/>
      <c r="YD190" s="1193"/>
      <c r="YE190" s="1193"/>
      <c r="YF190" s="1193"/>
      <c r="YG190" s="1193"/>
      <c r="YH190" s="1193"/>
      <c r="YI190" s="1193"/>
      <c r="YJ190" s="1193"/>
      <c r="YK190" s="1193"/>
      <c r="YL190" s="1193"/>
      <c r="YM190" s="1193"/>
      <c r="YN190" s="1193"/>
      <c r="YO190" s="1193"/>
      <c r="YP190" s="1193"/>
      <c r="YQ190" s="1193"/>
      <c r="YR190" s="1193"/>
      <c r="YS190" s="1193"/>
      <c r="YT190" s="1193"/>
      <c r="YU190" s="1193"/>
      <c r="YV190" s="1193"/>
      <c r="YW190" s="1193"/>
      <c r="YX190" s="1193"/>
      <c r="YY190" s="1193"/>
      <c r="YZ190" s="1193"/>
      <c r="ZA190" s="1193"/>
      <c r="ZB190" s="1193"/>
      <c r="ZC190" s="1193"/>
      <c r="ZD190" s="1193"/>
      <c r="ZE190" s="1193"/>
      <c r="ZF190" s="1193"/>
      <c r="ZG190" s="1193"/>
      <c r="ZH190" s="1193"/>
      <c r="ZI190" s="1193"/>
      <c r="ZJ190" s="1193"/>
      <c r="ZK190" s="1193"/>
      <c r="ZL190" s="1193"/>
      <c r="ZM190" s="1193"/>
      <c r="ZN190" s="1193"/>
      <c r="ZO190" s="1193"/>
      <c r="ZP190" s="1193"/>
      <c r="ZQ190" s="1193"/>
      <c r="ZR190" s="1193"/>
      <c r="ZS190" s="1193"/>
      <c r="ZT190" s="1193"/>
      <c r="ZU190" s="1193"/>
      <c r="ZV190" s="1193"/>
      <c r="ZW190" s="1193"/>
      <c r="ZX190" s="1193"/>
      <c r="ZY190" s="1193"/>
      <c r="ZZ190" s="1193"/>
      <c r="AAA190" s="1193"/>
      <c r="AAB190" s="1193"/>
      <c r="AAC190" s="1193"/>
      <c r="AAD190" s="1193"/>
      <c r="AAE190" s="1193"/>
      <c r="AAF190" s="1193"/>
      <c r="AAG190" s="1193"/>
      <c r="AAH190" s="1193"/>
      <c r="AAI190" s="1193"/>
      <c r="AAJ190" s="1193"/>
      <c r="AAK190" s="1193"/>
      <c r="AAL190" s="1193"/>
      <c r="AAM190" s="1193"/>
      <c r="AAN190" s="1193"/>
      <c r="AAO190" s="1193"/>
      <c r="AAP190" s="1193"/>
      <c r="AAQ190" s="1193"/>
      <c r="AAR190" s="1193"/>
      <c r="AAS190" s="1193"/>
      <c r="AAT190" s="1193"/>
      <c r="AAU190" s="1193"/>
      <c r="AAV190" s="1193"/>
      <c r="AAW190" s="1193"/>
      <c r="AAX190" s="1193"/>
      <c r="AAY190" s="1193"/>
      <c r="AAZ190" s="1193"/>
      <c r="ABA190" s="1193"/>
      <c r="ABB190" s="1193"/>
      <c r="ABC190" s="1193"/>
      <c r="ABD190" s="1193"/>
      <c r="ABE190" s="1193"/>
      <c r="ABF190" s="1193"/>
      <c r="ABG190" s="1193"/>
      <c r="ABH190" s="1193"/>
      <c r="ABI190" s="1193"/>
      <c r="ABJ190" s="1193"/>
      <c r="ABK190" s="1193"/>
      <c r="ABL190" s="1193"/>
      <c r="ABM190" s="1193"/>
      <c r="ABN190" s="1193"/>
      <c r="ABO190" s="1193"/>
      <c r="ABP190" s="1193"/>
      <c r="ABQ190" s="1193"/>
    </row>
    <row r="191" spans="1:745" s="2425" customFormat="1" ht="13.45" hidden="1" x14ac:dyDescent="0.3">
      <c r="A191" s="2399"/>
      <c r="B191" s="583" t="s">
        <v>109</v>
      </c>
      <c r="C191" s="2104" t="s">
        <v>110</v>
      </c>
      <c r="D191" s="3869" t="s">
        <v>855</v>
      </c>
      <c r="E191" s="2086"/>
      <c r="F191" s="2086"/>
      <c r="G191" s="1994"/>
      <c r="H191" s="3870"/>
      <c r="I191" s="3871"/>
      <c r="J191" s="3871"/>
      <c r="K191" s="3871"/>
      <c r="L191" s="3872"/>
      <c r="M191" s="3870"/>
      <c r="N191" s="3871"/>
      <c r="O191" s="3871"/>
      <c r="P191" s="3871"/>
      <c r="Q191" s="3872"/>
      <c r="R191" s="3870"/>
      <c r="S191" s="3871"/>
      <c r="T191" s="3871"/>
      <c r="U191" s="3871"/>
      <c r="V191" s="3872"/>
      <c r="W191" s="3870"/>
      <c r="X191" s="3871"/>
      <c r="Y191" s="3871"/>
      <c r="Z191" s="3871"/>
      <c r="AA191" s="3873"/>
      <c r="AB191" s="3870"/>
      <c r="AC191" s="3871"/>
      <c r="AD191" s="3871"/>
      <c r="AE191" s="3871"/>
      <c r="AF191" s="3873"/>
      <c r="AG191" s="3871"/>
      <c r="AH191" s="3871"/>
      <c r="AI191" s="3871"/>
      <c r="AJ191" s="3871"/>
      <c r="AK191" s="3872"/>
      <c r="AL191" s="3871"/>
      <c r="AM191" s="3871"/>
      <c r="AN191" s="3871"/>
      <c r="AO191" s="3871"/>
      <c r="AP191" s="3872"/>
      <c r="AQ191" s="3871"/>
      <c r="AR191" s="3871"/>
      <c r="AS191" s="3871"/>
      <c r="AT191" s="3871"/>
      <c r="AU191" s="3872"/>
      <c r="AV191" s="3874"/>
      <c r="AW191" s="3871"/>
      <c r="AX191" s="3871"/>
      <c r="AY191" s="3871"/>
      <c r="AZ191" s="3873"/>
      <c r="BA191" s="3874"/>
      <c r="BB191" s="3871"/>
      <c r="BC191" s="3871"/>
      <c r="BD191" s="3871"/>
      <c r="BE191" s="3873"/>
      <c r="BF191" s="3874"/>
      <c r="BG191" s="3871"/>
      <c r="BH191" s="3871"/>
      <c r="BI191" s="3871"/>
      <c r="BJ191" s="3873"/>
      <c r="BK191" s="3874"/>
      <c r="BL191" s="3871"/>
      <c r="BM191" s="3871"/>
      <c r="BN191" s="3871"/>
      <c r="BO191" s="3873"/>
      <c r="BP191" s="3875"/>
      <c r="BQ191" s="3871"/>
      <c r="BR191" s="3871"/>
      <c r="BS191" s="3871"/>
      <c r="BT191" s="3876"/>
      <c r="BU191" s="3871"/>
      <c r="BV191" s="3871"/>
      <c r="BW191" s="3877"/>
      <c r="BX191" s="3876"/>
      <c r="BY191" s="3871"/>
      <c r="BZ191" s="3871"/>
      <c r="CA191" s="3878"/>
      <c r="CB191" s="3871"/>
      <c r="CC191" s="3871"/>
      <c r="CD191" s="3871"/>
      <c r="CE191" s="3871"/>
      <c r="CF191" s="3876"/>
      <c r="CG191" s="3871"/>
      <c r="CH191" s="3871"/>
      <c r="CI191" s="3878"/>
      <c r="CJ191" s="3879"/>
      <c r="CK191" s="3871"/>
      <c r="CL191" s="3871"/>
      <c r="CM191" s="3871"/>
      <c r="CN191" s="3877"/>
      <c r="CO191" s="3879"/>
      <c r="CP191" s="3870"/>
      <c r="CQ191" s="3870"/>
      <c r="CR191" s="3870"/>
      <c r="CS191" s="3877"/>
      <c r="CT191" s="3879"/>
      <c r="CU191" s="3871"/>
      <c r="CV191" s="3871"/>
      <c r="CW191" s="3871"/>
      <c r="CX191" s="3877"/>
      <c r="CY191" s="3879"/>
      <c r="CZ191" s="3871"/>
      <c r="DA191" s="3871"/>
      <c r="DB191" s="3871"/>
      <c r="DC191" s="3877"/>
      <c r="DD191" s="3879"/>
      <c r="DE191" s="3871"/>
      <c r="DF191" s="3871"/>
      <c r="DG191" s="3871"/>
      <c r="DH191" s="3880"/>
      <c r="DI191" s="3879"/>
      <c r="DJ191" s="3871"/>
      <c r="DK191" s="3871"/>
      <c r="DL191" s="3871"/>
      <c r="DM191" s="3880"/>
      <c r="DN191" s="3879"/>
      <c r="DO191" s="3871"/>
      <c r="DP191" s="3871"/>
      <c r="DQ191" s="3871"/>
      <c r="DR191" s="3880"/>
      <c r="DS191" s="3879"/>
      <c r="DT191" s="3871"/>
      <c r="DU191" s="3871"/>
      <c r="DV191" s="3871"/>
      <c r="DW191" s="3880"/>
      <c r="DX191" s="3879"/>
      <c r="DY191" s="3871"/>
      <c r="DZ191" s="3871"/>
      <c r="EA191" s="3871"/>
      <c r="EB191" s="3880"/>
      <c r="EC191" s="3879"/>
      <c r="ED191" s="3871"/>
      <c r="EE191" s="3871"/>
      <c r="EF191" s="3871"/>
      <c r="EG191" s="3880"/>
      <c r="EH191" s="2108"/>
      <c r="EI191" s="1873"/>
      <c r="EJ191" s="1873"/>
      <c r="EK191" s="1873"/>
      <c r="EL191" s="3881"/>
      <c r="EM191" s="1832"/>
      <c r="EN191" s="622"/>
      <c r="EO191" s="622"/>
      <c r="EP191" s="622"/>
      <c r="EQ191" s="362"/>
      <c r="ER191" s="3791"/>
      <c r="ES191" s="3792"/>
      <c r="ET191" s="3792"/>
      <c r="EU191" s="3792"/>
      <c r="EV191" s="370"/>
      <c r="EW191" s="3882"/>
      <c r="EX191" s="3882"/>
      <c r="EY191" s="3882"/>
      <c r="EZ191" s="3883"/>
      <c r="FA191" s="2108"/>
      <c r="FB191" s="3882"/>
      <c r="FC191" s="3882"/>
      <c r="FD191" s="1576"/>
      <c r="FE191" s="3882"/>
      <c r="FF191" s="3882"/>
      <c r="FG191" s="3882"/>
      <c r="FH191" s="3883"/>
      <c r="FI191" s="3884"/>
      <c r="FJ191" s="3885"/>
      <c r="FK191" s="3886"/>
      <c r="FL191" s="3886"/>
      <c r="FM191" s="239"/>
      <c r="FN191" s="3882"/>
      <c r="FO191" s="1873"/>
      <c r="FP191" s="1873"/>
      <c r="FQ191" s="1873"/>
      <c r="FR191" s="3887"/>
      <c r="FS191" s="1832"/>
      <c r="FT191" s="622"/>
      <c r="FU191" s="622"/>
      <c r="FV191" s="622"/>
      <c r="FW191" s="362"/>
      <c r="FX191" s="2108"/>
      <c r="FY191" s="1873"/>
      <c r="FZ191" s="1873"/>
      <c r="GA191" s="622"/>
      <c r="GB191" s="362"/>
      <c r="GC191" s="2108"/>
      <c r="GD191" s="1873"/>
      <c r="GE191" s="1873"/>
      <c r="GF191" s="622"/>
      <c r="GG191" s="362"/>
      <c r="GH191" s="1832"/>
      <c r="GI191" s="622"/>
      <c r="GJ191" s="622"/>
      <c r="GK191" s="622"/>
      <c r="GL191" s="362"/>
      <c r="GM191" s="1832"/>
      <c r="GN191" s="622"/>
      <c r="GO191" s="622"/>
      <c r="GP191" s="622"/>
      <c r="GQ191" s="362"/>
      <c r="GR191" s="1832"/>
      <c r="GS191" s="622"/>
      <c r="GT191" s="622"/>
      <c r="GU191" s="622"/>
      <c r="GV191" s="362"/>
      <c r="GW191" s="1832"/>
      <c r="GX191" s="622"/>
      <c r="GY191" s="622"/>
      <c r="GZ191" s="622"/>
      <c r="HA191" s="362"/>
      <c r="HB191" s="1832"/>
      <c r="HC191" s="622"/>
      <c r="HD191" s="622"/>
      <c r="HE191" s="622"/>
      <c r="HF191" s="362"/>
      <c r="HG191" s="1832"/>
      <c r="HH191" s="622"/>
      <c r="HI191" s="622"/>
      <c r="HJ191" s="3864"/>
      <c r="HK191" s="362"/>
      <c r="HL191" s="1832"/>
      <c r="HM191" s="622"/>
      <c r="HN191" s="622"/>
      <c r="HO191" s="622"/>
      <c r="HP191" s="362"/>
      <c r="HQ191" s="3892"/>
      <c r="HR191" s="1317"/>
      <c r="HS191" s="1317"/>
      <c r="HT191" s="1317"/>
      <c r="HU191" s="3893"/>
      <c r="HV191" s="2723"/>
      <c r="HW191" s="395"/>
      <c r="HX191" s="395"/>
      <c r="HY191" s="395"/>
      <c r="HZ191" s="2890"/>
      <c r="IA191" s="1834"/>
      <c r="IB191" s="1830"/>
      <c r="IC191" s="1830"/>
      <c r="ID191" s="1831"/>
      <c r="IE191" s="1832"/>
      <c r="IF191" s="1833"/>
      <c r="IG191" s="1834"/>
      <c r="IH191" s="1831"/>
      <c r="II191" s="1829"/>
      <c r="IJ191" s="3894"/>
      <c r="IK191" s="3894"/>
      <c r="IL191" s="239"/>
      <c r="IM191" s="3895"/>
      <c r="IN191" s="3894"/>
      <c r="IO191" s="3894"/>
      <c r="IP191" s="3896"/>
      <c r="IQ191" s="1873"/>
      <c r="IR191" s="3897"/>
      <c r="IS191" s="1317"/>
      <c r="IT191" s="1317"/>
      <c r="IU191" s="3898"/>
      <c r="IV191" s="3906"/>
      <c r="IW191" s="3888"/>
      <c r="IX191" s="3889"/>
      <c r="IY191" s="3889"/>
      <c r="IZ191" s="3864"/>
      <c r="JA191" s="362"/>
      <c r="JB191" s="3900"/>
      <c r="JC191" s="3901"/>
      <c r="JD191" s="3902"/>
      <c r="JE191" s="622"/>
      <c r="JF191" s="362"/>
      <c r="JG191" s="658"/>
      <c r="JH191" s="622"/>
      <c r="JI191" s="622"/>
      <c r="JJ191" s="622"/>
      <c r="JK191" s="362"/>
      <c r="JL191" s="1832"/>
      <c r="JM191" s="622"/>
      <c r="JN191" s="622"/>
      <c r="JO191" s="3903"/>
      <c r="JP191" s="362"/>
      <c r="JQ191" s="3904"/>
      <c r="JR191" s="3905"/>
      <c r="JS191" s="1317"/>
      <c r="JT191" s="622"/>
      <c r="JU191" s="362"/>
      <c r="JV191" s="658"/>
      <c r="JW191" s="622"/>
      <c r="JX191" s="1317"/>
      <c r="JY191" s="3903"/>
      <c r="JZ191" s="3890"/>
      <c r="KA191" s="3900"/>
      <c r="KB191" s="3666"/>
      <c r="KC191" s="3905"/>
      <c r="KD191" s="622"/>
      <c r="KE191" s="362"/>
      <c r="KF191" s="658"/>
      <c r="KG191" s="3905"/>
      <c r="KH191" s="622"/>
      <c r="KI191" s="622"/>
      <c r="KJ191" s="362"/>
      <c r="KK191" s="3819"/>
      <c r="KL191" s="1317"/>
      <c r="KM191" s="1317"/>
      <c r="KN191" s="3864"/>
      <c r="KO191" s="3890"/>
      <c r="KP191" s="2000"/>
      <c r="KQ191" s="1317"/>
      <c r="KR191" s="3865"/>
      <c r="KS191" s="1317"/>
      <c r="KT191" s="3906"/>
      <c r="KU191" s="3892"/>
      <c r="KV191" s="1317"/>
      <c r="KW191" s="3865"/>
      <c r="KX191" s="1317"/>
      <c r="KY191" s="362"/>
      <c r="KZ191" s="1832"/>
      <c r="LA191" s="622"/>
      <c r="LB191" s="622"/>
      <c r="LC191" s="622"/>
      <c r="LD191" s="1576"/>
      <c r="LE191" s="1834"/>
      <c r="LF191" s="1830"/>
      <c r="LG191" s="1830"/>
      <c r="LH191" s="1831"/>
      <c r="LI191" s="1832"/>
      <c r="LJ191" s="1833"/>
      <c r="LK191" s="1834"/>
      <c r="LL191" s="1831"/>
      <c r="LM191" s="1829"/>
      <c r="LN191" s="3894"/>
      <c r="LO191" s="3894"/>
      <c r="LP191" s="239"/>
      <c r="LQ191" s="3907"/>
      <c r="LR191" s="3894"/>
      <c r="LS191" s="3894"/>
      <c r="LT191" s="3896"/>
      <c r="LU191" s="1873"/>
      <c r="LV191" s="401"/>
      <c r="LW191" s="395"/>
      <c r="LX191" s="395"/>
      <c r="LY191" s="115"/>
      <c r="LZ191" s="186"/>
      <c r="MA191" s="401"/>
      <c r="MB191" s="395"/>
      <c r="MC191" s="395"/>
      <c r="MD191" s="115"/>
      <c r="ME191" s="186"/>
      <c r="MF191" s="401"/>
      <c r="MG191" s="395"/>
      <c r="MH191" s="395"/>
      <c r="MI191" s="372"/>
      <c r="MJ191" s="207"/>
      <c r="MK191" s="2573"/>
      <c r="ML191" s="395"/>
      <c r="MM191" s="395"/>
      <c r="MN191" s="372"/>
      <c r="MO191" s="207"/>
      <c r="MP191" s="3805"/>
      <c r="MQ191" s="1317"/>
      <c r="MR191" s="1317"/>
      <c r="MS191" s="1317"/>
      <c r="MT191" s="801"/>
      <c r="MU191" s="1318"/>
      <c r="MV191" s="395"/>
      <c r="MW191" s="395"/>
      <c r="MX191" s="395"/>
      <c r="MY191" s="801"/>
      <c r="MZ191" s="1318"/>
      <c r="NA191" s="395"/>
      <c r="NB191" s="395"/>
      <c r="NC191" s="395"/>
      <c r="ND191" s="801"/>
      <c r="NE191" s="1318"/>
      <c r="NF191" s="395"/>
      <c r="NG191" s="395"/>
      <c r="NH191" s="395"/>
      <c r="NI191" s="801"/>
      <c r="NJ191" s="1318"/>
      <c r="NK191" s="395"/>
      <c r="NL191" s="395"/>
      <c r="NM191" s="395"/>
      <c r="NN191" s="801"/>
      <c r="NO191" s="2432"/>
      <c r="NP191" s="622"/>
      <c r="NQ191" s="2437"/>
      <c r="NR191" s="395"/>
      <c r="NS191" s="801"/>
      <c r="NT191" s="2432"/>
      <c r="NU191" s="622"/>
      <c r="NV191" s="622"/>
      <c r="NW191" s="395"/>
      <c r="NX191" s="801"/>
      <c r="NY191" s="2432"/>
      <c r="NZ191" s="622"/>
      <c r="OA191" s="622"/>
      <c r="OB191" s="772"/>
      <c r="OC191" s="116"/>
      <c r="OD191" s="2433"/>
      <c r="OE191" s="622"/>
      <c r="OF191" s="622"/>
      <c r="OG191" s="622"/>
      <c r="OH191" s="1576"/>
      <c r="OI191" s="3908"/>
      <c r="OJ191" s="115"/>
      <c r="OK191" s="115"/>
      <c r="OL191" s="115"/>
      <c r="OM191" s="116"/>
      <c r="ON191" s="622"/>
      <c r="OO191" s="622"/>
      <c r="OP191" s="622"/>
      <c r="OQ191" s="2437"/>
      <c r="OR191" s="421"/>
      <c r="OS191" s="3909"/>
      <c r="OT191" s="3886"/>
      <c r="OU191" s="3886"/>
      <c r="OV191" s="3910"/>
      <c r="OW191" s="421"/>
      <c r="OX191" s="2432">
        <f t="shared" si="674"/>
        <v>0</v>
      </c>
      <c r="OY191" s="622">
        <f t="shared" si="675"/>
        <v>0</v>
      </c>
      <c r="OZ191" s="622">
        <f t="shared" si="675"/>
        <v>0</v>
      </c>
      <c r="PA191" s="2437">
        <f t="shared" si="675"/>
        <v>0</v>
      </c>
      <c r="PB191" s="116"/>
      <c r="PC191" s="3886"/>
      <c r="PD191" s="401"/>
      <c r="PE191" s="395"/>
      <c r="PF191" s="395"/>
      <c r="PG191" s="115"/>
      <c r="PH191" s="186"/>
      <c r="PI191" s="401"/>
      <c r="PJ191" s="395"/>
      <c r="PK191" s="395"/>
      <c r="PL191" s="115"/>
      <c r="PM191" s="186"/>
      <c r="PN191" s="401"/>
      <c r="PO191" s="395"/>
      <c r="PP191" s="395"/>
      <c r="PQ191" s="372">
        <f t="shared" si="738"/>
        <v>0</v>
      </c>
      <c r="PR191" s="207"/>
      <c r="PS191" s="2891"/>
      <c r="PT191" s="2001"/>
      <c r="PU191" s="2001"/>
      <c r="PV191" s="2892">
        <f t="shared" si="676"/>
        <v>0</v>
      </c>
      <c r="PW191" s="370"/>
      <c r="PX191" s="3805"/>
      <c r="PY191" s="1317"/>
      <c r="PZ191" s="1317"/>
      <c r="QA191" s="1317">
        <v>0</v>
      </c>
      <c r="QB191" s="801"/>
      <c r="QC191" s="2002"/>
      <c r="QD191" s="2001"/>
      <c r="QE191" s="2001"/>
      <c r="QF191" s="2001"/>
      <c r="QG191" s="2003"/>
      <c r="QH191" s="2445"/>
      <c r="QI191" s="2001"/>
      <c r="QJ191" s="2001"/>
      <c r="QK191" s="2001"/>
      <c r="QL191" s="801"/>
      <c r="QM191" s="401"/>
      <c r="QN191" s="395"/>
      <c r="QO191" s="395"/>
      <c r="QP191" s="395"/>
      <c r="QQ191" s="801"/>
      <c r="QR191" s="1318"/>
      <c r="QS191" s="395"/>
      <c r="QT191" s="395"/>
      <c r="QU191" s="395"/>
      <c r="QV191" s="370"/>
      <c r="QW191" s="2002"/>
      <c r="QX191" s="2001"/>
      <c r="QY191" s="2001"/>
      <c r="QZ191" s="2001"/>
      <c r="RA191" s="801"/>
      <c r="RB191" s="2432"/>
      <c r="RC191" s="622"/>
      <c r="RD191" s="622"/>
      <c r="RE191" s="395">
        <f t="shared" si="745"/>
        <v>0</v>
      </c>
      <c r="RF191" s="801" t="e">
        <f t="shared" si="746"/>
        <v>#DIV/0!</v>
      </c>
      <c r="RG191" s="2108"/>
      <c r="RH191" s="1873"/>
      <c r="RI191" s="1873"/>
      <c r="RJ191" s="2012"/>
      <c r="RK191" s="116"/>
      <c r="RL191" s="3717"/>
      <c r="RM191" s="1873">
        <f t="shared" si="721"/>
        <v>0</v>
      </c>
      <c r="RN191" s="1873">
        <f t="shared" si="721"/>
        <v>0</v>
      </c>
      <c r="RO191" s="1873">
        <f t="shared" si="721"/>
        <v>0</v>
      </c>
      <c r="RP191" s="1576" t="e">
        <f t="shared" si="747"/>
        <v>#DIV/0!</v>
      </c>
      <c r="RQ191" s="3908">
        <f t="shared" si="722"/>
        <v>0</v>
      </c>
      <c r="RR191" s="115">
        <f t="shared" si="677"/>
        <v>0</v>
      </c>
      <c r="RS191" s="115">
        <f t="shared" si="677"/>
        <v>0</v>
      </c>
      <c r="RT191" s="115">
        <f t="shared" si="677"/>
        <v>0</v>
      </c>
      <c r="RU191" s="116"/>
      <c r="RV191" s="622"/>
      <c r="RW191" s="622"/>
      <c r="RX191" s="622"/>
      <c r="RY191" s="2437"/>
      <c r="RZ191" s="421"/>
      <c r="SA191" s="3909">
        <f t="shared" si="748"/>
        <v>0</v>
      </c>
      <c r="SB191" s="3886">
        <f t="shared" si="679"/>
        <v>0</v>
      </c>
      <c r="SC191" s="3886">
        <f t="shared" si="679"/>
        <v>0</v>
      </c>
      <c r="SD191" s="3910">
        <f t="shared" si="679"/>
        <v>0</v>
      </c>
      <c r="SE191" s="421" t="e">
        <f t="shared" si="680"/>
        <v>#DIV/0!</v>
      </c>
      <c r="SF191" s="3736"/>
      <c r="SG191" s="622"/>
      <c r="SH191" s="622"/>
      <c r="SI191" s="2437"/>
      <c r="SJ191" s="116"/>
      <c r="SK191" s="1568"/>
      <c r="SL191" s="2445"/>
      <c r="SM191" s="2001"/>
      <c r="SN191" s="2001"/>
      <c r="SO191" s="3534"/>
      <c r="SP191" s="1498"/>
      <c r="SQ191" s="2445"/>
      <c r="SR191" s="2001"/>
      <c r="SS191" s="2001"/>
      <c r="ST191" s="3534"/>
      <c r="SU191" s="1498"/>
      <c r="SV191" s="401"/>
      <c r="SW191" s="395"/>
      <c r="SX191" s="395"/>
      <c r="SY191" s="372">
        <f t="shared" si="740"/>
        <v>0</v>
      </c>
      <c r="SZ191" s="207"/>
      <c r="TA191" s="2573"/>
      <c r="TB191" s="395"/>
      <c r="TC191" s="395"/>
      <c r="TD191" s="372">
        <f t="shared" si="749"/>
        <v>0</v>
      </c>
      <c r="TE191" s="207"/>
      <c r="TF191" s="2573"/>
      <c r="TG191" s="395"/>
      <c r="TH191" s="395"/>
      <c r="TI191" s="395">
        <v>0</v>
      </c>
      <c r="TJ191" s="116"/>
      <c r="TK191" s="2002"/>
      <c r="TL191" s="2001"/>
      <c r="TM191" s="2001"/>
      <c r="TN191" s="2012"/>
      <c r="TO191" s="441"/>
      <c r="TP191" s="4464"/>
      <c r="TQ191" s="2001"/>
      <c r="TR191" s="2001"/>
      <c r="TS191" s="2012"/>
      <c r="TT191" s="116"/>
      <c r="TU191" s="4464"/>
      <c r="TV191" s="2001"/>
      <c r="TW191" s="2001"/>
      <c r="TX191" s="2012"/>
      <c r="TY191" s="441"/>
      <c r="TZ191" s="2002"/>
      <c r="UA191" s="2001"/>
      <c r="UB191" s="2001"/>
      <c r="UC191" s="2012"/>
      <c r="UD191" s="441"/>
      <c r="UE191" s="2002"/>
      <c r="UF191" s="1575"/>
      <c r="UG191" s="1575"/>
      <c r="UH191" s="2552">
        <f t="shared" si="698"/>
        <v>0</v>
      </c>
      <c r="UI191" s="222" t="e">
        <f t="shared" si="699"/>
        <v>#DIV/0!</v>
      </c>
      <c r="UJ191" s="2432"/>
      <c r="UK191" s="622"/>
      <c r="UL191" s="622"/>
      <c r="UM191" s="395">
        <f t="shared" si="750"/>
        <v>0</v>
      </c>
      <c r="UN191" s="725" t="e">
        <f t="shared" si="751"/>
        <v>#DIV/0!</v>
      </c>
      <c r="UO191" s="2108"/>
      <c r="UP191" s="1873"/>
      <c r="UQ191" s="1873"/>
      <c r="UR191" s="2012"/>
      <c r="US191" s="659"/>
      <c r="UT191" s="2433"/>
      <c r="UU191" s="358">
        <f t="shared" si="700"/>
        <v>0</v>
      </c>
      <c r="UV191" s="358">
        <f t="shared" si="700"/>
        <v>0</v>
      </c>
      <c r="UW191" s="358">
        <f t="shared" si="700"/>
        <v>0</v>
      </c>
      <c r="UX191" s="220" t="e">
        <f t="shared" si="704"/>
        <v>#DIV/0!</v>
      </c>
      <c r="UY191" s="2435">
        <f t="shared" si="731"/>
        <v>0</v>
      </c>
      <c r="UZ191" s="2436">
        <f t="shared" si="732"/>
        <v>0</v>
      </c>
      <c r="VA191" s="2436">
        <f t="shared" si="732"/>
        <v>0</v>
      </c>
      <c r="VB191" s="2436">
        <f t="shared" si="732"/>
        <v>0</v>
      </c>
      <c r="VC191" s="1439"/>
      <c r="VD191" s="622"/>
      <c r="VE191" s="358">
        <f t="shared" si="701"/>
        <v>0</v>
      </c>
      <c r="VF191" s="358">
        <f t="shared" si="701"/>
        <v>0</v>
      </c>
      <c r="VG191" s="359">
        <f t="shared" si="701"/>
        <v>0</v>
      </c>
      <c r="VH191" s="169" t="e">
        <f t="shared" si="702"/>
        <v>#DIV/0!</v>
      </c>
      <c r="VI191" s="2438">
        <f t="shared" si="752"/>
        <v>0</v>
      </c>
      <c r="VJ191" s="146">
        <f t="shared" si="703"/>
        <v>0</v>
      </c>
      <c r="VK191" s="146">
        <f t="shared" si="703"/>
        <v>0</v>
      </c>
      <c r="VL191" s="1864">
        <f t="shared" si="703"/>
        <v>0</v>
      </c>
      <c r="VM191" s="460" t="e">
        <f t="shared" si="734"/>
        <v>#DIV/0!</v>
      </c>
      <c r="VN191" s="2433"/>
      <c r="VO191" s="622"/>
      <c r="VP191" s="622"/>
      <c r="VQ191" s="2437"/>
      <c r="VR191" s="116"/>
      <c r="VS191" s="1193"/>
      <c r="VT191" s="1193"/>
      <c r="VU191" s="1193"/>
      <c r="VV191" s="1193"/>
      <c r="VW191" s="1193"/>
      <c r="VX191" s="1193"/>
      <c r="VY191" s="1193"/>
      <c r="VZ191" s="1193"/>
      <c r="WA191" s="1193"/>
      <c r="WB191" s="1193"/>
      <c r="WC191" s="1193"/>
      <c r="WD191" s="1193"/>
      <c r="WE191" s="1193"/>
      <c r="WF191" s="1193"/>
      <c r="WG191" s="1193"/>
      <c r="WH191" s="1193"/>
      <c r="WI191" s="1193"/>
      <c r="WJ191" s="1193"/>
      <c r="WK191" s="1193"/>
      <c r="WL191" s="1193"/>
      <c r="WM191" s="1193"/>
      <c r="WN191" s="1193"/>
      <c r="WO191" s="1193"/>
      <c r="WP191" s="1193"/>
      <c r="WQ191" s="1193"/>
      <c r="WR191" s="1193"/>
      <c r="WS191" s="1193"/>
      <c r="WT191" s="1193"/>
      <c r="WU191" s="1193"/>
      <c r="WV191" s="1193"/>
      <c r="WW191" s="1193"/>
      <c r="WX191" s="1193"/>
      <c r="WY191" s="1193"/>
      <c r="WZ191" s="1193"/>
      <c r="XA191" s="1193"/>
      <c r="XB191" s="1193"/>
      <c r="XC191" s="1193"/>
      <c r="XD191" s="1193"/>
      <c r="XE191" s="1193"/>
      <c r="XF191" s="1193"/>
      <c r="XG191" s="1193"/>
      <c r="XH191" s="1193"/>
      <c r="XI191" s="1193"/>
      <c r="XJ191" s="1193"/>
      <c r="XK191" s="1193"/>
      <c r="XL191" s="1193"/>
      <c r="XM191" s="1193"/>
      <c r="XN191" s="1193"/>
      <c r="XO191" s="1193"/>
      <c r="XP191" s="1193"/>
      <c r="XQ191" s="1193"/>
      <c r="XR191" s="1193"/>
      <c r="XS191" s="1193"/>
      <c r="XT191" s="1193"/>
      <c r="XU191" s="1193"/>
      <c r="XV191" s="1193"/>
      <c r="XW191" s="1193"/>
      <c r="XX191" s="1193"/>
      <c r="XY191" s="1193"/>
      <c r="XZ191" s="1193"/>
      <c r="YA191" s="1193"/>
      <c r="YB191" s="1193"/>
      <c r="YC191" s="1193"/>
      <c r="YD191" s="1193"/>
      <c r="YE191" s="1193"/>
      <c r="YF191" s="1193"/>
      <c r="YG191" s="1193"/>
      <c r="YH191" s="1193"/>
      <c r="YI191" s="1193"/>
      <c r="YJ191" s="1193"/>
      <c r="YK191" s="1193"/>
      <c r="YL191" s="1193"/>
      <c r="YM191" s="1193"/>
      <c r="YN191" s="1193"/>
      <c r="YO191" s="1193"/>
      <c r="YP191" s="1193"/>
      <c r="YQ191" s="1193"/>
      <c r="YR191" s="1193"/>
      <c r="YS191" s="1193"/>
      <c r="YT191" s="1193"/>
      <c r="YU191" s="1193"/>
      <c r="YV191" s="1193"/>
      <c r="YW191" s="1193"/>
      <c r="YX191" s="1193"/>
      <c r="YY191" s="1193"/>
      <c r="YZ191" s="1193"/>
      <c r="ZA191" s="1193"/>
      <c r="ZB191" s="1193"/>
      <c r="ZC191" s="1193"/>
      <c r="ZD191" s="1193"/>
      <c r="ZE191" s="1193"/>
      <c r="ZF191" s="1193"/>
      <c r="ZG191" s="1193"/>
      <c r="ZH191" s="1193"/>
      <c r="ZI191" s="1193"/>
      <c r="ZJ191" s="1193"/>
      <c r="ZK191" s="1193"/>
      <c r="ZL191" s="1193"/>
      <c r="ZM191" s="1193"/>
      <c r="ZN191" s="1193"/>
      <c r="ZO191" s="1193"/>
      <c r="ZP191" s="1193"/>
      <c r="ZQ191" s="1193"/>
      <c r="ZR191" s="1193"/>
      <c r="ZS191" s="1193"/>
      <c r="ZT191" s="1193"/>
      <c r="ZU191" s="1193"/>
      <c r="ZV191" s="1193"/>
      <c r="ZW191" s="1193"/>
      <c r="ZX191" s="1193"/>
      <c r="ZY191" s="1193"/>
      <c r="ZZ191" s="1193"/>
      <c r="AAA191" s="1193"/>
      <c r="AAB191" s="1193"/>
      <c r="AAC191" s="1193"/>
      <c r="AAD191" s="1193"/>
      <c r="AAE191" s="1193"/>
      <c r="AAF191" s="1193"/>
      <c r="AAG191" s="1193"/>
      <c r="AAH191" s="1193"/>
      <c r="AAI191" s="1193"/>
      <c r="AAJ191" s="1193"/>
      <c r="AAK191" s="1193"/>
      <c r="AAL191" s="1193"/>
      <c r="AAM191" s="1193"/>
      <c r="AAN191" s="1193"/>
      <c r="AAO191" s="1193"/>
      <c r="AAP191" s="1193"/>
      <c r="AAQ191" s="1193"/>
      <c r="AAR191" s="1193"/>
      <c r="AAS191" s="1193"/>
      <c r="AAT191" s="1193"/>
      <c r="AAU191" s="1193"/>
      <c r="AAV191" s="1193"/>
      <c r="AAW191" s="1193"/>
      <c r="AAX191" s="1193"/>
      <c r="AAY191" s="1193"/>
      <c r="AAZ191" s="1193"/>
      <c r="ABA191" s="1193"/>
      <c r="ABB191" s="1193"/>
      <c r="ABC191" s="1193"/>
      <c r="ABD191" s="1193"/>
      <c r="ABE191" s="1193"/>
      <c r="ABF191" s="1193"/>
      <c r="ABG191" s="1193"/>
      <c r="ABH191" s="1193"/>
      <c r="ABI191" s="1193"/>
      <c r="ABJ191" s="1193"/>
      <c r="ABK191" s="1193"/>
      <c r="ABL191" s="1193"/>
      <c r="ABM191" s="1193"/>
      <c r="ABN191" s="1193"/>
      <c r="ABO191" s="1193"/>
      <c r="ABP191" s="1193"/>
      <c r="ABQ191" s="1193"/>
    </row>
    <row r="192" spans="1:745" s="2425" customFormat="1" ht="13.45" hidden="1" x14ac:dyDescent="0.3">
      <c r="A192" s="2399"/>
      <c r="B192" s="583" t="s">
        <v>113</v>
      </c>
      <c r="C192" s="1991" t="s">
        <v>856</v>
      </c>
      <c r="D192" s="3869" t="s">
        <v>857</v>
      </c>
      <c r="E192" s="2086"/>
      <c r="F192" s="2086"/>
      <c r="G192" s="1994"/>
      <c r="H192" s="3870"/>
      <c r="I192" s="3871"/>
      <c r="J192" s="3871"/>
      <c r="K192" s="3871"/>
      <c r="L192" s="3872"/>
      <c r="M192" s="3870"/>
      <c r="N192" s="3871"/>
      <c r="O192" s="3871"/>
      <c r="P192" s="3871"/>
      <c r="Q192" s="3872"/>
      <c r="R192" s="3870"/>
      <c r="S192" s="3871"/>
      <c r="T192" s="3871"/>
      <c r="U192" s="3871"/>
      <c r="V192" s="3872"/>
      <c r="W192" s="3870"/>
      <c r="X192" s="3871"/>
      <c r="Y192" s="3871"/>
      <c r="Z192" s="3871"/>
      <c r="AA192" s="3873"/>
      <c r="AB192" s="3870"/>
      <c r="AC192" s="3871"/>
      <c r="AD192" s="3871"/>
      <c r="AE192" s="3871"/>
      <c r="AF192" s="3873"/>
      <c r="AG192" s="3871"/>
      <c r="AH192" s="3871"/>
      <c r="AI192" s="3871"/>
      <c r="AJ192" s="3871"/>
      <c r="AK192" s="3872"/>
      <c r="AL192" s="3871"/>
      <c r="AM192" s="3871"/>
      <c r="AN192" s="3871"/>
      <c r="AO192" s="3871"/>
      <c r="AP192" s="3872"/>
      <c r="AQ192" s="3871"/>
      <c r="AR192" s="3871"/>
      <c r="AS192" s="3871"/>
      <c r="AT192" s="3871"/>
      <c r="AU192" s="3872"/>
      <c r="AV192" s="3874"/>
      <c r="AW192" s="3871"/>
      <c r="AX192" s="3871"/>
      <c r="AY192" s="3871"/>
      <c r="AZ192" s="3873"/>
      <c r="BA192" s="3874"/>
      <c r="BB192" s="3871"/>
      <c r="BC192" s="3871"/>
      <c r="BD192" s="3871"/>
      <c r="BE192" s="3873"/>
      <c r="BF192" s="3874"/>
      <c r="BG192" s="3871"/>
      <c r="BH192" s="3871"/>
      <c r="BI192" s="3871"/>
      <c r="BJ192" s="3873"/>
      <c r="BK192" s="3874"/>
      <c r="BL192" s="3871"/>
      <c r="BM192" s="3871"/>
      <c r="BN192" s="3871"/>
      <c r="BO192" s="3873"/>
      <c r="BP192" s="3875"/>
      <c r="BQ192" s="3871"/>
      <c r="BR192" s="3871"/>
      <c r="BS192" s="3871"/>
      <c r="BT192" s="3876"/>
      <c r="BU192" s="3871"/>
      <c r="BV192" s="3871"/>
      <c r="BW192" s="3877"/>
      <c r="BX192" s="3876"/>
      <c r="BY192" s="3871"/>
      <c r="BZ192" s="3871"/>
      <c r="CA192" s="3878"/>
      <c r="CB192" s="3871"/>
      <c r="CC192" s="3871"/>
      <c r="CD192" s="3871"/>
      <c r="CE192" s="3871"/>
      <c r="CF192" s="3876"/>
      <c r="CG192" s="3871"/>
      <c r="CH192" s="3871"/>
      <c r="CI192" s="3878"/>
      <c r="CJ192" s="3879"/>
      <c r="CK192" s="3871"/>
      <c r="CL192" s="3871"/>
      <c r="CM192" s="3871"/>
      <c r="CN192" s="3877"/>
      <c r="CO192" s="3879"/>
      <c r="CP192" s="3870"/>
      <c r="CQ192" s="3870"/>
      <c r="CR192" s="3870"/>
      <c r="CS192" s="3877"/>
      <c r="CT192" s="3879"/>
      <c r="CU192" s="3871"/>
      <c r="CV192" s="3871"/>
      <c r="CW192" s="3871"/>
      <c r="CX192" s="3877"/>
      <c r="CY192" s="3879"/>
      <c r="CZ192" s="3871"/>
      <c r="DA192" s="3871"/>
      <c r="DB192" s="3871"/>
      <c r="DC192" s="3877"/>
      <c r="DD192" s="3879"/>
      <c r="DE192" s="3871"/>
      <c r="DF192" s="3871"/>
      <c r="DG192" s="3871"/>
      <c r="DH192" s="3880"/>
      <c r="DI192" s="3879"/>
      <c r="DJ192" s="3871"/>
      <c r="DK192" s="3871"/>
      <c r="DL192" s="3871"/>
      <c r="DM192" s="3880"/>
      <c r="DN192" s="3879"/>
      <c r="DO192" s="3871"/>
      <c r="DP192" s="3871"/>
      <c r="DQ192" s="3871"/>
      <c r="DR192" s="3880"/>
      <c r="DS192" s="3879"/>
      <c r="DT192" s="3871"/>
      <c r="DU192" s="3871"/>
      <c r="DV192" s="3871"/>
      <c r="DW192" s="3880"/>
      <c r="DX192" s="3879"/>
      <c r="DY192" s="3871"/>
      <c r="DZ192" s="3871"/>
      <c r="EA192" s="3871"/>
      <c r="EB192" s="3880"/>
      <c r="EC192" s="3879"/>
      <c r="ED192" s="3871"/>
      <c r="EE192" s="3871"/>
      <c r="EF192" s="3871"/>
      <c r="EG192" s="3880"/>
      <c r="EH192" s="2108"/>
      <c r="EI192" s="1873"/>
      <c r="EJ192" s="1873"/>
      <c r="EK192" s="1873"/>
      <c r="EL192" s="3881"/>
      <c r="EM192" s="1832"/>
      <c r="EN192" s="622"/>
      <c r="EO192" s="622"/>
      <c r="EP192" s="622"/>
      <c r="EQ192" s="362"/>
      <c r="ER192" s="3791"/>
      <c r="ES192" s="3792"/>
      <c r="ET192" s="3792"/>
      <c r="EU192" s="3792"/>
      <c r="EV192" s="370"/>
      <c r="EW192" s="3882"/>
      <c r="EX192" s="3882"/>
      <c r="EY192" s="3882"/>
      <c r="EZ192" s="3883"/>
      <c r="FA192" s="2108"/>
      <c r="FB192" s="3882"/>
      <c r="FC192" s="3882"/>
      <c r="FD192" s="1576"/>
      <c r="FE192" s="3882"/>
      <c r="FF192" s="3882"/>
      <c r="FG192" s="3882"/>
      <c r="FH192" s="3883"/>
      <c r="FI192" s="3884"/>
      <c r="FJ192" s="3885"/>
      <c r="FK192" s="3886"/>
      <c r="FL192" s="3886"/>
      <c r="FM192" s="239"/>
      <c r="FN192" s="3882"/>
      <c r="FO192" s="1873"/>
      <c r="FP192" s="1873"/>
      <c r="FQ192" s="1873"/>
      <c r="FR192" s="3887"/>
      <c r="FS192" s="1832"/>
      <c r="FT192" s="622"/>
      <c r="FU192" s="622"/>
      <c r="FV192" s="622"/>
      <c r="FW192" s="362"/>
      <c r="FX192" s="2108"/>
      <c r="FY192" s="1873"/>
      <c r="FZ192" s="1873"/>
      <c r="GA192" s="622"/>
      <c r="GB192" s="362"/>
      <c r="GC192" s="1832"/>
      <c r="GD192" s="622"/>
      <c r="GE192" s="622"/>
      <c r="GF192" s="622"/>
      <c r="GG192" s="362"/>
      <c r="GH192" s="1832"/>
      <c r="GI192" s="622"/>
      <c r="GJ192" s="622"/>
      <c r="GK192" s="622"/>
      <c r="GL192" s="362"/>
      <c r="GM192" s="1832"/>
      <c r="GN192" s="622"/>
      <c r="GO192" s="622"/>
      <c r="GP192" s="622"/>
      <c r="GQ192" s="362"/>
      <c r="GR192" s="1832"/>
      <c r="GS192" s="622"/>
      <c r="GT192" s="622"/>
      <c r="GU192" s="622"/>
      <c r="GV192" s="362"/>
      <c r="GW192" s="1832"/>
      <c r="GX192" s="622"/>
      <c r="GY192" s="622"/>
      <c r="GZ192" s="622"/>
      <c r="HA192" s="362"/>
      <c r="HB192" s="1832"/>
      <c r="HC192" s="622"/>
      <c r="HD192" s="622"/>
      <c r="HE192" s="622"/>
      <c r="HF192" s="362"/>
      <c r="HG192" s="1832"/>
      <c r="HH192" s="622"/>
      <c r="HI192" s="622"/>
      <c r="HJ192" s="3864"/>
      <c r="HK192" s="362"/>
      <c r="HL192" s="1832"/>
      <c r="HM192" s="622"/>
      <c r="HN192" s="622"/>
      <c r="HO192" s="622"/>
      <c r="HP192" s="362"/>
      <c r="HQ192" s="3892"/>
      <c r="HR192" s="1317"/>
      <c r="HS192" s="1317"/>
      <c r="HT192" s="1317"/>
      <c r="HU192" s="3911"/>
      <c r="HV192" s="2723"/>
      <c r="HW192" s="395"/>
      <c r="HX192" s="395"/>
      <c r="HY192" s="395"/>
      <c r="HZ192" s="2895"/>
      <c r="IA192" s="1829"/>
      <c r="IB192" s="1830"/>
      <c r="IC192" s="1830"/>
      <c r="ID192" s="1831"/>
      <c r="IE192" s="1832"/>
      <c r="IF192" s="1833"/>
      <c r="IG192" s="1834"/>
      <c r="IH192" s="1831"/>
      <c r="II192" s="1829"/>
      <c r="IJ192" s="3894"/>
      <c r="IK192" s="3894"/>
      <c r="IL192" s="239"/>
      <c r="IM192" s="3895"/>
      <c r="IN192" s="3894"/>
      <c r="IO192" s="3894"/>
      <c r="IP192" s="3896"/>
      <c r="IQ192" s="1873"/>
      <c r="IR192" s="3897"/>
      <c r="IS192" s="622"/>
      <c r="IT192" s="622"/>
      <c r="IU192" s="3912"/>
      <c r="IV192" s="3906"/>
      <c r="IW192" s="1832"/>
      <c r="IX192" s="622"/>
      <c r="IY192" s="622"/>
      <c r="IZ192" s="3864"/>
      <c r="JA192" s="362"/>
      <c r="JB192" s="3900"/>
      <c r="JC192" s="3901"/>
      <c r="JD192" s="3902"/>
      <c r="JE192" s="622"/>
      <c r="JF192" s="362"/>
      <c r="JG192" s="3900"/>
      <c r="JH192" s="622"/>
      <c r="JI192" s="622"/>
      <c r="JJ192" s="622"/>
      <c r="JK192" s="362"/>
      <c r="JL192" s="1832"/>
      <c r="JM192" s="622"/>
      <c r="JN192" s="622"/>
      <c r="JO192" s="622"/>
      <c r="JP192" s="362"/>
      <c r="JQ192" s="3913"/>
      <c r="JR192" s="3905"/>
      <c r="JS192" s="1317"/>
      <c r="JT192" s="622"/>
      <c r="JU192" s="362"/>
      <c r="JV192" s="658"/>
      <c r="JW192" s="622"/>
      <c r="JX192" s="1317"/>
      <c r="JY192" s="622"/>
      <c r="JZ192" s="362"/>
      <c r="KA192" s="3900"/>
      <c r="KB192" s="1317"/>
      <c r="KC192" s="3905"/>
      <c r="KD192" s="622"/>
      <c r="KE192" s="362"/>
      <c r="KF192" s="3900"/>
      <c r="KG192" s="1317"/>
      <c r="KH192" s="622"/>
      <c r="KI192" s="622"/>
      <c r="KJ192" s="362"/>
      <c r="KK192" s="3819"/>
      <c r="KL192" s="1317"/>
      <c r="KM192" s="1317"/>
      <c r="KN192" s="3864"/>
      <c r="KO192" s="3890"/>
      <c r="KP192" s="2000"/>
      <c r="KQ192" s="1317"/>
      <c r="KR192" s="3865"/>
      <c r="KS192" s="1317"/>
      <c r="KT192" s="3906"/>
      <c r="KU192" s="3892"/>
      <c r="KV192" s="1317"/>
      <c r="KW192" s="3865"/>
      <c r="KX192" s="1317"/>
      <c r="KY192" s="362"/>
      <c r="KZ192" s="1832"/>
      <c r="LA192" s="622"/>
      <c r="LB192" s="622"/>
      <c r="LC192" s="622"/>
      <c r="LD192" s="1576"/>
      <c r="LE192" s="1834"/>
      <c r="LF192" s="1830"/>
      <c r="LG192" s="1830"/>
      <c r="LH192" s="1831"/>
      <c r="LI192" s="1832"/>
      <c r="LJ192" s="1833"/>
      <c r="LK192" s="1834"/>
      <c r="LL192" s="1831"/>
      <c r="LM192" s="1829"/>
      <c r="LN192" s="3894"/>
      <c r="LO192" s="3894"/>
      <c r="LP192" s="239"/>
      <c r="LQ192" s="3907"/>
      <c r="LR192" s="3894"/>
      <c r="LS192" s="3894"/>
      <c r="LT192" s="3896"/>
      <c r="LU192" s="1873"/>
      <c r="LV192" s="401"/>
      <c r="LW192" s="395"/>
      <c r="LX192" s="395"/>
      <c r="LY192" s="115"/>
      <c r="LZ192" s="186"/>
      <c r="MA192" s="401"/>
      <c r="MB192" s="395"/>
      <c r="MC192" s="395"/>
      <c r="MD192" s="115"/>
      <c r="ME192" s="186"/>
      <c r="MF192" s="401"/>
      <c r="MG192" s="395"/>
      <c r="MH192" s="395"/>
      <c r="MI192" s="372"/>
      <c r="MJ192" s="207"/>
      <c r="MK192" s="2573"/>
      <c r="ML192" s="395"/>
      <c r="MM192" s="395"/>
      <c r="MN192" s="372"/>
      <c r="MO192" s="207"/>
      <c r="MP192" s="3914"/>
      <c r="MQ192" s="1317"/>
      <c r="MR192" s="1317"/>
      <c r="MS192" s="1317"/>
      <c r="MT192" s="801"/>
      <c r="MU192" s="1318"/>
      <c r="MV192" s="395"/>
      <c r="MW192" s="395"/>
      <c r="MX192" s="395"/>
      <c r="MY192" s="2896"/>
      <c r="MZ192" s="1318"/>
      <c r="NA192" s="395"/>
      <c r="NB192" s="395"/>
      <c r="NC192" s="395"/>
      <c r="ND192" s="2896"/>
      <c r="NE192" s="1318"/>
      <c r="NF192" s="395"/>
      <c r="NG192" s="395"/>
      <c r="NH192" s="395"/>
      <c r="NI192" s="801"/>
      <c r="NJ192" s="1318"/>
      <c r="NK192" s="395"/>
      <c r="NL192" s="395"/>
      <c r="NM192" s="395"/>
      <c r="NN192" s="801"/>
      <c r="NO192" s="2432"/>
      <c r="NP192" s="622"/>
      <c r="NQ192" s="2437"/>
      <c r="NR192" s="395"/>
      <c r="NS192" s="801"/>
      <c r="NT192" s="2432"/>
      <c r="NU192" s="622"/>
      <c r="NV192" s="622"/>
      <c r="NW192" s="395"/>
      <c r="NX192" s="801"/>
      <c r="NY192" s="2432"/>
      <c r="NZ192" s="622"/>
      <c r="OA192" s="622"/>
      <c r="OB192" s="772"/>
      <c r="OC192" s="116"/>
      <c r="OD192" s="622"/>
      <c r="OE192" s="622">
        <v>0</v>
      </c>
      <c r="OF192" s="622">
        <v>0</v>
      </c>
      <c r="OG192" s="622">
        <v>0</v>
      </c>
      <c r="OH192" s="1576"/>
      <c r="OI192" s="3908"/>
      <c r="OJ192" s="115"/>
      <c r="OK192" s="115"/>
      <c r="OL192" s="115"/>
      <c r="OM192" s="116"/>
      <c r="ON192" s="622"/>
      <c r="OO192" s="622"/>
      <c r="OP192" s="622"/>
      <c r="OQ192" s="2437"/>
      <c r="OR192" s="421"/>
      <c r="OS192" s="3909"/>
      <c r="OT192" s="3886"/>
      <c r="OU192" s="3886"/>
      <c r="OV192" s="3910"/>
      <c r="OW192" s="421"/>
      <c r="OX192" s="2432">
        <f t="shared" si="674"/>
        <v>0</v>
      </c>
      <c r="OY192" s="622">
        <f t="shared" si="675"/>
        <v>0</v>
      </c>
      <c r="OZ192" s="622">
        <f t="shared" si="675"/>
        <v>0</v>
      </c>
      <c r="PA192" s="2437">
        <f t="shared" si="675"/>
        <v>0</v>
      </c>
      <c r="PB192" s="116"/>
      <c r="PC192" s="3886"/>
      <c r="PD192" s="401"/>
      <c r="PE192" s="395"/>
      <c r="PF192" s="395"/>
      <c r="PG192" s="115"/>
      <c r="PH192" s="186"/>
      <c r="PI192" s="401"/>
      <c r="PJ192" s="395"/>
      <c r="PK192" s="395"/>
      <c r="PL192" s="115">
        <f>PK192-PJ192</f>
        <v>0</v>
      </c>
      <c r="PM192" s="186"/>
      <c r="PN192" s="401"/>
      <c r="PO192" s="395"/>
      <c r="PP192" s="395"/>
      <c r="PQ192" s="372"/>
      <c r="PR192" s="207"/>
      <c r="PS192" s="2891"/>
      <c r="PT192" s="2001"/>
      <c r="PU192" s="2001"/>
      <c r="PV192" s="2892">
        <f t="shared" si="676"/>
        <v>0</v>
      </c>
      <c r="PW192" s="370"/>
      <c r="PX192" s="3914"/>
      <c r="PY192" s="1317"/>
      <c r="PZ192" s="1317"/>
      <c r="QA192" s="1317">
        <v>0</v>
      </c>
      <c r="QB192" s="801"/>
      <c r="QC192" s="2002"/>
      <c r="QD192" s="2001"/>
      <c r="QE192" s="2001"/>
      <c r="QF192" s="2001"/>
      <c r="QG192" s="2003"/>
      <c r="QH192" s="2445"/>
      <c r="QI192" s="2001"/>
      <c r="QJ192" s="2001"/>
      <c r="QK192" s="2001"/>
      <c r="QL192" s="2896"/>
      <c r="QM192" s="401"/>
      <c r="QN192" s="395"/>
      <c r="QO192" s="395"/>
      <c r="QP192" s="395"/>
      <c r="QQ192" s="801"/>
      <c r="QR192" s="1318"/>
      <c r="QS192" s="395"/>
      <c r="QT192" s="395"/>
      <c r="QU192" s="395"/>
      <c r="QV192" s="370"/>
      <c r="QW192" s="2002"/>
      <c r="QX192" s="2001"/>
      <c r="QY192" s="2001"/>
      <c r="QZ192" s="2001"/>
      <c r="RA192" s="801"/>
      <c r="RB192" s="2432"/>
      <c r="RC192" s="622"/>
      <c r="RD192" s="622"/>
      <c r="RE192" s="395">
        <f t="shared" si="745"/>
        <v>0</v>
      </c>
      <c r="RF192" s="801" t="e">
        <f t="shared" si="746"/>
        <v>#DIV/0!</v>
      </c>
      <c r="RG192" s="2108"/>
      <c r="RH192" s="1873"/>
      <c r="RI192" s="1873"/>
      <c r="RJ192" s="2012"/>
      <c r="RK192" s="116"/>
      <c r="RL192" s="3717"/>
      <c r="RM192" s="1873">
        <f t="shared" si="721"/>
        <v>0</v>
      </c>
      <c r="RN192" s="1873">
        <f t="shared" si="721"/>
        <v>0</v>
      </c>
      <c r="RO192" s="1873">
        <f t="shared" si="721"/>
        <v>0</v>
      </c>
      <c r="RP192" s="1576" t="e">
        <f t="shared" si="747"/>
        <v>#DIV/0!</v>
      </c>
      <c r="RQ192" s="3908">
        <f t="shared" si="722"/>
        <v>0</v>
      </c>
      <c r="RR192" s="115">
        <f t="shared" si="677"/>
        <v>0</v>
      </c>
      <c r="RS192" s="115">
        <f t="shared" si="677"/>
        <v>0</v>
      </c>
      <c r="RT192" s="115">
        <f t="shared" si="677"/>
        <v>0</v>
      </c>
      <c r="RU192" s="116" t="e">
        <f>RT192/RS192</f>
        <v>#DIV/0!</v>
      </c>
      <c r="RV192" s="622"/>
      <c r="RW192" s="622"/>
      <c r="RX192" s="622"/>
      <c r="RY192" s="2437"/>
      <c r="RZ192" s="421"/>
      <c r="SA192" s="3909">
        <f t="shared" si="748"/>
        <v>0</v>
      </c>
      <c r="SB192" s="3886">
        <f t="shared" si="679"/>
        <v>0</v>
      </c>
      <c r="SC192" s="3886">
        <f t="shared" si="679"/>
        <v>0</v>
      </c>
      <c r="SD192" s="3910">
        <f t="shared" si="679"/>
        <v>0</v>
      </c>
      <c r="SE192" s="421" t="e">
        <f t="shared" si="680"/>
        <v>#DIV/0!</v>
      </c>
      <c r="SF192" s="3736"/>
      <c r="SG192" s="622"/>
      <c r="SH192" s="622"/>
      <c r="SI192" s="2437"/>
      <c r="SJ192" s="116"/>
      <c r="SK192" s="1568"/>
      <c r="SL192" s="2445"/>
      <c r="SM192" s="2001"/>
      <c r="SN192" s="2001"/>
      <c r="SO192" s="3534"/>
      <c r="SP192" s="1498"/>
      <c r="SQ192" s="2445"/>
      <c r="SR192" s="2001"/>
      <c r="SS192" s="2001"/>
      <c r="ST192" s="3534">
        <f>SS192-SR192</f>
        <v>0</v>
      </c>
      <c r="SU192" s="1498"/>
      <c r="SV192" s="401"/>
      <c r="SW192" s="395"/>
      <c r="SX192" s="395"/>
      <c r="SY192" s="372"/>
      <c r="SZ192" s="207"/>
      <c r="TA192" s="2573"/>
      <c r="TB192" s="395"/>
      <c r="TC192" s="395"/>
      <c r="TD192" s="372">
        <f t="shared" si="749"/>
        <v>0</v>
      </c>
      <c r="TE192" s="207"/>
      <c r="TF192" s="4110"/>
      <c r="TG192" s="395"/>
      <c r="TH192" s="395"/>
      <c r="TI192" s="395">
        <v>0</v>
      </c>
      <c r="TJ192" s="116"/>
      <c r="TK192" s="2002"/>
      <c r="TL192" s="2001"/>
      <c r="TM192" s="2001"/>
      <c r="TN192" s="2012"/>
      <c r="TO192" s="441"/>
      <c r="TP192" s="4464"/>
      <c r="TQ192" s="2001"/>
      <c r="TR192" s="2001"/>
      <c r="TS192" s="2012"/>
      <c r="TT192" s="1321"/>
      <c r="TU192" s="4464"/>
      <c r="TV192" s="2001"/>
      <c r="TW192" s="2001"/>
      <c r="TX192" s="2012"/>
      <c r="TY192" s="441"/>
      <c r="TZ192" s="2002"/>
      <c r="UA192" s="2001"/>
      <c r="UB192" s="2001"/>
      <c r="UC192" s="2012"/>
      <c r="UD192" s="441"/>
      <c r="UE192" s="2002"/>
      <c r="UF192" s="1575"/>
      <c r="UG192" s="1575"/>
      <c r="UH192" s="2552">
        <f t="shared" si="698"/>
        <v>0</v>
      </c>
      <c r="UI192" s="222" t="e">
        <f t="shared" si="699"/>
        <v>#DIV/0!</v>
      </c>
      <c r="UJ192" s="2432"/>
      <c r="UK192" s="622"/>
      <c r="UL192" s="622"/>
      <c r="UM192" s="395">
        <f t="shared" si="750"/>
        <v>0</v>
      </c>
      <c r="UN192" s="725" t="e">
        <f t="shared" si="751"/>
        <v>#DIV/0!</v>
      </c>
      <c r="UO192" s="2108"/>
      <c r="UP192" s="1873"/>
      <c r="UQ192" s="1873"/>
      <c r="UR192" s="2012"/>
      <c r="US192" s="659"/>
      <c r="UT192" s="2433"/>
      <c r="UU192" s="358">
        <f t="shared" si="700"/>
        <v>0</v>
      </c>
      <c r="UV192" s="358">
        <f t="shared" si="700"/>
        <v>0</v>
      </c>
      <c r="UW192" s="358">
        <f t="shared" si="700"/>
        <v>0</v>
      </c>
      <c r="UX192" s="220" t="e">
        <f t="shared" si="704"/>
        <v>#DIV/0!</v>
      </c>
      <c r="UY192" s="2435">
        <f t="shared" si="731"/>
        <v>0</v>
      </c>
      <c r="UZ192" s="2436">
        <f t="shared" si="732"/>
        <v>0</v>
      </c>
      <c r="VA192" s="2436">
        <f t="shared" si="732"/>
        <v>0</v>
      </c>
      <c r="VB192" s="2436">
        <f t="shared" si="732"/>
        <v>0</v>
      </c>
      <c r="VC192" s="1439" t="e">
        <f>VB192/VA192</f>
        <v>#DIV/0!</v>
      </c>
      <c r="VD192" s="622"/>
      <c r="VE192" s="358">
        <f t="shared" si="701"/>
        <v>0</v>
      </c>
      <c r="VF192" s="358">
        <f t="shared" si="701"/>
        <v>0</v>
      </c>
      <c r="VG192" s="359">
        <f t="shared" si="701"/>
        <v>0</v>
      </c>
      <c r="VH192" s="169" t="e">
        <f t="shared" si="702"/>
        <v>#DIV/0!</v>
      </c>
      <c r="VI192" s="2438">
        <f t="shared" si="752"/>
        <v>0</v>
      </c>
      <c r="VJ192" s="146">
        <f t="shared" si="703"/>
        <v>0</v>
      </c>
      <c r="VK192" s="146">
        <f t="shared" si="703"/>
        <v>0</v>
      </c>
      <c r="VL192" s="1864">
        <f t="shared" si="703"/>
        <v>0</v>
      </c>
      <c r="VM192" s="460" t="e">
        <f t="shared" si="734"/>
        <v>#DIV/0!</v>
      </c>
      <c r="VN192" s="2433"/>
      <c r="VO192" s="622"/>
      <c r="VP192" s="622"/>
      <c r="VQ192" s="2437"/>
      <c r="VR192" s="116"/>
      <c r="VS192" s="1193"/>
      <c r="VT192" s="1193"/>
      <c r="VU192" s="1193"/>
      <c r="VV192" s="1193"/>
      <c r="VW192" s="1193"/>
      <c r="VX192" s="1193"/>
      <c r="VY192" s="1193"/>
      <c r="VZ192" s="1193"/>
      <c r="WA192" s="1193"/>
      <c r="WB192" s="1193"/>
      <c r="WC192" s="1193"/>
      <c r="WD192" s="1193"/>
      <c r="WE192" s="1193"/>
      <c r="WF192" s="1193"/>
      <c r="WG192" s="1193"/>
      <c r="WH192" s="1193"/>
      <c r="WI192" s="1193"/>
      <c r="WJ192" s="1193"/>
      <c r="WK192" s="1193"/>
      <c r="WL192" s="1193"/>
      <c r="WM192" s="1193"/>
      <c r="WN192" s="1193"/>
      <c r="WO192" s="1193"/>
      <c r="WP192" s="1193"/>
      <c r="WQ192" s="1193"/>
      <c r="WR192" s="1193"/>
      <c r="WS192" s="1193"/>
      <c r="WT192" s="1193"/>
      <c r="WU192" s="1193"/>
      <c r="WV192" s="1193"/>
      <c r="WW192" s="1193"/>
      <c r="WX192" s="1193"/>
      <c r="WY192" s="1193"/>
      <c r="WZ192" s="1193"/>
      <c r="XA192" s="1193"/>
      <c r="XB192" s="1193"/>
      <c r="XC192" s="1193"/>
      <c r="XD192" s="1193"/>
      <c r="XE192" s="1193"/>
      <c r="XF192" s="1193"/>
      <c r="XG192" s="1193"/>
      <c r="XH192" s="1193"/>
      <c r="XI192" s="1193"/>
      <c r="XJ192" s="1193"/>
      <c r="XK192" s="1193"/>
      <c r="XL192" s="1193"/>
      <c r="XM192" s="1193"/>
      <c r="XN192" s="1193"/>
      <c r="XO192" s="1193"/>
      <c r="XP192" s="1193"/>
      <c r="XQ192" s="1193"/>
      <c r="XR192" s="1193"/>
      <c r="XS192" s="1193"/>
      <c r="XT192" s="1193"/>
      <c r="XU192" s="1193"/>
      <c r="XV192" s="1193"/>
      <c r="XW192" s="1193"/>
      <c r="XX192" s="1193"/>
      <c r="XY192" s="1193"/>
      <c r="XZ192" s="1193"/>
      <c r="YA192" s="1193"/>
      <c r="YB192" s="1193"/>
      <c r="YC192" s="1193"/>
      <c r="YD192" s="1193"/>
      <c r="YE192" s="1193"/>
      <c r="YF192" s="1193"/>
      <c r="YG192" s="1193"/>
      <c r="YH192" s="1193"/>
      <c r="YI192" s="1193"/>
      <c r="YJ192" s="1193"/>
      <c r="YK192" s="1193"/>
      <c r="YL192" s="1193"/>
      <c r="YM192" s="1193"/>
      <c r="YN192" s="1193"/>
      <c r="YO192" s="1193"/>
      <c r="YP192" s="1193"/>
      <c r="YQ192" s="1193"/>
      <c r="YR192" s="1193"/>
      <c r="YS192" s="1193"/>
      <c r="YT192" s="1193"/>
      <c r="YU192" s="1193"/>
      <c r="YV192" s="1193"/>
      <c r="YW192" s="1193"/>
      <c r="YX192" s="1193"/>
      <c r="YY192" s="1193"/>
      <c r="YZ192" s="1193"/>
      <c r="ZA192" s="1193"/>
      <c r="ZB192" s="1193"/>
      <c r="ZC192" s="1193"/>
      <c r="ZD192" s="1193"/>
      <c r="ZE192" s="1193"/>
      <c r="ZF192" s="1193"/>
      <c r="ZG192" s="1193"/>
      <c r="ZH192" s="1193"/>
      <c r="ZI192" s="1193"/>
      <c r="ZJ192" s="1193"/>
      <c r="ZK192" s="1193"/>
      <c r="ZL192" s="1193"/>
      <c r="ZM192" s="1193"/>
      <c r="ZN192" s="1193"/>
      <c r="ZO192" s="1193"/>
      <c r="ZP192" s="1193"/>
      <c r="ZQ192" s="1193"/>
      <c r="ZR192" s="1193"/>
      <c r="ZS192" s="1193"/>
      <c r="ZT192" s="1193"/>
      <c r="ZU192" s="1193"/>
      <c r="ZV192" s="1193"/>
      <c r="ZW192" s="1193"/>
      <c r="ZX192" s="1193"/>
      <c r="ZY192" s="1193"/>
      <c r="ZZ192" s="1193"/>
      <c r="AAA192" s="1193"/>
      <c r="AAB192" s="1193"/>
      <c r="AAC192" s="1193"/>
      <c r="AAD192" s="1193"/>
      <c r="AAE192" s="1193"/>
      <c r="AAF192" s="1193"/>
      <c r="AAG192" s="1193"/>
      <c r="AAH192" s="1193"/>
      <c r="AAI192" s="1193"/>
      <c r="AAJ192" s="1193"/>
      <c r="AAK192" s="1193"/>
      <c r="AAL192" s="1193"/>
      <c r="AAM192" s="1193"/>
      <c r="AAN192" s="1193"/>
      <c r="AAO192" s="1193"/>
      <c r="AAP192" s="1193"/>
      <c r="AAQ192" s="1193"/>
      <c r="AAR192" s="1193"/>
      <c r="AAS192" s="1193"/>
      <c r="AAT192" s="1193"/>
      <c r="AAU192" s="1193"/>
      <c r="AAV192" s="1193"/>
      <c r="AAW192" s="1193"/>
      <c r="AAX192" s="1193"/>
      <c r="AAY192" s="1193"/>
      <c r="AAZ192" s="1193"/>
      <c r="ABA192" s="1193"/>
      <c r="ABB192" s="1193"/>
      <c r="ABC192" s="1193"/>
      <c r="ABD192" s="1193"/>
      <c r="ABE192" s="1193"/>
      <c r="ABF192" s="1193"/>
      <c r="ABG192" s="1193"/>
      <c r="ABH192" s="1193"/>
      <c r="ABI192" s="1193"/>
      <c r="ABJ192" s="1193"/>
      <c r="ABK192" s="1193"/>
      <c r="ABL192" s="1193"/>
      <c r="ABM192" s="1193"/>
      <c r="ABN192" s="1193"/>
      <c r="ABO192" s="1193"/>
      <c r="ABP192" s="1193"/>
      <c r="ABQ192" s="1193"/>
    </row>
    <row r="193" spans="1:745" s="2425" customFormat="1" ht="13.45" hidden="1" x14ac:dyDescent="0.3">
      <c r="A193" s="2399"/>
      <c r="B193" s="583" t="s">
        <v>113</v>
      </c>
      <c r="C193" s="1991" t="s">
        <v>114</v>
      </c>
      <c r="D193" s="3869"/>
      <c r="E193" s="2086"/>
      <c r="F193" s="2086"/>
      <c r="G193" s="1994"/>
      <c r="H193" s="3870"/>
      <c r="I193" s="3871"/>
      <c r="J193" s="3871"/>
      <c r="K193" s="3871"/>
      <c r="L193" s="3872"/>
      <c r="M193" s="3870"/>
      <c r="N193" s="3871"/>
      <c r="O193" s="3871"/>
      <c r="P193" s="3871"/>
      <c r="Q193" s="3872"/>
      <c r="R193" s="3870"/>
      <c r="S193" s="3871"/>
      <c r="T193" s="3871"/>
      <c r="U193" s="3871"/>
      <c r="V193" s="3872"/>
      <c r="W193" s="3870"/>
      <c r="X193" s="3871"/>
      <c r="Y193" s="3871"/>
      <c r="Z193" s="3871"/>
      <c r="AA193" s="3873"/>
      <c r="AB193" s="3870"/>
      <c r="AC193" s="3871"/>
      <c r="AD193" s="3871"/>
      <c r="AE193" s="3871"/>
      <c r="AF193" s="3873"/>
      <c r="AG193" s="3871"/>
      <c r="AH193" s="3871"/>
      <c r="AI193" s="3871"/>
      <c r="AJ193" s="3871"/>
      <c r="AK193" s="3872"/>
      <c r="AL193" s="3871"/>
      <c r="AM193" s="3871"/>
      <c r="AN193" s="3871"/>
      <c r="AO193" s="3871"/>
      <c r="AP193" s="3872"/>
      <c r="AQ193" s="3871"/>
      <c r="AR193" s="3871"/>
      <c r="AS193" s="3871"/>
      <c r="AT193" s="3871"/>
      <c r="AU193" s="3872"/>
      <c r="AV193" s="3874"/>
      <c r="AW193" s="3871"/>
      <c r="AX193" s="3871"/>
      <c r="AY193" s="3871"/>
      <c r="AZ193" s="3873"/>
      <c r="BA193" s="3874"/>
      <c r="BB193" s="3871"/>
      <c r="BC193" s="3871"/>
      <c r="BD193" s="3871"/>
      <c r="BE193" s="3873"/>
      <c r="BF193" s="3874"/>
      <c r="BG193" s="3871"/>
      <c r="BH193" s="3871"/>
      <c r="BI193" s="3871"/>
      <c r="BJ193" s="3873"/>
      <c r="BK193" s="3874"/>
      <c r="BL193" s="3871"/>
      <c r="BM193" s="3871"/>
      <c r="BN193" s="3871"/>
      <c r="BO193" s="3873"/>
      <c r="BP193" s="3875"/>
      <c r="BQ193" s="3871"/>
      <c r="BR193" s="3871"/>
      <c r="BS193" s="3871"/>
      <c r="BT193" s="3876"/>
      <c r="BU193" s="3871"/>
      <c r="BV193" s="3871"/>
      <c r="BW193" s="3877"/>
      <c r="BX193" s="3876"/>
      <c r="BY193" s="3871"/>
      <c r="BZ193" s="3871"/>
      <c r="CA193" s="3878"/>
      <c r="CB193" s="3871"/>
      <c r="CC193" s="3871"/>
      <c r="CD193" s="3871"/>
      <c r="CE193" s="3871"/>
      <c r="CF193" s="3876"/>
      <c r="CG193" s="3871"/>
      <c r="CH193" s="3871"/>
      <c r="CI193" s="3878"/>
      <c r="CJ193" s="3879"/>
      <c r="CK193" s="3871"/>
      <c r="CL193" s="3871"/>
      <c r="CM193" s="3871"/>
      <c r="CN193" s="3877"/>
      <c r="CO193" s="3879"/>
      <c r="CP193" s="3870"/>
      <c r="CQ193" s="3870"/>
      <c r="CR193" s="3870"/>
      <c r="CS193" s="3877"/>
      <c r="CT193" s="3879"/>
      <c r="CU193" s="3871"/>
      <c r="CV193" s="3871"/>
      <c r="CW193" s="3871"/>
      <c r="CX193" s="3877"/>
      <c r="CY193" s="3879"/>
      <c r="CZ193" s="3871"/>
      <c r="DA193" s="3871"/>
      <c r="DB193" s="3871"/>
      <c r="DC193" s="3877"/>
      <c r="DD193" s="3879"/>
      <c r="DE193" s="3871"/>
      <c r="DF193" s="3871"/>
      <c r="DG193" s="3871"/>
      <c r="DH193" s="3880"/>
      <c r="DI193" s="3879"/>
      <c r="DJ193" s="3871"/>
      <c r="DK193" s="3871"/>
      <c r="DL193" s="3871"/>
      <c r="DM193" s="3880"/>
      <c r="DN193" s="3879"/>
      <c r="DO193" s="3871"/>
      <c r="DP193" s="3871"/>
      <c r="DQ193" s="3871"/>
      <c r="DR193" s="3880"/>
      <c r="DS193" s="3879"/>
      <c r="DT193" s="3871"/>
      <c r="DU193" s="3871"/>
      <c r="DV193" s="3871"/>
      <c r="DW193" s="3880"/>
      <c r="DX193" s="3879"/>
      <c r="DY193" s="3871"/>
      <c r="DZ193" s="3871"/>
      <c r="EA193" s="3871"/>
      <c r="EB193" s="3880"/>
      <c r="EC193" s="3879"/>
      <c r="ED193" s="3871"/>
      <c r="EE193" s="3871"/>
      <c r="EF193" s="3871"/>
      <c r="EG193" s="3880"/>
      <c r="EH193" s="2108"/>
      <c r="EI193" s="1873"/>
      <c r="EJ193" s="1873"/>
      <c r="EK193" s="1873"/>
      <c r="EL193" s="3881"/>
      <c r="EM193" s="1832"/>
      <c r="EN193" s="622"/>
      <c r="EO193" s="622"/>
      <c r="EP193" s="622"/>
      <c r="EQ193" s="362"/>
      <c r="ER193" s="3791">
        <f>(CJ193+CO193+CT193+CY193+DD193+DI193+DN193+DS193+DX193+EC193+EH193+EM193)/12</f>
        <v>0</v>
      </c>
      <c r="ES193" s="3792">
        <f>CK193+CP193+CU193+CZ193+DE193+DJ193+DO193+DT193+DY193+ED193+EI193+EN193</f>
        <v>0</v>
      </c>
      <c r="ET193" s="3792">
        <f>CL193+CQ193+CV193+DA193+DF193+DK193+DP193+DU193+DZ193+EE193+EJ193+EO193</f>
        <v>0</v>
      </c>
      <c r="EU193" s="3792">
        <f>CM193+CR193+CW193+DB193+DG193+DL193+DQ193+DV193+EA193+EF193+EK193+EP193</f>
        <v>0</v>
      </c>
      <c r="EV193" s="370" t="e">
        <f>EU193/ET193</f>
        <v>#DIV/0!</v>
      </c>
      <c r="EW193" s="3882"/>
      <c r="EX193" s="3882"/>
      <c r="EY193" s="3882"/>
      <c r="EZ193" s="3883"/>
      <c r="FA193" s="2108"/>
      <c r="FB193" s="3882"/>
      <c r="FC193" s="3882"/>
      <c r="FD193" s="1576"/>
      <c r="FE193" s="3882"/>
      <c r="FF193" s="3882"/>
      <c r="FG193" s="3882"/>
      <c r="FH193" s="3883"/>
      <c r="FI193" s="3884"/>
      <c r="FJ193" s="3885"/>
      <c r="FK193" s="3886"/>
      <c r="FL193" s="3886"/>
      <c r="FM193" s="239"/>
      <c r="FN193" s="3882"/>
      <c r="FO193" s="1873"/>
      <c r="FP193" s="1873"/>
      <c r="FQ193" s="1873"/>
      <c r="FR193" s="3887"/>
      <c r="FS193" s="1832"/>
      <c r="FT193" s="622"/>
      <c r="FU193" s="622"/>
      <c r="FV193" s="622"/>
      <c r="FW193" s="362"/>
      <c r="FX193" s="2108"/>
      <c r="FY193" s="1873"/>
      <c r="FZ193" s="1873"/>
      <c r="GA193" s="622"/>
      <c r="GB193" s="362"/>
      <c r="GC193" s="1832"/>
      <c r="GD193" s="622"/>
      <c r="GE193" s="622"/>
      <c r="GF193" s="622"/>
      <c r="GG193" s="362"/>
      <c r="GH193" s="1832"/>
      <c r="GI193" s="622"/>
      <c r="GJ193" s="622"/>
      <c r="GK193" s="622"/>
      <c r="GL193" s="362"/>
      <c r="GM193" s="1832"/>
      <c r="GN193" s="622"/>
      <c r="GO193" s="622"/>
      <c r="GP193" s="622"/>
      <c r="GQ193" s="362"/>
      <c r="GR193" s="1832"/>
      <c r="GS193" s="622"/>
      <c r="GT193" s="622"/>
      <c r="GU193" s="622"/>
      <c r="GV193" s="362"/>
      <c r="GW193" s="1832"/>
      <c r="GX193" s="622"/>
      <c r="GY193" s="622"/>
      <c r="GZ193" s="622"/>
      <c r="HA193" s="362"/>
      <c r="HB193" s="1832"/>
      <c r="HC193" s="622"/>
      <c r="HD193" s="622"/>
      <c r="HE193" s="622"/>
      <c r="HF193" s="362"/>
      <c r="HG193" s="1832"/>
      <c r="HH193" s="622"/>
      <c r="HI193" s="622"/>
      <c r="HJ193" s="3864"/>
      <c r="HK193" s="362"/>
      <c r="HL193" s="1832"/>
      <c r="HM193" s="622"/>
      <c r="HN193" s="622"/>
      <c r="HO193" s="622"/>
      <c r="HP193" s="362"/>
      <c r="HQ193" s="3892"/>
      <c r="HR193" s="1317"/>
      <c r="HS193" s="1317"/>
      <c r="HT193" s="1317"/>
      <c r="HU193" s="3911"/>
      <c r="HV193" s="2723">
        <f>(FN193+FS193+FX193+GC193+GH193+GM193+GR193+GW193+HB193+HG193+HL193+HQ193)/12</f>
        <v>0</v>
      </c>
      <c r="HW193" s="395">
        <f>FO193+FT193+FY193+GD193+GI193+GN193+GS193+GX193+HC193+HH193+HM193+HR193</f>
        <v>0</v>
      </c>
      <c r="HX193" s="395">
        <f>FP193+FU193+FZ193+GE193+GJ193+GO193+GT193+GY193+HD193+HI193+HN193+HS193</f>
        <v>0</v>
      </c>
      <c r="HY193" s="395">
        <f>FQ193+FV193+GA193+GF193+GK193+GP193+GU193+GZ193+HE193+HJ193+HO193+HT193</f>
        <v>0</v>
      </c>
      <c r="HZ193" s="2895"/>
      <c r="IA193" s="1829"/>
      <c r="IB193" s="1830"/>
      <c r="IC193" s="1830"/>
      <c r="ID193" s="1831"/>
      <c r="IE193" s="1832"/>
      <c r="IF193" s="1833"/>
      <c r="IG193" s="1834"/>
      <c r="IH193" s="1831"/>
      <c r="II193" s="1829"/>
      <c r="IJ193" s="3894"/>
      <c r="IK193" s="3894"/>
      <c r="IL193" s="239"/>
      <c r="IM193" s="3895"/>
      <c r="IN193" s="3894"/>
      <c r="IO193" s="3894"/>
      <c r="IP193" s="3896"/>
      <c r="IQ193" s="1873"/>
      <c r="IR193" s="3897"/>
      <c r="IS193" s="622"/>
      <c r="IT193" s="622"/>
      <c r="IU193" s="3912"/>
      <c r="IV193" s="3906"/>
      <c r="IW193" s="1832"/>
      <c r="IX193" s="622"/>
      <c r="IY193" s="622"/>
      <c r="IZ193" s="3864"/>
      <c r="JA193" s="362"/>
      <c r="JB193" s="3900"/>
      <c r="JC193" s="3901"/>
      <c r="JD193" s="3902"/>
      <c r="JE193" s="622"/>
      <c r="JF193" s="362"/>
      <c r="JG193" s="3900"/>
      <c r="JH193" s="622"/>
      <c r="JI193" s="622"/>
      <c r="JJ193" s="622"/>
      <c r="JK193" s="362"/>
      <c r="JL193" s="1832"/>
      <c r="JM193" s="622"/>
      <c r="JN193" s="622"/>
      <c r="JO193" s="622"/>
      <c r="JP193" s="362"/>
      <c r="JQ193" s="3913"/>
      <c r="JR193" s="3905"/>
      <c r="JS193" s="1317"/>
      <c r="JT193" s="622"/>
      <c r="JU193" s="362"/>
      <c r="JV193" s="658"/>
      <c r="JW193" s="622"/>
      <c r="JX193" s="1317"/>
      <c r="JY193" s="622"/>
      <c r="JZ193" s="362"/>
      <c r="KA193" s="3900"/>
      <c r="KB193" s="1317"/>
      <c r="KC193" s="3905"/>
      <c r="KD193" s="622"/>
      <c r="KE193" s="362"/>
      <c r="KF193" s="3900"/>
      <c r="KG193" s="1317"/>
      <c r="KH193" s="622"/>
      <c r="KI193" s="622"/>
      <c r="KJ193" s="362"/>
      <c r="KK193" s="3819"/>
      <c r="KL193" s="1317"/>
      <c r="KM193" s="1317"/>
      <c r="KN193" s="3864"/>
      <c r="KO193" s="3890"/>
      <c r="KP193" s="2000"/>
      <c r="KQ193" s="1317"/>
      <c r="KR193" s="3865"/>
      <c r="KS193" s="1317"/>
      <c r="KT193" s="3906"/>
      <c r="KU193" s="3892"/>
      <c r="KV193" s="1317"/>
      <c r="KW193" s="3865"/>
      <c r="KX193" s="1317"/>
      <c r="KY193" s="362"/>
      <c r="KZ193" s="1832"/>
      <c r="LA193" s="622"/>
      <c r="LB193" s="622"/>
      <c r="LC193" s="622"/>
      <c r="LD193" s="1576"/>
      <c r="LE193" s="1834"/>
      <c r="LF193" s="1830"/>
      <c r="LG193" s="1830"/>
      <c r="LH193" s="1831"/>
      <c r="LI193" s="1832"/>
      <c r="LJ193" s="1833"/>
      <c r="LK193" s="1834"/>
      <c r="LL193" s="1831"/>
      <c r="LM193" s="1829"/>
      <c r="LN193" s="3894"/>
      <c r="LO193" s="3894"/>
      <c r="LP193" s="239"/>
      <c r="LQ193" s="3907"/>
      <c r="LR193" s="3894"/>
      <c r="LS193" s="3894"/>
      <c r="LT193" s="3896"/>
      <c r="LU193" s="1873"/>
      <c r="LV193" s="401"/>
      <c r="LW193" s="395"/>
      <c r="LX193" s="395"/>
      <c r="LY193" s="115"/>
      <c r="LZ193" s="186"/>
      <c r="MA193" s="401"/>
      <c r="MB193" s="395"/>
      <c r="MC193" s="395"/>
      <c r="MD193" s="115"/>
      <c r="ME193" s="186"/>
      <c r="MF193" s="401"/>
      <c r="MG193" s="395"/>
      <c r="MH193" s="395"/>
      <c r="MI193" s="372"/>
      <c r="MJ193" s="207"/>
      <c r="MK193" s="2573"/>
      <c r="ML193" s="395"/>
      <c r="MM193" s="395"/>
      <c r="MN193" s="372"/>
      <c r="MO193" s="207"/>
      <c r="MP193" s="3914"/>
      <c r="MQ193" s="1317"/>
      <c r="MR193" s="1317"/>
      <c r="MS193" s="1317"/>
      <c r="MT193" s="801"/>
      <c r="MU193" s="1318"/>
      <c r="MV193" s="395"/>
      <c r="MW193" s="395"/>
      <c r="MX193" s="395"/>
      <c r="MY193" s="2896"/>
      <c r="MZ193" s="1318"/>
      <c r="NA193" s="395"/>
      <c r="NB193" s="395"/>
      <c r="NC193" s="395"/>
      <c r="ND193" s="2896"/>
      <c r="NE193" s="1318">
        <v>3</v>
      </c>
      <c r="NF193" s="395">
        <v>143840</v>
      </c>
      <c r="NG193" s="395">
        <v>238901</v>
      </c>
      <c r="NH193" s="395">
        <f>NG193-NF193</f>
        <v>95061</v>
      </c>
      <c r="NI193" s="801">
        <f>NH193/NG193</f>
        <v>0.39790959435079803</v>
      </c>
      <c r="NJ193" s="1318">
        <v>3</v>
      </c>
      <c r="NK193" s="395">
        <v>265811</v>
      </c>
      <c r="NL193" s="395">
        <v>438240</v>
      </c>
      <c r="NM193" s="395">
        <f>NL193-NK193</f>
        <v>172429</v>
      </c>
      <c r="NN193" s="801">
        <f>NM193/NL193</f>
        <v>0.39345792259948886</v>
      </c>
      <c r="NO193" s="2432">
        <v>3</v>
      </c>
      <c r="NP193" s="622">
        <v>265117</v>
      </c>
      <c r="NQ193" s="2437">
        <v>414432</v>
      </c>
      <c r="NR193" s="395">
        <f>NQ193-NP193</f>
        <v>149315</v>
      </c>
      <c r="NS193" s="801">
        <f>NR193/NQ193</f>
        <v>0.36028829820091113</v>
      </c>
      <c r="NT193" s="2432">
        <v>3</v>
      </c>
      <c r="NU193" s="622">
        <v>265117</v>
      </c>
      <c r="NV193" s="622">
        <v>410720</v>
      </c>
      <c r="NW193" s="395">
        <f>NV193-NU193</f>
        <v>145603</v>
      </c>
      <c r="NX193" s="801">
        <f>NW193/NV193</f>
        <v>0.35450671990650567</v>
      </c>
      <c r="NY193" s="2432">
        <v>3</v>
      </c>
      <c r="NZ193" s="622">
        <v>265811</v>
      </c>
      <c r="OA193" s="622">
        <v>422624</v>
      </c>
      <c r="OB193" s="772">
        <f>OA193-NZ193</f>
        <v>156813</v>
      </c>
      <c r="OC193" s="116">
        <f>OB193/OA193</f>
        <v>0.37104613083970622</v>
      </c>
      <c r="OD193" s="2432">
        <v>3</v>
      </c>
      <c r="OE193" s="622">
        <f t="shared" ref="OE193:OG196" si="753">NZ193+NU193+NP193+NK193+NF193+NA193+MV193+MQ193+ML193+MG193+MB193+LW193</f>
        <v>1205696</v>
      </c>
      <c r="OF193" s="622">
        <f t="shared" si="753"/>
        <v>1924917</v>
      </c>
      <c r="OG193" s="622">
        <f t="shared" si="753"/>
        <v>719221</v>
      </c>
      <c r="OH193" s="1576">
        <f>OG193/OF193</f>
        <v>0.37363740878178126</v>
      </c>
      <c r="OI193" s="3908"/>
      <c r="OJ193" s="115"/>
      <c r="OK193" s="115"/>
      <c r="OL193" s="115"/>
      <c r="OM193" s="116"/>
      <c r="ON193" s="622"/>
      <c r="OO193" s="622"/>
      <c r="OP193" s="622"/>
      <c r="OQ193" s="2437"/>
      <c r="OR193" s="421"/>
      <c r="OS193" s="3909">
        <f>(NJ193+NE193+MZ193)/3</f>
        <v>2</v>
      </c>
      <c r="OT193" s="3886">
        <f>NK193+NF193+NA193</f>
        <v>409651</v>
      </c>
      <c r="OU193" s="3886">
        <f>NL193+NG193+NB193</f>
        <v>677141</v>
      </c>
      <c r="OV193" s="3910">
        <f>NM193+NH193+NC193</f>
        <v>267490</v>
      </c>
      <c r="OW193" s="421">
        <f>OV193/OU193</f>
        <v>0.3950285095718617</v>
      </c>
      <c r="OX193" s="2432">
        <f t="shared" si="674"/>
        <v>3</v>
      </c>
      <c r="OY193" s="622">
        <f t="shared" si="675"/>
        <v>796045</v>
      </c>
      <c r="OZ193" s="622">
        <f t="shared" si="675"/>
        <v>1247776</v>
      </c>
      <c r="PA193" s="2437">
        <f t="shared" si="675"/>
        <v>451731</v>
      </c>
      <c r="PB193" s="116">
        <f>PA193/OZ193</f>
        <v>0.36202892185776936</v>
      </c>
      <c r="PC193" s="3886"/>
      <c r="PD193" s="401"/>
      <c r="PE193" s="622"/>
      <c r="PF193" s="395"/>
      <c r="PG193" s="115"/>
      <c r="PH193" s="186"/>
      <c r="PI193" s="401"/>
      <c r="PJ193" s="395"/>
      <c r="PK193" s="395"/>
      <c r="PL193" s="115">
        <f>PK193-PJ193</f>
        <v>0</v>
      </c>
      <c r="PM193" s="186"/>
      <c r="PN193" s="401"/>
      <c r="PO193" s="395"/>
      <c r="PP193" s="395"/>
      <c r="PQ193" s="372"/>
      <c r="PR193" s="207"/>
      <c r="PS193" s="2891"/>
      <c r="PT193" s="2001"/>
      <c r="PU193" s="2001"/>
      <c r="PV193" s="2892">
        <f t="shared" si="676"/>
        <v>0</v>
      </c>
      <c r="PW193" s="370"/>
      <c r="PX193" s="3914"/>
      <c r="PY193" s="1317"/>
      <c r="PZ193" s="1317"/>
      <c r="QA193" s="1317">
        <v>0</v>
      </c>
      <c r="QB193" s="801"/>
      <c r="QC193" s="2002"/>
      <c r="QD193" s="2001"/>
      <c r="QE193" s="2001"/>
      <c r="QF193" s="2001"/>
      <c r="QG193" s="2003"/>
      <c r="QH193" s="2445"/>
      <c r="QI193" s="2001"/>
      <c r="QJ193" s="2001"/>
      <c r="QK193" s="2001"/>
      <c r="QL193" s="2896"/>
      <c r="QM193" s="401"/>
      <c r="QN193" s="395"/>
      <c r="QO193" s="395"/>
      <c r="QP193" s="395">
        <f>QO193-QN193</f>
        <v>0</v>
      </c>
      <c r="QQ193" s="801" t="e">
        <f>QP193/QO193</f>
        <v>#DIV/0!</v>
      </c>
      <c r="QR193" s="1318"/>
      <c r="QS193" s="395"/>
      <c r="QT193" s="395"/>
      <c r="QU193" s="395">
        <f>QT193-QS193</f>
        <v>0</v>
      </c>
      <c r="QV193" s="370" t="e">
        <f>QU193/QT193</f>
        <v>#DIV/0!</v>
      </c>
      <c r="QW193" s="2002"/>
      <c r="QX193" s="2001"/>
      <c r="QY193" s="2001"/>
      <c r="QZ193" s="2001">
        <f>QY193-QX193</f>
        <v>0</v>
      </c>
      <c r="RA193" s="801" t="e">
        <f>QZ193/QY193</f>
        <v>#DIV/0!</v>
      </c>
      <c r="RB193" s="2432"/>
      <c r="RC193" s="622"/>
      <c r="RD193" s="622"/>
      <c r="RE193" s="395">
        <f t="shared" si="745"/>
        <v>0</v>
      </c>
      <c r="RF193" s="801" t="e">
        <f t="shared" si="746"/>
        <v>#DIV/0!</v>
      </c>
      <c r="RG193" s="2108"/>
      <c r="RH193" s="1873"/>
      <c r="RI193" s="1873"/>
      <c r="RJ193" s="2012">
        <f>RI193-RH193</f>
        <v>0</v>
      </c>
      <c r="RK193" s="116" t="e">
        <f>RJ193/RI193</f>
        <v>#DIV/0!</v>
      </c>
      <c r="RL193" s="3717"/>
      <c r="RM193" s="1873">
        <f t="shared" si="721"/>
        <v>0</v>
      </c>
      <c r="RN193" s="1873">
        <f t="shared" si="721"/>
        <v>0</v>
      </c>
      <c r="RO193" s="1873">
        <f t="shared" si="721"/>
        <v>0</v>
      </c>
      <c r="RP193" s="1576" t="e">
        <f t="shared" si="747"/>
        <v>#DIV/0!</v>
      </c>
      <c r="RQ193" s="3908">
        <f t="shared" si="722"/>
        <v>0</v>
      </c>
      <c r="RR193" s="115">
        <f t="shared" si="677"/>
        <v>0</v>
      </c>
      <c r="RS193" s="115">
        <f t="shared" si="677"/>
        <v>0</v>
      </c>
      <c r="RT193" s="115">
        <f t="shared" si="677"/>
        <v>0</v>
      </c>
      <c r="RU193" s="116" t="e">
        <f>RT193/RS193</f>
        <v>#DIV/0!</v>
      </c>
      <c r="RV193" s="622"/>
      <c r="RW193" s="622"/>
      <c r="RX193" s="622"/>
      <c r="RY193" s="2437"/>
      <c r="RZ193" s="421"/>
      <c r="SA193" s="3909">
        <f t="shared" si="748"/>
        <v>0</v>
      </c>
      <c r="SB193" s="3886">
        <f t="shared" si="679"/>
        <v>0</v>
      </c>
      <c r="SC193" s="3886">
        <f t="shared" si="679"/>
        <v>0</v>
      </c>
      <c r="SD193" s="3910">
        <f t="shared" si="679"/>
        <v>0</v>
      </c>
      <c r="SE193" s="421" t="e">
        <f t="shared" si="680"/>
        <v>#DIV/0!</v>
      </c>
      <c r="SF193" s="3736"/>
      <c r="SG193" s="622">
        <f t="shared" ref="SG193:SI196" si="754">QX193+RC193+RH193</f>
        <v>0</v>
      </c>
      <c r="SH193" s="622">
        <f t="shared" si="754"/>
        <v>0</v>
      </c>
      <c r="SI193" s="2437">
        <f t="shared" si="754"/>
        <v>0</v>
      </c>
      <c r="SJ193" s="116" t="e">
        <f>SI193/SH193</f>
        <v>#DIV/0!</v>
      </c>
      <c r="SK193" s="1568"/>
      <c r="SL193" s="2445"/>
      <c r="SM193" s="1873"/>
      <c r="SN193" s="2001"/>
      <c r="SO193" s="3534"/>
      <c r="SP193" s="1498"/>
      <c r="SQ193" s="2445"/>
      <c r="SR193" s="2001"/>
      <c r="SS193" s="2001"/>
      <c r="ST193" s="3534">
        <f>SS193-SR193</f>
        <v>0</v>
      </c>
      <c r="SU193" s="1498"/>
      <c r="SV193" s="401"/>
      <c r="SW193" s="395"/>
      <c r="SX193" s="395"/>
      <c r="SY193" s="372"/>
      <c r="SZ193" s="207"/>
      <c r="TA193" s="2573"/>
      <c r="TB193" s="395"/>
      <c r="TC193" s="395"/>
      <c r="TD193" s="372">
        <f t="shared" si="749"/>
        <v>0</v>
      </c>
      <c r="TE193" s="207"/>
      <c r="TF193" s="4110"/>
      <c r="TG193" s="395"/>
      <c r="TH193" s="395"/>
      <c r="TI193" s="395">
        <v>0</v>
      </c>
      <c r="TJ193" s="116"/>
      <c r="TK193" s="2002"/>
      <c r="TL193" s="2001"/>
      <c r="TM193" s="2001"/>
      <c r="TN193" s="2012"/>
      <c r="TO193" s="441"/>
      <c r="TP193" s="4464"/>
      <c r="TQ193" s="2001"/>
      <c r="TR193" s="2001"/>
      <c r="TS193" s="2012"/>
      <c r="TT193" s="1321"/>
      <c r="TU193" s="4464"/>
      <c r="TV193" s="2001"/>
      <c r="TW193" s="2001"/>
      <c r="TX193" s="2012">
        <f>TW193-TV193</f>
        <v>0</v>
      </c>
      <c r="TY193" s="441" t="e">
        <f>TX193/TW193</f>
        <v>#DIV/0!</v>
      </c>
      <c r="TZ193" s="2002"/>
      <c r="UA193" s="2001"/>
      <c r="UB193" s="2001"/>
      <c r="UC193" s="2012">
        <f>UB193-UA193</f>
        <v>0</v>
      </c>
      <c r="UD193" s="441" t="e">
        <f>UC193/UB193</f>
        <v>#DIV/0!</v>
      </c>
      <c r="UE193" s="2002"/>
      <c r="UF193" s="1575"/>
      <c r="UG193" s="1575"/>
      <c r="UH193" s="2552">
        <f t="shared" si="698"/>
        <v>0</v>
      </c>
      <c r="UI193" s="222" t="e">
        <f t="shared" si="699"/>
        <v>#DIV/0!</v>
      </c>
      <c r="UJ193" s="2432"/>
      <c r="UK193" s="622"/>
      <c r="UL193" s="622"/>
      <c r="UM193" s="395">
        <f t="shared" si="750"/>
        <v>0</v>
      </c>
      <c r="UN193" s="725" t="e">
        <f t="shared" si="751"/>
        <v>#DIV/0!</v>
      </c>
      <c r="UO193" s="2108"/>
      <c r="UP193" s="1873"/>
      <c r="UQ193" s="1873"/>
      <c r="UR193" s="2012">
        <f>UQ193-UP193</f>
        <v>0</v>
      </c>
      <c r="US193" s="659" t="e">
        <f>UR193/UQ193</f>
        <v>#DIV/0!</v>
      </c>
      <c r="UT193" s="2433"/>
      <c r="UU193" s="358">
        <f t="shared" si="700"/>
        <v>0</v>
      </c>
      <c r="UV193" s="358">
        <f t="shared" si="700"/>
        <v>0</v>
      </c>
      <c r="UW193" s="358">
        <f t="shared" si="700"/>
        <v>0</v>
      </c>
      <c r="UX193" s="220" t="e">
        <f t="shared" si="704"/>
        <v>#DIV/0!</v>
      </c>
      <c r="UY193" s="2435">
        <f t="shared" si="731"/>
        <v>0</v>
      </c>
      <c r="UZ193" s="2436">
        <f t="shared" si="732"/>
        <v>0</v>
      </c>
      <c r="VA193" s="2436">
        <f t="shared" si="732"/>
        <v>0</v>
      </c>
      <c r="VB193" s="2436">
        <f t="shared" si="732"/>
        <v>0</v>
      </c>
      <c r="VC193" s="1439" t="e">
        <f>VB193/VA193</f>
        <v>#DIV/0!</v>
      </c>
      <c r="VD193" s="622"/>
      <c r="VE193" s="358">
        <f t="shared" si="701"/>
        <v>0</v>
      </c>
      <c r="VF193" s="358">
        <f t="shared" si="701"/>
        <v>0</v>
      </c>
      <c r="VG193" s="359">
        <f t="shared" si="701"/>
        <v>0</v>
      </c>
      <c r="VH193" s="169" t="e">
        <f t="shared" si="702"/>
        <v>#DIV/0!</v>
      </c>
      <c r="VI193" s="2438">
        <f t="shared" si="752"/>
        <v>0</v>
      </c>
      <c r="VJ193" s="146">
        <f t="shared" si="703"/>
        <v>0</v>
      </c>
      <c r="VK193" s="146">
        <f t="shared" si="703"/>
        <v>0</v>
      </c>
      <c r="VL193" s="1864">
        <f t="shared" si="703"/>
        <v>0</v>
      </c>
      <c r="VM193" s="460" t="e">
        <f t="shared" si="734"/>
        <v>#DIV/0!</v>
      </c>
      <c r="VN193" s="2433"/>
      <c r="VO193" s="622">
        <f t="shared" ref="VO193:VQ196" si="755">UF193+UK193+UP193</f>
        <v>0</v>
      </c>
      <c r="VP193" s="622">
        <f t="shared" si="755"/>
        <v>0</v>
      </c>
      <c r="VQ193" s="2437">
        <f t="shared" si="755"/>
        <v>0</v>
      </c>
      <c r="VR193" s="116" t="e">
        <f>VQ193/VP193</f>
        <v>#DIV/0!</v>
      </c>
      <c r="VS193" s="1193"/>
      <c r="VT193" s="1193"/>
      <c r="VU193" s="1193"/>
      <c r="VV193" s="1193"/>
      <c r="VW193" s="1193"/>
      <c r="VX193" s="1193"/>
      <c r="VY193" s="1193"/>
      <c r="VZ193" s="1193"/>
      <c r="WA193" s="1193"/>
      <c r="WB193" s="1193"/>
      <c r="WC193" s="1193"/>
      <c r="WD193" s="1193"/>
      <c r="WE193" s="1193"/>
      <c r="WF193" s="1193"/>
      <c r="WG193" s="1193"/>
      <c r="WH193" s="1193"/>
      <c r="WI193" s="1193"/>
      <c r="WJ193" s="1193"/>
      <c r="WK193" s="1193"/>
      <c r="WL193" s="1193"/>
      <c r="WM193" s="1193"/>
      <c r="WN193" s="1193"/>
      <c r="WO193" s="1193"/>
      <c r="WP193" s="1193"/>
      <c r="WQ193" s="1193"/>
      <c r="WR193" s="1193"/>
      <c r="WS193" s="1193"/>
      <c r="WT193" s="1193"/>
      <c r="WU193" s="1193"/>
      <c r="WV193" s="1193"/>
      <c r="WW193" s="1193"/>
      <c r="WX193" s="1193"/>
      <c r="WY193" s="1193"/>
      <c r="WZ193" s="1193"/>
      <c r="XA193" s="1193"/>
      <c r="XB193" s="1193"/>
      <c r="XC193" s="1193"/>
      <c r="XD193" s="1193"/>
      <c r="XE193" s="1193"/>
      <c r="XF193" s="1193"/>
      <c r="XG193" s="1193"/>
      <c r="XH193" s="1193"/>
      <c r="XI193" s="1193"/>
      <c r="XJ193" s="1193"/>
      <c r="XK193" s="1193"/>
      <c r="XL193" s="1193"/>
      <c r="XM193" s="1193"/>
      <c r="XN193" s="1193"/>
      <c r="XO193" s="1193"/>
      <c r="XP193" s="1193"/>
      <c r="XQ193" s="1193"/>
      <c r="XR193" s="1193"/>
      <c r="XS193" s="1193"/>
      <c r="XT193" s="1193"/>
      <c r="XU193" s="1193"/>
      <c r="XV193" s="1193"/>
      <c r="XW193" s="1193"/>
      <c r="XX193" s="1193"/>
      <c r="XY193" s="1193"/>
      <c r="XZ193" s="1193"/>
      <c r="YA193" s="1193"/>
      <c r="YB193" s="1193"/>
      <c r="YC193" s="1193"/>
      <c r="YD193" s="1193"/>
      <c r="YE193" s="1193"/>
      <c r="YF193" s="1193"/>
      <c r="YG193" s="1193"/>
      <c r="YH193" s="1193"/>
      <c r="YI193" s="1193"/>
      <c r="YJ193" s="1193"/>
      <c r="YK193" s="1193"/>
      <c r="YL193" s="1193"/>
      <c r="YM193" s="1193"/>
      <c r="YN193" s="1193"/>
      <c r="YO193" s="1193"/>
      <c r="YP193" s="1193"/>
      <c r="YQ193" s="1193"/>
      <c r="YR193" s="1193"/>
      <c r="YS193" s="1193"/>
      <c r="YT193" s="1193"/>
      <c r="YU193" s="1193"/>
      <c r="YV193" s="1193"/>
      <c r="YW193" s="1193"/>
      <c r="YX193" s="1193"/>
      <c r="YY193" s="1193"/>
      <c r="YZ193" s="1193"/>
      <c r="ZA193" s="1193"/>
      <c r="ZB193" s="1193"/>
      <c r="ZC193" s="1193"/>
      <c r="ZD193" s="1193"/>
      <c r="ZE193" s="1193"/>
      <c r="ZF193" s="1193"/>
      <c r="ZG193" s="1193"/>
      <c r="ZH193" s="1193"/>
      <c r="ZI193" s="1193"/>
      <c r="ZJ193" s="1193"/>
      <c r="ZK193" s="1193"/>
      <c r="ZL193" s="1193"/>
      <c r="ZM193" s="1193"/>
      <c r="ZN193" s="1193"/>
      <c r="ZO193" s="1193"/>
      <c r="ZP193" s="1193"/>
      <c r="ZQ193" s="1193"/>
      <c r="ZR193" s="1193"/>
      <c r="ZS193" s="1193"/>
      <c r="ZT193" s="1193"/>
      <c r="ZU193" s="1193"/>
      <c r="ZV193" s="1193"/>
      <c r="ZW193" s="1193"/>
      <c r="ZX193" s="1193"/>
      <c r="ZY193" s="1193"/>
      <c r="ZZ193" s="1193"/>
      <c r="AAA193" s="1193"/>
      <c r="AAB193" s="1193"/>
      <c r="AAC193" s="1193"/>
      <c r="AAD193" s="1193"/>
      <c r="AAE193" s="1193"/>
      <c r="AAF193" s="1193"/>
      <c r="AAG193" s="1193"/>
      <c r="AAH193" s="1193"/>
      <c r="AAI193" s="1193"/>
      <c r="AAJ193" s="1193"/>
      <c r="AAK193" s="1193"/>
      <c r="AAL193" s="1193"/>
      <c r="AAM193" s="1193"/>
      <c r="AAN193" s="1193"/>
      <c r="AAO193" s="1193"/>
      <c r="AAP193" s="1193"/>
      <c r="AAQ193" s="1193"/>
      <c r="AAR193" s="1193"/>
      <c r="AAS193" s="1193"/>
      <c r="AAT193" s="1193"/>
      <c r="AAU193" s="1193"/>
      <c r="AAV193" s="1193"/>
      <c r="AAW193" s="1193"/>
      <c r="AAX193" s="1193"/>
      <c r="AAY193" s="1193"/>
      <c r="AAZ193" s="1193"/>
      <c r="ABA193" s="1193"/>
      <c r="ABB193" s="1193"/>
      <c r="ABC193" s="1193"/>
      <c r="ABD193" s="1193"/>
      <c r="ABE193" s="1193"/>
      <c r="ABF193" s="1193"/>
      <c r="ABG193" s="1193"/>
      <c r="ABH193" s="1193"/>
      <c r="ABI193" s="1193"/>
      <c r="ABJ193" s="1193"/>
      <c r="ABK193" s="1193"/>
      <c r="ABL193" s="1193"/>
      <c r="ABM193" s="1193"/>
      <c r="ABN193" s="1193"/>
      <c r="ABO193" s="1193"/>
      <c r="ABP193" s="1193"/>
      <c r="ABQ193" s="1193"/>
    </row>
    <row r="194" spans="1:745" s="2425" customFormat="1" ht="13.45" hidden="1" x14ac:dyDescent="0.3">
      <c r="A194" s="2399"/>
      <c r="B194" s="583" t="s">
        <v>113</v>
      </c>
      <c r="C194" s="1991" t="s">
        <v>114</v>
      </c>
      <c r="D194" s="3869" t="s">
        <v>858</v>
      </c>
      <c r="E194" s="2086"/>
      <c r="F194" s="2086"/>
      <c r="G194" s="1994"/>
      <c r="H194" s="3870"/>
      <c r="I194" s="3871"/>
      <c r="J194" s="3871"/>
      <c r="K194" s="3871"/>
      <c r="L194" s="3872"/>
      <c r="M194" s="3870"/>
      <c r="N194" s="3871"/>
      <c r="O194" s="3871"/>
      <c r="P194" s="3871"/>
      <c r="Q194" s="3872"/>
      <c r="R194" s="3870"/>
      <c r="S194" s="3871"/>
      <c r="T194" s="3871"/>
      <c r="U194" s="3871"/>
      <c r="V194" s="3872"/>
      <c r="W194" s="3870"/>
      <c r="X194" s="3871"/>
      <c r="Y194" s="3871"/>
      <c r="Z194" s="3871"/>
      <c r="AA194" s="3873"/>
      <c r="AB194" s="3870"/>
      <c r="AC194" s="3871"/>
      <c r="AD194" s="3871"/>
      <c r="AE194" s="3871"/>
      <c r="AF194" s="3873"/>
      <c r="AG194" s="3871"/>
      <c r="AH194" s="3871"/>
      <c r="AI194" s="3871"/>
      <c r="AJ194" s="3871"/>
      <c r="AK194" s="3872"/>
      <c r="AL194" s="3871"/>
      <c r="AM194" s="3871"/>
      <c r="AN194" s="3871"/>
      <c r="AO194" s="3871"/>
      <c r="AP194" s="3872"/>
      <c r="AQ194" s="3871"/>
      <c r="AR194" s="3871"/>
      <c r="AS194" s="3871"/>
      <c r="AT194" s="3871"/>
      <c r="AU194" s="3872"/>
      <c r="AV194" s="3874"/>
      <c r="AW194" s="3871"/>
      <c r="AX194" s="3871"/>
      <c r="AY194" s="3871"/>
      <c r="AZ194" s="3873"/>
      <c r="BA194" s="3874"/>
      <c r="BB194" s="3871"/>
      <c r="BC194" s="3871"/>
      <c r="BD194" s="3871"/>
      <c r="BE194" s="3873"/>
      <c r="BF194" s="3874"/>
      <c r="BG194" s="3871"/>
      <c r="BH194" s="3871"/>
      <c r="BI194" s="3871"/>
      <c r="BJ194" s="3873"/>
      <c r="BK194" s="3874"/>
      <c r="BL194" s="3871"/>
      <c r="BM194" s="3871"/>
      <c r="BN194" s="3871"/>
      <c r="BO194" s="3873"/>
      <c r="BP194" s="3875"/>
      <c r="BQ194" s="3871"/>
      <c r="BR194" s="3871"/>
      <c r="BS194" s="3871"/>
      <c r="BT194" s="3876"/>
      <c r="BU194" s="3871"/>
      <c r="BV194" s="3871"/>
      <c r="BW194" s="3877"/>
      <c r="BX194" s="3876"/>
      <c r="BY194" s="3871"/>
      <c r="BZ194" s="3871"/>
      <c r="CA194" s="3878"/>
      <c r="CB194" s="3871"/>
      <c r="CC194" s="3871"/>
      <c r="CD194" s="3871"/>
      <c r="CE194" s="3871"/>
      <c r="CF194" s="3876"/>
      <c r="CG194" s="3871"/>
      <c r="CH194" s="3871"/>
      <c r="CI194" s="3878"/>
      <c r="CJ194" s="3879"/>
      <c r="CK194" s="3871"/>
      <c r="CL194" s="3871"/>
      <c r="CM194" s="3871"/>
      <c r="CN194" s="3877"/>
      <c r="CO194" s="3879"/>
      <c r="CP194" s="3870"/>
      <c r="CQ194" s="3870"/>
      <c r="CR194" s="3870"/>
      <c r="CS194" s="3877"/>
      <c r="CT194" s="3879"/>
      <c r="CU194" s="3871"/>
      <c r="CV194" s="3871"/>
      <c r="CW194" s="3871"/>
      <c r="CX194" s="3877"/>
      <c r="CY194" s="3879"/>
      <c r="CZ194" s="3871"/>
      <c r="DA194" s="3871"/>
      <c r="DB194" s="3871"/>
      <c r="DC194" s="3877"/>
      <c r="DD194" s="3879"/>
      <c r="DE194" s="3871"/>
      <c r="DF194" s="3871"/>
      <c r="DG194" s="3871"/>
      <c r="DH194" s="3880"/>
      <c r="DI194" s="3879"/>
      <c r="DJ194" s="3871"/>
      <c r="DK194" s="3871"/>
      <c r="DL194" s="3871"/>
      <c r="DM194" s="3880"/>
      <c r="DN194" s="3879"/>
      <c r="DO194" s="3871"/>
      <c r="DP194" s="3871"/>
      <c r="DQ194" s="3871"/>
      <c r="DR194" s="3880"/>
      <c r="DS194" s="3879"/>
      <c r="DT194" s="3871"/>
      <c r="DU194" s="3871"/>
      <c r="DV194" s="3871"/>
      <c r="DW194" s="3880"/>
      <c r="DX194" s="3879"/>
      <c r="DY194" s="3871"/>
      <c r="DZ194" s="3871"/>
      <c r="EA194" s="3871"/>
      <c r="EB194" s="3880"/>
      <c r="EC194" s="3879"/>
      <c r="ED194" s="3871"/>
      <c r="EE194" s="3871"/>
      <c r="EF194" s="3871"/>
      <c r="EG194" s="3880"/>
      <c r="EH194" s="2108"/>
      <c r="EI194" s="1873"/>
      <c r="EJ194" s="1873"/>
      <c r="EK194" s="1873"/>
      <c r="EL194" s="3881"/>
      <c r="EM194" s="1832"/>
      <c r="EN194" s="622"/>
      <c r="EO194" s="622"/>
      <c r="EP194" s="622"/>
      <c r="EQ194" s="362"/>
      <c r="ER194" s="3791"/>
      <c r="ES194" s="3792"/>
      <c r="ET194" s="3792"/>
      <c r="EU194" s="3792"/>
      <c r="EV194" s="370"/>
      <c r="EW194" s="3882"/>
      <c r="EX194" s="3882"/>
      <c r="EY194" s="3882"/>
      <c r="EZ194" s="3883"/>
      <c r="FA194" s="2108"/>
      <c r="FB194" s="3882"/>
      <c r="FC194" s="3882"/>
      <c r="FD194" s="1576"/>
      <c r="FE194" s="3882"/>
      <c r="FF194" s="3882"/>
      <c r="FG194" s="3882"/>
      <c r="FH194" s="3883"/>
      <c r="FI194" s="3884"/>
      <c r="FJ194" s="3885"/>
      <c r="FK194" s="3886"/>
      <c r="FL194" s="3886"/>
      <c r="FM194" s="239"/>
      <c r="FN194" s="3882"/>
      <c r="FO194" s="1873"/>
      <c r="FP194" s="1873"/>
      <c r="FQ194" s="1873"/>
      <c r="FR194" s="3887"/>
      <c r="FS194" s="1832"/>
      <c r="FT194" s="622"/>
      <c r="FU194" s="622"/>
      <c r="FV194" s="622"/>
      <c r="FW194" s="362"/>
      <c r="FX194" s="2108"/>
      <c r="FY194" s="1873"/>
      <c r="FZ194" s="1873"/>
      <c r="GA194" s="622"/>
      <c r="GB194" s="362"/>
      <c r="GC194" s="1832"/>
      <c r="GD194" s="622"/>
      <c r="GE194" s="622"/>
      <c r="GF194" s="622"/>
      <c r="GG194" s="362"/>
      <c r="GH194" s="1832"/>
      <c r="GI194" s="622"/>
      <c r="GJ194" s="622"/>
      <c r="GK194" s="622"/>
      <c r="GL194" s="362"/>
      <c r="GM194" s="1832"/>
      <c r="GN194" s="622"/>
      <c r="GO194" s="622"/>
      <c r="GP194" s="622"/>
      <c r="GQ194" s="362"/>
      <c r="GR194" s="1832"/>
      <c r="GS194" s="622"/>
      <c r="GT194" s="622"/>
      <c r="GU194" s="622"/>
      <c r="GV194" s="362"/>
      <c r="GW194" s="1832"/>
      <c r="GX194" s="622"/>
      <c r="GY194" s="622"/>
      <c r="GZ194" s="622"/>
      <c r="HA194" s="362"/>
      <c r="HB194" s="1832"/>
      <c r="HC194" s="622"/>
      <c r="HD194" s="622"/>
      <c r="HE194" s="622"/>
      <c r="HF194" s="362"/>
      <c r="HG194" s="1832"/>
      <c r="HH194" s="622"/>
      <c r="HI194" s="622"/>
      <c r="HJ194" s="3864"/>
      <c r="HK194" s="362"/>
      <c r="HL194" s="1832"/>
      <c r="HM194" s="622"/>
      <c r="HN194" s="622"/>
      <c r="HO194" s="622"/>
      <c r="HP194" s="362"/>
      <c r="HQ194" s="3892"/>
      <c r="HR194" s="1317"/>
      <c r="HS194" s="1317"/>
      <c r="HT194" s="1317"/>
      <c r="HU194" s="3911"/>
      <c r="HV194" s="2723"/>
      <c r="HW194" s="395"/>
      <c r="HX194" s="395"/>
      <c r="HY194" s="395"/>
      <c r="HZ194" s="2895"/>
      <c r="IA194" s="1829"/>
      <c r="IB194" s="1830"/>
      <c r="IC194" s="1830"/>
      <c r="ID194" s="1831"/>
      <c r="IE194" s="1832"/>
      <c r="IF194" s="1833"/>
      <c r="IG194" s="1834"/>
      <c r="IH194" s="1831"/>
      <c r="II194" s="1829"/>
      <c r="IJ194" s="3894"/>
      <c r="IK194" s="3894"/>
      <c r="IL194" s="239"/>
      <c r="IM194" s="3895"/>
      <c r="IN194" s="3894"/>
      <c r="IO194" s="3894"/>
      <c r="IP194" s="3896"/>
      <c r="IQ194" s="1873"/>
      <c r="IR194" s="3897"/>
      <c r="IS194" s="622"/>
      <c r="IT194" s="622"/>
      <c r="IU194" s="3912"/>
      <c r="IV194" s="3906"/>
      <c r="IW194" s="1832"/>
      <c r="IX194" s="622"/>
      <c r="IY194" s="622"/>
      <c r="IZ194" s="3864"/>
      <c r="JA194" s="362"/>
      <c r="JB194" s="3900"/>
      <c r="JC194" s="3901"/>
      <c r="JD194" s="3902"/>
      <c r="JE194" s="622"/>
      <c r="JF194" s="362"/>
      <c r="JG194" s="3900"/>
      <c r="JH194" s="622"/>
      <c r="JI194" s="622"/>
      <c r="JJ194" s="622"/>
      <c r="JK194" s="362"/>
      <c r="JL194" s="1832"/>
      <c r="JM194" s="622"/>
      <c r="JN194" s="622"/>
      <c r="JO194" s="622"/>
      <c r="JP194" s="362"/>
      <c r="JQ194" s="3913"/>
      <c r="JR194" s="3905"/>
      <c r="JS194" s="1317"/>
      <c r="JT194" s="622"/>
      <c r="JU194" s="362"/>
      <c r="JV194" s="658"/>
      <c r="JW194" s="622"/>
      <c r="JX194" s="1317"/>
      <c r="JY194" s="622"/>
      <c r="JZ194" s="362"/>
      <c r="KA194" s="3900"/>
      <c r="KB194" s="1317"/>
      <c r="KC194" s="3905"/>
      <c r="KD194" s="622"/>
      <c r="KE194" s="362"/>
      <c r="KF194" s="3900"/>
      <c r="KG194" s="1317"/>
      <c r="KH194" s="622"/>
      <c r="KI194" s="622"/>
      <c r="KJ194" s="362"/>
      <c r="KK194" s="3819"/>
      <c r="KL194" s="1317"/>
      <c r="KM194" s="1317"/>
      <c r="KN194" s="3864"/>
      <c r="KO194" s="3890"/>
      <c r="KP194" s="2000"/>
      <c r="KQ194" s="1317"/>
      <c r="KR194" s="3865"/>
      <c r="KS194" s="1317"/>
      <c r="KT194" s="3906"/>
      <c r="KU194" s="3892"/>
      <c r="KV194" s="1317"/>
      <c r="KW194" s="3865"/>
      <c r="KX194" s="1317"/>
      <c r="KY194" s="362"/>
      <c r="KZ194" s="1832"/>
      <c r="LA194" s="622"/>
      <c r="LB194" s="622"/>
      <c r="LC194" s="622"/>
      <c r="LD194" s="1576"/>
      <c r="LE194" s="1834"/>
      <c r="LF194" s="1830"/>
      <c r="LG194" s="1830"/>
      <c r="LH194" s="1831"/>
      <c r="LI194" s="1832"/>
      <c r="LJ194" s="1833"/>
      <c r="LK194" s="1834"/>
      <c r="LL194" s="1831"/>
      <c r="LM194" s="1829"/>
      <c r="LN194" s="3894"/>
      <c r="LO194" s="3894"/>
      <c r="LP194" s="239"/>
      <c r="LQ194" s="3907"/>
      <c r="LR194" s="3894"/>
      <c r="LS194" s="3894"/>
      <c r="LT194" s="3896"/>
      <c r="LU194" s="1873"/>
      <c r="LV194" s="401"/>
      <c r="LW194" s="395"/>
      <c r="LX194" s="395"/>
      <c r="LY194" s="115"/>
      <c r="LZ194" s="186"/>
      <c r="MA194" s="401"/>
      <c r="MB194" s="395"/>
      <c r="MC194" s="395"/>
      <c r="MD194" s="115"/>
      <c r="ME194" s="186"/>
      <c r="MF194" s="401"/>
      <c r="MG194" s="395"/>
      <c r="MH194" s="395"/>
      <c r="MI194" s="372"/>
      <c r="MJ194" s="207"/>
      <c r="MK194" s="2573"/>
      <c r="ML194" s="395"/>
      <c r="MM194" s="395"/>
      <c r="MN194" s="372"/>
      <c r="MO194" s="207"/>
      <c r="MP194" s="3914"/>
      <c r="MQ194" s="1317"/>
      <c r="MR194" s="1317"/>
      <c r="MS194" s="1317"/>
      <c r="MT194" s="801"/>
      <c r="MU194" s="1318"/>
      <c r="MV194" s="395"/>
      <c r="MW194" s="395"/>
      <c r="MX194" s="395"/>
      <c r="MY194" s="2896"/>
      <c r="MZ194" s="1318"/>
      <c r="NA194" s="395"/>
      <c r="NB194" s="395"/>
      <c r="NC194" s="395"/>
      <c r="ND194" s="2896"/>
      <c r="NE194" s="1318"/>
      <c r="NF194" s="395"/>
      <c r="NG194" s="395"/>
      <c r="NH194" s="395"/>
      <c r="NI194" s="801"/>
      <c r="NJ194" s="1318"/>
      <c r="NK194" s="395"/>
      <c r="NL194" s="395"/>
      <c r="NM194" s="395"/>
      <c r="NN194" s="801"/>
      <c r="NO194" s="2432"/>
      <c r="NP194" s="622"/>
      <c r="NQ194" s="2437"/>
      <c r="NR194" s="395"/>
      <c r="NS194" s="801"/>
      <c r="NT194" s="2432">
        <v>2</v>
      </c>
      <c r="NU194" s="622">
        <v>145068</v>
      </c>
      <c r="NV194" s="622">
        <v>218192</v>
      </c>
      <c r="NW194" s="395">
        <f>NV194-NU194</f>
        <v>73124</v>
      </c>
      <c r="NX194" s="801">
        <f>NW194/NV194</f>
        <v>0.33513602698540734</v>
      </c>
      <c r="NY194" s="2432">
        <v>2</v>
      </c>
      <c r="NZ194" s="622">
        <v>196030</v>
      </c>
      <c r="OA194" s="622">
        <v>321364</v>
      </c>
      <c r="OB194" s="772">
        <f>OA194-NZ194</f>
        <v>125334</v>
      </c>
      <c r="OC194" s="116">
        <f>OB194/OA194</f>
        <v>0.39000634794189765</v>
      </c>
      <c r="OD194" s="2432">
        <v>2</v>
      </c>
      <c r="OE194" s="622">
        <f t="shared" si="753"/>
        <v>341098</v>
      </c>
      <c r="OF194" s="622">
        <f t="shared" si="753"/>
        <v>539556</v>
      </c>
      <c r="OG194" s="622">
        <f t="shared" si="753"/>
        <v>198458</v>
      </c>
      <c r="OH194" s="1576">
        <f>OG194/OF194</f>
        <v>0.36781724232517105</v>
      </c>
      <c r="OI194" s="3908"/>
      <c r="OJ194" s="115"/>
      <c r="OK194" s="115"/>
      <c r="OL194" s="115"/>
      <c r="OM194" s="116"/>
      <c r="ON194" s="622"/>
      <c r="OO194" s="622"/>
      <c r="OP194" s="622"/>
      <c r="OQ194" s="2437"/>
      <c r="OR194" s="421"/>
      <c r="OS194" s="3909">
        <f>(NJ194+NE194+MZ194)/3</f>
        <v>0</v>
      </c>
      <c r="OT194" s="3886"/>
      <c r="OU194" s="3886"/>
      <c r="OV194" s="3910"/>
      <c r="OW194" s="421"/>
      <c r="OX194" s="2432">
        <f t="shared" si="674"/>
        <v>1.3333333333333333</v>
      </c>
      <c r="OY194" s="622">
        <f t="shared" si="675"/>
        <v>341098</v>
      </c>
      <c r="OZ194" s="622">
        <f t="shared" si="675"/>
        <v>539556</v>
      </c>
      <c r="PA194" s="2437">
        <f t="shared" si="675"/>
        <v>198458</v>
      </c>
      <c r="PB194" s="116">
        <f>PA194/OZ194</f>
        <v>0.36781724232517105</v>
      </c>
      <c r="PC194" s="3886"/>
      <c r="PD194" s="401">
        <v>0</v>
      </c>
      <c r="PE194" s="395">
        <v>0</v>
      </c>
      <c r="PF194" s="395">
        <v>0</v>
      </c>
      <c r="PG194" s="115">
        <f>PF194-PE194</f>
        <v>0</v>
      </c>
      <c r="PH194" s="186"/>
      <c r="PI194" s="401"/>
      <c r="PJ194" s="395">
        <v>0</v>
      </c>
      <c r="PK194" s="395">
        <v>0</v>
      </c>
      <c r="PL194" s="115">
        <f>PK194-PJ194</f>
        <v>0</v>
      </c>
      <c r="PM194" s="186"/>
      <c r="PN194" s="401"/>
      <c r="PO194" s="395"/>
      <c r="PP194" s="395"/>
      <c r="PQ194" s="372"/>
      <c r="PR194" s="207"/>
      <c r="PS194" s="2891"/>
      <c r="PT194" s="2001"/>
      <c r="PU194" s="2001"/>
      <c r="PV194" s="2892">
        <f t="shared" si="676"/>
        <v>0</v>
      </c>
      <c r="PW194" s="370"/>
      <c r="PX194" s="3914"/>
      <c r="PY194" s="1317"/>
      <c r="PZ194" s="1317"/>
      <c r="QA194" s="1317">
        <v>0</v>
      </c>
      <c r="QB194" s="801"/>
      <c r="QC194" s="2002"/>
      <c r="QD194" s="2001"/>
      <c r="QE194" s="2001"/>
      <c r="QF194" s="2001"/>
      <c r="QG194" s="2003"/>
      <c r="QH194" s="2445"/>
      <c r="QI194" s="2001"/>
      <c r="QJ194" s="2001"/>
      <c r="QK194" s="2001"/>
      <c r="QL194" s="2896"/>
      <c r="QM194" s="401"/>
      <c r="QN194" s="395"/>
      <c r="QO194" s="395"/>
      <c r="QP194" s="395"/>
      <c r="QQ194" s="801"/>
      <c r="QR194" s="1318"/>
      <c r="QS194" s="395"/>
      <c r="QT194" s="395"/>
      <c r="QU194" s="395"/>
      <c r="QV194" s="370"/>
      <c r="QW194" s="2002"/>
      <c r="QX194" s="2001"/>
      <c r="QY194" s="2001"/>
      <c r="QZ194" s="2001"/>
      <c r="RA194" s="801"/>
      <c r="RB194" s="2432"/>
      <c r="RC194" s="622"/>
      <c r="RD194" s="622"/>
      <c r="RE194" s="395">
        <f t="shared" si="745"/>
        <v>0</v>
      </c>
      <c r="RF194" s="801" t="e">
        <f t="shared" si="746"/>
        <v>#DIV/0!</v>
      </c>
      <c r="RG194" s="2108"/>
      <c r="RH194" s="1873"/>
      <c r="RI194" s="1873"/>
      <c r="RJ194" s="2012">
        <f>RI194-RH194</f>
        <v>0</v>
      </c>
      <c r="RK194" s="116" t="e">
        <f>RJ194/RI194</f>
        <v>#DIV/0!</v>
      </c>
      <c r="RL194" s="3717"/>
      <c r="RM194" s="1873">
        <f t="shared" si="721"/>
        <v>0</v>
      </c>
      <c r="RN194" s="1873">
        <f t="shared" si="721"/>
        <v>0</v>
      </c>
      <c r="RO194" s="1873">
        <f t="shared" si="721"/>
        <v>0</v>
      </c>
      <c r="RP194" s="1576" t="e">
        <f t="shared" si="747"/>
        <v>#DIV/0!</v>
      </c>
      <c r="RQ194" s="3908">
        <f t="shared" si="722"/>
        <v>0</v>
      </c>
      <c r="RR194" s="115">
        <f t="shared" si="677"/>
        <v>0</v>
      </c>
      <c r="RS194" s="115">
        <f t="shared" si="677"/>
        <v>0</v>
      </c>
      <c r="RT194" s="115">
        <f t="shared" si="677"/>
        <v>0</v>
      </c>
      <c r="RU194" s="116"/>
      <c r="RV194" s="622"/>
      <c r="RW194" s="622"/>
      <c r="RX194" s="622"/>
      <c r="RY194" s="2437"/>
      <c r="RZ194" s="421"/>
      <c r="SA194" s="3909">
        <f t="shared" si="748"/>
        <v>0</v>
      </c>
      <c r="SB194" s="3886">
        <f t="shared" si="679"/>
        <v>0</v>
      </c>
      <c r="SC194" s="3886">
        <f t="shared" si="679"/>
        <v>0</v>
      </c>
      <c r="SD194" s="3910">
        <f t="shared" si="679"/>
        <v>0</v>
      </c>
      <c r="SE194" s="421" t="e">
        <f t="shared" si="680"/>
        <v>#DIV/0!</v>
      </c>
      <c r="SF194" s="3736"/>
      <c r="SG194" s="622">
        <f t="shared" si="754"/>
        <v>0</v>
      </c>
      <c r="SH194" s="622">
        <f t="shared" si="754"/>
        <v>0</v>
      </c>
      <c r="SI194" s="2437">
        <f t="shared" si="754"/>
        <v>0</v>
      </c>
      <c r="SJ194" s="116" t="e">
        <f>SI194/SH194</f>
        <v>#DIV/0!</v>
      </c>
      <c r="SK194" s="1568"/>
      <c r="SL194" s="2445">
        <v>0</v>
      </c>
      <c r="SM194" s="2001">
        <v>0</v>
      </c>
      <c r="SN194" s="2001">
        <v>0</v>
      </c>
      <c r="SO194" s="3534">
        <f>SN194-SM194</f>
        <v>0</v>
      </c>
      <c r="SP194" s="1498"/>
      <c r="SQ194" s="2445"/>
      <c r="SR194" s="2001">
        <v>0</v>
      </c>
      <c r="SS194" s="2001">
        <v>0</v>
      </c>
      <c r="ST194" s="3534">
        <f>SS194-SR194</f>
        <v>0</v>
      </c>
      <c r="SU194" s="1498"/>
      <c r="SV194" s="401"/>
      <c r="SW194" s="395"/>
      <c r="SX194" s="395"/>
      <c r="SY194" s="372"/>
      <c r="SZ194" s="207"/>
      <c r="TA194" s="2573"/>
      <c r="TB194" s="395"/>
      <c r="TC194" s="395"/>
      <c r="TD194" s="372">
        <f t="shared" si="749"/>
        <v>0</v>
      </c>
      <c r="TE194" s="207"/>
      <c r="TF194" s="4110"/>
      <c r="TG194" s="395"/>
      <c r="TH194" s="395"/>
      <c r="TI194" s="395">
        <v>0</v>
      </c>
      <c r="TJ194" s="116"/>
      <c r="TK194" s="2002"/>
      <c r="TL194" s="2001"/>
      <c r="TM194" s="2001"/>
      <c r="TN194" s="2012"/>
      <c r="TO194" s="441"/>
      <c r="TP194" s="4464"/>
      <c r="TQ194" s="2001"/>
      <c r="TR194" s="2001"/>
      <c r="TS194" s="2012"/>
      <c r="TT194" s="1321"/>
      <c r="TU194" s="4464"/>
      <c r="TV194" s="2001"/>
      <c r="TW194" s="2001"/>
      <c r="TX194" s="2012"/>
      <c r="TY194" s="441"/>
      <c r="TZ194" s="2002"/>
      <c r="UA194" s="2001"/>
      <c r="UB194" s="2001"/>
      <c r="UC194" s="2012"/>
      <c r="UD194" s="441"/>
      <c r="UE194" s="2002"/>
      <c r="UF194" s="1575"/>
      <c r="UG194" s="1575"/>
      <c r="UH194" s="2552">
        <f t="shared" si="698"/>
        <v>0</v>
      </c>
      <c r="UI194" s="222" t="e">
        <f t="shared" si="699"/>
        <v>#DIV/0!</v>
      </c>
      <c r="UJ194" s="2432"/>
      <c r="UK194" s="622"/>
      <c r="UL194" s="622"/>
      <c r="UM194" s="395">
        <f t="shared" si="750"/>
        <v>0</v>
      </c>
      <c r="UN194" s="725" t="e">
        <f t="shared" si="751"/>
        <v>#DIV/0!</v>
      </c>
      <c r="UO194" s="2108"/>
      <c r="UP194" s="1873"/>
      <c r="UQ194" s="1873"/>
      <c r="UR194" s="2012">
        <f>UQ194-UP194</f>
        <v>0</v>
      </c>
      <c r="US194" s="659" t="e">
        <f>UR194/UQ194</f>
        <v>#DIV/0!</v>
      </c>
      <c r="UT194" s="2433"/>
      <c r="UU194" s="358">
        <f t="shared" si="700"/>
        <v>0</v>
      </c>
      <c r="UV194" s="358">
        <f t="shared" si="700"/>
        <v>0</v>
      </c>
      <c r="UW194" s="358">
        <f t="shared" si="700"/>
        <v>0</v>
      </c>
      <c r="UX194" s="220" t="e">
        <f t="shared" si="704"/>
        <v>#DIV/0!</v>
      </c>
      <c r="UY194" s="2435">
        <f t="shared" si="731"/>
        <v>0</v>
      </c>
      <c r="UZ194" s="2436">
        <f t="shared" si="732"/>
        <v>0</v>
      </c>
      <c r="VA194" s="2436">
        <f t="shared" si="732"/>
        <v>0</v>
      </c>
      <c r="VB194" s="2436">
        <f t="shared" si="732"/>
        <v>0</v>
      </c>
      <c r="VC194" s="1439"/>
      <c r="VD194" s="622"/>
      <c r="VE194" s="358">
        <f t="shared" si="701"/>
        <v>0</v>
      </c>
      <c r="VF194" s="358">
        <f t="shared" si="701"/>
        <v>0</v>
      </c>
      <c r="VG194" s="359">
        <f t="shared" si="701"/>
        <v>0</v>
      </c>
      <c r="VH194" s="169" t="e">
        <f t="shared" si="702"/>
        <v>#DIV/0!</v>
      </c>
      <c r="VI194" s="2438">
        <f t="shared" si="752"/>
        <v>0</v>
      </c>
      <c r="VJ194" s="146">
        <f t="shared" si="703"/>
        <v>0</v>
      </c>
      <c r="VK194" s="146">
        <f t="shared" si="703"/>
        <v>0</v>
      </c>
      <c r="VL194" s="1864">
        <f t="shared" si="703"/>
        <v>0</v>
      </c>
      <c r="VM194" s="460" t="e">
        <f t="shared" si="734"/>
        <v>#DIV/0!</v>
      </c>
      <c r="VN194" s="2433"/>
      <c r="VO194" s="622">
        <f t="shared" si="755"/>
        <v>0</v>
      </c>
      <c r="VP194" s="622">
        <f t="shared" si="755"/>
        <v>0</v>
      </c>
      <c r="VQ194" s="2437">
        <f t="shared" si="755"/>
        <v>0</v>
      </c>
      <c r="VR194" s="116" t="e">
        <f>VQ194/VP194</f>
        <v>#DIV/0!</v>
      </c>
      <c r="VS194" s="1193"/>
      <c r="VT194" s="1193"/>
      <c r="VU194" s="1193"/>
      <c r="VV194" s="1193"/>
      <c r="VW194" s="1193"/>
      <c r="VX194" s="1193"/>
      <c r="VY194" s="1193"/>
      <c r="VZ194" s="1193"/>
      <c r="WA194" s="1193"/>
      <c r="WB194" s="1193"/>
      <c r="WC194" s="1193"/>
      <c r="WD194" s="1193"/>
      <c r="WE194" s="1193"/>
      <c r="WF194" s="1193"/>
      <c r="WG194" s="1193"/>
      <c r="WH194" s="1193"/>
      <c r="WI194" s="1193"/>
      <c r="WJ194" s="1193"/>
      <c r="WK194" s="1193"/>
      <c r="WL194" s="1193"/>
      <c r="WM194" s="1193"/>
      <c r="WN194" s="1193"/>
      <c r="WO194" s="1193"/>
      <c r="WP194" s="1193"/>
      <c r="WQ194" s="1193"/>
      <c r="WR194" s="1193"/>
      <c r="WS194" s="1193"/>
      <c r="WT194" s="1193"/>
      <c r="WU194" s="1193"/>
      <c r="WV194" s="1193"/>
      <c r="WW194" s="1193"/>
      <c r="WX194" s="1193"/>
      <c r="WY194" s="1193"/>
      <c r="WZ194" s="1193"/>
      <c r="XA194" s="1193"/>
      <c r="XB194" s="1193"/>
      <c r="XC194" s="1193"/>
      <c r="XD194" s="1193"/>
      <c r="XE194" s="1193"/>
      <c r="XF194" s="1193"/>
      <c r="XG194" s="1193"/>
      <c r="XH194" s="1193"/>
      <c r="XI194" s="1193"/>
      <c r="XJ194" s="1193"/>
      <c r="XK194" s="1193"/>
      <c r="XL194" s="1193"/>
      <c r="XM194" s="1193"/>
      <c r="XN194" s="1193"/>
      <c r="XO194" s="1193"/>
      <c r="XP194" s="1193"/>
      <c r="XQ194" s="1193"/>
      <c r="XR194" s="1193"/>
      <c r="XS194" s="1193"/>
      <c r="XT194" s="1193"/>
      <c r="XU194" s="1193"/>
      <c r="XV194" s="1193"/>
      <c r="XW194" s="1193"/>
      <c r="XX194" s="1193"/>
      <c r="XY194" s="1193"/>
      <c r="XZ194" s="1193"/>
      <c r="YA194" s="1193"/>
      <c r="YB194" s="1193"/>
      <c r="YC194" s="1193"/>
      <c r="YD194" s="1193"/>
      <c r="YE194" s="1193"/>
      <c r="YF194" s="1193"/>
      <c r="YG194" s="1193"/>
      <c r="YH194" s="1193"/>
      <c r="YI194" s="1193"/>
      <c r="YJ194" s="1193"/>
      <c r="YK194" s="1193"/>
      <c r="YL194" s="1193"/>
      <c r="YM194" s="1193"/>
      <c r="YN194" s="1193"/>
      <c r="YO194" s="1193"/>
      <c r="YP194" s="1193"/>
      <c r="YQ194" s="1193"/>
      <c r="YR194" s="1193"/>
      <c r="YS194" s="1193"/>
      <c r="YT194" s="1193"/>
      <c r="YU194" s="1193"/>
      <c r="YV194" s="1193"/>
      <c r="YW194" s="1193"/>
      <c r="YX194" s="1193"/>
      <c r="YY194" s="1193"/>
      <c r="YZ194" s="1193"/>
      <c r="ZA194" s="1193"/>
      <c r="ZB194" s="1193"/>
      <c r="ZC194" s="1193"/>
      <c r="ZD194" s="1193"/>
      <c r="ZE194" s="1193"/>
      <c r="ZF194" s="1193"/>
      <c r="ZG194" s="1193"/>
      <c r="ZH194" s="1193"/>
      <c r="ZI194" s="1193"/>
      <c r="ZJ194" s="1193"/>
      <c r="ZK194" s="1193"/>
      <c r="ZL194" s="1193"/>
      <c r="ZM194" s="1193"/>
      <c r="ZN194" s="1193"/>
      <c r="ZO194" s="1193"/>
      <c r="ZP194" s="1193"/>
      <c r="ZQ194" s="1193"/>
      <c r="ZR194" s="1193"/>
      <c r="ZS194" s="1193"/>
      <c r="ZT194" s="1193"/>
      <c r="ZU194" s="1193"/>
      <c r="ZV194" s="1193"/>
      <c r="ZW194" s="1193"/>
      <c r="ZX194" s="1193"/>
      <c r="ZY194" s="1193"/>
      <c r="ZZ194" s="1193"/>
      <c r="AAA194" s="1193"/>
      <c r="AAB194" s="1193"/>
      <c r="AAC194" s="1193"/>
      <c r="AAD194" s="1193"/>
      <c r="AAE194" s="1193"/>
      <c r="AAF194" s="1193"/>
      <c r="AAG194" s="1193"/>
      <c r="AAH194" s="1193"/>
      <c r="AAI194" s="1193"/>
      <c r="AAJ194" s="1193"/>
      <c r="AAK194" s="1193"/>
      <c r="AAL194" s="1193"/>
      <c r="AAM194" s="1193"/>
      <c r="AAN194" s="1193"/>
      <c r="AAO194" s="1193"/>
      <c r="AAP194" s="1193"/>
      <c r="AAQ194" s="1193"/>
      <c r="AAR194" s="1193"/>
      <c r="AAS194" s="1193"/>
      <c r="AAT194" s="1193"/>
      <c r="AAU194" s="1193"/>
      <c r="AAV194" s="1193"/>
      <c r="AAW194" s="1193"/>
      <c r="AAX194" s="1193"/>
      <c r="AAY194" s="1193"/>
      <c r="AAZ194" s="1193"/>
      <c r="ABA194" s="1193"/>
      <c r="ABB194" s="1193"/>
      <c r="ABC194" s="1193"/>
      <c r="ABD194" s="1193"/>
      <c r="ABE194" s="1193"/>
      <c r="ABF194" s="1193"/>
      <c r="ABG194" s="1193"/>
      <c r="ABH194" s="1193"/>
      <c r="ABI194" s="1193"/>
      <c r="ABJ194" s="1193"/>
      <c r="ABK194" s="1193"/>
      <c r="ABL194" s="1193"/>
      <c r="ABM194" s="1193"/>
      <c r="ABN194" s="1193"/>
      <c r="ABO194" s="1193"/>
      <c r="ABP194" s="1193"/>
      <c r="ABQ194" s="1193"/>
    </row>
    <row r="195" spans="1:745" s="2425" customFormat="1" ht="13.45" hidden="1" x14ac:dyDescent="0.3">
      <c r="A195" s="2399"/>
      <c r="B195" s="583" t="s">
        <v>113</v>
      </c>
      <c r="C195" s="1991" t="s">
        <v>859</v>
      </c>
      <c r="D195" s="2277" t="s">
        <v>116</v>
      </c>
      <c r="E195" s="2086"/>
      <c r="F195" s="2086"/>
      <c r="G195" s="1994"/>
      <c r="H195" s="3870"/>
      <c r="I195" s="3871"/>
      <c r="J195" s="3871"/>
      <c r="K195" s="3871"/>
      <c r="L195" s="3872"/>
      <c r="M195" s="3870"/>
      <c r="N195" s="3871"/>
      <c r="O195" s="3871"/>
      <c r="P195" s="3871"/>
      <c r="Q195" s="3872"/>
      <c r="R195" s="3870"/>
      <c r="S195" s="3871"/>
      <c r="T195" s="3871"/>
      <c r="U195" s="3871"/>
      <c r="V195" s="3872"/>
      <c r="W195" s="3870"/>
      <c r="X195" s="3871"/>
      <c r="Y195" s="3871"/>
      <c r="Z195" s="3871"/>
      <c r="AA195" s="3873"/>
      <c r="AB195" s="3870"/>
      <c r="AC195" s="3871"/>
      <c r="AD195" s="3871"/>
      <c r="AE195" s="3871"/>
      <c r="AF195" s="3873"/>
      <c r="AG195" s="3871"/>
      <c r="AH195" s="3871"/>
      <c r="AI195" s="3871"/>
      <c r="AJ195" s="3871"/>
      <c r="AK195" s="3872"/>
      <c r="AL195" s="3871"/>
      <c r="AM195" s="3871"/>
      <c r="AN195" s="3871"/>
      <c r="AO195" s="3871"/>
      <c r="AP195" s="3872"/>
      <c r="AQ195" s="3871"/>
      <c r="AR195" s="3871"/>
      <c r="AS195" s="3871"/>
      <c r="AT195" s="3871"/>
      <c r="AU195" s="3872"/>
      <c r="AV195" s="3874"/>
      <c r="AW195" s="3871"/>
      <c r="AX195" s="3871"/>
      <c r="AY195" s="3871"/>
      <c r="AZ195" s="3873"/>
      <c r="BA195" s="3874"/>
      <c r="BB195" s="3871"/>
      <c r="BC195" s="3871"/>
      <c r="BD195" s="3871"/>
      <c r="BE195" s="3873"/>
      <c r="BF195" s="3874"/>
      <c r="BG195" s="3871"/>
      <c r="BH195" s="3871"/>
      <c r="BI195" s="3871"/>
      <c r="BJ195" s="3873"/>
      <c r="BK195" s="3874"/>
      <c r="BL195" s="3871"/>
      <c r="BM195" s="3871"/>
      <c r="BN195" s="3871"/>
      <c r="BO195" s="3873"/>
      <c r="BP195" s="3875"/>
      <c r="BQ195" s="3871"/>
      <c r="BR195" s="3871"/>
      <c r="BS195" s="3871"/>
      <c r="BT195" s="3876"/>
      <c r="BU195" s="3871"/>
      <c r="BV195" s="3871"/>
      <c r="BW195" s="3877"/>
      <c r="BX195" s="3876"/>
      <c r="BY195" s="3871"/>
      <c r="BZ195" s="3871"/>
      <c r="CA195" s="3878"/>
      <c r="CB195" s="3871"/>
      <c r="CC195" s="3871"/>
      <c r="CD195" s="3871"/>
      <c r="CE195" s="3871"/>
      <c r="CF195" s="3876"/>
      <c r="CG195" s="3871"/>
      <c r="CH195" s="3871"/>
      <c r="CI195" s="3878"/>
      <c r="CJ195" s="3879"/>
      <c r="CK195" s="3871"/>
      <c r="CL195" s="3871"/>
      <c r="CM195" s="3871"/>
      <c r="CN195" s="3877"/>
      <c r="CO195" s="3879"/>
      <c r="CP195" s="3870"/>
      <c r="CQ195" s="3870"/>
      <c r="CR195" s="3870"/>
      <c r="CS195" s="3877"/>
      <c r="CT195" s="3879"/>
      <c r="CU195" s="3871"/>
      <c r="CV195" s="3871"/>
      <c r="CW195" s="3871"/>
      <c r="CX195" s="3877"/>
      <c r="CY195" s="3879"/>
      <c r="CZ195" s="3871"/>
      <c r="DA195" s="3871"/>
      <c r="DB195" s="3871"/>
      <c r="DC195" s="3877"/>
      <c r="DD195" s="3879"/>
      <c r="DE195" s="3871"/>
      <c r="DF195" s="3871"/>
      <c r="DG195" s="3871"/>
      <c r="DH195" s="3880"/>
      <c r="DI195" s="3879"/>
      <c r="DJ195" s="3871"/>
      <c r="DK195" s="3871"/>
      <c r="DL195" s="3871"/>
      <c r="DM195" s="3880"/>
      <c r="DN195" s="3879"/>
      <c r="DO195" s="3871"/>
      <c r="DP195" s="3871"/>
      <c r="DQ195" s="3871"/>
      <c r="DR195" s="3880"/>
      <c r="DS195" s="3879"/>
      <c r="DT195" s="3871"/>
      <c r="DU195" s="3871"/>
      <c r="DV195" s="3871"/>
      <c r="DW195" s="3880"/>
      <c r="DX195" s="3879"/>
      <c r="DY195" s="3871"/>
      <c r="DZ195" s="3871"/>
      <c r="EA195" s="3871"/>
      <c r="EB195" s="3880"/>
      <c r="EC195" s="3879"/>
      <c r="ED195" s="3871"/>
      <c r="EE195" s="3871"/>
      <c r="EF195" s="3871"/>
      <c r="EG195" s="3880"/>
      <c r="EH195" s="2108"/>
      <c r="EI195" s="1873"/>
      <c r="EJ195" s="1873"/>
      <c r="EK195" s="1873"/>
      <c r="EL195" s="3881"/>
      <c r="EM195" s="1832"/>
      <c r="EN195" s="622"/>
      <c r="EO195" s="622"/>
      <c r="EP195" s="622"/>
      <c r="EQ195" s="362"/>
      <c r="ER195" s="3791">
        <f>(CJ195+CO195+CT195+CY195+DD195+DI195+DN195+DS195+DX195+EC195+EH195+EM195)/12</f>
        <v>0</v>
      </c>
      <c r="ES195" s="3792">
        <f t="shared" ref="ES195:EU196" si="756">CK195+CP195+CU195+CZ195+DE195+DJ195+DO195+DT195+DY195+ED195+EI195+EN195</f>
        <v>0</v>
      </c>
      <c r="ET195" s="3792">
        <f t="shared" si="756"/>
        <v>0</v>
      </c>
      <c r="EU195" s="3792">
        <f t="shared" si="756"/>
        <v>0</v>
      </c>
      <c r="EV195" s="370" t="e">
        <f>EU195/ET195</f>
        <v>#DIV/0!</v>
      </c>
      <c r="EW195" s="3882"/>
      <c r="EX195" s="3882"/>
      <c r="EY195" s="3882"/>
      <c r="EZ195" s="3883"/>
      <c r="FA195" s="2108"/>
      <c r="FB195" s="3882"/>
      <c r="FC195" s="3882"/>
      <c r="FD195" s="1576"/>
      <c r="FE195" s="3882"/>
      <c r="FF195" s="3882"/>
      <c r="FG195" s="3882"/>
      <c r="FH195" s="3883"/>
      <c r="FI195" s="3884"/>
      <c r="FJ195" s="3885"/>
      <c r="FK195" s="3886"/>
      <c r="FL195" s="3886"/>
      <c r="FM195" s="239"/>
      <c r="FN195" s="3882"/>
      <c r="FO195" s="1873"/>
      <c r="FP195" s="1873"/>
      <c r="FQ195" s="1873"/>
      <c r="FR195" s="3887"/>
      <c r="FS195" s="1832"/>
      <c r="FT195" s="622"/>
      <c r="FU195" s="622"/>
      <c r="FV195" s="622"/>
      <c r="FW195" s="362"/>
      <c r="FX195" s="2108"/>
      <c r="FY195" s="1873"/>
      <c r="FZ195" s="1873"/>
      <c r="GA195" s="622"/>
      <c r="GB195" s="362"/>
      <c r="GC195" s="1832"/>
      <c r="GD195" s="622"/>
      <c r="GE195" s="622"/>
      <c r="GF195" s="622"/>
      <c r="GG195" s="362"/>
      <c r="GH195" s="1832"/>
      <c r="GI195" s="622"/>
      <c r="GJ195" s="622"/>
      <c r="GK195" s="622"/>
      <c r="GL195" s="362"/>
      <c r="GM195" s="1832"/>
      <c r="GN195" s="622"/>
      <c r="GO195" s="622"/>
      <c r="GP195" s="622"/>
      <c r="GQ195" s="362"/>
      <c r="GR195" s="1832"/>
      <c r="GS195" s="622"/>
      <c r="GT195" s="622"/>
      <c r="GU195" s="622"/>
      <c r="GV195" s="362"/>
      <c r="GW195" s="1832"/>
      <c r="GX195" s="622"/>
      <c r="GY195" s="622"/>
      <c r="GZ195" s="622"/>
      <c r="HA195" s="362"/>
      <c r="HB195" s="1832"/>
      <c r="HC195" s="622"/>
      <c r="HD195" s="622"/>
      <c r="HE195" s="622"/>
      <c r="HF195" s="362"/>
      <c r="HG195" s="1832"/>
      <c r="HH195" s="622"/>
      <c r="HI195" s="622"/>
      <c r="HJ195" s="3864"/>
      <c r="HK195" s="362"/>
      <c r="HL195" s="1832"/>
      <c r="HM195" s="622"/>
      <c r="HN195" s="622"/>
      <c r="HO195" s="622"/>
      <c r="HP195" s="362"/>
      <c r="HQ195" s="3892"/>
      <c r="HR195" s="1317"/>
      <c r="HS195" s="1317"/>
      <c r="HT195" s="1317"/>
      <c r="HU195" s="3911"/>
      <c r="HV195" s="2723">
        <f>(FN195+FS195+FX195+GC195+GH195+GM195+GR195+GW195+HB195+HG195+HL195+HQ195)/12</f>
        <v>0</v>
      </c>
      <c r="HW195" s="395">
        <f t="shared" ref="HW195:HY196" si="757">FO195+FT195+FY195+GD195+GI195+GN195+GS195+GX195+HC195+HH195+HM195+HR195</f>
        <v>0</v>
      </c>
      <c r="HX195" s="395">
        <f t="shared" si="757"/>
        <v>0</v>
      </c>
      <c r="HY195" s="395">
        <f t="shared" si="757"/>
        <v>0</v>
      </c>
      <c r="HZ195" s="2895"/>
      <c r="IA195" s="1829"/>
      <c r="IB195" s="1830"/>
      <c r="IC195" s="1830"/>
      <c r="ID195" s="1831"/>
      <c r="IE195" s="1832"/>
      <c r="IF195" s="1833"/>
      <c r="IG195" s="1834"/>
      <c r="IH195" s="1831"/>
      <c r="II195" s="1829"/>
      <c r="IJ195" s="3894"/>
      <c r="IK195" s="3894"/>
      <c r="IL195" s="239"/>
      <c r="IM195" s="3895"/>
      <c r="IN195" s="3894"/>
      <c r="IO195" s="3894"/>
      <c r="IP195" s="3896"/>
      <c r="IQ195" s="1873"/>
      <c r="IR195" s="3897"/>
      <c r="IS195" s="622"/>
      <c r="IT195" s="622"/>
      <c r="IU195" s="3912"/>
      <c r="IV195" s="3906"/>
      <c r="IW195" s="1832"/>
      <c r="IX195" s="622"/>
      <c r="IY195" s="622"/>
      <c r="IZ195" s="3864"/>
      <c r="JA195" s="362"/>
      <c r="JB195" s="3900"/>
      <c r="JC195" s="3901"/>
      <c r="JD195" s="3902"/>
      <c r="JE195" s="622"/>
      <c r="JF195" s="362"/>
      <c r="JG195" s="3900"/>
      <c r="JH195" s="622"/>
      <c r="JI195" s="622"/>
      <c r="JJ195" s="622"/>
      <c r="JK195" s="362"/>
      <c r="JL195" s="1832"/>
      <c r="JM195" s="622"/>
      <c r="JN195" s="622"/>
      <c r="JO195" s="622"/>
      <c r="JP195" s="362"/>
      <c r="JQ195" s="3913"/>
      <c r="JR195" s="3905"/>
      <c r="JS195" s="1317"/>
      <c r="JT195" s="622"/>
      <c r="JU195" s="362"/>
      <c r="JV195" s="658"/>
      <c r="JW195" s="622"/>
      <c r="JX195" s="1317"/>
      <c r="JY195" s="622"/>
      <c r="JZ195" s="362"/>
      <c r="KA195" s="3900"/>
      <c r="KB195" s="1317"/>
      <c r="KC195" s="3905"/>
      <c r="KD195" s="622"/>
      <c r="KE195" s="362"/>
      <c r="KF195" s="3900"/>
      <c r="KG195" s="1317"/>
      <c r="KH195" s="622"/>
      <c r="KI195" s="622"/>
      <c r="KJ195" s="362"/>
      <c r="KK195" s="3819"/>
      <c r="KL195" s="1317"/>
      <c r="KM195" s="1317"/>
      <c r="KN195" s="3864"/>
      <c r="KO195" s="3890"/>
      <c r="KP195" s="2000"/>
      <c r="KQ195" s="1317"/>
      <c r="KR195" s="3865"/>
      <c r="KS195" s="1317"/>
      <c r="KT195" s="3906"/>
      <c r="KU195" s="3892"/>
      <c r="KV195" s="1317">
        <v>0</v>
      </c>
      <c r="KW195" s="3865">
        <v>0</v>
      </c>
      <c r="KX195" s="1317">
        <f>KW195-KV195</f>
        <v>0</v>
      </c>
      <c r="KY195" s="362"/>
      <c r="KZ195" s="1832"/>
      <c r="LA195" s="622"/>
      <c r="LB195" s="622"/>
      <c r="LC195" s="622"/>
      <c r="LD195" s="1576"/>
      <c r="LE195" s="1834"/>
      <c r="LF195" s="1830"/>
      <c r="LG195" s="1830"/>
      <c r="LH195" s="1831"/>
      <c r="LI195" s="1832"/>
      <c r="LJ195" s="1833"/>
      <c r="LK195" s="1834"/>
      <c r="LL195" s="1831"/>
      <c r="LM195" s="1829"/>
      <c r="LN195" s="3894"/>
      <c r="LO195" s="3894"/>
      <c r="LP195" s="239"/>
      <c r="LQ195" s="3907">
        <f>(KK195+KP195+KU195)/3</f>
        <v>0</v>
      </c>
      <c r="LR195" s="3894"/>
      <c r="LS195" s="3894"/>
      <c r="LT195" s="3896"/>
      <c r="LU195" s="1873"/>
      <c r="LV195" s="401">
        <v>4</v>
      </c>
      <c r="LW195" s="395">
        <v>412666</v>
      </c>
      <c r="LX195" s="395">
        <v>559650</v>
      </c>
      <c r="LY195" s="115">
        <f>LX195-LW195</f>
        <v>146984</v>
      </c>
      <c r="LZ195" s="186">
        <f>LY195/LX195</f>
        <v>0.26263557580630753</v>
      </c>
      <c r="MA195" s="401">
        <v>4</v>
      </c>
      <c r="MB195" s="395">
        <v>620000</v>
      </c>
      <c r="MC195" s="395">
        <v>732000</v>
      </c>
      <c r="MD195" s="115">
        <f>MC195-MB195</f>
        <v>112000</v>
      </c>
      <c r="ME195" s="186">
        <f>MD195/MC195</f>
        <v>0.15300546448087432</v>
      </c>
      <c r="MF195" s="401">
        <v>4</v>
      </c>
      <c r="MG195" s="395">
        <v>547096</v>
      </c>
      <c r="MH195" s="395">
        <v>626500</v>
      </c>
      <c r="MI195" s="372">
        <f>MH195-MG195</f>
        <v>79404</v>
      </c>
      <c r="MJ195" s="207">
        <f>MI195/MH195</f>
        <v>0.12674221867517957</v>
      </c>
      <c r="MK195" s="2573">
        <v>4</v>
      </c>
      <c r="ML195" s="395">
        <v>655834</v>
      </c>
      <c r="MM195" s="395">
        <v>741300</v>
      </c>
      <c r="MN195" s="372">
        <f>MM195-ML195</f>
        <v>85466</v>
      </c>
      <c r="MO195" s="207">
        <f>MN195/MM195</f>
        <v>0.11529205449885337</v>
      </c>
      <c r="MP195" s="3914">
        <v>4</v>
      </c>
      <c r="MQ195" s="1317">
        <v>645000</v>
      </c>
      <c r="MR195" s="1317">
        <f>731850+8323</f>
        <v>740173</v>
      </c>
      <c r="MS195" s="1317">
        <f>MR195-MQ195</f>
        <v>95173</v>
      </c>
      <c r="MT195" s="801">
        <f>MS195/MR195</f>
        <v>0.12858210175188772</v>
      </c>
      <c r="MU195" s="1318">
        <v>4</v>
      </c>
      <c r="MV195" s="395">
        <v>560000</v>
      </c>
      <c r="MW195" s="395">
        <v>634030</v>
      </c>
      <c r="MX195" s="395">
        <f>MW195-MV195</f>
        <v>74030</v>
      </c>
      <c r="MY195" s="801">
        <f>MX195/MW195</f>
        <v>0.11676103654401211</v>
      </c>
      <c r="MZ195" s="1318">
        <v>2</v>
      </c>
      <c r="NA195" s="395">
        <v>240000</v>
      </c>
      <c r="NB195" s="395">
        <v>292950</v>
      </c>
      <c r="NC195" s="395">
        <f>NB195-NA195</f>
        <v>52950</v>
      </c>
      <c r="ND195" s="801">
        <f>NC195/NB195</f>
        <v>0.18074756784434204</v>
      </c>
      <c r="NE195" s="1318">
        <v>2</v>
      </c>
      <c r="NF195" s="395">
        <v>305000</v>
      </c>
      <c r="NG195" s="395">
        <v>411600</v>
      </c>
      <c r="NH195" s="395">
        <f>NG195-NF195</f>
        <v>106600</v>
      </c>
      <c r="NI195" s="801">
        <f>NH195/NG195</f>
        <v>0.2589893100097182</v>
      </c>
      <c r="NJ195" s="1318"/>
      <c r="NK195" s="395">
        <v>0</v>
      </c>
      <c r="NL195" s="395">
        <v>0</v>
      </c>
      <c r="NM195" s="395">
        <f>NL195-NK195</f>
        <v>0</v>
      </c>
      <c r="NN195" s="801"/>
      <c r="NO195" s="2432"/>
      <c r="NP195" s="622"/>
      <c r="NQ195" s="2437">
        <v>0</v>
      </c>
      <c r="NR195" s="395">
        <f>NQ195-NP195</f>
        <v>0</v>
      </c>
      <c r="NS195" s="801"/>
      <c r="NT195" s="2432"/>
      <c r="NU195" s="622">
        <v>0</v>
      </c>
      <c r="NV195" s="622">
        <v>0</v>
      </c>
      <c r="NW195" s="395">
        <f>NV195-NU195</f>
        <v>0</v>
      </c>
      <c r="NX195" s="801"/>
      <c r="NY195" s="2432"/>
      <c r="NZ195" s="622"/>
      <c r="OA195" s="622"/>
      <c r="OB195" s="772">
        <f>OA195-NZ195</f>
        <v>0</v>
      </c>
      <c r="OC195" s="116"/>
      <c r="OD195" s="2433"/>
      <c r="OE195" s="622">
        <f t="shared" si="753"/>
        <v>3985596</v>
      </c>
      <c r="OF195" s="622">
        <f t="shared" si="753"/>
        <v>4738203</v>
      </c>
      <c r="OG195" s="622">
        <f t="shared" si="753"/>
        <v>752607</v>
      </c>
      <c r="OH195" s="1576">
        <f>OG195/OF195</f>
        <v>0.15883806582368887</v>
      </c>
      <c r="OI195" s="3908">
        <f>(LV195+MA195+MF195)/3</f>
        <v>4</v>
      </c>
      <c r="OJ195" s="115">
        <f t="shared" ref="OJ195:OL196" si="758">LW195+MB195+MG195</f>
        <v>1579762</v>
      </c>
      <c r="OK195" s="115">
        <f t="shared" si="758"/>
        <v>1918150</v>
      </c>
      <c r="OL195" s="115">
        <f t="shared" si="758"/>
        <v>338388</v>
      </c>
      <c r="OM195" s="116">
        <f>OL195/OK195</f>
        <v>0.1764137319813362</v>
      </c>
      <c r="ON195" s="622">
        <f>(MK195+MP195+MU195)/3</f>
        <v>4</v>
      </c>
      <c r="OO195" s="622">
        <f t="shared" ref="OO195:OQ196" si="759">ML195+MQ195+MV195</f>
        <v>1860834</v>
      </c>
      <c r="OP195" s="622">
        <f t="shared" si="759"/>
        <v>2115503</v>
      </c>
      <c r="OQ195" s="2437">
        <f t="shared" si="759"/>
        <v>254669</v>
      </c>
      <c r="OR195" s="421">
        <f>OQ195/OP195</f>
        <v>0.12038224479000975</v>
      </c>
      <c r="OS195" s="3909">
        <f>(NJ195+NE195+MZ195)/3</f>
        <v>1.3333333333333333</v>
      </c>
      <c r="OT195" s="3886">
        <f t="shared" ref="OT195:OV196" si="760">NK195+NF195+NA195</f>
        <v>545000</v>
      </c>
      <c r="OU195" s="3886">
        <f t="shared" si="760"/>
        <v>704550</v>
      </c>
      <c r="OV195" s="3910">
        <f t="shared" si="760"/>
        <v>159550</v>
      </c>
      <c r="OW195" s="421">
        <f>OV195/OU195</f>
        <v>0.22645660350578384</v>
      </c>
      <c r="OX195" s="2432">
        <f>(NO195+NT195+NY195)/3</f>
        <v>0</v>
      </c>
      <c r="OY195" s="622">
        <f t="shared" si="675"/>
        <v>0</v>
      </c>
      <c r="OZ195" s="622">
        <f t="shared" si="675"/>
        <v>0</v>
      </c>
      <c r="PA195" s="2437">
        <f t="shared" si="675"/>
        <v>0</v>
      </c>
      <c r="PB195" s="116"/>
      <c r="PC195" s="3886"/>
      <c r="PD195" s="401"/>
      <c r="PE195" s="395"/>
      <c r="PF195" s="395"/>
      <c r="PG195" s="115">
        <f>PF195-PE195</f>
        <v>0</v>
      </c>
      <c r="PH195" s="186"/>
      <c r="PI195" s="401"/>
      <c r="PJ195" s="395"/>
      <c r="PK195" s="395"/>
      <c r="PL195" s="115">
        <f>PK195-PJ195</f>
        <v>0</v>
      </c>
      <c r="PM195" s="186"/>
      <c r="PN195" s="401"/>
      <c r="PO195" s="395"/>
      <c r="PP195" s="395"/>
      <c r="PQ195" s="372"/>
      <c r="PR195" s="207"/>
      <c r="PS195" s="2891"/>
      <c r="PT195" s="2001"/>
      <c r="PU195" s="2001"/>
      <c r="PV195" s="2892">
        <f>PU195-PT195</f>
        <v>0</v>
      </c>
      <c r="PW195" s="370" t="e">
        <f>PV195/PU195</f>
        <v>#DIV/0!</v>
      </c>
      <c r="PX195" s="3914"/>
      <c r="PY195" s="1317"/>
      <c r="PZ195" s="1317"/>
      <c r="QA195" s="1317">
        <f>PZ195-PY195</f>
        <v>0</v>
      </c>
      <c r="QB195" s="801" t="e">
        <f>QA195/PZ195</f>
        <v>#DIV/0!</v>
      </c>
      <c r="QC195" s="2002"/>
      <c r="QD195" s="2001"/>
      <c r="QE195" s="2001"/>
      <c r="QF195" s="2001">
        <f>QE195-QD195</f>
        <v>0</v>
      </c>
      <c r="QG195" s="2003"/>
      <c r="QH195" s="401"/>
      <c r="QI195" s="395"/>
      <c r="QJ195" s="395"/>
      <c r="QK195" s="395"/>
      <c r="QL195" s="801"/>
      <c r="QM195" s="401"/>
      <c r="QN195" s="395"/>
      <c r="QO195" s="395"/>
      <c r="QP195" s="395"/>
      <c r="QQ195" s="801"/>
      <c r="QR195" s="2002"/>
      <c r="QS195" s="2001">
        <v>0</v>
      </c>
      <c r="QT195" s="2001">
        <v>0</v>
      </c>
      <c r="QU195" s="2001">
        <f>QT195-QS195</f>
        <v>0</v>
      </c>
      <c r="QV195" s="370"/>
      <c r="QW195" s="1318"/>
      <c r="QX195" s="395"/>
      <c r="QY195" s="395">
        <v>0</v>
      </c>
      <c r="QZ195" s="395">
        <f>QY195-QX195</f>
        <v>0</v>
      </c>
      <c r="RA195" s="2003"/>
      <c r="RB195" s="2430"/>
      <c r="RC195" s="1873">
        <v>0</v>
      </c>
      <c r="RD195" s="1873">
        <v>0</v>
      </c>
      <c r="RE195" s="2001">
        <f>RD195-RC195</f>
        <v>0</v>
      </c>
      <c r="RF195" s="2003"/>
      <c r="RG195" s="2108"/>
      <c r="RH195" s="1873"/>
      <c r="RI195" s="1873"/>
      <c r="RJ195" s="2012">
        <f>RI195-RH195</f>
        <v>0</v>
      </c>
      <c r="RK195" s="116"/>
      <c r="RL195" s="3717"/>
      <c r="RM195" s="1873">
        <f t="shared" si="721"/>
        <v>0</v>
      </c>
      <c r="RN195" s="1873">
        <f t="shared" si="721"/>
        <v>0</v>
      </c>
      <c r="RO195" s="1873">
        <f t="shared" si="721"/>
        <v>0</v>
      </c>
      <c r="RP195" s="1576" t="e">
        <f t="shared" si="747"/>
        <v>#DIV/0!</v>
      </c>
      <c r="RQ195" s="3908">
        <f t="shared" si="722"/>
        <v>0</v>
      </c>
      <c r="RR195" s="115">
        <f t="shared" si="677"/>
        <v>0</v>
      </c>
      <c r="RS195" s="115">
        <f t="shared" si="677"/>
        <v>0</v>
      </c>
      <c r="RT195" s="115">
        <f t="shared" si="677"/>
        <v>0</v>
      </c>
      <c r="RU195" s="116" t="e">
        <f>RT195/RS195</f>
        <v>#DIV/0!</v>
      </c>
      <c r="RV195" s="622">
        <f>(PS195+PX195+QC195)/3</f>
        <v>0</v>
      </c>
      <c r="RW195" s="622">
        <f t="shared" ref="RW195:RY196" si="761">PT195+PY195+QD195</f>
        <v>0</v>
      </c>
      <c r="RX195" s="622">
        <f t="shared" si="761"/>
        <v>0</v>
      </c>
      <c r="RY195" s="2437">
        <f t="shared" si="761"/>
        <v>0</v>
      </c>
      <c r="RZ195" s="421" t="e">
        <f>RY195/RX195</f>
        <v>#DIV/0!</v>
      </c>
      <c r="SA195" s="3909">
        <f>(QR195+QM195+QH195)/3</f>
        <v>0</v>
      </c>
      <c r="SB195" s="3886">
        <f t="shared" si="679"/>
        <v>0</v>
      </c>
      <c r="SC195" s="3886">
        <f t="shared" si="679"/>
        <v>0</v>
      </c>
      <c r="SD195" s="3910">
        <f t="shared" si="679"/>
        <v>0</v>
      </c>
      <c r="SE195" s="421" t="e">
        <f>SD195/SC195</f>
        <v>#DIV/0!</v>
      </c>
      <c r="SF195" s="3736"/>
      <c r="SG195" s="622">
        <f t="shared" si="754"/>
        <v>0</v>
      </c>
      <c r="SH195" s="622">
        <f t="shared" si="754"/>
        <v>0</v>
      </c>
      <c r="SI195" s="2437">
        <f t="shared" si="754"/>
        <v>0</v>
      </c>
      <c r="SJ195" s="116"/>
      <c r="SK195" s="1568"/>
      <c r="SL195" s="2445"/>
      <c r="SM195" s="2001"/>
      <c r="SN195" s="2001"/>
      <c r="SO195" s="3534">
        <f>SN195-SM195</f>
        <v>0</v>
      </c>
      <c r="SP195" s="1498"/>
      <c r="SQ195" s="2445"/>
      <c r="SR195" s="2001"/>
      <c r="SS195" s="2001"/>
      <c r="ST195" s="3534">
        <f>SS195-SR195</f>
        <v>0</v>
      </c>
      <c r="SU195" s="1498"/>
      <c r="SV195" s="401"/>
      <c r="SW195" s="395"/>
      <c r="SX195" s="395"/>
      <c r="SY195" s="372"/>
      <c r="SZ195" s="207"/>
      <c r="TA195" s="2573"/>
      <c r="TB195" s="395"/>
      <c r="TC195" s="395"/>
      <c r="TD195" s="372">
        <f t="shared" si="749"/>
        <v>0</v>
      </c>
      <c r="TE195" s="207" t="e">
        <f>TD195/TC195</f>
        <v>#DIV/0!</v>
      </c>
      <c r="TF195" s="4110"/>
      <c r="TG195" s="395"/>
      <c r="TH195" s="395"/>
      <c r="TI195" s="395">
        <f>TH195-TG195</f>
        <v>0</v>
      </c>
      <c r="TJ195" s="116" t="e">
        <f>TI195/TH195</f>
        <v>#DIV/0!</v>
      </c>
      <c r="TK195" s="2002"/>
      <c r="TL195" s="2001"/>
      <c r="TM195" s="2001"/>
      <c r="TN195" s="2012">
        <f>TM195-TL195</f>
        <v>0</v>
      </c>
      <c r="TO195" s="441"/>
      <c r="TP195" s="4434"/>
      <c r="TQ195" s="395"/>
      <c r="TR195" s="395"/>
      <c r="TS195" s="772"/>
      <c r="TT195" s="116"/>
      <c r="TU195" s="4464"/>
      <c r="TV195" s="2001"/>
      <c r="TW195" s="2001"/>
      <c r="TX195" s="2012"/>
      <c r="TY195" s="441"/>
      <c r="TZ195" s="2002"/>
      <c r="UA195" s="2001">
        <v>0</v>
      </c>
      <c r="UB195" s="2001">
        <v>0</v>
      </c>
      <c r="UC195" s="2012"/>
      <c r="UD195" s="441"/>
      <c r="UE195" s="2002"/>
      <c r="UF195" s="1575"/>
      <c r="UG195" s="1575"/>
      <c r="UH195" s="2552">
        <f t="shared" si="698"/>
        <v>0</v>
      </c>
      <c r="UI195" s="222" t="e">
        <f t="shared" si="699"/>
        <v>#DIV/0!</v>
      </c>
      <c r="UJ195" s="2430"/>
      <c r="UK195" s="1873">
        <v>0</v>
      </c>
      <c r="UL195" s="1873">
        <v>0</v>
      </c>
      <c r="UM195" s="2001">
        <f t="shared" si="750"/>
        <v>0</v>
      </c>
      <c r="UN195" s="2019"/>
      <c r="UO195" s="2108"/>
      <c r="UP195" s="1873"/>
      <c r="UQ195" s="1873"/>
      <c r="UR195" s="2012">
        <f>UQ195-UP195</f>
        <v>0</v>
      </c>
      <c r="US195" s="659"/>
      <c r="UT195" s="2433"/>
      <c r="UU195" s="358">
        <f t="shared" si="700"/>
        <v>0</v>
      </c>
      <c r="UV195" s="358">
        <f t="shared" si="700"/>
        <v>0</v>
      </c>
      <c r="UW195" s="358">
        <f t="shared" si="700"/>
        <v>0</v>
      </c>
      <c r="UX195" s="220" t="e">
        <f t="shared" si="704"/>
        <v>#DIV/0!</v>
      </c>
      <c r="UY195" s="2435">
        <f>(SL195+SQ195+SV195)/3</f>
        <v>0</v>
      </c>
      <c r="UZ195" s="2436">
        <f t="shared" si="732"/>
        <v>0</v>
      </c>
      <c r="VA195" s="2436">
        <f t="shared" si="732"/>
        <v>0</v>
      </c>
      <c r="VB195" s="2436">
        <f t="shared" si="732"/>
        <v>0</v>
      </c>
      <c r="VC195" s="1439" t="e">
        <f>VB195/VA195</f>
        <v>#DIV/0!</v>
      </c>
      <c r="VD195" s="622">
        <f>(TA195+TF195+TK195)/3</f>
        <v>0</v>
      </c>
      <c r="VE195" s="358">
        <f t="shared" si="701"/>
        <v>0</v>
      </c>
      <c r="VF195" s="358">
        <f t="shared" si="701"/>
        <v>0</v>
      </c>
      <c r="VG195" s="359">
        <f t="shared" si="701"/>
        <v>0</v>
      </c>
      <c r="VH195" s="169" t="e">
        <f t="shared" si="702"/>
        <v>#DIV/0!</v>
      </c>
      <c r="VI195" s="2438">
        <f>(TZ195+TU195+TP195)/3</f>
        <v>0</v>
      </c>
      <c r="VJ195" s="146">
        <f t="shared" si="703"/>
        <v>0</v>
      </c>
      <c r="VK195" s="146">
        <f t="shared" si="703"/>
        <v>0</v>
      </c>
      <c r="VL195" s="1864">
        <f t="shared" si="703"/>
        <v>0</v>
      </c>
      <c r="VM195" s="460" t="e">
        <f>VL195/VK195</f>
        <v>#DIV/0!</v>
      </c>
      <c r="VN195" s="2433"/>
      <c r="VO195" s="622">
        <f t="shared" si="755"/>
        <v>0</v>
      </c>
      <c r="VP195" s="622">
        <f t="shared" si="755"/>
        <v>0</v>
      </c>
      <c r="VQ195" s="2437">
        <f t="shared" si="755"/>
        <v>0</v>
      </c>
      <c r="VR195" s="116"/>
      <c r="VS195" s="1193"/>
      <c r="VT195" s="1193"/>
      <c r="VU195" s="1193"/>
      <c r="VV195" s="1193"/>
      <c r="VW195" s="1193"/>
      <c r="VX195" s="1193"/>
      <c r="VY195" s="1193"/>
      <c r="VZ195" s="1193"/>
      <c r="WA195" s="1193"/>
      <c r="WB195" s="1193"/>
      <c r="WC195" s="1193"/>
      <c r="WD195" s="1193"/>
      <c r="WE195" s="1193"/>
      <c r="WF195" s="1193"/>
      <c r="WG195" s="1193"/>
      <c r="WH195" s="1193"/>
      <c r="WI195" s="1193"/>
      <c r="WJ195" s="1193"/>
      <c r="WK195" s="1193"/>
      <c r="WL195" s="1193"/>
      <c r="WM195" s="1193"/>
      <c r="WN195" s="1193"/>
      <c r="WO195" s="1193"/>
      <c r="WP195" s="1193"/>
      <c r="WQ195" s="1193"/>
      <c r="WR195" s="1193"/>
      <c r="WS195" s="1193"/>
      <c r="WT195" s="1193"/>
      <c r="WU195" s="1193"/>
      <c r="WV195" s="1193"/>
      <c r="WW195" s="1193"/>
      <c r="WX195" s="1193"/>
      <c r="WY195" s="1193"/>
      <c r="WZ195" s="1193"/>
      <c r="XA195" s="1193"/>
      <c r="XB195" s="1193"/>
      <c r="XC195" s="1193"/>
      <c r="XD195" s="1193"/>
      <c r="XE195" s="1193"/>
      <c r="XF195" s="1193"/>
      <c r="XG195" s="1193"/>
      <c r="XH195" s="1193"/>
      <c r="XI195" s="1193"/>
      <c r="XJ195" s="1193"/>
      <c r="XK195" s="1193"/>
      <c r="XL195" s="1193"/>
      <c r="XM195" s="1193"/>
      <c r="XN195" s="1193"/>
      <c r="XO195" s="1193"/>
      <c r="XP195" s="1193"/>
      <c r="XQ195" s="1193"/>
      <c r="XR195" s="1193"/>
      <c r="XS195" s="1193"/>
      <c r="XT195" s="1193"/>
      <c r="XU195" s="1193"/>
      <c r="XV195" s="1193"/>
      <c r="XW195" s="1193"/>
      <c r="XX195" s="1193"/>
      <c r="XY195" s="1193"/>
      <c r="XZ195" s="1193"/>
      <c r="YA195" s="1193"/>
      <c r="YB195" s="1193"/>
      <c r="YC195" s="1193"/>
      <c r="YD195" s="1193"/>
      <c r="YE195" s="1193"/>
      <c r="YF195" s="1193"/>
      <c r="YG195" s="1193"/>
      <c r="YH195" s="1193"/>
      <c r="YI195" s="1193"/>
      <c r="YJ195" s="1193"/>
      <c r="YK195" s="1193"/>
      <c r="YL195" s="1193"/>
      <c r="YM195" s="1193"/>
      <c r="YN195" s="1193"/>
      <c r="YO195" s="1193"/>
      <c r="YP195" s="1193"/>
      <c r="YQ195" s="1193"/>
      <c r="YR195" s="1193"/>
      <c r="YS195" s="1193"/>
      <c r="YT195" s="1193"/>
      <c r="YU195" s="1193"/>
      <c r="YV195" s="1193"/>
      <c r="YW195" s="1193"/>
      <c r="YX195" s="1193"/>
      <c r="YY195" s="1193"/>
      <c r="YZ195" s="1193"/>
      <c r="ZA195" s="1193"/>
      <c r="ZB195" s="1193"/>
      <c r="ZC195" s="1193"/>
      <c r="ZD195" s="1193"/>
      <c r="ZE195" s="1193"/>
      <c r="ZF195" s="1193"/>
      <c r="ZG195" s="1193"/>
      <c r="ZH195" s="1193"/>
      <c r="ZI195" s="1193"/>
      <c r="ZJ195" s="1193"/>
      <c r="ZK195" s="1193"/>
      <c r="ZL195" s="1193"/>
      <c r="ZM195" s="1193"/>
      <c r="ZN195" s="1193"/>
      <c r="ZO195" s="1193"/>
      <c r="ZP195" s="1193"/>
      <c r="ZQ195" s="1193"/>
      <c r="ZR195" s="1193"/>
      <c r="ZS195" s="1193"/>
      <c r="ZT195" s="1193"/>
      <c r="ZU195" s="1193"/>
      <c r="ZV195" s="1193"/>
      <c r="ZW195" s="1193"/>
      <c r="ZX195" s="1193"/>
      <c r="ZY195" s="1193"/>
      <c r="ZZ195" s="1193"/>
      <c r="AAA195" s="1193"/>
      <c r="AAB195" s="1193"/>
      <c r="AAC195" s="1193"/>
      <c r="AAD195" s="1193"/>
      <c r="AAE195" s="1193"/>
      <c r="AAF195" s="1193"/>
      <c r="AAG195" s="1193"/>
      <c r="AAH195" s="1193"/>
      <c r="AAI195" s="1193"/>
      <c r="AAJ195" s="1193"/>
      <c r="AAK195" s="1193"/>
      <c r="AAL195" s="1193"/>
      <c r="AAM195" s="1193"/>
      <c r="AAN195" s="1193"/>
      <c r="AAO195" s="1193"/>
      <c r="AAP195" s="1193"/>
      <c r="AAQ195" s="1193"/>
      <c r="AAR195" s="1193"/>
      <c r="AAS195" s="1193"/>
      <c r="AAT195" s="1193"/>
      <c r="AAU195" s="1193"/>
      <c r="AAV195" s="1193"/>
      <c r="AAW195" s="1193"/>
      <c r="AAX195" s="1193"/>
      <c r="AAY195" s="1193"/>
      <c r="AAZ195" s="1193"/>
      <c r="ABA195" s="1193"/>
      <c r="ABB195" s="1193"/>
      <c r="ABC195" s="1193"/>
      <c r="ABD195" s="1193"/>
      <c r="ABE195" s="1193"/>
      <c r="ABF195" s="1193"/>
      <c r="ABG195" s="1193"/>
      <c r="ABH195" s="1193"/>
      <c r="ABI195" s="1193"/>
      <c r="ABJ195" s="1193"/>
      <c r="ABK195" s="1193"/>
      <c r="ABL195" s="1193"/>
      <c r="ABM195" s="1193"/>
      <c r="ABN195" s="1193"/>
      <c r="ABO195" s="1193"/>
      <c r="ABP195" s="1193"/>
      <c r="ABQ195" s="1193"/>
    </row>
    <row r="196" spans="1:745" s="2425" customFormat="1" ht="13.45" hidden="1" x14ac:dyDescent="0.3">
      <c r="A196" s="2399"/>
      <c r="B196" s="583" t="s">
        <v>113</v>
      </c>
      <c r="C196" s="1991" t="s">
        <v>114</v>
      </c>
      <c r="D196" s="2277" t="s">
        <v>115</v>
      </c>
      <c r="E196" s="2086"/>
      <c r="F196" s="2086"/>
      <c r="G196" s="1994"/>
      <c r="H196" s="3870"/>
      <c r="I196" s="3871"/>
      <c r="J196" s="3871"/>
      <c r="K196" s="3871"/>
      <c r="L196" s="3872"/>
      <c r="M196" s="3870"/>
      <c r="N196" s="3871"/>
      <c r="O196" s="3871"/>
      <c r="P196" s="3871"/>
      <c r="Q196" s="3872"/>
      <c r="R196" s="3870"/>
      <c r="S196" s="3871"/>
      <c r="T196" s="3871"/>
      <c r="U196" s="3871"/>
      <c r="V196" s="3872"/>
      <c r="W196" s="3870"/>
      <c r="X196" s="3871"/>
      <c r="Y196" s="3871"/>
      <c r="Z196" s="3871"/>
      <c r="AA196" s="3873"/>
      <c r="AB196" s="3870"/>
      <c r="AC196" s="3871"/>
      <c r="AD196" s="3871"/>
      <c r="AE196" s="3871"/>
      <c r="AF196" s="3873"/>
      <c r="AG196" s="3871"/>
      <c r="AH196" s="3871"/>
      <c r="AI196" s="3871"/>
      <c r="AJ196" s="3871"/>
      <c r="AK196" s="3872"/>
      <c r="AL196" s="3871"/>
      <c r="AM196" s="3871"/>
      <c r="AN196" s="3871"/>
      <c r="AO196" s="3871"/>
      <c r="AP196" s="3872"/>
      <c r="AQ196" s="3871"/>
      <c r="AR196" s="3871"/>
      <c r="AS196" s="3871"/>
      <c r="AT196" s="3871"/>
      <c r="AU196" s="3872"/>
      <c r="AV196" s="3874"/>
      <c r="AW196" s="3871"/>
      <c r="AX196" s="3871"/>
      <c r="AY196" s="3871"/>
      <c r="AZ196" s="3873"/>
      <c r="BA196" s="3874"/>
      <c r="BB196" s="3871"/>
      <c r="BC196" s="3871"/>
      <c r="BD196" s="3871"/>
      <c r="BE196" s="3873"/>
      <c r="BF196" s="3874"/>
      <c r="BG196" s="3871"/>
      <c r="BH196" s="3871"/>
      <c r="BI196" s="3871"/>
      <c r="BJ196" s="3873"/>
      <c r="BK196" s="3874"/>
      <c r="BL196" s="3871"/>
      <c r="BM196" s="3871"/>
      <c r="BN196" s="3871"/>
      <c r="BO196" s="3873"/>
      <c r="BP196" s="3875"/>
      <c r="BQ196" s="3871"/>
      <c r="BR196" s="3871"/>
      <c r="BS196" s="3871"/>
      <c r="BT196" s="3876"/>
      <c r="BU196" s="3871"/>
      <c r="BV196" s="3871"/>
      <c r="BW196" s="3877"/>
      <c r="BX196" s="3876"/>
      <c r="BY196" s="3871"/>
      <c r="BZ196" s="3871"/>
      <c r="CA196" s="3878"/>
      <c r="CB196" s="3871"/>
      <c r="CC196" s="3871"/>
      <c r="CD196" s="3871"/>
      <c r="CE196" s="3871"/>
      <c r="CF196" s="3876"/>
      <c r="CG196" s="3871"/>
      <c r="CH196" s="3871"/>
      <c r="CI196" s="3878"/>
      <c r="CJ196" s="3879"/>
      <c r="CK196" s="3871"/>
      <c r="CL196" s="3871"/>
      <c r="CM196" s="3871"/>
      <c r="CN196" s="3877"/>
      <c r="CO196" s="3879"/>
      <c r="CP196" s="3870"/>
      <c r="CQ196" s="3870"/>
      <c r="CR196" s="3870"/>
      <c r="CS196" s="3877"/>
      <c r="CT196" s="3879"/>
      <c r="CU196" s="3871"/>
      <c r="CV196" s="3871"/>
      <c r="CW196" s="3871"/>
      <c r="CX196" s="3877"/>
      <c r="CY196" s="3879"/>
      <c r="CZ196" s="3871"/>
      <c r="DA196" s="3871"/>
      <c r="DB196" s="3871"/>
      <c r="DC196" s="3877"/>
      <c r="DD196" s="3879"/>
      <c r="DE196" s="3871"/>
      <c r="DF196" s="3871"/>
      <c r="DG196" s="3871"/>
      <c r="DH196" s="3880"/>
      <c r="DI196" s="3879"/>
      <c r="DJ196" s="3871"/>
      <c r="DK196" s="3871"/>
      <c r="DL196" s="3871"/>
      <c r="DM196" s="3880"/>
      <c r="DN196" s="3879"/>
      <c r="DO196" s="3871"/>
      <c r="DP196" s="3871"/>
      <c r="DQ196" s="3871"/>
      <c r="DR196" s="3880"/>
      <c r="DS196" s="3879"/>
      <c r="DT196" s="3871"/>
      <c r="DU196" s="3871"/>
      <c r="DV196" s="3871"/>
      <c r="DW196" s="3880"/>
      <c r="DX196" s="3879"/>
      <c r="DY196" s="3871"/>
      <c r="DZ196" s="3871"/>
      <c r="EA196" s="3871"/>
      <c r="EB196" s="3880"/>
      <c r="EC196" s="3879"/>
      <c r="ED196" s="3871"/>
      <c r="EE196" s="3871"/>
      <c r="EF196" s="3871"/>
      <c r="EG196" s="3880"/>
      <c r="EH196" s="2108"/>
      <c r="EI196" s="1873"/>
      <c r="EJ196" s="1873"/>
      <c r="EK196" s="1873"/>
      <c r="EL196" s="3881"/>
      <c r="EM196" s="1832"/>
      <c r="EN196" s="622"/>
      <c r="EO196" s="622"/>
      <c r="EP196" s="622"/>
      <c r="EQ196" s="362"/>
      <c r="ER196" s="3791">
        <f>(CJ196+CO196+CT196+CY196+DD196+DI196+DN196+DS196+DX196+EC196+EH196+EM196)/12</f>
        <v>0</v>
      </c>
      <c r="ES196" s="3792">
        <f t="shared" si="756"/>
        <v>0</v>
      </c>
      <c r="ET196" s="3792">
        <f t="shared" si="756"/>
        <v>0</v>
      </c>
      <c r="EU196" s="3792">
        <f t="shared" si="756"/>
        <v>0</v>
      </c>
      <c r="EV196" s="370" t="e">
        <f>EU196/ET196</f>
        <v>#DIV/0!</v>
      </c>
      <c r="EW196" s="3882"/>
      <c r="EX196" s="3882"/>
      <c r="EY196" s="3882"/>
      <c r="EZ196" s="3883"/>
      <c r="FA196" s="2108"/>
      <c r="FB196" s="3882"/>
      <c r="FC196" s="3882"/>
      <c r="FD196" s="1576"/>
      <c r="FE196" s="3882"/>
      <c r="FF196" s="3882"/>
      <c r="FG196" s="3882"/>
      <c r="FH196" s="3883"/>
      <c r="FI196" s="3884"/>
      <c r="FJ196" s="3885"/>
      <c r="FK196" s="3886"/>
      <c r="FL196" s="3886"/>
      <c r="FM196" s="239"/>
      <c r="FN196" s="3882"/>
      <c r="FO196" s="1873"/>
      <c r="FP196" s="1873"/>
      <c r="FQ196" s="1873"/>
      <c r="FR196" s="3887"/>
      <c r="FS196" s="1832"/>
      <c r="FT196" s="622"/>
      <c r="FU196" s="622"/>
      <c r="FV196" s="622"/>
      <c r="FW196" s="362"/>
      <c r="FX196" s="2108"/>
      <c r="FY196" s="1873"/>
      <c r="FZ196" s="1873"/>
      <c r="GA196" s="622"/>
      <c r="GB196" s="362"/>
      <c r="GC196" s="1832"/>
      <c r="GD196" s="622"/>
      <c r="GE196" s="622"/>
      <c r="GF196" s="622"/>
      <c r="GG196" s="362"/>
      <c r="GH196" s="1832"/>
      <c r="GI196" s="622"/>
      <c r="GJ196" s="622"/>
      <c r="GK196" s="622"/>
      <c r="GL196" s="362"/>
      <c r="GM196" s="1832"/>
      <c r="GN196" s="622"/>
      <c r="GO196" s="622"/>
      <c r="GP196" s="622"/>
      <c r="GQ196" s="362"/>
      <c r="GR196" s="1832"/>
      <c r="GS196" s="622"/>
      <c r="GT196" s="622"/>
      <c r="GU196" s="622"/>
      <c r="GV196" s="362"/>
      <c r="GW196" s="1832"/>
      <c r="GX196" s="622"/>
      <c r="GY196" s="622"/>
      <c r="GZ196" s="622"/>
      <c r="HA196" s="362"/>
      <c r="HB196" s="1832"/>
      <c r="HC196" s="622"/>
      <c r="HD196" s="622"/>
      <c r="HE196" s="622"/>
      <c r="HF196" s="362"/>
      <c r="HG196" s="1832"/>
      <c r="HH196" s="622"/>
      <c r="HI196" s="622"/>
      <c r="HJ196" s="3864"/>
      <c r="HK196" s="362"/>
      <c r="HL196" s="1832"/>
      <c r="HM196" s="622"/>
      <c r="HN196" s="622"/>
      <c r="HO196" s="622"/>
      <c r="HP196" s="362"/>
      <c r="HQ196" s="3892"/>
      <c r="HR196" s="1317"/>
      <c r="HS196" s="1317"/>
      <c r="HT196" s="1317"/>
      <c r="HU196" s="3893"/>
      <c r="HV196" s="2723">
        <f>(FN196+FS196+FX196+GC196+GH196+GM196+GR196+GW196+HB196+HG196+HL196+HQ196)/12</f>
        <v>0</v>
      </c>
      <c r="HW196" s="395">
        <f t="shared" si="757"/>
        <v>0</v>
      </c>
      <c r="HX196" s="395">
        <f t="shared" si="757"/>
        <v>0</v>
      </c>
      <c r="HY196" s="395">
        <f t="shared" si="757"/>
        <v>0</v>
      </c>
      <c r="HZ196" s="2890"/>
      <c r="IA196" s="1834"/>
      <c r="IB196" s="1830"/>
      <c r="IC196" s="1830"/>
      <c r="ID196" s="1831"/>
      <c r="IE196" s="1832"/>
      <c r="IF196" s="1833"/>
      <c r="IG196" s="1834"/>
      <c r="IH196" s="1831"/>
      <c r="II196" s="1829"/>
      <c r="IJ196" s="3894"/>
      <c r="IK196" s="3894"/>
      <c r="IL196" s="239"/>
      <c r="IM196" s="3895"/>
      <c r="IN196" s="3894"/>
      <c r="IO196" s="3894"/>
      <c r="IP196" s="3896"/>
      <c r="IQ196" s="1873"/>
      <c r="IR196" s="3897"/>
      <c r="IS196" s="622"/>
      <c r="IT196" s="622"/>
      <c r="IU196" s="3912"/>
      <c r="IV196" s="3906"/>
      <c r="IW196" s="1832"/>
      <c r="IX196" s="622"/>
      <c r="IY196" s="622"/>
      <c r="IZ196" s="3864"/>
      <c r="JA196" s="362"/>
      <c r="JB196" s="3900"/>
      <c r="JC196" s="3901"/>
      <c r="JD196" s="3902"/>
      <c r="JE196" s="622"/>
      <c r="JF196" s="362"/>
      <c r="JG196" s="3900"/>
      <c r="JH196" s="622"/>
      <c r="JI196" s="622"/>
      <c r="JJ196" s="622"/>
      <c r="JK196" s="362"/>
      <c r="JL196" s="1832"/>
      <c r="JM196" s="622"/>
      <c r="JN196" s="622"/>
      <c r="JO196" s="622"/>
      <c r="JP196" s="362"/>
      <c r="JQ196" s="3913"/>
      <c r="JR196" s="3905"/>
      <c r="JS196" s="1317"/>
      <c r="JT196" s="622"/>
      <c r="JU196" s="362"/>
      <c r="JV196" s="658"/>
      <c r="JW196" s="622"/>
      <c r="JX196" s="1317"/>
      <c r="JY196" s="622"/>
      <c r="JZ196" s="362"/>
      <c r="KA196" s="3900"/>
      <c r="KB196" s="1317"/>
      <c r="KC196" s="3905"/>
      <c r="KD196" s="622"/>
      <c r="KE196" s="362"/>
      <c r="KF196" s="3900"/>
      <c r="KG196" s="1317"/>
      <c r="KH196" s="622"/>
      <c r="KI196" s="622"/>
      <c r="KJ196" s="362"/>
      <c r="KK196" s="3819"/>
      <c r="KL196" s="1317"/>
      <c r="KM196" s="1317"/>
      <c r="KN196" s="3864"/>
      <c r="KO196" s="3890"/>
      <c r="KP196" s="2000"/>
      <c r="KQ196" s="1317"/>
      <c r="KR196" s="3865"/>
      <c r="KS196" s="1317"/>
      <c r="KT196" s="3906"/>
      <c r="KU196" s="3892"/>
      <c r="KV196" s="1317"/>
      <c r="KW196" s="3865"/>
      <c r="KX196" s="1317"/>
      <c r="KY196" s="362"/>
      <c r="KZ196" s="1832"/>
      <c r="LA196" s="622"/>
      <c r="LB196" s="622"/>
      <c r="LC196" s="622"/>
      <c r="LD196" s="1576"/>
      <c r="LE196" s="1834"/>
      <c r="LF196" s="1830"/>
      <c r="LG196" s="1830"/>
      <c r="LH196" s="1831"/>
      <c r="LI196" s="1832"/>
      <c r="LJ196" s="1833"/>
      <c r="LK196" s="1834"/>
      <c r="LL196" s="1831"/>
      <c r="LM196" s="1829"/>
      <c r="LN196" s="3894"/>
      <c r="LO196" s="3894"/>
      <c r="LP196" s="239"/>
      <c r="LQ196" s="3907">
        <f>(KK196+KP196+KU196)/3</f>
        <v>0</v>
      </c>
      <c r="LR196" s="3894"/>
      <c r="LS196" s="3894"/>
      <c r="LT196" s="3896"/>
      <c r="LU196" s="1873"/>
      <c r="LV196" s="401"/>
      <c r="LW196" s="395"/>
      <c r="LX196" s="395"/>
      <c r="LY196" s="115"/>
      <c r="LZ196" s="186"/>
      <c r="MA196" s="401"/>
      <c r="MB196" s="395"/>
      <c r="MC196" s="395"/>
      <c r="MD196" s="115"/>
      <c r="ME196" s="186"/>
      <c r="MF196" s="401">
        <v>1</v>
      </c>
      <c r="MG196" s="395">
        <v>49089</v>
      </c>
      <c r="MH196" s="395">
        <v>66045</v>
      </c>
      <c r="MI196" s="372">
        <v>16956</v>
      </c>
      <c r="MJ196" s="207">
        <f>MI196/MH196</f>
        <v>0.2567340449693391</v>
      </c>
      <c r="MK196" s="2573">
        <v>1</v>
      </c>
      <c r="ML196" s="395">
        <v>49089</v>
      </c>
      <c r="MM196" s="1317">
        <v>67830</v>
      </c>
      <c r="MN196" s="372">
        <f>MM196-ML196</f>
        <v>18741</v>
      </c>
      <c r="MO196" s="207">
        <f>MN196/MM196</f>
        <v>0.27629367536488281</v>
      </c>
      <c r="MP196" s="3914">
        <v>1</v>
      </c>
      <c r="MQ196" s="1317">
        <v>49089</v>
      </c>
      <c r="MR196" s="1317">
        <v>67830</v>
      </c>
      <c r="MS196" s="1317">
        <f>MR196-MQ196</f>
        <v>18741</v>
      </c>
      <c r="MT196" s="801">
        <f>MS196/MR196</f>
        <v>0.27629367536488281</v>
      </c>
      <c r="MU196" s="1318"/>
      <c r="MV196" s="395">
        <v>0</v>
      </c>
      <c r="MW196" s="395">
        <v>0</v>
      </c>
      <c r="MX196" s="395">
        <f>MW196-MV196</f>
        <v>0</v>
      </c>
      <c r="MY196" s="2896" t="s">
        <v>68</v>
      </c>
      <c r="MZ196" s="1318"/>
      <c r="NA196" s="395"/>
      <c r="NB196" s="395"/>
      <c r="NC196" s="395">
        <f>NB196-NA196</f>
        <v>0</v>
      </c>
      <c r="ND196" s="2896"/>
      <c r="NE196" s="1318"/>
      <c r="NF196" s="395"/>
      <c r="NG196" s="395"/>
      <c r="NH196" s="395">
        <f>NG196-NF196</f>
        <v>0</v>
      </c>
      <c r="NI196" s="2896"/>
      <c r="NJ196" s="1318"/>
      <c r="NK196" s="395"/>
      <c r="NL196" s="395"/>
      <c r="NM196" s="395">
        <f>NL196-NK196</f>
        <v>0</v>
      </c>
      <c r="NN196" s="2896"/>
      <c r="NO196" s="2432"/>
      <c r="NP196" s="622"/>
      <c r="NQ196" s="2437">
        <v>0</v>
      </c>
      <c r="NR196" s="395">
        <f>NQ196-NP196</f>
        <v>0</v>
      </c>
      <c r="NS196" s="2896"/>
      <c r="NT196" s="2432"/>
      <c r="NU196" s="622">
        <v>0</v>
      </c>
      <c r="NV196" s="622">
        <v>0</v>
      </c>
      <c r="NW196" s="395">
        <f>NV196-NU196</f>
        <v>0</v>
      </c>
      <c r="NX196" s="2896"/>
      <c r="NY196" s="2432"/>
      <c r="NZ196" s="622"/>
      <c r="OA196" s="622"/>
      <c r="OB196" s="772">
        <f>OA196-NZ196</f>
        <v>0</v>
      </c>
      <c r="OC196" s="116"/>
      <c r="OD196" s="2433"/>
      <c r="OE196" s="622">
        <f t="shared" si="753"/>
        <v>147267</v>
      </c>
      <c r="OF196" s="622">
        <f t="shared" si="753"/>
        <v>201705</v>
      </c>
      <c r="OG196" s="622">
        <f t="shared" si="753"/>
        <v>54438</v>
      </c>
      <c r="OH196" s="1576">
        <f>OG196/OF196</f>
        <v>0.26988919461589944</v>
      </c>
      <c r="OI196" s="3908">
        <f>(LV196+MA196+MF196)/3</f>
        <v>0.33333333333333331</v>
      </c>
      <c r="OJ196" s="115">
        <f t="shared" si="758"/>
        <v>49089</v>
      </c>
      <c r="OK196" s="115">
        <f t="shared" si="758"/>
        <v>66045</v>
      </c>
      <c r="OL196" s="115">
        <f t="shared" si="758"/>
        <v>16956</v>
      </c>
      <c r="OM196" s="116">
        <f>OL196/OK196</f>
        <v>0.2567340449693391</v>
      </c>
      <c r="ON196" s="622">
        <f>(MK196+MP196+MU196)/3</f>
        <v>0.66666666666666663</v>
      </c>
      <c r="OO196" s="622">
        <f t="shared" si="759"/>
        <v>98178</v>
      </c>
      <c r="OP196" s="622">
        <f t="shared" si="759"/>
        <v>135660</v>
      </c>
      <c r="OQ196" s="2437">
        <f t="shared" si="759"/>
        <v>37482</v>
      </c>
      <c r="OR196" s="421">
        <f>OQ196/OP196</f>
        <v>0.27629367536488281</v>
      </c>
      <c r="OS196" s="3909">
        <f>(NJ196+NE196+MZ196)/3</f>
        <v>0</v>
      </c>
      <c r="OT196" s="3886">
        <f t="shared" si="760"/>
        <v>0</v>
      </c>
      <c r="OU196" s="3886">
        <f t="shared" si="760"/>
        <v>0</v>
      </c>
      <c r="OV196" s="3910">
        <f t="shared" si="760"/>
        <v>0</v>
      </c>
      <c r="OW196" s="421"/>
      <c r="OX196" s="2432">
        <f>(NO196+NT196+NY196)/3</f>
        <v>0</v>
      </c>
      <c r="OY196" s="622">
        <f t="shared" si="675"/>
        <v>0</v>
      </c>
      <c r="OZ196" s="622">
        <f t="shared" si="675"/>
        <v>0</v>
      </c>
      <c r="PA196" s="2437">
        <f t="shared" si="675"/>
        <v>0</v>
      </c>
      <c r="PB196" s="116"/>
      <c r="PC196" s="3886"/>
      <c r="PD196" s="401"/>
      <c r="PE196" s="395"/>
      <c r="PF196" s="395"/>
      <c r="PG196" s="115">
        <f>PF196-PE196</f>
        <v>0</v>
      </c>
      <c r="PH196" s="186"/>
      <c r="PI196" s="401"/>
      <c r="PJ196" s="395"/>
      <c r="PK196" s="395"/>
      <c r="PL196" s="115"/>
      <c r="PM196" s="186"/>
      <c r="PN196" s="401"/>
      <c r="PO196" s="395"/>
      <c r="PP196" s="395"/>
      <c r="PQ196" s="372"/>
      <c r="PR196" s="207"/>
      <c r="PS196" s="2891"/>
      <c r="PT196" s="2001"/>
      <c r="PU196" s="3208"/>
      <c r="PV196" s="2892">
        <f>PU196-PT196</f>
        <v>0</v>
      </c>
      <c r="PW196" s="370" t="e">
        <f>PV196/PU196</f>
        <v>#DIV/0!</v>
      </c>
      <c r="PX196" s="3914"/>
      <c r="PY196" s="1317"/>
      <c r="PZ196" s="1317"/>
      <c r="QA196" s="1317">
        <f>PZ196-PY196</f>
        <v>0</v>
      </c>
      <c r="QB196" s="801" t="e">
        <f>QA196/PZ196</f>
        <v>#DIV/0!</v>
      </c>
      <c r="QC196" s="2002"/>
      <c r="QD196" s="2001"/>
      <c r="QE196" s="2001"/>
      <c r="QF196" s="2001">
        <f>QE196-QD196</f>
        <v>0</v>
      </c>
      <c r="QG196" s="2899" t="s">
        <v>68</v>
      </c>
      <c r="QH196" s="401"/>
      <c r="QI196" s="395"/>
      <c r="QJ196" s="395"/>
      <c r="QK196" s="395">
        <f>QJ196-QI196</f>
        <v>0</v>
      </c>
      <c r="QL196" s="2896"/>
      <c r="QM196" s="401"/>
      <c r="QN196" s="395"/>
      <c r="QO196" s="395"/>
      <c r="QP196" s="395"/>
      <c r="QQ196" s="2896"/>
      <c r="QR196" s="2002"/>
      <c r="QS196" s="2001"/>
      <c r="QT196" s="2001"/>
      <c r="QU196" s="2001">
        <f>QT196-QS196</f>
        <v>0</v>
      </c>
      <c r="QV196" s="2899"/>
      <c r="QW196" s="1318"/>
      <c r="QX196" s="395"/>
      <c r="QY196" s="395">
        <v>0</v>
      </c>
      <c r="QZ196" s="395">
        <f>QY196-QX196</f>
        <v>0</v>
      </c>
      <c r="RA196" s="2899"/>
      <c r="RB196" s="2430"/>
      <c r="RC196" s="1873">
        <v>0</v>
      </c>
      <c r="RD196" s="1873">
        <v>0</v>
      </c>
      <c r="RE196" s="2001">
        <f>RD196-RC196</f>
        <v>0</v>
      </c>
      <c r="RF196" s="2899"/>
      <c r="RG196" s="2108"/>
      <c r="RH196" s="1873"/>
      <c r="RI196" s="1873"/>
      <c r="RJ196" s="2012">
        <f>RI196-RH196</f>
        <v>0</v>
      </c>
      <c r="RK196" s="116"/>
      <c r="RL196" s="3717"/>
      <c r="RM196" s="1873">
        <f t="shared" si="721"/>
        <v>0</v>
      </c>
      <c r="RN196" s="1873">
        <f t="shared" si="721"/>
        <v>0</v>
      </c>
      <c r="RO196" s="1873">
        <f t="shared" si="721"/>
        <v>0</v>
      </c>
      <c r="RP196" s="1576" t="e">
        <f t="shared" si="747"/>
        <v>#DIV/0!</v>
      </c>
      <c r="RQ196" s="3908">
        <f t="shared" si="722"/>
        <v>0</v>
      </c>
      <c r="RR196" s="115">
        <f t="shared" si="677"/>
        <v>0</v>
      </c>
      <c r="RS196" s="115">
        <f t="shared" si="677"/>
        <v>0</v>
      </c>
      <c r="RT196" s="115">
        <f t="shared" si="677"/>
        <v>0</v>
      </c>
      <c r="RU196" s="116" t="e">
        <f>RT196/RS196</f>
        <v>#DIV/0!</v>
      </c>
      <c r="RV196" s="622">
        <f>(PS196+PX196+QC196)/3</f>
        <v>0</v>
      </c>
      <c r="RW196" s="622">
        <f t="shared" si="761"/>
        <v>0</v>
      </c>
      <c r="RX196" s="622">
        <f t="shared" si="761"/>
        <v>0</v>
      </c>
      <c r="RY196" s="2437">
        <f t="shared" si="761"/>
        <v>0</v>
      </c>
      <c r="RZ196" s="421" t="e">
        <f>RY196/RX196</f>
        <v>#DIV/0!</v>
      </c>
      <c r="SA196" s="3909">
        <f>(QR196+QM196+QH196)/3</f>
        <v>0</v>
      </c>
      <c r="SB196" s="3886">
        <f t="shared" si="679"/>
        <v>0</v>
      </c>
      <c r="SC196" s="3886">
        <f t="shared" si="679"/>
        <v>0</v>
      </c>
      <c r="SD196" s="3910">
        <f t="shared" si="679"/>
        <v>0</v>
      </c>
      <c r="SE196" s="421"/>
      <c r="SF196" s="3736"/>
      <c r="SG196" s="622">
        <f t="shared" si="754"/>
        <v>0</v>
      </c>
      <c r="SH196" s="622">
        <f t="shared" si="754"/>
        <v>0</v>
      </c>
      <c r="SI196" s="2437">
        <f t="shared" si="754"/>
        <v>0</v>
      </c>
      <c r="SJ196" s="116"/>
      <c r="SK196" s="1568"/>
      <c r="SL196" s="2445"/>
      <c r="SM196" s="2001"/>
      <c r="SN196" s="2001"/>
      <c r="SO196" s="3534">
        <f>SN196-SM196</f>
        <v>0</v>
      </c>
      <c r="SP196" s="1498"/>
      <c r="SQ196" s="2445"/>
      <c r="SR196" s="2001"/>
      <c r="SS196" s="2001"/>
      <c r="ST196" s="3534"/>
      <c r="SU196" s="1498"/>
      <c r="SV196" s="401"/>
      <c r="SW196" s="395"/>
      <c r="SX196" s="395"/>
      <c r="SY196" s="372"/>
      <c r="SZ196" s="207"/>
      <c r="TA196" s="2573"/>
      <c r="TB196" s="395"/>
      <c r="TC196" s="1317"/>
      <c r="TD196" s="372">
        <f t="shared" si="749"/>
        <v>0</v>
      </c>
      <c r="TE196" s="207" t="e">
        <f>TD196/TC196</f>
        <v>#DIV/0!</v>
      </c>
      <c r="TF196" s="4110"/>
      <c r="TG196" s="395"/>
      <c r="TH196" s="395"/>
      <c r="TI196" s="395">
        <f>TH196-TG196</f>
        <v>0</v>
      </c>
      <c r="TJ196" s="116" t="e">
        <f>TI196/TH196</f>
        <v>#DIV/0!</v>
      </c>
      <c r="TK196" s="2002"/>
      <c r="TL196" s="2001"/>
      <c r="TM196" s="2001"/>
      <c r="TN196" s="2012">
        <f>TM196-TL196</f>
        <v>0</v>
      </c>
      <c r="TO196" s="4157" t="s">
        <v>68</v>
      </c>
      <c r="TP196" s="4434"/>
      <c r="TQ196" s="395"/>
      <c r="TR196" s="395"/>
      <c r="TS196" s="772">
        <f>TR196-TQ196</f>
        <v>0</v>
      </c>
      <c r="TT196" s="1321"/>
      <c r="TU196" s="4464"/>
      <c r="TV196" s="2001"/>
      <c r="TW196" s="2001"/>
      <c r="TX196" s="2012"/>
      <c r="TY196" s="4157"/>
      <c r="TZ196" s="2002"/>
      <c r="UA196" s="2001"/>
      <c r="UB196" s="2001"/>
      <c r="UC196" s="2012"/>
      <c r="UD196" s="4157"/>
      <c r="UE196" s="2002"/>
      <c r="UF196" s="1575"/>
      <c r="UG196" s="1575"/>
      <c r="UH196" s="2552">
        <f t="shared" si="698"/>
        <v>0</v>
      </c>
      <c r="UI196" s="222" t="e">
        <f t="shared" si="699"/>
        <v>#DIV/0!</v>
      </c>
      <c r="UJ196" s="2430"/>
      <c r="UK196" s="1873">
        <v>0</v>
      </c>
      <c r="UL196" s="1873">
        <v>0</v>
      </c>
      <c r="UM196" s="2001">
        <f t="shared" si="750"/>
        <v>0</v>
      </c>
      <c r="UN196" s="2898"/>
      <c r="UO196" s="2108"/>
      <c r="UP196" s="1873"/>
      <c r="UQ196" s="1873"/>
      <c r="UR196" s="2012">
        <f>UQ196-UP196</f>
        <v>0</v>
      </c>
      <c r="US196" s="659"/>
      <c r="UT196" s="2433"/>
      <c r="UU196" s="358">
        <f t="shared" si="700"/>
        <v>0</v>
      </c>
      <c r="UV196" s="358">
        <f t="shared" si="700"/>
        <v>0</v>
      </c>
      <c r="UW196" s="358">
        <f t="shared" si="700"/>
        <v>0</v>
      </c>
      <c r="UX196" s="220" t="e">
        <f t="shared" si="704"/>
        <v>#DIV/0!</v>
      </c>
      <c r="UY196" s="2435">
        <f>(SL196+SQ196+SV196)/3</f>
        <v>0</v>
      </c>
      <c r="UZ196" s="2436">
        <f t="shared" si="732"/>
        <v>0</v>
      </c>
      <c r="VA196" s="2436">
        <f t="shared" si="732"/>
        <v>0</v>
      </c>
      <c r="VB196" s="2436">
        <f t="shared" si="732"/>
        <v>0</v>
      </c>
      <c r="VC196" s="1439" t="e">
        <f>VB196/VA196</f>
        <v>#DIV/0!</v>
      </c>
      <c r="VD196" s="622">
        <f>(TA196+TF196+TK196)/3</f>
        <v>0</v>
      </c>
      <c r="VE196" s="358">
        <f t="shared" si="701"/>
        <v>0</v>
      </c>
      <c r="VF196" s="358">
        <f t="shared" si="701"/>
        <v>0</v>
      </c>
      <c r="VG196" s="359">
        <f t="shared" si="701"/>
        <v>0</v>
      </c>
      <c r="VH196" s="169" t="e">
        <f t="shared" si="702"/>
        <v>#DIV/0!</v>
      </c>
      <c r="VI196" s="2438">
        <f>(TZ196+TU196+TP196)/3</f>
        <v>0</v>
      </c>
      <c r="VJ196" s="146">
        <f t="shared" si="703"/>
        <v>0</v>
      </c>
      <c r="VK196" s="146">
        <f t="shared" si="703"/>
        <v>0</v>
      </c>
      <c r="VL196" s="1864">
        <f t="shared" si="703"/>
        <v>0</v>
      </c>
      <c r="VM196" s="460"/>
      <c r="VN196" s="2433"/>
      <c r="VO196" s="622">
        <f t="shared" si="755"/>
        <v>0</v>
      </c>
      <c r="VP196" s="622">
        <f t="shared" si="755"/>
        <v>0</v>
      </c>
      <c r="VQ196" s="2437">
        <f t="shared" si="755"/>
        <v>0</v>
      </c>
      <c r="VR196" s="116"/>
      <c r="VS196" s="1193"/>
      <c r="VT196" s="1193"/>
      <c r="VU196" s="1193"/>
      <c r="VV196" s="1193"/>
      <c r="VW196" s="1193"/>
      <c r="VX196" s="1193"/>
      <c r="VY196" s="1193"/>
      <c r="VZ196" s="1193"/>
      <c r="WA196" s="1193"/>
      <c r="WB196" s="1193"/>
      <c r="WC196" s="1193"/>
      <c r="WD196" s="1193"/>
      <c r="WE196" s="1193"/>
      <c r="WF196" s="1193"/>
      <c r="WG196" s="1193"/>
      <c r="WH196" s="1193"/>
      <c r="WI196" s="1193"/>
      <c r="WJ196" s="1193"/>
      <c r="WK196" s="1193"/>
      <c r="WL196" s="1193"/>
      <c r="WM196" s="1193"/>
      <c r="WN196" s="1193"/>
      <c r="WO196" s="1193"/>
      <c r="WP196" s="1193"/>
      <c r="WQ196" s="1193"/>
      <c r="WR196" s="1193"/>
      <c r="WS196" s="1193"/>
      <c r="WT196" s="1193"/>
      <c r="WU196" s="1193"/>
      <c r="WV196" s="1193"/>
      <c r="WW196" s="1193"/>
      <c r="WX196" s="1193"/>
      <c r="WY196" s="1193"/>
      <c r="WZ196" s="1193"/>
      <c r="XA196" s="1193"/>
      <c r="XB196" s="1193"/>
      <c r="XC196" s="1193"/>
      <c r="XD196" s="1193"/>
      <c r="XE196" s="1193"/>
      <c r="XF196" s="1193"/>
      <c r="XG196" s="1193"/>
      <c r="XH196" s="1193"/>
      <c r="XI196" s="1193"/>
      <c r="XJ196" s="1193"/>
      <c r="XK196" s="1193"/>
      <c r="XL196" s="1193"/>
      <c r="XM196" s="1193"/>
      <c r="XN196" s="1193"/>
      <c r="XO196" s="1193"/>
      <c r="XP196" s="1193"/>
      <c r="XQ196" s="1193"/>
      <c r="XR196" s="1193"/>
      <c r="XS196" s="1193"/>
      <c r="XT196" s="1193"/>
      <c r="XU196" s="1193"/>
      <c r="XV196" s="1193"/>
      <c r="XW196" s="1193"/>
      <c r="XX196" s="1193"/>
      <c r="XY196" s="1193"/>
      <c r="XZ196" s="1193"/>
      <c r="YA196" s="1193"/>
      <c r="YB196" s="1193"/>
      <c r="YC196" s="1193"/>
      <c r="YD196" s="1193"/>
      <c r="YE196" s="1193"/>
      <c r="YF196" s="1193"/>
      <c r="YG196" s="1193"/>
      <c r="YH196" s="1193"/>
      <c r="YI196" s="1193"/>
      <c r="YJ196" s="1193"/>
      <c r="YK196" s="1193"/>
      <c r="YL196" s="1193"/>
      <c r="YM196" s="1193"/>
      <c r="YN196" s="1193"/>
      <c r="YO196" s="1193"/>
      <c r="YP196" s="1193"/>
      <c r="YQ196" s="1193"/>
      <c r="YR196" s="1193"/>
      <c r="YS196" s="1193"/>
      <c r="YT196" s="1193"/>
      <c r="YU196" s="1193"/>
      <c r="YV196" s="1193"/>
      <c r="YW196" s="1193"/>
      <c r="YX196" s="1193"/>
      <c r="YY196" s="1193"/>
      <c r="YZ196" s="1193"/>
      <c r="ZA196" s="1193"/>
      <c r="ZB196" s="1193"/>
      <c r="ZC196" s="1193"/>
      <c r="ZD196" s="1193"/>
      <c r="ZE196" s="1193"/>
      <c r="ZF196" s="1193"/>
      <c r="ZG196" s="1193"/>
      <c r="ZH196" s="1193"/>
      <c r="ZI196" s="1193"/>
      <c r="ZJ196" s="1193"/>
      <c r="ZK196" s="1193"/>
      <c r="ZL196" s="1193"/>
      <c r="ZM196" s="1193"/>
      <c r="ZN196" s="1193"/>
      <c r="ZO196" s="1193"/>
      <c r="ZP196" s="1193"/>
      <c r="ZQ196" s="1193"/>
      <c r="ZR196" s="1193"/>
      <c r="ZS196" s="1193"/>
      <c r="ZT196" s="1193"/>
      <c r="ZU196" s="1193"/>
      <c r="ZV196" s="1193"/>
      <c r="ZW196" s="1193"/>
      <c r="ZX196" s="1193"/>
      <c r="ZY196" s="1193"/>
      <c r="ZZ196" s="1193"/>
      <c r="AAA196" s="1193"/>
      <c r="AAB196" s="1193"/>
      <c r="AAC196" s="1193"/>
      <c r="AAD196" s="1193"/>
      <c r="AAE196" s="1193"/>
      <c r="AAF196" s="1193"/>
      <c r="AAG196" s="1193"/>
      <c r="AAH196" s="1193"/>
      <c r="AAI196" s="1193"/>
      <c r="AAJ196" s="1193"/>
      <c r="AAK196" s="1193"/>
      <c r="AAL196" s="1193"/>
      <c r="AAM196" s="1193"/>
      <c r="AAN196" s="1193"/>
      <c r="AAO196" s="1193"/>
      <c r="AAP196" s="1193"/>
      <c r="AAQ196" s="1193"/>
      <c r="AAR196" s="1193"/>
      <c r="AAS196" s="1193"/>
      <c r="AAT196" s="1193"/>
      <c r="AAU196" s="1193"/>
      <c r="AAV196" s="1193"/>
      <c r="AAW196" s="1193"/>
      <c r="AAX196" s="1193"/>
      <c r="AAY196" s="1193"/>
      <c r="AAZ196" s="1193"/>
      <c r="ABA196" s="1193"/>
      <c r="ABB196" s="1193"/>
      <c r="ABC196" s="1193"/>
      <c r="ABD196" s="1193"/>
      <c r="ABE196" s="1193"/>
      <c r="ABF196" s="1193"/>
      <c r="ABG196" s="1193"/>
      <c r="ABH196" s="1193"/>
      <c r="ABI196" s="1193"/>
      <c r="ABJ196" s="1193"/>
      <c r="ABK196" s="1193"/>
      <c r="ABL196" s="1193"/>
      <c r="ABM196" s="1193"/>
      <c r="ABN196" s="1193"/>
      <c r="ABO196" s="1193"/>
      <c r="ABP196" s="1193"/>
      <c r="ABQ196" s="1193"/>
    </row>
    <row r="197" spans="1:745" s="2425" customFormat="1" ht="13.45" hidden="1" x14ac:dyDescent="0.3">
      <c r="A197" s="2399"/>
      <c r="B197" s="583" t="s">
        <v>119</v>
      </c>
      <c r="C197" s="1991" t="s">
        <v>860</v>
      </c>
      <c r="D197" s="2277"/>
      <c r="E197" s="2086"/>
      <c r="F197" s="2086"/>
      <c r="G197" s="1994">
        <v>120000</v>
      </c>
      <c r="H197" s="3870"/>
      <c r="I197" s="3871"/>
      <c r="J197" s="3871"/>
      <c r="K197" s="3871"/>
      <c r="L197" s="3872"/>
      <c r="M197" s="3870"/>
      <c r="N197" s="3871"/>
      <c r="O197" s="3871"/>
      <c r="P197" s="3871"/>
      <c r="Q197" s="3872"/>
      <c r="R197" s="3870"/>
      <c r="S197" s="3871"/>
      <c r="T197" s="3871"/>
      <c r="U197" s="3871"/>
      <c r="V197" s="3872"/>
      <c r="W197" s="3870"/>
      <c r="X197" s="3871"/>
      <c r="Y197" s="3871"/>
      <c r="Z197" s="3871"/>
      <c r="AA197" s="3873"/>
      <c r="AB197" s="3870"/>
      <c r="AC197" s="3871"/>
      <c r="AD197" s="3871"/>
      <c r="AE197" s="3871"/>
      <c r="AF197" s="3873"/>
      <c r="AG197" s="3871"/>
      <c r="AH197" s="3871"/>
      <c r="AI197" s="3871"/>
      <c r="AJ197" s="3871"/>
      <c r="AK197" s="3872"/>
      <c r="AL197" s="3871"/>
      <c r="AM197" s="3871"/>
      <c r="AN197" s="3871"/>
      <c r="AO197" s="3871"/>
      <c r="AP197" s="3872"/>
      <c r="AQ197" s="3871"/>
      <c r="AR197" s="3871"/>
      <c r="AS197" s="3871"/>
      <c r="AT197" s="3871"/>
      <c r="AU197" s="3872"/>
      <c r="AV197" s="3874"/>
      <c r="AW197" s="3871"/>
      <c r="AX197" s="3871"/>
      <c r="AY197" s="3871"/>
      <c r="AZ197" s="3873"/>
      <c r="BA197" s="3874"/>
      <c r="BB197" s="3871"/>
      <c r="BC197" s="3871"/>
      <c r="BD197" s="3871"/>
      <c r="BE197" s="3873"/>
      <c r="BF197" s="3874"/>
      <c r="BG197" s="3871"/>
      <c r="BH197" s="3871"/>
      <c r="BI197" s="3871"/>
      <c r="BJ197" s="3873"/>
      <c r="BK197" s="3874"/>
      <c r="BL197" s="3871"/>
      <c r="BM197" s="3871"/>
      <c r="BN197" s="3871"/>
      <c r="BO197" s="3873"/>
      <c r="BP197" s="3875"/>
      <c r="BQ197" s="3871"/>
      <c r="BR197" s="3871"/>
      <c r="BS197" s="3871"/>
      <c r="BT197" s="3876"/>
      <c r="BU197" s="3871"/>
      <c r="BV197" s="3871"/>
      <c r="BW197" s="3877"/>
      <c r="BX197" s="3876"/>
      <c r="BY197" s="3871"/>
      <c r="BZ197" s="3871"/>
      <c r="CA197" s="3878"/>
      <c r="CB197" s="3871"/>
      <c r="CC197" s="3871"/>
      <c r="CD197" s="3871"/>
      <c r="CE197" s="3871"/>
      <c r="CF197" s="3876"/>
      <c r="CG197" s="3871"/>
      <c r="CH197" s="3871"/>
      <c r="CI197" s="3878"/>
      <c r="CJ197" s="3879"/>
      <c r="CK197" s="3871"/>
      <c r="CL197" s="3871"/>
      <c r="CM197" s="3871"/>
      <c r="CN197" s="3877"/>
      <c r="CO197" s="3879"/>
      <c r="CP197" s="3870"/>
      <c r="CQ197" s="3870"/>
      <c r="CR197" s="3870"/>
      <c r="CS197" s="3877"/>
      <c r="CT197" s="3879"/>
      <c r="CU197" s="3871"/>
      <c r="CV197" s="3871"/>
      <c r="CW197" s="3871"/>
      <c r="CX197" s="3877"/>
      <c r="CY197" s="3879"/>
      <c r="CZ197" s="3871"/>
      <c r="DA197" s="3871"/>
      <c r="DB197" s="3871"/>
      <c r="DC197" s="3877"/>
      <c r="DD197" s="3879"/>
      <c r="DE197" s="3871"/>
      <c r="DF197" s="3871"/>
      <c r="DG197" s="3871"/>
      <c r="DH197" s="3880"/>
      <c r="DI197" s="3879"/>
      <c r="DJ197" s="3871"/>
      <c r="DK197" s="3871"/>
      <c r="DL197" s="3871"/>
      <c r="DM197" s="3880"/>
      <c r="DN197" s="3879"/>
      <c r="DO197" s="3871"/>
      <c r="DP197" s="3871"/>
      <c r="DQ197" s="3871"/>
      <c r="DR197" s="3880"/>
      <c r="DS197" s="3879"/>
      <c r="DT197" s="3871"/>
      <c r="DU197" s="3871"/>
      <c r="DV197" s="3871"/>
      <c r="DW197" s="3880"/>
      <c r="DX197" s="3879"/>
      <c r="DY197" s="3871"/>
      <c r="DZ197" s="3871"/>
      <c r="EA197" s="3871"/>
      <c r="EB197" s="3880"/>
      <c r="EC197" s="3879"/>
      <c r="ED197" s="3871"/>
      <c r="EE197" s="3871"/>
      <c r="EF197" s="3871"/>
      <c r="EG197" s="3880"/>
      <c r="EH197" s="2108"/>
      <c r="EI197" s="1873"/>
      <c r="EJ197" s="1873"/>
      <c r="EK197" s="1873"/>
      <c r="EL197" s="3881"/>
      <c r="EM197" s="1832"/>
      <c r="EN197" s="622"/>
      <c r="EO197" s="622"/>
      <c r="EP197" s="622"/>
      <c r="EQ197" s="362"/>
      <c r="ER197" s="3791"/>
      <c r="ES197" s="3792"/>
      <c r="ET197" s="3792"/>
      <c r="EU197" s="3882"/>
      <c r="EV197" s="370"/>
      <c r="EW197" s="3882"/>
      <c r="EX197" s="3882"/>
      <c r="EY197" s="3882"/>
      <c r="EZ197" s="3883"/>
      <c r="FA197" s="2108"/>
      <c r="FB197" s="3882"/>
      <c r="FC197" s="3882"/>
      <c r="FD197" s="1576"/>
      <c r="FE197" s="3882"/>
      <c r="FF197" s="3882"/>
      <c r="FG197" s="3882"/>
      <c r="FH197" s="3883"/>
      <c r="FI197" s="3884"/>
      <c r="FJ197" s="3885"/>
      <c r="FK197" s="3886"/>
      <c r="FL197" s="3886"/>
      <c r="FM197" s="239"/>
      <c r="FN197" s="3882"/>
      <c r="FO197" s="1873"/>
      <c r="FP197" s="1873"/>
      <c r="FQ197" s="1873"/>
      <c r="FR197" s="3887"/>
      <c r="FS197" s="3888"/>
      <c r="FT197" s="3889"/>
      <c r="FU197" s="3889"/>
      <c r="FV197" s="3889"/>
      <c r="FW197" s="3890"/>
      <c r="FX197" s="2108"/>
      <c r="FY197" s="1873"/>
      <c r="FZ197" s="1873"/>
      <c r="GA197" s="3889"/>
      <c r="GB197" s="3890"/>
      <c r="GC197" s="2108"/>
      <c r="GD197" s="1873"/>
      <c r="GE197" s="1873"/>
      <c r="GF197" s="622"/>
      <c r="GG197" s="362"/>
      <c r="GH197" s="1832"/>
      <c r="GI197" s="622"/>
      <c r="GJ197" s="622"/>
      <c r="GK197" s="3891"/>
      <c r="GL197" s="3890"/>
      <c r="GM197" s="1832"/>
      <c r="GN197" s="622"/>
      <c r="GO197" s="622"/>
      <c r="GP197" s="3891"/>
      <c r="GQ197" s="3890"/>
      <c r="GR197" s="622"/>
      <c r="GS197" s="622"/>
      <c r="GT197" s="622"/>
      <c r="GU197" s="3891"/>
      <c r="GV197" s="3890"/>
      <c r="GW197" s="622"/>
      <c r="GX197" s="622"/>
      <c r="GY197" s="622"/>
      <c r="GZ197" s="3891"/>
      <c r="HA197" s="3890"/>
      <c r="HB197" s="622"/>
      <c r="HC197" s="622"/>
      <c r="HD197" s="622"/>
      <c r="HE197" s="3891"/>
      <c r="HF197" s="3890"/>
      <c r="HG197" s="622"/>
      <c r="HH197" s="622"/>
      <c r="HI197" s="622"/>
      <c r="HJ197" s="3891"/>
      <c r="HK197" s="3890"/>
      <c r="HL197" s="622"/>
      <c r="HM197" s="622"/>
      <c r="HN197" s="622"/>
      <c r="HO197" s="3891"/>
      <c r="HP197" s="3890"/>
      <c r="HQ197" s="1325"/>
      <c r="HR197" s="1317"/>
      <c r="HS197" s="1317"/>
      <c r="HT197" s="1317"/>
      <c r="HU197" s="3911"/>
      <c r="HV197" s="2900"/>
      <c r="HW197" s="395"/>
      <c r="HX197" s="395"/>
      <c r="HY197" s="395"/>
      <c r="HZ197" s="2895"/>
      <c r="IA197" s="1829"/>
      <c r="IB197" s="1830"/>
      <c r="IC197" s="1830"/>
      <c r="ID197" s="1831"/>
      <c r="IE197" s="3915"/>
      <c r="IF197" s="3915"/>
      <c r="IG197" s="3915"/>
      <c r="IH197" s="3916"/>
      <c r="II197" s="3917"/>
      <c r="IJ197" s="3918"/>
      <c r="IK197" s="3918"/>
      <c r="IL197" s="3916"/>
      <c r="IM197" s="3919"/>
      <c r="IN197" s="3918"/>
      <c r="IO197" s="3918"/>
      <c r="IP197" s="3920"/>
      <c r="IQ197" s="1873"/>
      <c r="IR197" s="3921"/>
      <c r="IS197" s="3208"/>
      <c r="IT197" s="3208"/>
      <c r="IU197" s="3922"/>
      <c r="IV197" s="3899"/>
      <c r="IW197" s="3888"/>
      <c r="IX197" s="3889"/>
      <c r="IY197" s="3889"/>
      <c r="IZ197" s="3889"/>
      <c r="JA197" s="362"/>
      <c r="JB197" s="3923"/>
      <c r="JC197" s="1873"/>
      <c r="JD197" s="1873"/>
      <c r="JE197" s="3889"/>
      <c r="JF197" s="3890"/>
      <c r="JG197" s="3923"/>
      <c r="JH197" s="1873"/>
      <c r="JI197" s="1873"/>
      <c r="JJ197" s="622"/>
      <c r="JK197" s="362"/>
      <c r="JL197" s="1832"/>
      <c r="JM197" s="622"/>
      <c r="JN197" s="622"/>
      <c r="JO197" s="3891"/>
      <c r="JP197" s="3890"/>
      <c r="JQ197" s="3913"/>
      <c r="JR197" s="3905"/>
      <c r="JS197" s="1317"/>
      <c r="JT197" s="3903"/>
      <c r="JU197" s="3890"/>
      <c r="JV197" s="3924"/>
      <c r="JW197" s="622"/>
      <c r="JX197" s="3903"/>
      <c r="JY197" s="3891"/>
      <c r="JZ197" s="3890"/>
      <c r="KA197" s="2432"/>
      <c r="KB197" s="622"/>
      <c r="KC197" s="3903"/>
      <c r="KD197" s="3891"/>
      <c r="KE197" s="3890"/>
      <c r="KF197" s="3900"/>
      <c r="KG197" s="622"/>
      <c r="KH197" s="3903"/>
      <c r="KI197" s="3864"/>
      <c r="KJ197" s="3890"/>
      <c r="KK197" s="3819"/>
      <c r="KL197" s="1317"/>
      <c r="KM197" s="1317"/>
      <c r="KN197" s="3864"/>
      <c r="KO197" s="3890"/>
      <c r="KP197" s="2000"/>
      <c r="KQ197" s="1317"/>
      <c r="KR197" s="3865"/>
      <c r="KS197" s="1317"/>
      <c r="KT197" s="3906"/>
      <c r="KU197" s="2432"/>
      <c r="KV197" s="622"/>
      <c r="KW197" s="622"/>
      <c r="KX197" s="3891"/>
      <c r="KY197" s="362"/>
      <c r="KZ197" s="2432"/>
      <c r="LA197" s="622"/>
      <c r="LB197" s="622"/>
      <c r="LC197" s="622"/>
      <c r="LD197" s="2434"/>
      <c r="LE197" s="1834"/>
      <c r="LF197" s="1830"/>
      <c r="LG197" s="1830"/>
      <c r="LH197" s="1831"/>
      <c r="LI197" s="2430"/>
      <c r="LJ197" s="1873"/>
      <c r="LK197" s="3915"/>
      <c r="LL197" s="3916"/>
      <c r="LM197" s="1829"/>
      <c r="LN197" s="3894"/>
      <c r="LO197" s="3894"/>
      <c r="LP197" s="239"/>
      <c r="LQ197" s="3919"/>
      <c r="LR197" s="3915"/>
      <c r="LS197" s="3915"/>
      <c r="LT197" s="3920"/>
      <c r="LU197" s="1873"/>
      <c r="LV197" s="2445"/>
      <c r="LW197" s="2001"/>
      <c r="LX197" s="2001"/>
      <c r="LY197" s="115"/>
      <c r="LZ197" s="186"/>
      <c r="MA197" s="401"/>
      <c r="MB197" s="395"/>
      <c r="MC197" s="395"/>
      <c r="MD197" s="115"/>
      <c r="ME197" s="186"/>
      <c r="MF197" s="401"/>
      <c r="MG197" s="395"/>
      <c r="MH197" s="395"/>
      <c r="MI197" s="372"/>
      <c r="MJ197" s="207"/>
      <c r="MK197" s="2573"/>
      <c r="ML197" s="395"/>
      <c r="MM197" s="395"/>
      <c r="MN197" s="372"/>
      <c r="MO197" s="207"/>
      <c r="MP197" s="3805"/>
      <c r="MQ197" s="1317"/>
      <c r="MR197" s="1317"/>
      <c r="MS197" s="1317"/>
      <c r="MT197" s="801"/>
      <c r="MU197" s="1318"/>
      <c r="MV197" s="395"/>
      <c r="MW197" s="395"/>
      <c r="MX197" s="395"/>
      <c r="MY197" s="801"/>
      <c r="MZ197" s="1318"/>
      <c r="NA197" s="395"/>
      <c r="NB197" s="395"/>
      <c r="NC197" s="395"/>
      <c r="ND197" s="801"/>
      <c r="NE197" s="1318"/>
      <c r="NF197" s="395"/>
      <c r="NG197" s="395"/>
      <c r="NH197" s="395"/>
      <c r="NI197" s="801"/>
      <c r="NJ197" s="1318"/>
      <c r="NK197" s="395"/>
      <c r="NL197" s="395"/>
      <c r="NM197" s="395"/>
      <c r="NN197" s="801"/>
      <c r="NO197" s="2432"/>
      <c r="NP197" s="622"/>
      <c r="NQ197" s="2437"/>
      <c r="NR197" s="395"/>
      <c r="NS197" s="801"/>
      <c r="NT197" s="2432"/>
      <c r="NU197" s="622"/>
      <c r="NV197" s="622"/>
      <c r="NW197" s="395"/>
      <c r="NX197" s="801"/>
      <c r="NY197" s="2432"/>
      <c r="NZ197" s="622"/>
      <c r="OA197" s="622"/>
      <c r="OB197" s="772"/>
      <c r="OC197" s="116"/>
      <c r="OD197" s="2433"/>
      <c r="OE197" s="622"/>
      <c r="OF197" s="622"/>
      <c r="OG197" s="622"/>
      <c r="OH197" s="1576"/>
      <c r="OI197" s="3908"/>
      <c r="OJ197" s="3910"/>
      <c r="OK197" s="115"/>
      <c r="OL197" s="115"/>
      <c r="OM197" s="116"/>
      <c r="ON197" s="622"/>
      <c r="OO197" s="622"/>
      <c r="OP197" s="622"/>
      <c r="OQ197" s="2437"/>
      <c r="OR197" s="421"/>
      <c r="OS197" s="3909"/>
      <c r="OT197" s="3886"/>
      <c r="OU197" s="3886"/>
      <c r="OV197" s="3910"/>
      <c r="OW197" s="421"/>
      <c r="OX197" s="2432">
        <f t="shared" si="674"/>
        <v>0</v>
      </c>
      <c r="OY197" s="622">
        <f t="shared" si="675"/>
        <v>0</v>
      </c>
      <c r="OZ197" s="622">
        <f t="shared" si="675"/>
        <v>0</v>
      </c>
      <c r="PA197" s="2437">
        <f t="shared" si="675"/>
        <v>0</v>
      </c>
      <c r="PB197" s="116"/>
      <c r="PC197" s="3886"/>
      <c r="PD197" s="401"/>
      <c r="PE197" s="395"/>
      <c r="PF197" s="395"/>
      <c r="PG197" s="115"/>
      <c r="PH197" s="186"/>
      <c r="PI197" s="401"/>
      <c r="PJ197" s="395"/>
      <c r="PK197" s="395"/>
      <c r="PL197" s="115"/>
      <c r="PM197" s="186"/>
      <c r="PN197" s="401"/>
      <c r="PO197" s="395"/>
      <c r="PP197" s="395"/>
      <c r="PQ197" s="372">
        <f t="shared" ref="PQ197:PQ203" si="762">PP197-PO197</f>
        <v>0</v>
      </c>
      <c r="PR197" s="207"/>
      <c r="PS197" s="2891"/>
      <c r="PT197" s="2001"/>
      <c r="PU197" s="2001"/>
      <c r="PV197" s="2892">
        <f t="shared" si="676"/>
        <v>0</v>
      </c>
      <c r="PW197" s="370"/>
      <c r="PX197" s="3805"/>
      <c r="PY197" s="1317"/>
      <c r="PZ197" s="1317"/>
      <c r="QA197" s="1317">
        <v>0</v>
      </c>
      <c r="QB197" s="801"/>
      <c r="QC197" s="2002"/>
      <c r="QD197" s="2001"/>
      <c r="QE197" s="2001"/>
      <c r="QF197" s="2001"/>
      <c r="QG197" s="2003"/>
      <c r="QH197" s="2445"/>
      <c r="QI197" s="2001"/>
      <c r="QJ197" s="2001"/>
      <c r="QK197" s="2001"/>
      <c r="QL197" s="801"/>
      <c r="QM197" s="401"/>
      <c r="QN197" s="395"/>
      <c r="QO197" s="395"/>
      <c r="QP197" s="395"/>
      <c r="QQ197" s="801"/>
      <c r="QR197" s="1318"/>
      <c r="QS197" s="395"/>
      <c r="QT197" s="395"/>
      <c r="QU197" s="395"/>
      <c r="QV197" s="370"/>
      <c r="QW197" s="2002"/>
      <c r="QX197" s="2001"/>
      <c r="QY197" s="2001"/>
      <c r="QZ197" s="2001"/>
      <c r="RA197" s="801"/>
      <c r="RB197" s="2432"/>
      <c r="RC197" s="622"/>
      <c r="RD197" s="622"/>
      <c r="RE197" s="395">
        <f t="shared" si="745"/>
        <v>0</v>
      </c>
      <c r="RF197" s="801" t="e">
        <f t="shared" si="746"/>
        <v>#DIV/0!</v>
      </c>
      <c r="RG197" s="2108"/>
      <c r="RH197" s="1873"/>
      <c r="RI197" s="1873"/>
      <c r="RJ197" s="2012"/>
      <c r="RK197" s="116"/>
      <c r="RL197" s="3717"/>
      <c r="RM197" s="1873">
        <f t="shared" ref="RM197:RO200" si="763">RH197+RC197+QX197+QS197+QN197+QI197+QD197+PY197+PT197+PO197+PJ197+PE197</f>
        <v>0</v>
      </c>
      <c r="RN197" s="1873">
        <f t="shared" si="763"/>
        <v>0</v>
      </c>
      <c r="RO197" s="1873">
        <f t="shared" si="763"/>
        <v>0</v>
      </c>
      <c r="RP197" s="1576" t="e">
        <f t="shared" si="747"/>
        <v>#DIV/0!</v>
      </c>
      <c r="RQ197" s="3908">
        <f t="shared" si="722"/>
        <v>0</v>
      </c>
      <c r="RR197" s="115">
        <f t="shared" si="677"/>
        <v>0</v>
      </c>
      <c r="RS197" s="115">
        <f t="shared" si="677"/>
        <v>0</v>
      </c>
      <c r="RT197" s="115">
        <f t="shared" si="677"/>
        <v>0</v>
      </c>
      <c r="RU197" s="116" t="e">
        <f>RT197/RS197</f>
        <v>#DIV/0!</v>
      </c>
      <c r="RV197" s="622"/>
      <c r="RW197" s="622"/>
      <c r="RX197" s="622"/>
      <c r="RY197" s="2437"/>
      <c r="RZ197" s="421"/>
      <c r="SA197" s="3909">
        <f t="shared" si="748"/>
        <v>0</v>
      </c>
      <c r="SB197" s="3886">
        <f t="shared" si="679"/>
        <v>0</v>
      </c>
      <c r="SC197" s="3886">
        <f t="shared" si="679"/>
        <v>0</v>
      </c>
      <c r="SD197" s="3910">
        <f t="shared" si="679"/>
        <v>0</v>
      </c>
      <c r="SE197" s="421" t="e">
        <f t="shared" si="680"/>
        <v>#DIV/0!</v>
      </c>
      <c r="SF197" s="3736"/>
      <c r="SG197" s="622"/>
      <c r="SH197" s="622"/>
      <c r="SI197" s="2437"/>
      <c r="SJ197" s="116"/>
      <c r="SK197" s="1568"/>
      <c r="SL197" s="2445"/>
      <c r="SM197" s="2001"/>
      <c r="SN197" s="2001"/>
      <c r="SO197" s="3534"/>
      <c r="SP197" s="1498"/>
      <c r="SQ197" s="2445"/>
      <c r="SR197" s="2001"/>
      <c r="SS197" s="2001"/>
      <c r="ST197" s="3534"/>
      <c r="SU197" s="1498"/>
      <c r="SV197" s="401"/>
      <c r="SW197" s="395"/>
      <c r="SX197" s="395"/>
      <c r="SY197" s="372">
        <f t="shared" ref="SY197:SY203" si="764">SX197-SW197</f>
        <v>0</v>
      </c>
      <c r="SZ197" s="207"/>
      <c r="TA197" s="2573"/>
      <c r="TB197" s="395"/>
      <c r="TC197" s="395"/>
      <c r="TD197" s="372">
        <f t="shared" si="749"/>
        <v>0</v>
      </c>
      <c r="TE197" s="207"/>
      <c r="TF197" s="2573"/>
      <c r="TG197" s="395"/>
      <c r="TH197" s="395"/>
      <c r="TI197" s="395">
        <v>0</v>
      </c>
      <c r="TJ197" s="116"/>
      <c r="TK197" s="2002"/>
      <c r="TL197" s="2001"/>
      <c r="TM197" s="2001"/>
      <c r="TN197" s="2012"/>
      <c r="TO197" s="441"/>
      <c r="TP197" s="4464"/>
      <c r="TQ197" s="2001"/>
      <c r="TR197" s="2001"/>
      <c r="TS197" s="2012"/>
      <c r="TT197" s="116"/>
      <c r="TU197" s="4464"/>
      <c r="TV197" s="2001"/>
      <c r="TW197" s="2001"/>
      <c r="TX197" s="2012"/>
      <c r="TY197" s="441"/>
      <c r="TZ197" s="2002"/>
      <c r="UA197" s="2001"/>
      <c r="UB197" s="2001"/>
      <c r="UC197" s="2012"/>
      <c r="UD197" s="441"/>
      <c r="UE197" s="2002"/>
      <c r="UF197" s="1575"/>
      <c r="UG197" s="1575"/>
      <c r="UH197" s="2552">
        <f t="shared" si="698"/>
        <v>0</v>
      </c>
      <c r="UI197" s="222" t="e">
        <f t="shared" si="699"/>
        <v>#DIV/0!</v>
      </c>
      <c r="UJ197" s="2432"/>
      <c r="UK197" s="622"/>
      <c r="UL197" s="622"/>
      <c r="UM197" s="395">
        <f t="shared" si="750"/>
        <v>0</v>
      </c>
      <c r="UN197" s="725" t="e">
        <f>UM197/UL197</f>
        <v>#DIV/0!</v>
      </c>
      <c r="UO197" s="2108"/>
      <c r="UP197" s="1873"/>
      <c r="UQ197" s="1873"/>
      <c r="UR197" s="2012"/>
      <c r="US197" s="659"/>
      <c r="UT197" s="2433"/>
      <c r="UU197" s="358">
        <f t="shared" si="700"/>
        <v>0</v>
      </c>
      <c r="UV197" s="358">
        <f t="shared" si="700"/>
        <v>0</v>
      </c>
      <c r="UW197" s="358">
        <f t="shared" si="700"/>
        <v>0</v>
      </c>
      <c r="UX197" s="220" t="e">
        <f t="shared" si="704"/>
        <v>#DIV/0!</v>
      </c>
      <c r="UY197" s="2435">
        <f t="shared" ref="UY197:UY207" si="765">(SL197+SQ197+SV197)/3</f>
        <v>0</v>
      </c>
      <c r="UZ197" s="2436">
        <f t="shared" ref="UZ197:VB207" si="766">SM197+SR197+SW197</f>
        <v>0</v>
      </c>
      <c r="VA197" s="2436">
        <f t="shared" si="766"/>
        <v>0</v>
      </c>
      <c r="VB197" s="2436">
        <f t="shared" si="766"/>
        <v>0</v>
      </c>
      <c r="VC197" s="1439" t="e">
        <f>VB197/VA197</f>
        <v>#DIV/0!</v>
      </c>
      <c r="VD197" s="1587"/>
      <c r="VE197" s="358">
        <f t="shared" si="701"/>
        <v>0</v>
      </c>
      <c r="VF197" s="358">
        <f t="shared" si="701"/>
        <v>0</v>
      </c>
      <c r="VG197" s="359">
        <f t="shared" si="701"/>
        <v>0</v>
      </c>
      <c r="VH197" s="169" t="e">
        <f t="shared" si="702"/>
        <v>#DIV/0!</v>
      </c>
      <c r="VI197" s="2438">
        <f t="shared" ref="VI197:VI208" si="767">(TZ197+TU197+TP197)/3</f>
        <v>0</v>
      </c>
      <c r="VJ197" s="146">
        <f t="shared" si="703"/>
        <v>0</v>
      </c>
      <c r="VK197" s="146">
        <f t="shared" si="703"/>
        <v>0</v>
      </c>
      <c r="VL197" s="1864">
        <f t="shared" si="703"/>
        <v>0</v>
      </c>
      <c r="VM197" s="460" t="e">
        <f>VL197/VK197</f>
        <v>#DIV/0!</v>
      </c>
      <c r="VN197" s="2433"/>
      <c r="VO197" s="622"/>
      <c r="VP197" s="622"/>
      <c r="VQ197" s="2437"/>
      <c r="VR197" s="116"/>
      <c r="VS197" s="1193"/>
      <c r="VT197" s="1193"/>
      <c r="VU197" s="1193"/>
      <c r="VV197" s="1193"/>
      <c r="VW197" s="1193"/>
      <c r="VX197" s="1193"/>
      <c r="VY197" s="1193"/>
      <c r="VZ197" s="1193"/>
      <c r="WA197" s="1193"/>
      <c r="WB197" s="1193"/>
      <c r="WC197" s="1193"/>
      <c r="WD197" s="1193"/>
      <c r="WE197" s="1193"/>
      <c r="WF197" s="1193"/>
      <c r="WG197" s="1193"/>
      <c r="WH197" s="1193"/>
      <c r="WI197" s="1193"/>
      <c r="WJ197" s="1193"/>
      <c r="WK197" s="1193"/>
      <c r="WL197" s="1193"/>
      <c r="WM197" s="1193"/>
      <c r="WN197" s="1193"/>
      <c r="WO197" s="1193"/>
      <c r="WP197" s="1193"/>
      <c r="WQ197" s="1193"/>
      <c r="WR197" s="1193"/>
      <c r="WS197" s="1193"/>
      <c r="WT197" s="1193"/>
      <c r="WU197" s="1193"/>
      <c r="WV197" s="1193"/>
      <c r="WW197" s="1193"/>
      <c r="WX197" s="1193"/>
      <c r="WY197" s="1193"/>
      <c r="WZ197" s="1193"/>
      <c r="XA197" s="1193"/>
      <c r="XB197" s="1193"/>
      <c r="XC197" s="1193"/>
      <c r="XD197" s="1193"/>
      <c r="XE197" s="1193"/>
      <c r="XF197" s="1193"/>
      <c r="XG197" s="1193"/>
      <c r="XH197" s="1193"/>
      <c r="XI197" s="1193"/>
      <c r="XJ197" s="1193"/>
      <c r="XK197" s="1193"/>
      <c r="XL197" s="1193"/>
      <c r="XM197" s="1193"/>
      <c r="XN197" s="1193"/>
      <c r="XO197" s="1193"/>
      <c r="XP197" s="1193"/>
      <c r="XQ197" s="1193"/>
      <c r="XR197" s="1193"/>
      <c r="XS197" s="1193"/>
      <c r="XT197" s="1193"/>
      <c r="XU197" s="1193"/>
      <c r="XV197" s="1193"/>
      <c r="XW197" s="1193"/>
      <c r="XX197" s="1193"/>
      <c r="XY197" s="1193"/>
      <c r="XZ197" s="1193"/>
      <c r="YA197" s="1193"/>
      <c r="YB197" s="1193"/>
      <c r="YC197" s="1193"/>
      <c r="YD197" s="1193"/>
      <c r="YE197" s="1193"/>
      <c r="YF197" s="1193"/>
      <c r="YG197" s="1193"/>
      <c r="YH197" s="1193"/>
      <c r="YI197" s="1193"/>
      <c r="YJ197" s="1193"/>
      <c r="YK197" s="1193"/>
      <c r="YL197" s="1193"/>
      <c r="YM197" s="1193"/>
      <c r="YN197" s="1193"/>
      <c r="YO197" s="1193"/>
      <c r="YP197" s="1193"/>
      <c r="YQ197" s="1193"/>
      <c r="YR197" s="1193"/>
      <c r="YS197" s="1193"/>
      <c r="YT197" s="1193"/>
      <c r="YU197" s="1193"/>
      <c r="YV197" s="1193"/>
      <c r="YW197" s="1193"/>
      <c r="YX197" s="1193"/>
      <c r="YY197" s="1193"/>
      <c r="YZ197" s="1193"/>
      <c r="ZA197" s="1193"/>
      <c r="ZB197" s="1193"/>
      <c r="ZC197" s="1193"/>
      <c r="ZD197" s="1193"/>
      <c r="ZE197" s="1193"/>
      <c r="ZF197" s="1193"/>
      <c r="ZG197" s="1193"/>
      <c r="ZH197" s="1193"/>
      <c r="ZI197" s="1193"/>
      <c r="ZJ197" s="1193"/>
      <c r="ZK197" s="1193"/>
      <c r="ZL197" s="1193"/>
      <c r="ZM197" s="1193"/>
      <c r="ZN197" s="1193"/>
      <c r="ZO197" s="1193"/>
      <c r="ZP197" s="1193"/>
      <c r="ZQ197" s="1193"/>
      <c r="ZR197" s="1193"/>
      <c r="ZS197" s="1193"/>
      <c r="ZT197" s="1193"/>
      <c r="ZU197" s="1193"/>
      <c r="ZV197" s="1193"/>
      <c r="ZW197" s="1193"/>
      <c r="ZX197" s="1193"/>
      <c r="ZY197" s="1193"/>
      <c r="ZZ197" s="1193"/>
      <c r="AAA197" s="1193"/>
      <c r="AAB197" s="1193"/>
      <c r="AAC197" s="1193"/>
      <c r="AAD197" s="1193"/>
      <c r="AAE197" s="1193"/>
      <c r="AAF197" s="1193"/>
      <c r="AAG197" s="1193"/>
      <c r="AAH197" s="1193"/>
      <c r="AAI197" s="1193"/>
      <c r="AAJ197" s="1193"/>
      <c r="AAK197" s="1193"/>
      <c r="AAL197" s="1193"/>
      <c r="AAM197" s="1193"/>
      <c r="AAN197" s="1193"/>
      <c r="AAO197" s="1193"/>
      <c r="AAP197" s="1193"/>
      <c r="AAQ197" s="1193"/>
      <c r="AAR197" s="1193"/>
      <c r="AAS197" s="1193"/>
      <c r="AAT197" s="1193"/>
      <c r="AAU197" s="1193"/>
      <c r="AAV197" s="1193"/>
      <c r="AAW197" s="1193"/>
      <c r="AAX197" s="1193"/>
      <c r="AAY197" s="1193"/>
      <c r="AAZ197" s="1193"/>
      <c r="ABA197" s="1193"/>
      <c r="ABB197" s="1193"/>
      <c r="ABC197" s="1193"/>
      <c r="ABD197" s="1193"/>
      <c r="ABE197" s="1193"/>
      <c r="ABF197" s="1193"/>
      <c r="ABG197" s="1193"/>
      <c r="ABH197" s="1193"/>
      <c r="ABI197" s="1193"/>
      <c r="ABJ197" s="1193"/>
      <c r="ABK197" s="1193"/>
      <c r="ABL197" s="1193"/>
      <c r="ABM197" s="1193"/>
      <c r="ABN197" s="1193"/>
      <c r="ABO197" s="1193"/>
      <c r="ABP197" s="1193"/>
      <c r="ABQ197" s="1193"/>
    </row>
    <row r="198" spans="1:745" s="2425" customFormat="1" ht="13.45" hidden="1" x14ac:dyDescent="0.3">
      <c r="A198" s="2399"/>
      <c r="B198" s="583" t="s">
        <v>119</v>
      </c>
      <c r="C198" s="1991" t="s">
        <v>119</v>
      </c>
      <c r="D198" s="2277"/>
      <c r="E198" s="2086"/>
      <c r="F198" s="2086"/>
      <c r="G198" s="1994"/>
      <c r="H198" s="3870"/>
      <c r="I198" s="3871"/>
      <c r="J198" s="3871"/>
      <c r="K198" s="3871"/>
      <c r="L198" s="3872"/>
      <c r="M198" s="3870"/>
      <c r="N198" s="3871"/>
      <c r="O198" s="3871"/>
      <c r="P198" s="3871"/>
      <c r="Q198" s="3872"/>
      <c r="R198" s="3870"/>
      <c r="S198" s="3871"/>
      <c r="T198" s="3871"/>
      <c r="U198" s="3871"/>
      <c r="V198" s="3872"/>
      <c r="W198" s="3870"/>
      <c r="X198" s="3871"/>
      <c r="Y198" s="3871"/>
      <c r="Z198" s="3871"/>
      <c r="AA198" s="3873"/>
      <c r="AB198" s="3870"/>
      <c r="AC198" s="3871"/>
      <c r="AD198" s="3871"/>
      <c r="AE198" s="3871"/>
      <c r="AF198" s="3873"/>
      <c r="AG198" s="3871"/>
      <c r="AH198" s="3871"/>
      <c r="AI198" s="3871"/>
      <c r="AJ198" s="3871"/>
      <c r="AK198" s="3872"/>
      <c r="AL198" s="3871"/>
      <c r="AM198" s="3871"/>
      <c r="AN198" s="3871"/>
      <c r="AO198" s="3871"/>
      <c r="AP198" s="3872"/>
      <c r="AQ198" s="3871"/>
      <c r="AR198" s="3871"/>
      <c r="AS198" s="3871"/>
      <c r="AT198" s="3871"/>
      <c r="AU198" s="3872"/>
      <c r="AV198" s="3874"/>
      <c r="AW198" s="3871"/>
      <c r="AX198" s="3871"/>
      <c r="AY198" s="3871"/>
      <c r="AZ198" s="3873"/>
      <c r="BA198" s="3874"/>
      <c r="BB198" s="3871"/>
      <c r="BC198" s="3871"/>
      <c r="BD198" s="3871"/>
      <c r="BE198" s="3873"/>
      <c r="BF198" s="3874"/>
      <c r="BG198" s="3871"/>
      <c r="BH198" s="3871"/>
      <c r="BI198" s="3871"/>
      <c r="BJ198" s="3873"/>
      <c r="BK198" s="3874"/>
      <c r="BL198" s="3871"/>
      <c r="BM198" s="3871"/>
      <c r="BN198" s="3871"/>
      <c r="BO198" s="3873"/>
      <c r="BP198" s="3875"/>
      <c r="BQ198" s="3871"/>
      <c r="BR198" s="3871"/>
      <c r="BS198" s="3871"/>
      <c r="BT198" s="3876"/>
      <c r="BU198" s="3871"/>
      <c r="BV198" s="3871"/>
      <c r="BW198" s="3877"/>
      <c r="BX198" s="3876"/>
      <c r="BY198" s="3871"/>
      <c r="BZ198" s="3871"/>
      <c r="CA198" s="3878"/>
      <c r="CB198" s="3871"/>
      <c r="CC198" s="3871"/>
      <c r="CD198" s="3871"/>
      <c r="CE198" s="3871"/>
      <c r="CF198" s="3876"/>
      <c r="CG198" s="3871"/>
      <c r="CH198" s="3871"/>
      <c r="CI198" s="3878"/>
      <c r="CJ198" s="3879"/>
      <c r="CK198" s="3871"/>
      <c r="CL198" s="3871"/>
      <c r="CM198" s="3871"/>
      <c r="CN198" s="3877"/>
      <c r="CO198" s="3879"/>
      <c r="CP198" s="3870"/>
      <c r="CQ198" s="3870"/>
      <c r="CR198" s="3870"/>
      <c r="CS198" s="3877"/>
      <c r="CT198" s="3879"/>
      <c r="CU198" s="3871"/>
      <c r="CV198" s="3871"/>
      <c r="CW198" s="3871"/>
      <c r="CX198" s="3877"/>
      <c r="CY198" s="3879"/>
      <c r="CZ198" s="3871"/>
      <c r="DA198" s="3871"/>
      <c r="DB198" s="3871"/>
      <c r="DC198" s="3877"/>
      <c r="DD198" s="3879"/>
      <c r="DE198" s="3871"/>
      <c r="DF198" s="3871"/>
      <c r="DG198" s="3871"/>
      <c r="DH198" s="3880"/>
      <c r="DI198" s="3879"/>
      <c r="DJ198" s="3871"/>
      <c r="DK198" s="3871"/>
      <c r="DL198" s="3871"/>
      <c r="DM198" s="3880"/>
      <c r="DN198" s="3879"/>
      <c r="DO198" s="3871"/>
      <c r="DP198" s="3871"/>
      <c r="DQ198" s="3871"/>
      <c r="DR198" s="3880"/>
      <c r="DS198" s="3879"/>
      <c r="DT198" s="3871"/>
      <c r="DU198" s="3871"/>
      <c r="DV198" s="3871"/>
      <c r="DW198" s="3880"/>
      <c r="DX198" s="3879"/>
      <c r="DY198" s="3871"/>
      <c r="DZ198" s="3871"/>
      <c r="EA198" s="3871"/>
      <c r="EB198" s="3880"/>
      <c r="EC198" s="3879"/>
      <c r="ED198" s="3871"/>
      <c r="EE198" s="3871"/>
      <c r="EF198" s="3871"/>
      <c r="EG198" s="3880"/>
      <c r="EH198" s="2108"/>
      <c r="EI198" s="1873"/>
      <c r="EJ198" s="1873"/>
      <c r="EK198" s="1873"/>
      <c r="EL198" s="3881"/>
      <c r="EM198" s="1832"/>
      <c r="EN198" s="622"/>
      <c r="EO198" s="622"/>
      <c r="EP198" s="622"/>
      <c r="EQ198" s="362"/>
      <c r="ER198" s="3791">
        <f>(CJ198+CO198+CT198+CY198+DD198+DI198+DN198+DS198+DX198+EC198+EH198+EM198)/12</f>
        <v>0</v>
      </c>
      <c r="ES198" s="3792">
        <f>CK198+CP198+CU198+CZ198+DE198+DJ198+DO198+DT198+DY198+ED198+EI198+EN198</f>
        <v>0</v>
      </c>
      <c r="ET198" s="3792">
        <f>CL198+CQ198+CV198+DA198+DF198+DK198+DP198+DU198+DZ198+EE198+EJ198+EO198</f>
        <v>0</v>
      </c>
      <c r="EU198" s="3792">
        <f>CM198+CR198+CW198+DB198+DG198+DL198+DQ198+DV198+EA198+EF198+EK198+EP198</f>
        <v>0</v>
      </c>
      <c r="EV198" s="370" t="e">
        <f>EU198/ET198</f>
        <v>#DIV/0!</v>
      </c>
      <c r="EW198" s="3882"/>
      <c r="EX198" s="3882"/>
      <c r="EY198" s="3882"/>
      <c r="EZ198" s="3883"/>
      <c r="FA198" s="2108"/>
      <c r="FB198" s="3882"/>
      <c r="FC198" s="3882"/>
      <c r="FD198" s="1576"/>
      <c r="FE198" s="3882"/>
      <c r="FF198" s="3882"/>
      <c r="FG198" s="3882"/>
      <c r="FH198" s="3883"/>
      <c r="FI198" s="3884"/>
      <c r="FJ198" s="3885"/>
      <c r="FK198" s="3886"/>
      <c r="FL198" s="3886"/>
      <c r="FM198" s="239"/>
      <c r="FN198" s="3882"/>
      <c r="FO198" s="1873"/>
      <c r="FP198" s="1873"/>
      <c r="FQ198" s="1873"/>
      <c r="FR198" s="3887"/>
      <c r="FS198" s="3888"/>
      <c r="FT198" s="3889"/>
      <c r="FU198" s="3889"/>
      <c r="FV198" s="3889"/>
      <c r="FW198" s="3890"/>
      <c r="FX198" s="2108"/>
      <c r="FY198" s="1873"/>
      <c r="FZ198" s="1873"/>
      <c r="GA198" s="3889"/>
      <c r="GB198" s="3890"/>
      <c r="GC198" s="2108"/>
      <c r="GD198" s="1873"/>
      <c r="GE198" s="1873"/>
      <c r="GF198" s="622"/>
      <c r="GG198" s="362"/>
      <c r="GH198" s="1832"/>
      <c r="GI198" s="622"/>
      <c r="GJ198" s="622"/>
      <c r="GK198" s="3891"/>
      <c r="GL198" s="3890"/>
      <c r="GM198" s="1832"/>
      <c r="GN198" s="622"/>
      <c r="GO198" s="622"/>
      <c r="GP198" s="3891"/>
      <c r="GQ198" s="3890"/>
      <c r="GR198" s="622"/>
      <c r="GS198" s="622"/>
      <c r="GT198" s="622"/>
      <c r="GU198" s="3891"/>
      <c r="GV198" s="3890"/>
      <c r="GW198" s="622"/>
      <c r="GX198" s="622"/>
      <c r="GY198" s="622"/>
      <c r="GZ198" s="3891"/>
      <c r="HA198" s="3890"/>
      <c r="HB198" s="622"/>
      <c r="HC198" s="622"/>
      <c r="HD198" s="622"/>
      <c r="HE198" s="3891"/>
      <c r="HF198" s="3890"/>
      <c r="HG198" s="622"/>
      <c r="HH198" s="622"/>
      <c r="HI198" s="622"/>
      <c r="HJ198" s="3891"/>
      <c r="HK198" s="3890"/>
      <c r="HL198" s="622"/>
      <c r="HM198" s="622"/>
      <c r="HN198" s="622"/>
      <c r="HO198" s="3891"/>
      <c r="HP198" s="3890"/>
      <c r="HQ198" s="1325"/>
      <c r="HR198" s="1317"/>
      <c r="HS198" s="1317"/>
      <c r="HT198" s="1317"/>
      <c r="HU198" s="3911"/>
      <c r="HV198" s="2723">
        <f>(FN198+FS198+FX198+GC198+GH198+GM198+GR198+GW198+HB198+HG198+HL198+HQ198)/12</f>
        <v>0</v>
      </c>
      <c r="HW198" s="395">
        <f>FO198+FT198+FY198+GD198+GI198+GN198+GS198+GX198+HC198+HH198+HM198+HR198</f>
        <v>0</v>
      </c>
      <c r="HX198" s="395">
        <f>FP198+FU198+FZ198+GE198+GJ198+GO198+GT198+GY198+HD198+HI198+HN198+HS198</f>
        <v>0</v>
      </c>
      <c r="HY198" s="395">
        <f>FQ198+FV198+GA198+GF198+GK198+GP198+GU198+GZ198+HE198+HJ198+HO198+HT198</f>
        <v>0</v>
      </c>
      <c r="HZ198" s="2895"/>
      <c r="IA198" s="1829"/>
      <c r="IB198" s="1830"/>
      <c r="IC198" s="1830"/>
      <c r="ID198" s="1831"/>
      <c r="IE198" s="3915"/>
      <c r="IF198" s="3915"/>
      <c r="IG198" s="3915"/>
      <c r="IH198" s="3916"/>
      <c r="II198" s="3917"/>
      <c r="IJ198" s="3918"/>
      <c r="IK198" s="3918"/>
      <c r="IL198" s="3916"/>
      <c r="IM198" s="3919"/>
      <c r="IN198" s="3918"/>
      <c r="IO198" s="3918"/>
      <c r="IP198" s="3920"/>
      <c r="IQ198" s="1873"/>
      <c r="IR198" s="3921"/>
      <c r="IS198" s="3208"/>
      <c r="IT198" s="3208"/>
      <c r="IU198" s="3922"/>
      <c r="IV198" s="3899"/>
      <c r="IW198" s="3888"/>
      <c r="IX198" s="3889"/>
      <c r="IY198" s="3889"/>
      <c r="IZ198" s="3889"/>
      <c r="JA198" s="362"/>
      <c r="JB198" s="3923"/>
      <c r="JC198" s="1873"/>
      <c r="JD198" s="1873"/>
      <c r="JE198" s="3889"/>
      <c r="JF198" s="3890"/>
      <c r="JG198" s="3923"/>
      <c r="JH198" s="1873"/>
      <c r="JI198" s="1873"/>
      <c r="JJ198" s="622"/>
      <c r="JK198" s="362"/>
      <c r="JL198" s="1832"/>
      <c r="JM198" s="622"/>
      <c r="JN198" s="622"/>
      <c r="JO198" s="3891"/>
      <c r="JP198" s="3890"/>
      <c r="JQ198" s="3913"/>
      <c r="JR198" s="3905"/>
      <c r="JS198" s="1317"/>
      <c r="JT198" s="3903"/>
      <c r="JU198" s="3890"/>
      <c r="JV198" s="3924"/>
      <c r="JW198" s="622"/>
      <c r="JX198" s="3903"/>
      <c r="JY198" s="3891"/>
      <c r="JZ198" s="3890"/>
      <c r="KA198" s="2432"/>
      <c r="KB198" s="622"/>
      <c r="KC198" s="3903"/>
      <c r="KD198" s="3891"/>
      <c r="KE198" s="3890"/>
      <c r="KF198" s="3900"/>
      <c r="KG198" s="622"/>
      <c r="KH198" s="3903"/>
      <c r="KI198" s="3864"/>
      <c r="KJ198" s="3890"/>
      <c r="KK198" s="3819"/>
      <c r="KL198" s="1317"/>
      <c r="KM198" s="1317"/>
      <c r="KN198" s="3864"/>
      <c r="KO198" s="3890"/>
      <c r="KP198" s="2000"/>
      <c r="KQ198" s="1317"/>
      <c r="KR198" s="3865"/>
      <c r="KS198" s="1317"/>
      <c r="KT198" s="3906"/>
      <c r="KU198" s="3925"/>
      <c r="KV198" s="3891"/>
      <c r="KW198" s="3891"/>
      <c r="KX198" s="3891"/>
      <c r="KY198" s="3890"/>
      <c r="KZ198" s="2432"/>
      <c r="LA198" s="622"/>
      <c r="LB198" s="622"/>
      <c r="LC198" s="622"/>
      <c r="LD198" s="2434"/>
      <c r="LE198" s="1834"/>
      <c r="LF198" s="1830"/>
      <c r="LG198" s="1830"/>
      <c r="LH198" s="1831"/>
      <c r="LI198" s="3919"/>
      <c r="LJ198" s="3915"/>
      <c r="LK198" s="3915"/>
      <c r="LL198" s="3916"/>
      <c r="LM198" s="1829"/>
      <c r="LN198" s="3894"/>
      <c r="LO198" s="3894"/>
      <c r="LP198" s="239"/>
      <c r="LQ198" s="3919"/>
      <c r="LR198" s="3918"/>
      <c r="LS198" s="3918"/>
      <c r="LT198" s="3920"/>
      <c r="LU198" s="1873"/>
      <c r="LV198" s="2445"/>
      <c r="LW198" s="2001"/>
      <c r="LX198" s="2001"/>
      <c r="LY198" s="115"/>
      <c r="LZ198" s="186"/>
      <c r="MA198" s="401"/>
      <c r="MB198" s="395"/>
      <c r="MC198" s="395"/>
      <c r="MD198" s="115"/>
      <c r="ME198" s="186"/>
      <c r="MF198" s="401"/>
      <c r="MG198" s="395"/>
      <c r="MH198" s="395"/>
      <c r="MI198" s="372"/>
      <c r="MJ198" s="207"/>
      <c r="MK198" s="2573"/>
      <c r="ML198" s="395"/>
      <c r="MM198" s="395"/>
      <c r="MN198" s="372"/>
      <c r="MO198" s="207"/>
      <c r="MP198" s="3805"/>
      <c r="MQ198" s="1317"/>
      <c r="MR198" s="1317"/>
      <c r="MS198" s="1317"/>
      <c r="MT198" s="801"/>
      <c r="MU198" s="1318"/>
      <c r="MV198" s="395"/>
      <c r="MW198" s="395"/>
      <c r="MX198" s="395"/>
      <c r="MY198" s="801"/>
      <c r="MZ198" s="1318"/>
      <c r="NA198" s="395"/>
      <c r="NB198" s="395"/>
      <c r="NC198" s="395"/>
      <c r="ND198" s="801"/>
      <c r="NE198" s="1318"/>
      <c r="NF198" s="395"/>
      <c r="NG198" s="395"/>
      <c r="NH198" s="395"/>
      <c r="NI198" s="801"/>
      <c r="NJ198" s="1318"/>
      <c r="NK198" s="395"/>
      <c r="NL198" s="395"/>
      <c r="NM198" s="395"/>
      <c r="NN198" s="801"/>
      <c r="NO198" s="2432">
        <v>1</v>
      </c>
      <c r="NP198" s="622">
        <v>36627</v>
      </c>
      <c r="NQ198" s="2437">
        <v>48387</v>
      </c>
      <c r="NR198" s="395">
        <f>NQ198-NP198</f>
        <v>11760</v>
      </c>
      <c r="NS198" s="801">
        <f>NR198/NQ198</f>
        <v>0.24304048608097217</v>
      </c>
      <c r="NT198" s="2432">
        <v>1</v>
      </c>
      <c r="NU198" s="622">
        <v>73651</v>
      </c>
      <c r="NV198" s="622">
        <v>100000</v>
      </c>
      <c r="NW198" s="395">
        <f>NV198-NU198</f>
        <v>26349</v>
      </c>
      <c r="NX198" s="801">
        <f>NW198/NV198</f>
        <v>0.26349</v>
      </c>
      <c r="NY198" s="2432">
        <v>1</v>
      </c>
      <c r="NZ198" s="622">
        <v>70833</v>
      </c>
      <c r="OA198" s="622">
        <v>116129</v>
      </c>
      <c r="OB198" s="772">
        <f>OA198-NZ198</f>
        <v>45296</v>
      </c>
      <c r="OC198" s="116">
        <f>OB198/OA198</f>
        <v>0.39004899723583258</v>
      </c>
      <c r="OD198" s="2433">
        <v>1</v>
      </c>
      <c r="OE198" s="622">
        <f t="shared" ref="OE198:OG210" si="768">NZ198+NU198+NP198+NK198+NF198+NA198+MV198+MQ198+ML198+MG198+MB198+LW198</f>
        <v>181111</v>
      </c>
      <c r="OF198" s="622">
        <f t="shared" si="768"/>
        <v>264516</v>
      </c>
      <c r="OG198" s="622">
        <f t="shared" si="768"/>
        <v>83405</v>
      </c>
      <c r="OH198" s="1576">
        <f>OG198/OF198</f>
        <v>0.31531173917645816</v>
      </c>
      <c r="OI198" s="3908"/>
      <c r="OJ198" s="3910"/>
      <c r="OK198" s="115"/>
      <c r="OL198" s="115"/>
      <c r="OM198" s="116"/>
      <c r="ON198" s="622"/>
      <c r="OO198" s="622"/>
      <c r="OP198" s="622"/>
      <c r="OQ198" s="2437"/>
      <c r="OR198" s="421"/>
      <c r="OS198" s="3909"/>
      <c r="OT198" s="3886"/>
      <c r="OU198" s="3886"/>
      <c r="OV198" s="3910"/>
      <c r="OW198" s="421"/>
      <c r="OX198" s="2432">
        <f t="shared" si="674"/>
        <v>1</v>
      </c>
      <c r="OY198" s="622">
        <f t="shared" si="675"/>
        <v>181111</v>
      </c>
      <c r="OZ198" s="622">
        <f t="shared" si="675"/>
        <v>264516</v>
      </c>
      <c r="PA198" s="2437">
        <f t="shared" si="675"/>
        <v>83405</v>
      </c>
      <c r="PB198" s="116">
        <f>PA198/OZ198</f>
        <v>0.31531173917645816</v>
      </c>
      <c r="PC198" s="3886"/>
      <c r="PD198" s="401"/>
      <c r="PE198" s="395">
        <v>0</v>
      </c>
      <c r="PF198" s="395">
        <v>0</v>
      </c>
      <c r="PG198" s="115">
        <f>PF198-PE198</f>
        <v>0</v>
      </c>
      <c r="PH198" s="186"/>
      <c r="PI198" s="401"/>
      <c r="PJ198" s="395">
        <v>0</v>
      </c>
      <c r="PK198" s="395">
        <v>0</v>
      </c>
      <c r="PL198" s="115">
        <f>PK198-PJ198</f>
        <v>0</v>
      </c>
      <c r="PM198" s="186"/>
      <c r="PN198" s="401"/>
      <c r="PO198" s="395"/>
      <c r="PP198" s="395"/>
      <c r="PQ198" s="372">
        <f t="shared" si="762"/>
        <v>0</v>
      </c>
      <c r="PR198" s="207"/>
      <c r="PS198" s="2891"/>
      <c r="PT198" s="2001"/>
      <c r="PU198" s="2001"/>
      <c r="PV198" s="2892">
        <f t="shared" si="676"/>
        <v>0</v>
      </c>
      <c r="PW198" s="370"/>
      <c r="PX198" s="3805"/>
      <c r="PY198" s="1317"/>
      <c r="PZ198" s="1317"/>
      <c r="QA198" s="1317">
        <v>0</v>
      </c>
      <c r="QB198" s="801"/>
      <c r="QC198" s="2002"/>
      <c r="QD198" s="2001"/>
      <c r="QE198" s="2001"/>
      <c r="QF198" s="2001"/>
      <c r="QG198" s="2003"/>
      <c r="QH198" s="2445"/>
      <c r="QI198" s="2001"/>
      <c r="QJ198" s="2001"/>
      <c r="QK198" s="2001"/>
      <c r="QL198" s="801"/>
      <c r="QM198" s="401"/>
      <c r="QN198" s="395"/>
      <c r="QO198" s="395"/>
      <c r="QP198" s="395"/>
      <c r="QQ198" s="801"/>
      <c r="QR198" s="1318"/>
      <c r="QS198" s="395"/>
      <c r="QT198" s="395"/>
      <c r="QU198" s="395"/>
      <c r="QV198" s="370"/>
      <c r="QW198" s="2002"/>
      <c r="QX198" s="2001"/>
      <c r="QY198" s="2001"/>
      <c r="QZ198" s="2001">
        <f>QY198-QX198</f>
        <v>0</v>
      </c>
      <c r="RA198" s="801" t="e">
        <f>QZ198/QY198</f>
        <v>#DIV/0!</v>
      </c>
      <c r="RB198" s="2432"/>
      <c r="RC198" s="622"/>
      <c r="RD198" s="622"/>
      <c r="RE198" s="395">
        <f t="shared" si="745"/>
        <v>0</v>
      </c>
      <c r="RF198" s="801" t="e">
        <f t="shared" si="746"/>
        <v>#DIV/0!</v>
      </c>
      <c r="RG198" s="2108"/>
      <c r="RH198" s="1873"/>
      <c r="RI198" s="1873"/>
      <c r="RJ198" s="2012">
        <f>RI198-RH198</f>
        <v>0</v>
      </c>
      <c r="RK198" s="116" t="e">
        <f>RJ198/RI198</f>
        <v>#DIV/0!</v>
      </c>
      <c r="RL198" s="3717"/>
      <c r="RM198" s="1873">
        <f t="shared" si="763"/>
        <v>0</v>
      </c>
      <c r="RN198" s="1873">
        <f t="shared" si="763"/>
        <v>0</v>
      </c>
      <c r="RO198" s="1873">
        <f t="shared" si="763"/>
        <v>0</v>
      </c>
      <c r="RP198" s="1576" t="e">
        <f t="shared" si="747"/>
        <v>#DIV/0!</v>
      </c>
      <c r="RQ198" s="3908">
        <f t="shared" si="722"/>
        <v>0</v>
      </c>
      <c r="RR198" s="115">
        <f t="shared" si="677"/>
        <v>0</v>
      </c>
      <c r="RS198" s="115">
        <f t="shared" si="677"/>
        <v>0</v>
      </c>
      <c r="RT198" s="115">
        <f t="shared" si="677"/>
        <v>0</v>
      </c>
      <c r="RU198" s="116"/>
      <c r="RV198" s="622"/>
      <c r="RW198" s="622"/>
      <c r="RX198" s="622"/>
      <c r="RY198" s="2437"/>
      <c r="RZ198" s="421"/>
      <c r="SA198" s="3909">
        <f t="shared" si="748"/>
        <v>0</v>
      </c>
      <c r="SB198" s="3886">
        <f t="shared" si="679"/>
        <v>0</v>
      </c>
      <c r="SC198" s="3886">
        <f t="shared" si="679"/>
        <v>0</v>
      </c>
      <c r="SD198" s="3910">
        <f t="shared" si="679"/>
        <v>0</v>
      </c>
      <c r="SE198" s="421" t="e">
        <f t="shared" si="680"/>
        <v>#DIV/0!</v>
      </c>
      <c r="SF198" s="3736"/>
      <c r="SG198" s="622">
        <f t="shared" ref="SG198:SI209" si="769">QX198+RC198+RH198</f>
        <v>0</v>
      </c>
      <c r="SH198" s="622">
        <f t="shared" si="769"/>
        <v>0</v>
      </c>
      <c r="SI198" s="2437">
        <f t="shared" si="769"/>
        <v>0</v>
      </c>
      <c r="SJ198" s="116" t="e">
        <f>SI198/SH198</f>
        <v>#DIV/0!</v>
      </c>
      <c r="SK198" s="1568"/>
      <c r="SL198" s="2445"/>
      <c r="SM198" s="2001">
        <v>0</v>
      </c>
      <c r="SN198" s="2001">
        <v>0</v>
      </c>
      <c r="SO198" s="3534">
        <f>SN198-SM198</f>
        <v>0</v>
      </c>
      <c r="SP198" s="1498"/>
      <c r="SQ198" s="2445"/>
      <c r="SR198" s="2001">
        <v>0</v>
      </c>
      <c r="SS198" s="2001">
        <v>0</v>
      </c>
      <c r="ST198" s="3534">
        <f>SS198-SR198</f>
        <v>0</v>
      </c>
      <c r="SU198" s="1498"/>
      <c r="SV198" s="401"/>
      <c r="SW198" s="395"/>
      <c r="SX198" s="395"/>
      <c r="SY198" s="372">
        <f t="shared" si="764"/>
        <v>0</v>
      </c>
      <c r="SZ198" s="207"/>
      <c r="TA198" s="2573"/>
      <c r="TB198" s="395"/>
      <c r="TC198" s="395"/>
      <c r="TD198" s="372">
        <f t="shared" si="749"/>
        <v>0</v>
      </c>
      <c r="TE198" s="207"/>
      <c r="TF198" s="2573"/>
      <c r="TG198" s="395"/>
      <c r="TH198" s="395"/>
      <c r="TI198" s="395">
        <v>0</v>
      </c>
      <c r="TJ198" s="116"/>
      <c r="TK198" s="2002"/>
      <c r="TL198" s="2001"/>
      <c r="TM198" s="2001"/>
      <c r="TN198" s="2012"/>
      <c r="TO198" s="441"/>
      <c r="TP198" s="4464"/>
      <c r="TQ198" s="2001"/>
      <c r="TR198" s="2001"/>
      <c r="TS198" s="2012"/>
      <c r="TT198" s="116"/>
      <c r="TU198" s="4464"/>
      <c r="TV198" s="2001"/>
      <c r="TW198" s="2001"/>
      <c r="TX198" s="2012"/>
      <c r="TY198" s="441"/>
      <c r="TZ198" s="2002"/>
      <c r="UA198" s="2001"/>
      <c r="UB198" s="2001"/>
      <c r="UC198" s="2012"/>
      <c r="UD198" s="441"/>
      <c r="UE198" s="2002"/>
      <c r="UF198" s="1575"/>
      <c r="UG198" s="1575"/>
      <c r="UH198" s="2552">
        <f t="shared" si="698"/>
        <v>0</v>
      </c>
      <c r="UI198" s="222" t="e">
        <f t="shared" si="699"/>
        <v>#DIV/0!</v>
      </c>
      <c r="UJ198" s="2432"/>
      <c r="UK198" s="622"/>
      <c r="UL198" s="622"/>
      <c r="UM198" s="395">
        <f t="shared" si="750"/>
        <v>0</v>
      </c>
      <c r="UN198" s="725" t="e">
        <f>UM198/UL198</f>
        <v>#DIV/0!</v>
      </c>
      <c r="UO198" s="2108"/>
      <c r="UP198" s="1873"/>
      <c r="UQ198" s="1873"/>
      <c r="UR198" s="2012">
        <f>UQ198-UP198</f>
        <v>0</v>
      </c>
      <c r="US198" s="659" t="e">
        <f>UR198/UQ198</f>
        <v>#DIV/0!</v>
      </c>
      <c r="UT198" s="2433"/>
      <c r="UU198" s="358">
        <f t="shared" si="700"/>
        <v>0</v>
      </c>
      <c r="UV198" s="358">
        <f t="shared" si="700"/>
        <v>0</v>
      </c>
      <c r="UW198" s="358">
        <f t="shared" si="700"/>
        <v>0</v>
      </c>
      <c r="UX198" s="220" t="e">
        <f t="shared" si="704"/>
        <v>#DIV/0!</v>
      </c>
      <c r="UY198" s="2435">
        <f t="shared" si="765"/>
        <v>0</v>
      </c>
      <c r="UZ198" s="2436">
        <f t="shared" si="766"/>
        <v>0</v>
      </c>
      <c r="VA198" s="2436">
        <f t="shared" si="766"/>
        <v>0</v>
      </c>
      <c r="VB198" s="2436">
        <f t="shared" si="766"/>
        <v>0</v>
      </c>
      <c r="VC198" s="1439"/>
      <c r="VD198" s="1587"/>
      <c r="VE198" s="358">
        <f t="shared" si="701"/>
        <v>0</v>
      </c>
      <c r="VF198" s="358">
        <f t="shared" si="701"/>
        <v>0</v>
      </c>
      <c r="VG198" s="359">
        <f t="shared" si="701"/>
        <v>0</v>
      </c>
      <c r="VH198" s="169" t="e">
        <f t="shared" si="702"/>
        <v>#DIV/0!</v>
      </c>
      <c r="VI198" s="2438">
        <f t="shared" si="767"/>
        <v>0</v>
      </c>
      <c r="VJ198" s="146">
        <f t="shared" si="703"/>
        <v>0</v>
      </c>
      <c r="VK198" s="146">
        <f t="shared" si="703"/>
        <v>0</v>
      </c>
      <c r="VL198" s="1864">
        <f t="shared" si="703"/>
        <v>0</v>
      </c>
      <c r="VM198" s="460" t="e">
        <f>VL198/VK198</f>
        <v>#DIV/0!</v>
      </c>
      <c r="VN198" s="2433"/>
      <c r="VO198" s="622">
        <f t="shared" ref="VO198:VQ209" si="770">UF198+UK198+UP198</f>
        <v>0</v>
      </c>
      <c r="VP198" s="622">
        <f t="shared" si="770"/>
        <v>0</v>
      </c>
      <c r="VQ198" s="2437">
        <f t="shared" si="770"/>
        <v>0</v>
      </c>
      <c r="VR198" s="116" t="e">
        <f>VQ198/VP198</f>
        <v>#DIV/0!</v>
      </c>
      <c r="VS198" s="1193"/>
      <c r="VT198" s="1193"/>
      <c r="VU198" s="1193"/>
      <c r="VV198" s="1193"/>
      <c r="VW198" s="1193"/>
      <c r="VX198" s="1193"/>
      <c r="VY198" s="1193"/>
      <c r="VZ198" s="1193"/>
      <c r="WA198" s="1193"/>
      <c r="WB198" s="1193"/>
      <c r="WC198" s="1193"/>
      <c r="WD198" s="1193"/>
      <c r="WE198" s="1193"/>
      <c r="WF198" s="1193"/>
      <c r="WG198" s="1193"/>
      <c r="WH198" s="1193"/>
      <c r="WI198" s="1193"/>
      <c r="WJ198" s="1193"/>
      <c r="WK198" s="1193"/>
      <c r="WL198" s="1193"/>
      <c r="WM198" s="1193"/>
      <c r="WN198" s="1193"/>
      <c r="WO198" s="1193"/>
      <c r="WP198" s="1193"/>
      <c r="WQ198" s="1193"/>
      <c r="WR198" s="1193"/>
      <c r="WS198" s="1193"/>
      <c r="WT198" s="1193"/>
      <c r="WU198" s="1193"/>
      <c r="WV198" s="1193"/>
      <c r="WW198" s="1193"/>
      <c r="WX198" s="1193"/>
      <c r="WY198" s="1193"/>
      <c r="WZ198" s="1193"/>
      <c r="XA198" s="1193"/>
      <c r="XB198" s="1193"/>
      <c r="XC198" s="1193"/>
      <c r="XD198" s="1193"/>
      <c r="XE198" s="1193"/>
      <c r="XF198" s="1193"/>
      <c r="XG198" s="1193"/>
      <c r="XH198" s="1193"/>
      <c r="XI198" s="1193"/>
      <c r="XJ198" s="1193"/>
      <c r="XK198" s="1193"/>
      <c r="XL198" s="1193"/>
      <c r="XM198" s="1193"/>
      <c r="XN198" s="1193"/>
      <c r="XO198" s="1193"/>
      <c r="XP198" s="1193"/>
      <c r="XQ198" s="1193"/>
      <c r="XR198" s="1193"/>
      <c r="XS198" s="1193"/>
      <c r="XT198" s="1193"/>
      <c r="XU198" s="1193"/>
      <c r="XV198" s="1193"/>
      <c r="XW198" s="1193"/>
      <c r="XX198" s="1193"/>
      <c r="XY198" s="1193"/>
      <c r="XZ198" s="1193"/>
      <c r="YA198" s="1193"/>
      <c r="YB198" s="1193"/>
      <c r="YC198" s="1193"/>
      <c r="YD198" s="1193"/>
      <c r="YE198" s="1193"/>
      <c r="YF198" s="1193"/>
      <c r="YG198" s="1193"/>
      <c r="YH198" s="1193"/>
      <c r="YI198" s="1193"/>
      <c r="YJ198" s="1193"/>
      <c r="YK198" s="1193"/>
      <c r="YL198" s="1193"/>
      <c r="YM198" s="1193"/>
      <c r="YN198" s="1193"/>
      <c r="YO198" s="1193"/>
      <c r="YP198" s="1193"/>
      <c r="YQ198" s="1193"/>
      <c r="YR198" s="1193"/>
      <c r="YS198" s="1193"/>
      <c r="YT198" s="1193"/>
      <c r="YU198" s="1193"/>
      <c r="YV198" s="1193"/>
      <c r="YW198" s="1193"/>
      <c r="YX198" s="1193"/>
      <c r="YY198" s="1193"/>
      <c r="YZ198" s="1193"/>
      <c r="ZA198" s="1193"/>
      <c r="ZB198" s="1193"/>
      <c r="ZC198" s="1193"/>
      <c r="ZD198" s="1193"/>
      <c r="ZE198" s="1193"/>
      <c r="ZF198" s="1193"/>
      <c r="ZG198" s="1193"/>
      <c r="ZH198" s="1193"/>
      <c r="ZI198" s="1193"/>
      <c r="ZJ198" s="1193"/>
      <c r="ZK198" s="1193"/>
      <c r="ZL198" s="1193"/>
      <c r="ZM198" s="1193"/>
      <c r="ZN198" s="1193"/>
      <c r="ZO198" s="1193"/>
      <c r="ZP198" s="1193"/>
      <c r="ZQ198" s="1193"/>
      <c r="ZR198" s="1193"/>
      <c r="ZS198" s="1193"/>
      <c r="ZT198" s="1193"/>
      <c r="ZU198" s="1193"/>
      <c r="ZV198" s="1193"/>
      <c r="ZW198" s="1193"/>
      <c r="ZX198" s="1193"/>
      <c r="ZY198" s="1193"/>
      <c r="ZZ198" s="1193"/>
      <c r="AAA198" s="1193"/>
      <c r="AAB198" s="1193"/>
      <c r="AAC198" s="1193"/>
      <c r="AAD198" s="1193"/>
      <c r="AAE198" s="1193"/>
      <c r="AAF198" s="1193"/>
      <c r="AAG198" s="1193"/>
      <c r="AAH198" s="1193"/>
      <c r="AAI198" s="1193"/>
      <c r="AAJ198" s="1193"/>
      <c r="AAK198" s="1193"/>
      <c r="AAL198" s="1193"/>
      <c r="AAM198" s="1193"/>
      <c r="AAN198" s="1193"/>
      <c r="AAO198" s="1193"/>
      <c r="AAP198" s="1193"/>
      <c r="AAQ198" s="1193"/>
      <c r="AAR198" s="1193"/>
      <c r="AAS198" s="1193"/>
      <c r="AAT198" s="1193"/>
      <c r="AAU198" s="1193"/>
      <c r="AAV198" s="1193"/>
      <c r="AAW198" s="1193"/>
      <c r="AAX198" s="1193"/>
      <c r="AAY198" s="1193"/>
      <c r="AAZ198" s="1193"/>
      <c r="ABA198" s="1193"/>
      <c r="ABB198" s="1193"/>
      <c r="ABC198" s="1193"/>
      <c r="ABD198" s="1193"/>
      <c r="ABE198" s="1193"/>
      <c r="ABF198" s="1193"/>
      <c r="ABG198" s="1193"/>
      <c r="ABH198" s="1193"/>
      <c r="ABI198" s="1193"/>
      <c r="ABJ198" s="1193"/>
      <c r="ABK198" s="1193"/>
      <c r="ABL198" s="1193"/>
      <c r="ABM198" s="1193"/>
      <c r="ABN198" s="1193"/>
      <c r="ABO198" s="1193"/>
      <c r="ABP198" s="1193"/>
      <c r="ABQ198" s="1193"/>
    </row>
    <row r="199" spans="1:745" s="2425" customFormat="1" ht="13.45" hidden="1" x14ac:dyDescent="0.3">
      <c r="A199" s="2399"/>
      <c r="B199" s="583" t="s">
        <v>119</v>
      </c>
      <c r="C199" s="1991" t="s">
        <v>861</v>
      </c>
      <c r="D199" s="2277"/>
      <c r="E199" s="2086"/>
      <c r="F199" s="2086"/>
      <c r="G199" s="1994"/>
      <c r="H199" s="3870"/>
      <c r="I199" s="3871"/>
      <c r="J199" s="3871"/>
      <c r="K199" s="3871"/>
      <c r="L199" s="3872"/>
      <c r="M199" s="3870"/>
      <c r="N199" s="3871"/>
      <c r="O199" s="3871"/>
      <c r="P199" s="3871"/>
      <c r="Q199" s="3872"/>
      <c r="R199" s="3870"/>
      <c r="S199" s="3871"/>
      <c r="T199" s="3871"/>
      <c r="U199" s="3871"/>
      <c r="V199" s="3872"/>
      <c r="W199" s="3870"/>
      <c r="X199" s="3871"/>
      <c r="Y199" s="3871"/>
      <c r="Z199" s="3871"/>
      <c r="AA199" s="3873"/>
      <c r="AB199" s="3870"/>
      <c r="AC199" s="3871"/>
      <c r="AD199" s="3871"/>
      <c r="AE199" s="3871"/>
      <c r="AF199" s="3873"/>
      <c r="AG199" s="3871"/>
      <c r="AH199" s="3871"/>
      <c r="AI199" s="3871"/>
      <c r="AJ199" s="3871"/>
      <c r="AK199" s="3872"/>
      <c r="AL199" s="3871"/>
      <c r="AM199" s="3871"/>
      <c r="AN199" s="3871"/>
      <c r="AO199" s="3871"/>
      <c r="AP199" s="3872"/>
      <c r="AQ199" s="3871"/>
      <c r="AR199" s="3871"/>
      <c r="AS199" s="3871"/>
      <c r="AT199" s="3871"/>
      <c r="AU199" s="3872"/>
      <c r="AV199" s="3874"/>
      <c r="AW199" s="3871"/>
      <c r="AX199" s="3871"/>
      <c r="AY199" s="3871"/>
      <c r="AZ199" s="3873"/>
      <c r="BA199" s="3874"/>
      <c r="BB199" s="3871"/>
      <c r="BC199" s="3871"/>
      <c r="BD199" s="3871"/>
      <c r="BE199" s="3873"/>
      <c r="BF199" s="3874"/>
      <c r="BG199" s="3871"/>
      <c r="BH199" s="3871"/>
      <c r="BI199" s="3871"/>
      <c r="BJ199" s="3873"/>
      <c r="BK199" s="3874"/>
      <c r="BL199" s="3871"/>
      <c r="BM199" s="3871"/>
      <c r="BN199" s="3871"/>
      <c r="BO199" s="3873"/>
      <c r="BP199" s="3875"/>
      <c r="BQ199" s="3871"/>
      <c r="BR199" s="3871"/>
      <c r="BS199" s="3871"/>
      <c r="BT199" s="3876"/>
      <c r="BU199" s="3871"/>
      <c r="BV199" s="3871"/>
      <c r="BW199" s="3877"/>
      <c r="BX199" s="3876"/>
      <c r="BY199" s="3871"/>
      <c r="BZ199" s="3871"/>
      <c r="CA199" s="3878"/>
      <c r="CB199" s="3871"/>
      <c r="CC199" s="3871"/>
      <c r="CD199" s="3871"/>
      <c r="CE199" s="3871"/>
      <c r="CF199" s="3876"/>
      <c r="CG199" s="3871"/>
      <c r="CH199" s="3871"/>
      <c r="CI199" s="3878"/>
      <c r="CJ199" s="3879"/>
      <c r="CK199" s="3871"/>
      <c r="CL199" s="3871"/>
      <c r="CM199" s="3871"/>
      <c r="CN199" s="3877"/>
      <c r="CO199" s="3879"/>
      <c r="CP199" s="3870"/>
      <c r="CQ199" s="3870"/>
      <c r="CR199" s="3870"/>
      <c r="CS199" s="3877"/>
      <c r="CT199" s="3879"/>
      <c r="CU199" s="3871"/>
      <c r="CV199" s="3871"/>
      <c r="CW199" s="3871"/>
      <c r="CX199" s="3877"/>
      <c r="CY199" s="3879"/>
      <c r="CZ199" s="3871"/>
      <c r="DA199" s="3871"/>
      <c r="DB199" s="3871"/>
      <c r="DC199" s="3877"/>
      <c r="DD199" s="3879"/>
      <c r="DE199" s="3871"/>
      <c r="DF199" s="3871"/>
      <c r="DG199" s="3871"/>
      <c r="DH199" s="3880"/>
      <c r="DI199" s="3879"/>
      <c r="DJ199" s="3871"/>
      <c r="DK199" s="3871"/>
      <c r="DL199" s="3871"/>
      <c r="DM199" s="3880"/>
      <c r="DN199" s="3879"/>
      <c r="DO199" s="3871"/>
      <c r="DP199" s="3871"/>
      <c r="DQ199" s="3871"/>
      <c r="DR199" s="3880"/>
      <c r="DS199" s="3879"/>
      <c r="DT199" s="3871"/>
      <c r="DU199" s="3871"/>
      <c r="DV199" s="3871"/>
      <c r="DW199" s="3880"/>
      <c r="DX199" s="3879"/>
      <c r="DY199" s="3871"/>
      <c r="DZ199" s="3871"/>
      <c r="EA199" s="3871"/>
      <c r="EB199" s="3880"/>
      <c r="EC199" s="3879"/>
      <c r="ED199" s="3871"/>
      <c r="EE199" s="3871"/>
      <c r="EF199" s="3871"/>
      <c r="EG199" s="3880"/>
      <c r="EH199" s="2108"/>
      <c r="EI199" s="1873"/>
      <c r="EJ199" s="1873"/>
      <c r="EK199" s="1873"/>
      <c r="EL199" s="3881"/>
      <c r="EM199" s="1832"/>
      <c r="EN199" s="622"/>
      <c r="EO199" s="622"/>
      <c r="EP199" s="622"/>
      <c r="EQ199" s="362"/>
      <c r="ER199" s="3791"/>
      <c r="ES199" s="3792"/>
      <c r="ET199" s="3792"/>
      <c r="EU199" s="3882"/>
      <c r="EV199" s="370"/>
      <c r="EW199" s="3882"/>
      <c r="EX199" s="3882"/>
      <c r="EY199" s="3882"/>
      <c r="EZ199" s="3883"/>
      <c r="FA199" s="2108"/>
      <c r="FB199" s="3882"/>
      <c r="FC199" s="3882"/>
      <c r="FD199" s="1576"/>
      <c r="FE199" s="3882"/>
      <c r="FF199" s="3882"/>
      <c r="FG199" s="3882"/>
      <c r="FH199" s="3883"/>
      <c r="FI199" s="3884"/>
      <c r="FJ199" s="3885"/>
      <c r="FK199" s="3886"/>
      <c r="FL199" s="3886"/>
      <c r="FM199" s="239"/>
      <c r="FN199" s="3882"/>
      <c r="FO199" s="1873"/>
      <c r="FP199" s="1873"/>
      <c r="FQ199" s="1873"/>
      <c r="FR199" s="3887"/>
      <c r="FS199" s="3888"/>
      <c r="FT199" s="3889"/>
      <c r="FU199" s="3889"/>
      <c r="FV199" s="3889"/>
      <c r="FW199" s="3890"/>
      <c r="FX199" s="2108"/>
      <c r="FY199" s="1873"/>
      <c r="FZ199" s="1873"/>
      <c r="GA199" s="3889"/>
      <c r="GB199" s="3890"/>
      <c r="GC199" s="2108"/>
      <c r="GD199" s="1873"/>
      <c r="GE199" s="1873"/>
      <c r="GF199" s="622"/>
      <c r="GG199" s="362"/>
      <c r="GH199" s="1832"/>
      <c r="GI199" s="622"/>
      <c r="GJ199" s="622"/>
      <c r="GK199" s="3891"/>
      <c r="GL199" s="3890"/>
      <c r="GM199" s="1832"/>
      <c r="GN199" s="622"/>
      <c r="GO199" s="622"/>
      <c r="GP199" s="3891"/>
      <c r="GQ199" s="3890"/>
      <c r="GR199" s="622"/>
      <c r="GS199" s="622"/>
      <c r="GT199" s="622"/>
      <c r="GU199" s="3891"/>
      <c r="GV199" s="3890"/>
      <c r="GW199" s="622"/>
      <c r="GX199" s="622"/>
      <c r="GY199" s="622"/>
      <c r="GZ199" s="3891"/>
      <c r="HA199" s="3890"/>
      <c r="HB199" s="622"/>
      <c r="HC199" s="622"/>
      <c r="HD199" s="622"/>
      <c r="HE199" s="3891"/>
      <c r="HF199" s="3890"/>
      <c r="HG199" s="622"/>
      <c r="HH199" s="622"/>
      <c r="HI199" s="622"/>
      <c r="HJ199" s="3891"/>
      <c r="HK199" s="3890"/>
      <c r="HL199" s="622"/>
      <c r="HM199" s="622"/>
      <c r="HN199" s="622"/>
      <c r="HO199" s="3891"/>
      <c r="HP199" s="3890"/>
      <c r="HQ199" s="1325"/>
      <c r="HR199" s="1317"/>
      <c r="HS199" s="1317"/>
      <c r="HT199" s="1317"/>
      <c r="HU199" s="3911"/>
      <c r="HV199" s="2900"/>
      <c r="HW199" s="395"/>
      <c r="HX199" s="395"/>
      <c r="HY199" s="395"/>
      <c r="HZ199" s="2895"/>
      <c r="IA199" s="1829"/>
      <c r="IB199" s="1830"/>
      <c r="IC199" s="1830"/>
      <c r="ID199" s="1831"/>
      <c r="IE199" s="3915"/>
      <c r="IF199" s="3915"/>
      <c r="IG199" s="3915"/>
      <c r="IH199" s="3916"/>
      <c r="II199" s="3917"/>
      <c r="IJ199" s="3918"/>
      <c r="IK199" s="3918"/>
      <c r="IL199" s="3916"/>
      <c r="IM199" s="3919"/>
      <c r="IN199" s="3918"/>
      <c r="IO199" s="3918"/>
      <c r="IP199" s="3920"/>
      <c r="IQ199" s="1873"/>
      <c r="IR199" s="3921"/>
      <c r="IS199" s="3208"/>
      <c r="IT199" s="3208"/>
      <c r="IU199" s="3922"/>
      <c r="IV199" s="3899"/>
      <c r="IW199" s="3888"/>
      <c r="IX199" s="3889"/>
      <c r="IY199" s="3889"/>
      <c r="IZ199" s="3889"/>
      <c r="JA199" s="362"/>
      <c r="JB199" s="3923"/>
      <c r="JC199" s="1873"/>
      <c r="JD199" s="1873"/>
      <c r="JE199" s="3889"/>
      <c r="JF199" s="3890"/>
      <c r="JG199" s="3923"/>
      <c r="JH199" s="1873"/>
      <c r="JI199" s="1873"/>
      <c r="JJ199" s="622"/>
      <c r="JK199" s="362"/>
      <c r="JL199" s="1832"/>
      <c r="JM199" s="622"/>
      <c r="JN199" s="622"/>
      <c r="JO199" s="3891"/>
      <c r="JP199" s="3890"/>
      <c r="JQ199" s="3913"/>
      <c r="JR199" s="3905"/>
      <c r="JS199" s="1317"/>
      <c r="JT199" s="3903"/>
      <c r="JU199" s="3890"/>
      <c r="JV199" s="3924"/>
      <c r="JW199" s="622"/>
      <c r="JX199" s="3903"/>
      <c r="JY199" s="3891"/>
      <c r="JZ199" s="3890"/>
      <c r="KA199" s="2432"/>
      <c r="KB199" s="622"/>
      <c r="KC199" s="3903"/>
      <c r="KD199" s="3891"/>
      <c r="KE199" s="3890"/>
      <c r="KF199" s="3900"/>
      <c r="KG199" s="622"/>
      <c r="KH199" s="3903"/>
      <c r="KI199" s="3864"/>
      <c r="KJ199" s="3890"/>
      <c r="KK199" s="3819"/>
      <c r="KL199" s="1317"/>
      <c r="KM199" s="1317"/>
      <c r="KN199" s="3864"/>
      <c r="KO199" s="3890"/>
      <c r="KP199" s="2000"/>
      <c r="KQ199" s="1317"/>
      <c r="KR199" s="3865"/>
      <c r="KS199" s="1317"/>
      <c r="KT199" s="3906"/>
      <c r="KU199" s="3925"/>
      <c r="KV199" s="3891"/>
      <c r="KW199" s="3891"/>
      <c r="KX199" s="3891"/>
      <c r="KY199" s="3890"/>
      <c r="KZ199" s="2432"/>
      <c r="LA199" s="622"/>
      <c r="LB199" s="622"/>
      <c r="LC199" s="622"/>
      <c r="LD199" s="2434"/>
      <c r="LE199" s="1834"/>
      <c r="LF199" s="1830"/>
      <c r="LG199" s="1830"/>
      <c r="LH199" s="1831"/>
      <c r="LI199" s="3919"/>
      <c r="LJ199" s="3915"/>
      <c r="LK199" s="3915"/>
      <c r="LL199" s="3916"/>
      <c r="LM199" s="1829"/>
      <c r="LN199" s="3894"/>
      <c r="LO199" s="3894"/>
      <c r="LP199" s="239"/>
      <c r="LQ199" s="3919"/>
      <c r="LR199" s="3918"/>
      <c r="LS199" s="3918"/>
      <c r="LT199" s="3920"/>
      <c r="LU199" s="1873"/>
      <c r="LV199" s="2445"/>
      <c r="LW199" s="2001"/>
      <c r="LX199" s="2001"/>
      <c r="LY199" s="115"/>
      <c r="LZ199" s="186"/>
      <c r="MA199" s="401"/>
      <c r="MB199" s="395"/>
      <c r="MC199" s="395"/>
      <c r="MD199" s="115"/>
      <c r="ME199" s="186"/>
      <c r="MF199" s="401"/>
      <c r="MG199" s="395"/>
      <c r="MH199" s="395"/>
      <c r="MI199" s="372"/>
      <c r="MJ199" s="207"/>
      <c r="MK199" s="2573"/>
      <c r="ML199" s="395"/>
      <c r="MM199" s="395"/>
      <c r="MN199" s="372"/>
      <c r="MO199" s="207"/>
      <c r="MP199" s="3805"/>
      <c r="MQ199" s="1317"/>
      <c r="MR199" s="1317"/>
      <c r="MS199" s="1317"/>
      <c r="MT199" s="801"/>
      <c r="MU199" s="1318"/>
      <c r="MV199" s="395"/>
      <c r="MW199" s="395"/>
      <c r="MX199" s="395"/>
      <c r="MY199" s="801"/>
      <c r="MZ199" s="1318"/>
      <c r="NA199" s="395"/>
      <c r="NB199" s="395"/>
      <c r="NC199" s="395"/>
      <c r="ND199" s="801"/>
      <c r="NE199" s="1318"/>
      <c r="NF199" s="395"/>
      <c r="NG199" s="395"/>
      <c r="NH199" s="395"/>
      <c r="NI199" s="801"/>
      <c r="NJ199" s="1318"/>
      <c r="NK199" s="395"/>
      <c r="NL199" s="395"/>
      <c r="NM199" s="395"/>
      <c r="NN199" s="801"/>
      <c r="NO199" s="2432"/>
      <c r="NP199" s="622"/>
      <c r="NQ199" s="2437"/>
      <c r="NR199" s="395"/>
      <c r="NS199" s="801"/>
      <c r="NT199" s="2432"/>
      <c r="NU199" s="622"/>
      <c r="NV199" s="622"/>
      <c r="NW199" s="395"/>
      <c r="NX199" s="801"/>
      <c r="NY199" s="2432">
        <v>1</v>
      </c>
      <c r="NZ199" s="622">
        <v>69528</v>
      </c>
      <c r="OA199" s="622">
        <v>85316</v>
      </c>
      <c r="OB199" s="772">
        <f>OA199-NZ199</f>
        <v>15788</v>
      </c>
      <c r="OC199" s="116">
        <f>OB199/OA199</f>
        <v>0.18505321393408036</v>
      </c>
      <c r="OD199" s="2433">
        <v>1</v>
      </c>
      <c r="OE199" s="622">
        <f t="shared" si="768"/>
        <v>69528</v>
      </c>
      <c r="OF199" s="622">
        <f t="shared" si="768"/>
        <v>85316</v>
      </c>
      <c r="OG199" s="622">
        <f t="shared" si="768"/>
        <v>15788</v>
      </c>
      <c r="OH199" s="1576">
        <f>OG199/OF199</f>
        <v>0.18505321393408036</v>
      </c>
      <c r="OI199" s="3908"/>
      <c r="OJ199" s="3910"/>
      <c r="OK199" s="115"/>
      <c r="OL199" s="115"/>
      <c r="OM199" s="116"/>
      <c r="ON199" s="622"/>
      <c r="OO199" s="622"/>
      <c r="OP199" s="622"/>
      <c r="OQ199" s="2437"/>
      <c r="OR199" s="421"/>
      <c r="OS199" s="3909"/>
      <c r="OT199" s="3886"/>
      <c r="OU199" s="3886"/>
      <c r="OV199" s="3910"/>
      <c r="OW199" s="421"/>
      <c r="OX199" s="2432">
        <f t="shared" si="674"/>
        <v>0.33333333333333331</v>
      </c>
      <c r="OY199" s="622">
        <f t="shared" si="675"/>
        <v>69528</v>
      </c>
      <c r="OZ199" s="622">
        <f t="shared" si="675"/>
        <v>85316</v>
      </c>
      <c r="PA199" s="2437">
        <f t="shared" si="675"/>
        <v>15788</v>
      </c>
      <c r="PB199" s="116">
        <f>PA199/OZ199</f>
        <v>0.18505321393408036</v>
      </c>
      <c r="PC199" s="3886"/>
      <c r="PD199" s="401"/>
      <c r="PE199" s="395">
        <v>0</v>
      </c>
      <c r="PF199" s="395">
        <v>0</v>
      </c>
      <c r="PG199" s="115">
        <v>0</v>
      </c>
      <c r="PH199" s="186"/>
      <c r="PI199" s="401"/>
      <c r="PJ199" s="395">
        <v>0</v>
      </c>
      <c r="PK199" s="395">
        <v>0</v>
      </c>
      <c r="PL199" s="115">
        <f>PK199-PJ199</f>
        <v>0</v>
      </c>
      <c r="PM199" s="186"/>
      <c r="PN199" s="401"/>
      <c r="PO199" s="395"/>
      <c r="PP199" s="395"/>
      <c r="PQ199" s="372">
        <f t="shared" si="762"/>
        <v>0</v>
      </c>
      <c r="PR199" s="207"/>
      <c r="PS199" s="2891"/>
      <c r="PT199" s="2001"/>
      <c r="PU199" s="2001"/>
      <c r="PV199" s="2892">
        <f t="shared" si="676"/>
        <v>0</v>
      </c>
      <c r="PW199" s="370"/>
      <c r="PX199" s="3805"/>
      <c r="PY199" s="1317"/>
      <c r="PZ199" s="1317"/>
      <c r="QA199" s="1317">
        <v>0</v>
      </c>
      <c r="QB199" s="801"/>
      <c r="QC199" s="2002"/>
      <c r="QD199" s="2001"/>
      <c r="QE199" s="2001"/>
      <c r="QF199" s="2001"/>
      <c r="QG199" s="2003"/>
      <c r="QH199" s="2445"/>
      <c r="QI199" s="2001"/>
      <c r="QJ199" s="2001"/>
      <c r="QK199" s="2001"/>
      <c r="QL199" s="801"/>
      <c r="QM199" s="401"/>
      <c r="QN199" s="395"/>
      <c r="QO199" s="395"/>
      <c r="QP199" s="395"/>
      <c r="QQ199" s="801"/>
      <c r="QR199" s="1318"/>
      <c r="QS199" s="395"/>
      <c r="QT199" s="395"/>
      <c r="QU199" s="395"/>
      <c r="QV199" s="370"/>
      <c r="QW199" s="2002"/>
      <c r="QX199" s="2001"/>
      <c r="QY199" s="2001"/>
      <c r="QZ199" s="2001"/>
      <c r="RA199" s="801"/>
      <c r="RB199" s="2432"/>
      <c r="RC199" s="622"/>
      <c r="RD199" s="622"/>
      <c r="RE199" s="395">
        <f t="shared" si="745"/>
        <v>0</v>
      </c>
      <c r="RF199" s="801" t="e">
        <f t="shared" si="746"/>
        <v>#DIV/0!</v>
      </c>
      <c r="RG199" s="2108"/>
      <c r="RH199" s="1873"/>
      <c r="RI199" s="1873"/>
      <c r="RJ199" s="2012">
        <f>RI199-RH199</f>
        <v>0</v>
      </c>
      <c r="RK199" s="116" t="e">
        <f>RJ199/RI199</f>
        <v>#DIV/0!</v>
      </c>
      <c r="RL199" s="3717"/>
      <c r="RM199" s="1873">
        <f t="shared" si="763"/>
        <v>0</v>
      </c>
      <c r="RN199" s="1873">
        <f t="shared" si="763"/>
        <v>0</v>
      </c>
      <c r="RO199" s="1873">
        <f t="shared" si="763"/>
        <v>0</v>
      </c>
      <c r="RP199" s="1576" t="e">
        <f t="shared" si="747"/>
        <v>#DIV/0!</v>
      </c>
      <c r="RQ199" s="3908">
        <f t="shared" si="722"/>
        <v>0</v>
      </c>
      <c r="RR199" s="115">
        <f t="shared" si="677"/>
        <v>0</v>
      </c>
      <c r="RS199" s="115">
        <f t="shared" si="677"/>
        <v>0</v>
      </c>
      <c r="RT199" s="115">
        <f t="shared" si="677"/>
        <v>0</v>
      </c>
      <c r="RU199" s="116"/>
      <c r="RV199" s="622"/>
      <c r="RW199" s="622"/>
      <c r="RX199" s="622"/>
      <c r="RY199" s="2437"/>
      <c r="RZ199" s="421"/>
      <c r="SA199" s="3909">
        <f t="shared" si="748"/>
        <v>0</v>
      </c>
      <c r="SB199" s="3886">
        <f t="shared" si="679"/>
        <v>0</v>
      </c>
      <c r="SC199" s="3886">
        <f t="shared" si="679"/>
        <v>0</v>
      </c>
      <c r="SD199" s="3910">
        <f t="shared" si="679"/>
        <v>0</v>
      </c>
      <c r="SE199" s="421" t="e">
        <f t="shared" si="680"/>
        <v>#DIV/0!</v>
      </c>
      <c r="SF199" s="3736"/>
      <c r="SG199" s="622">
        <f t="shared" si="769"/>
        <v>0</v>
      </c>
      <c r="SH199" s="622">
        <f t="shared" si="769"/>
        <v>0</v>
      </c>
      <c r="SI199" s="2437">
        <f t="shared" si="769"/>
        <v>0</v>
      </c>
      <c r="SJ199" s="116" t="e">
        <f>SI199/SH199</f>
        <v>#DIV/0!</v>
      </c>
      <c r="SK199" s="1568"/>
      <c r="SL199" s="2445"/>
      <c r="SM199" s="2001">
        <v>0</v>
      </c>
      <c r="SN199" s="2001">
        <v>0</v>
      </c>
      <c r="SO199" s="3534">
        <v>0</v>
      </c>
      <c r="SP199" s="1498"/>
      <c r="SQ199" s="2445"/>
      <c r="SR199" s="2001">
        <v>0</v>
      </c>
      <c r="SS199" s="2001">
        <v>0</v>
      </c>
      <c r="ST199" s="3534">
        <f>SS199-SR199</f>
        <v>0</v>
      </c>
      <c r="SU199" s="1498"/>
      <c r="SV199" s="401"/>
      <c r="SW199" s="395"/>
      <c r="SX199" s="395"/>
      <c r="SY199" s="372">
        <f t="shared" si="764"/>
        <v>0</v>
      </c>
      <c r="SZ199" s="207"/>
      <c r="TA199" s="2573"/>
      <c r="TB199" s="395"/>
      <c r="TC199" s="395"/>
      <c r="TD199" s="372">
        <f t="shared" si="749"/>
        <v>0</v>
      </c>
      <c r="TE199" s="207"/>
      <c r="TF199" s="2573"/>
      <c r="TG199" s="395"/>
      <c r="TH199" s="395"/>
      <c r="TI199" s="395">
        <v>0</v>
      </c>
      <c r="TJ199" s="116"/>
      <c r="TK199" s="2002"/>
      <c r="TL199" s="2001"/>
      <c r="TM199" s="2001"/>
      <c r="TN199" s="2012"/>
      <c r="TO199" s="441"/>
      <c r="TP199" s="4464"/>
      <c r="TQ199" s="2001"/>
      <c r="TR199" s="2001"/>
      <c r="TS199" s="2012"/>
      <c r="TT199" s="116"/>
      <c r="TU199" s="4464"/>
      <c r="TV199" s="2001"/>
      <c r="TW199" s="2001"/>
      <c r="TX199" s="2012"/>
      <c r="TY199" s="441"/>
      <c r="TZ199" s="2002"/>
      <c r="UA199" s="2001"/>
      <c r="UB199" s="2001"/>
      <c r="UC199" s="2012"/>
      <c r="UD199" s="441"/>
      <c r="UE199" s="2002"/>
      <c r="UF199" s="1575"/>
      <c r="UG199" s="1575"/>
      <c r="UH199" s="2552">
        <f t="shared" si="698"/>
        <v>0</v>
      </c>
      <c r="UI199" s="222" t="e">
        <f t="shared" si="699"/>
        <v>#DIV/0!</v>
      </c>
      <c r="UJ199" s="2432"/>
      <c r="UK199" s="622"/>
      <c r="UL199" s="622"/>
      <c r="UM199" s="395">
        <f t="shared" si="750"/>
        <v>0</v>
      </c>
      <c r="UN199" s="725" t="e">
        <f>UM199/UL199</f>
        <v>#DIV/0!</v>
      </c>
      <c r="UO199" s="2108"/>
      <c r="UP199" s="1873"/>
      <c r="UQ199" s="1873"/>
      <c r="UR199" s="2012">
        <f>UQ199-UP199</f>
        <v>0</v>
      </c>
      <c r="US199" s="659" t="e">
        <f>UR199/UQ199</f>
        <v>#DIV/0!</v>
      </c>
      <c r="UT199" s="2433"/>
      <c r="UU199" s="358">
        <f t="shared" si="700"/>
        <v>0</v>
      </c>
      <c r="UV199" s="358">
        <f t="shared" si="700"/>
        <v>0</v>
      </c>
      <c r="UW199" s="358">
        <f t="shared" si="700"/>
        <v>0</v>
      </c>
      <c r="UX199" s="220" t="e">
        <f t="shared" si="704"/>
        <v>#DIV/0!</v>
      </c>
      <c r="UY199" s="2435">
        <f t="shared" si="765"/>
        <v>0</v>
      </c>
      <c r="UZ199" s="2436">
        <f t="shared" si="766"/>
        <v>0</v>
      </c>
      <c r="VA199" s="2436">
        <f t="shared" si="766"/>
        <v>0</v>
      </c>
      <c r="VB199" s="2436">
        <f t="shared" si="766"/>
        <v>0</v>
      </c>
      <c r="VC199" s="1439"/>
      <c r="VD199" s="1587"/>
      <c r="VE199" s="358">
        <f t="shared" si="701"/>
        <v>0</v>
      </c>
      <c r="VF199" s="358">
        <f t="shared" si="701"/>
        <v>0</v>
      </c>
      <c r="VG199" s="359">
        <f t="shared" si="701"/>
        <v>0</v>
      </c>
      <c r="VH199" s="169" t="e">
        <f t="shared" si="702"/>
        <v>#DIV/0!</v>
      </c>
      <c r="VI199" s="2438">
        <f t="shared" si="767"/>
        <v>0</v>
      </c>
      <c r="VJ199" s="146">
        <f t="shared" si="703"/>
        <v>0</v>
      </c>
      <c r="VK199" s="146">
        <f t="shared" si="703"/>
        <v>0</v>
      </c>
      <c r="VL199" s="1864">
        <f t="shared" si="703"/>
        <v>0</v>
      </c>
      <c r="VM199" s="460" t="e">
        <f>VL199/VK199</f>
        <v>#DIV/0!</v>
      </c>
      <c r="VN199" s="2433"/>
      <c r="VO199" s="622">
        <f t="shared" si="770"/>
        <v>0</v>
      </c>
      <c r="VP199" s="622">
        <f t="shared" si="770"/>
        <v>0</v>
      </c>
      <c r="VQ199" s="2437">
        <f t="shared" si="770"/>
        <v>0</v>
      </c>
      <c r="VR199" s="116" t="e">
        <f>VQ199/VP199</f>
        <v>#DIV/0!</v>
      </c>
      <c r="VS199" s="1193"/>
      <c r="VT199" s="1193"/>
      <c r="VU199" s="1193"/>
      <c r="VV199" s="1193"/>
      <c r="VW199" s="1193"/>
      <c r="VX199" s="1193"/>
      <c r="VY199" s="1193"/>
      <c r="VZ199" s="1193"/>
      <c r="WA199" s="1193"/>
      <c r="WB199" s="1193"/>
      <c r="WC199" s="1193"/>
      <c r="WD199" s="1193"/>
      <c r="WE199" s="1193"/>
      <c r="WF199" s="1193"/>
      <c r="WG199" s="1193"/>
      <c r="WH199" s="1193"/>
      <c r="WI199" s="1193"/>
      <c r="WJ199" s="1193"/>
      <c r="WK199" s="1193"/>
      <c r="WL199" s="1193"/>
      <c r="WM199" s="1193"/>
      <c r="WN199" s="1193"/>
      <c r="WO199" s="1193"/>
      <c r="WP199" s="1193"/>
      <c r="WQ199" s="1193"/>
      <c r="WR199" s="1193"/>
      <c r="WS199" s="1193"/>
      <c r="WT199" s="1193"/>
      <c r="WU199" s="1193"/>
      <c r="WV199" s="1193"/>
      <c r="WW199" s="1193"/>
      <c r="WX199" s="1193"/>
      <c r="WY199" s="1193"/>
      <c r="WZ199" s="1193"/>
      <c r="XA199" s="1193"/>
      <c r="XB199" s="1193"/>
      <c r="XC199" s="1193"/>
      <c r="XD199" s="1193"/>
      <c r="XE199" s="1193"/>
      <c r="XF199" s="1193"/>
      <c r="XG199" s="1193"/>
      <c r="XH199" s="1193"/>
      <c r="XI199" s="1193"/>
      <c r="XJ199" s="1193"/>
      <c r="XK199" s="1193"/>
      <c r="XL199" s="1193"/>
      <c r="XM199" s="1193"/>
      <c r="XN199" s="1193"/>
      <c r="XO199" s="1193"/>
      <c r="XP199" s="1193"/>
      <c r="XQ199" s="1193"/>
      <c r="XR199" s="1193"/>
      <c r="XS199" s="1193"/>
      <c r="XT199" s="1193"/>
      <c r="XU199" s="1193"/>
      <c r="XV199" s="1193"/>
      <c r="XW199" s="1193"/>
      <c r="XX199" s="1193"/>
      <c r="XY199" s="1193"/>
      <c r="XZ199" s="1193"/>
      <c r="YA199" s="1193"/>
      <c r="YB199" s="1193"/>
      <c r="YC199" s="1193"/>
      <c r="YD199" s="1193"/>
      <c r="YE199" s="1193"/>
      <c r="YF199" s="1193"/>
      <c r="YG199" s="1193"/>
      <c r="YH199" s="1193"/>
      <c r="YI199" s="1193"/>
      <c r="YJ199" s="1193"/>
      <c r="YK199" s="1193"/>
      <c r="YL199" s="1193"/>
      <c r="YM199" s="1193"/>
      <c r="YN199" s="1193"/>
      <c r="YO199" s="1193"/>
      <c r="YP199" s="1193"/>
      <c r="YQ199" s="1193"/>
      <c r="YR199" s="1193"/>
      <c r="YS199" s="1193"/>
      <c r="YT199" s="1193"/>
      <c r="YU199" s="1193"/>
      <c r="YV199" s="1193"/>
      <c r="YW199" s="1193"/>
      <c r="YX199" s="1193"/>
      <c r="YY199" s="1193"/>
      <c r="YZ199" s="1193"/>
      <c r="ZA199" s="1193"/>
      <c r="ZB199" s="1193"/>
      <c r="ZC199" s="1193"/>
      <c r="ZD199" s="1193"/>
      <c r="ZE199" s="1193"/>
      <c r="ZF199" s="1193"/>
      <c r="ZG199" s="1193"/>
      <c r="ZH199" s="1193"/>
      <c r="ZI199" s="1193"/>
      <c r="ZJ199" s="1193"/>
      <c r="ZK199" s="1193"/>
      <c r="ZL199" s="1193"/>
      <c r="ZM199" s="1193"/>
      <c r="ZN199" s="1193"/>
      <c r="ZO199" s="1193"/>
      <c r="ZP199" s="1193"/>
      <c r="ZQ199" s="1193"/>
      <c r="ZR199" s="1193"/>
      <c r="ZS199" s="1193"/>
      <c r="ZT199" s="1193"/>
      <c r="ZU199" s="1193"/>
      <c r="ZV199" s="1193"/>
      <c r="ZW199" s="1193"/>
      <c r="ZX199" s="1193"/>
      <c r="ZY199" s="1193"/>
      <c r="ZZ199" s="1193"/>
      <c r="AAA199" s="1193"/>
      <c r="AAB199" s="1193"/>
      <c r="AAC199" s="1193"/>
      <c r="AAD199" s="1193"/>
      <c r="AAE199" s="1193"/>
      <c r="AAF199" s="1193"/>
      <c r="AAG199" s="1193"/>
      <c r="AAH199" s="1193"/>
      <c r="AAI199" s="1193"/>
      <c r="AAJ199" s="1193"/>
      <c r="AAK199" s="1193"/>
      <c r="AAL199" s="1193"/>
      <c r="AAM199" s="1193"/>
      <c r="AAN199" s="1193"/>
      <c r="AAO199" s="1193"/>
      <c r="AAP199" s="1193"/>
      <c r="AAQ199" s="1193"/>
      <c r="AAR199" s="1193"/>
      <c r="AAS199" s="1193"/>
      <c r="AAT199" s="1193"/>
      <c r="AAU199" s="1193"/>
      <c r="AAV199" s="1193"/>
      <c r="AAW199" s="1193"/>
      <c r="AAX199" s="1193"/>
      <c r="AAY199" s="1193"/>
      <c r="AAZ199" s="1193"/>
      <c r="ABA199" s="1193"/>
      <c r="ABB199" s="1193"/>
      <c r="ABC199" s="1193"/>
      <c r="ABD199" s="1193"/>
      <c r="ABE199" s="1193"/>
      <c r="ABF199" s="1193"/>
      <c r="ABG199" s="1193"/>
      <c r="ABH199" s="1193"/>
      <c r="ABI199" s="1193"/>
      <c r="ABJ199" s="1193"/>
      <c r="ABK199" s="1193"/>
      <c r="ABL199" s="1193"/>
      <c r="ABM199" s="1193"/>
      <c r="ABN199" s="1193"/>
      <c r="ABO199" s="1193"/>
      <c r="ABP199" s="1193"/>
      <c r="ABQ199" s="1193"/>
    </row>
    <row r="200" spans="1:745" s="2425" customFormat="1" ht="13.45" hidden="1" x14ac:dyDescent="0.3">
      <c r="A200" s="2399"/>
      <c r="B200" s="583" t="s">
        <v>117</v>
      </c>
      <c r="C200" s="1991" t="s">
        <v>118</v>
      </c>
      <c r="D200" s="2277"/>
      <c r="E200" s="2086"/>
      <c r="F200" s="2086"/>
      <c r="G200" s="1994"/>
      <c r="H200" s="3870"/>
      <c r="I200" s="3871"/>
      <c r="J200" s="3871"/>
      <c r="K200" s="3871"/>
      <c r="L200" s="3872"/>
      <c r="M200" s="3870"/>
      <c r="N200" s="3871"/>
      <c r="O200" s="3871"/>
      <c r="P200" s="3871"/>
      <c r="Q200" s="3872"/>
      <c r="R200" s="3870"/>
      <c r="S200" s="3871"/>
      <c r="T200" s="3871"/>
      <c r="U200" s="3871"/>
      <c r="V200" s="3872"/>
      <c r="W200" s="3870"/>
      <c r="X200" s="3871"/>
      <c r="Y200" s="3871"/>
      <c r="Z200" s="3871"/>
      <c r="AA200" s="3873"/>
      <c r="AB200" s="3870"/>
      <c r="AC200" s="3871"/>
      <c r="AD200" s="3871"/>
      <c r="AE200" s="3871"/>
      <c r="AF200" s="3873"/>
      <c r="AG200" s="3871"/>
      <c r="AH200" s="3871"/>
      <c r="AI200" s="3871"/>
      <c r="AJ200" s="3871"/>
      <c r="AK200" s="3872"/>
      <c r="AL200" s="3871"/>
      <c r="AM200" s="3871"/>
      <c r="AN200" s="3871"/>
      <c r="AO200" s="3871"/>
      <c r="AP200" s="3872"/>
      <c r="AQ200" s="3871"/>
      <c r="AR200" s="3871"/>
      <c r="AS200" s="3871"/>
      <c r="AT200" s="3871"/>
      <c r="AU200" s="3872"/>
      <c r="AV200" s="3874"/>
      <c r="AW200" s="3871"/>
      <c r="AX200" s="3871"/>
      <c r="AY200" s="3871"/>
      <c r="AZ200" s="3873"/>
      <c r="BA200" s="3874"/>
      <c r="BB200" s="3871"/>
      <c r="BC200" s="3871"/>
      <c r="BD200" s="3871"/>
      <c r="BE200" s="3873"/>
      <c r="BF200" s="3874"/>
      <c r="BG200" s="3871"/>
      <c r="BH200" s="3871"/>
      <c r="BI200" s="3871"/>
      <c r="BJ200" s="3873"/>
      <c r="BK200" s="3874"/>
      <c r="BL200" s="3871"/>
      <c r="BM200" s="3871"/>
      <c r="BN200" s="3871"/>
      <c r="BO200" s="3873"/>
      <c r="BP200" s="3875"/>
      <c r="BQ200" s="3871"/>
      <c r="BR200" s="3871"/>
      <c r="BS200" s="3871"/>
      <c r="BT200" s="3876"/>
      <c r="BU200" s="3871"/>
      <c r="BV200" s="3871"/>
      <c r="BW200" s="3877"/>
      <c r="BX200" s="3876"/>
      <c r="BY200" s="3871"/>
      <c r="BZ200" s="3871"/>
      <c r="CA200" s="3878"/>
      <c r="CB200" s="3871"/>
      <c r="CC200" s="3871"/>
      <c r="CD200" s="3871"/>
      <c r="CE200" s="3871"/>
      <c r="CF200" s="3876"/>
      <c r="CG200" s="3871"/>
      <c r="CH200" s="3871"/>
      <c r="CI200" s="3878"/>
      <c r="CJ200" s="3879"/>
      <c r="CK200" s="3871"/>
      <c r="CL200" s="3871"/>
      <c r="CM200" s="3871"/>
      <c r="CN200" s="3877"/>
      <c r="CO200" s="3879"/>
      <c r="CP200" s="3870"/>
      <c r="CQ200" s="3870"/>
      <c r="CR200" s="3870"/>
      <c r="CS200" s="3877"/>
      <c r="CT200" s="3879"/>
      <c r="CU200" s="3871"/>
      <c r="CV200" s="3871"/>
      <c r="CW200" s="3871"/>
      <c r="CX200" s="3877"/>
      <c r="CY200" s="3879"/>
      <c r="CZ200" s="3871"/>
      <c r="DA200" s="3871"/>
      <c r="DB200" s="3871"/>
      <c r="DC200" s="3877"/>
      <c r="DD200" s="3879"/>
      <c r="DE200" s="3871"/>
      <c r="DF200" s="3871"/>
      <c r="DG200" s="3871"/>
      <c r="DH200" s="3880"/>
      <c r="DI200" s="3879"/>
      <c r="DJ200" s="3871"/>
      <c r="DK200" s="3871"/>
      <c r="DL200" s="3871"/>
      <c r="DM200" s="3880"/>
      <c r="DN200" s="3879"/>
      <c r="DO200" s="3871"/>
      <c r="DP200" s="3871"/>
      <c r="DQ200" s="3871"/>
      <c r="DR200" s="3880"/>
      <c r="DS200" s="3879"/>
      <c r="DT200" s="3871"/>
      <c r="DU200" s="3871"/>
      <c r="DV200" s="3871"/>
      <c r="DW200" s="3880"/>
      <c r="DX200" s="3879"/>
      <c r="DY200" s="3871"/>
      <c r="DZ200" s="3871"/>
      <c r="EA200" s="3871"/>
      <c r="EB200" s="3880"/>
      <c r="EC200" s="3879"/>
      <c r="ED200" s="3871"/>
      <c r="EE200" s="3871"/>
      <c r="EF200" s="3871"/>
      <c r="EG200" s="3880"/>
      <c r="EH200" s="2108"/>
      <c r="EI200" s="1873"/>
      <c r="EJ200" s="1873"/>
      <c r="EK200" s="1873"/>
      <c r="EL200" s="3881"/>
      <c r="EM200" s="1832"/>
      <c r="EN200" s="622"/>
      <c r="EO200" s="622"/>
      <c r="EP200" s="622"/>
      <c r="EQ200" s="362"/>
      <c r="ER200" s="3791">
        <f t="shared" ref="ER200:ER209" si="771">(CJ200+CO200+CT200+CY200+DD200+DI200+DN200+DS200+DX200+EC200+EH200+EM200)/12</f>
        <v>0</v>
      </c>
      <c r="ES200" s="3792">
        <f>CK200+CP200+CU200+CZ200+DE200+DJ200+DO200+DT200+DY200+ED200+EI200+EN200</f>
        <v>0</v>
      </c>
      <c r="ET200" s="3792">
        <f>CL200+CQ200+CV200+DA200+DF200+DK200+DP200+DU200+DZ200+EE200+EJ200+EO200</f>
        <v>0</v>
      </c>
      <c r="EU200" s="3792">
        <f>CM200+CR200+CW200+DB200+DG200+DL200+DQ200+DV200+EA200+EF200+EK200+EP200</f>
        <v>0</v>
      </c>
      <c r="EV200" s="370" t="e">
        <f>EU200/ET200</f>
        <v>#DIV/0!</v>
      </c>
      <c r="EW200" s="3882"/>
      <c r="EX200" s="3882"/>
      <c r="EY200" s="3882"/>
      <c r="EZ200" s="3883"/>
      <c r="FA200" s="2108"/>
      <c r="FB200" s="3882"/>
      <c r="FC200" s="3882"/>
      <c r="FD200" s="1576"/>
      <c r="FE200" s="3882"/>
      <c r="FF200" s="3882"/>
      <c r="FG200" s="3882"/>
      <c r="FH200" s="3883"/>
      <c r="FI200" s="3884"/>
      <c r="FJ200" s="3885"/>
      <c r="FK200" s="3886"/>
      <c r="FL200" s="3886"/>
      <c r="FM200" s="239"/>
      <c r="FN200" s="3882"/>
      <c r="FO200" s="1873"/>
      <c r="FP200" s="1873"/>
      <c r="FQ200" s="1873"/>
      <c r="FR200" s="3887"/>
      <c r="FS200" s="3888"/>
      <c r="FT200" s="3889"/>
      <c r="FU200" s="3889"/>
      <c r="FV200" s="3889"/>
      <c r="FW200" s="3890"/>
      <c r="FX200" s="2108"/>
      <c r="FY200" s="1873"/>
      <c r="FZ200" s="1873"/>
      <c r="GA200" s="3889"/>
      <c r="GB200" s="3890"/>
      <c r="GC200" s="2108"/>
      <c r="GD200" s="1873"/>
      <c r="GE200" s="1873"/>
      <c r="GF200" s="622"/>
      <c r="GG200" s="362"/>
      <c r="GH200" s="1832"/>
      <c r="GI200" s="622"/>
      <c r="GJ200" s="622"/>
      <c r="GK200" s="3891"/>
      <c r="GL200" s="3890"/>
      <c r="GM200" s="1832"/>
      <c r="GN200" s="622"/>
      <c r="GO200" s="622"/>
      <c r="GP200" s="3891"/>
      <c r="GQ200" s="3890"/>
      <c r="GR200" s="622"/>
      <c r="GS200" s="622"/>
      <c r="GT200" s="622"/>
      <c r="GU200" s="3891"/>
      <c r="GV200" s="3890"/>
      <c r="GW200" s="622"/>
      <c r="GX200" s="622"/>
      <c r="GY200" s="622"/>
      <c r="GZ200" s="3891"/>
      <c r="HA200" s="3890"/>
      <c r="HB200" s="622"/>
      <c r="HC200" s="622"/>
      <c r="HD200" s="622"/>
      <c r="HE200" s="3891"/>
      <c r="HF200" s="3890"/>
      <c r="HG200" s="622"/>
      <c r="HH200" s="622"/>
      <c r="HI200" s="622"/>
      <c r="HJ200" s="3891"/>
      <c r="HK200" s="3890"/>
      <c r="HL200" s="622"/>
      <c r="HM200" s="622"/>
      <c r="HN200" s="622"/>
      <c r="HO200" s="3891"/>
      <c r="HP200" s="3890"/>
      <c r="HQ200" s="1325"/>
      <c r="HR200" s="1317"/>
      <c r="HS200" s="1317"/>
      <c r="HT200" s="1317"/>
      <c r="HU200" s="3911"/>
      <c r="HV200" s="2723">
        <f t="shared" ref="HV200:HV209" si="772">(FN200+FS200+FX200+GC200+GH200+GM200+GR200+GW200+HB200+HG200+HL200+HQ200)/12</f>
        <v>0</v>
      </c>
      <c r="HW200" s="395">
        <f t="shared" ref="HW200:HY209" si="773">FO200+FT200+FY200+GD200+GI200+GN200+GS200+GX200+HC200+HH200+HM200+HR200</f>
        <v>0</v>
      </c>
      <c r="HX200" s="395">
        <f t="shared" si="773"/>
        <v>0</v>
      </c>
      <c r="HY200" s="395">
        <f t="shared" si="773"/>
        <v>0</v>
      </c>
      <c r="HZ200" s="2895"/>
      <c r="IA200" s="1829"/>
      <c r="IB200" s="1830"/>
      <c r="IC200" s="1830"/>
      <c r="ID200" s="1831"/>
      <c r="IE200" s="3915"/>
      <c r="IF200" s="3915"/>
      <c r="IG200" s="3915"/>
      <c r="IH200" s="3916"/>
      <c r="II200" s="3917"/>
      <c r="IJ200" s="3918"/>
      <c r="IK200" s="3918"/>
      <c r="IL200" s="3916"/>
      <c r="IM200" s="3919"/>
      <c r="IN200" s="3918"/>
      <c r="IO200" s="3918"/>
      <c r="IP200" s="3920"/>
      <c r="IQ200" s="1873"/>
      <c r="IR200" s="3921"/>
      <c r="IS200" s="3208"/>
      <c r="IT200" s="3208"/>
      <c r="IU200" s="3922"/>
      <c r="IV200" s="3899"/>
      <c r="IW200" s="3888"/>
      <c r="IX200" s="3889"/>
      <c r="IY200" s="3889"/>
      <c r="IZ200" s="3889"/>
      <c r="JA200" s="362"/>
      <c r="JB200" s="3923"/>
      <c r="JC200" s="1873"/>
      <c r="JD200" s="1873"/>
      <c r="JE200" s="3889"/>
      <c r="JF200" s="3890"/>
      <c r="JG200" s="3923"/>
      <c r="JH200" s="1873"/>
      <c r="JI200" s="1873"/>
      <c r="JJ200" s="622"/>
      <c r="JK200" s="362"/>
      <c r="JL200" s="1832"/>
      <c r="JM200" s="622"/>
      <c r="JN200" s="622"/>
      <c r="JO200" s="3891"/>
      <c r="JP200" s="3890"/>
      <c r="JQ200" s="3913"/>
      <c r="JR200" s="3905"/>
      <c r="JS200" s="1317"/>
      <c r="JT200" s="3903"/>
      <c r="JU200" s="3890"/>
      <c r="JV200" s="3924"/>
      <c r="JW200" s="622"/>
      <c r="JX200" s="3903"/>
      <c r="JY200" s="3891"/>
      <c r="JZ200" s="3890"/>
      <c r="KA200" s="2432"/>
      <c r="KB200" s="622"/>
      <c r="KC200" s="3903"/>
      <c r="KD200" s="3891"/>
      <c r="KE200" s="3890"/>
      <c r="KF200" s="3900"/>
      <c r="KG200" s="622"/>
      <c r="KH200" s="3903"/>
      <c r="KI200" s="3864">
        <f>KH200-KG200</f>
        <v>0</v>
      </c>
      <c r="KJ200" s="3890"/>
      <c r="KK200" s="3819"/>
      <c r="KL200" s="1317"/>
      <c r="KM200" s="1317"/>
      <c r="KN200" s="3864">
        <f>KM200-KL200</f>
        <v>0</v>
      </c>
      <c r="KO200" s="3890"/>
      <c r="KP200" s="2000">
        <v>2</v>
      </c>
      <c r="KQ200" s="1317">
        <v>77480</v>
      </c>
      <c r="KR200" s="3865">
        <v>100000</v>
      </c>
      <c r="KS200" s="1317">
        <f>KR200-KQ200</f>
        <v>22520</v>
      </c>
      <c r="KT200" s="3906">
        <f>KS200/KR200</f>
        <v>0.22520000000000001</v>
      </c>
      <c r="KU200" s="1832">
        <v>1</v>
      </c>
      <c r="KV200" s="622">
        <v>20269</v>
      </c>
      <c r="KW200" s="622">
        <v>32000</v>
      </c>
      <c r="KX200" s="3891">
        <f>KW200-KV200</f>
        <v>11731</v>
      </c>
      <c r="KY200" s="362">
        <f>KX200/KW200</f>
        <v>0.36659375</v>
      </c>
      <c r="KZ200" s="1832">
        <v>1</v>
      </c>
      <c r="LA200" s="622">
        <f>IS200+IX200+JC200+JH200+JM200+JR200+JW200+KB200+KG200+KL200+KQ200+KV200</f>
        <v>97749</v>
      </c>
      <c r="LB200" s="622">
        <f>IT200+IY200+JD200+JI200+JN200+JS200+JX200+KC200+KH200+KM200+KR200+KW200</f>
        <v>132000</v>
      </c>
      <c r="LC200" s="622">
        <f>IU200+IZ200+JE200+JJ200+JO200+JT200+JY200+KD200+KI200+KN200+KS200+KX200</f>
        <v>34251</v>
      </c>
      <c r="LD200" s="1576">
        <f>LC200/LB200</f>
        <v>0.25947727272727272</v>
      </c>
      <c r="LE200" s="1834">
        <f>(IR200+IW200+JB200)/3</f>
        <v>0</v>
      </c>
      <c r="LF200" s="1830">
        <f>IT200+IY200+JD200</f>
        <v>0</v>
      </c>
      <c r="LG200" s="1830">
        <f>IU200+IZ200+JE200</f>
        <v>0</v>
      </c>
      <c r="LH200" s="1831"/>
      <c r="LI200" s="1832">
        <f>(JG200+JL200+JQ200)/3</f>
        <v>0</v>
      </c>
      <c r="LJ200" s="1833">
        <f>(JI200+JN200+JS200)</f>
        <v>0</v>
      </c>
      <c r="LK200" s="1834">
        <f>(JJ200+JO200+JT200)</f>
        <v>0</v>
      </c>
      <c r="LL200" s="1831"/>
      <c r="LM200" s="1829">
        <f>(JV200+KA200+KF200)/3</f>
        <v>0</v>
      </c>
      <c r="LN200" s="3894">
        <f>(JX200+KC200+KH200)</f>
        <v>0</v>
      </c>
      <c r="LO200" s="3894">
        <f>(JY200+KD200+KI200)</f>
        <v>0</v>
      </c>
      <c r="LP200" s="239"/>
      <c r="LQ200" s="3907">
        <f>(KK200+KP200+KU200)/3</f>
        <v>1</v>
      </c>
      <c r="LR200" s="3894">
        <f>(KM200+KR200+KW200)</f>
        <v>132000</v>
      </c>
      <c r="LS200" s="3894">
        <f>(KN200+KS200+KX200)</f>
        <v>34251</v>
      </c>
      <c r="LT200" s="3896">
        <f>LS200/LR200</f>
        <v>0.25947727272727272</v>
      </c>
      <c r="LU200" s="1873"/>
      <c r="LV200" s="401">
        <v>3</v>
      </c>
      <c r="LW200" s="395">
        <v>179722</v>
      </c>
      <c r="LX200" s="395">
        <v>32000</v>
      </c>
      <c r="LY200" s="115">
        <f>LX200-LW200</f>
        <v>-147722</v>
      </c>
      <c r="LZ200" s="186">
        <f>LY200/LX200</f>
        <v>-4.6163125000000003</v>
      </c>
      <c r="MA200" s="401">
        <v>1</v>
      </c>
      <c r="MB200" s="395">
        <v>20269</v>
      </c>
      <c r="MC200" s="395">
        <v>28952.38</v>
      </c>
      <c r="MD200" s="115">
        <f>MC200-MB200</f>
        <v>8683.380000000001</v>
      </c>
      <c r="ME200" s="186">
        <f>MD200/MC200</f>
        <v>0.29991938486576925</v>
      </c>
      <c r="MF200" s="401">
        <v>1</v>
      </c>
      <c r="MG200" s="395">
        <v>20269</v>
      </c>
      <c r="MH200" s="395">
        <v>32000</v>
      </c>
      <c r="MI200" s="372">
        <f>MH200-MG200</f>
        <v>11731</v>
      </c>
      <c r="MJ200" s="207">
        <f>MI200/MH200</f>
        <v>0.36659375</v>
      </c>
      <c r="MK200" s="2573">
        <v>1</v>
      </c>
      <c r="ML200" s="395">
        <v>85000</v>
      </c>
      <c r="MM200" s="395">
        <f>97142.86+32000</f>
        <v>129142.86</v>
      </c>
      <c r="MN200" s="372">
        <f>MM200-ML200</f>
        <v>44142.86</v>
      </c>
      <c r="MO200" s="207">
        <f>MN200/MM200</f>
        <v>0.34181417385366875</v>
      </c>
      <c r="MP200" s="3805">
        <v>1</v>
      </c>
      <c r="MQ200" s="1317">
        <v>85000</v>
      </c>
      <c r="MR200" s="1317">
        <v>120000</v>
      </c>
      <c r="MS200" s="1317">
        <f>MR200-MQ200</f>
        <v>35000</v>
      </c>
      <c r="MT200" s="801">
        <f>MS200/MR200</f>
        <v>0.29166666666666669</v>
      </c>
      <c r="MU200" s="1318">
        <v>1</v>
      </c>
      <c r="MV200" s="395">
        <v>85000</v>
      </c>
      <c r="MW200" s="395">
        <v>114545.45</v>
      </c>
      <c r="MX200" s="395">
        <f>MW200-MV200</f>
        <v>29545.449999999997</v>
      </c>
      <c r="MY200" s="801">
        <f>MX200/MW200</f>
        <v>0.25793647848954276</v>
      </c>
      <c r="MZ200" s="1318">
        <v>1</v>
      </c>
      <c r="NA200" s="395">
        <v>85000</v>
      </c>
      <c r="NB200" s="395">
        <v>120000</v>
      </c>
      <c r="NC200" s="395">
        <f>NB200-NA200</f>
        <v>35000</v>
      </c>
      <c r="ND200" s="801">
        <f>NC200/NB200</f>
        <v>0.29166666666666669</v>
      </c>
      <c r="NE200" s="1318">
        <v>1</v>
      </c>
      <c r="NF200" s="395">
        <v>85000</v>
      </c>
      <c r="NG200" s="395">
        <v>120000</v>
      </c>
      <c r="NH200" s="395">
        <f>NG200-NF200</f>
        <v>35000</v>
      </c>
      <c r="NI200" s="801">
        <f>NH200/NG200</f>
        <v>0.29166666666666669</v>
      </c>
      <c r="NJ200" s="1318">
        <v>1</v>
      </c>
      <c r="NK200" s="395">
        <v>101000</v>
      </c>
      <c r="NL200" s="395">
        <v>120000</v>
      </c>
      <c r="NM200" s="395">
        <f>NL200-NK200</f>
        <v>19000</v>
      </c>
      <c r="NN200" s="801">
        <f>NM200/NL200</f>
        <v>0.15833333333333333</v>
      </c>
      <c r="NO200" s="2432">
        <v>1</v>
      </c>
      <c r="NP200" s="622">
        <v>85000</v>
      </c>
      <c r="NQ200" s="2437">
        <v>108571.43</v>
      </c>
      <c r="NR200" s="395">
        <f>NQ200-NP200</f>
        <v>23571.429999999993</v>
      </c>
      <c r="NS200" s="801">
        <f>NR200/NQ200</f>
        <v>0.2171052734591411</v>
      </c>
      <c r="NT200" s="2432">
        <v>1</v>
      </c>
      <c r="NU200" s="622">
        <v>85000</v>
      </c>
      <c r="NV200" s="622">
        <v>120000</v>
      </c>
      <c r="NW200" s="395">
        <f>NV200-NU200</f>
        <v>35000</v>
      </c>
      <c r="NX200" s="801">
        <f>NW200/NV200</f>
        <v>0.29166666666666669</v>
      </c>
      <c r="NY200" s="2432">
        <v>1</v>
      </c>
      <c r="NZ200" s="622">
        <v>76774.193548387091</v>
      </c>
      <c r="OA200" s="622">
        <v>103636.36</v>
      </c>
      <c r="OB200" s="772">
        <f>OA200-NZ200</f>
        <v>26862.166451612909</v>
      </c>
      <c r="OC200" s="116">
        <f>OB200/OA200</f>
        <v>0.25919635204876851</v>
      </c>
      <c r="OD200" s="2433">
        <v>1</v>
      </c>
      <c r="OE200" s="622">
        <f t="shared" si="768"/>
        <v>993034.19354838715</v>
      </c>
      <c r="OF200" s="622">
        <f t="shared" si="768"/>
        <v>1148848.48</v>
      </c>
      <c r="OG200" s="622">
        <f t="shared" si="768"/>
        <v>155814.28645161289</v>
      </c>
      <c r="OH200" s="1576">
        <f>OG200/OF200</f>
        <v>0.13562648962342963</v>
      </c>
      <c r="OI200" s="3908">
        <f>(LV200+MA200+MF200)/3</f>
        <v>1.6666666666666667</v>
      </c>
      <c r="OJ200" s="115">
        <f>LW200+MB200+MG200</f>
        <v>220260</v>
      </c>
      <c r="OK200" s="115">
        <f>LX200+MC200+MH200</f>
        <v>92952.38</v>
      </c>
      <c r="OL200" s="115">
        <f>LY200+MD200+MI200</f>
        <v>-127307.62</v>
      </c>
      <c r="OM200" s="116">
        <f>OL200/OK200</f>
        <v>-1.3696004341147585</v>
      </c>
      <c r="ON200" s="622">
        <f>(MK200+MP200+MU200)/3</f>
        <v>1</v>
      </c>
      <c r="OO200" s="622">
        <f>ML200+MQ200+MV200</f>
        <v>255000</v>
      </c>
      <c r="OP200" s="622">
        <f>MM200+MR200+MW200</f>
        <v>363688.31</v>
      </c>
      <c r="OQ200" s="2437">
        <f>MN200+MS200+MX200</f>
        <v>108688.31</v>
      </c>
      <c r="OR200" s="421">
        <f>OQ200/OP200</f>
        <v>0.29885016100737472</v>
      </c>
      <c r="OS200" s="3909">
        <f>(NJ200+NE200+MZ200)/3</f>
        <v>1</v>
      </c>
      <c r="OT200" s="3886">
        <f>NK200+NF200+NA200</f>
        <v>271000</v>
      </c>
      <c r="OU200" s="3886">
        <f>NL200+NG200+NB200</f>
        <v>360000</v>
      </c>
      <c r="OV200" s="3910">
        <f>NM200+NH200+NC200</f>
        <v>89000</v>
      </c>
      <c r="OW200" s="421">
        <f>OV200/OU200</f>
        <v>0.24722222222222223</v>
      </c>
      <c r="OX200" s="2432">
        <f t="shared" si="674"/>
        <v>1</v>
      </c>
      <c r="OY200" s="622">
        <f t="shared" si="675"/>
        <v>246774.19354838709</v>
      </c>
      <c r="OZ200" s="622">
        <f t="shared" si="675"/>
        <v>332207.78999999998</v>
      </c>
      <c r="PA200" s="2437">
        <f t="shared" si="675"/>
        <v>85433.596451612902</v>
      </c>
      <c r="PB200" s="116">
        <f>PA200/OZ200</f>
        <v>0.25716915443678462</v>
      </c>
      <c r="PC200" s="3886"/>
      <c r="PD200" s="401"/>
      <c r="PE200" s="395">
        <v>0</v>
      </c>
      <c r="PF200" s="395">
        <v>0</v>
      </c>
      <c r="PG200" s="115">
        <f t="shared" ref="PG200:PG209" si="774">PF200-PE200</f>
        <v>0</v>
      </c>
      <c r="PH200" s="186"/>
      <c r="PI200" s="401"/>
      <c r="PJ200" s="395">
        <v>0</v>
      </c>
      <c r="PK200" s="395">
        <v>0</v>
      </c>
      <c r="PL200" s="115">
        <f>PK200-PJ200</f>
        <v>0</v>
      </c>
      <c r="PM200" s="186"/>
      <c r="PN200" s="401"/>
      <c r="PO200" s="395"/>
      <c r="PP200" s="395"/>
      <c r="PQ200" s="372">
        <f t="shared" si="762"/>
        <v>0</v>
      </c>
      <c r="PR200" s="207"/>
      <c r="PS200" s="2891"/>
      <c r="PT200" s="2001"/>
      <c r="PU200" s="2001"/>
      <c r="PV200" s="2892">
        <f t="shared" si="676"/>
        <v>0</v>
      </c>
      <c r="PW200" s="370"/>
      <c r="PX200" s="3805"/>
      <c r="PY200" s="1317"/>
      <c r="PZ200" s="1317"/>
      <c r="QA200" s="1317">
        <v>0</v>
      </c>
      <c r="QB200" s="801"/>
      <c r="QC200" s="2002"/>
      <c r="QD200" s="2001"/>
      <c r="QE200" s="2001"/>
      <c r="QF200" s="2001">
        <f>QE200-QD200</f>
        <v>0</v>
      </c>
      <c r="QG200" s="2003"/>
      <c r="QH200" s="2445"/>
      <c r="QI200" s="2001"/>
      <c r="QJ200" s="2001"/>
      <c r="QK200" s="2001">
        <f>QJ200-QI200</f>
        <v>0</v>
      </c>
      <c r="QL200" s="801"/>
      <c r="QM200" s="401"/>
      <c r="QN200" s="395"/>
      <c r="QO200" s="395"/>
      <c r="QP200" s="395">
        <f>QO200-QN200</f>
        <v>0</v>
      </c>
      <c r="QQ200" s="801" t="e">
        <f>QP200/QO200</f>
        <v>#DIV/0!</v>
      </c>
      <c r="QR200" s="1318"/>
      <c r="QS200" s="395"/>
      <c r="QT200" s="395"/>
      <c r="QU200" s="395">
        <f>QT200-QS200</f>
        <v>0</v>
      </c>
      <c r="QV200" s="370" t="e">
        <f>QU200/QT200</f>
        <v>#DIV/0!</v>
      </c>
      <c r="QW200" s="2002"/>
      <c r="QX200" s="2001"/>
      <c r="QY200" s="2001"/>
      <c r="QZ200" s="2001">
        <f>QY200-QX200</f>
        <v>0</v>
      </c>
      <c r="RA200" s="801" t="e">
        <f>QZ200/QY200</f>
        <v>#DIV/0!</v>
      </c>
      <c r="RB200" s="2432"/>
      <c r="RC200" s="622"/>
      <c r="RD200" s="622"/>
      <c r="RE200" s="395">
        <f t="shared" si="745"/>
        <v>0</v>
      </c>
      <c r="RF200" s="801" t="e">
        <f t="shared" si="746"/>
        <v>#DIV/0!</v>
      </c>
      <c r="RG200" s="2108"/>
      <c r="RH200" s="1873"/>
      <c r="RI200" s="1873"/>
      <c r="RJ200" s="2012">
        <f>RI200-RH200</f>
        <v>0</v>
      </c>
      <c r="RK200" s="116" t="e">
        <f>RJ200/RI200</f>
        <v>#DIV/0!</v>
      </c>
      <c r="RL200" s="3717"/>
      <c r="RM200" s="1873">
        <f t="shared" si="763"/>
        <v>0</v>
      </c>
      <c r="RN200" s="1873">
        <f t="shared" si="763"/>
        <v>0</v>
      </c>
      <c r="RO200" s="1873">
        <f t="shared" si="763"/>
        <v>0</v>
      </c>
      <c r="RP200" s="1576" t="e">
        <f t="shared" si="747"/>
        <v>#DIV/0!</v>
      </c>
      <c r="RQ200" s="3908">
        <f t="shared" si="722"/>
        <v>0</v>
      </c>
      <c r="RR200" s="115">
        <f t="shared" si="677"/>
        <v>0</v>
      </c>
      <c r="RS200" s="115">
        <f t="shared" si="677"/>
        <v>0</v>
      </c>
      <c r="RT200" s="115">
        <f t="shared" si="677"/>
        <v>0</v>
      </c>
      <c r="RU200" s="116"/>
      <c r="RV200" s="622">
        <f>(PS200+PX200+QC200)/3</f>
        <v>0</v>
      </c>
      <c r="RW200" s="622">
        <f>PT200+PY200+QD200</f>
        <v>0</v>
      </c>
      <c r="RX200" s="622">
        <f>PU200+PZ200+QE200</f>
        <v>0</v>
      </c>
      <c r="RY200" s="2437">
        <f>PV200+QA200+QF200</f>
        <v>0</v>
      </c>
      <c r="RZ200" s="421" t="e">
        <f>RY200/RX200</f>
        <v>#DIV/0!</v>
      </c>
      <c r="SA200" s="3909">
        <f t="shared" si="748"/>
        <v>0</v>
      </c>
      <c r="SB200" s="3886">
        <f t="shared" si="679"/>
        <v>0</v>
      </c>
      <c r="SC200" s="3886">
        <f t="shared" si="679"/>
        <v>0</v>
      </c>
      <c r="SD200" s="3910">
        <f t="shared" si="679"/>
        <v>0</v>
      </c>
      <c r="SE200" s="421" t="e">
        <f t="shared" si="680"/>
        <v>#DIV/0!</v>
      </c>
      <c r="SF200" s="3736"/>
      <c r="SG200" s="622">
        <f t="shared" si="769"/>
        <v>0</v>
      </c>
      <c r="SH200" s="622">
        <f t="shared" si="769"/>
        <v>0</v>
      </c>
      <c r="SI200" s="2437">
        <f t="shared" si="769"/>
        <v>0</v>
      </c>
      <c r="SJ200" s="116" t="e">
        <f>SI200/SH200</f>
        <v>#DIV/0!</v>
      </c>
      <c r="SK200" s="1568"/>
      <c r="SL200" s="2445"/>
      <c r="SM200" s="2001">
        <v>0</v>
      </c>
      <c r="SN200" s="2001">
        <v>0</v>
      </c>
      <c r="SO200" s="3534">
        <f t="shared" ref="SO200:SO209" si="775">SN200-SM200</f>
        <v>0</v>
      </c>
      <c r="SP200" s="1498"/>
      <c r="SQ200" s="2445"/>
      <c r="SR200" s="2001">
        <v>0</v>
      </c>
      <c r="SS200" s="2001">
        <v>0</v>
      </c>
      <c r="ST200" s="3534">
        <f>SS200-SR200</f>
        <v>0</v>
      </c>
      <c r="SU200" s="1498"/>
      <c r="SV200" s="401"/>
      <c r="SW200" s="395"/>
      <c r="SX200" s="395"/>
      <c r="SY200" s="372">
        <f t="shared" si="764"/>
        <v>0</v>
      </c>
      <c r="SZ200" s="207"/>
      <c r="TA200" s="2573"/>
      <c r="TB200" s="395"/>
      <c r="TC200" s="395"/>
      <c r="TD200" s="372">
        <f t="shared" si="749"/>
        <v>0</v>
      </c>
      <c r="TE200" s="207"/>
      <c r="TF200" s="2573"/>
      <c r="TG200" s="395"/>
      <c r="TH200" s="395"/>
      <c r="TI200" s="395">
        <v>0</v>
      </c>
      <c r="TJ200" s="116"/>
      <c r="TK200" s="2002"/>
      <c r="TL200" s="2001"/>
      <c r="TM200" s="2001"/>
      <c r="TN200" s="2012">
        <f>TM200-TL200</f>
        <v>0</v>
      </c>
      <c r="TO200" s="441"/>
      <c r="TP200" s="4464"/>
      <c r="TQ200" s="2001"/>
      <c r="TR200" s="2001"/>
      <c r="TS200" s="2012">
        <f>TR200-TQ200</f>
        <v>0</v>
      </c>
      <c r="TT200" s="116"/>
      <c r="TU200" s="4464"/>
      <c r="TV200" s="2001"/>
      <c r="TW200" s="2001"/>
      <c r="TX200" s="2012">
        <f>TW200-TV200</f>
        <v>0</v>
      </c>
      <c r="TY200" s="441" t="e">
        <f>TX200/TW200</f>
        <v>#DIV/0!</v>
      </c>
      <c r="TZ200" s="2002"/>
      <c r="UA200" s="2001"/>
      <c r="UB200" s="2001"/>
      <c r="UC200" s="2012">
        <f>UB200-UA200</f>
        <v>0</v>
      </c>
      <c r="UD200" s="441" t="e">
        <f>UC200/UB200</f>
        <v>#DIV/0!</v>
      </c>
      <c r="UE200" s="2002"/>
      <c r="UF200" s="1575"/>
      <c r="UG200" s="1575"/>
      <c r="UH200" s="2552">
        <f t="shared" si="698"/>
        <v>0</v>
      </c>
      <c r="UI200" s="222" t="e">
        <f t="shared" si="699"/>
        <v>#DIV/0!</v>
      </c>
      <c r="UJ200" s="2432"/>
      <c r="UK200" s="622"/>
      <c r="UL200" s="622"/>
      <c r="UM200" s="395">
        <f t="shared" si="750"/>
        <v>0</v>
      </c>
      <c r="UN200" s="725" t="e">
        <f>UM200/UL200</f>
        <v>#DIV/0!</v>
      </c>
      <c r="UO200" s="2108"/>
      <c r="UP200" s="1873"/>
      <c r="UQ200" s="1873"/>
      <c r="UR200" s="2012">
        <f>UQ200-UP200</f>
        <v>0</v>
      </c>
      <c r="US200" s="659" t="e">
        <f>UR200/UQ200</f>
        <v>#DIV/0!</v>
      </c>
      <c r="UT200" s="2433"/>
      <c r="UU200" s="358">
        <f t="shared" si="700"/>
        <v>0</v>
      </c>
      <c r="UV200" s="358">
        <f t="shared" si="700"/>
        <v>0</v>
      </c>
      <c r="UW200" s="358">
        <f t="shared" si="700"/>
        <v>0</v>
      </c>
      <c r="UX200" s="220" t="e">
        <f t="shared" si="704"/>
        <v>#DIV/0!</v>
      </c>
      <c r="UY200" s="2435">
        <f t="shared" si="765"/>
        <v>0</v>
      </c>
      <c r="UZ200" s="2436">
        <f t="shared" si="766"/>
        <v>0</v>
      </c>
      <c r="VA200" s="2436">
        <f t="shared" si="766"/>
        <v>0</v>
      </c>
      <c r="VB200" s="2436">
        <f t="shared" si="766"/>
        <v>0</v>
      </c>
      <c r="VC200" s="1439"/>
      <c r="VD200" s="622">
        <f>(TA200+TF200+TK200)/3</f>
        <v>0</v>
      </c>
      <c r="VE200" s="358">
        <f t="shared" si="701"/>
        <v>0</v>
      </c>
      <c r="VF200" s="358">
        <f t="shared" si="701"/>
        <v>0</v>
      </c>
      <c r="VG200" s="359">
        <f t="shared" si="701"/>
        <v>0</v>
      </c>
      <c r="VH200" s="169" t="e">
        <f t="shared" si="702"/>
        <v>#DIV/0!</v>
      </c>
      <c r="VI200" s="2438">
        <f t="shared" si="767"/>
        <v>0</v>
      </c>
      <c r="VJ200" s="146">
        <f t="shared" si="703"/>
        <v>0</v>
      </c>
      <c r="VK200" s="146">
        <f t="shared" si="703"/>
        <v>0</v>
      </c>
      <c r="VL200" s="1864">
        <f t="shared" si="703"/>
        <v>0</v>
      </c>
      <c r="VM200" s="460" t="e">
        <f>VL200/VK200</f>
        <v>#DIV/0!</v>
      </c>
      <c r="VN200" s="2433"/>
      <c r="VO200" s="622">
        <f t="shared" si="770"/>
        <v>0</v>
      </c>
      <c r="VP200" s="622">
        <f t="shared" si="770"/>
        <v>0</v>
      </c>
      <c r="VQ200" s="2437">
        <f t="shared" si="770"/>
        <v>0</v>
      </c>
      <c r="VR200" s="116" t="e">
        <f>VQ200/VP200</f>
        <v>#DIV/0!</v>
      </c>
      <c r="VS200" s="1193"/>
      <c r="VT200" s="1193"/>
      <c r="VU200" s="1193"/>
      <c r="VV200" s="1193"/>
      <c r="VW200" s="1193"/>
      <c r="VX200" s="1193"/>
      <c r="VY200" s="1193"/>
      <c r="VZ200" s="1193"/>
      <c r="WA200" s="1193"/>
      <c r="WB200" s="1193"/>
      <c r="WC200" s="1193"/>
      <c r="WD200" s="1193"/>
      <c r="WE200" s="1193"/>
      <c r="WF200" s="1193"/>
      <c r="WG200" s="1193"/>
      <c r="WH200" s="1193"/>
      <c r="WI200" s="1193"/>
      <c r="WJ200" s="1193"/>
      <c r="WK200" s="1193"/>
      <c r="WL200" s="1193"/>
      <c r="WM200" s="1193"/>
      <c r="WN200" s="1193"/>
      <c r="WO200" s="1193"/>
      <c r="WP200" s="1193"/>
      <c r="WQ200" s="1193"/>
      <c r="WR200" s="1193"/>
      <c r="WS200" s="1193"/>
      <c r="WT200" s="1193"/>
      <c r="WU200" s="1193"/>
      <c r="WV200" s="1193"/>
      <c r="WW200" s="1193"/>
      <c r="WX200" s="1193"/>
      <c r="WY200" s="1193"/>
      <c r="WZ200" s="1193"/>
      <c r="XA200" s="1193"/>
      <c r="XB200" s="1193"/>
      <c r="XC200" s="1193"/>
      <c r="XD200" s="1193"/>
      <c r="XE200" s="1193"/>
      <c r="XF200" s="1193"/>
      <c r="XG200" s="1193"/>
      <c r="XH200" s="1193"/>
      <c r="XI200" s="1193"/>
      <c r="XJ200" s="1193"/>
      <c r="XK200" s="1193"/>
      <c r="XL200" s="1193"/>
      <c r="XM200" s="1193"/>
      <c r="XN200" s="1193"/>
      <c r="XO200" s="1193"/>
      <c r="XP200" s="1193"/>
      <c r="XQ200" s="1193"/>
      <c r="XR200" s="1193"/>
      <c r="XS200" s="1193"/>
      <c r="XT200" s="1193"/>
      <c r="XU200" s="1193"/>
      <c r="XV200" s="1193"/>
      <c r="XW200" s="1193"/>
      <c r="XX200" s="1193"/>
      <c r="XY200" s="1193"/>
      <c r="XZ200" s="1193"/>
      <c r="YA200" s="1193"/>
      <c r="YB200" s="1193"/>
      <c r="YC200" s="1193"/>
      <c r="YD200" s="1193"/>
      <c r="YE200" s="1193"/>
      <c r="YF200" s="1193"/>
      <c r="YG200" s="1193"/>
      <c r="YH200" s="1193"/>
      <c r="YI200" s="1193"/>
      <c r="YJ200" s="1193"/>
      <c r="YK200" s="1193"/>
      <c r="YL200" s="1193"/>
      <c r="YM200" s="1193"/>
      <c r="YN200" s="1193"/>
      <c r="YO200" s="1193"/>
      <c r="YP200" s="1193"/>
      <c r="YQ200" s="1193"/>
      <c r="YR200" s="1193"/>
      <c r="YS200" s="1193"/>
      <c r="YT200" s="1193"/>
      <c r="YU200" s="1193"/>
      <c r="YV200" s="1193"/>
      <c r="YW200" s="1193"/>
      <c r="YX200" s="1193"/>
      <c r="YY200" s="1193"/>
      <c r="YZ200" s="1193"/>
      <c r="ZA200" s="1193"/>
      <c r="ZB200" s="1193"/>
      <c r="ZC200" s="1193"/>
      <c r="ZD200" s="1193"/>
      <c r="ZE200" s="1193"/>
      <c r="ZF200" s="1193"/>
      <c r="ZG200" s="1193"/>
      <c r="ZH200" s="1193"/>
      <c r="ZI200" s="1193"/>
      <c r="ZJ200" s="1193"/>
      <c r="ZK200" s="1193"/>
      <c r="ZL200" s="1193"/>
      <c r="ZM200" s="1193"/>
      <c r="ZN200" s="1193"/>
      <c r="ZO200" s="1193"/>
      <c r="ZP200" s="1193"/>
      <c r="ZQ200" s="1193"/>
      <c r="ZR200" s="1193"/>
      <c r="ZS200" s="1193"/>
      <c r="ZT200" s="1193"/>
      <c r="ZU200" s="1193"/>
      <c r="ZV200" s="1193"/>
      <c r="ZW200" s="1193"/>
      <c r="ZX200" s="1193"/>
      <c r="ZY200" s="1193"/>
      <c r="ZZ200" s="1193"/>
      <c r="AAA200" s="1193"/>
      <c r="AAB200" s="1193"/>
      <c r="AAC200" s="1193"/>
      <c r="AAD200" s="1193"/>
      <c r="AAE200" s="1193"/>
      <c r="AAF200" s="1193"/>
      <c r="AAG200" s="1193"/>
      <c r="AAH200" s="1193"/>
      <c r="AAI200" s="1193"/>
      <c r="AAJ200" s="1193"/>
      <c r="AAK200" s="1193"/>
      <c r="AAL200" s="1193"/>
      <c r="AAM200" s="1193"/>
      <c r="AAN200" s="1193"/>
      <c r="AAO200" s="1193"/>
      <c r="AAP200" s="1193"/>
      <c r="AAQ200" s="1193"/>
      <c r="AAR200" s="1193"/>
      <c r="AAS200" s="1193"/>
      <c r="AAT200" s="1193"/>
      <c r="AAU200" s="1193"/>
      <c r="AAV200" s="1193"/>
      <c r="AAW200" s="1193"/>
      <c r="AAX200" s="1193"/>
      <c r="AAY200" s="1193"/>
      <c r="AAZ200" s="1193"/>
      <c r="ABA200" s="1193"/>
      <c r="ABB200" s="1193"/>
      <c r="ABC200" s="1193"/>
      <c r="ABD200" s="1193"/>
      <c r="ABE200" s="1193"/>
      <c r="ABF200" s="1193"/>
      <c r="ABG200" s="1193"/>
      <c r="ABH200" s="1193"/>
      <c r="ABI200" s="1193"/>
      <c r="ABJ200" s="1193"/>
      <c r="ABK200" s="1193"/>
      <c r="ABL200" s="1193"/>
      <c r="ABM200" s="1193"/>
      <c r="ABN200" s="1193"/>
      <c r="ABO200" s="1193"/>
      <c r="ABP200" s="1193"/>
      <c r="ABQ200" s="1193"/>
    </row>
    <row r="201" spans="1:745" s="2425" customFormat="1" ht="13.45" hidden="1" x14ac:dyDescent="0.3">
      <c r="A201" s="2399"/>
      <c r="B201" s="401" t="s">
        <v>103</v>
      </c>
      <c r="C201" s="3926" t="s">
        <v>862</v>
      </c>
      <c r="D201" s="1992" t="s">
        <v>863</v>
      </c>
      <c r="E201" s="2006">
        <v>44286</v>
      </c>
      <c r="F201" s="2006">
        <v>44650</v>
      </c>
      <c r="G201" s="1994">
        <v>171175</v>
      </c>
      <c r="H201" s="3927"/>
      <c r="I201" s="3928"/>
      <c r="J201" s="3928"/>
      <c r="K201" s="3928"/>
      <c r="L201" s="3929"/>
      <c r="M201" s="3930"/>
      <c r="N201" s="3928"/>
      <c r="O201" s="3928"/>
      <c r="P201" s="3928"/>
      <c r="Q201" s="3929"/>
      <c r="R201" s="3930"/>
      <c r="S201" s="3928"/>
      <c r="T201" s="3928"/>
      <c r="U201" s="3928"/>
      <c r="V201" s="3929"/>
      <c r="W201" s="3930"/>
      <c r="X201" s="3928"/>
      <c r="Y201" s="3928"/>
      <c r="Z201" s="3928"/>
      <c r="AA201" s="3931"/>
      <c r="AB201" s="3930"/>
      <c r="AC201" s="3928"/>
      <c r="AD201" s="3928"/>
      <c r="AE201" s="3928"/>
      <c r="AF201" s="3931"/>
      <c r="AG201" s="3928"/>
      <c r="AH201" s="3928"/>
      <c r="AI201" s="3928"/>
      <c r="AJ201" s="3928"/>
      <c r="AK201" s="3929"/>
      <c r="AL201" s="3928"/>
      <c r="AM201" s="3928"/>
      <c r="AN201" s="3928"/>
      <c r="AO201" s="3928"/>
      <c r="AP201" s="3929"/>
      <c r="AQ201" s="3928"/>
      <c r="AR201" s="3928"/>
      <c r="AS201" s="3928"/>
      <c r="AT201" s="3928"/>
      <c r="AU201" s="3929"/>
      <c r="AV201" s="3932"/>
      <c r="AW201" s="3928"/>
      <c r="AX201" s="3928"/>
      <c r="AY201" s="3928"/>
      <c r="AZ201" s="3931"/>
      <c r="BA201" s="3932"/>
      <c r="BB201" s="3928"/>
      <c r="BC201" s="3928"/>
      <c r="BD201" s="3928"/>
      <c r="BE201" s="3931"/>
      <c r="BF201" s="3932"/>
      <c r="BG201" s="3928"/>
      <c r="BH201" s="3928"/>
      <c r="BI201" s="3928"/>
      <c r="BJ201" s="3931"/>
      <c r="BK201" s="3932"/>
      <c r="BL201" s="3928"/>
      <c r="BM201" s="3928"/>
      <c r="BN201" s="3928"/>
      <c r="BO201" s="3933"/>
      <c r="BP201" s="3934"/>
      <c r="BQ201" s="3928"/>
      <c r="BR201" s="3928"/>
      <c r="BS201" s="3935"/>
      <c r="BT201" s="3936"/>
      <c r="BU201" s="3928"/>
      <c r="BV201" s="3928"/>
      <c r="BW201" s="3937"/>
      <c r="BX201" s="3936"/>
      <c r="BY201" s="3928"/>
      <c r="BZ201" s="3928"/>
      <c r="CA201" s="3938"/>
      <c r="CB201" s="3939"/>
      <c r="CC201" s="3928"/>
      <c r="CD201" s="3928"/>
      <c r="CE201" s="3935"/>
      <c r="CF201" s="3936"/>
      <c r="CG201" s="3928"/>
      <c r="CH201" s="3928"/>
      <c r="CI201" s="3938"/>
      <c r="CJ201" s="3940"/>
      <c r="CK201" s="3928"/>
      <c r="CL201" s="3928"/>
      <c r="CM201" s="3928"/>
      <c r="CN201" s="3937"/>
      <c r="CO201" s="3940"/>
      <c r="CP201" s="3930"/>
      <c r="CQ201" s="3930"/>
      <c r="CR201" s="3930"/>
      <c r="CS201" s="3937"/>
      <c r="CT201" s="3940"/>
      <c r="CU201" s="3928"/>
      <c r="CV201" s="3928"/>
      <c r="CW201" s="3928"/>
      <c r="CX201" s="3937"/>
      <c r="CY201" s="3940"/>
      <c r="CZ201" s="3928"/>
      <c r="DA201" s="3928"/>
      <c r="DB201" s="3928"/>
      <c r="DC201" s="3937"/>
      <c r="DD201" s="3940"/>
      <c r="DE201" s="3928"/>
      <c r="DF201" s="3928"/>
      <c r="DG201" s="3928"/>
      <c r="DH201" s="3941"/>
      <c r="DI201" s="3940"/>
      <c r="DJ201" s="3928"/>
      <c r="DK201" s="3928"/>
      <c r="DL201" s="3928"/>
      <c r="DM201" s="3941"/>
      <c r="DN201" s="3940"/>
      <c r="DO201" s="3928"/>
      <c r="DP201" s="3928"/>
      <c r="DQ201" s="3928"/>
      <c r="DR201" s="3941"/>
      <c r="DS201" s="3940"/>
      <c r="DT201" s="3928"/>
      <c r="DU201" s="3928"/>
      <c r="DV201" s="3928"/>
      <c r="DW201" s="3941"/>
      <c r="DX201" s="3940"/>
      <c r="DY201" s="3928"/>
      <c r="DZ201" s="3928"/>
      <c r="EA201" s="3928"/>
      <c r="EB201" s="3941"/>
      <c r="EC201" s="3940"/>
      <c r="ED201" s="3928"/>
      <c r="EE201" s="3928"/>
      <c r="EF201" s="3928"/>
      <c r="EG201" s="3941"/>
      <c r="EH201" s="3942"/>
      <c r="EI201" s="3943"/>
      <c r="EJ201" s="3943"/>
      <c r="EK201" s="3943"/>
      <c r="EL201" s="3944"/>
      <c r="EM201" s="3945"/>
      <c r="EN201" s="3891"/>
      <c r="EO201" s="3891"/>
      <c r="EP201" s="3891"/>
      <c r="EQ201" s="3890"/>
      <c r="ER201" s="3791">
        <f t="shared" si="771"/>
        <v>0</v>
      </c>
      <c r="ES201" s="3792">
        <f t="shared" ref="ES201:EU208" si="776">CK201+CP201+CU201+CZ201+DE201+DJ201+DO201+DT201+DY201+ED201+EI201+EN201</f>
        <v>0</v>
      </c>
      <c r="ET201" s="3792">
        <f t="shared" si="776"/>
        <v>0</v>
      </c>
      <c r="EU201" s="3792">
        <f t="shared" si="776"/>
        <v>0</v>
      </c>
      <c r="EV201" s="370" t="e">
        <f t="shared" ref="EV201:EV208" si="777">EU201/ET201</f>
        <v>#DIV/0!</v>
      </c>
      <c r="EW201" s="3882"/>
      <c r="EX201" s="3882"/>
      <c r="EY201" s="3882"/>
      <c r="EZ201" s="3883"/>
      <c r="FA201" s="3942"/>
      <c r="FB201" s="3946"/>
      <c r="FC201" s="3946"/>
      <c r="FD201" s="3947"/>
      <c r="FE201" s="3948"/>
      <c r="FF201" s="3946"/>
      <c r="FG201" s="3946"/>
      <c r="FH201" s="3949"/>
      <c r="FI201" s="3950">
        <f>(EC201+EH201+EM201)/3</f>
        <v>0</v>
      </c>
      <c r="FJ201" s="3951"/>
      <c r="FK201" s="3952">
        <f>EE201+EJ201+EO201</f>
        <v>0</v>
      </c>
      <c r="FL201" s="3952">
        <f>EF201+EK201+EP201</f>
        <v>0</v>
      </c>
      <c r="FM201" s="3953" t="e">
        <f>FL201/FK201</f>
        <v>#DIV/0!</v>
      </c>
      <c r="FN201" s="3948"/>
      <c r="FO201" s="3943">
        <v>0</v>
      </c>
      <c r="FP201" s="3943">
        <v>0</v>
      </c>
      <c r="FQ201" s="3943">
        <v>0</v>
      </c>
      <c r="FR201" s="3954"/>
      <c r="FS201" s="3945">
        <v>2</v>
      </c>
      <c r="FT201" s="3891">
        <v>226116</v>
      </c>
      <c r="FU201" s="3891">
        <v>232798</v>
      </c>
      <c r="FV201" s="3891">
        <f>FU201-FT201</f>
        <v>6682</v>
      </c>
      <c r="FW201" s="3890">
        <f>FV201/FU201</f>
        <v>2.8702995730203868E-2</v>
      </c>
      <c r="FX201" s="2108">
        <v>2</v>
      </c>
      <c r="FY201" s="1873">
        <f>333790</f>
        <v>333790</v>
      </c>
      <c r="FZ201" s="1873">
        <f>342350</f>
        <v>342350</v>
      </c>
      <c r="GA201" s="3891">
        <f>FZ201-FY201</f>
        <v>8560</v>
      </c>
      <c r="GB201" s="3890">
        <f>GA201/FZ201</f>
        <v>2.500365123411713E-2</v>
      </c>
      <c r="GC201" s="1832">
        <v>2</v>
      </c>
      <c r="GD201" s="622">
        <v>327895</v>
      </c>
      <c r="GE201" s="622">
        <v>337215</v>
      </c>
      <c r="GF201" s="3891">
        <f>GE201-GD201</f>
        <v>9320</v>
      </c>
      <c r="GG201" s="3890">
        <f>GF201/GE201</f>
        <v>2.7638153700161618E-2</v>
      </c>
      <c r="GH201" s="1832">
        <v>2</v>
      </c>
      <c r="GI201" s="622">
        <v>327895</v>
      </c>
      <c r="GJ201" s="622">
        <v>337215</v>
      </c>
      <c r="GK201" s="3891">
        <f>GJ201-GI201</f>
        <v>9320</v>
      </c>
      <c r="GL201" s="3890">
        <f>GK201/GJ201</f>
        <v>2.7638153700161618E-2</v>
      </c>
      <c r="GM201" s="1832">
        <v>2</v>
      </c>
      <c r="GN201" s="622">
        <v>333790</v>
      </c>
      <c r="GO201" s="622">
        <v>342350</v>
      </c>
      <c r="GP201" s="3891">
        <f>GO201-GN201</f>
        <v>8560</v>
      </c>
      <c r="GQ201" s="3890">
        <f>GP201/GO201</f>
        <v>2.500365123411713E-2</v>
      </c>
      <c r="GR201" s="2000">
        <v>2</v>
      </c>
      <c r="GS201" s="1317">
        <v>328406</v>
      </c>
      <c r="GT201" s="1317">
        <v>337215</v>
      </c>
      <c r="GU201" s="3891">
        <f>GT201-GS201</f>
        <v>8809</v>
      </c>
      <c r="GV201" s="3890">
        <f>GU201/GT201</f>
        <v>2.6122799994069065E-2</v>
      </c>
      <c r="GW201" s="2000">
        <v>2</v>
      </c>
      <c r="GX201" s="1317">
        <v>323023</v>
      </c>
      <c r="GY201" s="1317">
        <v>332080</v>
      </c>
      <c r="GZ201" s="3891">
        <f>GY201-GX201</f>
        <v>9057</v>
      </c>
      <c r="HA201" s="3890">
        <f>GZ201/GY201</f>
        <v>2.7273548542519874E-2</v>
      </c>
      <c r="HB201" s="2000">
        <v>2</v>
      </c>
      <c r="HC201" s="1317">
        <v>307087</v>
      </c>
      <c r="HD201" s="1317">
        <v>314962</v>
      </c>
      <c r="HE201" s="3891">
        <f>HD201-HC201</f>
        <v>7875</v>
      </c>
      <c r="HF201" s="3890">
        <f>HE201/HD201</f>
        <v>2.500301623687937E-2</v>
      </c>
      <c r="HG201" s="2000">
        <v>2</v>
      </c>
      <c r="HH201" s="1317">
        <v>333790</v>
      </c>
      <c r="HI201" s="1317">
        <v>342250</v>
      </c>
      <c r="HJ201" s="3864">
        <f>HI201-HH201</f>
        <v>8460</v>
      </c>
      <c r="HK201" s="3890">
        <f>HJ201/HI201</f>
        <v>2.4718772826880935E-2</v>
      </c>
      <c r="HL201" s="2000">
        <v>2</v>
      </c>
      <c r="HM201" s="1317">
        <v>333790</v>
      </c>
      <c r="HN201" s="1317">
        <v>342250</v>
      </c>
      <c r="HO201" s="1317">
        <f>HN201-HM201</f>
        <v>8460</v>
      </c>
      <c r="HP201" s="362">
        <f>HO201/HN201</f>
        <v>2.4718772826880935E-2</v>
      </c>
      <c r="HQ201" s="3892">
        <v>1</v>
      </c>
      <c r="HR201" s="1317">
        <v>166895</v>
      </c>
      <c r="HS201" s="1317">
        <v>171175</v>
      </c>
      <c r="HT201" s="1317">
        <f>HS201-HR201</f>
        <v>4280</v>
      </c>
      <c r="HU201" s="3893">
        <f>HT201/HS201</f>
        <v>2.500365123411713E-2</v>
      </c>
      <c r="HV201" s="2723">
        <f t="shared" si="772"/>
        <v>1.75</v>
      </c>
      <c r="HW201" s="395">
        <f t="shared" si="773"/>
        <v>3342477</v>
      </c>
      <c r="HX201" s="395">
        <f t="shared" si="773"/>
        <v>3431860</v>
      </c>
      <c r="HY201" s="395">
        <f t="shared" si="773"/>
        <v>89383</v>
      </c>
      <c r="HZ201" s="2890"/>
      <c r="IA201" s="1834">
        <f>(FN201+FS201+FX201)/3</f>
        <v>1.3333333333333333</v>
      </c>
      <c r="IB201" s="1830">
        <f>FP201+FU201+FZ201</f>
        <v>575148</v>
      </c>
      <c r="IC201" s="1830">
        <f>FQ201+FV201+GA201</f>
        <v>15242</v>
      </c>
      <c r="ID201" s="1831">
        <f>IC201/IB201</f>
        <v>2.6501004958723668E-2</v>
      </c>
      <c r="IE201" s="1832">
        <f>(GC201+GH201+GM201)/3</f>
        <v>2</v>
      </c>
      <c r="IF201" s="1833">
        <f>(GE201+GJ201+GO201)</f>
        <v>1016780</v>
      </c>
      <c r="IG201" s="1834">
        <f>(GF201+GK201+GP201)</f>
        <v>27200</v>
      </c>
      <c r="IH201" s="1831">
        <f>IG201/IF201</f>
        <v>2.675111626900608E-2</v>
      </c>
      <c r="II201" s="1829">
        <f>(GR201+GW201+HB201)/3</f>
        <v>2</v>
      </c>
      <c r="IJ201" s="3894">
        <f>(GT201+GY201+HD201)</f>
        <v>984257</v>
      </c>
      <c r="IK201" s="3894">
        <f>(GU201+GZ201+HE201)</f>
        <v>25741</v>
      </c>
      <c r="IL201" s="239">
        <f>IK201/IJ201</f>
        <v>2.6152722307283566E-2</v>
      </c>
      <c r="IM201" s="3895">
        <f>(HB201+HG201+HL201)/3</f>
        <v>2</v>
      </c>
      <c r="IN201" s="3894">
        <f>(HI201+HN201+HS201)</f>
        <v>855675</v>
      </c>
      <c r="IO201" s="3894">
        <f>(HJ201+HO201+HT201)</f>
        <v>21200</v>
      </c>
      <c r="IP201" s="3896">
        <f>IO201/IN201</f>
        <v>2.4775761825459434E-2</v>
      </c>
      <c r="IQ201" s="1873"/>
      <c r="IR201" s="3897">
        <v>1</v>
      </c>
      <c r="IS201" s="1317">
        <v>166000</v>
      </c>
      <c r="IT201" s="1317">
        <v>171175</v>
      </c>
      <c r="IU201" s="3898">
        <f>IT201-IS201</f>
        <v>5175</v>
      </c>
      <c r="IV201" s="3899">
        <f>IU201/IT201</f>
        <v>3.0232218489849569E-2</v>
      </c>
      <c r="IW201" s="3888">
        <v>1</v>
      </c>
      <c r="IX201" s="3889">
        <v>166000</v>
      </c>
      <c r="IY201" s="3889">
        <v>171175</v>
      </c>
      <c r="IZ201" s="3864">
        <f>IY201-IX201</f>
        <v>5175</v>
      </c>
      <c r="JA201" s="362">
        <f>IZ201/IY201</f>
        <v>3.0232218489849569E-2</v>
      </c>
      <c r="JB201" s="3900">
        <v>1</v>
      </c>
      <c r="JC201" s="3901">
        <v>137780</v>
      </c>
      <c r="JD201" s="3902">
        <v>142075.25</v>
      </c>
      <c r="JE201" s="3864">
        <f>JD201-JC201</f>
        <v>4295.25</v>
      </c>
      <c r="JF201" s="362">
        <f>JE201/JD201</f>
        <v>3.0232218489849569E-2</v>
      </c>
      <c r="JG201" s="3900">
        <v>1</v>
      </c>
      <c r="JH201" s="622">
        <v>166000</v>
      </c>
      <c r="JI201" s="622">
        <v>171175</v>
      </c>
      <c r="JJ201" s="622">
        <f t="shared" ref="JJ201:JJ207" si="778">JI201-JH201</f>
        <v>5175</v>
      </c>
      <c r="JK201" s="362">
        <f t="shared" ref="JK201:JK207" si="779">JJ201/JI201</f>
        <v>3.0232218489849569E-2</v>
      </c>
      <c r="JL201" s="3900">
        <v>1</v>
      </c>
      <c r="JM201" s="622">
        <v>160645</v>
      </c>
      <c r="JN201" s="622">
        <v>166040</v>
      </c>
      <c r="JO201" s="622">
        <f t="shared" ref="JO201:JO207" si="780">JN201-JM201</f>
        <v>5395</v>
      </c>
      <c r="JP201" s="362">
        <f t="shared" ref="JP201:JP207" si="781">JO201/JN201</f>
        <v>3.2492170561310527E-2</v>
      </c>
      <c r="JQ201" s="3900">
        <v>1</v>
      </c>
      <c r="JR201" s="622">
        <v>160645</v>
      </c>
      <c r="JS201" s="622">
        <v>166040</v>
      </c>
      <c r="JT201" s="622">
        <f>JS201-JR201</f>
        <v>5395</v>
      </c>
      <c r="JU201" s="362">
        <f>JT201/JS201</f>
        <v>3.2492170561310527E-2</v>
      </c>
      <c r="JV201" s="658">
        <v>1</v>
      </c>
      <c r="JW201" s="3905">
        <v>79680</v>
      </c>
      <c r="JX201" s="1317">
        <v>82164</v>
      </c>
      <c r="JY201" s="3903">
        <f>JX201-JW201</f>
        <v>2484</v>
      </c>
      <c r="JZ201" s="3890">
        <f>JY201/JX201</f>
        <v>3.0232218489849569E-2</v>
      </c>
      <c r="KA201" s="3819">
        <v>1</v>
      </c>
      <c r="KB201" s="1317">
        <v>79680</v>
      </c>
      <c r="KC201" s="1317">
        <v>82164</v>
      </c>
      <c r="KD201" s="3864">
        <f t="shared" ref="KD201:KD207" si="782">KC201-KB201</f>
        <v>2484</v>
      </c>
      <c r="KE201" s="362">
        <f>KD201/KC201</f>
        <v>3.0232218489849569E-2</v>
      </c>
      <c r="KF201" s="3819"/>
      <c r="KG201" s="1317">
        <v>0</v>
      </c>
      <c r="KH201" s="1317">
        <v>0</v>
      </c>
      <c r="KI201" s="3864">
        <f t="shared" ref="KI201:KI207" si="783">KH201-KG201</f>
        <v>0</v>
      </c>
      <c r="KJ201" s="362"/>
      <c r="KK201" s="3819"/>
      <c r="KL201" s="1317"/>
      <c r="KM201" s="1317"/>
      <c r="KN201" s="3864">
        <f t="shared" ref="KN201:KN207" si="784">KM201-KL201</f>
        <v>0</v>
      </c>
      <c r="KO201" s="3890"/>
      <c r="KP201" s="2000"/>
      <c r="KQ201" s="1317"/>
      <c r="KR201" s="3865"/>
      <c r="KS201" s="1317">
        <f t="shared" ref="KS201:KS207" si="785">KR201-KQ201</f>
        <v>0</v>
      </c>
      <c r="KT201" s="3906"/>
      <c r="KU201" s="3892"/>
      <c r="KV201" s="1317"/>
      <c r="KW201" s="3865"/>
      <c r="KX201" s="1317">
        <f t="shared" ref="KX201:KX207" si="786">KW201-KV201</f>
        <v>0</v>
      </c>
      <c r="KY201" s="362"/>
      <c r="KZ201" s="1832"/>
      <c r="LA201" s="622">
        <f t="shared" ref="LA201:LC207" si="787">IS201+IX201+JC201+JH201+JM201+JR201+JW201+KB201+KG201+KL201+KQ201+KV201</f>
        <v>1116430</v>
      </c>
      <c r="LB201" s="622">
        <f t="shared" si="787"/>
        <v>1152008.25</v>
      </c>
      <c r="LC201" s="622">
        <f t="shared" si="787"/>
        <v>35578.25</v>
      </c>
      <c r="LD201" s="1576">
        <f t="shared" ref="LD201:LD207" si="788">LC201/LB201</f>
        <v>3.0883676397282744E-2</v>
      </c>
      <c r="LE201" s="1834">
        <f t="shared" ref="LE201:LE207" si="789">(IR201+IW201+JB201)/3</f>
        <v>1</v>
      </c>
      <c r="LF201" s="1830">
        <f t="shared" ref="LF201:LG207" si="790">IT201+IY201+JD201</f>
        <v>484425.25</v>
      </c>
      <c r="LG201" s="1830">
        <f t="shared" si="790"/>
        <v>14645.25</v>
      </c>
      <c r="LH201" s="1831">
        <f>LG201/LF201</f>
        <v>3.0232218489849569E-2</v>
      </c>
      <c r="LI201" s="1832">
        <f t="shared" ref="LI201:LI207" si="791">(JG201+JL201+JQ201)/3</f>
        <v>1</v>
      </c>
      <c r="LJ201" s="1833">
        <f t="shared" ref="LJ201:LK207" si="792">(JI201+JN201+JS201)</f>
        <v>503255</v>
      </c>
      <c r="LK201" s="1834">
        <f t="shared" si="792"/>
        <v>15965</v>
      </c>
      <c r="LL201" s="1831">
        <f t="shared" ref="LL201:LL207" si="793">LK201/LJ201</f>
        <v>3.1723480144260859E-2</v>
      </c>
      <c r="LM201" s="1829">
        <f t="shared" ref="LM201:LM207" si="794">(JV201+KA201+KF201)/3</f>
        <v>0.66666666666666663</v>
      </c>
      <c r="LN201" s="3894">
        <f t="shared" ref="LN201:LO207" si="795">(JX201+KC201+KH201)</f>
        <v>164328</v>
      </c>
      <c r="LO201" s="3894">
        <f t="shared" si="795"/>
        <v>4968</v>
      </c>
      <c r="LP201" s="239">
        <f>LO201/LN201</f>
        <v>3.0232218489849569E-2</v>
      </c>
      <c r="LQ201" s="3907">
        <f t="shared" ref="LQ201:LQ208" si="796">(KK201+KP201+KU201)/3</f>
        <v>0</v>
      </c>
      <c r="LR201" s="3894">
        <f t="shared" ref="LR201:LS207" si="797">(KM201+KR201+KW201)</f>
        <v>0</v>
      </c>
      <c r="LS201" s="3894">
        <f t="shared" si="797"/>
        <v>0</v>
      </c>
      <c r="LT201" s="3896"/>
      <c r="LU201" s="1873"/>
      <c r="LV201" s="401"/>
      <c r="LW201" s="395">
        <v>0</v>
      </c>
      <c r="LX201" s="395">
        <v>0</v>
      </c>
      <c r="LY201" s="115">
        <f t="shared" ref="LY201:LY207" si="798">LX201-LW201</f>
        <v>0</v>
      </c>
      <c r="LZ201" s="186"/>
      <c r="MA201" s="401"/>
      <c r="MB201" s="395">
        <v>0</v>
      </c>
      <c r="MC201" s="395">
        <v>0</v>
      </c>
      <c r="MD201" s="115">
        <f t="shared" ref="MD201:MD207" si="799">MC201-MB201</f>
        <v>0</v>
      </c>
      <c r="ME201" s="186"/>
      <c r="MF201" s="401"/>
      <c r="MG201" s="395">
        <v>0</v>
      </c>
      <c r="MH201" s="395">
        <v>0</v>
      </c>
      <c r="MI201" s="372">
        <f t="shared" ref="MI201:MI207" si="800">MH201-MG201</f>
        <v>0</v>
      </c>
      <c r="MJ201" s="207"/>
      <c r="MK201" s="2573"/>
      <c r="ML201" s="395">
        <v>0</v>
      </c>
      <c r="MM201" s="395">
        <v>0</v>
      </c>
      <c r="MN201" s="372">
        <v>0</v>
      </c>
      <c r="MO201" s="207"/>
      <c r="MP201" s="3805"/>
      <c r="MQ201" s="1317"/>
      <c r="MR201" s="1317"/>
      <c r="MS201" s="1317"/>
      <c r="MT201" s="801"/>
      <c r="MU201" s="1318"/>
      <c r="MV201" s="395"/>
      <c r="MW201" s="395"/>
      <c r="MX201" s="395"/>
      <c r="MY201" s="801"/>
      <c r="MZ201" s="2002"/>
      <c r="NA201" s="2001"/>
      <c r="NB201" s="2001"/>
      <c r="NC201" s="2001"/>
      <c r="ND201" s="2003"/>
      <c r="NE201" s="1318"/>
      <c r="NF201" s="395"/>
      <c r="NG201" s="395"/>
      <c r="NH201" s="395"/>
      <c r="NI201" s="801"/>
      <c r="NJ201" s="1318"/>
      <c r="NK201" s="395"/>
      <c r="NL201" s="395"/>
      <c r="NM201" s="395"/>
      <c r="NN201" s="801"/>
      <c r="NO201" s="2430"/>
      <c r="NP201" s="1873"/>
      <c r="NQ201" s="2431"/>
      <c r="NR201" s="2001"/>
      <c r="NS201" s="801"/>
      <c r="NT201" s="2432"/>
      <c r="NU201" s="622"/>
      <c r="NV201" s="622"/>
      <c r="NW201" s="395"/>
      <c r="NX201" s="801"/>
      <c r="NY201" s="2432"/>
      <c r="NZ201" s="622"/>
      <c r="OA201" s="622"/>
      <c r="OB201" s="772"/>
      <c r="OC201" s="116"/>
      <c r="OD201" s="2433">
        <f>(NY201+NT201+NO201+NJ201+NE201+MZ201+MU201+MP201+MK201+MF201+MA201+LV201)/12</f>
        <v>0</v>
      </c>
      <c r="OE201" s="622">
        <f>NZ201+NU201+NP201+NK201+NF201+NA201+MV201+MQ201+ML201+MG201+MB201+LW201</f>
        <v>0</v>
      </c>
      <c r="OF201" s="622">
        <f t="shared" si="768"/>
        <v>0</v>
      </c>
      <c r="OG201" s="622">
        <f t="shared" si="768"/>
        <v>0</v>
      </c>
      <c r="OH201" s="1576"/>
      <c r="OI201" s="3908">
        <f t="shared" ref="OI201:OI207" si="801">(LV201+MA201+MF201)/3</f>
        <v>0</v>
      </c>
      <c r="OJ201" s="115">
        <f t="shared" ref="OJ201:OL207" si="802">LW201+MB201+MG201</f>
        <v>0</v>
      </c>
      <c r="OK201" s="115">
        <f t="shared" si="802"/>
        <v>0</v>
      </c>
      <c r="OL201" s="115">
        <f t="shared" si="802"/>
        <v>0</v>
      </c>
      <c r="OM201" s="116"/>
      <c r="ON201" s="622">
        <f t="shared" ref="ON201:ON208" si="803">(MK201+MP201+MU201)/3</f>
        <v>0</v>
      </c>
      <c r="OO201" s="622">
        <f t="shared" ref="OO201:OQ208" si="804">ML201+MQ201+MV201</f>
        <v>0</v>
      </c>
      <c r="OP201" s="622">
        <f t="shared" si="804"/>
        <v>0</v>
      </c>
      <c r="OQ201" s="2437">
        <f t="shared" si="804"/>
        <v>0</v>
      </c>
      <c r="OR201" s="421" t="e">
        <f>OQ201/OP201</f>
        <v>#DIV/0!</v>
      </c>
      <c r="OS201" s="3909">
        <f t="shared" ref="OS201:OS208" si="805">(NJ201+NE201+MZ201)/3</f>
        <v>0</v>
      </c>
      <c r="OT201" s="3886">
        <f t="shared" ref="OT201:OV208" si="806">NK201+NF201+NA201</f>
        <v>0</v>
      </c>
      <c r="OU201" s="3886">
        <f t="shared" si="806"/>
        <v>0</v>
      </c>
      <c r="OV201" s="3910">
        <f t="shared" si="806"/>
        <v>0</v>
      </c>
      <c r="OW201" s="421"/>
      <c r="OX201" s="2432">
        <f t="shared" si="674"/>
        <v>0</v>
      </c>
      <c r="OY201" s="622">
        <f t="shared" ref="OY201:PA209" si="807">NP201+NU201+NZ201</f>
        <v>0</v>
      </c>
      <c r="OZ201" s="622">
        <f t="shared" si="807"/>
        <v>0</v>
      </c>
      <c r="PA201" s="2437">
        <f t="shared" si="807"/>
        <v>0</v>
      </c>
      <c r="PB201" s="116"/>
      <c r="PC201" s="3886"/>
      <c r="PD201" s="401"/>
      <c r="PE201" s="395"/>
      <c r="PF201" s="395"/>
      <c r="PG201" s="115">
        <f t="shared" si="774"/>
        <v>0</v>
      </c>
      <c r="PH201" s="186"/>
      <c r="PI201" s="401"/>
      <c r="PJ201" s="395"/>
      <c r="PK201" s="395"/>
      <c r="PL201" s="115">
        <f t="shared" ref="PL201:PL207" si="808">PK201-PJ201</f>
        <v>0</v>
      </c>
      <c r="PM201" s="186"/>
      <c r="PN201" s="401"/>
      <c r="PO201" s="395"/>
      <c r="PP201" s="395"/>
      <c r="PQ201" s="372">
        <f t="shared" si="762"/>
        <v>0</v>
      </c>
      <c r="PR201" s="207"/>
      <c r="PS201" s="2891"/>
      <c r="PT201" s="2001">
        <v>0</v>
      </c>
      <c r="PU201" s="2001">
        <v>0</v>
      </c>
      <c r="PV201" s="2892">
        <v>0</v>
      </c>
      <c r="PW201" s="370"/>
      <c r="PX201" s="3805"/>
      <c r="PY201" s="1317"/>
      <c r="PZ201" s="1317"/>
      <c r="QA201" s="1317"/>
      <c r="QB201" s="801"/>
      <c r="QC201" s="2002"/>
      <c r="QD201" s="2001"/>
      <c r="QE201" s="2001"/>
      <c r="QF201" s="2001"/>
      <c r="QG201" s="2003"/>
      <c r="QH201" s="2445"/>
      <c r="QI201" s="2001"/>
      <c r="QJ201" s="2001"/>
      <c r="QK201" s="2001"/>
      <c r="QL201" s="2003"/>
      <c r="QM201" s="401"/>
      <c r="QN201" s="395"/>
      <c r="QO201" s="395"/>
      <c r="QP201" s="395"/>
      <c r="QQ201" s="801"/>
      <c r="QR201" s="2002"/>
      <c r="QS201" s="2001"/>
      <c r="QT201" s="2001"/>
      <c r="QU201" s="2001"/>
      <c r="QV201" s="370"/>
      <c r="QW201" s="1318"/>
      <c r="QX201" s="395"/>
      <c r="QY201" s="395"/>
      <c r="QZ201" s="395"/>
      <c r="RA201" s="2003"/>
      <c r="RB201" s="2430"/>
      <c r="RC201" s="1873"/>
      <c r="RD201" s="1873"/>
      <c r="RE201" s="2001"/>
      <c r="RF201" s="2003"/>
      <c r="RG201" s="2108"/>
      <c r="RH201" s="1873"/>
      <c r="RI201" s="1873"/>
      <c r="RJ201" s="2012"/>
      <c r="RK201" s="116"/>
      <c r="RL201" s="3717">
        <f>(RG201+RB201+QW201+QR201+QM201+QH201+QC201+PX201+PS201+PN201+PI201+PD201)/12</f>
        <v>0</v>
      </c>
      <c r="RM201" s="1873">
        <f>RH201+RC201+QX201+QS201+QN201+QI201+QD201+PY201+PT201+PO201+PJ201+PE201</f>
        <v>0</v>
      </c>
      <c r="RN201" s="1873">
        <f>RI201+RD201+QY201+QT201+QO201+QJ201+QE201+PZ201+PU201+PP201+PK201+PF201</f>
        <v>0</v>
      </c>
      <c r="RO201" s="1873">
        <f>RJ201+RE201+QZ201+QU201+QP201+QK201+QF201+QA201+PV201+PQ201+PL201+PG201</f>
        <v>0</v>
      </c>
      <c r="RP201" s="1576"/>
      <c r="RQ201" s="3908">
        <f t="shared" si="722"/>
        <v>0</v>
      </c>
      <c r="RR201" s="115">
        <f t="shared" ref="RR201:RT207" si="809">PE201+PJ201+PO201</f>
        <v>0</v>
      </c>
      <c r="RS201" s="115">
        <f t="shared" si="809"/>
        <v>0</v>
      </c>
      <c r="RT201" s="115">
        <f t="shared" si="809"/>
        <v>0</v>
      </c>
      <c r="RU201" s="116"/>
      <c r="RV201" s="622">
        <f t="shared" ref="RV201:RV208" si="810">(PS201+PX201+QC201)/3</f>
        <v>0</v>
      </c>
      <c r="RW201" s="622">
        <f t="shared" ref="RW201:RY208" si="811">PT201+PY201+QD201</f>
        <v>0</v>
      </c>
      <c r="RX201" s="622">
        <f t="shared" si="811"/>
        <v>0</v>
      </c>
      <c r="RY201" s="2437">
        <f t="shared" si="811"/>
        <v>0</v>
      </c>
      <c r="RZ201" s="421" t="e">
        <f>RY201/RX201</f>
        <v>#DIV/0!</v>
      </c>
      <c r="SA201" s="3909">
        <f t="shared" si="748"/>
        <v>0</v>
      </c>
      <c r="SB201" s="3886">
        <f t="shared" ref="SB201:SD208" si="812">QS201+QN201+QI201</f>
        <v>0</v>
      </c>
      <c r="SC201" s="3886">
        <f t="shared" si="812"/>
        <v>0</v>
      </c>
      <c r="SD201" s="3910">
        <f t="shared" si="812"/>
        <v>0</v>
      </c>
      <c r="SE201" s="421"/>
      <c r="SF201" s="3736">
        <f>(SA201+RV201+RQ201+RL201+RG201+RB201+QW201+QR201+QM201+QH201+QC201+PX201)/12</f>
        <v>0</v>
      </c>
      <c r="SG201" s="622">
        <f t="shared" si="769"/>
        <v>0</v>
      </c>
      <c r="SH201" s="622">
        <f t="shared" si="769"/>
        <v>0</v>
      </c>
      <c r="SI201" s="2437">
        <f t="shared" si="769"/>
        <v>0</v>
      </c>
      <c r="SJ201" s="116"/>
      <c r="SK201" s="1568"/>
      <c r="SL201" s="2445"/>
      <c r="SM201" s="2001"/>
      <c r="SN201" s="2001"/>
      <c r="SO201" s="3534">
        <f t="shared" si="775"/>
        <v>0</v>
      </c>
      <c r="SP201" s="1498"/>
      <c r="SQ201" s="2445"/>
      <c r="SR201" s="2001"/>
      <c r="SS201" s="2001"/>
      <c r="ST201" s="3534">
        <f t="shared" ref="ST201:ST207" si="813">SS201-SR201</f>
        <v>0</v>
      </c>
      <c r="SU201" s="1498"/>
      <c r="SV201" s="401"/>
      <c r="SW201" s="395"/>
      <c r="SX201" s="395"/>
      <c r="SY201" s="372">
        <f t="shared" si="764"/>
        <v>0</v>
      </c>
      <c r="SZ201" s="207"/>
      <c r="TA201" s="2573"/>
      <c r="TB201" s="395">
        <v>0</v>
      </c>
      <c r="TC201" s="395">
        <v>0</v>
      </c>
      <c r="TD201" s="372">
        <v>0</v>
      </c>
      <c r="TE201" s="207"/>
      <c r="TF201" s="2573"/>
      <c r="TG201" s="395"/>
      <c r="TH201" s="395"/>
      <c r="TI201" s="395"/>
      <c r="TJ201" s="116"/>
      <c r="TK201" s="2002"/>
      <c r="TL201" s="2001"/>
      <c r="TM201" s="2001"/>
      <c r="TN201" s="2012"/>
      <c r="TO201" s="441"/>
      <c r="TP201" s="4464"/>
      <c r="TQ201" s="2001"/>
      <c r="TR201" s="2001"/>
      <c r="TS201" s="2012"/>
      <c r="TT201" s="441"/>
      <c r="TU201" s="4464"/>
      <c r="TV201" s="2001"/>
      <c r="TW201" s="2001"/>
      <c r="TX201" s="2012"/>
      <c r="TY201" s="441"/>
      <c r="TZ201" s="2002"/>
      <c r="UA201" s="2001"/>
      <c r="UB201" s="2001"/>
      <c r="UC201" s="2012"/>
      <c r="UD201" s="441"/>
      <c r="UE201" s="2002"/>
      <c r="UF201" s="1575"/>
      <c r="UG201" s="1575"/>
      <c r="UH201" s="2552">
        <f t="shared" si="698"/>
        <v>0</v>
      </c>
      <c r="UI201" s="222" t="e">
        <f t="shared" si="699"/>
        <v>#DIV/0!</v>
      </c>
      <c r="UJ201" s="2430"/>
      <c r="UK201" s="1873"/>
      <c r="UL201" s="1873"/>
      <c r="UM201" s="2001"/>
      <c r="UN201" s="2019"/>
      <c r="UO201" s="2108"/>
      <c r="UP201" s="1873"/>
      <c r="UQ201" s="1873"/>
      <c r="UR201" s="2012"/>
      <c r="US201" s="659"/>
      <c r="UT201" s="2433"/>
      <c r="UU201" s="358">
        <f t="shared" si="700"/>
        <v>0</v>
      </c>
      <c r="UV201" s="358">
        <f t="shared" si="700"/>
        <v>0</v>
      </c>
      <c r="UW201" s="358">
        <f t="shared" si="700"/>
        <v>0</v>
      </c>
      <c r="UX201" s="220" t="e">
        <f t="shared" si="704"/>
        <v>#DIV/0!</v>
      </c>
      <c r="UY201" s="2435">
        <f t="shared" si="765"/>
        <v>0</v>
      </c>
      <c r="UZ201" s="2436">
        <f t="shared" si="766"/>
        <v>0</v>
      </c>
      <c r="VA201" s="2436">
        <f t="shared" si="766"/>
        <v>0</v>
      </c>
      <c r="VB201" s="2436">
        <f t="shared" si="766"/>
        <v>0</v>
      </c>
      <c r="VC201" s="1439"/>
      <c r="VD201" s="622">
        <f t="shared" ref="VD201:VD208" si="814">(TA201+TF201+TK201)/3</f>
        <v>0</v>
      </c>
      <c r="VE201" s="358">
        <f t="shared" si="701"/>
        <v>0</v>
      </c>
      <c r="VF201" s="358">
        <f t="shared" si="701"/>
        <v>0</v>
      </c>
      <c r="VG201" s="359">
        <f t="shared" si="701"/>
        <v>0</v>
      </c>
      <c r="VH201" s="169" t="e">
        <f t="shared" si="702"/>
        <v>#DIV/0!</v>
      </c>
      <c r="VI201" s="2438">
        <f t="shared" si="767"/>
        <v>0</v>
      </c>
      <c r="VJ201" s="146">
        <f t="shared" si="703"/>
        <v>0</v>
      </c>
      <c r="VK201" s="146">
        <f t="shared" si="703"/>
        <v>0</v>
      </c>
      <c r="VL201" s="1864">
        <f t="shared" si="703"/>
        <v>0</v>
      </c>
      <c r="VM201" s="460"/>
      <c r="VN201" s="2433">
        <f>(VI201+VD201+UY201+UT201+UO201+UJ201+UE201+TZ201+TU201+TP201+TK201+TF201)/12</f>
        <v>0</v>
      </c>
      <c r="VO201" s="622">
        <f t="shared" si="770"/>
        <v>0</v>
      </c>
      <c r="VP201" s="622">
        <f t="shared" si="770"/>
        <v>0</v>
      </c>
      <c r="VQ201" s="2437">
        <f t="shared" si="770"/>
        <v>0</v>
      </c>
      <c r="VR201" s="116"/>
      <c r="VS201" s="1193"/>
      <c r="VT201" s="1193"/>
      <c r="VU201" s="1193"/>
      <c r="VV201" s="1193"/>
      <c r="VW201" s="1193"/>
      <c r="VX201" s="1193"/>
      <c r="VY201" s="1193"/>
      <c r="VZ201" s="1193"/>
      <c r="WA201" s="1193"/>
      <c r="WB201" s="1193"/>
      <c r="WC201" s="1193"/>
      <c r="WD201" s="1193"/>
      <c r="WE201" s="1193"/>
      <c r="WF201" s="1193"/>
      <c r="WG201" s="1193"/>
      <c r="WH201" s="1193"/>
      <c r="WI201" s="1193"/>
      <c r="WJ201" s="1193"/>
      <c r="WK201" s="1193"/>
      <c r="WL201" s="1193"/>
      <c r="WM201" s="1193"/>
      <c r="WN201" s="1193"/>
      <c r="WO201" s="1193"/>
      <c r="WP201" s="1193"/>
      <c r="WQ201" s="1193"/>
      <c r="WR201" s="1193"/>
      <c r="WS201" s="1193"/>
      <c r="WT201" s="1193"/>
      <c r="WU201" s="1193"/>
      <c r="WV201" s="1193"/>
      <c r="WW201" s="1193"/>
      <c r="WX201" s="1193"/>
      <c r="WY201" s="1193"/>
      <c r="WZ201" s="1193"/>
      <c r="XA201" s="1193"/>
      <c r="XB201" s="1193"/>
      <c r="XC201" s="1193"/>
      <c r="XD201" s="1193"/>
      <c r="XE201" s="1193"/>
      <c r="XF201" s="1193"/>
      <c r="XG201" s="1193"/>
      <c r="XH201" s="1193"/>
      <c r="XI201" s="1193"/>
      <c r="XJ201" s="1193"/>
      <c r="XK201" s="1193"/>
      <c r="XL201" s="1193"/>
      <c r="XM201" s="1193"/>
      <c r="XN201" s="1193"/>
      <c r="XO201" s="1193"/>
      <c r="XP201" s="1193"/>
      <c r="XQ201" s="1193"/>
      <c r="XR201" s="1193"/>
      <c r="XS201" s="1193"/>
      <c r="XT201" s="1193"/>
      <c r="XU201" s="1193"/>
      <c r="XV201" s="1193"/>
      <c r="XW201" s="1193"/>
      <c r="XX201" s="1193"/>
      <c r="XY201" s="1193"/>
      <c r="XZ201" s="1193"/>
      <c r="YA201" s="1193"/>
      <c r="YB201" s="1193"/>
      <c r="YC201" s="1193"/>
      <c r="YD201" s="1193"/>
      <c r="YE201" s="1193"/>
      <c r="YF201" s="1193"/>
      <c r="YG201" s="1193"/>
      <c r="YH201" s="1193"/>
      <c r="YI201" s="1193"/>
      <c r="YJ201" s="1193"/>
      <c r="YK201" s="1193"/>
      <c r="YL201" s="1193"/>
      <c r="YM201" s="1193"/>
      <c r="YN201" s="1193"/>
      <c r="YO201" s="1193"/>
      <c r="YP201" s="1193"/>
      <c r="YQ201" s="1193"/>
      <c r="YR201" s="1193"/>
      <c r="YS201" s="1193"/>
      <c r="YT201" s="1193"/>
      <c r="YU201" s="1193"/>
      <c r="YV201" s="1193"/>
      <c r="YW201" s="1193"/>
      <c r="YX201" s="1193"/>
      <c r="YY201" s="1193"/>
      <c r="YZ201" s="1193"/>
      <c r="ZA201" s="1193"/>
      <c r="ZB201" s="1193"/>
      <c r="ZC201" s="1193"/>
      <c r="ZD201" s="1193"/>
      <c r="ZE201" s="1193"/>
      <c r="ZF201" s="1193"/>
      <c r="ZG201" s="1193"/>
      <c r="ZH201" s="1193"/>
      <c r="ZI201" s="1193"/>
      <c r="ZJ201" s="1193"/>
      <c r="ZK201" s="1193"/>
      <c r="ZL201" s="1193"/>
      <c r="ZM201" s="1193"/>
      <c r="ZN201" s="1193"/>
      <c r="ZO201" s="1193"/>
      <c r="ZP201" s="1193"/>
      <c r="ZQ201" s="1193"/>
      <c r="ZR201" s="1193"/>
      <c r="ZS201" s="1193"/>
      <c r="ZT201" s="1193"/>
      <c r="ZU201" s="1193"/>
      <c r="ZV201" s="1193"/>
      <c r="ZW201" s="1193"/>
      <c r="ZX201" s="1193"/>
      <c r="ZY201" s="1193"/>
      <c r="ZZ201" s="1193"/>
      <c r="AAA201" s="1193"/>
      <c r="AAB201" s="1193"/>
      <c r="AAC201" s="1193"/>
      <c r="AAD201" s="1193"/>
      <c r="AAE201" s="1193"/>
      <c r="AAF201" s="1193"/>
      <c r="AAG201" s="1193"/>
      <c r="AAH201" s="1193"/>
      <c r="AAI201" s="1193"/>
      <c r="AAJ201" s="1193"/>
      <c r="AAK201" s="1193"/>
      <c r="AAL201" s="1193"/>
      <c r="AAM201" s="1193"/>
      <c r="AAN201" s="1193"/>
      <c r="AAO201" s="1193"/>
      <c r="AAP201" s="1193"/>
      <c r="AAQ201" s="1193"/>
      <c r="AAR201" s="1193"/>
      <c r="AAS201" s="1193"/>
      <c r="AAT201" s="1193"/>
      <c r="AAU201" s="1193"/>
      <c r="AAV201" s="1193"/>
      <c r="AAW201" s="1193"/>
      <c r="AAX201" s="1193"/>
      <c r="AAY201" s="1193"/>
      <c r="AAZ201" s="1193"/>
      <c r="ABA201" s="1193"/>
      <c r="ABB201" s="1193"/>
      <c r="ABC201" s="1193"/>
      <c r="ABD201" s="1193"/>
      <c r="ABE201" s="1193"/>
      <c r="ABF201" s="1193"/>
      <c r="ABG201" s="1193"/>
      <c r="ABH201" s="1193"/>
      <c r="ABI201" s="1193"/>
      <c r="ABJ201" s="1193"/>
      <c r="ABK201" s="1193"/>
      <c r="ABL201" s="1193"/>
      <c r="ABM201" s="1193"/>
      <c r="ABN201" s="1193"/>
      <c r="ABO201" s="1193"/>
      <c r="ABP201" s="1193"/>
      <c r="ABQ201" s="1193"/>
    </row>
    <row r="202" spans="1:745" s="2425" customFormat="1" ht="13.45" hidden="1" x14ac:dyDescent="0.3">
      <c r="A202" s="2399"/>
      <c r="B202" s="583" t="s">
        <v>106</v>
      </c>
      <c r="C202" s="3926" t="s">
        <v>864</v>
      </c>
      <c r="D202" s="1992" t="s">
        <v>865</v>
      </c>
      <c r="E202" s="2006">
        <v>44286</v>
      </c>
      <c r="F202" s="2006">
        <v>44650</v>
      </c>
      <c r="G202" s="1994">
        <v>469</v>
      </c>
      <c r="H202" s="3870"/>
      <c r="I202" s="3871"/>
      <c r="J202" s="3871"/>
      <c r="K202" s="3871"/>
      <c r="L202" s="3872"/>
      <c r="M202" s="3870"/>
      <c r="N202" s="3871"/>
      <c r="O202" s="3871"/>
      <c r="P202" s="3871"/>
      <c r="Q202" s="3872"/>
      <c r="R202" s="3870"/>
      <c r="S202" s="3871"/>
      <c r="T202" s="3871"/>
      <c r="U202" s="3871"/>
      <c r="V202" s="3872"/>
      <c r="W202" s="3870"/>
      <c r="X202" s="3871"/>
      <c r="Y202" s="3871"/>
      <c r="Z202" s="3871"/>
      <c r="AA202" s="3873"/>
      <c r="AB202" s="3870"/>
      <c r="AC202" s="3871"/>
      <c r="AD202" s="3871"/>
      <c r="AE202" s="3871"/>
      <c r="AF202" s="3873"/>
      <c r="AG202" s="3871"/>
      <c r="AH202" s="3871"/>
      <c r="AI202" s="3871"/>
      <c r="AJ202" s="3871"/>
      <c r="AK202" s="3872"/>
      <c r="AL202" s="3871"/>
      <c r="AM202" s="3871"/>
      <c r="AN202" s="3871"/>
      <c r="AO202" s="3871"/>
      <c r="AP202" s="3872"/>
      <c r="AQ202" s="3871"/>
      <c r="AR202" s="3871"/>
      <c r="AS202" s="3871"/>
      <c r="AT202" s="3871"/>
      <c r="AU202" s="3872"/>
      <c r="AV202" s="3874"/>
      <c r="AW202" s="3871"/>
      <c r="AX202" s="3871"/>
      <c r="AY202" s="3871"/>
      <c r="AZ202" s="3873"/>
      <c r="BA202" s="3874"/>
      <c r="BB202" s="3871"/>
      <c r="BC202" s="3871"/>
      <c r="BD202" s="3871"/>
      <c r="BE202" s="3873"/>
      <c r="BF202" s="3874"/>
      <c r="BG202" s="3871"/>
      <c r="BH202" s="3871"/>
      <c r="BI202" s="3871"/>
      <c r="BJ202" s="3873"/>
      <c r="BK202" s="3874"/>
      <c r="BL202" s="3871"/>
      <c r="BM202" s="3871"/>
      <c r="BN202" s="3871"/>
      <c r="BO202" s="3873"/>
      <c r="BP202" s="3875"/>
      <c r="BQ202" s="3871"/>
      <c r="BR202" s="3871"/>
      <c r="BS202" s="3871"/>
      <c r="BT202" s="3876"/>
      <c r="BU202" s="3871"/>
      <c r="BV202" s="3871"/>
      <c r="BW202" s="3877"/>
      <c r="BX202" s="3876"/>
      <c r="BY202" s="3871"/>
      <c r="BZ202" s="3871"/>
      <c r="CA202" s="3878"/>
      <c r="CB202" s="3871"/>
      <c r="CC202" s="3871"/>
      <c r="CD202" s="3871"/>
      <c r="CE202" s="3871"/>
      <c r="CF202" s="3876"/>
      <c r="CG202" s="3871"/>
      <c r="CH202" s="3871"/>
      <c r="CI202" s="3878"/>
      <c r="CJ202" s="3879"/>
      <c r="CK202" s="3871"/>
      <c r="CL202" s="3871"/>
      <c r="CM202" s="3871"/>
      <c r="CN202" s="3877"/>
      <c r="CO202" s="3879"/>
      <c r="CP202" s="3870"/>
      <c r="CQ202" s="3870"/>
      <c r="CR202" s="3870"/>
      <c r="CS202" s="3877"/>
      <c r="CT202" s="3879"/>
      <c r="CU202" s="3871"/>
      <c r="CV202" s="3871"/>
      <c r="CW202" s="3871"/>
      <c r="CX202" s="3877"/>
      <c r="CY202" s="3879"/>
      <c r="CZ202" s="3871"/>
      <c r="DA202" s="3871"/>
      <c r="DB202" s="3871"/>
      <c r="DC202" s="3877"/>
      <c r="DD202" s="3879"/>
      <c r="DE202" s="3871"/>
      <c r="DF202" s="3871"/>
      <c r="DG202" s="3871"/>
      <c r="DH202" s="3880"/>
      <c r="DI202" s="3879"/>
      <c r="DJ202" s="3871"/>
      <c r="DK202" s="3871"/>
      <c r="DL202" s="3871"/>
      <c r="DM202" s="3880"/>
      <c r="DN202" s="3879"/>
      <c r="DO202" s="3871"/>
      <c r="DP202" s="3871"/>
      <c r="DQ202" s="3871"/>
      <c r="DR202" s="3880"/>
      <c r="DS202" s="3879"/>
      <c r="DT202" s="3871"/>
      <c r="DU202" s="3871"/>
      <c r="DV202" s="3871"/>
      <c r="DW202" s="3880"/>
      <c r="DX202" s="3879"/>
      <c r="DY202" s="3871"/>
      <c r="DZ202" s="3871"/>
      <c r="EA202" s="3871"/>
      <c r="EB202" s="3880"/>
      <c r="EC202" s="3879"/>
      <c r="ED202" s="3871"/>
      <c r="EE202" s="3871"/>
      <c r="EF202" s="3871"/>
      <c r="EG202" s="3880"/>
      <c r="EH202" s="2108"/>
      <c r="EI202" s="1873"/>
      <c r="EJ202" s="1873"/>
      <c r="EK202" s="1873"/>
      <c r="EL202" s="3881"/>
      <c r="EM202" s="1832"/>
      <c r="EN202" s="622"/>
      <c r="EO202" s="622"/>
      <c r="EP202" s="622"/>
      <c r="EQ202" s="362"/>
      <c r="ER202" s="3791">
        <f t="shared" si="771"/>
        <v>0</v>
      </c>
      <c r="ES202" s="3792">
        <f t="shared" si="776"/>
        <v>0</v>
      </c>
      <c r="ET202" s="3792">
        <f t="shared" si="776"/>
        <v>0</v>
      </c>
      <c r="EU202" s="3792">
        <f t="shared" si="776"/>
        <v>0</v>
      </c>
      <c r="EV202" s="370" t="e">
        <f t="shared" si="777"/>
        <v>#DIV/0!</v>
      </c>
      <c r="EW202" s="3882"/>
      <c r="EX202" s="3882"/>
      <c r="EY202" s="3882"/>
      <c r="EZ202" s="3883"/>
      <c r="FA202" s="2108"/>
      <c r="FB202" s="3882"/>
      <c r="FC202" s="3882"/>
      <c r="FD202" s="1576"/>
      <c r="FE202" s="3882"/>
      <c r="FF202" s="3882"/>
      <c r="FG202" s="3882"/>
      <c r="FH202" s="3883"/>
      <c r="FI202" s="3884"/>
      <c r="FJ202" s="3885"/>
      <c r="FK202" s="3886"/>
      <c r="FL202" s="3886"/>
      <c r="FM202" s="239"/>
      <c r="FN202" s="3882"/>
      <c r="FO202" s="1873"/>
      <c r="FP202" s="1873"/>
      <c r="FQ202" s="1873"/>
      <c r="FR202" s="3887"/>
      <c r="FS202" s="1832"/>
      <c r="FT202" s="622"/>
      <c r="FU202" s="622"/>
      <c r="FV202" s="622"/>
      <c r="FW202" s="362"/>
      <c r="FX202" s="2108"/>
      <c r="FY202" s="1873"/>
      <c r="FZ202" s="1873"/>
      <c r="GA202" s="622"/>
      <c r="GB202" s="362"/>
      <c r="GC202" s="1832"/>
      <c r="GD202" s="622"/>
      <c r="GE202" s="622"/>
      <c r="GF202" s="622"/>
      <c r="GG202" s="362"/>
      <c r="GH202" s="1832"/>
      <c r="GI202" s="622"/>
      <c r="GJ202" s="622"/>
      <c r="GK202" s="622"/>
      <c r="GL202" s="362"/>
      <c r="GM202" s="1832"/>
      <c r="GN202" s="622"/>
      <c r="GO202" s="622"/>
      <c r="GP202" s="622"/>
      <c r="GQ202" s="362"/>
      <c r="GR202" s="1832"/>
      <c r="GS202" s="622"/>
      <c r="GT202" s="622"/>
      <c r="GU202" s="622"/>
      <c r="GV202" s="362"/>
      <c r="GW202" s="1832"/>
      <c r="GX202" s="622"/>
      <c r="GY202" s="622"/>
      <c r="GZ202" s="622"/>
      <c r="HA202" s="362"/>
      <c r="HB202" s="1832"/>
      <c r="HC202" s="622"/>
      <c r="HD202" s="622"/>
      <c r="HE202" s="622"/>
      <c r="HF202" s="362"/>
      <c r="HG202" s="1832"/>
      <c r="HH202" s="622"/>
      <c r="HI202" s="622"/>
      <c r="HJ202" s="3864"/>
      <c r="HK202" s="362"/>
      <c r="HL202" s="1832"/>
      <c r="HM202" s="622"/>
      <c r="HN202" s="622"/>
      <c r="HO202" s="622"/>
      <c r="HP202" s="362"/>
      <c r="HQ202" s="3892"/>
      <c r="HR202" s="1317"/>
      <c r="HS202" s="1317"/>
      <c r="HT202" s="1317"/>
      <c r="HU202" s="3893"/>
      <c r="HV202" s="2723">
        <f t="shared" si="772"/>
        <v>0</v>
      </c>
      <c r="HW202" s="395">
        <f t="shared" si="773"/>
        <v>0</v>
      </c>
      <c r="HX202" s="395">
        <f t="shared" si="773"/>
        <v>0</v>
      </c>
      <c r="HY202" s="395">
        <f t="shared" si="773"/>
        <v>0</v>
      </c>
      <c r="HZ202" s="2890"/>
      <c r="IA202" s="1834"/>
      <c r="IB202" s="1830"/>
      <c r="IC202" s="1830"/>
      <c r="ID202" s="1831"/>
      <c r="IE202" s="1832"/>
      <c r="IF202" s="1833"/>
      <c r="IG202" s="1834"/>
      <c r="IH202" s="1831"/>
      <c r="II202" s="1829"/>
      <c r="IJ202" s="3894"/>
      <c r="IK202" s="3894"/>
      <c r="IL202" s="239"/>
      <c r="IM202" s="3895"/>
      <c r="IN202" s="3894"/>
      <c r="IO202" s="3894"/>
      <c r="IP202" s="3896"/>
      <c r="IQ202" s="1873"/>
      <c r="IR202" s="3897"/>
      <c r="IS202" s="1317"/>
      <c r="IT202" s="1317"/>
      <c r="IU202" s="3898"/>
      <c r="IV202" s="3906"/>
      <c r="IW202" s="3888"/>
      <c r="IX202" s="3889"/>
      <c r="IY202" s="3889"/>
      <c r="IZ202" s="3864"/>
      <c r="JA202" s="362"/>
      <c r="JB202" s="3900"/>
      <c r="JC202" s="3901"/>
      <c r="JD202" s="3902"/>
      <c r="JE202" s="3864"/>
      <c r="JF202" s="362"/>
      <c r="JG202" s="3900">
        <v>1</v>
      </c>
      <c r="JH202" s="622">
        <v>33333</v>
      </c>
      <c r="JI202" s="622">
        <v>84420</v>
      </c>
      <c r="JJ202" s="622">
        <f t="shared" si="778"/>
        <v>51087</v>
      </c>
      <c r="JK202" s="362">
        <f t="shared" si="779"/>
        <v>0.60515280739161337</v>
      </c>
      <c r="JL202" s="1832">
        <v>1</v>
      </c>
      <c r="JM202" s="622">
        <v>33333</v>
      </c>
      <c r="JN202" s="622">
        <v>105525</v>
      </c>
      <c r="JO202" s="3903">
        <f t="shared" si="780"/>
        <v>72192</v>
      </c>
      <c r="JP202" s="362">
        <f t="shared" si="781"/>
        <v>0.68412224591329074</v>
      </c>
      <c r="JQ202" s="3913"/>
      <c r="JR202" s="3905">
        <v>0</v>
      </c>
      <c r="JS202" s="1317">
        <v>0</v>
      </c>
      <c r="JT202" s="3912">
        <f>JS202-JR202</f>
        <v>0</v>
      </c>
      <c r="JU202" s="362"/>
      <c r="JV202" s="658"/>
      <c r="JW202" s="3905"/>
      <c r="JX202" s="1317"/>
      <c r="JY202" s="3903"/>
      <c r="JZ202" s="3890"/>
      <c r="KA202" s="3900"/>
      <c r="KB202" s="3666">
        <v>0</v>
      </c>
      <c r="KC202" s="3905">
        <v>0</v>
      </c>
      <c r="KD202" s="3864">
        <f t="shared" si="782"/>
        <v>0</v>
      </c>
      <c r="KE202" s="362"/>
      <c r="KF202" s="3900"/>
      <c r="KG202" s="1317">
        <v>0</v>
      </c>
      <c r="KH202" s="1317">
        <v>0</v>
      </c>
      <c r="KI202" s="3864">
        <f t="shared" si="783"/>
        <v>0</v>
      </c>
      <c r="KJ202" s="362"/>
      <c r="KK202" s="3819"/>
      <c r="KL202" s="1317"/>
      <c r="KM202" s="1317"/>
      <c r="KN202" s="3864">
        <f t="shared" si="784"/>
        <v>0</v>
      </c>
      <c r="KO202" s="3890"/>
      <c r="KP202" s="2000"/>
      <c r="KQ202" s="1317"/>
      <c r="KR202" s="3865"/>
      <c r="KS202" s="1317">
        <f t="shared" si="785"/>
        <v>0</v>
      </c>
      <c r="KT202" s="3906"/>
      <c r="KU202" s="3892"/>
      <c r="KV202" s="1317"/>
      <c r="KW202" s="3865"/>
      <c r="KX202" s="1317">
        <f t="shared" si="786"/>
        <v>0</v>
      </c>
      <c r="KY202" s="362"/>
      <c r="KZ202" s="1832"/>
      <c r="LA202" s="622">
        <f t="shared" si="787"/>
        <v>66666</v>
      </c>
      <c r="LB202" s="622">
        <f t="shared" si="787"/>
        <v>189945</v>
      </c>
      <c r="LC202" s="622">
        <f t="shared" si="787"/>
        <v>123279</v>
      </c>
      <c r="LD202" s="1576">
        <f t="shared" si="788"/>
        <v>0.6490247176814341</v>
      </c>
      <c r="LE202" s="1834">
        <f t="shared" si="789"/>
        <v>0</v>
      </c>
      <c r="LF202" s="1830">
        <f t="shared" si="790"/>
        <v>0</v>
      </c>
      <c r="LG202" s="1830">
        <f t="shared" si="790"/>
        <v>0</v>
      </c>
      <c r="LH202" s="1831"/>
      <c r="LI202" s="1832">
        <f t="shared" si="791"/>
        <v>0.66666666666666663</v>
      </c>
      <c r="LJ202" s="1833">
        <f t="shared" si="792"/>
        <v>189945</v>
      </c>
      <c r="LK202" s="1834">
        <f t="shared" si="792"/>
        <v>123279</v>
      </c>
      <c r="LL202" s="1831">
        <f t="shared" si="793"/>
        <v>0.6490247176814341</v>
      </c>
      <c r="LM202" s="1829">
        <f t="shared" si="794"/>
        <v>0</v>
      </c>
      <c r="LN202" s="3894">
        <f t="shared" si="795"/>
        <v>0</v>
      </c>
      <c r="LO202" s="3894">
        <f t="shared" si="795"/>
        <v>0</v>
      </c>
      <c r="LP202" s="239"/>
      <c r="LQ202" s="3907">
        <f t="shared" si="796"/>
        <v>0</v>
      </c>
      <c r="LR202" s="3894">
        <f t="shared" si="797"/>
        <v>0</v>
      </c>
      <c r="LS202" s="3894">
        <f t="shared" si="797"/>
        <v>0</v>
      </c>
      <c r="LT202" s="3896"/>
      <c r="LU202" s="1873"/>
      <c r="LV202" s="401"/>
      <c r="LW202" s="395">
        <v>0</v>
      </c>
      <c r="LX202" s="395">
        <v>0</v>
      </c>
      <c r="LY202" s="115">
        <f t="shared" si="798"/>
        <v>0</v>
      </c>
      <c r="LZ202" s="186"/>
      <c r="MA202" s="401"/>
      <c r="MB202" s="395">
        <v>0</v>
      </c>
      <c r="MC202" s="395">
        <v>0</v>
      </c>
      <c r="MD202" s="115">
        <f t="shared" si="799"/>
        <v>0</v>
      </c>
      <c r="ME202" s="186"/>
      <c r="MF202" s="401"/>
      <c r="MG202" s="395">
        <v>0</v>
      </c>
      <c r="MH202" s="395">
        <v>0</v>
      </c>
      <c r="MI202" s="372">
        <f t="shared" si="800"/>
        <v>0</v>
      </c>
      <c r="MJ202" s="207"/>
      <c r="MK202" s="2573"/>
      <c r="ML202" s="395">
        <v>0</v>
      </c>
      <c r="MM202" s="395">
        <v>0</v>
      </c>
      <c r="MN202" s="372">
        <v>0</v>
      </c>
      <c r="MO202" s="207"/>
      <c r="MP202" s="3805"/>
      <c r="MQ202" s="1317"/>
      <c r="MR202" s="1317"/>
      <c r="MS202" s="1317"/>
      <c r="MT202" s="801"/>
      <c r="MU202" s="1318"/>
      <c r="MV202" s="395"/>
      <c r="MW202" s="395"/>
      <c r="MX202" s="395"/>
      <c r="MY202" s="801"/>
      <c r="MZ202" s="1318"/>
      <c r="NA202" s="395"/>
      <c r="NB202" s="395"/>
      <c r="NC202" s="395"/>
      <c r="ND202" s="801"/>
      <c r="NE202" s="1318"/>
      <c r="NF202" s="395"/>
      <c r="NG202" s="395"/>
      <c r="NH202" s="395"/>
      <c r="NI202" s="801"/>
      <c r="NJ202" s="1318"/>
      <c r="NK202" s="395"/>
      <c r="NL202" s="395"/>
      <c r="NM202" s="395"/>
      <c r="NN202" s="801"/>
      <c r="NO202" s="2430"/>
      <c r="NP202" s="1873"/>
      <c r="NQ202" s="2431"/>
      <c r="NR202" s="2001"/>
      <c r="NS202" s="801"/>
      <c r="NT202" s="2432"/>
      <c r="NU202" s="622"/>
      <c r="NV202" s="622"/>
      <c r="NW202" s="395"/>
      <c r="NX202" s="801"/>
      <c r="NY202" s="2432"/>
      <c r="NZ202" s="622"/>
      <c r="OA202" s="622"/>
      <c r="OB202" s="772"/>
      <c r="OC202" s="116"/>
      <c r="OD202" s="2433">
        <f>(NY202+NT202+NO202+NJ202+NE202+MZ202+MU202+MP202+MK202+MF202+MA202+LV202)/12</f>
        <v>0</v>
      </c>
      <c r="OE202" s="622">
        <f t="shared" si="768"/>
        <v>0</v>
      </c>
      <c r="OF202" s="622">
        <f t="shared" si="768"/>
        <v>0</v>
      </c>
      <c r="OG202" s="622">
        <f t="shared" si="768"/>
        <v>0</v>
      </c>
      <c r="OH202" s="1576"/>
      <c r="OI202" s="3908">
        <f t="shared" si="801"/>
        <v>0</v>
      </c>
      <c r="OJ202" s="115">
        <f t="shared" si="802"/>
        <v>0</v>
      </c>
      <c r="OK202" s="115">
        <f t="shared" si="802"/>
        <v>0</v>
      </c>
      <c r="OL202" s="115">
        <f t="shared" si="802"/>
        <v>0</v>
      </c>
      <c r="OM202" s="116"/>
      <c r="ON202" s="622">
        <f t="shared" si="803"/>
        <v>0</v>
      </c>
      <c r="OO202" s="622">
        <f t="shared" si="804"/>
        <v>0</v>
      </c>
      <c r="OP202" s="622">
        <f t="shared" si="804"/>
        <v>0</v>
      </c>
      <c r="OQ202" s="2437">
        <f t="shared" si="804"/>
        <v>0</v>
      </c>
      <c r="OR202" s="421" t="e">
        <f>OQ202/OP202</f>
        <v>#DIV/0!</v>
      </c>
      <c r="OS202" s="3909">
        <f t="shared" si="805"/>
        <v>0</v>
      </c>
      <c r="OT202" s="3886">
        <f t="shared" si="806"/>
        <v>0</v>
      </c>
      <c r="OU202" s="3886">
        <f t="shared" si="806"/>
        <v>0</v>
      </c>
      <c r="OV202" s="3910">
        <f t="shared" si="806"/>
        <v>0</v>
      </c>
      <c r="OW202" s="421"/>
      <c r="OX202" s="2432">
        <f t="shared" si="674"/>
        <v>0</v>
      </c>
      <c r="OY202" s="622">
        <f t="shared" si="807"/>
        <v>0</v>
      </c>
      <c r="OZ202" s="622">
        <f t="shared" si="807"/>
        <v>0</v>
      </c>
      <c r="PA202" s="2437">
        <f t="shared" si="807"/>
        <v>0</v>
      </c>
      <c r="PB202" s="116"/>
      <c r="PC202" s="3886"/>
      <c r="PD202" s="401"/>
      <c r="PE202" s="395"/>
      <c r="PF202" s="395"/>
      <c r="PG202" s="115">
        <f t="shared" si="774"/>
        <v>0</v>
      </c>
      <c r="PH202" s="186"/>
      <c r="PI202" s="401"/>
      <c r="PJ202" s="395"/>
      <c r="PK202" s="395"/>
      <c r="PL202" s="115">
        <f t="shared" si="808"/>
        <v>0</v>
      </c>
      <c r="PM202" s="186"/>
      <c r="PN202" s="401"/>
      <c r="PO202" s="395"/>
      <c r="PP202" s="395"/>
      <c r="PQ202" s="372">
        <f t="shared" si="762"/>
        <v>0</v>
      </c>
      <c r="PR202" s="207"/>
      <c r="PS202" s="2891"/>
      <c r="PT202" s="2001"/>
      <c r="PU202" s="2001"/>
      <c r="PV202" s="2892">
        <v>0</v>
      </c>
      <c r="PW202" s="370"/>
      <c r="PX202" s="3805"/>
      <c r="PY202" s="1317"/>
      <c r="PZ202" s="1317"/>
      <c r="QA202" s="1317"/>
      <c r="QB202" s="801"/>
      <c r="QC202" s="2002"/>
      <c r="QD202" s="2001"/>
      <c r="QE202" s="2001"/>
      <c r="QF202" s="2001"/>
      <c r="QG202" s="2003"/>
      <c r="QH202" s="401"/>
      <c r="QI202" s="395"/>
      <c r="QJ202" s="395"/>
      <c r="QK202" s="395"/>
      <c r="QL202" s="801"/>
      <c r="QM202" s="401"/>
      <c r="QN202" s="395"/>
      <c r="QO202" s="395"/>
      <c r="QP202" s="395"/>
      <c r="QQ202" s="801"/>
      <c r="QR202" s="2002"/>
      <c r="QS202" s="2001"/>
      <c r="QT202" s="2001"/>
      <c r="QU202" s="2001"/>
      <c r="QV202" s="370"/>
      <c r="QW202" s="1318"/>
      <c r="QX202" s="395"/>
      <c r="QY202" s="395"/>
      <c r="QZ202" s="395"/>
      <c r="RA202" s="2003"/>
      <c r="RB202" s="2430"/>
      <c r="RC202" s="1873"/>
      <c r="RD202" s="1873"/>
      <c r="RE202" s="2001"/>
      <c r="RF202" s="2003"/>
      <c r="RG202" s="2108"/>
      <c r="RH202" s="1873"/>
      <c r="RI202" s="1873"/>
      <c r="RJ202" s="2012"/>
      <c r="RK202" s="116"/>
      <c r="RL202" s="3717">
        <f>(RG202+RB202+QW202+QR202+QM202+QH202+QC202+PX202+PS202+PN202+PI202+PD202)/12</f>
        <v>0</v>
      </c>
      <c r="RM202" s="1873">
        <f t="shared" ref="RM202:RO209" si="815">RH202+RC202+QX202+QS202+QN202+QI202+QD202+PY202+PT202+PO202+PJ202+PE202</f>
        <v>0</v>
      </c>
      <c r="RN202" s="1873">
        <f t="shared" si="815"/>
        <v>0</v>
      </c>
      <c r="RO202" s="1873">
        <f t="shared" si="815"/>
        <v>0</v>
      </c>
      <c r="RP202" s="1576"/>
      <c r="RQ202" s="3908">
        <f t="shared" si="722"/>
        <v>0</v>
      </c>
      <c r="RR202" s="115">
        <f t="shared" si="809"/>
        <v>0</v>
      </c>
      <c r="RS202" s="115">
        <f t="shared" si="809"/>
        <v>0</v>
      </c>
      <c r="RT202" s="115">
        <f t="shared" si="809"/>
        <v>0</v>
      </c>
      <c r="RU202" s="116"/>
      <c r="RV202" s="622">
        <f t="shared" si="810"/>
        <v>0</v>
      </c>
      <c r="RW202" s="622">
        <f t="shared" si="811"/>
        <v>0</v>
      </c>
      <c r="RX202" s="622">
        <f t="shared" si="811"/>
        <v>0</v>
      </c>
      <c r="RY202" s="2437">
        <f t="shared" si="811"/>
        <v>0</v>
      </c>
      <c r="RZ202" s="421" t="e">
        <f>RY202/RX202</f>
        <v>#DIV/0!</v>
      </c>
      <c r="SA202" s="3909">
        <f t="shared" si="748"/>
        <v>0</v>
      </c>
      <c r="SB202" s="3886">
        <f t="shared" si="812"/>
        <v>0</v>
      </c>
      <c r="SC202" s="3886">
        <f t="shared" si="812"/>
        <v>0</v>
      </c>
      <c r="SD202" s="3910">
        <f t="shared" si="812"/>
        <v>0</v>
      </c>
      <c r="SE202" s="421"/>
      <c r="SF202" s="3736">
        <f>(SA202+RV202+RQ202+RL202+RG202+RB202+QW202+QR202+QM202+QH202+QC202+PX202)/12</f>
        <v>0</v>
      </c>
      <c r="SG202" s="622">
        <f t="shared" si="769"/>
        <v>0</v>
      </c>
      <c r="SH202" s="622">
        <f t="shared" si="769"/>
        <v>0</v>
      </c>
      <c r="SI202" s="2437">
        <f t="shared" si="769"/>
        <v>0</v>
      </c>
      <c r="SJ202" s="116"/>
      <c r="SK202" s="1568"/>
      <c r="SL202" s="2445"/>
      <c r="SM202" s="2001"/>
      <c r="SN202" s="2001"/>
      <c r="SO202" s="3534">
        <f t="shared" si="775"/>
        <v>0</v>
      </c>
      <c r="SP202" s="1498"/>
      <c r="SQ202" s="2445"/>
      <c r="SR202" s="2001"/>
      <c r="SS202" s="2001"/>
      <c r="ST202" s="3534">
        <f t="shared" si="813"/>
        <v>0</v>
      </c>
      <c r="SU202" s="1498"/>
      <c r="SV202" s="401"/>
      <c r="SW202" s="395"/>
      <c r="SX202" s="395"/>
      <c r="SY202" s="372">
        <f t="shared" si="764"/>
        <v>0</v>
      </c>
      <c r="SZ202" s="207"/>
      <c r="TA202" s="2573"/>
      <c r="TB202" s="395"/>
      <c r="TC202" s="395"/>
      <c r="TD202" s="372">
        <v>0</v>
      </c>
      <c r="TE202" s="207"/>
      <c r="TF202" s="2573"/>
      <c r="TG202" s="395"/>
      <c r="TH202" s="395"/>
      <c r="TI202" s="395"/>
      <c r="TJ202" s="116"/>
      <c r="TK202" s="2002"/>
      <c r="TL202" s="2001"/>
      <c r="TM202" s="2001"/>
      <c r="TN202" s="2012"/>
      <c r="TO202" s="441"/>
      <c r="TP202" s="4434"/>
      <c r="TQ202" s="395"/>
      <c r="TR202" s="395"/>
      <c r="TS202" s="772"/>
      <c r="TT202" s="116"/>
      <c r="TU202" s="4464"/>
      <c r="TV202" s="2001"/>
      <c r="TW202" s="2001"/>
      <c r="TX202" s="2012"/>
      <c r="TY202" s="441"/>
      <c r="TZ202" s="2002"/>
      <c r="UA202" s="2001"/>
      <c r="UB202" s="2001"/>
      <c r="UC202" s="2012"/>
      <c r="UD202" s="441"/>
      <c r="UE202" s="2002"/>
      <c r="UF202" s="1575"/>
      <c r="UG202" s="1575"/>
      <c r="UH202" s="2552">
        <f t="shared" si="698"/>
        <v>0</v>
      </c>
      <c r="UI202" s="222" t="e">
        <f t="shared" si="699"/>
        <v>#DIV/0!</v>
      </c>
      <c r="UJ202" s="2430"/>
      <c r="UK202" s="1873"/>
      <c r="UL202" s="1873"/>
      <c r="UM202" s="2001"/>
      <c r="UN202" s="2019"/>
      <c r="UO202" s="2108"/>
      <c r="UP202" s="1873"/>
      <c r="UQ202" s="1873"/>
      <c r="UR202" s="2012"/>
      <c r="US202" s="659"/>
      <c r="UT202" s="2433"/>
      <c r="UU202" s="358">
        <f t="shared" si="700"/>
        <v>0</v>
      </c>
      <c r="UV202" s="358">
        <f t="shared" si="700"/>
        <v>0</v>
      </c>
      <c r="UW202" s="358">
        <f t="shared" si="700"/>
        <v>0</v>
      </c>
      <c r="UX202" s="220" t="e">
        <f t="shared" si="704"/>
        <v>#DIV/0!</v>
      </c>
      <c r="UY202" s="2435">
        <f t="shared" si="765"/>
        <v>0</v>
      </c>
      <c r="UZ202" s="2436">
        <f t="shared" si="766"/>
        <v>0</v>
      </c>
      <c r="VA202" s="2436">
        <f t="shared" si="766"/>
        <v>0</v>
      </c>
      <c r="VB202" s="2436">
        <f t="shared" si="766"/>
        <v>0</v>
      </c>
      <c r="VC202" s="1439"/>
      <c r="VD202" s="622">
        <f t="shared" si="814"/>
        <v>0</v>
      </c>
      <c r="VE202" s="358">
        <f t="shared" si="701"/>
        <v>0</v>
      </c>
      <c r="VF202" s="358">
        <f t="shared" si="701"/>
        <v>0</v>
      </c>
      <c r="VG202" s="359">
        <f t="shared" si="701"/>
        <v>0</v>
      </c>
      <c r="VH202" s="169" t="e">
        <f t="shared" si="702"/>
        <v>#DIV/0!</v>
      </c>
      <c r="VI202" s="2438">
        <f t="shared" si="767"/>
        <v>0</v>
      </c>
      <c r="VJ202" s="146">
        <f t="shared" si="703"/>
        <v>0</v>
      </c>
      <c r="VK202" s="146">
        <f t="shared" si="703"/>
        <v>0</v>
      </c>
      <c r="VL202" s="1864">
        <f t="shared" si="703"/>
        <v>0</v>
      </c>
      <c r="VM202" s="460"/>
      <c r="VN202" s="2433">
        <f>(VI202+VD202+UY202+UT202+UO202+UJ202+UE202+TZ202+TU202+TP202+TK202+TF202)/12</f>
        <v>0</v>
      </c>
      <c r="VO202" s="622">
        <f t="shared" si="770"/>
        <v>0</v>
      </c>
      <c r="VP202" s="622">
        <f t="shared" si="770"/>
        <v>0</v>
      </c>
      <c r="VQ202" s="2437">
        <f t="shared" si="770"/>
        <v>0</v>
      </c>
      <c r="VR202" s="116"/>
      <c r="VS202" s="1193"/>
      <c r="VT202" s="1193"/>
      <c r="VU202" s="1193"/>
      <c r="VV202" s="1193"/>
      <c r="VW202" s="1193"/>
      <c r="VX202" s="1193"/>
      <c r="VY202" s="1193"/>
      <c r="VZ202" s="1193"/>
      <c r="WA202" s="1193"/>
      <c r="WB202" s="1193"/>
      <c r="WC202" s="1193"/>
      <c r="WD202" s="1193"/>
      <c r="WE202" s="1193"/>
      <c r="WF202" s="1193"/>
      <c r="WG202" s="1193"/>
      <c r="WH202" s="1193"/>
      <c r="WI202" s="1193"/>
      <c r="WJ202" s="1193"/>
      <c r="WK202" s="1193"/>
      <c r="WL202" s="1193"/>
      <c r="WM202" s="1193"/>
      <c r="WN202" s="1193"/>
      <c r="WO202" s="1193"/>
      <c r="WP202" s="1193"/>
      <c r="WQ202" s="1193"/>
      <c r="WR202" s="1193"/>
      <c r="WS202" s="1193"/>
      <c r="WT202" s="1193"/>
      <c r="WU202" s="1193"/>
      <c r="WV202" s="1193"/>
      <c r="WW202" s="1193"/>
      <c r="WX202" s="1193"/>
      <c r="WY202" s="1193"/>
      <c r="WZ202" s="1193"/>
      <c r="XA202" s="1193"/>
      <c r="XB202" s="1193"/>
      <c r="XC202" s="1193"/>
      <c r="XD202" s="1193"/>
      <c r="XE202" s="1193"/>
      <c r="XF202" s="1193"/>
      <c r="XG202" s="1193"/>
      <c r="XH202" s="1193"/>
      <c r="XI202" s="1193"/>
      <c r="XJ202" s="1193"/>
      <c r="XK202" s="1193"/>
      <c r="XL202" s="1193"/>
      <c r="XM202" s="1193"/>
      <c r="XN202" s="1193"/>
      <c r="XO202" s="1193"/>
      <c r="XP202" s="1193"/>
      <c r="XQ202" s="1193"/>
      <c r="XR202" s="1193"/>
      <c r="XS202" s="1193"/>
      <c r="XT202" s="1193"/>
      <c r="XU202" s="1193"/>
      <c r="XV202" s="1193"/>
      <c r="XW202" s="1193"/>
      <c r="XX202" s="1193"/>
      <c r="XY202" s="1193"/>
      <c r="XZ202" s="1193"/>
      <c r="YA202" s="1193"/>
      <c r="YB202" s="1193"/>
      <c r="YC202" s="1193"/>
      <c r="YD202" s="1193"/>
      <c r="YE202" s="1193"/>
      <c r="YF202" s="1193"/>
      <c r="YG202" s="1193"/>
      <c r="YH202" s="1193"/>
      <c r="YI202" s="1193"/>
      <c r="YJ202" s="1193"/>
      <c r="YK202" s="1193"/>
      <c r="YL202" s="1193"/>
      <c r="YM202" s="1193"/>
      <c r="YN202" s="1193"/>
      <c r="YO202" s="1193"/>
      <c r="YP202" s="1193"/>
      <c r="YQ202" s="1193"/>
      <c r="YR202" s="1193"/>
      <c r="YS202" s="1193"/>
      <c r="YT202" s="1193"/>
      <c r="YU202" s="1193"/>
      <c r="YV202" s="1193"/>
      <c r="YW202" s="1193"/>
      <c r="YX202" s="1193"/>
      <c r="YY202" s="1193"/>
      <c r="YZ202" s="1193"/>
      <c r="ZA202" s="1193"/>
      <c r="ZB202" s="1193"/>
      <c r="ZC202" s="1193"/>
      <c r="ZD202" s="1193"/>
      <c r="ZE202" s="1193"/>
      <c r="ZF202" s="1193"/>
      <c r="ZG202" s="1193"/>
      <c r="ZH202" s="1193"/>
      <c r="ZI202" s="1193"/>
      <c r="ZJ202" s="1193"/>
      <c r="ZK202" s="1193"/>
      <c r="ZL202" s="1193"/>
      <c r="ZM202" s="1193"/>
      <c r="ZN202" s="1193"/>
      <c r="ZO202" s="1193"/>
      <c r="ZP202" s="1193"/>
      <c r="ZQ202" s="1193"/>
      <c r="ZR202" s="1193"/>
      <c r="ZS202" s="1193"/>
      <c r="ZT202" s="1193"/>
      <c r="ZU202" s="1193"/>
      <c r="ZV202" s="1193"/>
      <c r="ZW202" s="1193"/>
      <c r="ZX202" s="1193"/>
      <c r="ZY202" s="1193"/>
      <c r="ZZ202" s="1193"/>
      <c r="AAA202" s="1193"/>
      <c r="AAB202" s="1193"/>
      <c r="AAC202" s="1193"/>
      <c r="AAD202" s="1193"/>
      <c r="AAE202" s="1193"/>
      <c r="AAF202" s="1193"/>
      <c r="AAG202" s="1193"/>
      <c r="AAH202" s="1193"/>
      <c r="AAI202" s="1193"/>
      <c r="AAJ202" s="1193"/>
      <c r="AAK202" s="1193"/>
      <c r="AAL202" s="1193"/>
      <c r="AAM202" s="1193"/>
      <c r="AAN202" s="1193"/>
      <c r="AAO202" s="1193"/>
      <c r="AAP202" s="1193"/>
      <c r="AAQ202" s="1193"/>
      <c r="AAR202" s="1193"/>
      <c r="AAS202" s="1193"/>
      <c r="AAT202" s="1193"/>
      <c r="AAU202" s="1193"/>
      <c r="AAV202" s="1193"/>
      <c r="AAW202" s="1193"/>
      <c r="AAX202" s="1193"/>
      <c r="AAY202" s="1193"/>
      <c r="AAZ202" s="1193"/>
      <c r="ABA202" s="1193"/>
      <c r="ABB202" s="1193"/>
      <c r="ABC202" s="1193"/>
      <c r="ABD202" s="1193"/>
      <c r="ABE202" s="1193"/>
      <c r="ABF202" s="1193"/>
      <c r="ABG202" s="1193"/>
      <c r="ABH202" s="1193"/>
      <c r="ABI202" s="1193"/>
      <c r="ABJ202" s="1193"/>
      <c r="ABK202" s="1193"/>
      <c r="ABL202" s="1193"/>
      <c r="ABM202" s="1193"/>
      <c r="ABN202" s="1193"/>
      <c r="ABO202" s="1193"/>
      <c r="ABP202" s="1193"/>
      <c r="ABQ202" s="1193"/>
    </row>
    <row r="203" spans="1:745" s="2425" customFormat="1" ht="13.45" hidden="1" x14ac:dyDescent="0.3">
      <c r="A203" s="2399"/>
      <c r="B203" s="583" t="s">
        <v>106</v>
      </c>
      <c r="C203" s="2636" t="s">
        <v>108</v>
      </c>
      <c r="D203" s="1992" t="s">
        <v>55</v>
      </c>
      <c r="E203" s="2086">
        <v>44398</v>
      </c>
      <c r="F203" s="2086">
        <v>44762</v>
      </c>
      <c r="G203" s="1994">
        <v>551000</v>
      </c>
      <c r="H203" s="3870"/>
      <c r="I203" s="3871"/>
      <c r="J203" s="3871"/>
      <c r="K203" s="3871"/>
      <c r="L203" s="3872"/>
      <c r="M203" s="3870"/>
      <c r="N203" s="3871"/>
      <c r="O203" s="3871"/>
      <c r="P203" s="3871"/>
      <c r="Q203" s="3872"/>
      <c r="R203" s="3870"/>
      <c r="S203" s="3871"/>
      <c r="T203" s="3871"/>
      <c r="U203" s="3871"/>
      <c r="V203" s="3872"/>
      <c r="W203" s="3870"/>
      <c r="X203" s="3871"/>
      <c r="Y203" s="3871"/>
      <c r="Z203" s="3871"/>
      <c r="AA203" s="3873"/>
      <c r="AB203" s="3870"/>
      <c r="AC203" s="3871"/>
      <c r="AD203" s="3871"/>
      <c r="AE203" s="3871"/>
      <c r="AF203" s="3873"/>
      <c r="AG203" s="3871"/>
      <c r="AH203" s="3871"/>
      <c r="AI203" s="3871"/>
      <c r="AJ203" s="3871"/>
      <c r="AK203" s="3872"/>
      <c r="AL203" s="3871"/>
      <c r="AM203" s="3871"/>
      <c r="AN203" s="3871"/>
      <c r="AO203" s="3871"/>
      <c r="AP203" s="3872"/>
      <c r="AQ203" s="3871"/>
      <c r="AR203" s="3871"/>
      <c r="AS203" s="3871"/>
      <c r="AT203" s="3871"/>
      <c r="AU203" s="3872"/>
      <c r="AV203" s="3874"/>
      <c r="AW203" s="3871"/>
      <c r="AX203" s="3871"/>
      <c r="AY203" s="3871"/>
      <c r="AZ203" s="3873"/>
      <c r="BA203" s="3874"/>
      <c r="BB203" s="3871"/>
      <c r="BC203" s="3871"/>
      <c r="BD203" s="3871"/>
      <c r="BE203" s="3873"/>
      <c r="BF203" s="3874"/>
      <c r="BG203" s="3871"/>
      <c r="BH203" s="3871"/>
      <c r="BI203" s="3871"/>
      <c r="BJ203" s="3873"/>
      <c r="BK203" s="3874"/>
      <c r="BL203" s="3871"/>
      <c r="BM203" s="3871"/>
      <c r="BN203" s="3871"/>
      <c r="BO203" s="3873"/>
      <c r="BP203" s="3875"/>
      <c r="BQ203" s="3871"/>
      <c r="BR203" s="3871"/>
      <c r="BS203" s="3871"/>
      <c r="BT203" s="3876"/>
      <c r="BU203" s="3871"/>
      <c r="BV203" s="3871"/>
      <c r="BW203" s="3877"/>
      <c r="BX203" s="3876"/>
      <c r="BY203" s="3871"/>
      <c r="BZ203" s="3871"/>
      <c r="CA203" s="3878"/>
      <c r="CB203" s="3871"/>
      <c r="CC203" s="3871"/>
      <c r="CD203" s="3871"/>
      <c r="CE203" s="3871"/>
      <c r="CF203" s="3876"/>
      <c r="CG203" s="3871"/>
      <c r="CH203" s="3871"/>
      <c r="CI203" s="3878"/>
      <c r="CJ203" s="3879"/>
      <c r="CK203" s="3871"/>
      <c r="CL203" s="3871"/>
      <c r="CM203" s="3871"/>
      <c r="CN203" s="3877"/>
      <c r="CO203" s="3879"/>
      <c r="CP203" s="3870"/>
      <c r="CQ203" s="3870"/>
      <c r="CR203" s="3870"/>
      <c r="CS203" s="3877"/>
      <c r="CT203" s="3879"/>
      <c r="CU203" s="3871"/>
      <c r="CV203" s="3871"/>
      <c r="CW203" s="3871"/>
      <c r="CX203" s="3877"/>
      <c r="CY203" s="3879"/>
      <c r="CZ203" s="3871"/>
      <c r="DA203" s="3871"/>
      <c r="DB203" s="3871"/>
      <c r="DC203" s="3877"/>
      <c r="DD203" s="3879"/>
      <c r="DE203" s="3871"/>
      <c r="DF203" s="3871"/>
      <c r="DG203" s="3871"/>
      <c r="DH203" s="3880"/>
      <c r="DI203" s="3879"/>
      <c r="DJ203" s="3871"/>
      <c r="DK203" s="3871"/>
      <c r="DL203" s="3871"/>
      <c r="DM203" s="3880"/>
      <c r="DN203" s="3879"/>
      <c r="DO203" s="3871"/>
      <c r="DP203" s="3871"/>
      <c r="DQ203" s="3871"/>
      <c r="DR203" s="3880"/>
      <c r="DS203" s="3879"/>
      <c r="DT203" s="3871"/>
      <c r="DU203" s="3871"/>
      <c r="DV203" s="3871"/>
      <c r="DW203" s="3880"/>
      <c r="DX203" s="3879"/>
      <c r="DY203" s="3871"/>
      <c r="DZ203" s="3871"/>
      <c r="EA203" s="3871"/>
      <c r="EB203" s="3880"/>
      <c r="EC203" s="3879"/>
      <c r="ED203" s="3871"/>
      <c r="EE203" s="3871"/>
      <c r="EF203" s="3871"/>
      <c r="EG203" s="3880"/>
      <c r="EH203" s="2108"/>
      <c r="EI203" s="1873"/>
      <c r="EJ203" s="1873"/>
      <c r="EK203" s="1873"/>
      <c r="EL203" s="3881"/>
      <c r="EM203" s="1832"/>
      <c r="EN203" s="622"/>
      <c r="EO203" s="622"/>
      <c r="EP203" s="622"/>
      <c r="EQ203" s="362"/>
      <c r="ER203" s="3791">
        <f t="shared" si="771"/>
        <v>0</v>
      </c>
      <c r="ES203" s="3792">
        <f t="shared" si="776"/>
        <v>0</v>
      </c>
      <c r="ET203" s="3792">
        <f t="shared" si="776"/>
        <v>0</v>
      </c>
      <c r="EU203" s="3792">
        <f t="shared" si="776"/>
        <v>0</v>
      </c>
      <c r="EV203" s="370" t="e">
        <f t="shared" si="777"/>
        <v>#DIV/0!</v>
      </c>
      <c r="EW203" s="3882"/>
      <c r="EX203" s="3882"/>
      <c r="EY203" s="3882"/>
      <c r="EZ203" s="3883"/>
      <c r="FA203" s="2108"/>
      <c r="FB203" s="3882"/>
      <c r="FC203" s="3882"/>
      <c r="FD203" s="1576"/>
      <c r="FE203" s="3882"/>
      <c r="FF203" s="3882"/>
      <c r="FG203" s="3882"/>
      <c r="FH203" s="3883"/>
      <c r="FI203" s="3884"/>
      <c r="FJ203" s="3885"/>
      <c r="FK203" s="3886"/>
      <c r="FL203" s="3886"/>
      <c r="FM203" s="239"/>
      <c r="FN203" s="3882"/>
      <c r="FO203" s="1873"/>
      <c r="FP203" s="1873"/>
      <c r="FQ203" s="1873"/>
      <c r="FR203" s="3887"/>
      <c r="FS203" s="1832"/>
      <c r="FT203" s="622"/>
      <c r="FU203" s="622"/>
      <c r="FV203" s="622"/>
      <c r="FW203" s="3890"/>
      <c r="FX203" s="2108"/>
      <c r="FY203" s="1873"/>
      <c r="FZ203" s="1873"/>
      <c r="GA203" s="622"/>
      <c r="GB203" s="3890"/>
      <c r="GC203" s="2108"/>
      <c r="GD203" s="1873"/>
      <c r="GE203" s="1873"/>
      <c r="GF203" s="622"/>
      <c r="GG203" s="362"/>
      <c r="GH203" s="1832"/>
      <c r="GI203" s="622"/>
      <c r="GJ203" s="622"/>
      <c r="GK203" s="3891"/>
      <c r="GL203" s="3890"/>
      <c r="GM203" s="1832"/>
      <c r="GN203" s="622"/>
      <c r="GO203" s="622"/>
      <c r="GP203" s="3891"/>
      <c r="GQ203" s="3890"/>
      <c r="GR203" s="2000"/>
      <c r="GS203" s="1317"/>
      <c r="GT203" s="1317"/>
      <c r="GU203" s="3891"/>
      <c r="GV203" s="3890"/>
      <c r="GW203" s="2000"/>
      <c r="GX203" s="1317"/>
      <c r="GY203" s="1317"/>
      <c r="GZ203" s="3891"/>
      <c r="HA203" s="3890"/>
      <c r="HB203" s="2000"/>
      <c r="HC203" s="1317"/>
      <c r="HD203" s="1317"/>
      <c r="HE203" s="3891"/>
      <c r="HF203" s="3890"/>
      <c r="HG203" s="2000"/>
      <c r="HH203" s="1317"/>
      <c r="HI203" s="1317"/>
      <c r="HJ203" s="3864"/>
      <c r="HK203" s="3890"/>
      <c r="HL203" s="2000"/>
      <c r="HM203" s="1317"/>
      <c r="HN203" s="1317"/>
      <c r="HO203" s="622"/>
      <c r="HP203" s="362"/>
      <c r="HQ203" s="3892"/>
      <c r="HR203" s="1317"/>
      <c r="HS203" s="1317"/>
      <c r="HT203" s="1317"/>
      <c r="HU203" s="3893"/>
      <c r="HV203" s="2723">
        <f t="shared" si="772"/>
        <v>0</v>
      </c>
      <c r="HW203" s="395">
        <f t="shared" si="773"/>
        <v>0</v>
      </c>
      <c r="HX203" s="395">
        <f t="shared" si="773"/>
        <v>0</v>
      </c>
      <c r="HY203" s="395">
        <f t="shared" si="773"/>
        <v>0</v>
      </c>
      <c r="HZ203" s="2890"/>
      <c r="IA203" s="1834"/>
      <c r="IB203" s="1830"/>
      <c r="IC203" s="1830"/>
      <c r="ID203" s="1831"/>
      <c r="IE203" s="1832"/>
      <c r="IF203" s="1833"/>
      <c r="IG203" s="1834"/>
      <c r="IH203" s="1831"/>
      <c r="II203" s="1829"/>
      <c r="IJ203" s="3894"/>
      <c r="IK203" s="3894"/>
      <c r="IL203" s="239"/>
      <c r="IM203" s="3955"/>
      <c r="IN203" s="3894"/>
      <c r="IO203" s="3894"/>
      <c r="IP203" s="3896"/>
      <c r="IQ203" s="1873"/>
      <c r="IR203" s="3897"/>
      <c r="IS203" s="1317"/>
      <c r="IT203" s="1317"/>
      <c r="IU203" s="3898"/>
      <c r="IV203" s="3956"/>
      <c r="IW203" s="3888"/>
      <c r="IX203" s="3889"/>
      <c r="IY203" s="3889"/>
      <c r="IZ203" s="3864"/>
      <c r="JA203" s="362"/>
      <c r="JB203" s="3900"/>
      <c r="JC203" s="3901"/>
      <c r="JD203" s="3902"/>
      <c r="JE203" s="3864"/>
      <c r="JF203" s="362"/>
      <c r="JG203" s="3900">
        <v>1</v>
      </c>
      <c r="JH203" s="622">
        <v>37000</v>
      </c>
      <c r="JI203" s="622">
        <v>71000</v>
      </c>
      <c r="JJ203" s="622">
        <f t="shared" si="778"/>
        <v>34000</v>
      </c>
      <c r="JK203" s="362">
        <f t="shared" si="779"/>
        <v>0.47887323943661969</v>
      </c>
      <c r="JL203" s="3913">
        <v>1</v>
      </c>
      <c r="JM203" s="622">
        <v>291667</v>
      </c>
      <c r="JN203" s="622">
        <v>551000</v>
      </c>
      <c r="JO203" s="3903">
        <f t="shared" si="780"/>
        <v>259333</v>
      </c>
      <c r="JP203" s="362">
        <f t="shared" si="781"/>
        <v>0.47065880217785844</v>
      </c>
      <c r="JQ203" s="3913">
        <v>1</v>
      </c>
      <c r="JR203" s="3905">
        <v>391667</v>
      </c>
      <c r="JS203" s="1317">
        <v>551000</v>
      </c>
      <c r="JT203" s="3912">
        <f>JS203-JR203</f>
        <v>159333</v>
      </c>
      <c r="JU203" s="362">
        <f>JT203/JS203</f>
        <v>0.28917059891107078</v>
      </c>
      <c r="JV203" s="3819">
        <v>1</v>
      </c>
      <c r="JW203" s="3905">
        <v>391667</v>
      </c>
      <c r="JX203" s="1317">
        <v>551000</v>
      </c>
      <c r="JY203" s="3912">
        <f>JX203-JW203</f>
        <v>159333</v>
      </c>
      <c r="JZ203" s="362">
        <f>JY203/JX203</f>
        <v>0.28917059891107078</v>
      </c>
      <c r="KA203" s="3819">
        <v>1</v>
      </c>
      <c r="KB203" s="1317">
        <v>282010</v>
      </c>
      <c r="KC203" s="1317">
        <v>534470</v>
      </c>
      <c r="KD203" s="3864">
        <f t="shared" si="782"/>
        <v>252460</v>
      </c>
      <c r="KE203" s="362">
        <f>KD203/KC203</f>
        <v>0.47235579171889908</v>
      </c>
      <c r="KF203" s="3819">
        <v>1</v>
      </c>
      <c r="KG203" s="1317">
        <v>291667</v>
      </c>
      <c r="KH203" s="1317">
        <v>551000</v>
      </c>
      <c r="KI203" s="3864">
        <f t="shared" si="783"/>
        <v>259333</v>
      </c>
      <c r="KJ203" s="362">
        <f>KI203/KH203</f>
        <v>0.47065880217785844</v>
      </c>
      <c r="KK203" s="3819">
        <v>1</v>
      </c>
      <c r="KL203" s="1317">
        <v>291667</v>
      </c>
      <c r="KM203" s="1317">
        <v>551000</v>
      </c>
      <c r="KN203" s="3864">
        <f t="shared" si="784"/>
        <v>259333</v>
      </c>
      <c r="KO203" s="362">
        <f>KN203/KM203</f>
        <v>0.47065880217785844</v>
      </c>
      <c r="KP203" s="2000">
        <v>1</v>
      </c>
      <c r="KQ203" s="1317">
        <v>291667</v>
      </c>
      <c r="KR203" s="3865">
        <v>551000</v>
      </c>
      <c r="KS203" s="1317">
        <f t="shared" si="785"/>
        <v>259333</v>
      </c>
      <c r="KT203" s="3906">
        <f>KS203/KR203</f>
        <v>0.47065880217785844</v>
      </c>
      <c r="KU203" s="3892">
        <v>1</v>
      </c>
      <c r="KV203" s="1317">
        <v>94086.129032258061</v>
      </c>
      <c r="KW203" s="3865">
        <v>177973</v>
      </c>
      <c r="KX203" s="1317">
        <f t="shared" si="786"/>
        <v>83886.870967741939</v>
      </c>
      <c r="KY203" s="3890">
        <f>KX203/KW203</f>
        <v>0.47134605230985566</v>
      </c>
      <c r="KZ203" s="1832">
        <v>1</v>
      </c>
      <c r="LA203" s="622">
        <f t="shared" si="787"/>
        <v>2363098.1290322579</v>
      </c>
      <c r="LB203" s="622">
        <f t="shared" si="787"/>
        <v>4089443</v>
      </c>
      <c r="LC203" s="622">
        <f t="shared" si="787"/>
        <v>1726344.8709677421</v>
      </c>
      <c r="LD203" s="1576">
        <f t="shared" si="788"/>
        <v>0.42214670089979051</v>
      </c>
      <c r="LE203" s="1834">
        <f t="shared" si="789"/>
        <v>0</v>
      </c>
      <c r="LF203" s="1830">
        <f t="shared" si="790"/>
        <v>0</v>
      </c>
      <c r="LG203" s="1830">
        <f t="shared" si="790"/>
        <v>0</v>
      </c>
      <c r="LH203" s="1831"/>
      <c r="LI203" s="1832">
        <f t="shared" si="791"/>
        <v>1</v>
      </c>
      <c r="LJ203" s="1833">
        <f t="shared" si="792"/>
        <v>1173000</v>
      </c>
      <c r="LK203" s="1834">
        <f t="shared" si="792"/>
        <v>452666</v>
      </c>
      <c r="LL203" s="1831">
        <f t="shared" si="793"/>
        <v>0.38590451832907074</v>
      </c>
      <c r="LM203" s="1829">
        <f t="shared" si="794"/>
        <v>1</v>
      </c>
      <c r="LN203" s="3894">
        <f t="shared" si="795"/>
        <v>1636470</v>
      </c>
      <c r="LO203" s="3894">
        <f t="shared" si="795"/>
        <v>671126</v>
      </c>
      <c r="LP203" s="239">
        <f>LO203/LN203</f>
        <v>0.41010589867214187</v>
      </c>
      <c r="LQ203" s="3907">
        <f t="shared" si="796"/>
        <v>1</v>
      </c>
      <c r="LR203" s="3894">
        <f t="shared" si="797"/>
        <v>1279973</v>
      </c>
      <c r="LS203" s="3894">
        <f t="shared" si="797"/>
        <v>602552.87096774194</v>
      </c>
      <c r="LT203" s="3896">
        <f>LS203/LR203</f>
        <v>0.47075436041833846</v>
      </c>
      <c r="LU203" s="1873"/>
      <c r="LV203" s="401"/>
      <c r="LW203" s="395">
        <v>0</v>
      </c>
      <c r="LX203" s="395">
        <v>0</v>
      </c>
      <c r="LY203" s="115">
        <f t="shared" si="798"/>
        <v>0</v>
      </c>
      <c r="LZ203" s="186"/>
      <c r="MA203" s="401"/>
      <c r="MB203" s="395">
        <v>0</v>
      </c>
      <c r="MC203" s="395">
        <v>0</v>
      </c>
      <c r="MD203" s="115">
        <f t="shared" si="799"/>
        <v>0</v>
      </c>
      <c r="ME203" s="186"/>
      <c r="MF203" s="401"/>
      <c r="MG203" s="395">
        <v>0</v>
      </c>
      <c r="MH203" s="395">
        <v>0</v>
      </c>
      <c r="MI203" s="372">
        <f t="shared" si="800"/>
        <v>0</v>
      </c>
      <c r="MJ203" s="207"/>
      <c r="MK203" s="2573"/>
      <c r="ML203" s="395">
        <v>0</v>
      </c>
      <c r="MM203" s="395">
        <v>0</v>
      </c>
      <c r="MN203" s="372">
        <f>MM203-ML203</f>
        <v>0</v>
      </c>
      <c r="MO203" s="207"/>
      <c r="MP203" s="3805"/>
      <c r="MQ203" s="1317">
        <v>0</v>
      </c>
      <c r="MR203" s="1317">
        <v>0</v>
      </c>
      <c r="MS203" s="1317">
        <f>MR203-MQ203</f>
        <v>0</v>
      </c>
      <c r="MT203" s="801"/>
      <c r="MU203" s="1318"/>
      <c r="MV203" s="395">
        <v>0</v>
      </c>
      <c r="MW203" s="395">
        <v>0</v>
      </c>
      <c r="MX203" s="395">
        <v>0</v>
      </c>
      <c r="MY203" s="801"/>
      <c r="MZ203" s="1318"/>
      <c r="NA203" s="395"/>
      <c r="NB203" s="395"/>
      <c r="NC203" s="395"/>
      <c r="ND203" s="801"/>
      <c r="NE203" s="1318"/>
      <c r="NF203" s="395"/>
      <c r="NG203" s="395"/>
      <c r="NH203" s="395"/>
      <c r="NI203" s="801"/>
      <c r="NJ203" s="1318"/>
      <c r="NK203" s="395"/>
      <c r="NL203" s="395"/>
      <c r="NM203" s="395"/>
      <c r="NN203" s="801"/>
      <c r="NO203" s="2432"/>
      <c r="NP203" s="622"/>
      <c r="NQ203" s="2437"/>
      <c r="NR203" s="395"/>
      <c r="NS203" s="801"/>
      <c r="NT203" s="2432"/>
      <c r="NU203" s="622"/>
      <c r="NV203" s="622"/>
      <c r="NW203" s="395"/>
      <c r="NX203" s="801"/>
      <c r="NY203" s="2432"/>
      <c r="NZ203" s="622"/>
      <c r="OA203" s="622"/>
      <c r="OB203" s="772"/>
      <c r="OC203" s="116"/>
      <c r="OD203" s="2433"/>
      <c r="OE203" s="622">
        <f t="shared" si="768"/>
        <v>0</v>
      </c>
      <c r="OF203" s="622">
        <f t="shared" si="768"/>
        <v>0</v>
      </c>
      <c r="OG203" s="622">
        <f t="shared" si="768"/>
        <v>0</v>
      </c>
      <c r="OH203" s="1576"/>
      <c r="OI203" s="3908">
        <f t="shared" si="801"/>
        <v>0</v>
      </c>
      <c r="OJ203" s="115">
        <f t="shared" si="802"/>
        <v>0</v>
      </c>
      <c r="OK203" s="115">
        <f t="shared" si="802"/>
        <v>0</v>
      </c>
      <c r="OL203" s="115">
        <f t="shared" si="802"/>
        <v>0</v>
      </c>
      <c r="OM203" s="116"/>
      <c r="ON203" s="622">
        <f t="shared" si="803"/>
        <v>0</v>
      </c>
      <c r="OO203" s="622">
        <f t="shared" si="804"/>
        <v>0</v>
      </c>
      <c r="OP203" s="622">
        <f t="shared" si="804"/>
        <v>0</v>
      </c>
      <c r="OQ203" s="2437">
        <f t="shared" si="804"/>
        <v>0</v>
      </c>
      <c r="OR203" s="421" t="e">
        <f>OQ203/OP203</f>
        <v>#DIV/0!</v>
      </c>
      <c r="OS203" s="3909">
        <f t="shared" si="805"/>
        <v>0</v>
      </c>
      <c r="OT203" s="3886">
        <f t="shared" si="806"/>
        <v>0</v>
      </c>
      <c r="OU203" s="3886">
        <f t="shared" si="806"/>
        <v>0</v>
      </c>
      <c r="OV203" s="3910">
        <f t="shared" si="806"/>
        <v>0</v>
      </c>
      <c r="OW203" s="421"/>
      <c r="OX203" s="2432">
        <f t="shared" si="674"/>
        <v>0</v>
      </c>
      <c r="OY203" s="622">
        <f t="shared" si="807"/>
        <v>0</v>
      </c>
      <c r="OZ203" s="622">
        <f t="shared" si="807"/>
        <v>0</v>
      </c>
      <c r="PA203" s="2437">
        <f t="shared" si="807"/>
        <v>0</v>
      </c>
      <c r="PB203" s="116"/>
      <c r="PC203" s="3886"/>
      <c r="PD203" s="401"/>
      <c r="PE203" s="395"/>
      <c r="PF203" s="395"/>
      <c r="PG203" s="115">
        <f t="shared" si="774"/>
        <v>0</v>
      </c>
      <c r="PH203" s="186"/>
      <c r="PI203" s="401"/>
      <c r="PJ203" s="395"/>
      <c r="PK203" s="395"/>
      <c r="PL203" s="115">
        <f t="shared" si="808"/>
        <v>0</v>
      </c>
      <c r="PM203" s="186"/>
      <c r="PN203" s="401"/>
      <c r="PO203" s="395"/>
      <c r="PP203" s="395"/>
      <c r="PQ203" s="372">
        <f t="shared" si="762"/>
        <v>0</v>
      </c>
      <c r="PR203" s="207"/>
      <c r="PS203" s="2891"/>
      <c r="PT203" s="2001"/>
      <c r="PU203" s="2001"/>
      <c r="PV203" s="2892">
        <f>PU203-PT203</f>
        <v>0</v>
      </c>
      <c r="PW203" s="370"/>
      <c r="PX203" s="3805"/>
      <c r="PY203" s="1317"/>
      <c r="PZ203" s="1317"/>
      <c r="QA203" s="1317">
        <f>PZ203-PY203</f>
        <v>0</v>
      </c>
      <c r="QB203" s="801"/>
      <c r="QC203" s="2002"/>
      <c r="QD203" s="2001"/>
      <c r="QE203" s="2001"/>
      <c r="QF203" s="2001">
        <v>0</v>
      </c>
      <c r="QG203" s="2003"/>
      <c r="QH203" s="401"/>
      <c r="QI203" s="395"/>
      <c r="QJ203" s="395"/>
      <c r="QK203" s="395"/>
      <c r="QL203" s="801"/>
      <c r="QM203" s="401"/>
      <c r="QN203" s="395"/>
      <c r="QO203" s="395"/>
      <c r="QP203" s="395"/>
      <c r="QQ203" s="801"/>
      <c r="QR203" s="2002"/>
      <c r="QS203" s="2001"/>
      <c r="QT203" s="2001"/>
      <c r="QU203" s="2001"/>
      <c r="QV203" s="370"/>
      <c r="QW203" s="1318"/>
      <c r="QX203" s="395"/>
      <c r="QY203" s="395"/>
      <c r="QZ203" s="395"/>
      <c r="RA203" s="2003"/>
      <c r="RB203" s="2430"/>
      <c r="RC203" s="1873"/>
      <c r="RD203" s="1873"/>
      <c r="RE203" s="2001"/>
      <c r="RF203" s="2003"/>
      <c r="RG203" s="2108"/>
      <c r="RH203" s="1873"/>
      <c r="RI203" s="1873"/>
      <c r="RJ203" s="2012"/>
      <c r="RK203" s="116"/>
      <c r="RL203" s="3717"/>
      <c r="RM203" s="1873">
        <f t="shared" si="815"/>
        <v>0</v>
      </c>
      <c r="RN203" s="1873">
        <f t="shared" si="815"/>
        <v>0</v>
      </c>
      <c r="RO203" s="1873">
        <f t="shared" si="815"/>
        <v>0</v>
      </c>
      <c r="RP203" s="1576"/>
      <c r="RQ203" s="3908">
        <f t="shared" si="722"/>
        <v>0</v>
      </c>
      <c r="RR203" s="115">
        <f t="shared" si="809"/>
        <v>0</v>
      </c>
      <c r="RS203" s="115">
        <f t="shared" si="809"/>
        <v>0</v>
      </c>
      <c r="RT203" s="115">
        <f t="shared" si="809"/>
        <v>0</v>
      </c>
      <c r="RU203" s="116"/>
      <c r="RV203" s="622">
        <f t="shared" si="810"/>
        <v>0</v>
      </c>
      <c r="RW203" s="622">
        <f t="shared" si="811"/>
        <v>0</v>
      </c>
      <c r="RX203" s="622">
        <f t="shared" si="811"/>
        <v>0</v>
      </c>
      <c r="RY203" s="2437">
        <f t="shared" si="811"/>
        <v>0</v>
      </c>
      <c r="RZ203" s="421" t="e">
        <f>RY203/RX203</f>
        <v>#DIV/0!</v>
      </c>
      <c r="SA203" s="3909">
        <f t="shared" si="748"/>
        <v>0</v>
      </c>
      <c r="SB203" s="3886">
        <f t="shared" si="812"/>
        <v>0</v>
      </c>
      <c r="SC203" s="3886">
        <f t="shared" si="812"/>
        <v>0</v>
      </c>
      <c r="SD203" s="3910">
        <f t="shared" si="812"/>
        <v>0</v>
      </c>
      <c r="SE203" s="421"/>
      <c r="SF203" s="3736"/>
      <c r="SG203" s="622">
        <f t="shared" si="769"/>
        <v>0</v>
      </c>
      <c r="SH203" s="622">
        <f t="shared" si="769"/>
        <v>0</v>
      </c>
      <c r="SI203" s="2437">
        <f t="shared" si="769"/>
        <v>0</v>
      </c>
      <c r="SJ203" s="116"/>
      <c r="SK203" s="1568"/>
      <c r="SL203" s="2445"/>
      <c r="SM203" s="2001"/>
      <c r="SN203" s="2001"/>
      <c r="SO203" s="3534">
        <f t="shared" si="775"/>
        <v>0</v>
      </c>
      <c r="SP203" s="1498"/>
      <c r="SQ203" s="2445"/>
      <c r="SR203" s="2001"/>
      <c r="SS203" s="2001"/>
      <c r="ST203" s="3534">
        <f t="shared" si="813"/>
        <v>0</v>
      </c>
      <c r="SU203" s="1498"/>
      <c r="SV203" s="401"/>
      <c r="SW203" s="395"/>
      <c r="SX203" s="395"/>
      <c r="SY203" s="372">
        <f t="shared" si="764"/>
        <v>0</v>
      </c>
      <c r="SZ203" s="207"/>
      <c r="TA203" s="2573"/>
      <c r="TB203" s="395"/>
      <c r="TC203" s="395"/>
      <c r="TD203" s="372">
        <f>TC203-TB203</f>
        <v>0</v>
      </c>
      <c r="TE203" s="207"/>
      <c r="TF203" s="2573"/>
      <c r="TG203" s="395"/>
      <c r="TH203" s="395"/>
      <c r="TI203" s="395">
        <f>TH203-TG203</f>
        <v>0</v>
      </c>
      <c r="TJ203" s="116"/>
      <c r="TK203" s="2002"/>
      <c r="TL203" s="2001"/>
      <c r="TM203" s="2001"/>
      <c r="TN203" s="2012">
        <v>0</v>
      </c>
      <c r="TO203" s="441"/>
      <c r="TP203" s="4434"/>
      <c r="TQ203" s="395"/>
      <c r="TR203" s="395"/>
      <c r="TS203" s="772"/>
      <c r="TT203" s="116"/>
      <c r="TU203" s="4464"/>
      <c r="TV203" s="2001"/>
      <c r="TW203" s="2001"/>
      <c r="TX203" s="2012"/>
      <c r="TY203" s="441"/>
      <c r="TZ203" s="2002"/>
      <c r="UA203" s="2001"/>
      <c r="UB203" s="2001"/>
      <c r="UC203" s="2012"/>
      <c r="UD203" s="441"/>
      <c r="UE203" s="2002"/>
      <c r="UF203" s="1575"/>
      <c r="UG203" s="1575"/>
      <c r="UH203" s="2552">
        <f t="shared" si="698"/>
        <v>0</v>
      </c>
      <c r="UI203" s="222" t="e">
        <f t="shared" si="699"/>
        <v>#DIV/0!</v>
      </c>
      <c r="UJ203" s="2430"/>
      <c r="UK203" s="1873"/>
      <c r="UL203" s="1873"/>
      <c r="UM203" s="2001"/>
      <c r="UN203" s="2019"/>
      <c r="UO203" s="2108"/>
      <c r="UP203" s="1873"/>
      <c r="UQ203" s="1873"/>
      <c r="UR203" s="2012"/>
      <c r="US203" s="659"/>
      <c r="UT203" s="2433"/>
      <c r="UU203" s="358">
        <f t="shared" si="700"/>
        <v>0</v>
      </c>
      <c r="UV203" s="358">
        <f t="shared" si="700"/>
        <v>0</v>
      </c>
      <c r="UW203" s="358">
        <f t="shared" si="700"/>
        <v>0</v>
      </c>
      <c r="UX203" s="220" t="e">
        <f t="shared" si="704"/>
        <v>#DIV/0!</v>
      </c>
      <c r="UY203" s="2435">
        <f t="shared" si="765"/>
        <v>0</v>
      </c>
      <c r="UZ203" s="2436">
        <f t="shared" si="766"/>
        <v>0</v>
      </c>
      <c r="VA203" s="2436">
        <f t="shared" si="766"/>
        <v>0</v>
      </c>
      <c r="VB203" s="2436">
        <f t="shared" si="766"/>
        <v>0</v>
      </c>
      <c r="VC203" s="1439"/>
      <c r="VD203" s="622">
        <f t="shared" si="814"/>
        <v>0</v>
      </c>
      <c r="VE203" s="358">
        <f t="shared" si="701"/>
        <v>0</v>
      </c>
      <c r="VF203" s="358">
        <f t="shared" si="701"/>
        <v>0</v>
      </c>
      <c r="VG203" s="359">
        <f t="shared" si="701"/>
        <v>0</v>
      </c>
      <c r="VH203" s="169" t="e">
        <f t="shared" si="702"/>
        <v>#DIV/0!</v>
      </c>
      <c r="VI203" s="2438">
        <f t="shared" si="767"/>
        <v>0</v>
      </c>
      <c r="VJ203" s="146">
        <f t="shared" si="703"/>
        <v>0</v>
      </c>
      <c r="VK203" s="146">
        <f t="shared" si="703"/>
        <v>0</v>
      </c>
      <c r="VL203" s="1864">
        <f t="shared" si="703"/>
        <v>0</v>
      </c>
      <c r="VM203" s="460"/>
      <c r="VN203" s="2433"/>
      <c r="VO203" s="622">
        <f t="shared" si="770"/>
        <v>0</v>
      </c>
      <c r="VP203" s="622">
        <f t="shared" si="770"/>
        <v>0</v>
      </c>
      <c r="VQ203" s="2437">
        <f t="shared" si="770"/>
        <v>0</v>
      </c>
      <c r="VR203" s="116"/>
      <c r="VS203" s="1193"/>
      <c r="VT203" s="1193"/>
      <c r="VU203" s="1193"/>
      <c r="VV203" s="1193"/>
      <c r="VW203" s="1193"/>
      <c r="VX203" s="1193"/>
      <c r="VY203" s="1193"/>
      <c r="VZ203" s="1193"/>
      <c r="WA203" s="1193"/>
      <c r="WB203" s="1193"/>
      <c r="WC203" s="1193"/>
      <c r="WD203" s="1193"/>
      <c r="WE203" s="1193"/>
      <c r="WF203" s="1193"/>
      <c r="WG203" s="1193"/>
      <c r="WH203" s="1193"/>
      <c r="WI203" s="1193"/>
      <c r="WJ203" s="1193"/>
      <c r="WK203" s="1193"/>
      <c r="WL203" s="1193"/>
      <c r="WM203" s="1193"/>
      <c r="WN203" s="1193"/>
      <c r="WO203" s="1193"/>
      <c r="WP203" s="1193"/>
      <c r="WQ203" s="1193"/>
      <c r="WR203" s="1193"/>
      <c r="WS203" s="1193"/>
      <c r="WT203" s="1193"/>
      <c r="WU203" s="1193"/>
      <c r="WV203" s="1193"/>
      <c r="WW203" s="1193"/>
      <c r="WX203" s="1193"/>
      <c r="WY203" s="1193"/>
      <c r="WZ203" s="1193"/>
      <c r="XA203" s="1193"/>
      <c r="XB203" s="1193"/>
      <c r="XC203" s="1193"/>
      <c r="XD203" s="1193"/>
      <c r="XE203" s="1193"/>
      <c r="XF203" s="1193"/>
      <c r="XG203" s="1193"/>
      <c r="XH203" s="1193"/>
      <c r="XI203" s="1193"/>
      <c r="XJ203" s="1193"/>
      <c r="XK203" s="1193"/>
      <c r="XL203" s="1193"/>
      <c r="XM203" s="1193"/>
      <c r="XN203" s="1193"/>
      <c r="XO203" s="1193"/>
      <c r="XP203" s="1193"/>
      <c r="XQ203" s="1193"/>
      <c r="XR203" s="1193"/>
      <c r="XS203" s="1193"/>
      <c r="XT203" s="1193"/>
      <c r="XU203" s="1193"/>
      <c r="XV203" s="1193"/>
      <c r="XW203" s="1193"/>
      <c r="XX203" s="1193"/>
      <c r="XY203" s="1193"/>
      <c r="XZ203" s="1193"/>
      <c r="YA203" s="1193"/>
      <c r="YB203" s="1193"/>
      <c r="YC203" s="1193"/>
      <c r="YD203" s="1193"/>
      <c r="YE203" s="1193"/>
      <c r="YF203" s="1193"/>
      <c r="YG203" s="1193"/>
      <c r="YH203" s="1193"/>
      <c r="YI203" s="1193"/>
      <c r="YJ203" s="1193"/>
      <c r="YK203" s="1193"/>
      <c r="YL203" s="1193"/>
      <c r="YM203" s="1193"/>
      <c r="YN203" s="1193"/>
      <c r="YO203" s="1193"/>
      <c r="YP203" s="1193"/>
      <c r="YQ203" s="1193"/>
      <c r="YR203" s="1193"/>
      <c r="YS203" s="1193"/>
      <c r="YT203" s="1193"/>
      <c r="YU203" s="1193"/>
      <c r="YV203" s="1193"/>
      <c r="YW203" s="1193"/>
      <c r="YX203" s="1193"/>
      <c r="YY203" s="1193"/>
      <c r="YZ203" s="1193"/>
      <c r="ZA203" s="1193"/>
      <c r="ZB203" s="1193"/>
      <c r="ZC203" s="1193"/>
      <c r="ZD203" s="1193"/>
      <c r="ZE203" s="1193"/>
      <c r="ZF203" s="1193"/>
      <c r="ZG203" s="1193"/>
      <c r="ZH203" s="1193"/>
      <c r="ZI203" s="1193"/>
      <c r="ZJ203" s="1193"/>
      <c r="ZK203" s="1193"/>
      <c r="ZL203" s="1193"/>
      <c r="ZM203" s="1193"/>
      <c r="ZN203" s="1193"/>
      <c r="ZO203" s="1193"/>
      <c r="ZP203" s="1193"/>
      <c r="ZQ203" s="1193"/>
      <c r="ZR203" s="1193"/>
      <c r="ZS203" s="1193"/>
      <c r="ZT203" s="1193"/>
      <c r="ZU203" s="1193"/>
      <c r="ZV203" s="1193"/>
      <c r="ZW203" s="1193"/>
      <c r="ZX203" s="1193"/>
      <c r="ZY203" s="1193"/>
      <c r="ZZ203" s="1193"/>
      <c r="AAA203" s="1193"/>
      <c r="AAB203" s="1193"/>
      <c r="AAC203" s="1193"/>
      <c r="AAD203" s="1193"/>
      <c r="AAE203" s="1193"/>
      <c r="AAF203" s="1193"/>
      <c r="AAG203" s="1193"/>
      <c r="AAH203" s="1193"/>
      <c r="AAI203" s="1193"/>
      <c r="AAJ203" s="1193"/>
      <c r="AAK203" s="1193"/>
      <c r="AAL203" s="1193"/>
      <c r="AAM203" s="1193"/>
      <c r="AAN203" s="1193"/>
      <c r="AAO203" s="1193"/>
      <c r="AAP203" s="1193"/>
      <c r="AAQ203" s="1193"/>
      <c r="AAR203" s="1193"/>
      <c r="AAS203" s="1193"/>
      <c r="AAT203" s="1193"/>
      <c r="AAU203" s="1193"/>
      <c r="AAV203" s="1193"/>
      <c r="AAW203" s="1193"/>
      <c r="AAX203" s="1193"/>
      <c r="AAY203" s="1193"/>
      <c r="AAZ203" s="1193"/>
      <c r="ABA203" s="1193"/>
      <c r="ABB203" s="1193"/>
      <c r="ABC203" s="1193"/>
      <c r="ABD203" s="1193"/>
      <c r="ABE203" s="1193"/>
      <c r="ABF203" s="1193"/>
      <c r="ABG203" s="1193"/>
      <c r="ABH203" s="1193"/>
      <c r="ABI203" s="1193"/>
      <c r="ABJ203" s="1193"/>
      <c r="ABK203" s="1193"/>
      <c r="ABL203" s="1193"/>
      <c r="ABM203" s="1193"/>
      <c r="ABN203" s="1193"/>
      <c r="ABO203" s="1193"/>
      <c r="ABP203" s="1193"/>
      <c r="ABQ203" s="1193"/>
    </row>
    <row r="204" spans="1:745" s="2425" customFormat="1" ht="13.45" hidden="1" x14ac:dyDescent="0.3">
      <c r="A204" s="2399"/>
      <c r="B204" s="401" t="s">
        <v>103</v>
      </c>
      <c r="C204" s="3926" t="s">
        <v>104</v>
      </c>
      <c r="D204" s="1992" t="s">
        <v>105</v>
      </c>
      <c r="E204" s="2006">
        <v>44546</v>
      </c>
      <c r="F204" s="2006">
        <v>44910</v>
      </c>
      <c r="G204" s="1994">
        <v>240000</v>
      </c>
      <c r="H204" s="3927"/>
      <c r="I204" s="3928"/>
      <c r="J204" s="3928"/>
      <c r="K204" s="3928"/>
      <c r="L204" s="3929"/>
      <c r="M204" s="3930"/>
      <c r="N204" s="3928"/>
      <c r="O204" s="3928"/>
      <c r="P204" s="3928"/>
      <c r="Q204" s="3929"/>
      <c r="R204" s="3930"/>
      <c r="S204" s="3928"/>
      <c r="T204" s="3928"/>
      <c r="U204" s="3928"/>
      <c r="V204" s="3929"/>
      <c r="W204" s="3930"/>
      <c r="X204" s="3928"/>
      <c r="Y204" s="3928"/>
      <c r="Z204" s="3928"/>
      <c r="AA204" s="3931"/>
      <c r="AB204" s="3930"/>
      <c r="AC204" s="3928"/>
      <c r="AD204" s="3928"/>
      <c r="AE204" s="3928"/>
      <c r="AF204" s="3931"/>
      <c r="AG204" s="3928"/>
      <c r="AH204" s="3928"/>
      <c r="AI204" s="3928"/>
      <c r="AJ204" s="3928"/>
      <c r="AK204" s="3929"/>
      <c r="AL204" s="3928"/>
      <c r="AM204" s="3928"/>
      <c r="AN204" s="3928"/>
      <c r="AO204" s="3928"/>
      <c r="AP204" s="3929"/>
      <c r="AQ204" s="3928"/>
      <c r="AR204" s="3928"/>
      <c r="AS204" s="3928"/>
      <c r="AT204" s="3928"/>
      <c r="AU204" s="3929"/>
      <c r="AV204" s="3932"/>
      <c r="AW204" s="3928"/>
      <c r="AX204" s="3928"/>
      <c r="AY204" s="3928"/>
      <c r="AZ204" s="3931"/>
      <c r="BA204" s="3932"/>
      <c r="BB204" s="3928"/>
      <c r="BC204" s="3928"/>
      <c r="BD204" s="3928"/>
      <c r="BE204" s="3931"/>
      <c r="BF204" s="3932"/>
      <c r="BG204" s="3928"/>
      <c r="BH204" s="3928"/>
      <c r="BI204" s="3928"/>
      <c r="BJ204" s="3931"/>
      <c r="BK204" s="3932"/>
      <c r="BL204" s="3928"/>
      <c r="BM204" s="3928"/>
      <c r="BN204" s="3928"/>
      <c r="BO204" s="3933"/>
      <c r="BP204" s="3934"/>
      <c r="BQ204" s="3928"/>
      <c r="BR204" s="3928"/>
      <c r="BS204" s="3935"/>
      <c r="BT204" s="3936"/>
      <c r="BU204" s="3928"/>
      <c r="BV204" s="3928"/>
      <c r="BW204" s="3937"/>
      <c r="BX204" s="3936"/>
      <c r="BY204" s="3928"/>
      <c r="BZ204" s="3928"/>
      <c r="CA204" s="3938"/>
      <c r="CB204" s="3939"/>
      <c r="CC204" s="3928"/>
      <c r="CD204" s="3928"/>
      <c r="CE204" s="3935"/>
      <c r="CF204" s="3936"/>
      <c r="CG204" s="3928"/>
      <c r="CH204" s="3928"/>
      <c r="CI204" s="3938"/>
      <c r="CJ204" s="3940"/>
      <c r="CK204" s="3928"/>
      <c r="CL204" s="3928"/>
      <c r="CM204" s="3928"/>
      <c r="CN204" s="3937"/>
      <c r="CO204" s="3940"/>
      <c r="CP204" s="3930"/>
      <c r="CQ204" s="3930"/>
      <c r="CR204" s="3930"/>
      <c r="CS204" s="3937"/>
      <c r="CT204" s="3940"/>
      <c r="CU204" s="3928"/>
      <c r="CV204" s="3928"/>
      <c r="CW204" s="3928"/>
      <c r="CX204" s="3937"/>
      <c r="CY204" s="3940"/>
      <c r="CZ204" s="3928"/>
      <c r="DA204" s="3928"/>
      <c r="DB204" s="3928"/>
      <c r="DC204" s="3937"/>
      <c r="DD204" s="3940"/>
      <c r="DE204" s="3928"/>
      <c r="DF204" s="3928"/>
      <c r="DG204" s="3928"/>
      <c r="DH204" s="3941"/>
      <c r="DI204" s="3940"/>
      <c r="DJ204" s="3928"/>
      <c r="DK204" s="3928"/>
      <c r="DL204" s="3928"/>
      <c r="DM204" s="3941"/>
      <c r="DN204" s="3940"/>
      <c r="DO204" s="3928"/>
      <c r="DP204" s="3928"/>
      <c r="DQ204" s="3928"/>
      <c r="DR204" s="3941"/>
      <c r="DS204" s="3940"/>
      <c r="DT204" s="3928"/>
      <c r="DU204" s="3928"/>
      <c r="DV204" s="3928"/>
      <c r="DW204" s="3941"/>
      <c r="DX204" s="3940"/>
      <c r="DY204" s="3928"/>
      <c r="DZ204" s="3928"/>
      <c r="EA204" s="3928"/>
      <c r="EB204" s="3941"/>
      <c r="EC204" s="3957" t="s">
        <v>866</v>
      </c>
      <c r="ED204" s="3891">
        <f>301156</f>
        <v>301156</v>
      </c>
      <c r="EE204" s="3891">
        <f>296875</f>
        <v>296875</v>
      </c>
      <c r="EF204" s="3891">
        <f>EE204-ED204</f>
        <v>-4281</v>
      </c>
      <c r="EG204" s="3890">
        <f>EF204/EE204</f>
        <v>-1.4420210526315789E-2</v>
      </c>
      <c r="EH204" s="3957" t="s">
        <v>756</v>
      </c>
      <c r="EI204" s="3891">
        <f>550942</f>
        <v>550942</v>
      </c>
      <c r="EJ204" s="3891">
        <f>432742</f>
        <v>432742</v>
      </c>
      <c r="EK204" s="3891">
        <f>EJ204-EI204</f>
        <v>-118200</v>
      </c>
      <c r="EL204" s="3890">
        <f>EK204/EJ204</f>
        <v>-0.27314196449616629</v>
      </c>
      <c r="EM204" s="3958">
        <v>3</v>
      </c>
      <c r="EN204" s="3891">
        <f>399746</f>
        <v>399746</v>
      </c>
      <c r="EO204" s="3891">
        <f>556477</f>
        <v>556477</v>
      </c>
      <c r="EP204" s="3891">
        <f>EO204-EN204</f>
        <v>156731</v>
      </c>
      <c r="EQ204" s="3890">
        <f>EP204/EO204</f>
        <v>0.28164865753660978</v>
      </c>
      <c r="ER204" s="3791">
        <f t="shared" si="771"/>
        <v>0.91666666666666663</v>
      </c>
      <c r="ES204" s="3792">
        <f t="shared" si="776"/>
        <v>1251844</v>
      </c>
      <c r="ET204" s="3792">
        <f t="shared" si="776"/>
        <v>1286094</v>
      </c>
      <c r="EU204" s="3792">
        <f t="shared" si="776"/>
        <v>34250</v>
      </c>
      <c r="EV204" s="370">
        <f t="shared" si="777"/>
        <v>2.6631023859842281E-2</v>
      </c>
      <c r="EW204" s="3882"/>
      <c r="EX204" s="3882"/>
      <c r="EY204" s="3882"/>
      <c r="EZ204" s="3883"/>
      <c r="FA204" s="3942"/>
      <c r="FB204" s="3946"/>
      <c r="FC204" s="3946"/>
      <c r="FD204" s="3947"/>
      <c r="FE204" s="3948"/>
      <c r="FF204" s="3952">
        <f>DP204+DU204+DZ204</f>
        <v>0</v>
      </c>
      <c r="FG204" s="3952">
        <f>DQ204+DV204+EA204</f>
        <v>0</v>
      </c>
      <c r="FH204" s="3959"/>
      <c r="FI204" s="3950">
        <f>(EC204+EH204+EM204)/3</f>
        <v>3.6666666666666665</v>
      </c>
      <c r="FJ204" s="3951"/>
      <c r="FK204" s="3952">
        <f>EE204+EJ204+EO204</f>
        <v>1286094</v>
      </c>
      <c r="FL204" s="3952">
        <f>EF204+EK204+EP204</f>
        <v>34250</v>
      </c>
      <c r="FM204" s="3953">
        <f>FL204/FK204</f>
        <v>2.6631023859842281E-2</v>
      </c>
      <c r="FN204" s="3960">
        <v>3</v>
      </c>
      <c r="FO204" s="3891">
        <f>399746</f>
        <v>399746</v>
      </c>
      <c r="FP204" s="3891">
        <f>556477</f>
        <v>556477</v>
      </c>
      <c r="FQ204" s="3891">
        <f>FP204-FO204</f>
        <v>156731</v>
      </c>
      <c r="FR204" s="3899">
        <f>FQ204/FP204</f>
        <v>0.28164865753660978</v>
      </c>
      <c r="FS204" s="3945">
        <v>4</v>
      </c>
      <c r="FT204" s="3891">
        <v>446563</v>
      </c>
      <c r="FU204" s="3891">
        <f>632527</f>
        <v>632527</v>
      </c>
      <c r="FV204" s="3891">
        <f>FU204-FT204</f>
        <v>185964</v>
      </c>
      <c r="FW204" s="3890">
        <f>FV204/FU204</f>
        <v>0.29400167897971152</v>
      </c>
      <c r="FX204" s="2108">
        <v>4</v>
      </c>
      <c r="FY204" s="1873">
        <f>471240</f>
        <v>471240</v>
      </c>
      <c r="FZ204" s="1873">
        <f>673477</f>
        <v>673477</v>
      </c>
      <c r="GA204" s="3891">
        <f>FZ204-FY204</f>
        <v>202237</v>
      </c>
      <c r="GB204" s="3890">
        <f>GA204/FZ204</f>
        <v>0.30028790886696949</v>
      </c>
      <c r="GC204" s="1832">
        <v>4</v>
      </c>
      <c r="GD204" s="622">
        <v>471240</v>
      </c>
      <c r="GE204" s="622">
        <v>674177</v>
      </c>
      <c r="GF204" s="3891">
        <f>GE204-GD204</f>
        <v>202937</v>
      </c>
      <c r="GG204" s="3890">
        <f>GF204/GE204</f>
        <v>0.30101442202863637</v>
      </c>
      <c r="GH204" s="1832">
        <v>4</v>
      </c>
      <c r="GI204" s="622">
        <f>425071</f>
        <v>425071</v>
      </c>
      <c r="GJ204" s="622">
        <f>604837</f>
        <v>604837</v>
      </c>
      <c r="GK204" s="3891">
        <f>GJ204-GI204</f>
        <v>179766</v>
      </c>
      <c r="GL204" s="3890">
        <f>GK204/GJ204</f>
        <v>0.29721396012479395</v>
      </c>
      <c r="GM204" s="1832">
        <v>3</v>
      </c>
      <c r="GN204" s="622">
        <v>399746</v>
      </c>
      <c r="GO204" s="622">
        <v>556477</v>
      </c>
      <c r="GP204" s="3891">
        <f>GO204-GN204</f>
        <v>156731</v>
      </c>
      <c r="GQ204" s="3890">
        <f>GP204/GO204</f>
        <v>0.28164865753660978</v>
      </c>
      <c r="GR204" s="2000">
        <v>3</v>
      </c>
      <c r="GS204" s="1317">
        <v>316951</v>
      </c>
      <c r="GT204" s="1317">
        <f>452936</f>
        <v>452936</v>
      </c>
      <c r="GU204" s="3891">
        <f>GT204-GS204</f>
        <v>135985</v>
      </c>
      <c r="GV204" s="3890">
        <f>GU204/GT204</f>
        <v>0.30023005457724711</v>
      </c>
      <c r="GW204" s="2000">
        <v>2</v>
      </c>
      <c r="GX204" s="1317">
        <v>283080</v>
      </c>
      <c r="GY204" s="1317">
        <v>393844</v>
      </c>
      <c r="GZ204" s="3891">
        <f>GY204-GX204</f>
        <v>110764</v>
      </c>
      <c r="HA204" s="3890">
        <f>GZ204/GY204</f>
        <v>0.28123825677171671</v>
      </c>
      <c r="HB204" s="2000">
        <v>2</v>
      </c>
      <c r="HC204" s="1317">
        <v>283080</v>
      </c>
      <c r="HD204" s="1317">
        <v>403444</v>
      </c>
      <c r="HE204" s="3891">
        <f>HD204-HC204</f>
        <v>120364</v>
      </c>
      <c r="HF204" s="3890">
        <f>HE204/HD204</f>
        <v>0.29834128156571915</v>
      </c>
      <c r="HG204" s="2000">
        <v>2</v>
      </c>
      <c r="HH204" s="1317">
        <v>283080</v>
      </c>
      <c r="HI204" s="1317">
        <v>403444</v>
      </c>
      <c r="HJ204" s="3864">
        <f>HI204-HH204</f>
        <v>120364</v>
      </c>
      <c r="HK204" s="3890">
        <f>HJ204/HI204</f>
        <v>0.29834128156571915</v>
      </c>
      <c r="HL204" s="2000">
        <v>2</v>
      </c>
      <c r="HM204" s="1317">
        <v>283080</v>
      </c>
      <c r="HN204" s="3865">
        <f>78496.24+240000</f>
        <v>318496.24</v>
      </c>
      <c r="HO204" s="1317">
        <f>HN204-HM204</f>
        <v>35416.239999999991</v>
      </c>
      <c r="HP204" s="362">
        <f>HO204/HN204</f>
        <v>0.11119829860471819</v>
      </c>
      <c r="HQ204" s="3892">
        <v>1</v>
      </c>
      <c r="HR204" s="1317">
        <v>180000</v>
      </c>
      <c r="HS204" s="3865">
        <v>240000</v>
      </c>
      <c r="HT204" s="1317">
        <f>HS204-HR204</f>
        <v>60000</v>
      </c>
      <c r="HU204" s="3893">
        <f>HT204/HS204</f>
        <v>0.25</v>
      </c>
      <c r="HV204" s="2723">
        <f t="shared" si="772"/>
        <v>2.8333333333333335</v>
      </c>
      <c r="HW204" s="395">
        <f t="shared" si="773"/>
        <v>4242877</v>
      </c>
      <c r="HX204" s="395">
        <f t="shared" si="773"/>
        <v>5910136.2400000002</v>
      </c>
      <c r="HY204" s="395">
        <f t="shared" si="773"/>
        <v>1667259.24</v>
      </c>
      <c r="HZ204" s="2890"/>
      <c r="IA204" s="1834">
        <f>(FN204+FS204+FX204)/3</f>
        <v>3.6666666666666665</v>
      </c>
      <c r="IB204" s="1830">
        <f t="shared" ref="IB204:IC207" si="816">FP204+FU204+FZ204</f>
        <v>1862481</v>
      </c>
      <c r="IC204" s="1830">
        <f t="shared" si="816"/>
        <v>544932</v>
      </c>
      <c r="ID204" s="1831">
        <f>IC204/IB204</f>
        <v>0.29258392434607389</v>
      </c>
      <c r="IE204" s="1832">
        <f>(GC204+GH204+GM204)/3</f>
        <v>3.6666666666666665</v>
      </c>
      <c r="IF204" s="1833">
        <f t="shared" ref="IF204:IG207" si="817">(GE204+GJ204+GO204)</f>
        <v>1835491</v>
      </c>
      <c r="IG204" s="1834">
        <f t="shared" si="817"/>
        <v>539434</v>
      </c>
      <c r="IH204" s="1831">
        <f>IG204/IF204</f>
        <v>0.29389084446614011</v>
      </c>
      <c r="II204" s="1829">
        <f>(GR204+GW204+HB204)/3</f>
        <v>2.3333333333333335</v>
      </c>
      <c r="IJ204" s="3894">
        <f t="shared" ref="IJ204:IK207" si="818">(GT204+GY204+HD204)</f>
        <v>1250224</v>
      </c>
      <c r="IK204" s="3894">
        <f t="shared" si="818"/>
        <v>367113</v>
      </c>
      <c r="IL204" s="239">
        <f>IK204/IJ204</f>
        <v>0.29363778010980435</v>
      </c>
      <c r="IM204" s="3895">
        <f>(HB204+HG204+HL204)/3</f>
        <v>2</v>
      </c>
      <c r="IN204" s="3894">
        <f t="shared" ref="IN204:IO207" si="819">(HI204+HN204+HS204)</f>
        <v>961940.24</v>
      </c>
      <c r="IO204" s="3894">
        <f t="shared" si="819"/>
        <v>215780.24</v>
      </c>
      <c r="IP204" s="3896">
        <f>IO204/IN204</f>
        <v>0.22431771853103888</v>
      </c>
      <c r="IQ204" s="1873"/>
      <c r="IR204" s="3961">
        <v>1</v>
      </c>
      <c r="IS204" s="1317">
        <v>180000</v>
      </c>
      <c r="IT204" s="1317">
        <v>240000</v>
      </c>
      <c r="IU204" s="3898">
        <f>IT204-IS204</f>
        <v>60000</v>
      </c>
      <c r="IV204" s="3899">
        <f>IU204/IT204</f>
        <v>0.25</v>
      </c>
      <c r="IW204" s="3888">
        <v>1</v>
      </c>
      <c r="IX204" s="3889">
        <v>180000</v>
      </c>
      <c r="IY204" s="3889">
        <v>232800</v>
      </c>
      <c r="IZ204" s="3864">
        <f>IY204-IX204</f>
        <v>52800</v>
      </c>
      <c r="JA204" s="362">
        <f>IZ204/IY204</f>
        <v>0.22680412371134021</v>
      </c>
      <c r="JB204" s="3900">
        <v>1</v>
      </c>
      <c r="JC204" s="3901">
        <v>180000</v>
      </c>
      <c r="JD204" s="3902">
        <v>240000</v>
      </c>
      <c r="JE204" s="3864">
        <f>JD204-JC204</f>
        <v>60000</v>
      </c>
      <c r="JF204" s="362">
        <f>JE204/JD204</f>
        <v>0.25</v>
      </c>
      <c r="JG204" s="3900">
        <v>1</v>
      </c>
      <c r="JH204" s="622">
        <v>180000</v>
      </c>
      <c r="JI204" s="622">
        <v>240000</v>
      </c>
      <c r="JJ204" s="622">
        <f t="shared" si="778"/>
        <v>60000</v>
      </c>
      <c r="JK204" s="362">
        <f t="shared" si="779"/>
        <v>0.25</v>
      </c>
      <c r="JL204" s="3913">
        <v>1</v>
      </c>
      <c r="JM204" s="622">
        <v>180000</v>
      </c>
      <c r="JN204" s="622">
        <v>240000</v>
      </c>
      <c r="JO204" s="3903">
        <f t="shared" si="780"/>
        <v>60000</v>
      </c>
      <c r="JP204" s="362">
        <f t="shared" si="781"/>
        <v>0.25</v>
      </c>
      <c r="JQ204" s="3913">
        <v>1</v>
      </c>
      <c r="JR204" s="3905">
        <v>180000</v>
      </c>
      <c r="JS204" s="1317">
        <v>240000</v>
      </c>
      <c r="JT204" s="3912">
        <f>JS204-JR204</f>
        <v>60000</v>
      </c>
      <c r="JU204" s="362">
        <f>JT204/JS204</f>
        <v>0.25</v>
      </c>
      <c r="JV204" s="658">
        <v>1</v>
      </c>
      <c r="JW204" s="3905">
        <v>180000</v>
      </c>
      <c r="JX204" s="1317">
        <v>240000</v>
      </c>
      <c r="JY204" s="3903">
        <f>JX204-JW204</f>
        <v>60000</v>
      </c>
      <c r="JZ204" s="3890">
        <f>JY204/JX204</f>
        <v>0.25</v>
      </c>
      <c r="KA204" s="3819">
        <v>1</v>
      </c>
      <c r="KB204" s="1317">
        <v>180000</v>
      </c>
      <c r="KC204" s="1317">
        <v>232800</v>
      </c>
      <c r="KD204" s="3864">
        <f t="shared" si="782"/>
        <v>52800</v>
      </c>
      <c r="KE204" s="362">
        <f>KD204/KC204</f>
        <v>0.22680412371134021</v>
      </c>
      <c r="KF204" s="3819">
        <v>1</v>
      </c>
      <c r="KG204" s="1317">
        <v>180000</v>
      </c>
      <c r="KH204" s="1317">
        <v>232800</v>
      </c>
      <c r="KI204" s="3864">
        <f t="shared" si="783"/>
        <v>52800</v>
      </c>
      <c r="KJ204" s="362">
        <f>KI204/KH204</f>
        <v>0.22680412371134021</v>
      </c>
      <c r="KK204" s="3819">
        <v>1</v>
      </c>
      <c r="KL204" s="1317">
        <v>180000</v>
      </c>
      <c r="KM204" s="1317">
        <v>208800</v>
      </c>
      <c r="KN204" s="3864">
        <f t="shared" si="784"/>
        <v>28800</v>
      </c>
      <c r="KO204" s="3890">
        <f>KN204/KM204</f>
        <v>0.13793103448275862</v>
      </c>
      <c r="KP204" s="2000">
        <v>1</v>
      </c>
      <c r="KQ204" s="1317">
        <v>180000</v>
      </c>
      <c r="KR204" s="3865">
        <v>230400</v>
      </c>
      <c r="KS204" s="1317">
        <f t="shared" si="785"/>
        <v>50400</v>
      </c>
      <c r="KT204" s="3906">
        <f>KS204/KR204</f>
        <v>0.21875</v>
      </c>
      <c r="KU204" s="3892">
        <v>1</v>
      </c>
      <c r="KV204" s="1317">
        <v>180000</v>
      </c>
      <c r="KW204" s="3865">
        <v>232800</v>
      </c>
      <c r="KX204" s="1317">
        <f t="shared" si="786"/>
        <v>52800</v>
      </c>
      <c r="KY204" s="362">
        <f>KX204/KW204</f>
        <v>0.22680412371134021</v>
      </c>
      <c r="KZ204" s="1832">
        <v>1</v>
      </c>
      <c r="LA204" s="622">
        <f t="shared" si="787"/>
        <v>2160000</v>
      </c>
      <c r="LB204" s="622">
        <f t="shared" si="787"/>
        <v>2810400</v>
      </c>
      <c r="LC204" s="622">
        <f t="shared" si="787"/>
        <v>650400</v>
      </c>
      <c r="LD204" s="1576">
        <f t="shared" si="788"/>
        <v>0.2314261315115286</v>
      </c>
      <c r="LE204" s="1834">
        <f t="shared" si="789"/>
        <v>1</v>
      </c>
      <c r="LF204" s="1830">
        <f t="shared" si="790"/>
        <v>712800</v>
      </c>
      <c r="LG204" s="1830">
        <f t="shared" si="790"/>
        <v>172800</v>
      </c>
      <c r="LH204" s="1831">
        <f>LG204/LF204</f>
        <v>0.24242424242424243</v>
      </c>
      <c r="LI204" s="1832">
        <f t="shared" si="791"/>
        <v>1</v>
      </c>
      <c r="LJ204" s="1833">
        <f t="shared" si="792"/>
        <v>720000</v>
      </c>
      <c r="LK204" s="1834">
        <f t="shared" si="792"/>
        <v>180000</v>
      </c>
      <c r="LL204" s="1831">
        <f t="shared" si="793"/>
        <v>0.25</v>
      </c>
      <c r="LM204" s="1829">
        <f t="shared" si="794"/>
        <v>1</v>
      </c>
      <c r="LN204" s="3894">
        <f t="shared" si="795"/>
        <v>705600</v>
      </c>
      <c r="LO204" s="3894">
        <f t="shared" si="795"/>
        <v>165600</v>
      </c>
      <c r="LP204" s="239">
        <f>LO204/LN204</f>
        <v>0.23469387755102042</v>
      </c>
      <c r="LQ204" s="3907">
        <f t="shared" si="796"/>
        <v>1</v>
      </c>
      <c r="LR204" s="3894">
        <f t="shared" si="797"/>
        <v>672000</v>
      </c>
      <c r="LS204" s="3894">
        <f t="shared" si="797"/>
        <v>132000</v>
      </c>
      <c r="LT204" s="3896">
        <f>LS204/LR204</f>
        <v>0.19642857142857142</v>
      </c>
      <c r="LU204" s="1873"/>
      <c r="LV204" s="401">
        <v>1</v>
      </c>
      <c r="LW204" s="395">
        <v>180000</v>
      </c>
      <c r="LX204" s="395">
        <v>232800</v>
      </c>
      <c r="LY204" s="115">
        <f t="shared" si="798"/>
        <v>52800</v>
      </c>
      <c r="LZ204" s="186">
        <f>LY204/LX204</f>
        <v>0.22680412371134021</v>
      </c>
      <c r="MA204" s="401">
        <v>1</v>
      </c>
      <c r="MB204" s="395">
        <v>180000</v>
      </c>
      <c r="MC204" s="395">
        <v>240000</v>
      </c>
      <c r="MD204" s="115">
        <f t="shared" si="799"/>
        <v>60000</v>
      </c>
      <c r="ME204" s="186">
        <f>MD204/MC204</f>
        <v>0.25</v>
      </c>
      <c r="MF204" s="401">
        <v>1</v>
      </c>
      <c r="MG204" s="395">
        <v>120000</v>
      </c>
      <c r="MH204" s="395">
        <v>160800</v>
      </c>
      <c r="MI204" s="372">
        <f t="shared" si="800"/>
        <v>40800</v>
      </c>
      <c r="MJ204" s="207">
        <f>MI204/MH204</f>
        <v>0.2537313432835821</v>
      </c>
      <c r="MK204" s="2573"/>
      <c r="ML204" s="395">
        <v>0</v>
      </c>
      <c r="MM204" s="395">
        <v>0</v>
      </c>
      <c r="MN204" s="372">
        <v>0</v>
      </c>
      <c r="MO204" s="207"/>
      <c r="MP204" s="3805"/>
      <c r="MQ204" s="1317"/>
      <c r="MR204" s="1317"/>
      <c r="MS204" s="1317"/>
      <c r="MT204" s="801"/>
      <c r="MU204" s="2002"/>
      <c r="MV204" s="2001"/>
      <c r="MW204" s="2001"/>
      <c r="MX204" s="2001"/>
      <c r="MY204" s="2003"/>
      <c r="MZ204" s="2002"/>
      <c r="NA204" s="2001"/>
      <c r="NB204" s="2001"/>
      <c r="NC204" s="2001"/>
      <c r="ND204" s="2003"/>
      <c r="NE204" s="1318"/>
      <c r="NF204" s="395"/>
      <c r="NG204" s="395"/>
      <c r="NH204" s="395"/>
      <c r="NI204" s="801"/>
      <c r="NJ204" s="1318"/>
      <c r="NK204" s="395"/>
      <c r="NL204" s="395"/>
      <c r="NM204" s="395"/>
      <c r="NN204" s="801"/>
      <c r="NO204" s="2430"/>
      <c r="NP204" s="1873"/>
      <c r="NQ204" s="2431"/>
      <c r="NR204" s="2001"/>
      <c r="NS204" s="801"/>
      <c r="NT204" s="2432"/>
      <c r="NU204" s="622"/>
      <c r="NV204" s="622"/>
      <c r="NW204" s="395"/>
      <c r="NX204" s="801"/>
      <c r="NY204" s="2432"/>
      <c r="NZ204" s="622"/>
      <c r="OA204" s="622"/>
      <c r="OB204" s="772"/>
      <c r="OC204" s="116"/>
      <c r="OD204" s="2433"/>
      <c r="OE204" s="622">
        <f t="shared" si="768"/>
        <v>480000</v>
      </c>
      <c r="OF204" s="622">
        <f t="shared" si="768"/>
        <v>633600</v>
      </c>
      <c r="OG204" s="622">
        <f t="shared" si="768"/>
        <v>153600</v>
      </c>
      <c r="OH204" s="1576">
        <f>OG204/OF204</f>
        <v>0.24242424242424243</v>
      </c>
      <c r="OI204" s="3908">
        <f t="shared" si="801"/>
        <v>1</v>
      </c>
      <c r="OJ204" s="115">
        <f t="shared" si="802"/>
        <v>480000</v>
      </c>
      <c r="OK204" s="115">
        <f t="shared" si="802"/>
        <v>633600</v>
      </c>
      <c r="OL204" s="115">
        <f t="shared" si="802"/>
        <v>153600</v>
      </c>
      <c r="OM204" s="116">
        <f>OL204/OK204</f>
        <v>0.24242424242424243</v>
      </c>
      <c r="ON204" s="622">
        <f t="shared" si="803"/>
        <v>0</v>
      </c>
      <c r="OO204" s="622">
        <f t="shared" si="804"/>
        <v>0</v>
      </c>
      <c r="OP204" s="622">
        <f t="shared" si="804"/>
        <v>0</v>
      </c>
      <c r="OQ204" s="2437">
        <f t="shared" si="804"/>
        <v>0</v>
      </c>
      <c r="OR204" s="421" t="e">
        <f>OQ204/OP204</f>
        <v>#DIV/0!</v>
      </c>
      <c r="OS204" s="3909">
        <f t="shared" si="805"/>
        <v>0</v>
      </c>
      <c r="OT204" s="3886">
        <f t="shared" si="806"/>
        <v>0</v>
      </c>
      <c r="OU204" s="3886">
        <f t="shared" si="806"/>
        <v>0</v>
      </c>
      <c r="OV204" s="3910">
        <f t="shared" si="806"/>
        <v>0</v>
      </c>
      <c r="OW204" s="421"/>
      <c r="OX204" s="2432">
        <f t="shared" si="674"/>
        <v>0</v>
      </c>
      <c r="OY204" s="622">
        <f t="shared" si="807"/>
        <v>0</v>
      </c>
      <c r="OZ204" s="622">
        <f t="shared" si="807"/>
        <v>0</v>
      </c>
      <c r="PA204" s="2437">
        <f t="shared" si="807"/>
        <v>0</v>
      </c>
      <c r="PB204" s="116"/>
      <c r="PC204" s="3886"/>
      <c r="PD204" s="401"/>
      <c r="PE204" s="395"/>
      <c r="PF204" s="395"/>
      <c r="PG204" s="115">
        <f t="shared" si="774"/>
        <v>0</v>
      </c>
      <c r="PH204" s="186"/>
      <c r="PI204" s="401"/>
      <c r="PJ204" s="395"/>
      <c r="PK204" s="395"/>
      <c r="PL204" s="115">
        <f t="shared" si="808"/>
        <v>0</v>
      </c>
      <c r="PM204" s="186"/>
      <c r="PN204" s="401"/>
      <c r="PO204" s="395"/>
      <c r="PP204" s="395"/>
      <c r="PQ204" s="372"/>
      <c r="PR204" s="207"/>
      <c r="PS204" s="2891"/>
      <c r="PT204" s="2001">
        <v>0</v>
      </c>
      <c r="PU204" s="2001">
        <v>0</v>
      </c>
      <c r="PV204" s="2892">
        <v>0</v>
      </c>
      <c r="PW204" s="370"/>
      <c r="PX204" s="3805"/>
      <c r="PY204" s="1317"/>
      <c r="PZ204" s="1317"/>
      <c r="QA204" s="1317"/>
      <c r="QB204" s="801"/>
      <c r="QC204" s="2002"/>
      <c r="QD204" s="2001"/>
      <c r="QE204" s="2001"/>
      <c r="QF204" s="2001"/>
      <c r="QG204" s="2003"/>
      <c r="QH204" s="2445"/>
      <c r="QI204" s="2001"/>
      <c r="QJ204" s="2001"/>
      <c r="QK204" s="2001"/>
      <c r="QL204" s="2003"/>
      <c r="QM204" s="401"/>
      <c r="QN204" s="395"/>
      <c r="QO204" s="395"/>
      <c r="QP204" s="395"/>
      <c r="QQ204" s="801"/>
      <c r="QR204" s="2002"/>
      <c r="QS204" s="2001"/>
      <c r="QT204" s="2001"/>
      <c r="QU204" s="2001"/>
      <c r="QV204" s="370"/>
      <c r="QW204" s="1318"/>
      <c r="QX204" s="395"/>
      <c r="QY204" s="395"/>
      <c r="QZ204" s="395"/>
      <c r="RA204" s="2003"/>
      <c r="RB204" s="2430"/>
      <c r="RC204" s="1873"/>
      <c r="RD204" s="1873"/>
      <c r="RE204" s="2001"/>
      <c r="RF204" s="2003"/>
      <c r="RG204" s="2108"/>
      <c r="RH204" s="1873"/>
      <c r="RI204" s="1873"/>
      <c r="RJ204" s="2012"/>
      <c r="RK204" s="116"/>
      <c r="RL204" s="3717"/>
      <c r="RM204" s="1873">
        <f t="shared" si="815"/>
        <v>0</v>
      </c>
      <c r="RN204" s="1873">
        <f t="shared" si="815"/>
        <v>0</v>
      </c>
      <c r="RO204" s="1873">
        <f t="shared" si="815"/>
        <v>0</v>
      </c>
      <c r="RP204" s="1576" t="e">
        <f>RO204/RN204</f>
        <v>#DIV/0!</v>
      </c>
      <c r="RQ204" s="3908">
        <f t="shared" si="722"/>
        <v>0</v>
      </c>
      <c r="RR204" s="115">
        <f t="shared" si="809"/>
        <v>0</v>
      </c>
      <c r="RS204" s="115">
        <f t="shared" si="809"/>
        <v>0</v>
      </c>
      <c r="RT204" s="115">
        <f t="shared" si="809"/>
        <v>0</v>
      </c>
      <c r="RU204" s="116" t="e">
        <f>RT204/RS204</f>
        <v>#DIV/0!</v>
      </c>
      <c r="RV204" s="622">
        <f t="shared" si="810"/>
        <v>0</v>
      </c>
      <c r="RW204" s="622">
        <f t="shared" si="811"/>
        <v>0</v>
      </c>
      <c r="RX204" s="622">
        <f t="shared" si="811"/>
        <v>0</v>
      </c>
      <c r="RY204" s="2437">
        <f t="shared" si="811"/>
        <v>0</v>
      </c>
      <c r="RZ204" s="421" t="e">
        <f>RY204/RX204</f>
        <v>#DIV/0!</v>
      </c>
      <c r="SA204" s="3909">
        <f t="shared" si="748"/>
        <v>0</v>
      </c>
      <c r="SB204" s="3886">
        <f t="shared" si="812"/>
        <v>0</v>
      </c>
      <c r="SC204" s="3886">
        <f t="shared" si="812"/>
        <v>0</v>
      </c>
      <c r="SD204" s="3910">
        <f t="shared" si="812"/>
        <v>0</v>
      </c>
      <c r="SE204" s="421"/>
      <c r="SF204" s="3736"/>
      <c r="SG204" s="622">
        <f t="shared" si="769"/>
        <v>0</v>
      </c>
      <c r="SH204" s="622">
        <f t="shared" si="769"/>
        <v>0</v>
      </c>
      <c r="SI204" s="2437">
        <f t="shared" si="769"/>
        <v>0</v>
      </c>
      <c r="SJ204" s="116"/>
      <c r="SK204" s="1568"/>
      <c r="SL204" s="2445"/>
      <c r="SM204" s="2001"/>
      <c r="SN204" s="2001"/>
      <c r="SO204" s="3534">
        <f t="shared" si="775"/>
        <v>0</v>
      </c>
      <c r="SP204" s="1498"/>
      <c r="SQ204" s="2445"/>
      <c r="SR204" s="2001"/>
      <c r="SS204" s="2001"/>
      <c r="ST204" s="3534">
        <f t="shared" si="813"/>
        <v>0</v>
      </c>
      <c r="SU204" s="1498"/>
      <c r="SV204" s="401"/>
      <c r="SW204" s="395"/>
      <c r="SX204" s="395"/>
      <c r="SY204" s="372"/>
      <c r="SZ204" s="207"/>
      <c r="TA204" s="2573"/>
      <c r="TB204" s="395">
        <v>0</v>
      </c>
      <c r="TC204" s="395">
        <v>0</v>
      </c>
      <c r="TD204" s="372">
        <v>0</v>
      </c>
      <c r="TE204" s="207"/>
      <c r="TF204" s="2573"/>
      <c r="TG204" s="395"/>
      <c r="TH204" s="395"/>
      <c r="TI204" s="395"/>
      <c r="TJ204" s="116"/>
      <c r="TK204" s="2002"/>
      <c r="TL204" s="2001"/>
      <c r="TM204" s="2001"/>
      <c r="TN204" s="2012"/>
      <c r="TO204" s="441"/>
      <c r="TP204" s="4464"/>
      <c r="TQ204" s="2001"/>
      <c r="TR204" s="2001"/>
      <c r="TS204" s="2012"/>
      <c r="TT204" s="441"/>
      <c r="TU204" s="4464"/>
      <c r="TV204" s="2001"/>
      <c r="TW204" s="2001"/>
      <c r="TX204" s="2012"/>
      <c r="TY204" s="441"/>
      <c r="TZ204" s="2002"/>
      <c r="UA204" s="2001"/>
      <c r="UB204" s="2001"/>
      <c r="UC204" s="2012"/>
      <c r="UD204" s="441"/>
      <c r="UE204" s="2002"/>
      <c r="UF204" s="1575"/>
      <c r="UG204" s="1575"/>
      <c r="UH204" s="2552">
        <f t="shared" si="698"/>
        <v>0</v>
      </c>
      <c r="UI204" s="222" t="e">
        <f t="shared" si="699"/>
        <v>#DIV/0!</v>
      </c>
      <c r="UJ204" s="2430"/>
      <c r="UK204" s="1873"/>
      <c r="UL204" s="1873"/>
      <c r="UM204" s="2001"/>
      <c r="UN204" s="2019"/>
      <c r="UO204" s="2108"/>
      <c r="UP204" s="1873"/>
      <c r="UQ204" s="1873"/>
      <c r="UR204" s="2012"/>
      <c r="US204" s="659"/>
      <c r="UT204" s="2433"/>
      <c r="UU204" s="358">
        <f t="shared" si="700"/>
        <v>0</v>
      </c>
      <c r="UV204" s="358">
        <f t="shared" si="700"/>
        <v>0</v>
      </c>
      <c r="UW204" s="358">
        <f t="shared" si="700"/>
        <v>0</v>
      </c>
      <c r="UX204" s="220" t="e">
        <f t="shared" si="704"/>
        <v>#DIV/0!</v>
      </c>
      <c r="UY204" s="2435">
        <f t="shared" si="765"/>
        <v>0</v>
      </c>
      <c r="UZ204" s="2436">
        <f t="shared" si="766"/>
        <v>0</v>
      </c>
      <c r="VA204" s="2436">
        <f t="shared" si="766"/>
        <v>0</v>
      </c>
      <c r="VB204" s="2436">
        <f t="shared" si="766"/>
        <v>0</v>
      </c>
      <c r="VC204" s="1439" t="e">
        <f>VB204/VA204</f>
        <v>#DIV/0!</v>
      </c>
      <c r="VD204" s="622">
        <f t="shared" si="814"/>
        <v>0</v>
      </c>
      <c r="VE204" s="358">
        <f t="shared" si="701"/>
        <v>0</v>
      </c>
      <c r="VF204" s="358">
        <f t="shared" si="701"/>
        <v>0</v>
      </c>
      <c r="VG204" s="359">
        <f t="shared" si="701"/>
        <v>0</v>
      </c>
      <c r="VH204" s="169" t="e">
        <f t="shared" si="702"/>
        <v>#DIV/0!</v>
      </c>
      <c r="VI204" s="2438">
        <f t="shared" si="767"/>
        <v>0</v>
      </c>
      <c r="VJ204" s="146">
        <f t="shared" si="703"/>
        <v>0</v>
      </c>
      <c r="VK204" s="146">
        <f t="shared" si="703"/>
        <v>0</v>
      </c>
      <c r="VL204" s="1864">
        <f t="shared" si="703"/>
        <v>0</v>
      </c>
      <c r="VM204" s="460"/>
      <c r="VN204" s="2433"/>
      <c r="VO204" s="622">
        <f t="shared" si="770"/>
        <v>0</v>
      </c>
      <c r="VP204" s="622">
        <f t="shared" si="770"/>
        <v>0</v>
      </c>
      <c r="VQ204" s="2437">
        <f t="shared" si="770"/>
        <v>0</v>
      </c>
      <c r="VR204" s="116"/>
      <c r="VS204" s="1193"/>
      <c r="VT204" s="1193"/>
      <c r="VU204" s="1193"/>
      <c r="VV204" s="1193"/>
      <c r="VW204" s="1193"/>
      <c r="VX204" s="1193"/>
      <c r="VY204" s="1193"/>
      <c r="VZ204" s="1193"/>
      <c r="WA204" s="1193"/>
      <c r="WB204" s="1193"/>
      <c r="WC204" s="1193"/>
      <c r="WD204" s="1193"/>
      <c r="WE204" s="1193"/>
      <c r="WF204" s="1193"/>
      <c r="WG204" s="1193"/>
      <c r="WH204" s="1193"/>
      <c r="WI204" s="1193"/>
      <c r="WJ204" s="1193"/>
      <c r="WK204" s="1193"/>
      <c r="WL204" s="1193"/>
      <c r="WM204" s="1193"/>
      <c r="WN204" s="1193"/>
      <c r="WO204" s="1193"/>
      <c r="WP204" s="1193"/>
      <c r="WQ204" s="1193"/>
      <c r="WR204" s="1193"/>
      <c r="WS204" s="1193"/>
      <c r="WT204" s="1193"/>
      <c r="WU204" s="1193"/>
      <c r="WV204" s="1193"/>
      <c r="WW204" s="1193"/>
      <c r="WX204" s="1193"/>
      <c r="WY204" s="1193"/>
      <c r="WZ204" s="1193"/>
      <c r="XA204" s="1193"/>
      <c r="XB204" s="1193"/>
      <c r="XC204" s="1193"/>
      <c r="XD204" s="1193"/>
      <c r="XE204" s="1193"/>
      <c r="XF204" s="1193"/>
      <c r="XG204" s="1193"/>
      <c r="XH204" s="1193"/>
      <c r="XI204" s="1193"/>
      <c r="XJ204" s="1193"/>
      <c r="XK204" s="1193"/>
      <c r="XL204" s="1193"/>
      <c r="XM204" s="1193"/>
      <c r="XN204" s="1193"/>
      <c r="XO204" s="1193"/>
      <c r="XP204" s="1193"/>
      <c r="XQ204" s="1193"/>
      <c r="XR204" s="1193"/>
      <c r="XS204" s="1193"/>
      <c r="XT204" s="1193"/>
      <c r="XU204" s="1193"/>
      <c r="XV204" s="1193"/>
      <c r="XW204" s="1193"/>
      <c r="XX204" s="1193"/>
      <c r="XY204" s="1193"/>
      <c r="XZ204" s="1193"/>
      <c r="YA204" s="1193"/>
      <c r="YB204" s="1193"/>
      <c r="YC204" s="1193"/>
      <c r="YD204" s="1193"/>
      <c r="YE204" s="1193"/>
      <c r="YF204" s="1193"/>
      <c r="YG204" s="1193"/>
      <c r="YH204" s="1193"/>
      <c r="YI204" s="1193"/>
      <c r="YJ204" s="1193"/>
      <c r="YK204" s="1193"/>
      <c r="YL204" s="1193"/>
      <c r="YM204" s="1193"/>
      <c r="YN204" s="1193"/>
      <c r="YO204" s="1193"/>
      <c r="YP204" s="1193"/>
      <c r="YQ204" s="1193"/>
      <c r="YR204" s="1193"/>
      <c r="YS204" s="1193"/>
      <c r="YT204" s="1193"/>
      <c r="YU204" s="1193"/>
      <c r="YV204" s="1193"/>
      <c r="YW204" s="1193"/>
      <c r="YX204" s="1193"/>
      <c r="YY204" s="1193"/>
      <c r="YZ204" s="1193"/>
      <c r="ZA204" s="1193"/>
      <c r="ZB204" s="1193"/>
      <c r="ZC204" s="1193"/>
      <c r="ZD204" s="1193"/>
      <c r="ZE204" s="1193"/>
      <c r="ZF204" s="1193"/>
      <c r="ZG204" s="1193"/>
      <c r="ZH204" s="1193"/>
      <c r="ZI204" s="1193"/>
      <c r="ZJ204" s="1193"/>
      <c r="ZK204" s="1193"/>
      <c r="ZL204" s="1193"/>
      <c r="ZM204" s="1193"/>
      <c r="ZN204" s="1193"/>
      <c r="ZO204" s="1193"/>
      <c r="ZP204" s="1193"/>
      <c r="ZQ204" s="1193"/>
      <c r="ZR204" s="1193"/>
      <c r="ZS204" s="1193"/>
      <c r="ZT204" s="1193"/>
      <c r="ZU204" s="1193"/>
      <c r="ZV204" s="1193"/>
      <c r="ZW204" s="1193"/>
      <c r="ZX204" s="1193"/>
      <c r="ZY204" s="1193"/>
      <c r="ZZ204" s="1193"/>
      <c r="AAA204" s="1193"/>
      <c r="AAB204" s="1193"/>
      <c r="AAC204" s="1193"/>
      <c r="AAD204" s="1193"/>
      <c r="AAE204" s="1193"/>
      <c r="AAF204" s="1193"/>
      <c r="AAG204" s="1193"/>
      <c r="AAH204" s="1193"/>
      <c r="AAI204" s="1193"/>
      <c r="AAJ204" s="1193"/>
      <c r="AAK204" s="1193"/>
      <c r="AAL204" s="1193"/>
      <c r="AAM204" s="1193"/>
      <c r="AAN204" s="1193"/>
      <c r="AAO204" s="1193"/>
      <c r="AAP204" s="1193"/>
      <c r="AAQ204" s="1193"/>
      <c r="AAR204" s="1193"/>
      <c r="AAS204" s="1193"/>
      <c r="AAT204" s="1193"/>
      <c r="AAU204" s="1193"/>
      <c r="AAV204" s="1193"/>
      <c r="AAW204" s="1193"/>
      <c r="AAX204" s="1193"/>
      <c r="AAY204" s="1193"/>
      <c r="AAZ204" s="1193"/>
      <c r="ABA204" s="1193"/>
      <c r="ABB204" s="1193"/>
      <c r="ABC204" s="1193"/>
      <c r="ABD204" s="1193"/>
      <c r="ABE204" s="1193"/>
      <c r="ABF204" s="1193"/>
      <c r="ABG204" s="1193"/>
      <c r="ABH204" s="1193"/>
      <c r="ABI204" s="1193"/>
      <c r="ABJ204" s="1193"/>
      <c r="ABK204" s="1193"/>
      <c r="ABL204" s="1193"/>
      <c r="ABM204" s="1193"/>
      <c r="ABN204" s="1193"/>
      <c r="ABO204" s="1193"/>
      <c r="ABP204" s="1193"/>
      <c r="ABQ204" s="1193"/>
    </row>
    <row r="205" spans="1:745" s="122" customFormat="1" ht="13.45" hidden="1" x14ac:dyDescent="0.3">
      <c r="A205" s="2906"/>
      <c r="B205" s="583" t="s">
        <v>54</v>
      </c>
      <c r="C205" s="2104" t="s">
        <v>54</v>
      </c>
      <c r="D205" s="2105" t="s">
        <v>867</v>
      </c>
      <c r="E205" s="2086">
        <v>44256</v>
      </c>
      <c r="F205" s="2086">
        <v>44620</v>
      </c>
      <c r="G205" s="2007">
        <v>102000</v>
      </c>
      <c r="H205" s="3962"/>
      <c r="I205" s="3889"/>
      <c r="J205" s="3889"/>
      <c r="K205" s="3889"/>
      <c r="L205" s="3963"/>
      <c r="M205" s="3964"/>
      <c r="N205" s="3965"/>
      <c r="O205" s="3965"/>
      <c r="P205" s="3965"/>
      <c r="Q205" s="3966"/>
      <c r="R205" s="3966"/>
      <c r="S205" s="3889"/>
      <c r="T205" s="3889"/>
      <c r="U205" s="3889"/>
      <c r="V205" s="3963"/>
      <c r="W205" s="3889"/>
      <c r="X205" s="3889"/>
      <c r="Y205" s="3967"/>
      <c r="Z205" s="3889"/>
      <c r="AA205" s="3968"/>
      <c r="AB205" s="3967"/>
      <c r="AC205" s="3969"/>
      <c r="AD205" s="3970"/>
      <c r="AE205" s="3889"/>
      <c r="AF205" s="3963"/>
      <c r="AG205" s="3971"/>
      <c r="AH205" s="3889"/>
      <c r="AI205" s="3889"/>
      <c r="AJ205" s="3972"/>
      <c r="AK205" s="3963"/>
      <c r="AL205" s="3971"/>
      <c r="AM205" s="3889"/>
      <c r="AN205" s="3889"/>
      <c r="AO205" s="3967"/>
      <c r="AP205" s="3963"/>
      <c r="AQ205" s="3973"/>
      <c r="AR205" s="3974"/>
      <c r="AS205" s="3974"/>
      <c r="AT205" s="3975"/>
      <c r="AU205" s="3963"/>
      <c r="AV205" s="3976"/>
      <c r="AW205" s="3967"/>
      <c r="AX205" s="3967"/>
      <c r="AY205" s="3967"/>
      <c r="AZ205" s="3963"/>
      <c r="BA205" s="3977"/>
      <c r="BB205" s="3978"/>
      <c r="BC205" s="3969"/>
      <c r="BD205" s="3967"/>
      <c r="BE205" s="3966"/>
      <c r="BF205" s="3976"/>
      <c r="BG205" s="3967"/>
      <c r="BH205" s="3889"/>
      <c r="BI205" s="3967"/>
      <c r="BJ205" s="3979"/>
      <c r="BK205" s="3976"/>
      <c r="BL205" s="3967"/>
      <c r="BM205" s="3889"/>
      <c r="BN205" s="3967"/>
      <c r="BO205" s="3980"/>
      <c r="BP205" s="3981"/>
      <c r="BQ205" s="3982"/>
      <c r="BR205" s="3972"/>
      <c r="BS205" s="3983"/>
      <c r="BT205" s="3984"/>
      <c r="BU205" s="3972"/>
      <c r="BV205" s="3972"/>
      <c r="BW205" s="3985"/>
      <c r="BX205" s="3986"/>
      <c r="BY205" s="3972"/>
      <c r="BZ205" s="3972"/>
      <c r="CA205" s="3987"/>
      <c r="CB205" s="3988"/>
      <c r="CC205" s="3972"/>
      <c r="CD205" s="3972"/>
      <c r="CE205" s="3989"/>
      <c r="CF205" s="3986"/>
      <c r="CG205" s="3889"/>
      <c r="CH205" s="3889"/>
      <c r="CI205" s="3987"/>
      <c r="CJ205" s="3990"/>
      <c r="CK205" s="3889"/>
      <c r="CL205" s="3889"/>
      <c r="CM205" s="3889"/>
      <c r="CN205" s="3985"/>
      <c r="CO205" s="3990"/>
      <c r="CP205" s="3889"/>
      <c r="CQ205" s="3889"/>
      <c r="CR205" s="3889"/>
      <c r="CS205" s="3985"/>
      <c r="CT205" s="3990"/>
      <c r="CU205" s="3889"/>
      <c r="CV205" s="3889"/>
      <c r="CW205" s="3889"/>
      <c r="CX205" s="3985"/>
      <c r="CY205" s="3990"/>
      <c r="CZ205" s="3889"/>
      <c r="DA205" s="3889"/>
      <c r="DB205" s="3889"/>
      <c r="DC205" s="3985"/>
      <c r="DD205" s="3991"/>
      <c r="DE205" s="3992"/>
      <c r="DF205" s="3992"/>
      <c r="DG205" s="3969"/>
      <c r="DH205" s="3993"/>
      <c r="DI205" s="3990"/>
      <c r="DJ205" s="3992"/>
      <c r="DK205" s="3992"/>
      <c r="DL205" s="3889"/>
      <c r="DM205" s="3993"/>
      <c r="DN205" s="3990"/>
      <c r="DO205" s="3889"/>
      <c r="DP205" s="3889"/>
      <c r="DQ205" s="3889"/>
      <c r="DR205" s="3993"/>
      <c r="DS205" s="3994"/>
      <c r="DT205" s="3969"/>
      <c r="DU205" s="3969"/>
      <c r="DV205" s="3889"/>
      <c r="DW205" s="3985"/>
      <c r="DX205" s="3990"/>
      <c r="DY205" s="3889"/>
      <c r="DZ205" s="3889"/>
      <c r="EA205" s="3889"/>
      <c r="EB205" s="3993"/>
      <c r="EC205" s="3990"/>
      <c r="ED205" s="3889"/>
      <c r="EE205" s="3889"/>
      <c r="EF205" s="3972"/>
      <c r="EG205" s="3993"/>
      <c r="EH205" s="3990"/>
      <c r="EI205" s="3889"/>
      <c r="EJ205" s="3889"/>
      <c r="EK205" s="3889"/>
      <c r="EL205" s="3993"/>
      <c r="EM205" s="3990"/>
      <c r="EN205" s="3889"/>
      <c r="EO205" s="3889"/>
      <c r="EP205" s="3889"/>
      <c r="EQ205" s="3993"/>
      <c r="ER205" s="3791">
        <f t="shared" si="771"/>
        <v>0</v>
      </c>
      <c r="ES205" s="3792">
        <f t="shared" si="776"/>
        <v>0</v>
      </c>
      <c r="ET205" s="3792">
        <f t="shared" si="776"/>
        <v>0</v>
      </c>
      <c r="EU205" s="3792">
        <f t="shared" si="776"/>
        <v>0</v>
      </c>
      <c r="EV205" s="370" t="e">
        <f t="shared" si="777"/>
        <v>#DIV/0!</v>
      </c>
      <c r="EW205" s="3995"/>
      <c r="EX205" s="3996"/>
      <c r="EY205" s="3996"/>
      <c r="EZ205" s="3997"/>
      <c r="FA205" s="3998"/>
      <c r="FB205" s="3996"/>
      <c r="FC205" s="3996"/>
      <c r="FD205" s="3999"/>
      <c r="FE205" s="4000"/>
      <c r="FF205" s="3972"/>
      <c r="FG205" s="3972"/>
      <c r="FH205" s="4001"/>
      <c r="FI205" s="4002"/>
      <c r="FJ205" s="4000"/>
      <c r="FK205" s="3972"/>
      <c r="FL205" s="3972"/>
      <c r="FM205" s="3985"/>
      <c r="FN205" s="774"/>
      <c r="FO205" s="3864"/>
      <c r="FP205" s="3864"/>
      <c r="FQ205" s="3864"/>
      <c r="FR205" s="3906"/>
      <c r="FS205" s="770"/>
      <c r="FT205" s="3864"/>
      <c r="FU205" s="3864"/>
      <c r="FV205" s="3864"/>
      <c r="FW205" s="362"/>
      <c r="FX205" s="770"/>
      <c r="FY205" s="622"/>
      <c r="FZ205" s="622"/>
      <c r="GA205" s="3864"/>
      <c r="GB205" s="362"/>
      <c r="GC205" s="770"/>
      <c r="GD205" s="622"/>
      <c r="GE205" s="622">
        <v>0</v>
      </c>
      <c r="GF205" s="3864">
        <v>0</v>
      </c>
      <c r="GG205" s="362"/>
      <c r="GH205" s="770">
        <v>1</v>
      </c>
      <c r="GI205" s="622">
        <v>92216</v>
      </c>
      <c r="GJ205" s="622">
        <v>129167</v>
      </c>
      <c r="GK205" s="3864">
        <f>GJ205-GI205</f>
        <v>36951</v>
      </c>
      <c r="GL205" s="362">
        <f>GK205/GJ205</f>
        <v>0.28607151981543272</v>
      </c>
      <c r="GM205" s="770">
        <v>1</v>
      </c>
      <c r="GN205" s="622">
        <v>94166</v>
      </c>
      <c r="GO205" s="622">
        <v>116250.3</v>
      </c>
      <c r="GP205" s="3864">
        <f>GO205-GN205</f>
        <v>22084.300000000003</v>
      </c>
      <c r="GQ205" s="362">
        <f>GP205/GO205</f>
        <v>0.18997198286800121</v>
      </c>
      <c r="GR205" s="770">
        <v>1</v>
      </c>
      <c r="GS205" s="622">
        <v>99166</v>
      </c>
      <c r="GT205" s="622">
        <v>116587</v>
      </c>
      <c r="GU205" s="3864">
        <f>GT205-GS205</f>
        <v>17421</v>
      </c>
      <c r="GV205" s="362">
        <f>GU205/GT205</f>
        <v>0.14942489299836173</v>
      </c>
      <c r="GW205" s="770">
        <v>1</v>
      </c>
      <c r="GX205" s="622">
        <v>99166</v>
      </c>
      <c r="GY205" s="622">
        <v>116250.3</v>
      </c>
      <c r="GZ205" s="3864">
        <f>GY205-GX205</f>
        <v>17084.300000000003</v>
      </c>
      <c r="HA205" s="362">
        <f>GZ205/GY205</f>
        <v>0.14696134117503354</v>
      </c>
      <c r="HB205" s="770">
        <v>1</v>
      </c>
      <c r="HC205" s="622">
        <v>99166</v>
      </c>
      <c r="HD205" s="622">
        <v>125291.99</v>
      </c>
      <c r="HE205" s="3864">
        <f>HD205-HC205</f>
        <v>26125.990000000005</v>
      </c>
      <c r="HF205" s="362">
        <f>HE205/HD205</f>
        <v>0.20852083201807237</v>
      </c>
      <c r="HG205" s="770">
        <v>1</v>
      </c>
      <c r="HH205" s="622">
        <v>99166</v>
      </c>
      <c r="HI205" s="622">
        <v>116250.3</v>
      </c>
      <c r="HJ205" s="3864">
        <f>HI205-HH205</f>
        <v>17084.300000000003</v>
      </c>
      <c r="HK205" s="362">
        <f>HJ205/HI205</f>
        <v>0.14696134117503354</v>
      </c>
      <c r="HL205" s="770">
        <v>1</v>
      </c>
      <c r="HM205" s="622">
        <v>99166</v>
      </c>
      <c r="HN205" s="622">
        <v>116250.3</v>
      </c>
      <c r="HO205" s="3864">
        <f>HN205-HM205</f>
        <v>17084.300000000003</v>
      </c>
      <c r="HP205" s="362">
        <f>HO205/HN205</f>
        <v>0.14696134117503354</v>
      </c>
      <c r="HQ205" s="1325">
        <v>1</v>
      </c>
      <c r="HR205" s="1317">
        <v>99166</v>
      </c>
      <c r="HS205" s="1317">
        <v>116250.3</v>
      </c>
      <c r="HT205" s="1317">
        <f>HS205-HR205</f>
        <v>17084.300000000003</v>
      </c>
      <c r="HU205" s="3911">
        <f>HT205/HS205</f>
        <v>0.14696134117503354</v>
      </c>
      <c r="HV205" s="2723">
        <f t="shared" si="772"/>
        <v>0.66666666666666663</v>
      </c>
      <c r="HW205" s="395">
        <f t="shared" si="773"/>
        <v>781378</v>
      </c>
      <c r="HX205" s="395">
        <f t="shared" si="773"/>
        <v>952297.49000000011</v>
      </c>
      <c r="HY205" s="395">
        <f t="shared" si="773"/>
        <v>170919.49</v>
      </c>
      <c r="HZ205" s="2907"/>
      <c r="IA205" s="1829">
        <f>(FN205+FS205+FX205)/3</f>
        <v>0</v>
      </c>
      <c r="IB205" s="1830">
        <f t="shared" si="816"/>
        <v>0</v>
      </c>
      <c r="IC205" s="1830">
        <f t="shared" si="816"/>
        <v>0</v>
      </c>
      <c r="ID205" s="1831"/>
      <c r="IE205" s="1832">
        <f>(GC205+GH205+GM205)/3</f>
        <v>0.66666666666666663</v>
      </c>
      <c r="IF205" s="1833">
        <f t="shared" si="817"/>
        <v>245417.3</v>
      </c>
      <c r="IG205" s="1834">
        <f t="shared" si="817"/>
        <v>59035.3</v>
      </c>
      <c r="IH205" s="1831">
        <f>IG205/IF205</f>
        <v>0.24055068652454414</v>
      </c>
      <c r="II205" s="1829">
        <f>(GR205+GW205+HB205)/3</f>
        <v>1</v>
      </c>
      <c r="IJ205" s="3894">
        <f t="shared" si="818"/>
        <v>358129.29</v>
      </c>
      <c r="IK205" s="3894">
        <f t="shared" si="818"/>
        <v>60631.290000000008</v>
      </c>
      <c r="IL205" s="239">
        <f>IK205/IJ205</f>
        <v>0.1693000033591221</v>
      </c>
      <c r="IM205" s="3907">
        <f>(HB205+HG205+HL205)/3</f>
        <v>1</v>
      </c>
      <c r="IN205" s="3894">
        <f t="shared" si="819"/>
        <v>348750.9</v>
      </c>
      <c r="IO205" s="3894">
        <f t="shared" si="819"/>
        <v>51252.900000000009</v>
      </c>
      <c r="IP205" s="3896">
        <f>IO205/IN205</f>
        <v>0.14696134117503354</v>
      </c>
      <c r="IQ205" s="2911"/>
      <c r="IR205" s="3961">
        <v>1</v>
      </c>
      <c r="IS205" s="3864">
        <v>26541</v>
      </c>
      <c r="IT205" s="3864">
        <v>36554.260999999999</v>
      </c>
      <c r="IU205" s="3864">
        <f>IT205-IS205</f>
        <v>10013.260999999999</v>
      </c>
      <c r="IV205" s="3906">
        <f>IU205/IT205</f>
        <v>0.27392869466024766</v>
      </c>
      <c r="IW205" s="770">
        <v>1</v>
      </c>
      <c r="IX205" s="3864">
        <v>70833</v>
      </c>
      <c r="IY205" s="3864">
        <v>102000</v>
      </c>
      <c r="IZ205" s="3864">
        <v>31167</v>
      </c>
      <c r="JA205" s="362">
        <f>IZ205/IY205</f>
        <v>0.30555882352941177</v>
      </c>
      <c r="JB205" s="658">
        <v>1</v>
      </c>
      <c r="JC205" s="3901">
        <v>70833</v>
      </c>
      <c r="JD205" s="3902">
        <v>102000</v>
      </c>
      <c r="JE205" s="3864">
        <f>JD205-JC205</f>
        <v>31167</v>
      </c>
      <c r="JF205" s="362">
        <f>JE205/JD205</f>
        <v>0.30555882352941177</v>
      </c>
      <c r="JG205" s="658">
        <v>1</v>
      </c>
      <c r="JH205" s="622">
        <v>70833</v>
      </c>
      <c r="JI205" s="622">
        <v>102000</v>
      </c>
      <c r="JJ205" s="622">
        <f t="shared" si="778"/>
        <v>31167</v>
      </c>
      <c r="JK205" s="362">
        <f t="shared" si="779"/>
        <v>0.30555882352941177</v>
      </c>
      <c r="JL205" s="770">
        <v>1</v>
      </c>
      <c r="JM205" s="622">
        <v>70833</v>
      </c>
      <c r="JN205" s="622">
        <v>102000</v>
      </c>
      <c r="JO205" s="3912">
        <f t="shared" si="780"/>
        <v>31167</v>
      </c>
      <c r="JP205" s="362">
        <f t="shared" si="781"/>
        <v>0.30555882352941177</v>
      </c>
      <c r="JQ205" s="3904">
        <v>1</v>
      </c>
      <c r="JR205" s="3905">
        <v>70833</v>
      </c>
      <c r="JS205" s="1317">
        <v>102000</v>
      </c>
      <c r="JT205" s="3912">
        <v>31167</v>
      </c>
      <c r="JU205" s="362">
        <v>0.30555882352941177</v>
      </c>
      <c r="JV205" s="658">
        <v>1</v>
      </c>
      <c r="JW205" s="622">
        <v>70833</v>
      </c>
      <c r="JX205" s="1317">
        <v>102000</v>
      </c>
      <c r="JY205" s="3912">
        <f>JX205-JW205</f>
        <v>31167</v>
      </c>
      <c r="JZ205" s="362">
        <f>JY205/JX205</f>
        <v>0.30555882352941177</v>
      </c>
      <c r="KA205" s="658">
        <v>1</v>
      </c>
      <c r="KB205" s="1317">
        <v>67291</v>
      </c>
      <c r="KC205" s="3905">
        <v>102000</v>
      </c>
      <c r="KD205" s="3864">
        <f t="shared" si="782"/>
        <v>34709</v>
      </c>
      <c r="KE205" s="362">
        <f>KD205/KC205</f>
        <v>0.34028431372549017</v>
      </c>
      <c r="KF205" s="658">
        <v>1</v>
      </c>
      <c r="KG205" s="1317">
        <v>54838.451612903227</v>
      </c>
      <c r="KH205" s="622">
        <v>102000</v>
      </c>
      <c r="KI205" s="3864">
        <f t="shared" si="783"/>
        <v>47161.548387096773</v>
      </c>
      <c r="KJ205" s="362">
        <f>KI205/KH205</f>
        <v>0.46236812144212525</v>
      </c>
      <c r="KK205" s="3819"/>
      <c r="KL205" s="1317">
        <v>0</v>
      </c>
      <c r="KM205" s="1317">
        <v>0</v>
      </c>
      <c r="KN205" s="3864">
        <f t="shared" si="784"/>
        <v>0</v>
      </c>
      <c r="KO205" s="3890"/>
      <c r="KP205" s="2000"/>
      <c r="KQ205" s="1317">
        <v>0</v>
      </c>
      <c r="KR205" s="3865">
        <v>0</v>
      </c>
      <c r="KS205" s="1317">
        <f t="shared" si="785"/>
        <v>0</v>
      </c>
      <c r="KT205" s="4003">
        <v>0</v>
      </c>
      <c r="KU205" s="3892"/>
      <c r="KV205" s="1317">
        <v>0</v>
      </c>
      <c r="KW205" s="3865">
        <v>0</v>
      </c>
      <c r="KX205" s="1317">
        <f t="shared" si="786"/>
        <v>0</v>
      </c>
      <c r="KY205" s="362"/>
      <c r="KZ205" s="1832"/>
      <c r="LA205" s="622">
        <f t="shared" si="787"/>
        <v>573668.45161290327</v>
      </c>
      <c r="LB205" s="622">
        <f t="shared" si="787"/>
        <v>852554.26099999994</v>
      </c>
      <c r="LC205" s="622">
        <f t="shared" si="787"/>
        <v>278885.80938709679</v>
      </c>
      <c r="LD205" s="1576">
        <f t="shared" si="788"/>
        <v>0.32711795852146563</v>
      </c>
      <c r="LE205" s="1834">
        <f t="shared" si="789"/>
        <v>1</v>
      </c>
      <c r="LF205" s="1830">
        <f t="shared" si="790"/>
        <v>240554.261</v>
      </c>
      <c r="LG205" s="1830">
        <f t="shared" si="790"/>
        <v>72347.260999999999</v>
      </c>
      <c r="LH205" s="1831">
        <f>LG205/LF205</f>
        <v>0.30075235707423198</v>
      </c>
      <c r="LI205" s="1832">
        <f t="shared" si="791"/>
        <v>1</v>
      </c>
      <c r="LJ205" s="1833">
        <f t="shared" si="792"/>
        <v>306000</v>
      </c>
      <c r="LK205" s="1834">
        <f t="shared" si="792"/>
        <v>93501</v>
      </c>
      <c r="LL205" s="1831">
        <f t="shared" si="793"/>
        <v>0.30555882352941177</v>
      </c>
      <c r="LM205" s="1829">
        <f t="shared" si="794"/>
        <v>1</v>
      </c>
      <c r="LN205" s="3894">
        <f t="shared" si="795"/>
        <v>306000</v>
      </c>
      <c r="LO205" s="3894">
        <f t="shared" si="795"/>
        <v>113037.54838709677</v>
      </c>
      <c r="LP205" s="239">
        <f>LO205/LN205</f>
        <v>0.36940375289900906</v>
      </c>
      <c r="LQ205" s="3907">
        <f t="shared" si="796"/>
        <v>0</v>
      </c>
      <c r="LR205" s="3894">
        <f t="shared" si="797"/>
        <v>0</v>
      </c>
      <c r="LS205" s="3894">
        <f t="shared" si="797"/>
        <v>0</v>
      </c>
      <c r="LT205" s="3896"/>
      <c r="LU205" s="2911"/>
      <c r="LV205" s="401"/>
      <c r="LW205" s="395">
        <v>0</v>
      </c>
      <c r="LX205" s="395">
        <v>0</v>
      </c>
      <c r="LY205" s="115">
        <f t="shared" si="798"/>
        <v>0</v>
      </c>
      <c r="LZ205" s="186"/>
      <c r="MA205" s="401"/>
      <c r="MB205" s="395">
        <v>0</v>
      </c>
      <c r="MC205" s="395">
        <v>0</v>
      </c>
      <c r="MD205" s="115">
        <f t="shared" si="799"/>
        <v>0</v>
      </c>
      <c r="ME205" s="186"/>
      <c r="MF205" s="401"/>
      <c r="MG205" s="395">
        <v>0</v>
      </c>
      <c r="MH205" s="395">
        <v>0</v>
      </c>
      <c r="MI205" s="372">
        <f t="shared" si="800"/>
        <v>0</v>
      </c>
      <c r="MJ205" s="207"/>
      <c r="MK205" s="2573"/>
      <c r="ML205" s="395">
        <v>0</v>
      </c>
      <c r="MM205" s="395">
        <v>0</v>
      </c>
      <c r="MN205" s="372">
        <f>MM205-ML205</f>
        <v>0</v>
      </c>
      <c r="MO205" s="207"/>
      <c r="MP205" s="3914"/>
      <c r="MQ205" s="4004">
        <v>0</v>
      </c>
      <c r="MR205" s="4004">
        <v>0</v>
      </c>
      <c r="MS205" s="1317">
        <f t="shared" ref="MS205:MS210" si="820">MR205-MQ205</f>
        <v>0</v>
      </c>
      <c r="MT205" s="801"/>
      <c r="MU205" s="1318"/>
      <c r="MV205" s="395"/>
      <c r="MW205" s="395">
        <v>0</v>
      </c>
      <c r="MX205" s="395">
        <v>0</v>
      </c>
      <c r="MY205" s="801"/>
      <c r="MZ205" s="1318"/>
      <c r="NA205" s="395"/>
      <c r="NB205" s="395"/>
      <c r="NC205" s="395">
        <v>0</v>
      </c>
      <c r="ND205" s="801"/>
      <c r="NE205" s="1318"/>
      <c r="NF205" s="395"/>
      <c r="NG205" s="395"/>
      <c r="NH205" s="395">
        <v>0</v>
      </c>
      <c r="NI205" s="801"/>
      <c r="NJ205" s="1318"/>
      <c r="NK205" s="395"/>
      <c r="NL205" s="395"/>
      <c r="NM205" s="395"/>
      <c r="NN205" s="801"/>
      <c r="NO205" s="2738"/>
      <c r="NP205" s="622"/>
      <c r="NQ205" s="2437">
        <v>0</v>
      </c>
      <c r="NR205" s="395">
        <v>0</v>
      </c>
      <c r="NS205" s="801"/>
      <c r="NT205" s="2738"/>
      <c r="NU205" s="2908">
        <v>0</v>
      </c>
      <c r="NV205" s="622">
        <v>0</v>
      </c>
      <c r="NW205" s="395">
        <f>NV205-NU205</f>
        <v>0</v>
      </c>
      <c r="NX205" s="801"/>
      <c r="NY205" s="2738"/>
      <c r="NZ205" s="622"/>
      <c r="OA205" s="622"/>
      <c r="OB205" s="772">
        <f>OA205-NZ205</f>
        <v>0</v>
      </c>
      <c r="OC205" s="116"/>
      <c r="OD205" s="2433">
        <f>(NY205+NT205+NO205+NJ205+NE205+MZ205+MU205+MP205+MK205+MF205+MA205+LV205)/12</f>
        <v>0</v>
      </c>
      <c r="OE205" s="622">
        <f t="shared" si="768"/>
        <v>0</v>
      </c>
      <c r="OF205" s="622">
        <f t="shared" si="768"/>
        <v>0</v>
      </c>
      <c r="OG205" s="622">
        <f t="shared" si="768"/>
        <v>0</v>
      </c>
      <c r="OH205" s="1576"/>
      <c r="OI205" s="3908">
        <f t="shared" si="801"/>
        <v>0</v>
      </c>
      <c r="OJ205" s="115">
        <f t="shared" si="802"/>
        <v>0</v>
      </c>
      <c r="OK205" s="115">
        <f t="shared" si="802"/>
        <v>0</v>
      </c>
      <c r="OL205" s="115">
        <f t="shared" si="802"/>
        <v>0</v>
      </c>
      <c r="OM205" s="116"/>
      <c r="ON205" s="622">
        <f t="shared" si="803"/>
        <v>0</v>
      </c>
      <c r="OO205" s="622">
        <f t="shared" si="804"/>
        <v>0</v>
      </c>
      <c r="OP205" s="622">
        <f t="shared" si="804"/>
        <v>0</v>
      </c>
      <c r="OQ205" s="2437">
        <f t="shared" si="804"/>
        <v>0</v>
      </c>
      <c r="OR205" s="421"/>
      <c r="OS205" s="3909">
        <f t="shared" si="805"/>
        <v>0</v>
      </c>
      <c r="OT205" s="3886">
        <f t="shared" si="806"/>
        <v>0</v>
      </c>
      <c r="OU205" s="3886">
        <f t="shared" si="806"/>
        <v>0</v>
      </c>
      <c r="OV205" s="3910">
        <f t="shared" si="806"/>
        <v>0</v>
      </c>
      <c r="OW205" s="421"/>
      <c r="OX205" s="2432">
        <f t="shared" si="674"/>
        <v>0</v>
      </c>
      <c r="OY205" s="622">
        <f t="shared" si="807"/>
        <v>0</v>
      </c>
      <c r="OZ205" s="622">
        <f t="shared" si="807"/>
        <v>0</v>
      </c>
      <c r="PA205" s="2437">
        <f t="shared" si="807"/>
        <v>0</v>
      </c>
      <c r="PB205" s="116"/>
      <c r="PC205" s="3886"/>
      <c r="PD205" s="401"/>
      <c r="PE205" s="395"/>
      <c r="PF205" s="395"/>
      <c r="PG205" s="115">
        <f t="shared" si="774"/>
        <v>0</v>
      </c>
      <c r="PH205" s="186"/>
      <c r="PI205" s="401"/>
      <c r="PJ205" s="395"/>
      <c r="PK205" s="395"/>
      <c r="PL205" s="115">
        <f t="shared" si="808"/>
        <v>0</v>
      </c>
      <c r="PM205" s="186"/>
      <c r="PN205" s="401"/>
      <c r="PO205" s="395"/>
      <c r="PP205" s="395"/>
      <c r="PQ205" s="372"/>
      <c r="PR205" s="207"/>
      <c r="PS205" s="2891"/>
      <c r="PT205" s="2001"/>
      <c r="PU205" s="2001"/>
      <c r="PV205" s="2892">
        <f>PU205-PT205</f>
        <v>0</v>
      </c>
      <c r="PW205" s="370"/>
      <c r="PX205" s="3914"/>
      <c r="PY205" s="4004"/>
      <c r="PZ205" s="4004"/>
      <c r="QA205" s="1317">
        <f>PZ205-PY205</f>
        <v>0</v>
      </c>
      <c r="QB205" s="801"/>
      <c r="QC205" s="2002"/>
      <c r="QD205" s="2001"/>
      <c r="QE205" s="2001"/>
      <c r="QF205" s="2001">
        <v>0</v>
      </c>
      <c r="QG205" s="2003"/>
      <c r="QH205" s="401"/>
      <c r="QI205" s="395"/>
      <c r="QJ205" s="395"/>
      <c r="QK205" s="395">
        <v>0</v>
      </c>
      <c r="QL205" s="801"/>
      <c r="QM205" s="401"/>
      <c r="QN205" s="395"/>
      <c r="QO205" s="395"/>
      <c r="QP205" s="395">
        <v>0</v>
      </c>
      <c r="QQ205" s="801"/>
      <c r="QR205" s="2002"/>
      <c r="QS205" s="2001"/>
      <c r="QT205" s="2001"/>
      <c r="QU205" s="2001"/>
      <c r="QV205" s="370"/>
      <c r="QW205" s="2739"/>
      <c r="QX205" s="395"/>
      <c r="QY205" s="395">
        <v>0</v>
      </c>
      <c r="QZ205" s="395">
        <v>0</v>
      </c>
      <c r="RA205" s="2003"/>
      <c r="RB205" s="1336"/>
      <c r="RC205" s="2909">
        <v>0</v>
      </c>
      <c r="RD205" s="1873">
        <v>0</v>
      </c>
      <c r="RE205" s="2001">
        <f>RD205-RC205</f>
        <v>0</v>
      </c>
      <c r="RF205" s="2003"/>
      <c r="RG205" s="2108"/>
      <c r="RH205" s="1873"/>
      <c r="RI205" s="1873"/>
      <c r="RJ205" s="2012">
        <f>RI205-RH205</f>
        <v>0</v>
      </c>
      <c r="RK205" s="116"/>
      <c r="RL205" s="3717">
        <f>(RG205+RB205+QW205+QR205+QM205+QH205+QC205+PX205+PS205+PN205+PI205+PD205)/12</f>
        <v>0</v>
      </c>
      <c r="RM205" s="1873">
        <f t="shared" si="815"/>
        <v>0</v>
      </c>
      <c r="RN205" s="1873">
        <f t="shared" si="815"/>
        <v>0</v>
      </c>
      <c r="RO205" s="1873">
        <f t="shared" si="815"/>
        <v>0</v>
      </c>
      <c r="RP205" s="1576"/>
      <c r="RQ205" s="3908">
        <f t="shared" si="722"/>
        <v>0</v>
      </c>
      <c r="RR205" s="115">
        <f t="shared" si="809"/>
        <v>0</v>
      </c>
      <c r="RS205" s="115">
        <f t="shared" si="809"/>
        <v>0</v>
      </c>
      <c r="RT205" s="115">
        <f t="shared" si="809"/>
        <v>0</v>
      </c>
      <c r="RU205" s="116"/>
      <c r="RV205" s="622">
        <f t="shared" si="810"/>
        <v>0</v>
      </c>
      <c r="RW205" s="622">
        <f t="shared" si="811"/>
        <v>0</v>
      </c>
      <c r="RX205" s="622">
        <f t="shared" si="811"/>
        <v>0</v>
      </c>
      <c r="RY205" s="2437">
        <f t="shared" si="811"/>
        <v>0</v>
      </c>
      <c r="RZ205" s="421"/>
      <c r="SA205" s="3909">
        <f t="shared" si="748"/>
        <v>0</v>
      </c>
      <c r="SB205" s="3886">
        <f t="shared" si="812"/>
        <v>0</v>
      </c>
      <c r="SC205" s="3886">
        <f t="shared" si="812"/>
        <v>0</v>
      </c>
      <c r="SD205" s="3910">
        <f t="shared" si="812"/>
        <v>0</v>
      </c>
      <c r="SE205" s="421"/>
      <c r="SF205" s="3736">
        <f>(SA205+RV205+RQ205+RL205+RG205+RB205+QW205+QR205+QM205+QH205+QC205+PX205)/12</f>
        <v>0</v>
      </c>
      <c r="SG205" s="622">
        <f t="shared" si="769"/>
        <v>0</v>
      </c>
      <c r="SH205" s="622">
        <f t="shared" si="769"/>
        <v>0</v>
      </c>
      <c r="SI205" s="2437">
        <f t="shared" si="769"/>
        <v>0</v>
      </c>
      <c r="SJ205" s="116"/>
      <c r="SK205" s="149"/>
      <c r="SL205" s="2445"/>
      <c r="SM205" s="2001"/>
      <c r="SN205" s="2001"/>
      <c r="SO205" s="3534">
        <f t="shared" si="775"/>
        <v>0</v>
      </c>
      <c r="SP205" s="1498"/>
      <c r="SQ205" s="2445"/>
      <c r="SR205" s="2001"/>
      <c r="SS205" s="2001"/>
      <c r="ST205" s="3534">
        <f t="shared" si="813"/>
        <v>0</v>
      </c>
      <c r="SU205" s="1498"/>
      <c r="SV205" s="401"/>
      <c r="SW205" s="395"/>
      <c r="SX205" s="395"/>
      <c r="SY205" s="372"/>
      <c r="SZ205" s="207"/>
      <c r="TA205" s="2573"/>
      <c r="TB205" s="395"/>
      <c r="TC205" s="395"/>
      <c r="TD205" s="372">
        <f>TC205-TB205</f>
        <v>0</v>
      </c>
      <c r="TE205" s="207"/>
      <c r="TF205" s="4110"/>
      <c r="TG205" s="4124"/>
      <c r="TH205" s="4124"/>
      <c r="TI205" s="395">
        <f>TH205-TG205</f>
        <v>0</v>
      </c>
      <c r="TJ205" s="116"/>
      <c r="TK205" s="2002"/>
      <c r="TL205" s="2001"/>
      <c r="TM205" s="2001"/>
      <c r="TN205" s="2012">
        <v>0</v>
      </c>
      <c r="TO205" s="441"/>
      <c r="TP205" s="4434"/>
      <c r="TQ205" s="395"/>
      <c r="TR205" s="395"/>
      <c r="TS205" s="772">
        <v>0</v>
      </c>
      <c r="TT205" s="116"/>
      <c r="TU205" s="4464"/>
      <c r="TV205" s="2001"/>
      <c r="TW205" s="2001"/>
      <c r="TX205" s="2012">
        <v>0</v>
      </c>
      <c r="TY205" s="441"/>
      <c r="TZ205" s="2002"/>
      <c r="UA205" s="2001"/>
      <c r="UB205" s="2001"/>
      <c r="UC205" s="2012">
        <v>0</v>
      </c>
      <c r="UD205" s="441"/>
      <c r="UE205" s="2002"/>
      <c r="UF205" s="1575"/>
      <c r="UG205" s="1575"/>
      <c r="UH205" s="2552">
        <f t="shared" si="698"/>
        <v>0</v>
      </c>
      <c r="UI205" s="222" t="e">
        <f t="shared" si="699"/>
        <v>#DIV/0!</v>
      </c>
      <c r="UJ205" s="1336"/>
      <c r="UK205" s="2909">
        <v>0</v>
      </c>
      <c r="UL205" s="1873">
        <v>0</v>
      </c>
      <c r="UM205" s="2001">
        <f>UL205-UK205</f>
        <v>0</v>
      </c>
      <c r="UN205" s="2019"/>
      <c r="UO205" s="2108"/>
      <c r="UP205" s="1873"/>
      <c r="UQ205" s="1873"/>
      <c r="UR205" s="2012">
        <f>UQ205-UP205</f>
        <v>0</v>
      </c>
      <c r="US205" s="659"/>
      <c r="UT205" s="2433"/>
      <c r="UU205" s="358">
        <f t="shared" si="700"/>
        <v>0</v>
      </c>
      <c r="UV205" s="358">
        <f t="shared" si="700"/>
        <v>0</v>
      </c>
      <c r="UW205" s="358">
        <f t="shared" si="700"/>
        <v>0</v>
      </c>
      <c r="UX205" s="220" t="e">
        <f t="shared" si="704"/>
        <v>#DIV/0!</v>
      </c>
      <c r="UY205" s="2435">
        <f t="shared" si="765"/>
        <v>0</v>
      </c>
      <c r="UZ205" s="2436">
        <f t="shared" si="766"/>
        <v>0</v>
      </c>
      <c r="VA205" s="2436">
        <f t="shared" si="766"/>
        <v>0</v>
      </c>
      <c r="VB205" s="2436">
        <f t="shared" si="766"/>
        <v>0</v>
      </c>
      <c r="VC205" s="1439"/>
      <c r="VD205" s="622">
        <f t="shared" si="814"/>
        <v>0</v>
      </c>
      <c r="VE205" s="358">
        <f t="shared" si="701"/>
        <v>0</v>
      </c>
      <c r="VF205" s="358">
        <f t="shared" si="701"/>
        <v>0</v>
      </c>
      <c r="VG205" s="359">
        <f t="shared" si="701"/>
        <v>0</v>
      </c>
      <c r="VH205" s="169" t="e">
        <f t="shared" si="702"/>
        <v>#DIV/0!</v>
      </c>
      <c r="VI205" s="2438">
        <f t="shared" si="767"/>
        <v>0</v>
      </c>
      <c r="VJ205" s="146">
        <f t="shared" si="703"/>
        <v>0</v>
      </c>
      <c r="VK205" s="146">
        <f t="shared" si="703"/>
        <v>0</v>
      </c>
      <c r="VL205" s="1864">
        <f t="shared" si="703"/>
        <v>0</v>
      </c>
      <c r="VM205" s="460"/>
      <c r="VN205" s="2433">
        <f>(VI205+VD205+UY205+UT205+UO205+UJ205+UE205+TZ205+TU205+TP205+TK205+TF205)/12</f>
        <v>0</v>
      </c>
      <c r="VO205" s="622">
        <f t="shared" si="770"/>
        <v>0</v>
      </c>
      <c r="VP205" s="622">
        <f t="shared" si="770"/>
        <v>0</v>
      </c>
      <c r="VQ205" s="2437">
        <f t="shared" si="770"/>
        <v>0</v>
      </c>
      <c r="VR205" s="116"/>
      <c r="VS205" s="63"/>
      <c r="VT205" s="63"/>
      <c r="VU205" s="63"/>
      <c r="VV205" s="63"/>
      <c r="VW205" s="63"/>
      <c r="VX205" s="63"/>
      <c r="VY205" s="63"/>
      <c r="VZ205" s="63"/>
      <c r="WA205" s="63"/>
      <c r="WB205" s="63"/>
      <c r="WC205" s="63"/>
      <c r="WD205" s="63"/>
      <c r="WE205" s="63"/>
      <c r="WF205" s="63"/>
      <c r="WG205" s="63"/>
      <c r="WH205" s="63"/>
      <c r="WI205" s="63"/>
      <c r="WJ205" s="63"/>
      <c r="WK205" s="63"/>
      <c r="WL205" s="63"/>
      <c r="WM205" s="63"/>
      <c r="WN205" s="63"/>
      <c r="WO205" s="63"/>
      <c r="WP205" s="63"/>
      <c r="WQ205" s="63"/>
      <c r="WR205" s="63"/>
      <c r="WS205" s="63"/>
      <c r="WT205" s="63"/>
      <c r="WU205" s="63"/>
      <c r="WV205" s="63"/>
      <c r="WW205" s="63"/>
      <c r="WX205" s="63"/>
      <c r="WY205" s="63"/>
      <c r="WZ205" s="63"/>
      <c r="XA205" s="63"/>
      <c r="XB205" s="63"/>
      <c r="XC205" s="63"/>
      <c r="XD205" s="63"/>
      <c r="XE205" s="63"/>
      <c r="XF205" s="63"/>
      <c r="XG205" s="63"/>
      <c r="XH205" s="63"/>
      <c r="XI205" s="63"/>
      <c r="XJ205" s="63"/>
      <c r="XK205" s="63"/>
      <c r="XL205" s="63"/>
      <c r="XM205" s="63"/>
      <c r="XN205" s="63"/>
      <c r="XO205" s="63"/>
      <c r="XP205" s="63"/>
      <c r="XQ205" s="63"/>
      <c r="XR205" s="63"/>
      <c r="XS205" s="63"/>
      <c r="XT205" s="63"/>
      <c r="XU205" s="63"/>
      <c r="XV205" s="63"/>
      <c r="XW205" s="63"/>
      <c r="XX205" s="63"/>
      <c r="XY205" s="63"/>
      <c r="XZ205" s="63"/>
      <c r="YA205" s="63"/>
      <c r="YB205" s="63"/>
      <c r="YC205" s="63"/>
      <c r="YD205" s="63"/>
      <c r="YE205" s="63"/>
      <c r="YF205" s="63"/>
      <c r="YG205" s="63"/>
      <c r="YH205" s="63"/>
      <c r="YI205" s="63"/>
      <c r="YJ205" s="63"/>
      <c r="YK205" s="63"/>
      <c r="YL205" s="63"/>
      <c r="YM205" s="63"/>
      <c r="YN205" s="63"/>
      <c r="YO205" s="63"/>
      <c r="YP205" s="63"/>
      <c r="YQ205" s="63"/>
      <c r="YR205" s="63"/>
      <c r="YS205" s="63"/>
      <c r="YT205" s="63"/>
      <c r="YU205" s="63"/>
      <c r="YV205" s="63"/>
      <c r="YW205" s="63"/>
      <c r="YX205" s="63"/>
      <c r="YY205" s="63"/>
      <c r="YZ205" s="63"/>
      <c r="ZA205" s="63"/>
      <c r="ZB205" s="63"/>
      <c r="ZC205" s="63"/>
      <c r="ZD205" s="63"/>
      <c r="ZE205" s="63"/>
      <c r="ZF205" s="63"/>
      <c r="ZG205" s="63"/>
      <c r="ZH205" s="63"/>
      <c r="ZI205" s="63"/>
      <c r="ZJ205" s="63"/>
      <c r="ZK205" s="63"/>
      <c r="ZL205" s="63"/>
      <c r="ZM205" s="63"/>
      <c r="ZN205" s="63"/>
      <c r="ZO205" s="63"/>
      <c r="ZP205" s="63"/>
      <c r="ZQ205" s="63"/>
      <c r="ZR205" s="63"/>
      <c r="ZS205" s="63"/>
      <c r="ZT205" s="63"/>
      <c r="ZU205" s="63"/>
      <c r="ZV205" s="63"/>
      <c r="ZW205" s="63"/>
      <c r="ZX205" s="63"/>
      <c r="ZY205" s="63"/>
      <c r="ZZ205" s="63"/>
      <c r="AAA205" s="63"/>
      <c r="AAB205" s="63"/>
      <c r="AAC205" s="63"/>
      <c r="AAD205" s="63"/>
      <c r="AAE205" s="63"/>
      <c r="AAF205" s="63"/>
      <c r="AAG205" s="63"/>
      <c r="AAH205" s="63"/>
      <c r="AAI205" s="63"/>
      <c r="AAJ205" s="63"/>
      <c r="AAK205" s="63"/>
      <c r="AAL205" s="63"/>
      <c r="AAM205" s="63"/>
      <c r="AAN205" s="63"/>
      <c r="AAO205" s="63"/>
      <c r="AAP205" s="63"/>
      <c r="AAQ205" s="63"/>
      <c r="AAR205" s="63"/>
      <c r="AAS205" s="63"/>
      <c r="AAT205" s="63"/>
      <c r="AAU205" s="63"/>
      <c r="AAV205" s="63"/>
      <c r="AAW205" s="63"/>
      <c r="AAX205" s="63"/>
      <c r="AAY205" s="63"/>
      <c r="AAZ205" s="63"/>
      <c r="ABA205" s="63"/>
      <c r="ABB205" s="63"/>
      <c r="ABC205" s="63"/>
      <c r="ABD205" s="63"/>
      <c r="ABE205" s="63"/>
      <c r="ABF205" s="63"/>
      <c r="ABG205" s="63"/>
      <c r="ABH205" s="63"/>
      <c r="ABI205" s="63"/>
      <c r="ABJ205" s="63"/>
      <c r="ABK205" s="63"/>
      <c r="ABL205" s="63"/>
      <c r="ABM205" s="63"/>
      <c r="ABN205" s="63"/>
      <c r="ABO205" s="63"/>
      <c r="ABP205" s="63"/>
      <c r="ABQ205" s="63"/>
    </row>
    <row r="206" spans="1:745" s="122" customFormat="1" ht="13.45" hidden="1" x14ac:dyDescent="0.3">
      <c r="A206" s="2906"/>
      <c r="B206" s="583" t="s">
        <v>109</v>
      </c>
      <c r="C206" s="2104" t="s">
        <v>110</v>
      </c>
      <c r="D206" s="2105">
        <v>6800171325</v>
      </c>
      <c r="E206" s="2086">
        <v>44531</v>
      </c>
      <c r="F206" s="2086">
        <v>44926</v>
      </c>
      <c r="G206" s="2007">
        <v>220000</v>
      </c>
      <c r="H206" s="3962"/>
      <c r="I206" s="3889"/>
      <c r="J206" s="3889"/>
      <c r="K206" s="3889"/>
      <c r="L206" s="3963"/>
      <c r="M206" s="3964"/>
      <c r="N206" s="3965"/>
      <c r="O206" s="3965"/>
      <c r="P206" s="3965"/>
      <c r="Q206" s="3966"/>
      <c r="R206" s="3966"/>
      <c r="S206" s="3889"/>
      <c r="T206" s="3889"/>
      <c r="U206" s="3889"/>
      <c r="V206" s="3963"/>
      <c r="W206" s="3889"/>
      <c r="X206" s="3889"/>
      <c r="Y206" s="3967"/>
      <c r="Z206" s="3889"/>
      <c r="AA206" s="3968"/>
      <c r="AB206" s="3967"/>
      <c r="AC206" s="3969"/>
      <c r="AD206" s="3970"/>
      <c r="AE206" s="3889"/>
      <c r="AF206" s="3963"/>
      <c r="AG206" s="3971"/>
      <c r="AH206" s="3889"/>
      <c r="AI206" s="3889"/>
      <c r="AJ206" s="3972"/>
      <c r="AK206" s="3963"/>
      <c r="AL206" s="3971"/>
      <c r="AM206" s="3889"/>
      <c r="AN206" s="3889"/>
      <c r="AO206" s="3967"/>
      <c r="AP206" s="3963"/>
      <c r="AQ206" s="3973"/>
      <c r="AR206" s="3974"/>
      <c r="AS206" s="3974"/>
      <c r="AT206" s="3975"/>
      <c r="AU206" s="3963"/>
      <c r="AV206" s="3976"/>
      <c r="AW206" s="3967"/>
      <c r="AX206" s="3967"/>
      <c r="AY206" s="3967"/>
      <c r="AZ206" s="3963"/>
      <c r="BA206" s="3977"/>
      <c r="BB206" s="3978"/>
      <c r="BC206" s="3969"/>
      <c r="BD206" s="3967"/>
      <c r="BE206" s="3966"/>
      <c r="BF206" s="3976"/>
      <c r="BG206" s="3967"/>
      <c r="BH206" s="3889"/>
      <c r="BI206" s="3967"/>
      <c r="BJ206" s="3979"/>
      <c r="BK206" s="3976"/>
      <c r="BL206" s="3967"/>
      <c r="BM206" s="3889"/>
      <c r="BN206" s="3967"/>
      <c r="BO206" s="3980"/>
      <c r="BP206" s="4005">
        <f>(AV206+AQ206+AL206+AG206+AB206+W206+R206+M206+H206+BA206+BF206+BK206)/12</f>
        <v>0</v>
      </c>
      <c r="BQ206" s="3982">
        <f>AW206+AR206+AM206+AH206+AC206+X206+S206+N206+I206+BB206+BG206+BL206</f>
        <v>0</v>
      </c>
      <c r="BR206" s="3972">
        <f>AX206+AS206+AN206+AI206+AD206+Y206+T206+O206+J206+BC206+BH206+BM206</f>
        <v>0</v>
      </c>
      <c r="BS206" s="3983">
        <f>BR206-BQ206</f>
        <v>0</v>
      </c>
      <c r="BT206" s="3984"/>
      <c r="BU206" s="3972"/>
      <c r="BV206" s="3972"/>
      <c r="BW206" s="3985"/>
      <c r="BX206" s="3986"/>
      <c r="BY206" s="3972"/>
      <c r="BZ206" s="3972"/>
      <c r="CA206" s="3987"/>
      <c r="CB206" s="3988"/>
      <c r="CC206" s="3972"/>
      <c r="CD206" s="3972"/>
      <c r="CE206" s="3989"/>
      <c r="CF206" s="3986"/>
      <c r="CG206" s="3889"/>
      <c r="CH206" s="3889"/>
      <c r="CI206" s="3987"/>
      <c r="CJ206" s="3990"/>
      <c r="CK206" s="3889"/>
      <c r="CL206" s="3889"/>
      <c r="CM206" s="3889"/>
      <c r="CN206" s="3985"/>
      <c r="CO206" s="3990"/>
      <c r="CP206" s="3889"/>
      <c r="CQ206" s="3889"/>
      <c r="CR206" s="3889"/>
      <c r="CS206" s="3985"/>
      <c r="CT206" s="3990"/>
      <c r="CU206" s="3889"/>
      <c r="CV206" s="3889"/>
      <c r="CW206" s="3889"/>
      <c r="CX206" s="3987"/>
      <c r="CY206" s="3990"/>
      <c r="CZ206" s="3889"/>
      <c r="DA206" s="3889"/>
      <c r="DB206" s="3889"/>
      <c r="DC206" s="3987"/>
      <c r="DD206" s="3991"/>
      <c r="DE206" s="3992"/>
      <c r="DF206" s="3992"/>
      <c r="DG206" s="3969"/>
      <c r="DH206" s="4006"/>
      <c r="DI206" s="3990"/>
      <c r="DJ206" s="3992"/>
      <c r="DK206" s="3992"/>
      <c r="DL206" s="3889"/>
      <c r="DM206" s="4006"/>
      <c r="DN206" s="3990"/>
      <c r="DO206" s="3992"/>
      <c r="DP206" s="3992"/>
      <c r="DQ206" s="3889">
        <f>DP206-DO206</f>
        <v>0</v>
      </c>
      <c r="DR206" s="4006"/>
      <c r="DS206" s="3990"/>
      <c r="DT206" s="3992"/>
      <c r="DU206" s="3992"/>
      <c r="DV206" s="3996">
        <v>0</v>
      </c>
      <c r="DW206" s="3987"/>
      <c r="DX206" s="3990">
        <v>5</v>
      </c>
      <c r="DY206" s="3889">
        <v>106576</v>
      </c>
      <c r="DZ206" s="3889">
        <v>200000</v>
      </c>
      <c r="EA206" s="3889">
        <f>DZ206-DY206</f>
        <v>93424</v>
      </c>
      <c r="EB206" s="3993">
        <f>EA206/DZ206</f>
        <v>0.46711999999999998</v>
      </c>
      <c r="EC206" s="3990">
        <v>5</v>
      </c>
      <c r="ED206" s="3889">
        <v>106576</v>
      </c>
      <c r="EE206" s="3889">
        <v>200000</v>
      </c>
      <c r="EF206" s="3972">
        <f>EE206-ED206</f>
        <v>93424</v>
      </c>
      <c r="EG206" s="3993">
        <f>EF206/EE206</f>
        <v>0.46711999999999998</v>
      </c>
      <c r="EH206" s="3990">
        <v>7</v>
      </c>
      <c r="EI206" s="3889">
        <v>155585</v>
      </c>
      <c r="EJ206" s="3889">
        <v>250365</v>
      </c>
      <c r="EK206" s="3889">
        <f>EJ206-EI206</f>
        <v>94780</v>
      </c>
      <c r="EL206" s="3993">
        <f>EK206/EJ206</f>
        <v>0.37856729175403908</v>
      </c>
      <c r="EM206" s="3990">
        <v>7</v>
      </c>
      <c r="EN206" s="3889">
        <v>170148</v>
      </c>
      <c r="EO206" s="3889">
        <v>257097</v>
      </c>
      <c r="EP206" s="3889">
        <f>EO206-EN206</f>
        <v>86949</v>
      </c>
      <c r="EQ206" s="3993">
        <f>EP206/EO206</f>
        <v>0.33819531149721699</v>
      </c>
      <c r="ER206" s="3791">
        <f t="shared" si="771"/>
        <v>2</v>
      </c>
      <c r="ES206" s="3792">
        <f t="shared" si="776"/>
        <v>538885</v>
      </c>
      <c r="ET206" s="3792">
        <f t="shared" si="776"/>
        <v>907462</v>
      </c>
      <c r="EU206" s="3792">
        <f t="shared" si="776"/>
        <v>368577</v>
      </c>
      <c r="EV206" s="370">
        <f t="shared" si="777"/>
        <v>0.40616246189923105</v>
      </c>
      <c r="EW206" s="4000"/>
      <c r="EX206" s="3889"/>
      <c r="EY206" s="3889"/>
      <c r="EZ206" s="4001"/>
      <c r="FA206" s="4007"/>
      <c r="FB206" s="3972"/>
      <c r="FC206" s="3972"/>
      <c r="FD206" s="3985"/>
      <c r="FE206" s="4000">
        <f>(DN206+DS206+DX206)/3</f>
        <v>1.6666666666666667</v>
      </c>
      <c r="FF206" s="3972">
        <f>DP206+DU206+DZ206</f>
        <v>200000</v>
      </c>
      <c r="FG206" s="3972">
        <f>DQ206+DV206+EA206</f>
        <v>93424</v>
      </c>
      <c r="FH206" s="4001">
        <f>FG206/FF206</f>
        <v>0.46711999999999998</v>
      </c>
      <c r="FI206" s="4002">
        <f>(EC206+EH206+EM206)/3</f>
        <v>6.333333333333333</v>
      </c>
      <c r="FJ206" s="4000"/>
      <c r="FK206" s="3972">
        <f>EE206+EJ206+EO206</f>
        <v>707462</v>
      </c>
      <c r="FL206" s="3972">
        <f>EF206+EK206+EP206</f>
        <v>275153</v>
      </c>
      <c r="FM206" s="3985">
        <f>FL206/FK206</f>
        <v>0.3889297234339088</v>
      </c>
      <c r="FN206" s="774">
        <v>7</v>
      </c>
      <c r="FO206" s="3864">
        <v>172665</v>
      </c>
      <c r="FP206" s="3864">
        <v>260000</v>
      </c>
      <c r="FQ206" s="3864">
        <f>FP206-FO206</f>
        <v>87335</v>
      </c>
      <c r="FR206" s="3906">
        <f>FQ206/FP206</f>
        <v>0.33590384615384616</v>
      </c>
      <c r="FS206" s="770">
        <v>4</v>
      </c>
      <c r="FT206" s="3864">
        <v>96665</v>
      </c>
      <c r="FU206" s="3864">
        <v>160000</v>
      </c>
      <c r="FV206" s="3864">
        <f>FU206-FT206</f>
        <v>63335</v>
      </c>
      <c r="FW206" s="362">
        <f>FV206/FU206</f>
        <v>0.39584374999999999</v>
      </c>
      <c r="FX206" s="770">
        <v>4</v>
      </c>
      <c r="FY206" s="622">
        <v>96665</v>
      </c>
      <c r="FZ206" s="622">
        <v>200000</v>
      </c>
      <c r="GA206" s="3864">
        <f>FZ206-FY206</f>
        <v>103335</v>
      </c>
      <c r="GB206" s="362">
        <f>GA206/FZ206</f>
        <v>0.516675</v>
      </c>
      <c r="GC206" s="770">
        <v>4</v>
      </c>
      <c r="GD206" s="622">
        <v>107480</v>
      </c>
      <c r="GE206" s="622">
        <v>200000</v>
      </c>
      <c r="GF206" s="3864">
        <f>GE206-GD206</f>
        <v>92520</v>
      </c>
      <c r="GG206" s="362">
        <f>GF206/GE206</f>
        <v>0.46260000000000001</v>
      </c>
      <c r="GH206" s="770">
        <v>5</v>
      </c>
      <c r="GI206" s="622">
        <v>125831</v>
      </c>
      <c r="GJ206" s="622">
        <v>200000</v>
      </c>
      <c r="GK206" s="3864">
        <f>GJ206-GI206</f>
        <v>74169</v>
      </c>
      <c r="GL206" s="362">
        <f>GK206/GJ206</f>
        <v>0.37084499999999998</v>
      </c>
      <c r="GM206" s="770">
        <v>5</v>
      </c>
      <c r="GN206" s="622">
        <v>125831</v>
      </c>
      <c r="GO206" s="622">
        <v>200000</v>
      </c>
      <c r="GP206" s="3864">
        <f>GO206-GN206</f>
        <v>74169</v>
      </c>
      <c r="GQ206" s="362">
        <f>GP206/GO206</f>
        <v>0.37084499999999998</v>
      </c>
      <c r="GR206" s="770">
        <v>5</v>
      </c>
      <c r="GS206" s="622">
        <f>120798</f>
        <v>120798</v>
      </c>
      <c r="GT206" s="622">
        <v>200000</v>
      </c>
      <c r="GU206" s="3864">
        <f>GT206-GS206</f>
        <v>79202</v>
      </c>
      <c r="GV206" s="362">
        <f>GU206/GT206</f>
        <v>0.39600999999999997</v>
      </c>
      <c r="GW206" s="770">
        <v>5</v>
      </c>
      <c r="GX206" s="622">
        <v>120798</v>
      </c>
      <c r="GY206" s="622">
        <v>200000</v>
      </c>
      <c r="GZ206" s="3864">
        <f>GY206-GX206</f>
        <v>79202</v>
      </c>
      <c r="HA206" s="362">
        <f>GZ206/GY206</f>
        <v>0.39600999999999997</v>
      </c>
      <c r="HB206" s="770">
        <v>5</v>
      </c>
      <c r="HC206" s="622">
        <v>120798</v>
      </c>
      <c r="HD206" s="622">
        <v>190000</v>
      </c>
      <c r="HE206" s="3864">
        <f>HD206-HC206</f>
        <v>69202</v>
      </c>
      <c r="HF206" s="362">
        <f>HE206/HD206</f>
        <v>0.36422105263157895</v>
      </c>
      <c r="HG206" s="770">
        <v>5</v>
      </c>
      <c r="HH206" s="622">
        <v>129332</v>
      </c>
      <c r="HI206" s="622">
        <v>190000</v>
      </c>
      <c r="HJ206" s="3864">
        <f>HI206-HH206</f>
        <v>60668</v>
      </c>
      <c r="HK206" s="362">
        <f>HJ206/HI206</f>
        <v>0.31930526315789476</v>
      </c>
      <c r="HL206" s="770">
        <v>4</v>
      </c>
      <c r="HM206" s="622">
        <v>100166</v>
      </c>
      <c r="HN206" s="622">
        <v>190000</v>
      </c>
      <c r="HO206" s="3864">
        <f>HN206-HM206</f>
        <v>89834</v>
      </c>
      <c r="HP206" s="362">
        <f>HO206/HN206</f>
        <v>0.47281052631578946</v>
      </c>
      <c r="HQ206" s="1325">
        <v>5</v>
      </c>
      <c r="HR206" s="1317">
        <v>115811</v>
      </c>
      <c r="HS206" s="1317">
        <v>190000</v>
      </c>
      <c r="HT206" s="1317">
        <f>HS206-HR206</f>
        <v>74189</v>
      </c>
      <c r="HU206" s="3893">
        <f>HT206/HS206</f>
        <v>0.39046842105263158</v>
      </c>
      <c r="HV206" s="2723">
        <f t="shared" si="772"/>
        <v>4.833333333333333</v>
      </c>
      <c r="HW206" s="395">
        <f t="shared" si="773"/>
        <v>1432840</v>
      </c>
      <c r="HX206" s="395">
        <f t="shared" si="773"/>
        <v>2380000</v>
      </c>
      <c r="HY206" s="395">
        <f t="shared" si="773"/>
        <v>947160</v>
      </c>
      <c r="HZ206" s="2910"/>
      <c r="IA206" s="1834">
        <f>(FN206+FS206+FX206)/3</f>
        <v>5</v>
      </c>
      <c r="IB206" s="1830">
        <f t="shared" si="816"/>
        <v>620000</v>
      </c>
      <c r="IC206" s="1830">
        <f t="shared" si="816"/>
        <v>254005</v>
      </c>
      <c r="ID206" s="1831">
        <f>IC206/IB206</f>
        <v>0.40968548387096776</v>
      </c>
      <c r="IE206" s="1832">
        <f>(GC206+GH206+GM206)/3</f>
        <v>4.666666666666667</v>
      </c>
      <c r="IF206" s="1833">
        <f t="shared" si="817"/>
        <v>600000</v>
      </c>
      <c r="IG206" s="1834">
        <f t="shared" si="817"/>
        <v>240858</v>
      </c>
      <c r="IH206" s="1831">
        <f>IG206/IF206</f>
        <v>0.40143000000000001</v>
      </c>
      <c r="II206" s="1829">
        <f>(GR206+GW206+HB206)/3</f>
        <v>5</v>
      </c>
      <c r="IJ206" s="3894">
        <f t="shared" si="818"/>
        <v>590000</v>
      </c>
      <c r="IK206" s="3894">
        <f t="shared" si="818"/>
        <v>227606</v>
      </c>
      <c r="IL206" s="239">
        <f>IK206/IJ206</f>
        <v>0.38577288135593218</v>
      </c>
      <c r="IM206" s="3907">
        <f>(HB206+HG206+HL206)/3</f>
        <v>4.666666666666667</v>
      </c>
      <c r="IN206" s="3894">
        <f t="shared" si="819"/>
        <v>570000</v>
      </c>
      <c r="IO206" s="3894">
        <f t="shared" si="819"/>
        <v>224691</v>
      </c>
      <c r="IP206" s="3896">
        <f>IO206/IN206</f>
        <v>0.39419473684210526</v>
      </c>
      <c r="IQ206" s="2911"/>
      <c r="IR206" s="3961">
        <v>5</v>
      </c>
      <c r="IS206" s="1317">
        <f>90500+58333</f>
        <v>148833</v>
      </c>
      <c r="IT206" s="1317">
        <v>220000</v>
      </c>
      <c r="IU206" s="3898">
        <f>IT206-IS206</f>
        <v>71167</v>
      </c>
      <c r="IV206" s="3906">
        <f>IU206/IT206</f>
        <v>0.32348636363636363</v>
      </c>
      <c r="IW206" s="3888">
        <v>4</v>
      </c>
      <c r="IX206" s="3889">
        <v>108488</v>
      </c>
      <c r="IY206" s="3889">
        <v>220000</v>
      </c>
      <c r="IZ206" s="3864">
        <f>IY206-IX206</f>
        <v>111512</v>
      </c>
      <c r="JA206" s="362">
        <f>IZ206/IY206</f>
        <v>0.50687272727272725</v>
      </c>
      <c r="JB206" s="3900">
        <v>5</v>
      </c>
      <c r="JC206" s="3901">
        <v>143367</v>
      </c>
      <c r="JD206" s="3902">
        <v>220000</v>
      </c>
      <c r="JE206" s="3864">
        <f>JD206-JC206</f>
        <v>76633</v>
      </c>
      <c r="JF206" s="362">
        <f>JE206/JD206</f>
        <v>0.34833181818181819</v>
      </c>
      <c r="JG206" s="658">
        <v>5</v>
      </c>
      <c r="JH206" s="622">
        <v>144833</v>
      </c>
      <c r="JI206" s="622">
        <v>220000</v>
      </c>
      <c r="JJ206" s="622">
        <f t="shared" si="778"/>
        <v>75167</v>
      </c>
      <c r="JK206" s="362">
        <f t="shared" si="779"/>
        <v>0.34166818181818182</v>
      </c>
      <c r="JL206" s="1832">
        <v>5</v>
      </c>
      <c r="JM206" s="622">
        <v>143768</v>
      </c>
      <c r="JN206" s="622">
        <v>220000</v>
      </c>
      <c r="JO206" s="3903">
        <f t="shared" si="780"/>
        <v>76232</v>
      </c>
      <c r="JP206" s="362">
        <f t="shared" si="781"/>
        <v>0.34650909090909093</v>
      </c>
      <c r="JQ206" s="3904">
        <v>5</v>
      </c>
      <c r="JR206" s="3905">
        <v>144833</v>
      </c>
      <c r="JS206" s="1317">
        <v>220000</v>
      </c>
      <c r="JT206" s="3912">
        <f>JS206-JR206</f>
        <v>75167</v>
      </c>
      <c r="JU206" s="362">
        <f>JT206/JS206</f>
        <v>0.34166818181818182</v>
      </c>
      <c r="JV206" s="658">
        <v>5</v>
      </c>
      <c r="JW206" s="622">
        <v>188833</v>
      </c>
      <c r="JX206" s="1317">
        <v>220000</v>
      </c>
      <c r="JY206" s="3903">
        <f>JX206-JW206</f>
        <v>31167</v>
      </c>
      <c r="JZ206" s="3890">
        <f>JY206/JX206</f>
        <v>0.14166818181818183</v>
      </c>
      <c r="KA206" s="658">
        <v>5</v>
      </c>
      <c r="KB206" s="3666">
        <v>144981</v>
      </c>
      <c r="KC206" s="3905">
        <v>220000</v>
      </c>
      <c r="KD206" s="3864">
        <f t="shared" si="782"/>
        <v>75019</v>
      </c>
      <c r="KE206" s="362">
        <f>KD206/KC206</f>
        <v>0.34099545454545455</v>
      </c>
      <c r="KF206" s="658">
        <v>5</v>
      </c>
      <c r="KG206" s="3905">
        <v>144658</v>
      </c>
      <c r="KH206" s="622">
        <v>220000</v>
      </c>
      <c r="KI206" s="3864">
        <f t="shared" si="783"/>
        <v>75342</v>
      </c>
      <c r="KJ206" s="362">
        <f>KI206/KH206</f>
        <v>0.34246363636363636</v>
      </c>
      <c r="KK206" s="3819">
        <v>4</v>
      </c>
      <c r="KL206" s="1317">
        <v>109833</v>
      </c>
      <c r="KM206" s="1317">
        <v>220000</v>
      </c>
      <c r="KN206" s="3864">
        <f t="shared" si="784"/>
        <v>110167</v>
      </c>
      <c r="KO206" s="3890">
        <f>KN206/KM206</f>
        <v>0.50075909090909088</v>
      </c>
      <c r="KP206" s="2000">
        <v>4</v>
      </c>
      <c r="KQ206" s="1317">
        <v>109833</v>
      </c>
      <c r="KR206" s="3865">
        <v>135116</v>
      </c>
      <c r="KS206" s="1317">
        <f t="shared" si="785"/>
        <v>25283</v>
      </c>
      <c r="KT206" s="3906">
        <f>KS206/KR206</f>
        <v>0.18712069629059475</v>
      </c>
      <c r="KU206" s="3892">
        <v>4</v>
      </c>
      <c r="KV206" s="1317">
        <v>122831</v>
      </c>
      <c r="KW206" s="3865">
        <v>135116</v>
      </c>
      <c r="KX206" s="1317">
        <f t="shared" si="786"/>
        <v>12285</v>
      </c>
      <c r="KY206" s="362">
        <f>KX206/KW206</f>
        <v>9.0921874537434499E-2</v>
      </c>
      <c r="KZ206" s="1832">
        <v>4</v>
      </c>
      <c r="LA206" s="622">
        <f t="shared" si="787"/>
        <v>1655091</v>
      </c>
      <c r="LB206" s="622">
        <f t="shared" si="787"/>
        <v>2470232</v>
      </c>
      <c r="LC206" s="622">
        <f t="shared" si="787"/>
        <v>815141</v>
      </c>
      <c r="LD206" s="1576">
        <f t="shared" si="788"/>
        <v>0.3299856045909858</v>
      </c>
      <c r="LE206" s="1834">
        <f t="shared" si="789"/>
        <v>4.666666666666667</v>
      </c>
      <c r="LF206" s="1830">
        <f t="shared" si="790"/>
        <v>660000</v>
      </c>
      <c r="LG206" s="1830">
        <f t="shared" si="790"/>
        <v>259312</v>
      </c>
      <c r="LH206" s="1831">
        <f>LG206/LF206</f>
        <v>0.39289696969696969</v>
      </c>
      <c r="LI206" s="1832">
        <f t="shared" si="791"/>
        <v>5</v>
      </c>
      <c r="LJ206" s="1833">
        <f t="shared" si="792"/>
        <v>660000</v>
      </c>
      <c r="LK206" s="1834">
        <f t="shared" si="792"/>
        <v>226566</v>
      </c>
      <c r="LL206" s="1831">
        <f t="shared" si="793"/>
        <v>0.34328181818181819</v>
      </c>
      <c r="LM206" s="1829">
        <f t="shared" si="794"/>
        <v>5</v>
      </c>
      <c r="LN206" s="3894">
        <f t="shared" si="795"/>
        <v>660000</v>
      </c>
      <c r="LO206" s="3894">
        <f t="shared" si="795"/>
        <v>181528</v>
      </c>
      <c r="LP206" s="239">
        <f>LO206/LN206</f>
        <v>0.27504242424242425</v>
      </c>
      <c r="LQ206" s="3907">
        <f t="shared" si="796"/>
        <v>4</v>
      </c>
      <c r="LR206" s="3894">
        <f t="shared" si="797"/>
        <v>490232</v>
      </c>
      <c r="LS206" s="3894">
        <f t="shared" si="797"/>
        <v>147735</v>
      </c>
      <c r="LT206" s="3896">
        <f>LS206/LR206</f>
        <v>0.30135731653584424</v>
      </c>
      <c r="LU206" s="2911"/>
      <c r="LV206" s="401">
        <v>3</v>
      </c>
      <c r="LW206" s="395">
        <v>100831</v>
      </c>
      <c r="LX206" s="395">
        <v>110916</v>
      </c>
      <c r="LY206" s="115">
        <f t="shared" si="798"/>
        <v>10085</v>
      </c>
      <c r="LZ206" s="186">
        <f>LY206/LX206</f>
        <v>9.092466370947383E-2</v>
      </c>
      <c r="MA206" s="401">
        <v>2</v>
      </c>
      <c r="MB206" s="395">
        <v>55831</v>
      </c>
      <c r="MC206" s="395">
        <v>61416</v>
      </c>
      <c r="MD206" s="115">
        <f t="shared" si="799"/>
        <v>5585</v>
      </c>
      <c r="ME206" s="186">
        <f>MD206/MC206</f>
        <v>9.0937215057965357E-2</v>
      </c>
      <c r="MF206" s="401">
        <v>3</v>
      </c>
      <c r="MG206" s="395">
        <v>83356</v>
      </c>
      <c r="MH206" s="395">
        <v>92315</v>
      </c>
      <c r="MI206" s="372">
        <f t="shared" si="800"/>
        <v>8959</v>
      </c>
      <c r="MJ206" s="207">
        <f>MI206/MH206</f>
        <v>9.7048150354763579E-2</v>
      </c>
      <c r="MK206" s="2573"/>
      <c r="ML206" s="395">
        <v>0</v>
      </c>
      <c r="MM206" s="395">
        <v>0</v>
      </c>
      <c r="MN206" s="372">
        <f>MM206-ML206</f>
        <v>0</v>
      </c>
      <c r="MO206" s="207"/>
      <c r="MP206" s="3914"/>
      <c r="MQ206" s="4004">
        <v>0</v>
      </c>
      <c r="MR206" s="4004">
        <v>0</v>
      </c>
      <c r="MS206" s="1317">
        <f t="shared" si="820"/>
        <v>0</v>
      </c>
      <c r="MT206" s="801"/>
      <c r="MU206" s="1318"/>
      <c r="MV206" s="395">
        <v>0</v>
      </c>
      <c r="MW206" s="395">
        <v>0</v>
      </c>
      <c r="MX206" s="395">
        <v>0</v>
      </c>
      <c r="MY206" s="801"/>
      <c r="MZ206" s="1318"/>
      <c r="NA206" s="395"/>
      <c r="NB206" s="395"/>
      <c r="NC206" s="395"/>
      <c r="ND206" s="801"/>
      <c r="NE206" s="1318"/>
      <c r="NF206" s="395"/>
      <c r="NG206" s="395"/>
      <c r="NH206" s="395"/>
      <c r="NI206" s="801"/>
      <c r="NJ206" s="1318"/>
      <c r="NK206" s="395"/>
      <c r="NL206" s="395"/>
      <c r="NM206" s="395"/>
      <c r="NN206" s="801"/>
      <c r="NO206" s="2738"/>
      <c r="NP206" s="622"/>
      <c r="NQ206" s="2437">
        <v>0</v>
      </c>
      <c r="NR206" s="395">
        <v>0</v>
      </c>
      <c r="NS206" s="801"/>
      <c r="NT206" s="2738"/>
      <c r="NU206" s="2911"/>
      <c r="NV206" s="622">
        <v>0</v>
      </c>
      <c r="NW206" s="395"/>
      <c r="NX206" s="801"/>
      <c r="NY206" s="2738"/>
      <c r="NZ206" s="622"/>
      <c r="OA206" s="622"/>
      <c r="OB206" s="772"/>
      <c r="OC206" s="116"/>
      <c r="OD206" s="2433"/>
      <c r="OE206" s="622">
        <f t="shared" si="768"/>
        <v>240018</v>
      </c>
      <c r="OF206" s="622">
        <f t="shared" si="768"/>
        <v>264647</v>
      </c>
      <c r="OG206" s="622">
        <f t="shared" si="768"/>
        <v>24629</v>
      </c>
      <c r="OH206" s="1576">
        <f>OG206/OF206</f>
        <v>9.3063590367546203E-2</v>
      </c>
      <c r="OI206" s="3908">
        <f t="shared" si="801"/>
        <v>2.6666666666666665</v>
      </c>
      <c r="OJ206" s="115">
        <f t="shared" si="802"/>
        <v>240018</v>
      </c>
      <c r="OK206" s="115">
        <f t="shared" si="802"/>
        <v>264647</v>
      </c>
      <c r="OL206" s="115">
        <f t="shared" si="802"/>
        <v>24629</v>
      </c>
      <c r="OM206" s="116">
        <f>OL206/OK206</f>
        <v>9.3063590367546203E-2</v>
      </c>
      <c r="ON206" s="622">
        <f t="shared" si="803"/>
        <v>0</v>
      </c>
      <c r="OO206" s="622">
        <f t="shared" si="804"/>
        <v>0</v>
      </c>
      <c r="OP206" s="622">
        <f t="shared" si="804"/>
        <v>0</v>
      </c>
      <c r="OQ206" s="2437">
        <f t="shared" si="804"/>
        <v>0</v>
      </c>
      <c r="OR206" s="421" t="e">
        <f>OQ206/OP206</f>
        <v>#DIV/0!</v>
      </c>
      <c r="OS206" s="3909">
        <f t="shared" si="805"/>
        <v>0</v>
      </c>
      <c r="OT206" s="3886">
        <f t="shared" si="806"/>
        <v>0</v>
      </c>
      <c r="OU206" s="3886">
        <f t="shared" si="806"/>
        <v>0</v>
      </c>
      <c r="OV206" s="3910">
        <f t="shared" si="806"/>
        <v>0</v>
      </c>
      <c r="OW206" s="421"/>
      <c r="OX206" s="2432">
        <f t="shared" si="674"/>
        <v>0</v>
      </c>
      <c r="OY206" s="622">
        <f t="shared" si="807"/>
        <v>0</v>
      </c>
      <c r="OZ206" s="622">
        <f t="shared" si="807"/>
        <v>0</v>
      </c>
      <c r="PA206" s="2437">
        <f t="shared" si="807"/>
        <v>0</v>
      </c>
      <c r="PB206" s="116"/>
      <c r="PC206" s="3886"/>
      <c r="PD206" s="401"/>
      <c r="PE206" s="395"/>
      <c r="PF206" s="395"/>
      <c r="PG206" s="115">
        <f t="shared" si="774"/>
        <v>0</v>
      </c>
      <c r="PH206" s="186"/>
      <c r="PI206" s="401"/>
      <c r="PJ206" s="395"/>
      <c r="PK206" s="395"/>
      <c r="PL206" s="115">
        <f t="shared" si="808"/>
        <v>0</v>
      </c>
      <c r="PM206" s="186"/>
      <c r="PN206" s="401"/>
      <c r="PO206" s="395"/>
      <c r="PP206" s="395"/>
      <c r="PQ206" s="372"/>
      <c r="PR206" s="207"/>
      <c r="PS206" s="2891"/>
      <c r="PT206" s="2001"/>
      <c r="PU206" s="2001"/>
      <c r="PV206" s="2892">
        <f>PU206-PT206</f>
        <v>0</v>
      </c>
      <c r="PW206" s="370"/>
      <c r="PX206" s="3914"/>
      <c r="PY206" s="4004">
        <v>0</v>
      </c>
      <c r="PZ206" s="4004">
        <v>0</v>
      </c>
      <c r="QA206" s="1317">
        <f>PZ206-PY206</f>
        <v>0</v>
      </c>
      <c r="QB206" s="801"/>
      <c r="QC206" s="2002"/>
      <c r="QD206" s="2001"/>
      <c r="QE206" s="2001"/>
      <c r="QF206" s="2001">
        <v>0</v>
      </c>
      <c r="QG206" s="2003"/>
      <c r="QH206" s="401"/>
      <c r="QI206" s="395"/>
      <c r="QJ206" s="395"/>
      <c r="QK206" s="395"/>
      <c r="QL206" s="801"/>
      <c r="QM206" s="401"/>
      <c r="QN206" s="395"/>
      <c r="QO206" s="395"/>
      <c r="QP206" s="395"/>
      <c r="QQ206" s="801"/>
      <c r="QR206" s="2002"/>
      <c r="QS206" s="2001"/>
      <c r="QT206" s="2001"/>
      <c r="QU206" s="2001"/>
      <c r="QV206" s="370"/>
      <c r="QW206" s="2739"/>
      <c r="QX206" s="395"/>
      <c r="QY206" s="395">
        <v>0</v>
      </c>
      <c r="QZ206" s="395">
        <v>0</v>
      </c>
      <c r="RA206" s="2003"/>
      <c r="RB206" s="1336"/>
      <c r="RC206" s="2912"/>
      <c r="RD206" s="1873">
        <v>0</v>
      </c>
      <c r="RE206" s="2001"/>
      <c r="RF206" s="2003"/>
      <c r="RG206" s="2108"/>
      <c r="RH206" s="1873"/>
      <c r="RI206" s="1873"/>
      <c r="RJ206" s="2012"/>
      <c r="RK206" s="116"/>
      <c r="RL206" s="3717"/>
      <c r="RM206" s="1873">
        <f t="shared" si="815"/>
        <v>0</v>
      </c>
      <c r="RN206" s="1873">
        <f t="shared" si="815"/>
        <v>0</v>
      </c>
      <c r="RO206" s="1873">
        <f t="shared" si="815"/>
        <v>0</v>
      </c>
      <c r="RP206" s="1576" t="e">
        <f>RO206/RN206</f>
        <v>#DIV/0!</v>
      </c>
      <c r="RQ206" s="3908">
        <f t="shared" si="722"/>
        <v>0</v>
      </c>
      <c r="RR206" s="115">
        <f t="shared" si="809"/>
        <v>0</v>
      </c>
      <c r="RS206" s="115">
        <f t="shared" si="809"/>
        <v>0</v>
      </c>
      <c r="RT206" s="115">
        <f t="shared" si="809"/>
        <v>0</v>
      </c>
      <c r="RU206" s="116" t="e">
        <f>RT206/RS206</f>
        <v>#DIV/0!</v>
      </c>
      <c r="RV206" s="622">
        <f t="shared" si="810"/>
        <v>0</v>
      </c>
      <c r="RW206" s="622">
        <f t="shared" si="811"/>
        <v>0</v>
      </c>
      <c r="RX206" s="622">
        <f t="shared" si="811"/>
        <v>0</v>
      </c>
      <c r="RY206" s="2437">
        <f t="shared" si="811"/>
        <v>0</v>
      </c>
      <c r="RZ206" s="421" t="e">
        <f>RY206/RX206</f>
        <v>#DIV/0!</v>
      </c>
      <c r="SA206" s="3909">
        <f t="shared" si="748"/>
        <v>0</v>
      </c>
      <c r="SB206" s="3886">
        <f t="shared" si="812"/>
        <v>0</v>
      </c>
      <c r="SC206" s="3886">
        <f t="shared" si="812"/>
        <v>0</v>
      </c>
      <c r="SD206" s="3910">
        <f t="shared" si="812"/>
        <v>0</v>
      </c>
      <c r="SE206" s="421"/>
      <c r="SF206" s="3736"/>
      <c r="SG206" s="622">
        <f t="shared" si="769"/>
        <v>0</v>
      </c>
      <c r="SH206" s="622">
        <f t="shared" si="769"/>
        <v>0</v>
      </c>
      <c r="SI206" s="2437">
        <f t="shared" si="769"/>
        <v>0</v>
      </c>
      <c r="SJ206" s="116"/>
      <c r="SK206" s="149"/>
      <c r="SL206" s="2445"/>
      <c r="SM206" s="2001"/>
      <c r="SN206" s="2001"/>
      <c r="SO206" s="3534">
        <f t="shared" si="775"/>
        <v>0</v>
      </c>
      <c r="SP206" s="1498"/>
      <c r="SQ206" s="2445"/>
      <c r="SR206" s="2001"/>
      <c r="SS206" s="2001"/>
      <c r="ST206" s="3534">
        <f t="shared" si="813"/>
        <v>0</v>
      </c>
      <c r="SU206" s="1498"/>
      <c r="SV206" s="401"/>
      <c r="SW206" s="395"/>
      <c r="SX206" s="395"/>
      <c r="SY206" s="372"/>
      <c r="SZ206" s="207"/>
      <c r="TA206" s="2573"/>
      <c r="TB206" s="395"/>
      <c r="TC206" s="395"/>
      <c r="TD206" s="372">
        <f>TC206-TB206</f>
        <v>0</v>
      </c>
      <c r="TE206" s="207"/>
      <c r="TF206" s="4110"/>
      <c r="TG206" s="4124">
        <v>0</v>
      </c>
      <c r="TH206" s="4124">
        <v>0</v>
      </c>
      <c r="TI206" s="395">
        <f>TH206-TG206</f>
        <v>0</v>
      </c>
      <c r="TJ206" s="116"/>
      <c r="TK206" s="2002"/>
      <c r="TL206" s="2001"/>
      <c r="TM206" s="2001"/>
      <c r="TN206" s="2012">
        <v>0</v>
      </c>
      <c r="TO206" s="441"/>
      <c r="TP206" s="4434"/>
      <c r="TQ206" s="395"/>
      <c r="TR206" s="395"/>
      <c r="TS206" s="772"/>
      <c r="TT206" s="116"/>
      <c r="TU206" s="4464"/>
      <c r="TV206" s="2001"/>
      <c r="TW206" s="2001"/>
      <c r="TX206" s="2012"/>
      <c r="TY206" s="441"/>
      <c r="TZ206" s="2002"/>
      <c r="UA206" s="2001"/>
      <c r="UB206" s="2001"/>
      <c r="UC206" s="2012"/>
      <c r="UD206" s="441"/>
      <c r="UE206" s="2002"/>
      <c r="UF206" s="1575"/>
      <c r="UG206" s="1575"/>
      <c r="UH206" s="2552">
        <f t="shared" si="698"/>
        <v>0</v>
      </c>
      <c r="UI206" s="222" t="e">
        <f t="shared" si="699"/>
        <v>#DIV/0!</v>
      </c>
      <c r="UJ206" s="1336"/>
      <c r="UK206" s="2912"/>
      <c r="UL206" s="1873">
        <v>0</v>
      </c>
      <c r="UM206" s="2001"/>
      <c r="UN206" s="2019"/>
      <c r="UO206" s="2108"/>
      <c r="UP206" s="1873"/>
      <c r="UQ206" s="1873"/>
      <c r="UR206" s="2012"/>
      <c r="US206" s="659"/>
      <c r="UT206" s="2433"/>
      <c r="UU206" s="358">
        <f t="shared" si="700"/>
        <v>0</v>
      </c>
      <c r="UV206" s="358">
        <f t="shared" si="700"/>
        <v>0</v>
      </c>
      <c r="UW206" s="358">
        <f t="shared" si="700"/>
        <v>0</v>
      </c>
      <c r="UX206" s="220" t="e">
        <f t="shared" si="704"/>
        <v>#DIV/0!</v>
      </c>
      <c r="UY206" s="2435">
        <f t="shared" si="765"/>
        <v>0</v>
      </c>
      <c r="UZ206" s="2436">
        <f t="shared" si="766"/>
        <v>0</v>
      </c>
      <c r="VA206" s="2436">
        <f t="shared" si="766"/>
        <v>0</v>
      </c>
      <c r="VB206" s="2436">
        <f t="shared" si="766"/>
        <v>0</v>
      </c>
      <c r="VC206" s="1439" t="e">
        <f>VB206/VA206</f>
        <v>#DIV/0!</v>
      </c>
      <c r="VD206" s="622">
        <f t="shared" si="814"/>
        <v>0</v>
      </c>
      <c r="VE206" s="358">
        <f t="shared" si="701"/>
        <v>0</v>
      </c>
      <c r="VF206" s="358">
        <f t="shared" si="701"/>
        <v>0</v>
      </c>
      <c r="VG206" s="359">
        <f t="shared" si="701"/>
        <v>0</v>
      </c>
      <c r="VH206" s="169" t="e">
        <f t="shared" si="702"/>
        <v>#DIV/0!</v>
      </c>
      <c r="VI206" s="2438">
        <f t="shared" si="767"/>
        <v>0</v>
      </c>
      <c r="VJ206" s="146">
        <f t="shared" si="703"/>
        <v>0</v>
      </c>
      <c r="VK206" s="146">
        <f t="shared" si="703"/>
        <v>0</v>
      </c>
      <c r="VL206" s="1864">
        <f t="shared" si="703"/>
        <v>0</v>
      </c>
      <c r="VM206" s="460"/>
      <c r="VN206" s="2433"/>
      <c r="VO206" s="622">
        <f t="shared" si="770"/>
        <v>0</v>
      </c>
      <c r="VP206" s="622">
        <f t="shared" si="770"/>
        <v>0</v>
      </c>
      <c r="VQ206" s="2437">
        <f t="shared" si="770"/>
        <v>0</v>
      </c>
      <c r="VR206" s="116"/>
      <c r="VS206" s="63"/>
      <c r="VT206" s="63"/>
      <c r="VU206" s="63"/>
      <c r="VV206" s="63"/>
      <c r="VW206" s="63"/>
      <c r="VX206" s="63"/>
      <c r="VY206" s="63"/>
      <c r="VZ206" s="63"/>
      <c r="WA206" s="63"/>
      <c r="WB206" s="63"/>
      <c r="WC206" s="63"/>
      <c r="WD206" s="63"/>
      <c r="WE206" s="63"/>
      <c r="WF206" s="63"/>
      <c r="WG206" s="63"/>
      <c r="WH206" s="63"/>
      <c r="WI206" s="63"/>
      <c r="WJ206" s="63"/>
      <c r="WK206" s="63"/>
      <c r="WL206" s="63"/>
      <c r="WM206" s="63"/>
      <c r="WN206" s="63"/>
      <c r="WO206" s="63"/>
      <c r="WP206" s="63"/>
      <c r="WQ206" s="63"/>
      <c r="WR206" s="63"/>
      <c r="WS206" s="63"/>
      <c r="WT206" s="63"/>
      <c r="WU206" s="63"/>
      <c r="WV206" s="63"/>
      <c r="WW206" s="63"/>
      <c r="WX206" s="63"/>
      <c r="WY206" s="63"/>
      <c r="WZ206" s="63"/>
      <c r="XA206" s="63"/>
      <c r="XB206" s="63"/>
      <c r="XC206" s="63"/>
      <c r="XD206" s="63"/>
      <c r="XE206" s="63"/>
      <c r="XF206" s="63"/>
      <c r="XG206" s="63"/>
      <c r="XH206" s="63"/>
      <c r="XI206" s="63"/>
      <c r="XJ206" s="63"/>
      <c r="XK206" s="63"/>
      <c r="XL206" s="63"/>
      <c r="XM206" s="63"/>
      <c r="XN206" s="63"/>
      <c r="XO206" s="63"/>
      <c r="XP206" s="63"/>
      <c r="XQ206" s="63"/>
      <c r="XR206" s="63"/>
      <c r="XS206" s="63"/>
      <c r="XT206" s="63"/>
      <c r="XU206" s="63"/>
      <c r="XV206" s="63"/>
      <c r="XW206" s="63"/>
      <c r="XX206" s="63"/>
      <c r="XY206" s="63"/>
      <c r="XZ206" s="63"/>
      <c r="YA206" s="63"/>
      <c r="YB206" s="63"/>
      <c r="YC206" s="63"/>
      <c r="YD206" s="63"/>
      <c r="YE206" s="63"/>
      <c r="YF206" s="63"/>
      <c r="YG206" s="63"/>
      <c r="YH206" s="63"/>
      <c r="YI206" s="63"/>
      <c r="YJ206" s="63"/>
      <c r="YK206" s="63"/>
      <c r="YL206" s="63"/>
      <c r="YM206" s="63"/>
      <c r="YN206" s="63"/>
      <c r="YO206" s="63"/>
      <c r="YP206" s="63"/>
      <c r="YQ206" s="63"/>
      <c r="YR206" s="63"/>
      <c r="YS206" s="63"/>
      <c r="YT206" s="63"/>
      <c r="YU206" s="63"/>
      <c r="YV206" s="63"/>
      <c r="YW206" s="63"/>
      <c r="YX206" s="63"/>
      <c r="YY206" s="63"/>
      <c r="YZ206" s="63"/>
      <c r="ZA206" s="63"/>
      <c r="ZB206" s="63"/>
      <c r="ZC206" s="63"/>
      <c r="ZD206" s="63"/>
      <c r="ZE206" s="63"/>
      <c r="ZF206" s="63"/>
      <c r="ZG206" s="63"/>
      <c r="ZH206" s="63"/>
      <c r="ZI206" s="63"/>
      <c r="ZJ206" s="63"/>
      <c r="ZK206" s="63"/>
      <c r="ZL206" s="63"/>
      <c r="ZM206" s="63"/>
      <c r="ZN206" s="63"/>
      <c r="ZO206" s="63"/>
      <c r="ZP206" s="63"/>
      <c r="ZQ206" s="63"/>
      <c r="ZR206" s="63"/>
      <c r="ZS206" s="63"/>
      <c r="ZT206" s="63"/>
      <c r="ZU206" s="63"/>
      <c r="ZV206" s="63"/>
      <c r="ZW206" s="63"/>
      <c r="ZX206" s="63"/>
      <c r="ZY206" s="63"/>
      <c r="ZZ206" s="63"/>
      <c r="AAA206" s="63"/>
      <c r="AAB206" s="63"/>
      <c r="AAC206" s="63"/>
      <c r="AAD206" s="63"/>
      <c r="AAE206" s="63"/>
      <c r="AAF206" s="63"/>
      <c r="AAG206" s="63"/>
      <c r="AAH206" s="63"/>
      <c r="AAI206" s="63"/>
      <c r="AAJ206" s="63"/>
      <c r="AAK206" s="63"/>
      <c r="AAL206" s="63"/>
      <c r="AAM206" s="63"/>
      <c r="AAN206" s="63"/>
      <c r="AAO206" s="63"/>
      <c r="AAP206" s="63"/>
      <c r="AAQ206" s="63"/>
      <c r="AAR206" s="63"/>
      <c r="AAS206" s="63"/>
      <c r="AAT206" s="63"/>
      <c r="AAU206" s="63"/>
      <c r="AAV206" s="63"/>
      <c r="AAW206" s="63"/>
      <c r="AAX206" s="63"/>
      <c r="AAY206" s="63"/>
      <c r="AAZ206" s="63"/>
      <c r="ABA206" s="63"/>
      <c r="ABB206" s="63"/>
      <c r="ABC206" s="63"/>
      <c r="ABD206" s="63"/>
      <c r="ABE206" s="63"/>
      <c r="ABF206" s="63"/>
      <c r="ABG206" s="63"/>
      <c r="ABH206" s="63"/>
      <c r="ABI206" s="63"/>
      <c r="ABJ206" s="63"/>
      <c r="ABK206" s="63"/>
      <c r="ABL206" s="63"/>
      <c r="ABM206" s="63"/>
      <c r="ABN206" s="63"/>
      <c r="ABO206" s="63"/>
      <c r="ABP206" s="63"/>
      <c r="ABQ206" s="63"/>
    </row>
    <row r="207" spans="1:745" s="2425" customFormat="1" ht="13.45" hidden="1" x14ac:dyDescent="0.3">
      <c r="A207" s="2399"/>
      <c r="B207" s="583" t="s">
        <v>109</v>
      </c>
      <c r="C207" s="2104" t="s">
        <v>110</v>
      </c>
      <c r="D207" s="2277" t="s">
        <v>111</v>
      </c>
      <c r="E207" s="2086"/>
      <c r="F207" s="2086"/>
      <c r="G207" s="1994">
        <v>140000</v>
      </c>
      <c r="H207" s="3870"/>
      <c r="I207" s="3871"/>
      <c r="J207" s="3871"/>
      <c r="K207" s="3871"/>
      <c r="L207" s="3872"/>
      <c r="M207" s="3870"/>
      <c r="N207" s="3871"/>
      <c r="O207" s="3871"/>
      <c r="P207" s="3871"/>
      <c r="Q207" s="3872"/>
      <c r="R207" s="3870"/>
      <c r="S207" s="3871"/>
      <c r="T207" s="3871"/>
      <c r="U207" s="3871"/>
      <c r="V207" s="3872"/>
      <c r="W207" s="3870"/>
      <c r="X207" s="3871"/>
      <c r="Y207" s="3871"/>
      <c r="Z207" s="3871"/>
      <c r="AA207" s="3873"/>
      <c r="AB207" s="3870"/>
      <c r="AC207" s="3871"/>
      <c r="AD207" s="3871"/>
      <c r="AE207" s="3871"/>
      <c r="AF207" s="3873"/>
      <c r="AG207" s="3871"/>
      <c r="AH207" s="3871"/>
      <c r="AI207" s="3871"/>
      <c r="AJ207" s="3871"/>
      <c r="AK207" s="3872"/>
      <c r="AL207" s="3871"/>
      <c r="AM207" s="3871"/>
      <c r="AN207" s="3871"/>
      <c r="AO207" s="3871"/>
      <c r="AP207" s="3872"/>
      <c r="AQ207" s="3871"/>
      <c r="AR207" s="3871"/>
      <c r="AS207" s="3871"/>
      <c r="AT207" s="3871"/>
      <c r="AU207" s="3872"/>
      <c r="AV207" s="3874"/>
      <c r="AW207" s="3871"/>
      <c r="AX207" s="3871"/>
      <c r="AY207" s="3871"/>
      <c r="AZ207" s="3873"/>
      <c r="BA207" s="3874"/>
      <c r="BB207" s="3871"/>
      <c r="BC207" s="3871"/>
      <c r="BD207" s="3871"/>
      <c r="BE207" s="3873"/>
      <c r="BF207" s="3874"/>
      <c r="BG207" s="3871"/>
      <c r="BH207" s="3871"/>
      <c r="BI207" s="3871"/>
      <c r="BJ207" s="3873"/>
      <c r="BK207" s="3874"/>
      <c r="BL207" s="3871"/>
      <c r="BM207" s="3871"/>
      <c r="BN207" s="3871"/>
      <c r="BO207" s="3873"/>
      <c r="BP207" s="3875"/>
      <c r="BQ207" s="3871"/>
      <c r="BR207" s="3871"/>
      <c r="BS207" s="3871"/>
      <c r="BT207" s="3876"/>
      <c r="BU207" s="3871"/>
      <c r="BV207" s="3871"/>
      <c r="BW207" s="3877"/>
      <c r="BX207" s="3876"/>
      <c r="BY207" s="3871"/>
      <c r="BZ207" s="3871"/>
      <c r="CA207" s="3878"/>
      <c r="CB207" s="3871"/>
      <c r="CC207" s="3871"/>
      <c r="CD207" s="3871"/>
      <c r="CE207" s="3871"/>
      <c r="CF207" s="3876"/>
      <c r="CG207" s="3871"/>
      <c r="CH207" s="3871"/>
      <c r="CI207" s="3878"/>
      <c r="CJ207" s="3879"/>
      <c r="CK207" s="3871"/>
      <c r="CL207" s="3871"/>
      <c r="CM207" s="3871"/>
      <c r="CN207" s="3877"/>
      <c r="CO207" s="3879"/>
      <c r="CP207" s="3870"/>
      <c r="CQ207" s="3870"/>
      <c r="CR207" s="3870"/>
      <c r="CS207" s="3877"/>
      <c r="CT207" s="3879"/>
      <c r="CU207" s="3871"/>
      <c r="CV207" s="3871"/>
      <c r="CW207" s="3871"/>
      <c r="CX207" s="3877"/>
      <c r="CY207" s="3879"/>
      <c r="CZ207" s="3871"/>
      <c r="DA207" s="3871"/>
      <c r="DB207" s="3871"/>
      <c r="DC207" s="3877"/>
      <c r="DD207" s="3879"/>
      <c r="DE207" s="3871"/>
      <c r="DF207" s="3871"/>
      <c r="DG207" s="3871"/>
      <c r="DH207" s="3880"/>
      <c r="DI207" s="3879"/>
      <c r="DJ207" s="3871"/>
      <c r="DK207" s="3871"/>
      <c r="DL207" s="3871"/>
      <c r="DM207" s="3880"/>
      <c r="DN207" s="3879"/>
      <c r="DO207" s="3871"/>
      <c r="DP207" s="3871"/>
      <c r="DQ207" s="3871"/>
      <c r="DR207" s="3880"/>
      <c r="DS207" s="3879"/>
      <c r="DT207" s="3871"/>
      <c r="DU207" s="3871"/>
      <c r="DV207" s="3871"/>
      <c r="DW207" s="3880"/>
      <c r="DX207" s="3879"/>
      <c r="DY207" s="3871"/>
      <c r="DZ207" s="3871"/>
      <c r="EA207" s="3871"/>
      <c r="EB207" s="3880"/>
      <c r="EC207" s="3879"/>
      <c r="ED207" s="3871"/>
      <c r="EE207" s="3871"/>
      <c r="EF207" s="3871"/>
      <c r="EG207" s="3880"/>
      <c r="EH207" s="2108"/>
      <c r="EI207" s="1873"/>
      <c r="EJ207" s="1873"/>
      <c r="EK207" s="1873"/>
      <c r="EL207" s="3881"/>
      <c r="EM207" s="1832"/>
      <c r="EN207" s="622"/>
      <c r="EO207" s="622"/>
      <c r="EP207" s="622"/>
      <c r="EQ207" s="362"/>
      <c r="ER207" s="3791">
        <f t="shared" si="771"/>
        <v>0</v>
      </c>
      <c r="ES207" s="3792">
        <f t="shared" si="776"/>
        <v>0</v>
      </c>
      <c r="ET207" s="3792">
        <f t="shared" si="776"/>
        <v>0</v>
      </c>
      <c r="EU207" s="3792">
        <f t="shared" si="776"/>
        <v>0</v>
      </c>
      <c r="EV207" s="370" t="e">
        <f t="shared" si="777"/>
        <v>#DIV/0!</v>
      </c>
      <c r="EW207" s="3882"/>
      <c r="EX207" s="3882"/>
      <c r="EY207" s="3882"/>
      <c r="EZ207" s="3883"/>
      <c r="FA207" s="2108"/>
      <c r="FB207" s="3882"/>
      <c r="FC207" s="3882"/>
      <c r="FD207" s="1576"/>
      <c r="FE207" s="3882"/>
      <c r="FF207" s="3882"/>
      <c r="FG207" s="3882"/>
      <c r="FH207" s="3883"/>
      <c r="FI207" s="3884"/>
      <c r="FJ207" s="3885"/>
      <c r="FK207" s="3886"/>
      <c r="FL207" s="3886"/>
      <c r="FM207" s="239"/>
      <c r="FN207" s="3882"/>
      <c r="FO207" s="1873"/>
      <c r="FP207" s="1873"/>
      <c r="FQ207" s="1873"/>
      <c r="FR207" s="3887"/>
      <c r="FS207" s="3888"/>
      <c r="FT207" s="3889"/>
      <c r="FU207" s="3889"/>
      <c r="FV207" s="3889"/>
      <c r="FW207" s="3890"/>
      <c r="FX207" s="2108"/>
      <c r="FY207" s="1873"/>
      <c r="FZ207" s="1873"/>
      <c r="GA207" s="3889">
        <f>FZ207-FY207</f>
        <v>0</v>
      </c>
      <c r="GB207" s="3890" t="e">
        <f>GA207/FZ207</f>
        <v>#DIV/0!</v>
      </c>
      <c r="GC207" s="2108"/>
      <c r="GD207" s="1873"/>
      <c r="GE207" s="1873"/>
      <c r="GF207" s="622"/>
      <c r="GG207" s="362"/>
      <c r="GH207" s="1832">
        <v>3</v>
      </c>
      <c r="GI207" s="622">
        <v>157783</v>
      </c>
      <c r="GJ207" s="622">
        <v>200000</v>
      </c>
      <c r="GK207" s="3891">
        <f>GJ207-GI207</f>
        <v>42217</v>
      </c>
      <c r="GL207" s="3890">
        <f>GK207/GJ207</f>
        <v>0.21108499999999999</v>
      </c>
      <c r="GM207" s="1832">
        <v>3</v>
      </c>
      <c r="GN207" s="622">
        <v>157783</v>
      </c>
      <c r="GO207" s="622">
        <v>200000</v>
      </c>
      <c r="GP207" s="3891">
        <f>GO207-GN207</f>
        <v>42217</v>
      </c>
      <c r="GQ207" s="3890">
        <f>GP207/GO207</f>
        <v>0.21108499999999999</v>
      </c>
      <c r="GR207" s="2000">
        <v>1</v>
      </c>
      <c r="GS207" s="1317">
        <v>58333</v>
      </c>
      <c r="GT207" s="1317">
        <v>80000</v>
      </c>
      <c r="GU207" s="3891">
        <f>GT207-GS207</f>
        <v>21667</v>
      </c>
      <c r="GV207" s="3890">
        <f>GU207/GT207</f>
        <v>0.27083750000000001</v>
      </c>
      <c r="GW207" s="2000">
        <v>2</v>
      </c>
      <c r="GX207" s="1317">
        <v>108333</v>
      </c>
      <c r="GY207" s="1317">
        <v>140000</v>
      </c>
      <c r="GZ207" s="3891">
        <f>GY207-GX207</f>
        <v>31667</v>
      </c>
      <c r="HA207" s="3890">
        <f>GZ207/GY207</f>
        <v>0.22619285714285714</v>
      </c>
      <c r="HB207" s="2000">
        <v>2</v>
      </c>
      <c r="HC207" s="1317">
        <v>108333</v>
      </c>
      <c r="HD207" s="1317">
        <v>140000</v>
      </c>
      <c r="HE207" s="3891">
        <f>HD207-HC207</f>
        <v>31667</v>
      </c>
      <c r="HF207" s="3890">
        <f>HE207/HD207</f>
        <v>0.22619285714285714</v>
      </c>
      <c r="HG207" s="2000">
        <v>2</v>
      </c>
      <c r="HH207" s="1317">
        <v>108333</v>
      </c>
      <c r="HI207" s="1317">
        <v>140000</v>
      </c>
      <c r="HJ207" s="3864">
        <f>HI207-HH207</f>
        <v>31667</v>
      </c>
      <c r="HK207" s="3890">
        <f>HJ207/HI207</f>
        <v>0.22619285714285714</v>
      </c>
      <c r="HL207" s="2000">
        <v>2</v>
      </c>
      <c r="HM207" s="1317">
        <v>108333</v>
      </c>
      <c r="HN207" s="1317">
        <v>140000</v>
      </c>
      <c r="HO207" s="1317">
        <f>HN207-HM207</f>
        <v>31667</v>
      </c>
      <c r="HP207" s="362">
        <f>HO207/HN207</f>
        <v>0.22619285714285714</v>
      </c>
      <c r="HQ207" s="3892">
        <v>2</v>
      </c>
      <c r="HR207" s="1317">
        <v>108333</v>
      </c>
      <c r="HS207" s="1317">
        <v>140000</v>
      </c>
      <c r="HT207" s="1317">
        <f>HS207-HR207</f>
        <v>31667</v>
      </c>
      <c r="HU207" s="3893">
        <f>HT207/HS207</f>
        <v>0.22619285714285714</v>
      </c>
      <c r="HV207" s="2723">
        <f t="shared" si="772"/>
        <v>1.4166666666666667</v>
      </c>
      <c r="HW207" s="395">
        <f t="shared" si="773"/>
        <v>915564</v>
      </c>
      <c r="HX207" s="395">
        <f t="shared" si="773"/>
        <v>1180000</v>
      </c>
      <c r="HY207" s="395">
        <f t="shared" si="773"/>
        <v>264436</v>
      </c>
      <c r="HZ207" s="2890"/>
      <c r="IA207" s="1834">
        <f>(FN207+FS207+FX207)/3</f>
        <v>0</v>
      </c>
      <c r="IB207" s="1830">
        <f t="shared" si="816"/>
        <v>0</v>
      </c>
      <c r="IC207" s="1830">
        <f t="shared" si="816"/>
        <v>0</v>
      </c>
      <c r="ID207" s="1831"/>
      <c r="IE207" s="1832">
        <f>(GC207+GH207+GM207)/3</f>
        <v>2</v>
      </c>
      <c r="IF207" s="1833">
        <f t="shared" si="817"/>
        <v>400000</v>
      </c>
      <c r="IG207" s="1834">
        <f t="shared" si="817"/>
        <v>84434</v>
      </c>
      <c r="IH207" s="1831">
        <f>IG207/IF207</f>
        <v>0.21108499999999999</v>
      </c>
      <c r="II207" s="1829">
        <f>(GR207+GW207+HB207)/3</f>
        <v>1.6666666666666667</v>
      </c>
      <c r="IJ207" s="3894">
        <f t="shared" si="818"/>
        <v>360000</v>
      </c>
      <c r="IK207" s="3894">
        <f t="shared" si="818"/>
        <v>85001</v>
      </c>
      <c r="IL207" s="239">
        <f>IK207/IJ207</f>
        <v>0.2361138888888889</v>
      </c>
      <c r="IM207" s="3895">
        <f>(HB207+HG207+HL207)/3</f>
        <v>2</v>
      </c>
      <c r="IN207" s="3894">
        <f t="shared" si="819"/>
        <v>420000</v>
      </c>
      <c r="IO207" s="3894">
        <f t="shared" si="819"/>
        <v>95001</v>
      </c>
      <c r="IP207" s="3896">
        <f>IO207/IN207</f>
        <v>0.22619285714285714</v>
      </c>
      <c r="IQ207" s="1873"/>
      <c r="IR207" s="3897">
        <v>2</v>
      </c>
      <c r="IS207" s="1317">
        <v>78000</v>
      </c>
      <c r="IT207" s="1317">
        <v>140000</v>
      </c>
      <c r="IU207" s="3898">
        <f>IT207-IS207</f>
        <v>62000</v>
      </c>
      <c r="IV207" s="3899">
        <f>IU207/IT207</f>
        <v>0.44285714285714284</v>
      </c>
      <c r="IW207" s="3888">
        <v>2</v>
      </c>
      <c r="IX207" s="3889">
        <v>78000</v>
      </c>
      <c r="IY207" s="3889">
        <v>140000</v>
      </c>
      <c r="IZ207" s="3864">
        <f>IY207-IX207</f>
        <v>62000</v>
      </c>
      <c r="JA207" s="362">
        <f>IZ207/IY207</f>
        <v>0.44285714285714284</v>
      </c>
      <c r="JB207" s="3900">
        <v>2</v>
      </c>
      <c r="JC207" s="3901">
        <v>94000</v>
      </c>
      <c r="JD207" s="3902">
        <v>140000</v>
      </c>
      <c r="JE207" s="3889">
        <f>JD207-JC207</f>
        <v>46000</v>
      </c>
      <c r="JF207" s="362">
        <f>JE207/JD207</f>
        <v>0.32857142857142857</v>
      </c>
      <c r="JG207" s="658">
        <v>2</v>
      </c>
      <c r="JH207" s="622">
        <v>94000</v>
      </c>
      <c r="JI207" s="622">
        <v>140000</v>
      </c>
      <c r="JJ207" s="622">
        <f t="shared" si="778"/>
        <v>46000</v>
      </c>
      <c r="JK207" s="362">
        <f t="shared" si="779"/>
        <v>0.32857142857142857</v>
      </c>
      <c r="JL207" s="1832">
        <v>2</v>
      </c>
      <c r="JM207" s="622">
        <v>94000</v>
      </c>
      <c r="JN207" s="622">
        <v>140000</v>
      </c>
      <c r="JO207" s="3903">
        <f t="shared" si="780"/>
        <v>46000</v>
      </c>
      <c r="JP207" s="362">
        <f t="shared" si="781"/>
        <v>0.32857142857142857</v>
      </c>
      <c r="JQ207" s="3904">
        <v>2</v>
      </c>
      <c r="JR207" s="3905">
        <v>94000</v>
      </c>
      <c r="JS207" s="1317">
        <v>140000</v>
      </c>
      <c r="JT207" s="3912">
        <f>JS207-JR207</f>
        <v>46000</v>
      </c>
      <c r="JU207" s="3890">
        <f>JT207/JS207</f>
        <v>0.32857142857142857</v>
      </c>
      <c r="JV207" s="658">
        <v>2</v>
      </c>
      <c r="JW207" s="3905">
        <v>94000</v>
      </c>
      <c r="JX207" s="1317">
        <v>138000</v>
      </c>
      <c r="JY207" s="3903">
        <f>JX207-JW207</f>
        <v>44000</v>
      </c>
      <c r="JZ207" s="3890">
        <f>JY207/JX207</f>
        <v>0.3188405797101449</v>
      </c>
      <c r="KA207" s="3819">
        <v>1</v>
      </c>
      <c r="KB207" s="1317">
        <v>44000</v>
      </c>
      <c r="KC207" s="1317">
        <v>80000</v>
      </c>
      <c r="KD207" s="3864">
        <f t="shared" si="782"/>
        <v>36000</v>
      </c>
      <c r="KE207" s="3890">
        <f>KD207/KC207</f>
        <v>0.45</v>
      </c>
      <c r="KF207" s="658">
        <v>1</v>
      </c>
      <c r="KG207" s="1317">
        <v>44000</v>
      </c>
      <c r="KH207" s="1317">
        <v>80000</v>
      </c>
      <c r="KI207" s="3864">
        <f t="shared" si="783"/>
        <v>36000</v>
      </c>
      <c r="KJ207" s="362">
        <f>KI207/KH207</f>
        <v>0.45</v>
      </c>
      <c r="KK207" s="3819">
        <v>1</v>
      </c>
      <c r="KL207" s="1317">
        <v>44000</v>
      </c>
      <c r="KM207" s="1317">
        <v>80000</v>
      </c>
      <c r="KN207" s="3864">
        <f t="shared" si="784"/>
        <v>36000</v>
      </c>
      <c r="KO207" s="3890">
        <f>KN207/KM207</f>
        <v>0.45</v>
      </c>
      <c r="KP207" s="2000">
        <v>1</v>
      </c>
      <c r="KQ207" s="1317">
        <v>44000</v>
      </c>
      <c r="KR207" s="3865">
        <v>48400</v>
      </c>
      <c r="KS207" s="1317">
        <f t="shared" si="785"/>
        <v>4400</v>
      </c>
      <c r="KT207" s="3906">
        <f>KS207/KR207</f>
        <v>9.0909090909090912E-2</v>
      </c>
      <c r="KU207" s="3892">
        <v>1</v>
      </c>
      <c r="KV207" s="1317">
        <v>44000</v>
      </c>
      <c r="KW207" s="3865">
        <v>48400</v>
      </c>
      <c r="KX207" s="1317">
        <f t="shared" si="786"/>
        <v>4400</v>
      </c>
      <c r="KY207" s="362">
        <f>KX207/KW207</f>
        <v>9.0909090909090912E-2</v>
      </c>
      <c r="KZ207" s="1832">
        <v>1</v>
      </c>
      <c r="LA207" s="622">
        <f t="shared" si="787"/>
        <v>846000</v>
      </c>
      <c r="LB207" s="622">
        <f t="shared" si="787"/>
        <v>1314800</v>
      </c>
      <c r="LC207" s="622">
        <f t="shared" si="787"/>
        <v>468800</v>
      </c>
      <c r="LD207" s="1576">
        <f t="shared" si="788"/>
        <v>0.35655613020991783</v>
      </c>
      <c r="LE207" s="1834">
        <f t="shared" si="789"/>
        <v>2</v>
      </c>
      <c r="LF207" s="1830">
        <f t="shared" si="790"/>
        <v>420000</v>
      </c>
      <c r="LG207" s="1830">
        <f t="shared" si="790"/>
        <v>170000</v>
      </c>
      <c r="LH207" s="1831">
        <f>LG207/LF207</f>
        <v>0.40476190476190477</v>
      </c>
      <c r="LI207" s="1832">
        <f t="shared" si="791"/>
        <v>2</v>
      </c>
      <c r="LJ207" s="1833">
        <f t="shared" si="792"/>
        <v>420000</v>
      </c>
      <c r="LK207" s="1834">
        <f t="shared" si="792"/>
        <v>138000</v>
      </c>
      <c r="LL207" s="1831">
        <f t="shared" si="793"/>
        <v>0.32857142857142857</v>
      </c>
      <c r="LM207" s="1829">
        <f t="shared" si="794"/>
        <v>1.3333333333333333</v>
      </c>
      <c r="LN207" s="3894">
        <f t="shared" si="795"/>
        <v>298000</v>
      </c>
      <c r="LO207" s="3894">
        <f t="shared" si="795"/>
        <v>116000</v>
      </c>
      <c r="LP207" s="239">
        <f>LO207/LN207</f>
        <v>0.38926174496644295</v>
      </c>
      <c r="LQ207" s="3907">
        <f t="shared" si="796"/>
        <v>1</v>
      </c>
      <c r="LR207" s="3894">
        <f t="shared" si="797"/>
        <v>176800</v>
      </c>
      <c r="LS207" s="3894">
        <f t="shared" si="797"/>
        <v>44800</v>
      </c>
      <c r="LT207" s="3896">
        <f>LS207/LR207</f>
        <v>0.25339366515837103</v>
      </c>
      <c r="LU207" s="1873"/>
      <c r="LV207" s="401">
        <v>1</v>
      </c>
      <c r="LW207" s="395">
        <v>44700</v>
      </c>
      <c r="LX207" s="395">
        <v>48400</v>
      </c>
      <c r="LY207" s="115">
        <f t="shared" si="798"/>
        <v>3700</v>
      </c>
      <c r="LZ207" s="186">
        <f>LY207/LX207</f>
        <v>7.6446280991735532E-2</v>
      </c>
      <c r="MA207" s="401">
        <v>1</v>
      </c>
      <c r="MB207" s="395">
        <v>44000</v>
      </c>
      <c r="MC207" s="395">
        <v>48400</v>
      </c>
      <c r="MD207" s="115">
        <f t="shared" si="799"/>
        <v>4400</v>
      </c>
      <c r="ME207" s="186">
        <f>MD207/MC207</f>
        <v>9.0909090909090912E-2</v>
      </c>
      <c r="MF207" s="401">
        <v>1</v>
      </c>
      <c r="MG207" s="395">
        <v>44000</v>
      </c>
      <c r="MH207" s="395">
        <v>48400</v>
      </c>
      <c r="MI207" s="372">
        <f t="shared" si="800"/>
        <v>4400</v>
      </c>
      <c r="MJ207" s="207">
        <f>MI207/MH207</f>
        <v>9.0909090909090912E-2</v>
      </c>
      <c r="MK207" s="2573"/>
      <c r="ML207" s="395">
        <v>0</v>
      </c>
      <c r="MM207" s="395">
        <v>0</v>
      </c>
      <c r="MN207" s="372">
        <f>MM207-ML207</f>
        <v>0</v>
      </c>
      <c r="MO207" s="207"/>
      <c r="MP207" s="3914"/>
      <c r="MQ207" s="1317">
        <v>0</v>
      </c>
      <c r="MR207" s="1317">
        <v>0</v>
      </c>
      <c r="MS207" s="1317">
        <f t="shared" si="820"/>
        <v>0</v>
      </c>
      <c r="MT207" s="801"/>
      <c r="MU207" s="1318"/>
      <c r="MV207" s="395">
        <v>0</v>
      </c>
      <c r="MW207" s="395">
        <v>0</v>
      </c>
      <c r="MX207" s="395">
        <v>0</v>
      </c>
      <c r="MY207" s="801"/>
      <c r="MZ207" s="1318"/>
      <c r="NA207" s="395"/>
      <c r="NB207" s="395"/>
      <c r="NC207" s="395"/>
      <c r="ND207" s="801"/>
      <c r="NE207" s="1318"/>
      <c r="NF207" s="395"/>
      <c r="NG207" s="395"/>
      <c r="NH207" s="395"/>
      <c r="NI207" s="801"/>
      <c r="NJ207" s="1318"/>
      <c r="NK207" s="395"/>
      <c r="NL207" s="395"/>
      <c r="NM207" s="395"/>
      <c r="NN207" s="801"/>
      <c r="NO207" s="2432"/>
      <c r="NP207" s="622"/>
      <c r="NQ207" s="2437">
        <v>0</v>
      </c>
      <c r="NR207" s="395">
        <v>0</v>
      </c>
      <c r="NS207" s="801"/>
      <c r="NT207" s="2432"/>
      <c r="NU207" s="622"/>
      <c r="NV207" s="622">
        <v>0</v>
      </c>
      <c r="NW207" s="395"/>
      <c r="NX207" s="801"/>
      <c r="NY207" s="2432"/>
      <c r="NZ207" s="622"/>
      <c r="OA207" s="622"/>
      <c r="OB207" s="772"/>
      <c r="OC207" s="116"/>
      <c r="OD207" s="2433"/>
      <c r="OE207" s="622">
        <f t="shared" si="768"/>
        <v>132700</v>
      </c>
      <c r="OF207" s="622">
        <f t="shared" si="768"/>
        <v>145200</v>
      </c>
      <c r="OG207" s="622">
        <f t="shared" si="768"/>
        <v>12500</v>
      </c>
      <c r="OH207" s="1576">
        <f>OG207/OF207</f>
        <v>8.6088154269972447E-2</v>
      </c>
      <c r="OI207" s="3908">
        <f t="shared" si="801"/>
        <v>1</v>
      </c>
      <c r="OJ207" s="115">
        <f t="shared" si="802"/>
        <v>132700</v>
      </c>
      <c r="OK207" s="115">
        <f t="shared" si="802"/>
        <v>145200</v>
      </c>
      <c r="OL207" s="115">
        <f t="shared" si="802"/>
        <v>12500</v>
      </c>
      <c r="OM207" s="116">
        <f>OL207/OK207</f>
        <v>8.6088154269972447E-2</v>
      </c>
      <c r="ON207" s="622">
        <f t="shared" si="803"/>
        <v>0</v>
      </c>
      <c r="OO207" s="622">
        <f t="shared" si="804"/>
        <v>0</v>
      </c>
      <c r="OP207" s="622">
        <f t="shared" si="804"/>
        <v>0</v>
      </c>
      <c r="OQ207" s="2437">
        <f t="shared" si="804"/>
        <v>0</v>
      </c>
      <c r="OR207" s="421" t="e">
        <f>OQ207/OP207</f>
        <v>#DIV/0!</v>
      </c>
      <c r="OS207" s="3909">
        <f t="shared" si="805"/>
        <v>0</v>
      </c>
      <c r="OT207" s="3886">
        <f t="shared" si="806"/>
        <v>0</v>
      </c>
      <c r="OU207" s="3886">
        <f t="shared" si="806"/>
        <v>0</v>
      </c>
      <c r="OV207" s="3910">
        <f t="shared" si="806"/>
        <v>0</v>
      </c>
      <c r="OW207" s="421"/>
      <c r="OX207" s="2432">
        <f t="shared" si="674"/>
        <v>0</v>
      </c>
      <c r="OY207" s="622">
        <f t="shared" si="807"/>
        <v>0</v>
      </c>
      <c r="OZ207" s="622">
        <f t="shared" si="807"/>
        <v>0</v>
      </c>
      <c r="PA207" s="2437">
        <f t="shared" si="807"/>
        <v>0</v>
      </c>
      <c r="PB207" s="116"/>
      <c r="PC207" s="3886"/>
      <c r="PD207" s="401"/>
      <c r="PE207" s="395"/>
      <c r="PF207" s="395"/>
      <c r="PG207" s="115">
        <f t="shared" si="774"/>
        <v>0</v>
      </c>
      <c r="PH207" s="186"/>
      <c r="PI207" s="401"/>
      <c r="PJ207" s="395"/>
      <c r="PK207" s="395"/>
      <c r="PL207" s="115">
        <f t="shared" si="808"/>
        <v>0</v>
      </c>
      <c r="PM207" s="186"/>
      <c r="PN207" s="401"/>
      <c r="PO207" s="395"/>
      <c r="PP207" s="395"/>
      <c r="PQ207" s="372"/>
      <c r="PR207" s="207"/>
      <c r="PS207" s="2891"/>
      <c r="PT207" s="2001"/>
      <c r="PU207" s="2001"/>
      <c r="PV207" s="2892">
        <f>PU207-PT207</f>
        <v>0</v>
      </c>
      <c r="PW207" s="370"/>
      <c r="PX207" s="3914"/>
      <c r="PY207" s="1317">
        <v>0</v>
      </c>
      <c r="PZ207" s="1317">
        <v>0</v>
      </c>
      <c r="QA207" s="1317">
        <f>PZ207-PY207</f>
        <v>0</v>
      </c>
      <c r="QB207" s="801"/>
      <c r="QC207" s="2002"/>
      <c r="QD207" s="2001"/>
      <c r="QE207" s="2001"/>
      <c r="QF207" s="2001">
        <v>0</v>
      </c>
      <c r="QG207" s="2003"/>
      <c r="QH207" s="401"/>
      <c r="QI207" s="395"/>
      <c r="QJ207" s="395"/>
      <c r="QK207" s="395"/>
      <c r="QL207" s="801"/>
      <c r="QM207" s="401"/>
      <c r="QN207" s="395"/>
      <c r="QO207" s="395"/>
      <c r="QP207" s="395"/>
      <c r="QQ207" s="801"/>
      <c r="QR207" s="2002"/>
      <c r="QS207" s="2001"/>
      <c r="QT207" s="2001"/>
      <c r="QU207" s="2001"/>
      <c r="QV207" s="370"/>
      <c r="QW207" s="1318"/>
      <c r="QX207" s="395"/>
      <c r="QY207" s="395">
        <v>0</v>
      </c>
      <c r="QZ207" s="395">
        <v>0</v>
      </c>
      <c r="RA207" s="2003"/>
      <c r="RB207" s="2430"/>
      <c r="RC207" s="1873"/>
      <c r="RD207" s="1873">
        <v>0</v>
      </c>
      <c r="RE207" s="2001"/>
      <c r="RF207" s="2003"/>
      <c r="RG207" s="2108"/>
      <c r="RH207" s="1873"/>
      <c r="RI207" s="1873"/>
      <c r="RJ207" s="2012"/>
      <c r="RK207" s="116"/>
      <c r="RL207" s="3717"/>
      <c r="RM207" s="1873">
        <f t="shared" si="815"/>
        <v>0</v>
      </c>
      <c r="RN207" s="1873">
        <f t="shared" si="815"/>
        <v>0</v>
      </c>
      <c r="RO207" s="1873">
        <f t="shared" si="815"/>
        <v>0</v>
      </c>
      <c r="RP207" s="1576" t="e">
        <f>RO207/RN207</f>
        <v>#DIV/0!</v>
      </c>
      <c r="RQ207" s="3908">
        <f t="shared" si="722"/>
        <v>0</v>
      </c>
      <c r="RR207" s="115">
        <f t="shared" si="809"/>
        <v>0</v>
      </c>
      <c r="RS207" s="115">
        <f t="shared" si="809"/>
        <v>0</v>
      </c>
      <c r="RT207" s="115">
        <f t="shared" si="809"/>
        <v>0</v>
      </c>
      <c r="RU207" s="116" t="e">
        <f>RT207/RS207</f>
        <v>#DIV/0!</v>
      </c>
      <c r="RV207" s="622">
        <f t="shared" si="810"/>
        <v>0</v>
      </c>
      <c r="RW207" s="622">
        <f t="shared" si="811"/>
        <v>0</v>
      </c>
      <c r="RX207" s="622">
        <f t="shared" si="811"/>
        <v>0</v>
      </c>
      <c r="RY207" s="2437">
        <f t="shared" si="811"/>
        <v>0</v>
      </c>
      <c r="RZ207" s="421" t="e">
        <f>RY207/RX207</f>
        <v>#DIV/0!</v>
      </c>
      <c r="SA207" s="3909">
        <f t="shared" si="748"/>
        <v>0</v>
      </c>
      <c r="SB207" s="3886">
        <f t="shared" si="812"/>
        <v>0</v>
      </c>
      <c r="SC207" s="3886">
        <f t="shared" si="812"/>
        <v>0</v>
      </c>
      <c r="SD207" s="3910">
        <f t="shared" si="812"/>
        <v>0</v>
      </c>
      <c r="SE207" s="421"/>
      <c r="SF207" s="3736"/>
      <c r="SG207" s="622">
        <f t="shared" si="769"/>
        <v>0</v>
      </c>
      <c r="SH207" s="622">
        <f t="shared" si="769"/>
        <v>0</v>
      </c>
      <c r="SI207" s="2437">
        <f t="shared" si="769"/>
        <v>0</v>
      </c>
      <c r="SJ207" s="116"/>
      <c r="SK207" s="1568"/>
      <c r="SL207" s="2445"/>
      <c r="SM207" s="2001"/>
      <c r="SN207" s="2001"/>
      <c r="SO207" s="3534">
        <f t="shared" si="775"/>
        <v>0</v>
      </c>
      <c r="SP207" s="1498"/>
      <c r="SQ207" s="2445"/>
      <c r="SR207" s="2001"/>
      <c r="SS207" s="2001"/>
      <c r="ST207" s="3534">
        <f t="shared" si="813"/>
        <v>0</v>
      </c>
      <c r="SU207" s="1498"/>
      <c r="SV207" s="401"/>
      <c r="SW207" s="395"/>
      <c r="SX207" s="395"/>
      <c r="SY207" s="372"/>
      <c r="SZ207" s="207"/>
      <c r="TA207" s="2573"/>
      <c r="TB207" s="395"/>
      <c r="TC207" s="395"/>
      <c r="TD207" s="372">
        <f>TC207-TB207</f>
        <v>0</v>
      </c>
      <c r="TE207" s="207"/>
      <c r="TF207" s="4110"/>
      <c r="TG207" s="395">
        <v>0</v>
      </c>
      <c r="TH207" s="395">
        <v>0</v>
      </c>
      <c r="TI207" s="395">
        <f>TH207-TG207</f>
        <v>0</v>
      </c>
      <c r="TJ207" s="116"/>
      <c r="TK207" s="2002"/>
      <c r="TL207" s="2001"/>
      <c r="TM207" s="2001"/>
      <c r="TN207" s="2012">
        <v>0</v>
      </c>
      <c r="TO207" s="441"/>
      <c r="TP207" s="4434"/>
      <c r="TQ207" s="395"/>
      <c r="TR207" s="395"/>
      <c r="TS207" s="772"/>
      <c r="TT207" s="116"/>
      <c r="TU207" s="4464"/>
      <c r="TV207" s="2001"/>
      <c r="TW207" s="2001"/>
      <c r="TX207" s="2012"/>
      <c r="TY207" s="441"/>
      <c r="TZ207" s="2002"/>
      <c r="UA207" s="2001"/>
      <c r="UB207" s="2001"/>
      <c r="UC207" s="2012"/>
      <c r="UD207" s="441"/>
      <c r="UE207" s="2002"/>
      <c r="UF207" s="1575"/>
      <c r="UG207" s="1575"/>
      <c r="UH207" s="2552">
        <f t="shared" si="698"/>
        <v>0</v>
      </c>
      <c r="UI207" s="222" t="e">
        <f t="shared" si="699"/>
        <v>#DIV/0!</v>
      </c>
      <c r="UJ207" s="2430"/>
      <c r="UK207" s="1873"/>
      <c r="UL207" s="1873">
        <v>0</v>
      </c>
      <c r="UM207" s="2001"/>
      <c r="UN207" s="2019"/>
      <c r="UO207" s="2108"/>
      <c r="UP207" s="1873"/>
      <c r="UQ207" s="1873"/>
      <c r="UR207" s="2012"/>
      <c r="US207" s="659"/>
      <c r="UT207" s="2433"/>
      <c r="UU207" s="358">
        <f t="shared" si="700"/>
        <v>0</v>
      </c>
      <c r="UV207" s="358">
        <f t="shared" si="700"/>
        <v>0</v>
      </c>
      <c r="UW207" s="358">
        <f t="shared" si="700"/>
        <v>0</v>
      </c>
      <c r="UX207" s="220" t="e">
        <f t="shared" si="704"/>
        <v>#DIV/0!</v>
      </c>
      <c r="UY207" s="2435">
        <f t="shared" si="765"/>
        <v>0</v>
      </c>
      <c r="UZ207" s="2436">
        <f t="shared" si="766"/>
        <v>0</v>
      </c>
      <c r="VA207" s="2436">
        <f t="shared" si="766"/>
        <v>0</v>
      </c>
      <c r="VB207" s="2436">
        <f t="shared" si="766"/>
        <v>0</v>
      </c>
      <c r="VC207" s="1439" t="e">
        <f>VB207/VA207</f>
        <v>#DIV/0!</v>
      </c>
      <c r="VD207" s="622">
        <f t="shared" si="814"/>
        <v>0</v>
      </c>
      <c r="VE207" s="358">
        <f t="shared" si="701"/>
        <v>0</v>
      </c>
      <c r="VF207" s="358">
        <f t="shared" si="701"/>
        <v>0</v>
      </c>
      <c r="VG207" s="359">
        <f t="shared" si="701"/>
        <v>0</v>
      </c>
      <c r="VH207" s="169" t="e">
        <f t="shared" si="702"/>
        <v>#DIV/0!</v>
      </c>
      <c r="VI207" s="2438">
        <f t="shared" si="767"/>
        <v>0</v>
      </c>
      <c r="VJ207" s="146">
        <f t="shared" si="703"/>
        <v>0</v>
      </c>
      <c r="VK207" s="146">
        <f t="shared" si="703"/>
        <v>0</v>
      </c>
      <c r="VL207" s="1864">
        <f t="shared" si="703"/>
        <v>0</v>
      </c>
      <c r="VM207" s="460"/>
      <c r="VN207" s="2433"/>
      <c r="VO207" s="622">
        <f t="shared" si="770"/>
        <v>0</v>
      </c>
      <c r="VP207" s="622">
        <f t="shared" si="770"/>
        <v>0</v>
      </c>
      <c r="VQ207" s="2437">
        <f t="shared" si="770"/>
        <v>0</v>
      </c>
      <c r="VR207" s="116"/>
      <c r="VS207" s="1193"/>
      <c r="VT207" s="1193"/>
      <c r="VU207" s="1193"/>
      <c r="VV207" s="1193"/>
      <c r="VW207" s="1193"/>
      <c r="VX207" s="1193"/>
      <c r="VY207" s="1193"/>
      <c r="VZ207" s="1193"/>
      <c r="WA207" s="1193"/>
      <c r="WB207" s="1193"/>
      <c r="WC207" s="1193"/>
      <c r="WD207" s="1193"/>
      <c r="WE207" s="1193"/>
      <c r="WF207" s="1193"/>
      <c r="WG207" s="1193"/>
      <c r="WH207" s="1193"/>
      <c r="WI207" s="1193"/>
      <c r="WJ207" s="1193"/>
      <c r="WK207" s="1193"/>
      <c r="WL207" s="1193"/>
      <c r="WM207" s="1193"/>
      <c r="WN207" s="1193"/>
      <c r="WO207" s="1193"/>
      <c r="WP207" s="1193"/>
      <c r="WQ207" s="1193"/>
      <c r="WR207" s="1193"/>
      <c r="WS207" s="1193"/>
      <c r="WT207" s="1193"/>
      <c r="WU207" s="1193"/>
      <c r="WV207" s="1193"/>
      <c r="WW207" s="1193"/>
      <c r="WX207" s="1193"/>
      <c r="WY207" s="1193"/>
      <c r="WZ207" s="1193"/>
      <c r="XA207" s="1193"/>
      <c r="XB207" s="1193"/>
      <c r="XC207" s="1193"/>
      <c r="XD207" s="1193"/>
      <c r="XE207" s="1193"/>
      <c r="XF207" s="1193"/>
      <c r="XG207" s="1193"/>
      <c r="XH207" s="1193"/>
      <c r="XI207" s="1193"/>
      <c r="XJ207" s="1193"/>
      <c r="XK207" s="1193"/>
      <c r="XL207" s="1193"/>
      <c r="XM207" s="1193"/>
      <c r="XN207" s="1193"/>
      <c r="XO207" s="1193"/>
      <c r="XP207" s="1193"/>
      <c r="XQ207" s="1193"/>
      <c r="XR207" s="1193"/>
      <c r="XS207" s="1193"/>
      <c r="XT207" s="1193"/>
      <c r="XU207" s="1193"/>
      <c r="XV207" s="1193"/>
      <c r="XW207" s="1193"/>
      <c r="XX207" s="1193"/>
      <c r="XY207" s="1193"/>
      <c r="XZ207" s="1193"/>
      <c r="YA207" s="1193"/>
      <c r="YB207" s="1193"/>
      <c r="YC207" s="1193"/>
      <c r="YD207" s="1193"/>
      <c r="YE207" s="1193"/>
      <c r="YF207" s="1193"/>
      <c r="YG207" s="1193"/>
      <c r="YH207" s="1193"/>
      <c r="YI207" s="1193"/>
      <c r="YJ207" s="1193"/>
      <c r="YK207" s="1193"/>
      <c r="YL207" s="1193"/>
      <c r="YM207" s="1193"/>
      <c r="YN207" s="1193"/>
      <c r="YO207" s="1193"/>
      <c r="YP207" s="1193"/>
      <c r="YQ207" s="1193"/>
      <c r="YR207" s="1193"/>
      <c r="YS207" s="1193"/>
      <c r="YT207" s="1193"/>
      <c r="YU207" s="1193"/>
      <c r="YV207" s="1193"/>
      <c r="YW207" s="1193"/>
      <c r="YX207" s="1193"/>
      <c r="YY207" s="1193"/>
      <c r="YZ207" s="1193"/>
      <c r="ZA207" s="1193"/>
      <c r="ZB207" s="1193"/>
      <c r="ZC207" s="1193"/>
      <c r="ZD207" s="1193"/>
      <c r="ZE207" s="1193"/>
      <c r="ZF207" s="1193"/>
      <c r="ZG207" s="1193"/>
      <c r="ZH207" s="1193"/>
      <c r="ZI207" s="1193"/>
      <c r="ZJ207" s="1193"/>
      <c r="ZK207" s="1193"/>
      <c r="ZL207" s="1193"/>
      <c r="ZM207" s="1193"/>
      <c r="ZN207" s="1193"/>
      <c r="ZO207" s="1193"/>
      <c r="ZP207" s="1193"/>
      <c r="ZQ207" s="1193"/>
      <c r="ZR207" s="1193"/>
      <c r="ZS207" s="1193"/>
      <c r="ZT207" s="1193"/>
      <c r="ZU207" s="1193"/>
      <c r="ZV207" s="1193"/>
      <c r="ZW207" s="1193"/>
      <c r="ZX207" s="1193"/>
      <c r="ZY207" s="1193"/>
      <c r="ZZ207" s="1193"/>
      <c r="AAA207" s="1193"/>
      <c r="AAB207" s="1193"/>
      <c r="AAC207" s="1193"/>
      <c r="AAD207" s="1193"/>
      <c r="AAE207" s="1193"/>
      <c r="AAF207" s="1193"/>
      <c r="AAG207" s="1193"/>
      <c r="AAH207" s="1193"/>
      <c r="AAI207" s="1193"/>
      <c r="AAJ207" s="1193"/>
      <c r="AAK207" s="1193"/>
      <c r="AAL207" s="1193"/>
      <c r="AAM207" s="1193"/>
      <c r="AAN207" s="1193"/>
      <c r="AAO207" s="1193"/>
      <c r="AAP207" s="1193"/>
      <c r="AAQ207" s="1193"/>
      <c r="AAR207" s="1193"/>
      <c r="AAS207" s="1193"/>
      <c r="AAT207" s="1193"/>
      <c r="AAU207" s="1193"/>
      <c r="AAV207" s="1193"/>
      <c r="AAW207" s="1193"/>
      <c r="AAX207" s="1193"/>
      <c r="AAY207" s="1193"/>
      <c r="AAZ207" s="1193"/>
      <c r="ABA207" s="1193"/>
      <c r="ABB207" s="1193"/>
      <c r="ABC207" s="1193"/>
      <c r="ABD207" s="1193"/>
      <c r="ABE207" s="1193"/>
      <c r="ABF207" s="1193"/>
      <c r="ABG207" s="1193"/>
      <c r="ABH207" s="1193"/>
      <c r="ABI207" s="1193"/>
      <c r="ABJ207" s="1193"/>
      <c r="ABK207" s="1193"/>
      <c r="ABL207" s="1193"/>
      <c r="ABM207" s="1193"/>
      <c r="ABN207" s="1193"/>
      <c r="ABO207" s="1193"/>
      <c r="ABP207" s="1193"/>
      <c r="ABQ207" s="1193"/>
    </row>
    <row r="208" spans="1:745" s="2425" customFormat="1" ht="13.45" hidden="1" x14ac:dyDescent="0.3">
      <c r="A208" s="2399"/>
      <c r="B208" s="583" t="s">
        <v>109</v>
      </c>
      <c r="C208" s="2104" t="s">
        <v>110</v>
      </c>
      <c r="D208" s="2277"/>
      <c r="E208" s="2086"/>
      <c r="F208" s="2086"/>
      <c r="G208" s="1994"/>
      <c r="H208" s="3870"/>
      <c r="I208" s="3871"/>
      <c r="J208" s="3871"/>
      <c r="K208" s="3871"/>
      <c r="L208" s="3872"/>
      <c r="M208" s="3870"/>
      <c r="N208" s="3871"/>
      <c r="O208" s="3871"/>
      <c r="P208" s="3871"/>
      <c r="Q208" s="3872"/>
      <c r="R208" s="3870"/>
      <c r="S208" s="3871"/>
      <c r="T208" s="3871"/>
      <c r="U208" s="3871"/>
      <c r="V208" s="3872"/>
      <c r="W208" s="3870"/>
      <c r="X208" s="3871"/>
      <c r="Y208" s="3871"/>
      <c r="Z208" s="3871"/>
      <c r="AA208" s="3873"/>
      <c r="AB208" s="3870"/>
      <c r="AC208" s="3871"/>
      <c r="AD208" s="3871"/>
      <c r="AE208" s="3871"/>
      <c r="AF208" s="3873"/>
      <c r="AG208" s="3871"/>
      <c r="AH208" s="3871"/>
      <c r="AI208" s="3871"/>
      <c r="AJ208" s="3871"/>
      <c r="AK208" s="3872"/>
      <c r="AL208" s="3871"/>
      <c r="AM208" s="3871"/>
      <c r="AN208" s="3871"/>
      <c r="AO208" s="3871"/>
      <c r="AP208" s="3872"/>
      <c r="AQ208" s="3871"/>
      <c r="AR208" s="3871"/>
      <c r="AS208" s="3871"/>
      <c r="AT208" s="3871"/>
      <c r="AU208" s="3872"/>
      <c r="AV208" s="3874"/>
      <c r="AW208" s="3871"/>
      <c r="AX208" s="3871"/>
      <c r="AY208" s="3871"/>
      <c r="AZ208" s="3873"/>
      <c r="BA208" s="3874"/>
      <c r="BB208" s="3871"/>
      <c r="BC208" s="3871"/>
      <c r="BD208" s="3871"/>
      <c r="BE208" s="3873"/>
      <c r="BF208" s="3874"/>
      <c r="BG208" s="3871"/>
      <c r="BH208" s="3871"/>
      <c r="BI208" s="3871"/>
      <c r="BJ208" s="3873"/>
      <c r="BK208" s="3874"/>
      <c r="BL208" s="3871"/>
      <c r="BM208" s="3871"/>
      <c r="BN208" s="3871"/>
      <c r="BO208" s="3873"/>
      <c r="BP208" s="3875"/>
      <c r="BQ208" s="3871"/>
      <c r="BR208" s="3871"/>
      <c r="BS208" s="3871"/>
      <c r="BT208" s="3876"/>
      <c r="BU208" s="3871"/>
      <c r="BV208" s="3871"/>
      <c r="BW208" s="3877"/>
      <c r="BX208" s="3876"/>
      <c r="BY208" s="3871"/>
      <c r="BZ208" s="3871"/>
      <c r="CA208" s="3878"/>
      <c r="CB208" s="3871"/>
      <c r="CC208" s="3871"/>
      <c r="CD208" s="3871"/>
      <c r="CE208" s="3871"/>
      <c r="CF208" s="3876"/>
      <c r="CG208" s="3871"/>
      <c r="CH208" s="3871"/>
      <c r="CI208" s="3878"/>
      <c r="CJ208" s="3879"/>
      <c r="CK208" s="3871"/>
      <c r="CL208" s="3871"/>
      <c r="CM208" s="3871"/>
      <c r="CN208" s="3877"/>
      <c r="CO208" s="3879"/>
      <c r="CP208" s="3870"/>
      <c r="CQ208" s="3870"/>
      <c r="CR208" s="3870"/>
      <c r="CS208" s="3877"/>
      <c r="CT208" s="3879"/>
      <c r="CU208" s="3871"/>
      <c r="CV208" s="3871"/>
      <c r="CW208" s="3871"/>
      <c r="CX208" s="3877"/>
      <c r="CY208" s="3879"/>
      <c r="CZ208" s="3871"/>
      <c r="DA208" s="3871"/>
      <c r="DB208" s="3871"/>
      <c r="DC208" s="3877"/>
      <c r="DD208" s="3879"/>
      <c r="DE208" s="3871"/>
      <c r="DF208" s="3871"/>
      <c r="DG208" s="3871"/>
      <c r="DH208" s="3880"/>
      <c r="DI208" s="3879"/>
      <c r="DJ208" s="3871"/>
      <c r="DK208" s="3871"/>
      <c r="DL208" s="3871"/>
      <c r="DM208" s="3880"/>
      <c r="DN208" s="3879"/>
      <c r="DO208" s="3871"/>
      <c r="DP208" s="3871"/>
      <c r="DQ208" s="3871"/>
      <c r="DR208" s="3880"/>
      <c r="DS208" s="3879"/>
      <c r="DT208" s="3871"/>
      <c r="DU208" s="3871"/>
      <c r="DV208" s="3871"/>
      <c r="DW208" s="3880"/>
      <c r="DX208" s="3879"/>
      <c r="DY208" s="3871"/>
      <c r="DZ208" s="3871"/>
      <c r="EA208" s="3871"/>
      <c r="EB208" s="3880"/>
      <c r="EC208" s="3879"/>
      <c r="ED208" s="3871"/>
      <c r="EE208" s="3871"/>
      <c r="EF208" s="3871"/>
      <c r="EG208" s="3880"/>
      <c r="EH208" s="2108"/>
      <c r="EI208" s="1873"/>
      <c r="EJ208" s="1873"/>
      <c r="EK208" s="1873"/>
      <c r="EL208" s="3881"/>
      <c r="EM208" s="1832"/>
      <c r="EN208" s="622"/>
      <c r="EO208" s="622"/>
      <c r="EP208" s="622"/>
      <c r="EQ208" s="362"/>
      <c r="ER208" s="3791">
        <f t="shared" si="771"/>
        <v>0</v>
      </c>
      <c r="ES208" s="3792">
        <f t="shared" si="776"/>
        <v>0</v>
      </c>
      <c r="ET208" s="3792">
        <f t="shared" si="776"/>
        <v>0</v>
      </c>
      <c r="EU208" s="3792">
        <f t="shared" si="776"/>
        <v>0</v>
      </c>
      <c r="EV208" s="370" t="e">
        <f t="shared" si="777"/>
        <v>#DIV/0!</v>
      </c>
      <c r="EW208" s="3882"/>
      <c r="EX208" s="3882"/>
      <c r="EY208" s="3882"/>
      <c r="EZ208" s="3883"/>
      <c r="FA208" s="2108"/>
      <c r="FB208" s="3882"/>
      <c r="FC208" s="3882"/>
      <c r="FD208" s="1576"/>
      <c r="FE208" s="3882"/>
      <c r="FF208" s="3882"/>
      <c r="FG208" s="3882"/>
      <c r="FH208" s="3883"/>
      <c r="FI208" s="3884"/>
      <c r="FJ208" s="3885"/>
      <c r="FK208" s="3886"/>
      <c r="FL208" s="3886"/>
      <c r="FM208" s="239"/>
      <c r="FN208" s="3882"/>
      <c r="FO208" s="1873"/>
      <c r="FP208" s="1873"/>
      <c r="FQ208" s="1873"/>
      <c r="FR208" s="3887"/>
      <c r="FS208" s="3888"/>
      <c r="FT208" s="3889"/>
      <c r="FU208" s="3889"/>
      <c r="FV208" s="3889"/>
      <c r="FW208" s="3890"/>
      <c r="FX208" s="2108"/>
      <c r="FY208" s="1873"/>
      <c r="FZ208" s="1873"/>
      <c r="GA208" s="3889"/>
      <c r="GB208" s="3890"/>
      <c r="GC208" s="2108"/>
      <c r="GD208" s="1873"/>
      <c r="GE208" s="1873"/>
      <c r="GF208" s="622"/>
      <c r="GG208" s="362"/>
      <c r="GH208" s="1832"/>
      <c r="GI208" s="622"/>
      <c r="GJ208" s="622"/>
      <c r="GK208" s="3891"/>
      <c r="GL208" s="3890"/>
      <c r="GM208" s="1832"/>
      <c r="GN208" s="622"/>
      <c r="GO208" s="622"/>
      <c r="GP208" s="3891"/>
      <c r="GQ208" s="3890"/>
      <c r="GR208" s="2000"/>
      <c r="GS208" s="622"/>
      <c r="GT208" s="622"/>
      <c r="GU208" s="3891"/>
      <c r="GV208" s="3890"/>
      <c r="GW208" s="2000"/>
      <c r="GX208" s="1317"/>
      <c r="GY208" s="1317"/>
      <c r="GZ208" s="3891"/>
      <c r="HA208" s="3890"/>
      <c r="HB208" s="2000"/>
      <c r="HC208" s="1317"/>
      <c r="HD208" s="1317"/>
      <c r="HE208" s="3891"/>
      <c r="HF208" s="3890"/>
      <c r="HG208" s="2000"/>
      <c r="HH208" s="1317"/>
      <c r="HI208" s="1317"/>
      <c r="HJ208" s="3864"/>
      <c r="HK208" s="3890"/>
      <c r="HL208" s="2000"/>
      <c r="HM208" s="1317"/>
      <c r="HN208" s="1317"/>
      <c r="HO208" s="1317"/>
      <c r="HP208" s="362"/>
      <c r="HQ208" s="3892"/>
      <c r="HR208" s="1317"/>
      <c r="HS208" s="1317"/>
      <c r="HT208" s="1317"/>
      <c r="HU208" s="3893"/>
      <c r="HV208" s="2723">
        <f t="shared" si="772"/>
        <v>0</v>
      </c>
      <c r="HW208" s="395">
        <f t="shared" si="773"/>
        <v>0</v>
      </c>
      <c r="HX208" s="395">
        <f t="shared" si="773"/>
        <v>0</v>
      </c>
      <c r="HY208" s="395">
        <f t="shared" si="773"/>
        <v>0</v>
      </c>
      <c r="HZ208" s="2890"/>
      <c r="IA208" s="1834"/>
      <c r="IB208" s="1830"/>
      <c r="IC208" s="1830"/>
      <c r="ID208" s="1831"/>
      <c r="IE208" s="1832"/>
      <c r="IF208" s="1833"/>
      <c r="IG208" s="1834"/>
      <c r="IH208" s="1831"/>
      <c r="II208" s="1829"/>
      <c r="IJ208" s="3894"/>
      <c r="IK208" s="3894"/>
      <c r="IL208" s="239"/>
      <c r="IM208" s="3895"/>
      <c r="IN208" s="3894"/>
      <c r="IO208" s="3894"/>
      <c r="IP208" s="3896"/>
      <c r="IQ208" s="1873"/>
      <c r="IR208" s="3897"/>
      <c r="IS208" s="1317"/>
      <c r="IT208" s="1317"/>
      <c r="IU208" s="3898"/>
      <c r="IV208" s="3899"/>
      <c r="IW208" s="3888"/>
      <c r="IX208" s="3889"/>
      <c r="IY208" s="3889"/>
      <c r="IZ208" s="3864"/>
      <c r="JA208" s="362"/>
      <c r="JB208" s="3900"/>
      <c r="JC208" s="3901"/>
      <c r="JD208" s="3902"/>
      <c r="JE208" s="3889"/>
      <c r="JF208" s="362"/>
      <c r="JG208" s="658"/>
      <c r="JH208" s="622"/>
      <c r="JI208" s="622"/>
      <c r="JJ208" s="622"/>
      <c r="JK208" s="362"/>
      <c r="JL208" s="1832"/>
      <c r="JM208" s="622"/>
      <c r="JN208" s="622"/>
      <c r="JO208" s="3903"/>
      <c r="JP208" s="362"/>
      <c r="JQ208" s="3904"/>
      <c r="JR208" s="3905"/>
      <c r="JS208" s="1317"/>
      <c r="JT208" s="622"/>
      <c r="JU208" s="3890"/>
      <c r="JV208" s="658"/>
      <c r="JW208" s="622"/>
      <c r="JX208" s="1317"/>
      <c r="JY208" s="3903"/>
      <c r="JZ208" s="3890"/>
      <c r="KA208" s="3819"/>
      <c r="KB208" s="1317"/>
      <c r="KC208" s="1317"/>
      <c r="KD208" s="622"/>
      <c r="KE208" s="3890"/>
      <c r="KF208" s="658"/>
      <c r="KG208" s="1317"/>
      <c r="KH208" s="1317"/>
      <c r="KI208" s="622"/>
      <c r="KJ208" s="362"/>
      <c r="KK208" s="3819"/>
      <c r="KL208" s="1317"/>
      <c r="KM208" s="1317"/>
      <c r="KN208" s="3864"/>
      <c r="KO208" s="3890"/>
      <c r="KP208" s="2000"/>
      <c r="KQ208" s="1317"/>
      <c r="KR208" s="3865"/>
      <c r="KS208" s="1317"/>
      <c r="KT208" s="3906"/>
      <c r="KU208" s="3892"/>
      <c r="KV208" s="1317"/>
      <c r="KW208" s="3865"/>
      <c r="KX208" s="1317"/>
      <c r="KY208" s="362"/>
      <c r="KZ208" s="1832"/>
      <c r="LA208" s="622"/>
      <c r="LB208" s="622"/>
      <c r="LC208" s="622"/>
      <c r="LD208" s="1576"/>
      <c r="LE208" s="1834"/>
      <c r="LF208" s="1830"/>
      <c r="LG208" s="1830"/>
      <c r="LH208" s="1831"/>
      <c r="LI208" s="1832"/>
      <c r="LJ208" s="1833"/>
      <c r="LK208" s="1834"/>
      <c r="LL208" s="1831"/>
      <c r="LM208" s="1829"/>
      <c r="LN208" s="3894"/>
      <c r="LO208" s="3894"/>
      <c r="LP208" s="239"/>
      <c r="LQ208" s="3907">
        <f t="shared" si="796"/>
        <v>0</v>
      </c>
      <c r="LR208" s="3894"/>
      <c r="LS208" s="3894"/>
      <c r="LT208" s="3896"/>
      <c r="LU208" s="1873"/>
      <c r="LV208" s="401"/>
      <c r="LW208" s="395"/>
      <c r="LX208" s="395"/>
      <c r="LY208" s="115"/>
      <c r="LZ208" s="186"/>
      <c r="MA208" s="401"/>
      <c r="MB208" s="395"/>
      <c r="MC208" s="395"/>
      <c r="MD208" s="115"/>
      <c r="ME208" s="186"/>
      <c r="MF208" s="401"/>
      <c r="MG208" s="395"/>
      <c r="MH208" s="395"/>
      <c r="MI208" s="372"/>
      <c r="MJ208" s="207"/>
      <c r="MK208" s="2573">
        <v>1</v>
      </c>
      <c r="ML208" s="395">
        <v>123048</v>
      </c>
      <c r="MM208" s="395">
        <v>167741.93548387097</v>
      </c>
      <c r="MN208" s="372">
        <f>MM208-ML208</f>
        <v>44693.93548387097</v>
      </c>
      <c r="MO208" s="207">
        <f>MN208/MM208</f>
        <v>0.26644461538461539</v>
      </c>
      <c r="MP208" s="3805">
        <v>1</v>
      </c>
      <c r="MQ208" s="1317">
        <v>174945</v>
      </c>
      <c r="MR208" s="1317">
        <v>260000</v>
      </c>
      <c r="MS208" s="1317">
        <f t="shared" si="820"/>
        <v>85055</v>
      </c>
      <c r="MT208" s="801">
        <f>MS208/MR208</f>
        <v>0.32713461538461536</v>
      </c>
      <c r="MU208" s="1318">
        <v>1</v>
      </c>
      <c r="MV208" s="395">
        <v>168794</v>
      </c>
      <c r="MW208" s="395">
        <v>260000</v>
      </c>
      <c r="MX208" s="395">
        <f>MW208-MV208</f>
        <v>91206</v>
      </c>
      <c r="MY208" s="801">
        <f>MX208/MW208</f>
        <v>0.35079230769230768</v>
      </c>
      <c r="MZ208" s="1318">
        <v>1</v>
      </c>
      <c r="NA208" s="395">
        <v>174945</v>
      </c>
      <c r="NB208" s="395">
        <v>260000</v>
      </c>
      <c r="NC208" s="395">
        <f>NB208-NA208</f>
        <v>85055</v>
      </c>
      <c r="ND208" s="801">
        <f>NC208/NB208</f>
        <v>0.32713461538461536</v>
      </c>
      <c r="NE208" s="1318"/>
      <c r="NF208" s="395">
        <v>0</v>
      </c>
      <c r="NG208" s="395">
        <v>0</v>
      </c>
      <c r="NH208" s="395">
        <f>NG208-NF208</f>
        <v>0</v>
      </c>
      <c r="NI208" s="2913" t="s">
        <v>819</v>
      </c>
      <c r="NJ208" s="1318"/>
      <c r="NK208" s="395"/>
      <c r="NL208" s="395"/>
      <c r="NM208" s="395"/>
      <c r="NN208" s="2913"/>
      <c r="NO208" s="2432"/>
      <c r="NP208" s="622"/>
      <c r="NQ208" s="2437">
        <v>0</v>
      </c>
      <c r="NR208" s="395"/>
      <c r="NS208" s="2913"/>
      <c r="NT208" s="2432"/>
      <c r="NU208" s="622"/>
      <c r="NV208" s="622">
        <v>0</v>
      </c>
      <c r="NW208" s="395"/>
      <c r="NX208" s="2913"/>
      <c r="NY208" s="2432"/>
      <c r="NZ208" s="622"/>
      <c r="OA208" s="622"/>
      <c r="OB208" s="772"/>
      <c r="OC208" s="116"/>
      <c r="OD208" s="2433"/>
      <c r="OE208" s="622">
        <f t="shared" si="768"/>
        <v>641732</v>
      </c>
      <c r="OF208" s="622">
        <f t="shared" si="768"/>
        <v>947741.93548387103</v>
      </c>
      <c r="OG208" s="622">
        <f t="shared" si="768"/>
        <v>306009.93548387097</v>
      </c>
      <c r="OH208" s="1576">
        <f>OG208/OF208</f>
        <v>0.32288318584070796</v>
      </c>
      <c r="OI208" s="3908"/>
      <c r="OJ208" s="115">
        <f>LW208+MB208+MG208</f>
        <v>0</v>
      </c>
      <c r="OK208" s="115"/>
      <c r="OL208" s="115"/>
      <c r="OM208" s="116"/>
      <c r="ON208" s="622">
        <f t="shared" si="803"/>
        <v>1</v>
      </c>
      <c r="OO208" s="622">
        <f t="shared" si="804"/>
        <v>466787</v>
      </c>
      <c r="OP208" s="622">
        <f t="shared" si="804"/>
        <v>687741.93548387103</v>
      </c>
      <c r="OQ208" s="2437">
        <f t="shared" si="804"/>
        <v>220954.93548387097</v>
      </c>
      <c r="OR208" s="421">
        <f>OQ208/OP208</f>
        <v>0.32127593808630389</v>
      </c>
      <c r="OS208" s="3909">
        <f t="shared" si="805"/>
        <v>0.33333333333333331</v>
      </c>
      <c r="OT208" s="3886">
        <f t="shared" si="806"/>
        <v>174945</v>
      </c>
      <c r="OU208" s="3886">
        <f t="shared" si="806"/>
        <v>260000</v>
      </c>
      <c r="OV208" s="3910">
        <f t="shared" si="806"/>
        <v>85055</v>
      </c>
      <c r="OW208" s="421">
        <f>OV208/OU208</f>
        <v>0.32713461538461536</v>
      </c>
      <c r="OX208" s="2432">
        <f t="shared" si="674"/>
        <v>0</v>
      </c>
      <c r="OY208" s="622">
        <f t="shared" si="807"/>
        <v>0</v>
      </c>
      <c r="OZ208" s="622">
        <f t="shared" si="807"/>
        <v>0</v>
      </c>
      <c r="PA208" s="2437">
        <f t="shared" si="807"/>
        <v>0</v>
      </c>
      <c r="PB208" s="116"/>
      <c r="PC208" s="3886"/>
      <c r="PD208" s="401"/>
      <c r="PE208" s="395"/>
      <c r="PF208" s="395"/>
      <c r="PG208" s="115">
        <f t="shared" si="774"/>
        <v>0</v>
      </c>
      <c r="PH208" s="186"/>
      <c r="PI208" s="401"/>
      <c r="PJ208" s="395"/>
      <c r="PK208" s="395"/>
      <c r="PL208" s="115"/>
      <c r="PM208" s="186"/>
      <c r="PN208" s="401"/>
      <c r="PO208" s="395"/>
      <c r="PP208" s="395"/>
      <c r="PQ208" s="372"/>
      <c r="PR208" s="207"/>
      <c r="PS208" s="2891"/>
      <c r="PT208" s="2001"/>
      <c r="PU208" s="2001"/>
      <c r="PV208" s="2892">
        <f>PU208-PT208</f>
        <v>0</v>
      </c>
      <c r="PW208" s="370" t="e">
        <f>PV208/PU208</f>
        <v>#DIV/0!</v>
      </c>
      <c r="PX208" s="3805"/>
      <c r="PY208" s="1317"/>
      <c r="PZ208" s="1317"/>
      <c r="QA208" s="1317">
        <f>PZ208-PY208</f>
        <v>0</v>
      </c>
      <c r="QB208" s="801" t="e">
        <f>QA208/PZ208</f>
        <v>#DIV/0!</v>
      </c>
      <c r="QC208" s="2002"/>
      <c r="QD208" s="2001"/>
      <c r="QE208" s="2001"/>
      <c r="QF208" s="2001">
        <f>QE208-QD208</f>
        <v>0</v>
      </c>
      <c r="QG208" s="2003"/>
      <c r="QH208" s="401"/>
      <c r="QI208" s="395"/>
      <c r="QJ208" s="395"/>
      <c r="QK208" s="395"/>
      <c r="QL208" s="801"/>
      <c r="QM208" s="401"/>
      <c r="QN208" s="395">
        <v>0</v>
      </c>
      <c r="QO208" s="395">
        <v>0</v>
      </c>
      <c r="QP208" s="395">
        <f>QO208-QN208</f>
        <v>0</v>
      </c>
      <c r="QQ208" s="2913" t="s">
        <v>819</v>
      </c>
      <c r="QR208" s="2002"/>
      <c r="QS208" s="2001"/>
      <c r="QT208" s="2001"/>
      <c r="QU208" s="2001"/>
      <c r="QV208" s="2899"/>
      <c r="QW208" s="1318"/>
      <c r="QX208" s="395"/>
      <c r="QY208" s="395">
        <v>0</v>
      </c>
      <c r="QZ208" s="395"/>
      <c r="RA208" s="4008"/>
      <c r="RB208" s="2430"/>
      <c r="RC208" s="1873"/>
      <c r="RD208" s="1873">
        <v>0</v>
      </c>
      <c r="RE208" s="2001"/>
      <c r="RF208" s="4008"/>
      <c r="RG208" s="2108"/>
      <c r="RH208" s="1873"/>
      <c r="RI208" s="1873"/>
      <c r="RJ208" s="2012"/>
      <c r="RK208" s="116"/>
      <c r="RL208" s="3717"/>
      <c r="RM208" s="1873">
        <f t="shared" si="815"/>
        <v>0</v>
      </c>
      <c r="RN208" s="1873">
        <f t="shared" si="815"/>
        <v>0</v>
      </c>
      <c r="RO208" s="1873">
        <f t="shared" si="815"/>
        <v>0</v>
      </c>
      <c r="RP208" s="1576" t="e">
        <f>RO208/RN208</f>
        <v>#DIV/0!</v>
      </c>
      <c r="RQ208" s="3908"/>
      <c r="RR208" s="115">
        <f>PE208+PJ208+PO208</f>
        <v>0</v>
      </c>
      <c r="RS208" s="115"/>
      <c r="RT208" s="115"/>
      <c r="RU208" s="116"/>
      <c r="RV208" s="622">
        <f t="shared" si="810"/>
        <v>0</v>
      </c>
      <c r="RW208" s="622">
        <f t="shared" si="811"/>
        <v>0</v>
      </c>
      <c r="RX208" s="622">
        <f t="shared" si="811"/>
        <v>0</v>
      </c>
      <c r="RY208" s="2437">
        <f t="shared" si="811"/>
        <v>0</v>
      </c>
      <c r="RZ208" s="421" t="e">
        <f>RY208/RX208</f>
        <v>#DIV/0!</v>
      </c>
      <c r="SA208" s="3909">
        <f t="shared" si="748"/>
        <v>0</v>
      </c>
      <c r="SB208" s="3886">
        <f t="shared" si="812"/>
        <v>0</v>
      </c>
      <c r="SC208" s="3886">
        <f t="shared" si="812"/>
        <v>0</v>
      </c>
      <c r="SD208" s="3910">
        <f t="shared" si="812"/>
        <v>0</v>
      </c>
      <c r="SE208" s="421" t="e">
        <f>SD208/SC208</f>
        <v>#DIV/0!</v>
      </c>
      <c r="SF208" s="3736"/>
      <c r="SG208" s="622">
        <f t="shared" si="769"/>
        <v>0</v>
      </c>
      <c r="SH208" s="622">
        <f t="shared" si="769"/>
        <v>0</v>
      </c>
      <c r="SI208" s="2437">
        <f t="shared" si="769"/>
        <v>0</v>
      </c>
      <c r="SJ208" s="116"/>
      <c r="SK208" s="1568"/>
      <c r="SL208" s="2445"/>
      <c r="SM208" s="2001"/>
      <c r="SN208" s="2001"/>
      <c r="SO208" s="3534">
        <f t="shared" si="775"/>
        <v>0</v>
      </c>
      <c r="SP208" s="1498"/>
      <c r="SQ208" s="2445"/>
      <c r="SR208" s="2001"/>
      <c r="SS208" s="2001"/>
      <c r="ST208" s="3534"/>
      <c r="SU208" s="1498"/>
      <c r="SV208" s="401"/>
      <c r="SW208" s="395"/>
      <c r="SX208" s="395"/>
      <c r="SY208" s="372"/>
      <c r="SZ208" s="207"/>
      <c r="TA208" s="2573"/>
      <c r="TB208" s="395"/>
      <c r="TC208" s="395"/>
      <c r="TD208" s="372">
        <f>TC208-TB208</f>
        <v>0</v>
      </c>
      <c r="TE208" s="207" t="e">
        <f>TD208/TC208</f>
        <v>#DIV/0!</v>
      </c>
      <c r="TF208" s="2573"/>
      <c r="TG208" s="395"/>
      <c r="TH208" s="395"/>
      <c r="TI208" s="395">
        <f>TH208-TG208</f>
        <v>0</v>
      </c>
      <c r="TJ208" s="116" t="e">
        <f>TI208/TH208</f>
        <v>#DIV/0!</v>
      </c>
      <c r="TK208" s="2002"/>
      <c r="TL208" s="2001"/>
      <c r="TM208" s="2001"/>
      <c r="TN208" s="2012">
        <f>TM208-TL208</f>
        <v>0</v>
      </c>
      <c r="TO208" s="441"/>
      <c r="TP208" s="4434"/>
      <c r="TQ208" s="395"/>
      <c r="TR208" s="395"/>
      <c r="TS208" s="772"/>
      <c r="TT208" s="116"/>
      <c r="TU208" s="4464"/>
      <c r="TV208" s="2001">
        <v>0</v>
      </c>
      <c r="TW208" s="2001">
        <v>0</v>
      </c>
      <c r="TX208" s="2012">
        <f>TW208-TV208</f>
        <v>0</v>
      </c>
      <c r="TY208" s="5266" t="s">
        <v>819</v>
      </c>
      <c r="TZ208" s="2002"/>
      <c r="UA208" s="2001"/>
      <c r="UB208" s="2001"/>
      <c r="UC208" s="2012">
        <f>UB208-UA208</f>
        <v>0</v>
      </c>
      <c r="UD208" s="5266" t="s">
        <v>819</v>
      </c>
      <c r="UE208" s="2002"/>
      <c r="UF208" s="1575"/>
      <c r="UG208" s="1575"/>
      <c r="UH208" s="2552">
        <f t="shared" si="698"/>
        <v>0</v>
      </c>
      <c r="UI208" s="222" t="e">
        <f t="shared" si="699"/>
        <v>#DIV/0!</v>
      </c>
      <c r="UJ208" s="2430"/>
      <c r="UK208" s="1873"/>
      <c r="UL208" s="1873">
        <v>0</v>
      </c>
      <c r="UM208" s="2001"/>
      <c r="UN208" s="2914"/>
      <c r="UO208" s="2108"/>
      <c r="UP208" s="1873"/>
      <c r="UQ208" s="1873"/>
      <c r="UR208" s="2012"/>
      <c r="US208" s="659"/>
      <c r="UT208" s="2433"/>
      <c r="UU208" s="358">
        <f t="shared" si="700"/>
        <v>0</v>
      </c>
      <c r="UV208" s="358">
        <f t="shared" si="700"/>
        <v>0</v>
      </c>
      <c r="UW208" s="358">
        <f t="shared" si="700"/>
        <v>0</v>
      </c>
      <c r="UX208" s="220" t="e">
        <f t="shared" si="704"/>
        <v>#DIV/0!</v>
      </c>
      <c r="UY208" s="2435"/>
      <c r="UZ208" s="2436">
        <f>SM208+SR208+SW208</f>
        <v>0</v>
      </c>
      <c r="VA208" s="2436"/>
      <c r="VB208" s="2436"/>
      <c r="VC208" s="1439"/>
      <c r="VD208" s="622">
        <f t="shared" si="814"/>
        <v>0</v>
      </c>
      <c r="VE208" s="358">
        <f t="shared" si="701"/>
        <v>0</v>
      </c>
      <c r="VF208" s="358">
        <f t="shared" si="701"/>
        <v>0</v>
      </c>
      <c r="VG208" s="359">
        <f t="shared" si="701"/>
        <v>0</v>
      </c>
      <c r="VH208" s="169" t="e">
        <f t="shared" si="702"/>
        <v>#DIV/0!</v>
      </c>
      <c r="VI208" s="2438">
        <f t="shared" si="767"/>
        <v>0</v>
      </c>
      <c r="VJ208" s="146">
        <f t="shared" si="703"/>
        <v>0</v>
      </c>
      <c r="VK208" s="146">
        <f t="shared" si="703"/>
        <v>0</v>
      </c>
      <c r="VL208" s="1864">
        <f t="shared" si="703"/>
        <v>0</v>
      </c>
      <c r="VM208" s="460" t="e">
        <f>VL208/VK208</f>
        <v>#DIV/0!</v>
      </c>
      <c r="VN208" s="2433"/>
      <c r="VO208" s="622">
        <f t="shared" si="770"/>
        <v>0</v>
      </c>
      <c r="VP208" s="622">
        <f t="shared" si="770"/>
        <v>0</v>
      </c>
      <c r="VQ208" s="2437">
        <f t="shared" si="770"/>
        <v>0</v>
      </c>
      <c r="VR208" s="116"/>
      <c r="VS208" s="1193"/>
      <c r="VT208" s="1193"/>
      <c r="VU208" s="1193"/>
      <c r="VV208" s="1193"/>
      <c r="VW208" s="1193"/>
      <c r="VX208" s="1193"/>
      <c r="VY208" s="1193"/>
      <c r="VZ208" s="1193"/>
      <c r="WA208" s="1193"/>
      <c r="WB208" s="1193"/>
      <c r="WC208" s="1193"/>
      <c r="WD208" s="1193"/>
      <c r="WE208" s="1193"/>
      <c r="WF208" s="1193"/>
      <c r="WG208" s="1193"/>
      <c r="WH208" s="1193"/>
      <c r="WI208" s="1193"/>
      <c r="WJ208" s="1193"/>
      <c r="WK208" s="1193"/>
      <c r="WL208" s="1193"/>
      <c r="WM208" s="1193"/>
      <c r="WN208" s="1193"/>
      <c r="WO208" s="1193"/>
      <c r="WP208" s="1193"/>
      <c r="WQ208" s="1193"/>
      <c r="WR208" s="1193"/>
      <c r="WS208" s="1193"/>
      <c r="WT208" s="1193"/>
      <c r="WU208" s="1193"/>
      <c r="WV208" s="1193"/>
      <c r="WW208" s="1193"/>
      <c r="WX208" s="1193"/>
      <c r="WY208" s="1193"/>
      <c r="WZ208" s="1193"/>
      <c r="XA208" s="1193"/>
      <c r="XB208" s="1193"/>
      <c r="XC208" s="1193"/>
      <c r="XD208" s="1193"/>
      <c r="XE208" s="1193"/>
      <c r="XF208" s="1193"/>
      <c r="XG208" s="1193"/>
      <c r="XH208" s="1193"/>
      <c r="XI208" s="1193"/>
      <c r="XJ208" s="1193"/>
      <c r="XK208" s="1193"/>
      <c r="XL208" s="1193"/>
      <c r="XM208" s="1193"/>
      <c r="XN208" s="1193"/>
      <c r="XO208" s="1193"/>
      <c r="XP208" s="1193"/>
      <c r="XQ208" s="1193"/>
      <c r="XR208" s="1193"/>
      <c r="XS208" s="1193"/>
      <c r="XT208" s="1193"/>
      <c r="XU208" s="1193"/>
      <c r="XV208" s="1193"/>
      <c r="XW208" s="1193"/>
      <c r="XX208" s="1193"/>
      <c r="XY208" s="1193"/>
      <c r="XZ208" s="1193"/>
      <c r="YA208" s="1193"/>
      <c r="YB208" s="1193"/>
      <c r="YC208" s="1193"/>
      <c r="YD208" s="1193"/>
      <c r="YE208" s="1193"/>
      <c r="YF208" s="1193"/>
      <c r="YG208" s="1193"/>
      <c r="YH208" s="1193"/>
      <c r="YI208" s="1193"/>
      <c r="YJ208" s="1193"/>
      <c r="YK208" s="1193"/>
      <c r="YL208" s="1193"/>
      <c r="YM208" s="1193"/>
      <c r="YN208" s="1193"/>
      <c r="YO208" s="1193"/>
      <c r="YP208" s="1193"/>
      <c r="YQ208" s="1193"/>
      <c r="YR208" s="1193"/>
      <c r="YS208" s="1193"/>
      <c r="YT208" s="1193"/>
      <c r="YU208" s="1193"/>
      <c r="YV208" s="1193"/>
      <c r="YW208" s="1193"/>
      <c r="YX208" s="1193"/>
      <c r="YY208" s="1193"/>
      <c r="YZ208" s="1193"/>
      <c r="ZA208" s="1193"/>
      <c r="ZB208" s="1193"/>
      <c r="ZC208" s="1193"/>
      <c r="ZD208" s="1193"/>
      <c r="ZE208" s="1193"/>
      <c r="ZF208" s="1193"/>
      <c r="ZG208" s="1193"/>
      <c r="ZH208" s="1193"/>
      <c r="ZI208" s="1193"/>
      <c r="ZJ208" s="1193"/>
      <c r="ZK208" s="1193"/>
      <c r="ZL208" s="1193"/>
      <c r="ZM208" s="1193"/>
      <c r="ZN208" s="1193"/>
      <c r="ZO208" s="1193"/>
      <c r="ZP208" s="1193"/>
      <c r="ZQ208" s="1193"/>
      <c r="ZR208" s="1193"/>
      <c r="ZS208" s="1193"/>
      <c r="ZT208" s="1193"/>
      <c r="ZU208" s="1193"/>
      <c r="ZV208" s="1193"/>
      <c r="ZW208" s="1193"/>
      <c r="ZX208" s="1193"/>
      <c r="ZY208" s="1193"/>
      <c r="ZZ208" s="1193"/>
      <c r="AAA208" s="1193"/>
      <c r="AAB208" s="1193"/>
      <c r="AAC208" s="1193"/>
      <c r="AAD208" s="1193"/>
      <c r="AAE208" s="1193"/>
      <c r="AAF208" s="1193"/>
      <c r="AAG208" s="1193"/>
      <c r="AAH208" s="1193"/>
      <c r="AAI208" s="1193"/>
      <c r="AAJ208" s="1193"/>
      <c r="AAK208" s="1193"/>
      <c r="AAL208" s="1193"/>
      <c r="AAM208" s="1193"/>
      <c r="AAN208" s="1193"/>
      <c r="AAO208" s="1193"/>
      <c r="AAP208" s="1193"/>
      <c r="AAQ208" s="1193"/>
      <c r="AAR208" s="1193"/>
      <c r="AAS208" s="1193"/>
      <c r="AAT208" s="1193"/>
      <c r="AAU208" s="1193"/>
      <c r="AAV208" s="1193"/>
      <c r="AAW208" s="1193"/>
      <c r="AAX208" s="1193"/>
      <c r="AAY208" s="1193"/>
      <c r="AAZ208" s="1193"/>
      <c r="ABA208" s="1193"/>
      <c r="ABB208" s="1193"/>
      <c r="ABC208" s="1193"/>
      <c r="ABD208" s="1193"/>
      <c r="ABE208" s="1193"/>
      <c r="ABF208" s="1193"/>
      <c r="ABG208" s="1193"/>
      <c r="ABH208" s="1193"/>
      <c r="ABI208" s="1193"/>
      <c r="ABJ208" s="1193"/>
      <c r="ABK208" s="1193"/>
      <c r="ABL208" s="1193"/>
      <c r="ABM208" s="1193"/>
      <c r="ABN208" s="1193"/>
      <c r="ABO208" s="1193"/>
      <c r="ABP208" s="1193"/>
      <c r="ABQ208" s="1193"/>
    </row>
    <row r="209" spans="1:745" s="2425" customFormat="1" hidden="1" x14ac:dyDescent="0.3">
      <c r="A209" s="2399"/>
      <c r="B209" s="583" t="s">
        <v>113</v>
      </c>
      <c r="C209" s="4009" t="s">
        <v>165</v>
      </c>
      <c r="D209" s="2277"/>
      <c r="E209" s="2086"/>
      <c r="F209" s="2086"/>
      <c r="G209" s="1994"/>
      <c r="H209" s="3870"/>
      <c r="I209" s="3871"/>
      <c r="J209" s="3871"/>
      <c r="K209" s="3871"/>
      <c r="L209" s="3872"/>
      <c r="M209" s="3870"/>
      <c r="N209" s="3871"/>
      <c r="O209" s="3871"/>
      <c r="P209" s="3871"/>
      <c r="Q209" s="3872"/>
      <c r="R209" s="3870"/>
      <c r="S209" s="3871"/>
      <c r="T209" s="3871"/>
      <c r="U209" s="3871"/>
      <c r="V209" s="3872"/>
      <c r="W209" s="3870"/>
      <c r="X209" s="3871"/>
      <c r="Y209" s="3871"/>
      <c r="Z209" s="3871"/>
      <c r="AA209" s="3873"/>
      <c r="AB209" s="3870"/>
      <c r="AC209" s="3871"/>
      <c r="AD209" s="3871"/>
      <c r="AE209" s="3871"/>
      <c r="AF209" s="3873"/>
      <c r="AG209" s="3871"/>
      <c r="AH209" s="3871"/>
      <c r="AI209" s="3871"/>
      <c r="AJ209" s="3871"/>
      <c r="AK209" s="3872"/>
      <c r="AL209" s="3871"/>
      <c r="AM209" s="3871"/>
      <c r="AN209" s="3871"/>
      <c r="AO209" s="3871"/>
      <c r="AP209" s="3872"/>
      <c r="AQ209" s="3871"/>
      <c r="AR209" s="3871"/>
      <c r="AS209" s="3871"/>
      <c r="AT209" s="3871"/>
      <c r="AU209" s="3872"/>
      <c r="AV209" s="3874"/>
      <c r="AW209" s="3871"/>
      <c r="AX209" s="3871"/>
      <c r="AY209" s="3871"/>
      <c r="AZ209" s="3873"/>
      <c r="BA209" s="3874"/>
      <c r="BB209" s="3871"/>
      <c r="BC209" s="3871"/>
      <c r="BD209" s="3871"/>
      <c r="BE209" s="3873"/>
      <c r="BF209" s="3874"/>
      <c r="BG209" s="3871"/>
      <c r="BH209" s="3871"/>
      <c r="BI209" s="3871"/>
      <c r="BJ209" s="3873"/>
      <c r="BK209" s="3874"/>
      <c r="BL209" s="3871"/>
      <c r="BM209" s="3871"/>
      <c r="BN209" s="3871"/>
      <c r="BO209" s="3873"/>
      <c r="BP209" s="3875"/>
      <c r="BQ209" s="3871"/>
      <c r="BR209" s="3871"/>
      <c r="BS209" s="3871"/>
      <c r="BT209" s="3876"/>
      <c r="BU209" s="3871"/>
      <c r="BV209" s="3871"/>
      <c r="BW209" s="3877"/>
      <c r="BX209" s="3876"/>
      <c r="BY209" s="3871"/>
      <c r="BZ209" s="3871"/>
      <c r="CA209" s="3878"/>
      <c r="CB209" s="3871"/>
      <c r="CC209" s="3871"/>
      <c r="CD209" s="3871"/>
      <c r="CE209" s="3871"/>
      <c r="CF209" s="3876"/>
      <c r="CG209" s="3871"/>
      <c r="CH209" s="3871"/>
      <c r="CI209" s="3878"/>
      <c r="CJ209" s="3879"/>
      <c r="CK209" s="3871"/>
      <c r="CL209" s="3871"/>
      <c r="CM209" s="3871"/>
      <c r="CN209" s="3877"/>
      <c r="CO209" s="3879"/>
      <c r="CP209" s="3870"/>
      <c r="CQ209" s="3870"/>
      <c r="CR209" s="3870"/>
      <c r="CS209" s="3877"/>
      <c r="CT209" s="3879"/>
      <c r="CU209" s="3871"/>
      <c r="CV209" s="3871"/>
      <c r="CW209" s="3871"/>
      <c r="CX209" s="3877"/>
      <c r="CY209" s="3879"/>
      <c r="CZ209" s="3871"/>
      <c r="DA209" s="3871"/>
      <c r="DB209" s="3871"/>
      <c r="DC209" s="3877"/>
      <c r="DD209" s="3879"/>
      <c r="DE209" s="3871"/>
      <c r="DF209" s="3871"/>
      <c r="DG209" s="3871"/>
      <c r="DH209" s="3880"/>
      <c r="DI209" s="3879"/>
      <c r="DJ209" s="3871"/>
      <c r="DK209" s="3871"/>
      <c r="DL209" s="3871"/>
      <c r="DM209" s="3880"/>
      <c r="DN209" s="3879"/>
      <c r="DO209" s="3871"/>
      <c r="DP209" s="3871"/>
      <c r="DQ209" s="3871"/>
      <c r="DR209" s="3880"/>
      <c r="DS209" s="3879"/>
      <c r="DT209" s="3871"/>
      <c r="DU209" s="3871"/>
      <c r="DV209" s="3871"/>
      <c r="DW209" s="3880"/>
      <c r="DX209" s="3879"/>
      <c r="DY209" s="3871"/>
      <c r="DZ209" s="3871"/>
      <c r="EA209" s="3871"/>
      <c r="EB209" s="3880"/>
      <c r="EC209" s="3879"/>
      <c r="ED209" s="3871"/>
      <c r="EE209" s="3871"/>
      <c r="EF209" s="3871"/>
      <c r="EG209" s="3880"/>
      <c r="EH209" s="2108"/>
      <c r="EI209" s="1873"/>
      <c r="EJ209" s="1873"/>
      <c r="EK209" s="1873"/>
      <c r="EL209" s="3881"/>
      <c r="EM209" s="1832"/>
      <c r="EN209" s="622"/>
      <c r="EO209" s="622"/>
      <c r="EP209" s="622"/>
      <c r="EQ209" s="362"/>
      <c r="ER209" s="3791">
        <f t="shared" si="771"/>
        <v>0</v>
      </c>
      <c r="ES209" s="3792">
        <f>CK209+CP209+CU209+CZ209+DE209+DJ209+DO209+DT209+DY209+ED209+EI209+EN209</f>
        <v>0</v>
      </c>
      <c r="ET209" s="3792">
        <f>CL209+CQ209+CV209+DA209+DF209+DK209+DP209+DU209+DZ209+EE209+EJ209+EO209</f>
        <v>0</v>
      </c>
      <c r="EU209" s="1873"/>
      <c r="EV209" s="370" t="e">
        <f>EU235/ET209</f>
        <v>#DIV/0!</v>
      </c>
      <c r="EW209" s="3882"/>
      <c r="EX209" s="3882"/>
      <c r="EY209" s="3882"/>
      <c r="EZ209" s="3883"/>
      <c r="FA209" s="2108"/>
      <c r="FB209" s="3882"/>
      <c r="FC209" s="3882"/>
      <c r="FD209" s="1576"/>
      <c r="FE209" s="3882"/>
      <c r="FF209" s="3882"/>
      <c r="FG209" s="3882"/>
      <c r="FH209" s="3883"/>
      <c r="FI209" s="3884"/>
      <c r="FJ209" s="3885"/>
      <c r="FK209" s="3886"/>
      <c r="FL209" s="3886"/>
      <c r="FM209" s="239"/>
      <c r="FN209" s="3882"/>
      <c r="FO209" s="1873"/>
      <c r="FP209" s="1873"/>
      <c r="FQ209" s="1873"/>
      <c r="FR209" s="3887"/>
      <c r="FS209" s="3888"/>
      <c r="FT209" s="3889"/>
      <c r="FU209" s="3889"/>
      <c r="FV209" s="3889"/>
      <c r="FW209" s="3890"/>
      <c r="FX209" s="2108"/>
      <c r="FY209" s="1873"/>
      <c r="FZ209" s="1873"/>
      <c r="GA209" s="3889"/>
      <c r="GB209" s="3890"/>
      <c r="GC209" s="2108"/>
      <c r="GD209" s="1873"/>
      <c r="GE209" s="1873"/>
      <c r="GF209" s="622"/>
      <c r="GG209" s="362"/>
      <c r="GH209" s="1832"/>
      <c r="GI209" s="622"/>
      <c r="GJ209" s="622"/>
      <c r="GK209" s="3891"/>
      <c r="GL209" s="3890"/>
      <c r="GM209" s="1832"/>
      <c r="GN209" s="622"/>
      <c r="GO209" s="622"/>
      <c r="GP209" s="3891"/>
      <c r="GQ209" s="3890"/>
      <c r="GR209" s="622"/>
      <c r="GS209" s="622"/>
      <c r="GT209" s="622"/>
      <c r="GU209" s="3891"/>
      <c r="GV209" s="3890"/>
      <c r="GW209" s="622"/>
      <c r="GX209" s="622"/>
      <c r="GY209" s="622"/>
      <c r="GZ209" s="3891"/>
      <c r="HA209" s="3890"/>
      <c r="HB209" s="622"/>
      <c r="HC209" s="622"/>
      <c r="HD209" s="622"/>
      <c r="HE209" s="3891"/>
      <c r="HF209" s="3890"/>
      <c r="HG209" s="622"/>
      <c r="HH209" s="622"/>
      <c r="HI209" s="622"/>
      <c r="HJ209" s="3891"/>
      <c r="HK209" s="3890"/>
      <c r="HL209" s="622"/>
      <c r="HM209" s="622"/>
      <c r="HN209" s="622"/>
      <c r="HO209" s="3891"/>
      <c r="HP209" s="3890"/>
      <c r="HQ209" s="1325"/>
      <c r="HR209" s="1317"/>
      <c r="HS209" s="1317"/>
      <c r="HT209" s="1317"/>
      <c r="HU209" s="3911"/>
      <c r="HV209" s="2915">
        <f t="shared" si="772"/>
        <v>0</v>
      </c>
      <c r="HW209" s="395">
        <f t="shared" si="773"/>
        <v>0</v>
      </c>
      <c r="HX209" s="395">
        <f t="shared" si="773"/>
        <v>0</v>
      </c>
      <c r="HY209" s="395">
        <f t="shared" si="773"/>
        <v>0</v>
      </c>
      <c r="HZ209" s="2895"/>
      <c r="IA209" s="1829"/>
      <c r="IB209" s="1830"/>
      <c r="IC209" s="1830"/>
      <c r="ID209" s="1831"/>
      <c r="IE209" s="3915"/>
      <c r="IF209" s="3915"/>
      <c r="IG209" s="3915"/>
      <c r="IH209" s="3916"/>
      <c r="II209" s="3917"/>
      <c r="IJ209" s="3918"/>
      <c r="IK209" s="3918"/>
      <c r="IL209" s="3916"/>
      <c r="IM209" s="3919"/>
      <c r="IN209" s="3918"/>
      <c r="IO209" s="3918"/>
      <c r="IP209" s="3920"/>
      <c r="IQ209" s="1873"/>
      <c r="IR209" s="3921"/>
      <c r="IS209" s="3208"/>
      <c r="IT209" s="3208"/>
      <c r="IU209" s="3922"/>
      <c r="IV209" s="3899"/>
      <c r="IW209" s="3888"/>
      <c r="IX209" s="3889"/>
      <c r="IY209" s="3889"/>
      <c r="IZ209" s="3889"/>
      <c r="JA209" s="362"/>
      <c r="JB209" s="3923"/>
      <c r="JC209" s="1873"/>
      <c r="JD209" s="1873"/>
      <c r="JE209" s="3889"/>
      <c r="JF209" s="3890"/>
      <c r="JG209" s="3923"/>
      <c r="JH209" s="1873"/>
      <c r="JI209" s="1873"/>
      <c r="JJ209" s="622"/>
      <c r="JK209" s="362"/>
      <c r="JL209" s="1832"/>
      <c r="JM209" s="622"/>
      <c r="JN209" s="622"/>
      <c r="JO209" s="3891"/>
      <c r="JP209" s="3890"/>
      <c r="JQ209" s="3913"/>
      <c r="JR209" s="3905"/>
      <c r="JS209" s="1317"/>
      <c r="JT209" s="3903"/>
      <c r="JU209" s="3890"/>
      <c r="JV209" s="3924"/>
      <c r="JW209" s="622"/>
      <c r="JX209" s="3903"/>
      <c r="JY209" s="3891"/>
      <c r="JZ209" s="3890"/>
      <c r="KA209" s="2432"/>
      <c r="KB209" s="622"/>
      <c r="KC209" s="3903"/>
      <c r="KD209" s="3891"/>
      <c r="KE209" s="3890"/>
      <c r="KF209" s="3900"/>
      <c r="KG209" s="622"/>
      <c r="KH209" s="3903"/>
      <c r="KI209" s="3864">
        <f>KH209-KG209</f>
        <v>0</v>
      </c>
      <c r="KJ209" s="3890"/>
      <c r="KK209" s="3819"/>
      <c r="KL209" s="1317"/>
      <c r="KM209" s="1317"/>
      <c r="KN209" s="3864">
        <f>KM209-KL209</f>
        <v>0</v>
      </c>
      <c r="KO209" s="3890"/>
      <c r="KP209" s="2000"/>
      <c r="KQ209" s="1317"/>
      <c r="KR209" s="3865"/>
      <c r="KS209" s="1317">
        <f>KR209-KQ209</f>
        <v>0</v>
      </c>
      <c r="KT209" s="3906"/>
      <c r="KU209" s="3925"/>
      <c r="KV209" s="3891"/>
      <c r="KW209" s="3891"/>
      <c r="KX209" s="3891"/>
      <c r="KY209" s="3890"/>
      <c r="KZ209" s="2432"/>
      <c r="LA209" s="622"/>
      <c r="LB209" s="622"/>
      <c r="LC209" s="622"/>
      <c r="LD209" s="2434"/>
      <c r="LE209" s="1834"/>
      <c r="LF209" s="1830"/>
      <c r="LG209" s="1830"/>
      <c r="LH209" s="1831"/>
      <c r="LI209" s="3919"/>
      <c r="LJ209" s="3915"/>
      <c r="LK209" s="3915"/>
      <c r="LL209" s="3916"/>
      <c r="LM209" s="1829"/>
      <c r="LN209" s="3894"/>
      <c r="LO209" s="3894"/>
      <c r="LP209" s="239"/>
      <c r="LQ209" s="3919"/>
      <c r="LR209" s="3918"/>
      <c r="LS209" s="3918"/>
      <c r="LT209" s="3920"/>
      <c r="LU209" s="1873"/>
      <c r="LV209" s="2445"/>
      <c r="LW209" s="2001"/>
      <c r="LX209" s="2001"/>
      <c r="LY209" s="115"/>
      <c r="LZ209" s="186"/>
      <c r="MA209" s="401"/>
      <c r="MB209" s="395"/>
      <c r="MC209" s="395"/>
      <c r="MD209" s="115"/>
      <c r="ME209" s="186"/>
      <c r="MF209" s="2445"/>
      <c r="MG209" s="2001"/>
      <c r="MH209" s="2001"/>
      <c r="MI209" s="372"/>
      <c r="MJ209" s="207"/>
      <c r="MK209" s="2891"/>
      <c r="ML209" s="2001"/>
      <c r="MM209" s="2001"/>
      <c r="MN209" s="372"/>
      <c r="MO209" s="207"/>
      <c r="MP209" s="3805" t="s">
        <v>238</v>
      </c>
      <c r="MQ209" s="1317">
        <v>61352</v>
      </c>
      <c r="MR209" s="1317">
        <v>76882</v>
      </c>
      <c r="MS209" s="1317">
        <f t="shared" si="820"/>
        <v>15530</v>
      </c>
      <c r="MT209" s="801">
        <f>MS209/MR209</f>
        <v>0.20199786686090374</v>
      </c>
      <c r="MU209" s="1318">
        <v>1</v>
      </c>
      <c r="MV209" s="395">
        <v>62500</v>
      </c>
      <c r="MW209" s="395">
        <v>91667</v>
      </c>
      <c r="MX209" s="395">
        <f>MW209-MV209</f>
        <v>29167</v>
      </c>
      <c r="MY209" s="801">
        <f>MX209/MW209</f>
        <v>0.3181842975116454</v>
      </c>
      <c r="MZ209" s="1318">
        <v>1</v>
      </c>
      <c r="NA209" s="395">
        <v>62500</v>
      </c>
      <c r="NB209" s="395">
        <v>91667</v>
      </c>
      <c r="NC209" s="395">
        <f>NB209-NA209</f>
        <v>29167</v>
      </c>
      <c r="ND209" s="801">
        <f>NC209/NB209</f>
        <v>0.3181842975116454</v>
      </c>
      <c r="NE209" s="1318">
        <v>1</v>
      </c>
      <c r="NF209" s="395">
        <v>62500</v>
      </c>
      <c r="NG209" s="395">
        <v>0</v>
      </c>
      <c r="NH209" s="395">
        <f>NG209-NF209</f>
        <v>-62500</v>
      </c>
      <c r="NI209" s="801"/>
      <c r="NJ209" s="1318">
        <v>1</v>
      </c>
      <c r="NK209" s="395">
        <v>62500</v>
      </c>
      <c r="NL209" s="395">
        <v>0</v>
      </c>
      <c r="NM209" s="395">
        <f>NL209-NK209</f>
        <v>-62500</v>
      </c>
      <c r="NN209" s="801"/>
      <c r="NO209" s="2432"/>
      <c r="NP209" s="622">
        <v>0</v>
      </c>
      <c r="NQ209" s="2437">
        <v>0</v>
      </c>
      <c r="NR209" s="395">
        <f>NQ209-NP209</f>
        <v>0</v>
      </c>
      <c r="NS209" s="801"/>
      <c r="NT209" s="2432"/>
      <c r="NU209" s="622"/>
      <c r="NV209" s="622"/>
      <c r="NW209" s="395"/>
      <c r="NX209" s="801"/>
      <c r="NY209" s="2432"/>
      <c r="NZ209" s="622"/>
      <c r="OA209" s="622"/>
      <c r="OB209" s="772"/>
      <c r="OC209" s="116"/>
      <c r="OD209" s="2433"/>
      <c r="OE209" s="622">
        <f t="shared" si="768"/>
        <v>311352</v>
      </c>
      <c r="OF209" s="622">
        <f t="shared" si="768"/>
        <v>260216</v>
      </c>
      <c r="OG209" s="622">
        <f t="shared" si="768"/>
        <v>-51136</v>
      </c>
      <c r="OH209" s="1576">
        <f>OG209/OF209</f>
        <v>-0.19651366557014172</v>
      </c>
      <c r="OI209" s="2002"/>
      <c r="OJ209" s="2431"/>
      <c r="OK209" s="2001"/>
      <c r="OL209" s="2001"/>
      <c r="OM209" s="441"/>
      <c r="ON209" s="2002"/>
      <c r="OO209" s="2431"/>
      <c r="OP209" s="2001"/>
      <c r="OQ209" s="2001"/>
      <c r="OR209" s="452"/>
      <c r="OS209" s="2002"/>
      <c r="OT209" s="2431"/>
      <c r="OU209" s="2001"/>
      <c r="OV209" s="2001"/>
      <c r="OW209" s="452"/>
      <c r="OX209" s="2432">
        <f t="shared" si="674"/>
        <v>0</v>
      </c>
      <c r="OY209" s="622">
        <f t="shared" si="807"/>
        <v>0</v>
      </c>
      <c r="OZ209" s="622">
        <f t="shared" si="807"/>
        <v>0</v>
      </c>
      <c r="PA209" s="2437">
        <f t="shared" si="807"/>
        <v>0</v>
      </c>
      <c r="PB209" s="116"/>
      <c r="PC209" s="3886"/>
      <c r="PD209" s="2445"/>
      <c r="PE209" s="2001"/>
      <c r="PF209" s="2001"/>
      <c r="PG209" s="115">
        <f t="shared" si="774"/>
        <v>0</v>
      </c>
      <c r="PH209" s="186"/>
      <c r="PI209" s="401"/>
      <c r="PJ209" s="395"/>
      <c r="PK209" s="395"/>
      <c r="PL209" s="115"/>
      <c r="PM209" s="186"/>
      <c r="PN209" s="2445"/>
      <c r="PO209" s="2001"/>
      <c r="PP209" s="2001"/>
      <c r="PQ209" s="372"/>
      <c r="PR209" s="207"/>
      <c r="PS209" s="2891"/>
      <c r="PT209" s="2001"/>
      <c r="PU209" s="2001"/>
      <c r="PV209" s="2892"/>
      <c r="PW209" s="370"/>
      <c r="PX209" s="3805"/>
      <c r="PY209" s="1317"/>
      <c r="PZ209" s="1317"/>
      <c r="QA209" s="1317">
        <f>PZ209-PY209</f>
        <v>0</v>
      </c>
      <c r="QB209" s="801" t="e">
        <f>QA209/PZ209</f>
        <v>#DIV/0!</v>
      </c>
      <c r="QC209" s="2002"/>
      <c r="QD209" s="2001"/>
      <c r="QE209" s="2001"/>
      <c r="QF209" s="2001">
        <f>QE209-QD209</f>
        <v>0</v>
      </c>
      <c r="QG209" s="2003"/>
      <c r="QH209" s="401"/>
      <c r="QI209" s="395"/>
      <c r="QJ209" s="395"/>
      <c r="QK209" s="395"/>
      <c r="QL209" s="801"/>
      <c r="QM209" s="401"/>
      <c r="QN209" s="395"/>
      <c r="QO209" s="395"/>
      <c r="QP209" s="395"/>
      <c r="QQ209" s="801"/>
      <c r="QR209" s="2002"/>
      <c r="QS209" s="2001"/>
      <c r="QT209" s="2001"/>
      <c r="QU209" s="2001"/>
      <c r="QV209" s="370"/>
      <c r="QW209" s="1318"/>
      <c r="QX209" s="395">
        <v>0</v>
      </c>
      <c r="QY209" s="395">
        <v>0</v>
      </c>
      <c r="QZ209" s="395">
        <f>QY209-QX209</f>
        <v>0</v>
      </c>
      <c r="RA209" s="2003"/>
      <c r="RB209" s="2430"/>
      <c r="RC209" s="1873"/>
      <c r="RD209" s="1873"/>
      <c r="RE209" s="2001"/>
      <c r="RF209" s="2003"/>
      <c r="RG209" s="2108"/>
      <c r="RH209" s="1873"/>
      <c r="RI209" s="1873"/>
      <c r="RJ209" s="2012"/>
      <c r="RK209" s="116"/>
      <c r="RL209" s="3717"/>
      <c r="RM209" s="1873">
        <f t="shared" si="815"/>
        <v>0</v>
      </c>
      <c r="RN209" s="1873">
        <f t="shared" si="815"/>
        <v>0</v>
      </c>
      <c r="RO209" s="1873">
        <f t="shared" si="815"/>
        <v>0</v>
      </c>
      <c r="RP209" s="1576" t="e">
        <f>RO209/RN209</f>
        <v>#DIV/0!</v>
      </c>
      <c r="RQ209" s="2002"/>
      <c r="RR209" s="2431"/>
      <c r="RS209" s="2001"/>
      <c r="RT209" s="2001"/>
      <c r="RU209" s="441"/>
      <c r="RV209" s="2002"/>
      <c r="RW209" s="2431"/>
      <c r="RX209" s="2001"/>
      <c r="RY209" s="2001"/>
      <c r="RZ209" s="452"/>
      <c r="SA209" s="2002"/>
      <c r="SB209" s="2431"/>
      <c r="SC209" s="2001"/>
      <c r="SD209" s="2001"/>
      <c r="SE209" s="452"/>
      <c r="SF209" s="3736"/>
      <c r="SG209" s="622">
        <f t="shared" si="769"/>
        <v>0</v>
      </c>
      <c r="SH209" s="622">
        <f t="shared" si="769"/>
        <v>0</v>
      </c>
      <c r="SI209" s="2437">
        <f t="shared" si="769"/>
        <v>0</v>
      </c>
      <c r="SJ209" s="116"/>
      <c r="SK209" s="1568"/>
      <c r="SL209" s="2445"/>
      <c r="SM209" s="2001"/>
      <c r="SN209" s="2001"/>
      <c r="SO209" s="3534">
        <f t="shared" si="775"/>
        <v>0</v>
      </c>
      <c r="SP209" s="1498"/>
      <c r="SQ209" s="2445"/>
      <c r="SR209" s="2001"/>
      <c r="SS209" s="2001"/>
      <c r="ST209" s="3534"/>
      <c r="SU209" s="1498"/>
      <c r="SV209" s="401"/>
      <c r="SW209" s="395"/>
      <c r="SX209" s="395"/>
      <c r="SY209" s="372"/>
      <c r="SZ209" s="207"/>
      <c r="TA209" s="2573"/>
      <c r="TB209" s="395"/>
      <c r="TC209" s="395"/>
      <c r="TD209" s="372"/>
      <c r="TE209" s="207"/>
      <c r="TF209" s="2573"/>
      <c r="TG209" s="395"/>
      <c r="TH209" s="395"/>
      <c r="TI209" s="395">
        <f>TH209-TG209</f>
        <v>0</v>
      </c>
      <c r="TJ209" s="116" t="e">
        <f>TI209/TH209</f>
        <v>#DIV/0!</v>
      </c>
      <c r="TK209" s="2002"/>
      <c r="TL209" s="2001"/>
      <c r="TM209" s="2001"/>
      <c r="TN209" s="2012">
        <f>TM209-TL209</f>
        <v>0</v>
      </c>
      <c r="TO209" s="441"/>
      <c r="TP209" s="4434"/>
      <c r="TQ209" s="395"/>
      <c r="TR209" s="395"/>
      <c r="TS209" s="772"/>
      <c r="TT209" s="116"/>
      <c r="TU209" s="4464"/>
      <c r="TV209" s="2001"/>
      <c r="TW209" s="2001"/>
      <c r="TX209" s="2012"/>
      <c r="TY209" s="441"/>
      <c r="TZ209" s="2002"/>
      <c r="UA209" s="2001"/>
      <c r="UB209" s="2001"/>
      <c r="UC209" s="2012"/>
      <c r="UD209" s="441"/>
      <c r="UE209" s="2002"/>
      <c r="UF209" s="1575"/>
      <c r="UG209" s="1575"/>
      <c r="UH209" s="2552">
        <f t="shared" si="698"/>
        <v>0</v>
      </c>
      <c r="UI209" s="222" t="e">
        <f t="shared" si="699"/>
        <v>#DIV/0!</v>
      </c>
      <c r="UJ209" s="2430"/>
      <c r="UK209" s="1873"/>
      <c r="UL209" s="1873"/>
      <c r="UM209" s="2001"/>
      <c r="UN209" s="2019"/>
      <c r="UO209" s="2108"/>
      <c r="UP209" s="1873"/>
      <c r="UQ209" s="1873"/>
      <c r="UR209" s="2012"/>
      <c r="US209" s="659"/>
      <c r="UT209" s="2433"/>
      <c r="UU209" s="358">
        <f t="shared" si="700"/>
        <v>0</v>
      </c>
      <c r="UV209" s="358">
        <f t="shared" si="700"/>
        <v>0</v>
      </c>
      <c r="UW209" s="358">
        <f t="shared" si="700"/>
        <v>0</v>
      </c>
      <c r="UX209" s="220" t="e">
        <f t="shared" si="704"/>
        <v>#DIV/0!</v>
      </c>
      <c r="UY209" s="2002"/>
      <c r="UZ209" s="2431"/>
      <c r="VA209" s="2001"/>
      <c r="VB209" s="2001"/>
      <c r="VC209" s="441"/>
      <c r="VD209" s="2916"/>
      <c r="VE209" s="358">
        <f t="shared" si="701"/>
        <v>0</v>
      </c>
      <c r="VF209" s="358">
        <f t="shared" si="701"/>
        <v>0</v>
      </c>
      <c r="VG209" s="359">
        <f t="shared" si="701"/>
        <v>0</v>
      </c>
      <c r="VH209" s="169" t="e">
        <f t="shared" si="702"/>
        <v>#DIV/0!</v>
      </c>
      <c r="VI209" s="2002"/>
      <c r="VJ209" s="146">
        <f t="shared" si="703"/>
        <v>0</v>
      </c>
      <c r="VK209" s="146">
        <f t="shared" si="703"/>
        <v>0</v>
      </c>
      <c r="VL209" s="1864">
        <f t="shared" si="703"/>
        <v>0</v>
      </c>
      <c r="VM209" s="452"/>
      <c r="VN209" s="2433"/>
      <c r="VO209" s="622">
        <f t="shared" si="770"/>
        <v>0</v>
      </c>
      <c r="VP209" s="622">
        <f t="shared" si="770"/>
        <v>0</v>
      </c>
      <c r="VQ209" s="2437">
        <f t="shared" si="770"/>
        <v>0</v>
      </c>
      <c r="VR209" s="116"/>
      <c r="VS209" s="1193"/>
      <c r="VT209" s="1193"/>
      <c r="VU209" s="1193"/>
      <c r="VV209" s="1193"/>
      <c r="VW209" s="1193"/>
      <c r="VX209" s="1193"/>
      <c r="VY209" s="1193"/>
      <c r="VZ209" s="1193"/>
      <c r="WA209" s="1193"/>
      <c r="WB209" s="1193"/>
      <c r="WC209" s="1193"/>
      <c r="WD209" s="1193"/>
      <c r="WE209" s="1193"/>
      <c r="WF209" s="1193"/>
      <c r="WG209" s="1193"/>
      <c r="WH209" s="1193"/>
      <c r="WI209" s="1193"/>
      <c r="WJ209" s="1193"/>
      <c r="WK209" s="1193"/>
      <c r="WL209" s="1193"/>
      <c r="WM209" s="1193"/>
      <c r="WN209" s="1193"/>
      <c r="WO209" s="1193"/>
      <c r="WP209" s="1193"/>
      <c r="WQ209" s="1193"/>
      <c r="WR209" s="1193"/>
      <c r="WS209" s="1193"/>
      <c r="WT209" s="1193"/>
      <c r="WU209" s="1193"/>
      <c r="WV209" s="1193"/>
      <c r="WW209" s="1193"/>
      <c r="WX209" s="1193"/>
      <c r="WY209" s="1193"/>
      <c r="WZ209" s="1193"/>
      <c r="XA209" s="1193"/>
      <c r="XB209" s="1193"/>
      <c r="XC209" s="1193"/>
      <c r="XD209" s="1193"/>
      <c r="XE209" s="1193"/>
      <c r="XF209" s="1193"/>
      <c r="XG209" s="1193"/>
      <c r="XH209" s="1193"/>
      <c r="XI209" s="1193"/>
      <c r="XJ209" s="1193"/>
      <c r="XK209" s="1193"/>
      <c r="XL209" s="1193"/>
      <c r="XM209" s="1193"/>
      <c r="XN209" s="1193"/>
      <c r="XO209" s="1193"/>
      <c r="XP209" s="1193"/>
      <c r="XQ209" s="1193"/>
      <c r="XR209" s="1193"/>
      <c r="XS209" s="1193"/>
      <c r="XT209" s="1193"/>
      <c r="XU209" s="1193"/>
      <c r="XV209" s="1193"/>
      <c r="XW209" s="1193"/>
      <c r="XX209" s="1193"/>
      <c r="XY209" s="1193"/>
      <c r="XZ209" s="1193"/>
      <c r="YA209" s="1193"/>
      <c r="YB209" s="1193"/>
      <c r="YC209" s="1193"/>
      <c r="YD209" s="1193"/>
      <c r="YE209" s="1193"/>
      <c r="YF209" s="1193"/>
      <c r="YG209" s="1193"/>
      <c r="YH209" s="1193"/>
      <c r="YI209" s="1193"/>
      <c r="YJ209" s="1193"/>
      <c r="YK209" s="1193"/>
      <c r="YL209" s="1193"/>
      <c r="YM209" s="1193"/>
      <c r="YN209" s="1193"/>
      <c r="YO209" s="1193"/>
      <c r="YP209" s="1193"/>
      <c r="YQ209" s="1193"/>
      <c r="YR209" s="1193"/>
      <c r="YS209" s="1193"/>
      <c r="YT209" s="1193"/>
      <c r="YU209" s="1193"/>
      <c r="YV209" s="1193"/>
      <c r="YW209" s="1193"/>
      <c r="YX209" s="1193"/>
      <c r="YY209" s="1193"/>
      <c r="YZ209" s="1193"/>
      <c r="ZA209" s="1193"/>
      <c r="ZB209" s="1193"/>
      <c r="ZC209" s="1193"/>
      <c r="ZD209" s="1193"/>
      <c r="ZE209" s="1193"/>
      <c r="ZF209" s="1193"/>
      <c r="ZG209" s="1193"/>
      <c r="ZH209" s="1193"/>
      <c r="ZI209" s="1193"/>
      <c r="ZJ209" s="1193"/>
      <c r="ZK209" s="1193"/>
      <c r="ZL209" s="1193"/>
      <c r="ZM209" s="1193"/>
      <c r="ZN209" s="1193"/>
      <c r="ZO209" s="1193"/>
      <c r="ZP209" s="1193"/>
      <c r="ZQ209" s="1193"/>
      <c r="ZR209" s="1193"/>
      <c r="ZS209" s="1193"/>
      <c r="ZT209" s="1193"/>
      <c r="ZU209" s="1193"/>
      <c r="ZV209" s="1193"/>
      <c r="ZW209" s="1193"/>
      <c r="ZX209" s="1193"/>
      <c r="ZY209" s="1193"/>
      <c r="ZZ209" s="1193"/>
      <c r="AAA209" s="1193"/>
      <c r="AAB209" s="1193"/>
      <c r="AAC209" s="1193"/>
      <c r="AAD209" s="1193"/>
      <c r="AAE209" s="1193"/>
      <c r="AAF209" s="1193"/>
      <c r="AAG209" s="1193"/>
      <c r="AAH209" s="1193"/>
      <c r="AAI209" s="1193"/>
      <c r="AAJ209" s="1193"/>
      <c r="AAK209" s="1193"/>
      <c r="AAL209" s="1193"/>
      <c r="AAM209" s="1193"/>
      <c r="AAN209" s="1193"/>
      <c r="AAO209" s="1193"/>
      <c r="AAP209" s="1193"/>
      <c r="AAQ209" s="1193"/>
      <c r="AAR209" s="1193"/>
      <c r="AAS209" s="1193"/>
      <c r="AAT209" s="1193"/>
      <c r="AAU209" s="1193"/>
      <c r="AAV209" s="1193"/>
      <c r="AAW209" s="1193"/>
      <c r="AAX209" s="1193"/>
      <c r="AAY209" s="1193"/>
      <c r="AAZ209" s="1193"/>
      <c r="ABA209" s="1193"/>
      <c r="ABB209" s="1193"/>
      <c r="ABC209" s="1193"/>
      <c r="ABD209" s="1193"/>
      <c r="ABE209" s="1193"/>
      <c r="ABF209" s="1193"/>
      <c r="ABG209" s="1193"/>
      <c r="ABH209" s="1193"/>
      <c r="ABI209" s="1193"/>
      <c r="ABJ209" s="1193"/>
      <c r="ABK209" s="1193"/>
      <c r="ABL209" s="1193"/>
      <c r="ABM209" s="1193"/>
      <c r="ABN209" s="1193"/>
      <c r="ABO209" s="1193"/>
      <c r="ABP209" s="1193"/>
      <c r="ABQ209" s="1193"/>
    </row>
    <row r="210" spans="1:745" s="1193" customFormat="1" x14ac:dyDescent="0.3">
      <c r="A210" s="1297"/>
      <c r="B210" s="667"/>
      <c r="C210" s="4010"/>
      <c r="D210" s="4011"/>
      <c r="E210" s="4012"/>
      <c r="F210" s="4012"/>
      <c r="G210" s="4013"/>
      <c r="H210" s="4014"/>
      <c r="I210" s="4015"/>
      <c r="J210" s="4015"/>
      <c r="K210" s="4015"/>
      <c r="L210" s="4016"/>
      <c r="M210" s="4014"/>
      <c r="N210" s="4015"/>
      <c r="O210" s="4015"/>
      <c r="P210" s="4015"/>
      <c r="Q210" s="4016"/>
      <c r="R210" s="4014"/>
      <c r="S210" s="4015"/>
      <c r="T210" s="4015"/>
      <c r="U210" s="4015"/>
      <c r="V210" s="4016"/>
      <c r="W210" s="4014"/>
      <c r="X210" s="4015"/>
      <c r="Y210" s="4015"/>
      <c r="Z210" s="4015"/>
      <c r="AA210" s="4017"/>
      <c r="AB210" s="4014"/>
      <c r="AC210" s="4015"/>
      <c r="AD210" s="4015"/>
      <c r="AE210" s="4015"/>
      <c r="AF210" s="4017"/>
      <c r="AG210" s="4015"/>
      <c r="AH210" s="4015"/>
      <c r="AI210" s="4015"/>
      <c r="AJ210" s="4015"/>
      <c r="AK210" s="4016"/>
      <c r="AL210" s="4015"/>
      <c r="AM210" s="4015"/>
      <c r="AN210" s="4015"/>
      <c r="AO210" s="4015"/>
      <c r="AP210" s="4016"/>
      <c r="AQ210" s="4015"/>
      <c r="AR210" s="4015"/>
      <c r="AS210" s="4015"/>
      <c r="AT210" s="4015"/>
      <c r="AU210" s="4016"/>
      <c r="AV210" s="4018"/>
      <c r="AW210" s="4015"/>
      <c r="AX210" s="4015"/>
      <c r="AY210" s="4015"/>
      <c r="AZ210" s="4017"/>
      <c r="BA210" s="4018"/>
      <c r="BB210" s="4015"/>
      <c r="BC210" s="4015"/>
      <c r="BD210" s="4015"/>
      <c r="BE210" s="4017"/>
      <c r="BF210" s="4018"/>
      <c r="BG210" s="4015"/>
      <c r="BH210" s="4015"/>
      <c r="BI210" s="4015"/>
      <c r="BJ210" s="4017"/>
      <c r="BK210" s="4018"/>
      <c r="BL210" s="4015"/>
      <c r="BM210" s="4015"/>
      <c r="BN210" s="4015"/>
      <c r="BO210" s="4017"/>
      <c r="BP210" s="4019"/>
      <c r="BQ210" s="4015"/>
      <c r="BR210" s="4015"/>
      <c r="BS210" s="4015"/>
      <c r="BT210" s="4020"/>
      <c r="BU210" s="4015"/>
      <c r="BV210" s="4015"/>
      <c r="BW210" s="4021"/>
      <c r="BX210" s="4020"/>
      <c r="BY210" s="4015"/>
      <c r="BZ210" s="4015"/>
      <c r="CA210" s="4022"/>
      <c r="CB210" s="4015"/>
      <c r="CC210" s="4015"/>
      <c r="CD210" s="4015"/>
      <c r="CE210" s="4015"/>
      <c r="CF210" s="4020"/>
      <c r="CG210" s="4015"/>
      <c r="CH210" s="4015"/>
      <c r="CI210" s="4022"/>
      <c r="CJ210" s="4023"/>
      <c r="CK210" s="4015"/>
      <c r="CL210" s="4015"/>
      <c r="CM210" s="4015"/>
      <c r="CN210" s="4021"/>
      <c r="CO210" s="4023"/>
      <c r="CP210" s="4014"/>
      <c r="CQ210" s="4014"/>
      <c r="CR210" s="4014"/>
      <c r="CS210" s="4021"/>
      <c r="CT210" s="4023"/>
      <c r="CU210" s="4015"/>
      <c r="CV210" s="4015"/>
      <c r="CW210" s="4015"/>
      <c r="CX210" s="4021"/>
      <c r="CY210" s="4023"/>
      <c r="CZ210" s="4015"/>
      <c r="DA210" s="4015"/>
      <c r="DB210" s="4015"/>
      <c r="DC210" s="4021"/>
      <c r="DD210" s="4023"/>
      <c r="DE210" s="4015"/>
      <c r="DF210" s="4015"/>
      <c r="DG210" s="4015"/>
      <c r="DH210" s="4024"/>
      <c r="DI210" s="4023"/>
      <c r="DJ210" s="4015"/>
      <c r="DK210" s="4015"/>
      <c r="DL210" s="4015"/>
      <c r="DM210" s="4024"/>
      <c r="DN210" s="4023"/>
      <c r="DO210" s="4015"/>
      <c r="DP210" s="4015"/>
      <c r="DQ210" s="4015"/>
      <c r="DR210" s="4024"/>
      <c r="DS210" s="4023"/>
      <c r="DT210" s="4015"/>
      <c r="DU210" s="4015"/>
      <c r="DV210" s="4015"/>
      <c r="DW210" s="4024"/>
      <c r="DX210" s="4023"/>
      <c r="DY210" s="4015"/>
      <c r="DZ210" s="4015"/>
      <c r="EA210" s="4015"/>
      <c r="EB210" s="4024"/>
      <c r="EC210" s="4023"/>
      <c r="ED210" s="4015"/>
      <c r="EE210" s="4015"/>
      <c r="EF210" s="4015"/>
      <c r="EG210" s="4024"/>
      <c r="EH210" s="2883"/>
      <c r="EI210" s="2641"/>
      <c r="EJ210" s="2641"/>
      <c r="EK210" s="2641"/>
      <c r="EL210" s="4025"/>
      <c r="EM210" s="2142"/>
      <c r="EN210" s="1585"/>
      <c r="EO210" s="1585"/>
      <c r="EP210" s="1585"/>
      <c r="EQ210" s="225"/>
      <c r="ER210" s="4026"/>
      <c r="ES210" s="4027"/>
      <c r="ET210" s="4027"/>
      <c r="EU210" s="4027"/>
      <c r="EV210" s="2639"/>
      <c r="EW210" s="2884"/>
      <c r="EX210" s="2884"/>
      <c r="EY210" s="2884"/>
      <c r="EZ210" s="4028"/>
      <c r="FA210" s="2883"/>
      <c r="FB210" s="2884"/>
      <c r="FC210" s="2884"/>
      <c r="FD210" s="1600"/>
      <c r="FE210" s="2884"/>
      <c r="FF210" s="2884"/>
      <c r="FG210" s="2884"/>
      <c r="FH210" s="4028"/>
      <c r="FI210" s="665"/>
      <c r="FJ210" s="3760"/>
      <c r="FK210" s="227"/>
      <c r="FL210" s="227"/>
      <c r="FM210" s="201"/>
      <c r="FN210" s="2884"/>
      <c r="FO210" s="2641"/>
      <c r="FP210" s="2641"/>
      <c r="FQ210" s="2641"/>
      <c r="FR210" s="4029"/>
      <c r="FS210" s="4030"/>
      <c r="FT210" s="4031"/>
      <c r="FU210" s="4031"/>
      <c r="FV210" s="4031"/>
      <c r="FW210" s="4032"/>
      <c r="FX210" s="2883"/>
      <c r="FY210" s="2641"/>
      <c r="FZ210" s="2641"/>
      <c r="GA210" s="4031"/>
      <c r="GB210" s="4032"/>
      <c r="GC210" s="2883"/>
      <c r="GD210" s="2641"/>
      <c r="GE210" s="2641"/>
      <c r="GF210" s="1585"/>
      <c r="GG210" s="225"/>
      <c r="GH210" s="2142"/>
      <c r="GI210" s="1585"/>
      <c r="GJ210" s="1585"/>
      <c r="GK210" s="4033"/>
      <c r="GL210" s="4032"/>
      <c r="GM210" s="2142"/>
      <c r="GN210" s="1585"/>
      <c r="GO210" s="1585"/>
      <c r="GP210" s="4033"/>
      <c r="GQ210" s="4032"/>
      <c r="GR210" s="1585"/>
      <c r="GS210" s="1585"/>
      <c r="GT210" s="1585"/>
      <c r="GU210" s="4033"/>
      <c r="GV210" s="4032"/>
      <c r="GW210" s="1585"/>
      <c r="GX210" s="1585"/>
      <c r="GY210" s="1585"/>
      <c r="GZ210" s="4033"/>
      <c r="HA210" s="4032"/>
      <c r="HB210" s="1585"/>
      <c r="HC210" s="1585"/>
      <c r="HD210" s="1585"/>
      <c r="HE210" s="4033"/>
      <c r="HF210" s="4032"/>
      <c r="HG210" s="1585"/>
      <c r="HH210" s="1585"/>
      <c r="HI210" s="1585"/>
      <c r="HJ210" s="4033"/>
      <c r="HK210" s="4032"/>
      <c r="HL210" s="1585"/>
      <c r="HM210" s="1585"/>
      <c r="HN210" s="1585"/>
      <c r="HO210" s="4033"/>
      <c r="HP210" s="4032"/>
      <c r="HQ210" s="4034"/>
      <c r="HR210" s="4035"/>
      <c r="HS210" s="4035"/>
      <c r="HT210" s="4035"/>
      <c r="HU210" s="4036"/>
      <c r="HV210" s="4037"/>
      <c r="HW210" s="435"/>
      <c r="HX210" s="435"/>
      <c r="HY210" s="435"/>
      <c r="HZ210" s="4038"/>
      <c r="IA210" s="4039"/>
      <c r="IB210" s="2140"/>
      <c r="IC210" s="2140"/>
      <c r="ID210" s="2141"/>
      <c r="IE210" s="4040"/>
      <c r="IF210" s="4040"/>
      <c r="IG210" s="4040"/>
      <c r="IH210" s="4041"/>
      <c r="II210" s="4042"/>
      <c r="IJ210" s="4043"/>
      <c r="IK210" s="4043"/>
      <c r="IL210" s="4041"/>
      <c r="IM210" s="4044"/>
      <c r="IN210" s="4043"/>
      <c r="IO210" s="4043"/>
      <c r="IP210" s="4045"/>
      <c r="IQ210" s="2641"/>
      <c r="IR210" s="4046"/>
      <c r="IS210" s="4047"/>
      <c r="IT210" s="4047"/>
      <c r="IU210" s="4048"/>
      <c r="IV210" s="4049"/>
      <c r="IW210" s="4030"/>
      <c r="IX210" s="4031"/>
      <c r="IY210" s="4031"/>
      <c r="IZ210" s="4031"/>
      <c r="JA210" s="225"/>
      <c r="JB210" s="4050"/>
      <c r="JC210" s="2641"/>
      <c r="JD210" s="2641"/>
      <c r="JE210" s="4031"/>
      <c r="JF210" s="4032"/>
      <c r="JG210" s="4050"/>
      <c r="JH210" s="2641"/>
      <c r="JI210" s="2641"/>
      <c r="JJ210" s="1585"/>
      <c r="JK210" s="225"/>
      <c r="JL210" s="2142"/>
      <c r="JM210" s="1585"/>
      <c r="JN210" s="1585"/>
      <c r="JO210" s="4033"/>
      <c r="JP210" s="4032"/>
      <c r="JQ210" s="4051"/>
      <c r="JR210" s="4052"/>
      <c r="JS210" s="1626"/>
      <c r="JT210" s="2885"/>
      <c r="JU210" s="4032"/>
      <c r="JV210" s="4053"/>
      <c r="JW210" s="1585"/>
      <c r="JX210" s="2885"/>
      <c r="JY210" s="4033"/>
      <c r="JZ210" s="4032"/>
      <c r="KA210" s="2633"/>
      <c r="KB210" s="1585"/>
      <c r="KC210" s="2885"/>
      <c r="KD210" s="4033"/>
      <c r="KE210" s="4032"/>
      <c r="KF210" s="2949"/>
      <c r="KG210" s="1585"/>
      <c r="KH210" s="2885"/>
      <c r="KI210" s="4054">
        <f>KH210-KG210</f>
        <v>0</v>
      </c>
      <c r="KJ210" s="4032"/>
      <c r="KK210" s="4055"/>
      <c r="KL210" s="1585"/>
      <c r="KM210" s="1585"/>
      <c r="KN210" s="4054">
        <f>KM210-KL210</f>
        <v>0</v>
      </c>
      <c r="KO210" s="4032"/>
      <c r="KP210" s="2557"/>
      <c r="KQ210" s="2558"/>
      <c r="KR210" s="4056"/>
      <c r="KS210" s="2558"/>
      <c r="KT210" s="4057"/>
      <c r="KU210" s="4058"/>
      <c r="KV210" s="4033"/>
      <c r="KW210" s="4033"/>
      <c r="KX210" s="4033"/>
      <c r="KY210" s="4032"/>
      <c r="KZ210" s="2470"/>
      <c r="LA210" s="455"/>
      <c r="LB210" s="455"/>
      <c r="LC210" s="455"/>
      <c r="LD210" s="2472"/>
      <c r="LE210" s="2139"/>
      <c r="LF210" s="2140"/>
      <c r="LG210" s="2140"/>
      <c r="LH210" s="2141"/>
      <c r="LI210" s="4044"/>
      <c r="LJ210" s="4040"/>
      <c r="LK210" s="4040"/>
      <c r="LL210" s="4041"/>
      <c r="LM210" s="4039"/>
      <c r="LN210" s="4059"/>
      <c r="LO210" s="4059"/>
      <c r="LP210" s="201"/>
      <c r="LQ210" s="4044"/>
      <c r="LR210" s="4043"/>
      <c r="LS210" s="4043"/>
      <c r="LT210" s="4045"/>
      <c r="LU210" s="2641"/>
      <c r="LV210" s="2480"/>
      <c r="LW210" s="2469"/>
      <c r="LX210" s="2469"/>
      <c r="LY210" s="2469"/>
      <c r="LZ210" s="2481"/>
      <c r="MA210" s="2654"/>
      <c r="MB210" s="2465"/>
      <c r="MC210" s="2465"/>
      <c r="MD210" s="2465"/>
      <c r="ME210" s="2481"/>
      <c r="MF210" s="2480"/>
      <c r="MG210" s="2469"/>
      <c r="MH210" s="2469"/>
      <c r="MI210" s="2469"/>
      <c r="MJ210" s="2479"/>
      <c r="MK210" s="2919"/>
      <c r="ML210" s="2469"/>
      <c r="MM210" s="2469"/>
      <c r="MN210" s="2469"/>
      <c r="MO210" s="2479"/>
      <c r="MP210" s="4060"/>
      <c r="MQ210" s="4035"/>
      <c r="MR210" s="4035"/>
      <c r="MS210" s="2558">
        <f t="shared" si="820"/>
        <v>0</v>
      </c>
      <c r="MT210" s="4061"/>
      <c r="MU210" s="2477"/>
      <c r="MV210" s="2469"/>
      <c r="MW210" s="2469"/>
      <c r="MX210" s="1575"/>
      <c r="MY210" s="4062"/>
      <c r="MZ210" s="2477"/>
      <c r="NA210" s="2469"/>
      <c r="NB210" s="2469"/>
      <c r="NC210" s="1575"/>
      <c r="ND210" s="4062"/>
      <c r="NE210" s="2477"/>
      <c r="NF210" s="2469"/>
      <c r="NG210" s="2469"/>
      <c r="NH210" s="1575"/>
      <c r="NI210" s="4062"/>
      <c r="NJ210" s="2464"/>
      <c r="NK210" s="2465"/>
      <c r="NL210" s="2465"/>
      <c r="NM210" s="208"/>
      <c r="NN210" s="4061"/>
      <c r="NO210" s="2467"/>
      <c r="NP210" s="456"/>
      <c r="NQ210" s="2468"/>
      <c r="NR210" s="1575"/>
      <c r="NS210" s="4061"/>
      <c r="NT210" s="2633"/>
      <c r="NU210" s="1585"/>
      <c r="NV210" s="1585"/>
      <c r="NW210" s="1585"/>
      <c r="NX210" s="2920"/>
      <c r="NY210" s="2633"/>
      <c r="NZ210" s="1585"/>
      <c r="OA210" s="1585"/>
      <c r="OB210" s="772">
        <f>OA210-NZ210</f>
        <v>0</v>
      </c>
      <c r="OC210" s="427"/>
      <c r="OD210" s="191">
        <f>(NY210+NT210+NO210+NJ210+NE210+MZ210+MU210+MP210+MK210+MF210+MA210+LV210)/12</f>
        <v>0</v>
      </c>
      <c r="OE210" s="358">
        <f t="shared" si="768"/>
        <v>0</v>
      </c>
      <c r="OF210" s="358">
        <f t="shared" si="768"/>
        <v>0</v>
      </c>
      <c r="OG210" s="358">
        <f t="shared" si="768"/>
        <v>0</v>
      </c>
      <c r="OH210" s="220"/>
      <c r="OI210" s="2635"/>
      <c r="OJ210" s="2652"/>
      <c r="OK210" s="2150"/>
      <c r="OL210" s="2150"/>
      <c r="OM210" s="375"/>
      <c r="ON210" s="2477"/>
      <c r="OO210" s="2652"/>
      <c r="OP210" s="2150"/>
      <c r="OQ210" s="2150"/>
      <c r="OR210" s="2704"/>
      <c r="OS210" s="2635"/>
      <c r="OT210" s="2652"/>
      <c r="OU210" s="2150"/>
      <c r="OV210" s="2150"/>
      <c r="OW210" s="2704"/>
      <c r="OX210" s="2635"/>
      <c r="OY210" s="2652"/>
      <c r="OZ210" s="2150"/>
      <c r="PA210" s="2150"/>
      <c r="PB210" s="2653"/>
      <c r="PC210" s="227"/>
      <c r="PD210" s="2654"/>
      <c r="PE210" s="2465"/>
      <c r="PF210" s="2465"/>
      <c r="PG210" s="2465"/>
      <c r="PH210" s="2921"/>
      <c r="PI210" s="2654"/>
      <c r="PJ210" s="2465"/>
      <c r="PK210" s="2465"/>
      <c r="PL210" s="2465"/>
      <c r="PM210" s="2481"/>
      <c r="PN210" s="2480"/>
      <c r="PO210" s="2469"/>
      <c r="PP210" s="2469"/>
      <c r="PQ210" s="2469"/>
      <c r="PR210" s="2479"/>
      <c r="PS210" s="2919"/>
      <c r="PT210" s="2469"/>
      <c r="PU210" s="2469"/>
      <c r="PV210" s="2469"/>
      <c r="PW210" s="2479"/>
      <c r="PX210" s="4060"/>
      <c r="PY210" s="4035"/>
      <c r="PZ210" s="4035"/>
      <c r="QA210" s="4063">
        <v>0</v>
      </c>
      <c r="QB210" s="4061"/>
      <c r="QC210" s="2477"/>
      <c r="QD210" s="2469"/>
      <c r="QE210" s="2469"/>
      <c r="QF210" s="1575"/>
      <c r="QG210" s="4062"/>
      <c r="QH210" s="2480"/>
      <c r="QI210" s="2469"/>
      <c r="QJ210" s="2469"/>
      <c r="QK210" s="1575"/>
      <c r="QL210" s="4061"/>
      <c r="QM210" s="2480"/>
      <c r="QN210" s="2469"/>
      <c r="QO210" s="2469"/>
      <c r="QP210" s="1575"/>
      <c r="QQ210" s="4062"/>
      <c r="QR210" s="2464"/>
      <c r="QS210" s="2465"/>
      <c r="QT210" s="2465"/>
      <c r="QU210" s="208"/>
      <c r="QV210" s="4064"/>
      <c r="QW210" s="2477"/>
      <c r="QX210" s="2469"/>
      <c r="QY210" s="2469"/>
      <c r="QZ210" s="1575"/>
      <c r="RA210" s="4061"/>
      <c r="RB210" s="2633"/>
      <c r="RC210" s="1585"/>
      <c r="RD210" s="1585"/>
      <c r="RE210" s="1585"/>
      <c r="RF210" s="2920"/>
      <c r="RG210" s="2883"/>
      <c r="RH210" s="2641"/>
      <c r="RI210" s="2641"/>
      <c r="RJ210" s="2012">
        <f>RI210-RH210</f>
        <v>0</v>
      </c>
      <c r="RK210" s="427"/>
      <c r="RL210" s="3708"/>
      <c r="RM210" s="1568"/>
      <c r="RN210" s="1568"/>
      <c r="RO210" s="1568"/>
      <c r="RP210" s="220"/>
      <c r="RQ210" s="2635"/>
      <c r="RR210" s="2652"/>
      <c r="RS210" s="2150"/>
      <c r="RT210" s="2150"/>
      <c r="RU210" s="375"/>
      <c r="RV210" s="2477"/>
      <c r="RW210" s="2652"/>
      <c r="RX210" s="2150"/>
      <c r="RY210" s="2150"/>
      <c r="RZ210" s="2704"/>
      <c r="SA210" s="2635"/>
      <c r="SB210" s="2652"/>
      <c r="SC210" s="2150"/>
      <c r="SD210" s="2150"/>
      <c r="SE210" s="2704"/>
      <c r="SF210" s="190"/>
      <c r="SG210" s="2652"/>
      <c r="SH210" s="2150"/>
      <c r="SI210" s="2150"/>
      <c r="SJ210" s="2653"/>
      <c r="SK210" s="2641"/>
      <c r="SL210" s="2480"/>
      <c r="SM210" s="2469"/>
      <c r="SN210" s="2469"/>
      <c r="SO210" s="2469"/>
      <c r="SP210" s="2481"/>
      <c r="SQ210" s="2480"/>
      <c r="SR210" s="2469"/>
      <c r="SS210" s="2469"/>
      <c r="ST210" s="2469"/>
      <c r="SU210" s="2481"/>
      <c r="SV210" s="2654"/>
      <c r="SW210" s="2465"/>
      <c r="SX210" s="2465"/>
      <c r="SY210" s="2465"/>
      <c r="SZ210" s="2466"/>
      <c r="TA210" s="4106"/>
      <c r="TB210" s="2465"/>
      <c r="TC210" s="2465"/>
      <c r="TD210" s="2465"/>
      <c r="TE210" s="2466"/>
      <c r="TF210" s="4106"/>
      <c r="TG210" s="2465"/>
      <c r="TH210" s="2465"/>
      <c r="TI210" s="2474"/>
      <c r="TJ210" s="238"/>
      <c r="TK210" s="2477"/>
      <c r="TL210" s="2469"/>
      <c r="TM210" s="2469"/>
      <c r="TN210" s="2552"/>
      <c r="TO210" s="84"/>
      <c r="TP210" s="4465"/>
      <c r="TQ210" s="2469"/>
      <c r="TR210" s="2469"/>
      <c r="TS210" s="2552"/>
      <c r="TT210" s="238"/>
      <c r="TU210" s="4465"/>
      <c r="TV210" s="2469"/>
      <c r="TW210" s="2469"/>
      <c r="TX210" s="2552"/>
      <c r="TY210" s="84"/>
      <c r="TZ210" s="2477"/>
      <c r="UA210" s="2469"/>
      <c r="UB210" s="2469"/>
      <c r="UC210" s="2552"/>
      <c r="UD210" s="84"/>
      <c r="UE210" s="2477"/>
      <c r="UF210" s="2469"/>
      <c r="UG210" s="2469"/>
      <c r="UH210" s="2552"/>
      <c r="UI210" s="84"/>
      <c r="UJ210" s="2633"/>
      <c r="UK210" s="1585"/>
      <c r="UL210" s="1585"/>
      <c r="UM210" s="1585"/>
      <c r="UN210" s="2920"/>
      <c r="UO210" s="2883"/>
      <c r="UP210" s="2641"/>
      <c r="UQ210" s="2641"/>
      <c r="UR210" s="2012">
        <f>UQ210-UP210</f>
        <v>0</v>
      </c>
      <c r="US210" s="427"/>
      <c r="UT210" s="191"/>
      <c r="UU210" s="358"/>
      <c r="UV210" s="358"/>
      <c r="UW210" s="358"/>
      <c r="UX210" s="220"/>
      <c r="UY210" s="2635"/>
      <c r="UZ210" s="2652"/>
      <c r="VA210" s="2150"/>
      <c r="VB210" s="2150"/>
      <c r="VC210" s="375"/>
      <c r="VD210" s="2477"/>
      <c r="VE210" s="2652"/>
      <c r="VF210" s="2150"/>
      <c r="VG210" s="2150"/>
      <c r="VH210" s="2704"/>
      <c r="VI210" s="2635"/>
      <c r="VJ210" s="2652"/>
      <c r="VK210" s="2150"/>
      <c r="VL210" s="2150"/>
      <c r="VM210" s="2704"/>
      <c r="VN210" s="191"/>
      <c r="VO210" s="2652"/>
      <c r="VP210" s="2150"/>
      <c r="VQ210" s="2150"/>
      <c r="VR210" s="2653"/>
    </row>
    <row r="211" spans="1:745" s="4628" customFormat="1" ht="18.3" x14ac:dyDescent="0.3">
      <c r="A211" s="4603"/>
      <c r="B211" s="4540"/>
      <c r="C211" s="4541" t="s">
        <v>868</v>
      </c>
      <c r="D211" s="4604"/>
      <c r="E211" s="4543"/>
      <c r="F211" s="4543"/>
      <c r="G211" s="4542" t="s">
        <v>869</v>
      </c>
      <c r="H211" s="4542"/>
      <c r="I211" s="4595"/>
      <c r="J211" s="4595"/>
      <c r="K211" s="4595"/>
      <c r="L211" s="4605"/>
      <c r="M211" s="4542"/>
      <c r="N211" s="4595"/>
      <c r="O211" s="4595"/>
      <c r="P211" s="4595"/>
      <c r="Q211" s="4605"/>
      <c r="R211" s="4542"/>
      <c r="S211" s="4595"/>
      <c r="T211" s="4595"/>
      <c r="U211" s="4595"/>
      <c r="V211" s="4605"/>
      <c r="W211" s="4542"/>
      <c r="X211" s="4595"/>
      <c r="Y211" s="4595"/>
      <c r="Z211" s="4595"/>
      <c r="AA211" s="4593"/>
      <c r="AB211" s="4542"/>
      <c r="AC211" s="4595"/>
      <c r="AD211" s="4595"/>
      <c r="AE211" s="4595"/>
      <c r="AF211" s="4593"/>
      <c r="AG211" s="4595"/>
      <c r="AH211" s="4595"/>
      <c r="AI211" s="4595"/>
      <c r="AJ211" s="4595"/>
      <c r="AK211" s="4605"/>
      <c r="AL211" s="4595"/>
      <c r="AM211" s="4595"/>
      <c r="AN211" s="4595"/>
      <c r="AO211" s="4595"/>
      <c r="AP211" s="4605"/>
      <c r="AQ211" s="4595"/>
      <c r="AR211" s="4595"/>
      <c r="AS211" s="4595"/>
      <c r="AT211" s="4595"/>
      <c r="AU211" s="4605"/>
      <c r="AV211" s="4606"/>
      <c r="AW211" s="4595"/>
      <c r="AX211" s="4595"/>
      <c r="AY211" s="4595"/>
      <c r="AZ211" s="4593"/>
      <c r="BA211" s="4606"/>
      <c r="BB211" s="4595"/>
      <c r="BC211" s="4595"/>
      <c r="BD211" s="4595"/>
      <c r="BE211" s="4593"/>
      <c r="BF211" s="4606"/>
      <c r="BG211" s="4595"/>
      <c r="BH211" s="4595"/>
      <c r="BI211" s="4595"/>
      <c r="BJ211" s="4593"/>
      <c r="BK211" s="4606"/>
      <c r="BL211" s="4595"/>
      <c r="BM211" s="4595"/>
      <c r="BN211" s="4595"/>
      <c r="BO211" s="4593"/>
      <c r="BP211" s="4595"/>
      <c r="BQ211" s="4595"/>
      <c r="BR211" s="4595"/>
      <c r="BS211" s="4595"/>
      <c r="BT211" s="4595"/>
      <c r="BU211" s="4595"/>
      <c r="BV211" s="4595"/>
      <c r="BW211" s="4605"/>
      <c r="BX211" s="4595"/>
      <c r="BY211" s="4595"/>
      <c r="BZ211" s="4595"/>
      <c r="CA211" s="4595"/>
      <c r="CB211" s="4595"/>
      <c r="CC211" s="4595"/>
      <c r="CD211" s="4595"/>
      <c r="CE211" s="4595"/>
      <c r="CF211" s="4595"/>
      <c r="CG211" s="4595"/>
      <c r="CH211" s="4595"/>
      <c r="CI211" s="4595"/>
      <c r="CJ211" s="4542"/>
      <c r="CK211" s="4595"/>
      <c r="CL211" s="4595"/>
      <c r="CM211" s="4595"/>
      <c r="CN211" s="4605"/>
      <c r="CO211" s="4542"/>
      <c r="CP211" s="4542"/>
      <c r="CQ211" s="4542"/>
      <c r="CR211" s="4542"/>
      <c r="CS211" s="4605"/>
      <c r="CT211" s="4542"/>
      <c r="CU211" s="4595"/>
      <c r="CV211" s="4595"/>
      <c r="CW211" s="4595"/>
      <c r="CX211" s="4605"/>
      <c r="CY211" s="4542"/>
      <c r="CZ211" s="4595"/>
      <c r="DA211" s="4595"/>
      <c r="DB211" s="4595"/>
      <c r="DC211" s="4605"/>
      <c r="DD211" s="4542"/>
      <c r="DE211" s="4595"/>
      <c r="DF211" s="4595"/>
      <c r="DG211" s="4595"/>
      <c r="DH211" s="4593"/>
      <c r="DI211" s="4542"/>
      <c r="DJ211" s="4595"/>
      <c r="DK211" s="4595"/>
      <c r="DL211" s="4595"/>
      <c r="DM211" s="4593"/>
      <c r="DN211" s="4542"/>
      <c r="DO211" s="4595"/>
      <c r="DP211" s="4595"/>
      <c r="DQ211" s="4595"/>
      <c r="DR211" s="4593"/>
      <c r="DS211" s="4542"/>
      <c r="DT211" s="4595"/>
      <c r="DU211" s="4595"/>
      <c r="DV211" s="4595"/>
      <c r="DW211" s="4593"/>
      <c r="DX211" s="4542"/>
      <c r="DY211" s="4595"/>
      <c r="DZ211" s="4595"/>
      <c r="EA211" s="4595"/>
      <c r="EB211" s="4593"/>
      <c r="EC211" s="4542"/>
      <c r="ED211" s="4595"/>
      <c r="EE211" s="4595"/>
      <c r="EF211" s="4595"/>
      <c r="EG211" s="4593"/>
      <c r="EH211" s="4542"/>
      <c r="EI211" s="4595"/>
      <c r="EJ211" s="4595"/>
      <c r="EK211" s="4595"/>
      <c r="EL211" s="4593"/>
      <c r="EM211" s="4542"/>
      <c r="EN211" s="4595"/>
      <c r="EO211" s="4595"/>
      <c r="EP211" s="4595"/>
      <c r="EQ211" s="4593"/>
      <c r="ER211" s="4607">
        <f>SUM(ER169:ER210)</f>
        <v>2.9166666666666665</v>
      </c>
      <c r="ES211" s="4595">
        <f>SUM(ES169:ES210)</f>
        <v>1790729</v>
      </c>
      <c r="ET211" s="4595">
        <f>SUM(ET169:ET210)</f>
        <v>2193556</v>
      </c>
      <c r="EU211" s="4595">
        <f>SUM(EU169:EU210)</f>
        <v>402827</v>
      </c>
      <c r="EV211" s="4593">
        <f>EU211/ET211</f>
        <v>0.18364108324565226</v>
      </c>
      <c r="EW211" s="4542"/>
      <c r="EX211" s="4542"/>
      <c r="EY211" s="4542"/>
      <c r="EZ211" s="4605"/>
      <c r="FA211" s="4542"/>
      <c r="FB211" s="4542"/>
      <c r="FC211" s="4542"/>
      <c r="FD211" s="4605"/>
      <c r="FE211" s="4542"/>
      <c r="FF211" s="4542"/>
      <c r="FG211" s="4542"/>
      <c r="FH211" s="4605"/>
      <c r="FI211" s="4608"/>
      <c r="FJ211" s="4608"/>
      <c r="FK211" s="4597"/>
      <c r="FL211" s="4597"/>
      <c r="FM211" s="4605"/>
      <c r="FN211" s="4542"/>
      <c r="FO211" s="4595"/>
      <c r="FP211" s="4595"/>
      <c r="FQ211" s="4595"/>
      <c r="FR211" s="4593"/>
      <c r="FS211" s="4542"/>
      <c r="FT211" s="4595"/>
      <c r="FU211" s="4595"/>
      <c r="FV211" s="4595"/>
      <c r="FW211" s="4593"/>
      <c r="FX211" s="4542"/>
      <c r="FY211" s="4595"/>
      <c r="FZ211" s="4595"/>
      <c r="GA211" s="4595"/>
      <c r="GB211" s="4593"/>
      <c r="GC211" s="4542"/>
      <c r="GD211" s="4595"/>
      <c r="GE211" s="4595"/>
      <c r="GF211" s="4595"/>
      <c r="GG211" s="4593"/>
      <c r="GH211" s="4542"/>
      <c r="GI211" s="4595"/>
      <c r="GJ211" s="4595"/>
      <c r="GK211" s="4595"/>
      <c r="GL211" s="4593"/>
      <c r="GM211" s="4542"/>
      <c r="GN211" s="4595"/>
      <c r="GO211" s="4595"/>
      <c r="GP211" s="4595"/>
      <c r="GQ211" s="4593"/>
      <c r="GR211" s="4595"/>
      <c r="GS211" s="4595"/>
      <c r="GT211" s="4595"/>
      <c r="GU211" s="4595"/>
      <c r="GV211" s="4593"/>
      <c r="GW211" s="4595"/>
      <c r="GX211" s="4595"/>
      <c r="GY211" s="4595"/>
      <c r="GZ211" s="4595"/>
      <c r="HA211" s="4593"/>
      <c r="HB211" s="4595"/>
      <c r="HC211" s="4595"/>
      <c r="HD211" s="4595"/>
      <c r="HE211" s="4595"/>
      <c r="HF211" s="4593"/>
      <c r="HG211" s="4595"/>
      <c r="HH211" s="4595"/>
      <c r="HI211" s="4595"/>
      <c r="HJ211" s="4595"/>
      <c r="HK211" s="4593"/>
      <c r="HL211" s="4595"/>
      <c r="HM211" s="4595"/>
      <c r="HN211" s="4595"/>
      <c r="HO211" s="4595"/>
      <c r="HP211" s="4593"/>
      <c r="HQ211" s="4607">
        <f>SUM(HQ169:HQ210)</f>
        <v>15</v>
      </c>
      <c r="HR211" s="4595">
        <f>SUM(HR169:HR210)</f>
        <v>954436</v>
      </c>
      <c r="HS211" s="4595">
        <f>SUM(HS169:HS210)</f>
        <v>1419682.3</v>
      </c>
      <c r="HT211" s="4595">
        <f>SUM(HT169:HT210)</f>
        <v>465246.3</v>
      </c>
      <c r="HU211" s="4593">
        <f>HT211/HS211</f>
        <v>0.32771155912840499</v>
      </c>
      <c r="HV211" s="4607">
        <f>SUM(HV169:HV210)</f>
        <v>14.583333333333334</v>
      </c>
      <c r="HW211" s="4595">
        <f>SUM(HW169:HW210)</f>
        <v>12825365</v>
      </c>
      <c r="HX211" s="4595">
        <f>SUM(HX169:HX210)</f>
        <v>17888406.73</v>
      </c>
      <c r="HY211" s="4595">
        <f>SUM(HY169:HY210)</f>
        <v>5063041.7300000004</v>
      </c>
      <c r="HZ211" s="4593">
        <f>HY211/HX211</f>
        <v>0.28303480608527065</v>
      </c>
      <c r="IA211" s="4576"/>
      <c r="IB211" s="4609"/>
      <c r="IC211" s="4609"/>
      <c r="ID211" s="4610"/>
      <c r="IE211" s="4265"/>
      <c r="IF211" s="4265"/>
      <c r="IG211" s="4265"/>
      <c r="IH211" s="4265"/>
      <c r="II211" s="4576"/>
      <c r="IJ211" s="4265"/>
      <c r="IK211" s="4265"/>
      <c r="IL211" s="4265"/>
      <c r="IM211" s="4265"/>
      <c r="IN211" s="4265"/>
      <c r="IO211" s="4265"/>
      <c r="IP211" s="4576"/>
      <c r="IQ211" s="4265"/>
      <c r="IR211" s="4607">
        <f>SUM(IR169:IR210)</f>
        <v>15</v>
      </c>
      <c r="IS211" s="4595">
        <f>SUM(IS169:IS210)</f>
        <v>883695</v>
      </c>
      <c r="IT211" s="4595">
        <f>SUM(IT169:IT210)</f>
        <v>1372862.2609999999</v>
      </c>
      <c r="IU211" s="4595">
        <f>SUM(IU169:IU210)</f>
        <v>489167.261</v>
      </c>
      <c r="IV211" s="4593">
        <f>IU211/IT211</f>
        <v>0.35631197309166912</v>
      </c>
      <c r="IW211" s="4607">
        <f>SUM(IW169:IW210)</f>
        <v>13</v>
      </c>
      <c r="IX211" s="4595">
        <f>SUM(IX169:IX210)</f>
        <v>887552</v>
      </c>
      <c r="IY211" s="4595">
        <f>SUM(IY169:IY210)</f>
        <v>1372607</v>
      </c>
      <c r="IZ211" s="4595">
        <f>SUM(IZ169:IZ210)</f>
        <v>485055</v>
      </c>
      <c r="JA211" s="4593">
        <f>IZ211/IY211</f>
        <v>0.35338228640827274</v>
      </c>
      <c r="JB211" s="4607">
        <f>SUM(JB169:JB210)</f>
        <v>15</v>
      </c>
      <c r="JC211" s="4595">
        <f>SUM(JC169:JC210)</f>
        <v>910211</v>
      </c>
      <c r="JD211" s="4595">
        <f>SUM(JD169:JD210)</f>
        <v>1397558.25</v>
      </c>
      <c r="JE211" s="4595">
        <f>SUM(JE169:JE210)</f>
        <v>487347.25</v>
      </c>
      <c r="JF211" s="4593">
        <f>JE211/JD211</f>
        <v>0.34871337205443853</v>
      </c>
      <c r="JG211" s="4607">
        <f>SUM(JG169:JG210)</f>
        <v>17</v>
      </c>
      <c r="JH211" s="4595">
        <f>SUM(JH169:JH210)</f>
        <v>1010230</v>
      </c>
      <c r="JI211" s="4595">
        <f>SUM(JI169:JI210)</f>
        <v>1580110</v>
      </c>
      <c r="JJ211" s="4595">
        <f>SUM(JJ169:JJ210)</f>
        <v>569880</v>
      </c>
      <c r="JK211" s="4593">
        <f>JJ211/JI211</f>
        <v>0.36065843517223484</v>
      </c>
      <c r="JL211" s="4607">
        <f>SUM(JL169:JL210)</f>
        <v>25</v>
      </c>
      <c r="JM211" s="4595">
        <f>SUM(JM169:JM210)</f>
        <v>1350324</v>
      </c>
      <c r="JN211" s="4595">
        <f>SUM(JN169:JN210)</f>
        <v>2237133</v>
      </c>
      <c r="JO211" s="4595">
        <f>SUM(JO169:JO210)</f>
        <v>886809</v>
      </c>
      <c r="JP211" s="4593">
        <f>JO211/JN211</f>
        <v>0.39640423703016314</v>
      </c>
      <c r="JQ211" s="4607">
        <f>SUM(JQ169:JQ210)</f>
        <v>23</v>
      </c>
      <c r="JR211" s="4595">
        <f>SUM(JR169:JR210)</f>
        <v>1415535</v>
      </c>
      <c r="JS211" s="4595">
        <f>SUM(JS169:JS210)</f>
        <v>2294694</v>
      </c>
      <c r="JT211" s="4595">
        <f>SUM(JT169:JT210)</f>
        <v>879159</v>
      </c>
      <c r="JU211" s="4593">
        <f>JT211/JS211</f>
        <v>0.3831269005802081</v>
      </c>
      <c r="JV211" s="4607">
        <f>SUM(JV169:JV210)</f>
        <v>27</v>
      </c>
      <c r="JW211" s="4595">
        <f>SUM(JW169:JW210)</f>
        <v>1496740</v>
      </c>
      <c r="JX211" s="4595">
        <f>SUM(JX169:JX210)</f>
        <v>2428280</v>
      </c>
      <c r="JY211" s="4595">
        <f>SUM(JY169:JY210)</f>
        <v>931540</v>
      </c>
      <c r="JZ211" s="4593">
        <f>JY211/JX211</f>
        <v>0.38362132867708831</v>
      </c>
      <c r="KA211" s="4607">
        <f>SUM(KA169:KA210)</f>
        <v>26</v>
      </c>
      <c r="KB211" s="4595">
        <f>SUM(KB169:KB210)</f>
        <v>1245083</v>
      </c>
      <c r="KC211" s="4595">
        <f>SUM(KC169:KC210)</f>
        <v>2175415</v>
      </c>
      <c r="KD211" s="4595">
        <f>SUM(KD169:KD210)</f>
        <v>930332</v>
      </c>
      <c r="KE211" s="4593">
        <f>KD211/KC211</f>
        <v>0.42765725160486617</v>
      </c>
      <c r="KF211" s="4607">
        <f>SUM(KF169:KF210)</f>
        <v>38</v>
      </c>
      <c r="KG211" s="4595">
        <f>SUM(KG169:KG210)</f>
        <v>1493452.4516129033</v>
      </c>
      <c r="KH211" s="4595">
        <f>SUM(KH169:KH210)</f>
        <v>2738474.1</v>
      </c>
      <c r="KI211" s="4595">
        <f>SUM(KI169:KI210)</f>
        <v>1245021.6483870968</v>
      </c>
      <c r="KJ211" s="4593">
        <f>KI211/KH211</f>
        <v>0.45464065129814329</v>
      </c>
      <c r="KK211" s="4607">
        <f>SUM(KK169:KK210)</f>
        <v>35</v>
      </c>
      <c r="KL211" s="4595">
        <f>SUM(KL169:KL210)</f>
        <v>1437951</v>
      </c>
      <c r="KM211" s="4595">
        <f>SUM(KM169:KM210)</f>
        <v>2702670</v>
      </c>
      <c r="KN211" s="4595">
        <f>SUM(KN169:KN210)</f>
        <v>1264719</v>
      </c>
      <c r="KO211" s="4593">
        <f>KN211/KM211</f>
        <v>0.46795169221547583</v>
      </c>
      <c r="KP211" s="4607">
        <f>SUM(KP169:KP210)</f>
        <v>37</v>
      </c>
      <c r="KQ211" s="4595">
        <f>SUM(KQ169:KQ210)</f>
        <v>1706400</v>
      </c>
      <c r="KR211" s="4595">
        <f>SUM(KR169:KR210)</f>
        <v>2848837</v>
      </c>
      <c r="KS211" s="4595">
        <f>SUM(KS169:KS210)</f>
        <v>1142437</v>
      </c>
      <c r="KT211" s="4593">
        <f>KS211/KR211</f>
        <v>0.40101873150341699</v>
      </c>
      <c r="KU211" s="4607">
        <f>SUM(KU169:KU210)</f>
        <v>40</v>
      </c>
      <c r="KV211" s="4595">
        <f>SUM(KV169:KV210)</f>
        <v>1708475.1290322579</v>
      </c>
      <c r="KW211" s="4595">
        <f>SUM(KW169:KW210)</f>
        <v>2797367</v>
      </c>
      <c r="KX211" s="4595">
        <f>SUM(KX169:KX210)</f>
        <v>1088891.8709677421</v>
      </c>
      <c r="KY211" s="4593">
        <f>KX211/KW211</f>
        <v>0.38925599357100521</v>
      </c>
      <c r="KZ211" s="4599">
        <f>SUM(KZ169:KZ210)</f>
        <v>40</v>
      </c>
      <c r="LA211" s="4595">
        <f>SUM(LA169:LA210)</f>
        <v>15545648.580645161</v>
      </c>
      <c r="LB211" s="4595">
        <f>SUM(LB169:LB210)</f>
        <v>25946007.611000001</v>
      </c>
      <c r="LC211" s="4595">
        <f>SUM(LC169:LC210)</f>
        <v>10400359.030354839</v>
      </c>
      <c r="LD211" s="4590">
        <f>LC211/LB211</f>
        <v>0.40084621828082445</v>
      </c>
      <c r="LE211" s="4607">
        <f>SUM(LE169:LE210)</f>
        <v>14.333333333333334</v>
      </c>
      <c r="LF211" s="4557">
        <f>SUM(LF169:LF210)</f>
        <v>4143027.5109999999</v>
      </c>
      <c r="LG211" s="4557">
        <f>SUM(LG169:LG210)</f>
        <v>1461569.5109999999</v>
      </c>
      <c r="LH211" s="4611">
        <f>LG211/LF211</f>
        <v>0.35277813316938894</v>
      </c>
      <c r="LI211" s="4582">
        <f>SUM(LI169:LI210)</f>
        <v>21.666666666666664</v>
      </c>
      <c r="LJ211" s="4557">
        <f>SUM(LJ169:LJ210)</f>
        <v>6111937</v>
      </c>
      <c r="LK211" s="4557">
        <f>SUM(LK169:LK210)</f>
        <v>2335848</v>
      </c>
      <c r="LL211" s="4611">
        <f>LK211/LJ211</f>
        <v>0.38217802310462295</v>
      </c>
      <c r="LM211" s="4582">
        <f>SUM(LM169:LM210)</f>
        <v>30.333333333333336</v>
      </c>
      <c r="LN211" s="4557">
        <f>SUM(LN169:LN210)</f>
        <v>7342169.0999999996</v>
      </c>
      <c r="LO211" s="4557">
        <f>SUM(LO169:LO210)</f>
        <v>3106893.6483870968</v>
      </c>
      <c r="LP211" s="4611">
        <f>LO211/LN211</f>
        <v>0.42315746287934136</v>
      </c>
      <c r="LQ211" s="4582">
        <f>SUM(LQ169:LQ210)</f>
        <v>37.333333333333336</v>
      </c>
      <c r="LR211" s="4557">
        <f>SUM(LR169:LR210)</f>
        <v>8348874</v>
      </c>
      <c r="LS211" s="4557">
        <f>SUM(LS169:LS210)</f>
        <v>3496047.8709677421</v>
      </c>
      <c r="LT211" s="4612">
        <f>LS211/LR211</f>
        <v>0.41874483564702764</v>
      </c>
      <c r="LU211" s="4266"/>
      <c r="LV211" s="4613">
        <f>SUM(LV169:LV210)</f>
        <v>50</v>
      </c>
      <c r="LW211" s="4614">
        <f>SUM(LW169:LW210)</f>
        <v>2441882</v>
      </c>
      <c r="LX211" s="4614">
        <f>SUM(LX169:LX210)</f>
        <v>3370080</v>
      </c>
      <c r="LY211" s="4614">
        <f>SUM(LY169:LY210)</f>
        <v>928198</v>
      </c>
      <c r="LZ211" s="4586">
        <f>LY211/LX211</f>
        <v>0.27542313535583723</v>
      </c>
      <c r="MA211" s="4582">
        <f>SUM(MA169:MA210)</f>
        <v>49</v>
      </c>
      <c r="MB211" s="4557">
        <f>SUM(MB169:MB210)</f>
        <v>2610651</v>
      </c>
      <c r="MC211" s="4557">
        <f>SUM(MC169:MC210)</f>
        <v>3910667.38</v>
      </c>
      <c r="MD211" s="4557">
        <f>SUM(MD169:MD210)</f>
        <v>1300016.3799999999</v>
      </c>
      <c r="ME211" s="4590">
        <f>MD211/MC211</f>
        <v>0.33242826701359601</v>
      </c>
      <c r="MF211" s="4615">
        <f>SUM(MF169:MF210)</f>
        <v>55</v>
      </c>
      <c r="MG211" s="4557">
        <f>SUM(MG169:MG210)</f>
        <v>2901677</v>
      </c>
      <c r="MH211" s="4557">
        <f>SUM(MH169:MH210)</f>
        <v>4084889</v>
      </c>
      <c r="MI211" s="4557">
        <f>SUM(MI169:MI210)</f>
        <v>1183212</v>
      </c>
      <c r="MJ211" s="4616">
        <f>MI211/MH211</f>
        <v>0.28965585111370223</v>
      </c>
      <c r="MK211" s="4617">
        <f>SUM(MK169:MK210)</f>
        <v>48</v>
      </c>
      <c r="ML211" s="4557">
        <f>SUM(ML169:ML210)</f>
        <v>2942183</v>
      </c>
      <c r="MM211" s="4557">
        <f>SUM(MM169:MM210)</f>
        <v>4129293.7954838709</v>
      </c>
      <c r="MN211" s="4557">
        <f>SUM(MN169:MN210)</f>
        <v>1187110.7954838711</v>
      </c>
      <c r="MO211" s="4616">
        <f>MN211/MM211</f>
        <v>0.28748518615512203</v>
      </c>
      <c r="MP211" s="4617">
        <f>SUM(MP169:MP210)</f>
        <v>34</v>
      </c>
      <c r="MQ211" s="4557">
        <f>SUM(MQ169:MQ210)</f>
        <v>2943818</v>
      </c>
      <c r="MR211" s="4557">
        <f>SUM(MR169:MR210)</f>
        <v>4202436</v>
      </c>
      <c r="MS211" s="4557">
        <f>SUM(MS169:MS210)</f>
        <v>1258618</v>
      </c>
      <c r="MT211" s="4616">
        <f>MS211/MR211</f>
        <v>0.29949724397944433</v>
      </c>
      <c r="MU211" s="4615">
        <f>SUM(MU169:MU210)</f>
        <v>53</v>
      </c>
      <c r="MV211" s="4557">
        <f>SUM(MV169:MV210)</f>
        <v>3075702</v>
      </c>
      <c r="MW211" s="4557">
        <f>SUM(MW169:MW210)</f>
        <v>4422632.45</v>
      </c>
      <c r="MX211" s="4557">
        <f>SUM(MX169:MX210)</f>
        <v>1346930.45</v>
      </c>
      <c r="MY211" s="4618">
        <f>MX211/MW211</f>
        <v>0.3045540105870656</v>
      </c>
      <c r="MZ211" s="4615">
        <f>SUM(MZ169:MZ210)</f>
        <v>52</v>
      </c>
      <c r="NA211" s="4557">
        <f>SUM(NA169:NA210)</f>
        <v>2925942</v>
      </c>
      <c r="NB211" s="4557">
        <f>SUM(NB169:NB210)</f>
        <v>4579567</v>
      </c>
      <c r="NC211" s="4557">
        <f>SUM(NC169:NC210)</f>
        <v>1653625</v>
      </c>
      <c r="ND211" s="4618">
        <f>NC211/NB211</f>
        <v>0.36108763121054893</v>
      </c>
      <c r="NE211" s="4615">
        <f>SUM(NE169:NE210)</f>
        <v>56</v>
      </c>
      <c r="NF211" s="4557">
        <f>SUM(NF169:NF210)</f>
        <v>3022291</v>
      </c>
      <c r="NG211" s="4557">
        <f>SUM(NG169:NG210)</f>
        <v>4520040</v>
      </c>
      <c r="NH211" s="4557">
        <f>SUM(NH169:NH210)</f>
        <v>1497749</v>
      </c>
      <c r="NI211" s="4616">
        <f>NH211/NG211</f>
        <v>0.33135746586313397</v>
      </c>
      <c r="NJ211" s="4615">
        <f>SUM(NJ169:NJ210)</f>
        <v>53</v>
      </c>
      <c r="NK211" s="4557">
        <f>SUM(NK169:NK210)</f>
        <v>2726867</v>
      </c>
      <c r="NL211" s="4557">
        <f>SUM(NL169:NL210)</f>
        <v>4140769</v>
      </c>
      <c r="NM211" s="4557">
        <f>SUM(NM169:NM210)</f>
        <v>1413902</v>
      </c>
      <c r="NN211" s="4616">
        <f>NM211/NL211</f>
        <v>0.34145879666313189</v>
      </c>
      <c r="NO211" s="4582">
        <f>SUM(NO169:NO210)</f>
        <v>57</v>
      </c>
      <c r="NP211" s="4557">
        <f>SUM(NP169:NP210)</f>
        <v>2904574</v>
      </c>
      <c r="NQ211" s="4557">
        <f>SUM(NQ169:NQ210)</f>
        <v>4453611.43</v>
      </c>
      <c r="NR211" s="4557">
        <f>SUM(NR169:NR210)</f>
        <v>1549037.43</v>
      </c>
      <c r="NS211" s="4616">
        <f>NR211/NQ211</f>
        <v>0.34781602624007996</v>
      </c>
      <c r="NT211" s="4582">
        <f>SUM(NT169:NT210)</f>
        <v>60</v>
      </c>
      <c r="NU211" s="4557">
        <f>SUM(NU169:NU210)</f>
        <v>3186746</v>
      </c>
      <c r="NV211" s="4557">
        <f>SUM(NV169:NV210)</f>
        <v>4805578</v>
      </c>
      <c r="NW211" s="4557">
        <f>SUM(NW169:NW210)</f>
        <v>1618832</v>
      </c>
      <c r="NX211" s="4619">
        <f>NW211/NV211</f>
        <v>0.33686520123073643</v>
      </c>
      <c r="NY211" s="4599">
        <f>SUM(NY169:NY210)</f>
        <v>66</v>
      </c>
      <c r="NZ211" s="4595">
        <f>SUM(NZ169:NZ210)</f>
        <v>3442353.1935483869</v>
      </c>
      <c r="OA211" s="4595">
        <f>SUM(OA169:OA210)</f>
        <v>5407023.5600000005</v>
      </c>
      <c r="OB211" s="4595">
        <f>SUM(OB169:OB210)</f>
        <v>1964670.3664516129</v>
      </c>
      <c r="OC211" s="4605">
        <f>OB211/OA211</f>
        <v>0.36335524427631916</v>
      </c>
      <c r="OD211" s="4599">
        <f>SUM(OD169:OD210)</f>
        <v>66</v>
      </c>
      <c r="OE211" s="4595">
        <f>SUM(OE169:OE210)</f>
        <v>35124686.193548389</v>
      </c>
      <c r="OF211" s="4595">
        <f>SUM(OF169:OF210)</f>
        <v>52026587.615483873</v>
      </c>
      <c r="OG211" s="4595">
        <f>SUM(OG169:OG210)</f>
        <v>16901901.421935484</v>
      </c>
      <c r="OH211" s="4589">
        <f>OG211/OF211</f>
        <v>0.32487045944380238</v>
      </c>
      <c r="OI211" s="4582">
        <f>SUM(OI169:OI210)</f>
        <v>51.333333333333329</v>
      </c>
      <c r="OJ211" s="4557">
        <f>SUM(OJ169:OJ210)</f>
        <v>7954210</v>
      </c>
      <c r="OK211" s="4557">
        <f>SUM(OK169:OK210)</f>
        <v>11365636.380000001</v>
      </c>
      <c r="OL211" s="4557">
        <f>SUM(OL169:OL210)</f>
        <v>3411426.38</v>
      </c>
      <c r="OM211" s="4616">
        <f>OL211/OK211</f>
        <v>0.30015269413361256</v>
      </c>
      <c r="ON211" s="4582">
        <f>SUM(ON169:ON210)</f>
        <v>49</v>
      </c>
      <c r="OO211" s="4557">
        <f>SUM(OO169:OO210)</f>
        <v>8837851</v>
      </c>
      <c r="OP211" s="4557">
        <f>SUM(OP169:OP210)</f>
        <v>12585813.245483872</v>
      </c>
      <c r="OQ211" s="4557">
        <f>SUM(OQ169:OQ210)</f>
        <v>3747962.2454838711</v>
      </c>
      <c r="OR211" s="4618">
        <f>OQ211/OP211</f>
        <v>0.29779261557283482</v>
      </c>
      <c r="OS211" s="4582">
        <f>SUM(OS169:OS210)</f>
        <v>52.666666666666679</v>
      </c>
      <c r="OT211" s="4557">
        <f>SUM(OT169:OT210)</f>
        <v>8487600</v>
      </c>
      <c r="OU211" s="4557">
        <f>SUM(OU169:OU210)</f>
        <v>13148709</v>
      </c>
      <c r="OV211" s="4557">
        <f>SUM(OV169:OV210)</f>
        <v>4661109</v>
      </c>
      <c r="OW211" s="4618">
        <f>OV211/OU211</f>
        <v>0.3544917603697823</v>
      </c>
      <c r="OX211" s="4620">
        <f>SUM(OX169:OX210)</f>
        <v>60.999999999999993</v>
      </c>
      <c r="OY211" s="4557">
        <f>SUM(OY169:OY210)</f>
        <v>9533673.1935483869</v>
      </c>
      <c r="OZ211" s="4557">
        <f>SUM(OZ169:OZ210)</f>
        <v>14666212.989999998</v>
      </c>
      <c r="PA211" s="4557">
        <f>SUM(PA169:PA210)</f>
        <v>5132539.7964516133</v>
      </c>
      <c r="PB211" s="4590">
        <f>PA211/OZ211</f>
        <v>0.34995672024885915</v>
      </c>
      <c r="PC211" s="4596"/>
      <c r="PD211" s="4599">
        <f>SUM(PD169:PD210)</f>
        <v>66</v>
      </c>
      <c r="PE211" s="4595">
        <f>SUM(PE169:PE210)</f>
        <v>3800537</v>
      </c>
      <c r="PF211" s="4595">
        <f>SUM(PF169:PF210)</f>
        <v>5324314</v>
      </c>
      <c r="PG211" s="4595">
        <f>SUM(PG169:PG210)</f>
        <v>1523777</v>
      </c>
      <c r="PH211" s="4590">
        <f>PG211/PF211</f>
        <v>0.28619217424066273</v>
      </c>
      <c r="PI211" s="4582">
        <f>SUM(PI169:PI210)</f>
        <v>136</v>
      </c>
      <c r="PJ211" s="4557">
        <f>SUM(PJ169:PJ210)</f>
        <v>5733135</v>
      </c>
      <c r="PK211" s="4557">
        <f>SUM(PK169:PK210)</f>
        <v>5542546</v>
      </c>
      <c r="PL211" s="4557">
        <f>SUM(PL169:PL210)</f>
        <v>-190589</v>
      </c>
      <c r="PM211" s="4590">
        <f>PL211/PK211</f>
        <v>-3.4386543657012499E-2</v>
      </c>
      <c r="PN211" s="4615">
        <f>SUM(PN169:PN210)</f>
        <v>169</v>
      </c>
      <c r="PO211" s="4557">
        <f>SUM(PO169:PO210)</f>
        <v>8988835</v>
      </c>
      <c r="PP211" s="4557">
        <f>SUM(PP169:PP210)</f>
        <v>10395316</v>
      </c>
      <c r="PQ211" s="4557">
        <f>SUM(PQ169:PQ210)</f>
        <v>1406481</v>
      </c>
      <c r="PR211" s="4616">
        <f>PQ211/PP211</f>
        <v>0.13529949450310119</v>
      </c>
      <c r="PS211" s="4617">
        <f>SUM(PS169:PS210)</f>
        <v>165</v>
      </c>
      <c r="PT211" s="4557">
        <f>SUM(PT169:PT210)</f>
        <v>10109744</v>
      </c>
      <c r="PU211" s="4557">
        <f>SUM(PU169:PU210)</f>
        <v>13291785</v>
      </c>
      <c r="PV211" s="4557">
        <f>SUM(PV169:PV210)</f>
        <v>3182041</v>
      </c>
      <c r="PW211" s="4616">
        <f>PV211/PU211</f>
        <v>0.23939907243459024</v>
      </c>
      <c r="PX211" s="4617">
        <f>SUM(PX169:PX210)</f>
        <v>175</v>
      </c>
      <c r="PY211" s="4557">
        <f>SUM(PY169:PY210)</f>
        <v>9867668</v>
      </c>
      <c r="PZ211" s="4557">
        <f>SUM(PZ169:PZ210)</f>
        <v>13369433.189999999</v>
      </c>
      <c r="QA211" s="4557">
        <f>SUM(QA169:QA210)</f>
        <v>3501765.19</v>
      </c>
      <c r="QB211" s="4616">
        <f>QA211/PZ211</f>
        <v>0.26192323490716363</v>
      </c>
      <c r="QC211" s="4615">
        <f>SUM(QC169:QC210)</f>
        <v>164</v>
      </c>
      <c r="QD211" s="4557">
        <f>SUM(QD169:QD210)</f>
        <v>10213304</v>
      </c>
      <c r="QE211" s="4557">
        <f>SUM(QE169:QE210)</f>
        <v>13507929.516666666</v>
      </c>
      <c r="QF211" s="4557">
        <f>SUM(QF169:QF210)</f>
        <v>3294625.5166666666</v>
      </c>
      <c r="QG211" s="4618">
        <f>QF211/QE211</f>
        <v>0.24390307282856455</v>
      </c>
      <c r="QH211" s="4615">
        <f>SUM(QH169:QH210)</f>
        <v>166</v>
      </c>
      <c r="QI211" s="4557">
        <f>SUM(QI169:QI210)</f>
        <v>10067970</v>
      </c>
      <c r="QJ211" s="4557">
        <f>SUM(QJ169:QJ210)</f>
        <v>13634151</v>
      </c>
      <c r="QK211" s="4557">
        <f>SUM(QK169:QK210)</f>
        <v>3566181</v>
      </c>
      <c r="QL211" s="4618">
        <f>QK211/QJ211</f>
        <v>0.26156238111195923</v>
      </c>
      <c r="QM211" s="4587">
        <f>SUM(QM169:QM210)</f>
        <v>158</v>
      </c>
      <c r="QN211" s="4595">
        <f>SUM(QN169:QN210)</f>
        <v>9740467</v>
      </c>
      <c r="QO211" s="4595">
        <f>SUM(QO169:QO210)</f>
        <v>12677876</v>
      </c>
      <c r="QP211" s="4595">
        <f>SUM(QP169:QP210)</f>
        <v>2937409</v>
      </c>
      <c r="QQ211" s="4589">
        <f>QP211/QO211</f>
        <v>0.23169567205105965</v>
      </c>
      <c r="QR211" s="4587">
        <f>SUM(QR169:QR210)</f>
        <v>164</v>
      </c>
      <c r="QS211" s="4595">
        <f>SUM(QS169:QS210)</f>
        <v>10212363</v>
      </c>
      <c r="QT211" s="4595">
        <f>SUM(QT169:QT210)</f>
        <v>13300441</v>
      </c>
      <c r="QU211" s="4595">
        <f>SUM(QU169:QU210)</f>
        <v>3088078</v>
      </c>
      <c r="QV211" s="4590">
        <f>QU211/QT211</f>
        <v>0.23217861723532324</v>
      </c>
      <c r="QW211" s="4599">
        <f>SUM(QW169:QW210)</f>
        <v>159</v>
      </c>
      <c r="QX211" s="4595">
        <f>SUM(QX169:QX210)</f>
        <v>10091750</v>
      </c>
      <c r="QY211" s="4595">
        <f>SUM(QY169:QY210)</f>
        <v>11373617</v>
      </c>
      <c r="QZ211" s="4595">
        <f>SUM(QZ169:QZ210)</f>
        <v>1281867</v>
      </c>
      <c r="RA211" s="4589">
        <f>QZ211/QY211</f>
        <v>0.11270530737934994</v>
      </c>
      <c r="RB211" s="4599">
        <f>SUM(RB169:RB210)</f>
        <v>158</v>
      </c>
      <c r="RC211" s="4595">
        <f>SUM(RC169:RC210)</f>
        <v>9799771</v>
      </c>
      <c r="RD211" s="4595">
        <f>SUM(RD169:RD210)</f>
        <v>11316723</v>
      </c>
      <c r="RE211" s="4595">
        <f>SUM(RE169:RE210)</f>
        <v>1516952</v>
      </c>
      <c r="RF211" s="4589">
        <f>RE211/RD211</f>
        <v>0.13404516484144746</v>
      </c>
      <c r="RG211" s="4587">
        <f>SUM(RG169:RG210)</f>
        <v>152</v>
      </c>
      <c r="RH211" s="4595">
        <f>SUM(RH169:RH210)</f>
        <v>9629012</v>
      </c>
      <c r="RI211" s="4595">
        <f>SUM(RI169:RI210)</f>
        <v>12135383</v>
      </c>
      <c r="RJ211" s="4595">
        <f>SUM(RJ169:RJ210)</f>
        <v>2506371</v>
      </c>
      <c r="RK211" s="4589">
        <f>RJ211/RI211</f>
        <v>0.20653414894280633</v>
      </c>
      <c r="RL211" s="4599">
        <f>SUM(RL169:RL210)</f>
        <v>152</v>
      </c>
      <c r="RM211" s="4595">
        <f>SUM(RM169:RM210)</f>
        <v>108254556</v>
      </c>
      <c r="RN211" s="4595">
        <f>SUM(RN169:RN210)</f>
        <v>135869514.70666668</v>
      </c>
      <c r="RO211" s="4595">
        <f>SUM(RO169:RO210)</f>
        <v>27614958.706666667</v>
      </c>
      <c r="RP211" s="4589">
        <f>RO211/RN211</f>
        <v>0.20324617163964662</v>
      </c>
      <c r="RQ211" s="4582">
        <f>SUM(RQ169:RQ210)</f>
        <v>114.33333333333333</v>
      </c>
      <c r="RR211" s="4557">
        <f>SUM(RR169:RR210)</f>
        <v>18522507</v>
      </c>
      <c r="RS211" s="4557">
        <f>SUM(RS169:RS210)</f>
        <v>21262176</v>
      </c>
      <c r="RT211" s="4557">
        <f>SUM(RT169:RT210)</f>
        <v>2739669</v>
      </c>
      <c r="RU211" s="4616">
        <f>RT211/RS211</f>
        <v>0.12885176945200716</v>
      </c>
      <c r="RV211" s="4582">
        <f>SUM(RV169:RV210)</f>
        <v>164</v>
      </c>
      <c r="RW211" s="4557">
        <f>SUM(RW169:RW210)</f>
        <v>30190716</v>
      </c>
      <c r="RX211" s="4557">
        <f>SUM(RX169:RX210)</f>
        <v>40169147.706666671</v>
      </c>
      <c r="RY211" s="4557">
        <f>SUM(RY169:RY210)</f>
        <v>9978431.706666667</v>
      </c>
      <c r="RZ211" s="4618">
        <f>RY211/RX211</f>
        <v>0.24841034167649509</v>
      </c>
      <c r="SA211" s="4599">
        <f>SUM(SA169:SA210)</f>
        <v>164</v>
      </c>
      <c r="SB211" s="4595">
        <f>SUM(SB169:SB210)</f>
        <v>30020800</v>
      </c>
      <c r="SC211" s="4595">
        <f>SUM(SC169:SC210)</f>
        <v>39612468</v>
      </c>
      <c r="SD211" s="4595">
        <f>SUM(SD169:SD210)</f>
        <v>9591668</v>
      </c>
      <c r="SE211" s="4605">
        <f>SD211/SC211</f>
        <v>0.24213760172680984</v>
      </c>
      <c r="SF211" s="4582">
        <f>SUM(SF169:SF210)</f>
        <v>152</v>
      </c>
      <c r="SG211" s="4595">
        <f>SUM(SG169:SG210)</f>
        <v>29520533</v>
      </c>
      <c r="SH211" s="4595">
        <f>SUM(SH169:SH210)</f>
        <v>34825723</v>
      </c>
      <c r="SI211" s="4595">
        <f>SUM(SI169:SI210)</f>
        <v>5305190</v>
      </c>
      <c r="SJ211" s="4589">
        <f>SI211/SH211</f>
        <v>0.15233538726532683</v>
      </c>
      <c r="SK211" s="3074"/>
      <c r="SL211" s="4599">
        <f>SUM(SL169:SL210)</f>
        <v>153</v>
      </c>
      <c r="SM211" s="4595">
        <f>SUM(SM169:SM210)</f>
        <v>9064302</v>
      </c>
      <c r="SN211" s="4595">
        <f>SUM(SN169:SN210)</f>
        <v>11784381</v>
      </c>
      <c r="SO211" s="4595">
        <f>SUM(SO169:SO210)</f>
        <v>2720079</v>
      </c>
      <c r="SP211" s="4590">
        <f>SO211/SN211</f>
        <v>0.23082069393377555</v>
      </c>
      <c r="SQ211" s="4599">
        <f>SUM(SQ169:SQ210)</f>
        <v>155</v>
      </c>
      <c r="SR211" s="4595">
        <f>SUM(SR169:SR210)</f>
        <v>9160786</v>
      </c>
      <c r="SS211" s="4595">
        <f>SUM(SS169:SS210)</f>
        <v>11184294</v>
      </c>
      <c r="ST211" s="4595">
        <f>SUM(ST169:ST210)</f>
        <v>2023508</v>
      </c>
      <c r="SU211" s="4590">
        <f>ST211/SS211</f>
        <v>0.18092407084434656</v>
      </c>
      <c r="SV211" s="4587">
        <f>SUM(SV169:SV210)</f>
        <v>149</v>
      </c>
      <c r="SW211" s="4595">
        <f>SUM(SW169:SW210)</f>
        <v>8950725</v>
      </c>
      <c r="SX211" s="4595">
        <f>SUM(SX169:SX210)</f>
        <v>10265499</v>
      </c>
      <c r="SY211" s="4595">
        <f>SUM(SY169:SY210)</f>
        <v>1314774</v>
      </c>
      <c r="SZ211" s="4589">
        <f>SY211/SX211</f>
        <v>0.12807696927348589</v>
      </c>
      <c r="TA211" s="4598">
        <f>SUM(TA169:TA210)</f>
        <v>55</v>
      </c>
      <c r="TB211" s="4595">
        <f>SUM(TB169:TB210)</f>
        <v>3699554</v>
      </c>
      <c r="TC211" s="4595">
        <f>SUM(TC169:TC210)</f>
        <v>5408940</v>
      </c>
      <c r="TD211" s="4595">
        <f>SUM(TD169:TD210)</f>
        <v>1709386</v>
      </c>
      <c r="TE211" s="4589">
        <f>TD211/TC211</f>
        <v>0.31602975814115147</v>
      </c>
      <c r="TF211" s="4598">
        <f>SUM(TF169:TF210)</f>
        <v>57</v>
      </c>
      <c r="TG211" s="4595">
        <f>SUM(TG169:TG210)</f>
        <v>3759173</v>
      </c>
      <c r="TH211" s="4595">
        <f>SUM(TH169:TH210)</f>
        <v>5487892</v>
      </c>
      <c r="TI211" s="4595">
        <f>SUM(TI169:TI210)</f>
        <v>1728719</v>
      </c>
      <c r="TJ211" s="4589">
        <f>TI211/TH211</f>
        <v>0.31500601688225643</v>
      </c>
      <c r="TK211" s="4587">
        <f>SUM(TK169:TK210)</f>
        <v>56</v>
      </c>
      <c r="TL211" s="4595">
        <f>SUM(TL169:TL210)</f>
        <v>3815901</v>
      </c>
      <c r="TM211" s="4595">
        <f>SUM(TM169:TM210)</f>
        <v>5391591</v>
      </c>
      <c r="TN211" s="4595">
        <f>SUM(TN169:TN210)</f>
        <v>1575690</v>
      </c>
      <c r="TO211" s="4589">
        <f>TN211/TM211</f>
        <v>0.29224954192556518</v>
      </c>
      <c r="TP211" s="4599">
        <f>SUM(TP169:TP210)</f>
        <v>55</v>
      </c>
      <c r="TQ211" s="4595">
        <f>SUM(TQ169:TQ210)</f>
        <v>3835796</v>
      </c>
      <c r="TR211" s="4595">
        <f>SUM(TR169:TR210)</f>
        <v>5582608.6699999999</v>
      </c>
      <c r="TS211" s="4595">
        <f>SUM(TS169:TS210)</f>
        <v>1746812.67</v>
      </c>
      <c r="TT211" s="4589">
        <f>TS211/TR211</f>
        <v>0.31290258251255859</v>
      </c>
      <c r="TU211" s="4599">
        <f>SUM(TU169:TU210)</f>
        <v>59</v>
      </c>
      <c r="TV211" s="4595">
        <f>SUM(TV169:TV210)</f>
        <v>4024467</v>
      </c>
      <c r="TW211" s="4595">
        <f>SUM(TW169:TW210)</f>
        <v>5742684</v>
      </c>
      <c r="TX211" s="4595">
        <f>SUM(TX169:TX210)</f>
        <v>1718217</v>
      </c>
      <c r="TY211" s="4589">
        <f>TX211/TW211</f>
        <v>0.29920103561331252</v>
      </c>
      <c r="TZ211" s="4587">
        <f>SUM(TZ169:TZ210)</f>
        <v>56</v>
      </c>
      <c r="UA211" s="4595">
        <f>SUM(UA169:UA210)</f>
        <v>3611924.2580645164</v>
      </c>
      <c r="UB211" s="4595">
        <f>SUM(UB169:UB210)</f>
        <v>5056649.4838709673</v>
      </c>
      <c r="UC211" s="4595">
        <f>SUM(UC169:UC210)</f>
        <v>1444725.2258064516</v>
      </c>
      <c r="UD211" s="4590">
        <f>UC211/UB211</f>
        <v>0.28570800297996635</v>
      </c>
      <c r="UE211" s="4599">
        <f>SUM(UE169:UE210)</f>
        <v>49</v>
      </c>
      <c r="UF211" s="4595">
        <f>SUM(UF169:UF210)</f>
        <v>3210745</v>
      </c>
      <c r="UG211" s="4595">
        <f>SUM(UG169:UG210)</f>
        <v>4602908</v>
      </c>
      <c r="UH211" s="4595">
        <f>SUM(UH169:UH210)</f>
        <v>1392163</v>
      </c>
      <c r="UI211" s="4589">
        <f>UH211/UG211</f>
        <v>0.30245292758404035</v>
      </c>
      <c r="UJ211" s="4599">
        <f>SUM(UJ169:UJ210)</f>
        <v>0</v>
      </c>
      <c r="UK211" s="4595">
        <f>SUM(UK169:UK210)</f>
        <v>0</v>
      </c>
      <c r="UL211" s="4595">
        <f>SUM(UL169:UL210)</f>
        <v>0</v>
      </c>
      <c r="UM211" s="4595">
        <f>SUM(UM169:UM210)</f>
        <v>0</v>
      </c>
      <c r="UN211" s="4589" t="e">
        <f>UM211/UL211</f>
        <v>#DIV/0!</v>
      </c>
      <c r="UO211" s="4615">
        <f>SUM(UO169:UO210)</f>
        <v>0</v>
      </c>
      <c r="UP211" s="4557">
        <f>SUM(UP169:UP210)</f>
        <v>0</v>
      </c>
      <c r="UQ211" s="4557">
        <f>SUM(UQ169:UQ210)</f>
        <v>0</v>
      </c>
      <c r="UR211" s="4621">
        <f>SUM(UR169:UR210)</f>
        <v>0</v>
      </c>
      <c r="US211" s="4622" t="e">
        <f>UR211/UQ211</f>
        <v>#DIV/0!</v>
      </c>
      <c r="UT211" s="4599"/>
      <c r="UU211" s="4595">
        <f>SUM(UU169:UU210)</f>
        <v>53133373.258064516</v>
      </c>
      <c r="UV211" s="4595">
        <f>SUM(UV169:UV210)</f>
        <v>70507447.15387097</v>
      </c>
      <c r="UW211" s="4595">
        <f>SUM(UW169:UW210)</f>
        <v>17374073.89580645</v>
      </c>
      <c r="UX211" s="4589">
        <f>UW211/UV211</f>
        <v>0.24641473485616883</v>
      </c>
      <c r="UY211" s="4623">
        <f>SUM(UY169:UY210)</f>
        <v>146.33333333333334</v>
      </c>
      <c r="UZ211" s="4624">
        <f>SUM(UZ169:UZ210)</f>
        <v>27175813</v>
      </c>
      <c r="VA211" s="4624">
        <f>SUM(VA169:VA210)</f>
        <v>33234174</v>
      </c>
      <c r="VB211" s="4624">
        <f>SUM(VB169:VB210)</f>
        <v>6058361</v>
      </c>
      <c r="VC211" s="4625">
        <f>VB211/VA211</f>
        <v>0.18229311190342809</v>
      </c>
      <c r="VD211" s="4623">
        <f>SUM(VD169:VD210)</f>
        <v>0</v>
      </c>
      <c r="VE211" s="4624">
        <f>SUM(VE169:VE210)</f>
        <v>11274628</v>
      </c>
      <c r="VF211" s="4624">
        <f>SUM(VF169:VF210)</f>
        <v>16288423</v>
      </c>
      <c r="VG211" s="4624">
        <f>SUM(VG169:VG210)</f>
        <v>5013795</v>
      </c>
      <c r="VH211" s="4626">
        <f>VG211/VF211</f>
        <v>0.30781340833302279</v>
      </c>
      <c r="VI211" s="4627">
        <f>SUM(VI169:VI210)</f>
        <v>0</v>
      </c>
      <c r="VJ211" s="4379">
        <f>SUM(VJ169:VJ210)</f>
        <v>11279491.258064516</v>
      </c>
      <c r="VK211" s="4379">
        <f>SUM(VK169:VK210)</f>
        <v>16293942.153870968</v>
      </c>
      <c r="VL211" s="4379">
        <f>SUM(VL169:VL210)</f>
        <v>4835878.8958064513</v>
      </c>
      <c r="VM211" s="4382">
        <f>VL211/VK211</f>
        <v>0.29678998796847861</v>
      </c>
      <c r="VN211" s="4623">
        <f>SUM(VN169:VN210)</f>
        <v>152</v>
      </c>
      <c r="VO211" s="4379">
        <f>SUM(VO169:VO210)</f>
        <v>2995080</v>
      </c>
      <c r="VP211" s="4379">
        <f>SUM(VP169:VP210)</f>
        <v>4296978</v>
      </c>
      <c r="VQ211" s="4379">
        <f>SUM(VQ169:VQ210)</f>
        <v>1301898</v>
      </c>
      <c r="VR211" s="4382">
        <f>VQ211/VP211</f>
        <v>0.30297990820525494</v>
      </c>
    </row>
    <row r="212" spans="1:745" s="1193" customFormat="1" x14ac:dyDescent="0.3">
      <c r="A212" s="1297"/>
      <c r="B212" s="1305"/>
      <c r="C212" s="4125"/>
      <c r="D212" s="4126"/>
      <c r="E212" s="4127"/>
      <c r="F212" s="4127"/>
      <c r="G212" s="4128"/>
      <c r="H212" s="2741"/>
      <c r="I212" s="2742"/>
      <c r="J212" s="2742"/>
      <c r="K212" s="2742"/>
      <c r="L212" s="2743"/>
      <c r="M212" s="2741"/>
      <c r="N212" s="2742"/>
      <c r="O212" s="2742"/>
      <c r="P212" s="2742"/>
      <c r="Q212" s="2743"/>
      <c r="R212" s="2741"/>
      <c r="S212" s="2742"/>
      <c r="T212" s="2742"/>
      <c r="U212" s="2742"/>
      <c r="V212" s="2743"/>
      <c r="W212" s="2741"/>
      <c r="X212" s="2742"/>
      <c r="Y212" s="2742"/>
      <c r="Z212" s="2742"/>
      <c r="AA212" s="2744"/>
      <c r="AB212" s="2741"/>
      <c r="AC212" s="2742"/>
      <c r="AD212" s="2742"/>
      <c r="AE212" s="2742"/>
      <c r="AF212" s="2744"/>
      <c r="AG212" s="2742"/>
      <c r="AH212" s="2742"/>
      <c r="AI212" s="2742"/>
      <c r="AJ212" s="2742"/>
      <c r="AK212" s="2743"/>
      <c r="AL212" s="2742"/>
      <c r="AM212" s="2742"/>
      <c r="AN212" s="2742"/>
      <c r="AO212" s="2742"/>
      <c r="AP212" s="2743"/>
      <c r="AQ212" s="2742"/>
      <c r="AR212" s="2742"/>
      <c r="AS212" s="2742"/>
      <c r="AT212" s="2742"/>
      <c r="AU212" s="2743"/>
      <c r="AV212" s="2745"/>
      <c r="AW212" s="2742"/>
      <c r="AX212" s="2742"/>
      <c r="AY212" s="2742"/>
      <c r="AZ212" s="2744"/>
      <c r="BA212" s="2745"/>
      <c r="BB212" s="2742"/>
      <c r="BC212" s="2742"/>
      <c r="BD212" s="2742"/>
      <c r="BE212" s="2744"/>
      <c r="BF212" s="2745"/>
      <c r="BG212" s="2742"/>
      <c r="BH212" s="2742"/>
      <c r="BI212" s="2742"/>
      <c r="BJ212" s="2744"/>
      <c r="BK212" s="2745"/>
      <c r="BL212" s="2742"/>
      <c r="BM212" s="2742"/>
      <c r="BN212" s="2742"/>
      <c r="BO212" s="2744"/>
      <c r="BP212" s="2746"/>
      <c r="BQ212" s="2742"/>
      <c r="BR212" s="2742"/>
      <c r="BS212" s="2742"/>
      <c r="BT212" s="2747"/>
      <c r="BU212" s="2742"/>
      <c r="BV212" s="2742"/>
      <c r="BW212" s="2748"/>
      <c r="BX212" s="2747"/>
      <c r="BY212" s="2742"/>
      <c r="BZ212" s="2742"/>
      <c r="CA212" s="2749"/>
      <c r="CB212" s="2742"/>
      <c r="CC212" s="2742"/>
      <c r="CD212" s="2742"/>
      <c r="CE212" s="2742"/>
      <c r="CF212" s="2747"/>
      <c r="CG212" s="2742"/>
      <c r="CH212" s="2742"/>
      <c r="CI212" s="2749"/>
      <c r="CJ212" s="2750"/>
      <c r="CK212" s="2742"/>
      <c r="CL212" s="2742"/>
      <c r="CM212" s="2742"/>
      <c r="CN212" s="2748"/>
      <c r="CO212" s="2750"/>
      <c r="CP212" s="2741"/>
      <c r="CQ212" s="2741"/>
      <c r="CR212" s="2741"/>
      <c r="CS212" s="2748"/>
      <c r="CT212" s="2750"/>
      <c r="CU212" s="2742"/>
      <c r="CV212" s="2742"/>
      <c r="CW212" s="2742"/>
      <c r="CX212" s="2748"/>
      <c r="CY212" s="2750"/>
      <c r="CZ212" s="2742"/>
      <c r="DA212" s="2742"/>
      <c r="DB212" s="2742"/>
      <c r="DC212" s="2748"/>
      <c r="DD212" s="2750"/>
      <c r="DE212" s="2742"/>
      <c r="DF212" s="2742"/>
      <c r="DG212" s="2742"/>
      <c r="DH212" s="2751"/>
      <c r="DI212" s="2750"/>
      <c r="DJ212" s="2742"/>
      <c r="DK212" s="2742"/>
      <c r="DL212" s="2742"/>
      <c r="DM212" s="2751"/>
      <c r="DN212" s="2750"/>
      <c r="DO212" s="2742"/>
      <c r="DP212" s="2742"/>
      <c r="DQ212" s="2742"/>
      <c r="DR212" s="2751"/>
      <c r="DS212" s="2750"/>
      <c r="DT212" s="2742"/>
      <c r="DU212" s="2742"/>
      <c r="DV212" s="2742"/>
      <c r="DW212" s="2751"/>
      <c r="DX212" s="2750"/>
      <c r="DY212" s="2742"/>
      <c r="DZ212" s="2742"/>
      <c r="EA212" s="2742"/>
      <c r="EB212" s="2751"/>
      <c r="EC212" s="2750"/>
      <c r="ED212" s="2742"/>
      <c r="EE212" s="2742"/>
      <c r="EF212" s="2742"/>
      <c r="EG212" s="2751"/>
      <c r="EH212" s="2618"/>
      <c r="EI212" s="2619"/>
      <c r="EJ212" s="2619"/>
      <c r="EK212" s="2619"/>
      <c r="EL212" s="2752"/>
      <c r="EM212" s="2620"/>
      <c r="EN212" s="2049"/>
      <c r="EO212" s="2049"/>
      <c r="EP212" s="2049"/>
      <c r="EQ212" s="2133"/>
      <c r="ER212" s="2768"/>
      <c r="ES212" s="2769"/>
      <c r="ET212" s="2769"/>
      <c r="EU212" s="2769"/>
      <c r="EV212" s="99"/>
      <c r="EW212" s="1235"/>
      <c r="EX212" s="1235"/>
      <c r="EY212" s="1235"/>
      <c r="EZ212" s="2753"/>
      <c r="FA212" s="2618"/>
      <c r="FB212" s="1235"/>
      <c r="FC212" s="1235"/>
      <c r="FD212" s="2754"/>
      <c r="FE212" s="1235"/>
      <c r="FF212" s="1235"/>
      <c r="FG212" s="1235"/>
      <c r="FH212" s="2753"/>
      <c r="FI212" s="2755"/>
      <c r="FJ212" s="2756"/>
      <c r="FK212" s="795"/>
      <c r="FL212" s="795"/>
      <c r="FM212" s="2757"/>
      <c r="FN212" s="1235"/>
      <c r="FO212" s="2619"/>
      <c r="FP212" s="2619"/>
      <c r="FQ212" s="2619"/>
      <c r="FR212" s="2758"/>
      <c r="FS212" s="2630"/>
      <c r="FT212" s="2123"/>
      <c r="FU212" s="2123"/>
      <c r="FV212" s="2123"/>
      <c r="FW212" s="2759"/>
      <c r="FX212" s="2618"/>
      <c r="FY212" s="2619"/>
      <c r="FZ212" s="2619"/>
      <c r="GA212" s="2123"/>
      <c r="GB212" s="2759"/>
      <c r="GC212" s="2618"/>
      <c r="GD212" s="2619"/>
      <c r="GE212" s="2619"/>
      <c r="GF212" s="2049"/>
      <c r="GG212" s="2133"/>
      <c r="GH212" s="2620"/>
      <c r="GI212" s="2049"/>
      <c r="GJ212" s="2049"/>
      <c r="GK212" s="2760">
        <f>GJ212-GI212</f>
        <v>0</v>
      </c>
      <c r="GL212" s="2759" t="e">
        <f>GK212/GJ212</f>
        <v>#DIV/0!</v>
      </c>
      <c r="GM212" s="2620"/>
      <c r="GN212" s="2049"/>
      <c r="GO212" s="2049"/>
      <c r="GP212" s="2760">
        <f>GO212-GN212</f>
        <v>0</v>
      </c>
      <c r="GQ212" s="2759" t="e">
        <f>GP212/GO212</f>
        <v>#DIV/0!</v>
      </c>
      <c r="GR212" s="823"/>
      <c r="GS212" s="823"/>
      <c r="GT212" s="823"/>
      <c r="GU212" s="2760">
        <f>GT212-GS212</f>
        <v>0</v>
      </c>
      <c r="GV212" s="2759" t="e">
        <f>GU212/GT212</f>
        <v>#DIV/0!</v>
      </c>
      <c r="GW212" s="823"/>
      <c r="GX212" s="823"/>
      <c r="GY212" s="823"/>
      <c r="GZ212" s="2760">
        <f>GY212-GX212</f>
        <v>0</v>
      </c>
      <c r="HA212" s="2759" t="e">
        <f>GZ212/GY212</f>
        <v>#DIV/0!</v>
      </c>
      <c r="HB212" s="823"/>
      <c r="HC212" s="823"/>
      <c r="HD212" s="823"/>
      <c r="HE212" s="2760">
        <f>HD212-HC212</f>
        <v>0</v>
      </c>
      <c r="HF212" s="2759" t="e">
        <f>HE212/HD212</f>
        <v>#DIV/0!</v>
      </c>
      <c r="HG212" s="823"/>
      <c r="HH212" s="823"/>
      <c r="HI212" s="823"/>
      <c r="HJ212" s="2760">
        <f>HI212-HH212</f>
        <v>0</v>
      </c>
      <c r="HK212" s="2759" t="e">
        <f>HJ212/HI212</f>
        <v>#DIV/0!</v>
      </c>
      <c r="HL212" s="823"/>
      <c r="HM212" s="823"/>
      <c r="HN212" s="823"/>
      <c r="HO212" s="2760"/>
      <c r="HP212" s="2759"/>
      <c r="HQ212" s="2760"/>
      <c r="HR212" s="2760"/>
      <c r="HS212" s="2760"/>
      <c r="HT212" s="2760"/>
      <c r="HU212" s="2922"/>
      <c r="HV212" s="2770">
        <f t="shared" ref="HV212:HY213" si="821">FN212+FS212+FX212+GC212+GH212+GM212+GR212+GW212+HB212+HG212+HL212+HQ212</f>
        <v>0</v>
      </c>
      <c r="HW212" s="2198">
        <f t="shared" si="821"/>
        <v>0</v>
      </c>
      <c r="HX212" s="2198">
        <f t="shared" si="821"/>
        <v>0</v>
      </c>
      <c r="HY212" s="2198">
        <f t="shared" si="821"/>
        <v>0</v>
      </c>
      <c r="HZ212" s="2761"/>
      <c r="IA212" s="1705"/>
      <c r="IB212" s="1703"/>
      <c r="IC212" s="1703"/>
      <c r="ID212" s="1704"/>
      <c r="IE212" s="2724"/>
      <c r="IF212" s="2724"/>
      <c r="IG212" s="2724"/>
      <c r="IH212" s="2725"/>
      <c r="II212" s="2726"/>
      <c r="IJ212" s="2727"/>
      <c r="IK212" s="2727"/>
      <c r="IL212" s="2725"/>
      <c r="IM212" s="2728"/>
      <c r="IN212" s="2727"/>
      <c r="IO212" s="2727"/>
      <c r="IP212" s="2729"/>
      <c r="IQ212" s="453"/>
      <c r="IR212" s="2762"/>
      <c r="IS212" s="2923"/>
      <c r="IT212" s="2923"/>
      <c r="IU212" s="2924"/>
      <c r="IV212" s="2731"/>
      <c r="IW212" s="2630"/>
      <c r="IX212" s="2123"/>
      <c r="IY212" s="2123"/>
      <c r="IZ212" s="2123"/>
      <c r="JA212" s="2922"/>
      <c r="JB212" s="2765"/>
      <c r="JC212" s="2619"/>
      <c r="JD212" s="2619"/>
      <c r="JE212" s="2123"/>
      <c r="JF212" s="2922"/>
      <c r="JG212" s="2765"/>
      <c r="JH212" s="2619"/>
      <c r="JI212" s="2619"/>
      <c r="JJ212" s="2049"/>
      <c r="JK212" s="2925"/>
      <c r="JL212" s="2620"/>
      <c r="JM212" s="2049"/>
      <c r="JN212" s="2049"/>
      <c r="JO212" s="2760">
        <f>JN212-JM212</f>
        <v>0</v>
      </c>
      <c r="JP212" s="2922"/>
      <c r="JQ212" s="2127"/>
      <c r="JR212" s="1119"/>
      <c r="JS212" s="1850"/>
      <c r="JT212" s="2128"/>
      <c r="JU212" s="2922"/>
      <c r="JV212" s="2732"/>
      <c r="JW212" s="1096"/>
      <c r="JX212" s="1843"/>
      <c r="JY212" s="2760"/>
      <c r="JZ212" s="2759"/>
      <c r="KA212" s="1149"/>
      <c r="KB212" s="1096"/>
      <c r="KC212" s="1843"/>
      <c r="KD212" s="2760">
        <f>KC212-KB212</f>
        <v>0</v>
      </c>
      <c r="KE212" s="2922"/>
      <c r="KF212" s="1847"/>
      <c r="KG212" s="1096"/>
      <c r="KH212" s="1843"/>
      <c r="KI212" s="2760"/>
      <c r="KJ212" s="2922"/>
      <c r="KK212" s="2926"/>
      <c r="KL212" s="2532"/>
      <c r="KM212" s="2927"/>
      <c r="KN212" s="2760">
        <f>KM212-KL212</f>
        <v>0</v>
      </c>
      <c r="KO212" s="2759"/>
      <c r="KP212" s="2531"/>
      <c r="KQ212" s="2532"/>
      <c r="KR212" s="2927"/>
      <c r="KS212" s="2760">
        <f>KR212-KQ212</f>
        <v>0</v>
      </c>
      <c r="KT212" s="2922"/>
      <c r="KU212" s="2766"/>
      <c r="KV212" s="2760"/>
      <c r="KW212" s="2760"/>
      <c r="KX212" s="2760">
        <f>KW212-KV212</f>
        <v>0</v>
      </c>
      <c r="KY212" s="2759"/>
      <c r="KZ212" s="2531">
        <f t="shared" ref="KZ212:LC219" si="822">IR212+IW212+JB212+JG212+JL212+JQ212+JV212+KA212+KF212+KK212+KP212+KU212</f>
        <v>0</v>
      </c>
      <c r="LA212" s="2532">
        <f t="shared" si="822"/>
        <v>0</v>
      </c>
      <c r="LB212" s="2532">
        <f t="shared" si="822"/>
        <v>0</v>
      </c>
      <c r="LC212" s="2532">
        <f t="shared" si="822"/>
        <v>0</v>
      </c>
      <c r="LD212" s="2534"/>
      <c r="LE212" s="1702"/>
      <c r="LF212" s="1703"/>
      <c r="LG212" s="1703"/>
      <c r="LH212" s="1704"/>
      <c r="LI212" s="2728"/>
      <c r="LJ212" s="2724"/>
      <c r="LK212" s="2724"/>
      <c r="LL212" s="2725"/>
      <c r="LM212" s="1859">
        <f>(JV212+KA212+KF212)/3</f>
        <v>0</v>
      </c>
      <c r="LN212" s="1727">
        <f>(JX212+KC212+KH212)</f>
        <v>0</v>
      </c>
      <c r="LO212" s="1727">
        <f>(JY212+KD212+KI212)</f>
        <v>0</v>
      </c>
      <c r="LP212" s="151"/>
      <c r="LQ212" s="2728"/>
      <c r="LR212" s="2727"/>
      <c r="LS212" s="2727"/>
      <c r="LT212" s="2729"/>
      <c r="LV212" s="2928"/>
      <c r="LW212" s="2929"/>
      <c r="LX212" s="2929"/>
      <c r="LY212" s="2056"/>
      <c r="LZ212" s="2930"/>
      <c r="MA212" s="2928"/>
      <c r="MB212" s="2929"/>
      <c r="MC212" s="2929"/>
      <c r="MD212" s="2056"/>
      <c r="ME212" s="2930"/>
      <c r="MF212" s="2931"/>
      <c r="MG212" s="2929"/>
      <c r="MH212" s="2929"/>
      <c r="MI212" s="2056"/>
      <c r="MJ212" s="369"/>
      <c r="MK212" s="2932"/>
      <c r="ML212" s="2929"/>
      <c r="MM212" s="2929"/>
      <c r="MN212" s="2056"/>
      <c r="MO212" s="369"/>
      <c r="MP212" s="2932"/>
      <c r="MQ212" s="2929"/>
      <c r="MR212" s="2929"/>
      <c r="MS212" s="2056"/>
      <c r="MT212" s="369"/>
      <c r="MU212" s="2526"/>
      <c r="MV212" s="2933"/>
      <c r="MW212" s="2933"/>
      <c r="MX212" s="2527"/>
      <c r="MY212" s="2528"/>
      <c r="MZ212" s="2526"/>
      <c r="NA212" s="2933"/>
      <c r="NB212" s="2933"/>
      <c r="NC212" s="2527"/>
      <c r="ND212" s="2528"/>
      <c r="NE212" s="2526"/>
      <c r="NF212" s="2933"/>
      <c r="NG212" s="2933"/>
      <c r="NH212" s="2527"/>
      <c r="NI212" s="2528"/>
      <c r="NJ212" s="2526"/>
      <c r="NK212" s="2933"/>
      <c r="NL212" s="2933"/>
      <c r="NM212" s="2527"/>
      <c r="NN212" s="2528"/>
      <c r="NO212" s="2056"/>
      <c r="NP212" s="2929"/>
      <c r="NQ212" s="2929"/>
      <c r="NR212" s="2527"/>
      <c r="NS212" s="2528"/>
      <c r="NT212" s="2056"/>
      <c r="NU212" s="2929"/>
      <c r="NV212" s="2929"/>
      <c r="NW212" s="2056"/>
      <c r="NX212" s="1064"/>
      <c r="NY212" s="2526"/>
      <c r="NZ212" s="2933"/>
      <c r="OA212" s="2933"/>
      <c r="OB212" s="2527"/>
      <c r="OC212" s="2528"/>
      <c r="OD212" s="2056"/>
      <c r="OE212" s="2929"/>
      <c r="OF212" s="2929"/>
      <c r="OG212" s="2056"/>
      <c r="OH212" s="2534"/>
      <c r="OI212" s="1047"/>
      <c r="OJ212" s="2056"/>
      <c r="OK212" s="2929"/>
      <c r="OL212" s="2929"/>
      <c r="OM212" s="369"/>
      <c r="ON212" s="1047"/>
      <c r="OO212" s="2056"/>
      <c r="OP212" s="2056"/>
      <c r="OQ212" s="2929"/>
      <c r="OR212" s="2934"/>
      <c r="OS212" s="1047"/>
      <c r="OT212" s="2056"/>
      <c r="OU212" s="2056"/>
      <c r="OV212" s="2056"/>
      <c r="OW212" s="2934"/>
      <c r="OX212" s="2935"/>
      <c r="OY212" s="2929"/>
      <c r="OZ212" s="2056"/>
      <c r="PA212" s="2056"/>
      <c r="PB212" s="1064"/>
      <c r="PC212" s="79"/>
      <c r="PD212" s="2928"/>
      <c r="PE212" s="2929"/>
      <c r="PF212" s="2929"/>
      <c r="PG212" s="2056"/>
      <c r="PH212" s="2930"/>
      <c r="PI212" s="2928"/>
      <c r="PJ212" s="2929"/>
      <c r="PK212" s="2929"/>
      <c r="PL212" s="2056"/>
      <c r="PM212" s="2930"/>
      <c r="PN212" s="2931"/>
      <c r="PO212" s="2929"/>
      <c r="PP212" s="2929"/>
      <c r="PQ212" s="2056"/>
      <c r="PR212" s="369"/>
      <c r="PS212" s="2932"/>
      <c r="PT212" s="2929"/>
      <c r="PU212" s="2929"/>
      <c r="PV212" s="2056"/>
      <c r="PW212" s="369"/>
      <c r="PX212" s="2936"/>
      <c r="PY212" s="2937"/>
      <c r="PZ212" s="2937"/>
      <c r="QA212" s="1089"/>
      <c r="QB212" s="150"/>
      <c r="QC212" s="2526"/>
      <c r="QD212" s="2933"/>
      <c r="QE212" s="2933"/>
      <c r="QF212" s="2527"/>
      <c r="QG212" s="2528"/>
      <c r="QH212" s="2540"/>
      <c r="QI212" s="2933"/>
      <c r="QJ212" s="2933"/>
      <c r="QK212" s="2527"/>
      <c r="QL212" s="2528"/>
      <c r="QM212" s="2540"/>
      <c r="QN212" s="2933"/>
      <c r="QO212" s="2933"/>
      <c r="QP212" s="2527"/>
      <c r="QQ212" s="2528"/>
      <c r="QR212" s="2526"/>
      <c r="QS212" s="2933"/>
      <c r="QT212" s="2933"/>
      <c r="QU212" s="2527"/>
      <c r="QV212" s="2541"/>
      <c r="QW212" s="2056"/>
      <c r="QX212" s="2929"/>
      <c r="QY212" s="2929"/>
      <c r="QZ212" s="2527"/>
      <c r="RA212" s="2528"/>
      <c r="RB212" s="2056"/>
      <c r="RC212" s="2929"/>
      <c r="RD212" s="2929"/>
      <c r="RE212" s="2056"/>
      <c r="RF212" s="1064"/>
      <c r="RG212" s="2928"/>
      <c r="RH212" s="2929"/>
      <c r="RI212" s="2929"/>
      <c r="RJ212" s="2056"/>
      <c r="RK212" s="1064"/>
      <c r="RL212" s="2056"/>
      <c r="RM212" s="2929"/>
      <c r="RN212" s="2929"/>
      <c r="RO212" s="2056"/>
      <c r="RP212" s="2534"/>
      <c r="RQ212" s="1047"/>
      <c r="RR212" s="2056"/>
      <c r="RS212" s="2929"/>
      <c r="RT212" s="2929"/>
      <c r="RU212" s="369"/>
      <c r="RV212" s="1047"/>
      <c r="RW212" s="2056"/>
      <c r="RX212" s="2056"/>
      <c r="RY212" s="2929"/>
      <c r="RZ212" s="2934"/>
      <c r="SA212" s="1047"/>
      <c r="SB212" s="2056"/>
      <c r="SC212" s="2056"/>
      <c r="SD212" s="2056"/>
      <c r="SE212" s="2934"/>
      <c r="SF212" s="2529"/>
      <c r="SG212" s="2929"/>
      <c r="SH212" s="2056"/>
      <c r="SI212" s="2056"/>
      <c r="SJ212" s="1064"/>
      <c r="SL212" s="2928"/>
      <c r="SM212" s="2929"/>
      <c r="SN212" s="2929"/>
      <c r="SO212" s="2056"/>
      <c r="SP212" s="2930"/>
      <c r="SQ212" s="2928"/>
      <c r="SR212" s="2929"/>
      <c r="SS212" s="2929"/>
      <c r="ST212" s="2056"/>
      <c r="SU212" s="2930"/>
      <c r="SV212" s="2073"/>
      <c r="SW212" s="2937"/>
      <c r="SX212" s="2937"/>
      <c r="SY212" s="1089"/>
      <c r="SZ212" s="150"/>
      <c r="TA212" s="2936"/>
      <c r="TB212" s="2937"/>
      <c r="TC212" s="2937"/>
      <c r="TD212" s="1089"/>
      <c r="TE212" s="150"/>
      <c r="TF212" s="2936"/>
      <c r="TG212" s="2937"/>
      <c r="TH212" s="2937"/>
      <c r="TI212" s="1089"/>
      <c r="TJ212" s="150"/>
      <c r="TK212" s="2526"/>
      <c r="TL212" s="2933"/>
      <c r="TM212" s="2933"/>
      <c r="TN212" s="2527"/>
      <c r="TO212" s="2528"/>
      <c r="TP212" s="4503"/>
      <c r="TQ212" s="2933"/>
      <c r="TR212" s="2933"/>
      <c r="TS212" s="2527"/>
      <c r="TT212" s="2528"/>
      <c r="TU212" s="4503"/>
      <c r="TV212" s="2933"/>
      <c r="TW212" s="2933"/>
      <c r="TX212" s="2527"/>
      <c r="TY212" s="2528"/>
      <c r="TZ212" s="2526"/>
      <c r="UA212" s="2933"/>
      <c r="UB212" s="2933"/>
      <c r="UC212" s="2527"/>
      <c r="UD212" s="2541"/>
      <c r="UE212" s="2056"/>
      <c r="UF212" s="2929"/>
      <c r="UG212" s="2929"/>
      <c r="UH212" s="2527"/>
      <c r="UI212" s="2528"/>
      <c r="UJ212" s="2056"/>
      <c r="UK212" s="2929"/>
      <c r="UL212" s="2929"/>
      <c r="UM212" s="2056"/>
      <c r="UN212" s="1064"/>
      <c r="UO212" s="2928"/>
      <c r="UP212" s="2929"/>
      <c r="UQ212" s="2929"/>
      <c r="UR212" s="2056"/>
      <c r="US212" s="1064"/>
      <c r="UT212" s="2056"/>
      <c r="UU212" s="2929"/>
      <c r="UV212" s="2929"/>
      <c r="UW212" s="2056"/>
      <c r="UX212" s="2534"/>
      <c r="UY212" s="1047"/>
      <c r="UZ212" s="2056"/>
      <c r="VA212" s="2929"/>
      <c r="VB212" s="2929"/>
      <c r="VC212" s="369"/>
      <c r="VD212" s="1047"/>
      <c r="VE212" s="2056"/>
      <c r="VF212" s="2056"/>
      <c r="VG212" s="2929"/>
      <c r="VH212" s="2934"/>
      <c r="VI212" s="1047"/>
      <c r="VJ212" s="2056"/>
      <c r="VK212" s="2056"/>
      <c r="VL212" s="2056"/>
      <c r="VM212" s="2934"/>
      <c r="VN212" s="2529"/>
      <c r="VO212" s="2929"/>
      <c r="VP212" s="2056"/>
      <c r="VQ212" s="2056"/>
      <c r="VR212" s="1064"/>
    </row>
    <row r="213" spans="1:745" s="1193" customFormat="1" ht="13.6" hidden="1" customHeight="1" x14ac:dyDescent="0.3">
      <c r="A213" s="1297"/>
      <c r="B213" s="676" t="s">
        <v>124</v>
      </c>
      <c r="C213" s="4129" t="s">
        <v>125</v>
      </c>
      <c r="D213" s="4130"/>
      <c r="E213" s="4119"/>
      <c r="F213" s="4119"/>
      <c r="G213" s="2605"/>
      <c r="H213" s="2774"/>
      <c r="I213" s="2775"/>
      <c r="J213" s="2775"/>
      <c r="K213" s="2775"/>
      <c r="L213" s="2776"/>
      <c r="M213" s="2774"/>
      <c r="N213" s="2775"/>
      <c r="O213" s="2775"/>
      <c r="P213" s="2775"/>
      <c r="Q213" s="2776"/>
      <c r="R213" s="2774"/>
      <c r="S213" s="2775"/>
      <c r="T213" s="2775"/>
      <c r="U213" s="2775"/>
      <c r="V213" s="2776"/>
      <c r="W213" s="2774"/>
      <c r="X213" s="2775"/>
      <c r="Y213" s="2775"/>
      <c r="Z213" s="2775"/>
      <c r="AA213" s="2777"/>
      <c r="AB213" s="2774"/>
      <c r="AC213" s="2775"/>
      <c r="AD213" s="2775"/>
      <c r="AE213" s="2775"/>
      <c r="AF213" s="2777"/>
      <c r="AG213" s="2775"/>
      <c r="AH213" s="2775"/>
      <c r="AI213" s="2775"/>
      <c r="AJ213" s="2775"/>
      <c r="AK213" s="2776"/>
      <c r="AL213" s="2775"/>
      <c r="AM213" s="2775"/>
      <c r="AN213" s="2775"/>
      <c r="AO213" s="2775"/>
      <c r="AP213" s="2776"/>
      <c r="AQ213" s="2775"/>
      <c r="AR213" s="2775"/>
      <c r="AS213" s="2775"/>
      <c r="AT213" s="2775"/>
      <c r="AU213" s="2776"/>
      <c r="AV213" s="2778"/>
      <c r="AW213" s="2775"/>
      <c r="AX213" s="2775"/>
      <c r="AY213" s="2775"/>
      <c r="AZ213" s="2777"/>
      <c r="BA213" s="2778"/>
      <c r="BB213" s="2775"/>
      <c r="BC213" s="2775"/>
      <c r="BD213" s="2775"/>
      <c r="BE213" s="2777"/>
      <c r="BF213" s="2778"/>
      <c r="BG213" s="2775"/>
      <c r="BH213" s="2775"/>
      <c r="BI213" s="2775"/>
      <c r="BJ213" s="2777"/>
      <c r="BK213" s="2778"/>
      <c r="BL213" s="2775"/>
      <c r="BM213" s="2775"/>
      <c r="BN213" s="2775"/>
      <c r="BO213" s="2777"/>
      <c r="BP213" s="2779"/>
      <c r="BQ213" s="2775"/>
      <c r="BR213" s="2775"/>
      <c r="BS213" s="2775"/>
      <c r="BT213" s="2780"/>
      <c r="BU213" s="2775"/>
      <c r="BV213" s="2775"/>
      <c r="BW213" s="2781"/>
      <c r="BX213" s="2780"/>
      <c r="BY213" s="2775"/>
      <c r="BZ213" s="2775"/>
      <c r="CA213" s="2782"/>
      <c r="CB213" s="2775"/>
      <c r="CC213" s="2775"/>
      <c r="CD213" s="2775"/>
      <c r="CE213" s="2775"/>
      <c r="CF213" s="2780"/>
      <c r="CG213" s="2775"/>
      <c r="CH213" s="2775"/>
      <c r="CI213" s="2782"/>
      <c r="CJ213" s="2783"/>
      <c r="CK213" s="2775"/>
      <c r="CL213" s="2775"/>
      <c r="CM213" s="2775"/>
      <c r="CN213" s="2781"/>
      <c r="CO213" s="2783"/>
      <c r="CP213" s="2774"/>
      <c r="CQ213" s="2774"/>
      <c r="CR213" s="2774"/>
      <c r="CS213" s="2781"/>
      <c r="CT213" s="2783"/>
      <c r="CU213" s="2775"/>
      <c r="CV213" s="2775"/>
      <c r="CW213" s="2775"/>
      <c r="CX213" s="2781"/>
      <c r="CY213" s="2783"/>
      <c r="CZ213" s="2775"/>
      <c r="DA213" s="2775"/>
      <c r="DB213" s="2775"/>
      <c r="DC213" s="2781"/>
      <c r="DD213" s="2783"/>
      <c r="DE213" s="2775"/>
      <c r="DF213" s="2775"/>
      <c r="DG213" s="2775"/>
      <c r="DH213" s="2784"/>
      <c r="DI213" s="2783"/>
      <c r="DJ213" s="2775"/>
      <c r="DK213" s="2775"/>
      <c r="DL213" s="2775"/>
      <c r="DM213" s="2784"/>
      <c r="DN213" s="2783"/>
      <c r="DO213" s="2775"/>
      <c r="DP213" s="2775"/>
      <c r="DQ213" s="2775"/>
      <c r="DR213" s="2784"/>
      <c r="DS213" s="2783"/>
      <c r="DT213" s="2775"/>
      <c r="DU213" s="2775"/>
      <c r="DV213" s="2775"/>
      <c r="DW213" s="2784"/>
      <c r="DX213" s="2783"/>
      <c r="DY213" s="2775"/>
      <c r="DZ213" s="2775"/>
      <c r="EA213" s="2775"/>
      <c r="EB213" s="2784"/>
      <c r="EC213" s="2783"/>
      <c r="ED213" s="2775"/>
      <c r="EE213" s="2775"/>
      <c r="EF213" s="2775"/>
      <c r="EG213" s="2784"/>
      <c r="EH213" s="2785"/>
      <c r="EI213" s="2786"/>
      <c r="EJ213" s="2786"/>
      <c r="EK213" s="2786"/>
      <c r="EL213" s="2787"/>
      <c r="EM213" s="2788"/>
      <c r="EN213" s="2789"/>
      <c r="EO213" s="2789"/>
      <c r="EP213" s="2789"/>
      <c r="EQ213" s="2790"/>
      <c r="ER213" s="2791"/>
      <c r="ES213" s="2792"/>
      <c r="ET213" s="2792"/>
      <c r="EU213" s="2792"/>
      <c r="EV213" s="368"/>
      <c r="EW213" s="2793"/>
      <c r="EX213" s="2793"/>
      <c r="EY213" s="2793"/>
      <c r="EZ213" s="451"/>
      <c r="FA213" s="2785"/>
      <c r="FB213" s="2793"/>
      <c r="FC213" s="2793"/>
      <c r="FD213" s="373"/>
      <c r="FE213" s="2793"/>
      <c r="FF213" s="2793"/>
      <c r="FG213" s="2793"/>
      <c r="FH213" s="451"/>
      <c r="FI213" s="2794"/>
      <c r="FJ213" s="2795"/>
      <c r="FK213" s="2796"/>
      <c r="FL213" s="2796"/>
      <c r="FM213" s="387"/>
      <c r="FN213" s="2793"/>
      <c r="FO213" s="2786"/>
      <c r="FP213" s="2786"/>
      <c r="FQ213" s="2786"/>
      <c r="FR213" s="2797"/>
      <c r="FS213" s="2798"/>
      <c r="FT213" s="2799"/>
      <c r="FU213" s="2799"/>
      <c r="FV213" s="2799"/>
      <c r="FW213" s="2800"/>
      <c r="FX213" s="2785"/>
      <c r="FY213" s="2786"/>
      <c r="FZ213" s="2786"/>
      <c r="GA213" s="2799"/>
      <c r="GB213" s="2800"/>
      <c r="GC213" s="2785"/>
      <c r="GD213" s="2786"/>
      <c r="GE213" s="2786"/>
      <c r="GF213" s="2789"/>
      <c r="GG213" s="2790"/>
      <c r="GH213" s="2788"/>
      <c r="GI213" s="2789"/>
      <c r="GJ213" s="2789"/>
      <c r="GK213" s="2801">
        <f>GJ213-GI213</f>
        <v>0</v>
      </c>
      <c r="GL213" s="2800" t="e">
        <f>GK213/GJ213</f>
        <v>#DIV/0!</v>
      </c>
      <c r="GM213" s="2788"/>
      <c r="GN213" s="2789"/>
      <c r="GO213" s="2789"/>
      <c r="GP213" s="2801">
        <f>GO213-GN213</f>
        <v>0</v>
      </c>
      <c r="GQ213" s="2800" t="e">
        <f>GP213/GO213</f>
        <v>#DIV/0!</v>
      </c>
      <c r="GR213" s="1089"/>
      <c r="GS213" s="1089"/>
      <c r="GT213" s="1089"/>
      <c r="GU213" s="2801">
        <f>GT213-GS213</f>
        <v>0</v>
      </c>
      <c r="GV213" s="2800" t="e">
        <f>GU213/GT213</f>
        <v>#DIV/0!</v>
      </c>
      <c r="GW213" s="1089"/>
      <c r="GX213" s="1089"/>
      <c r="GY213" s="1089"/>
      <c r="GZ213" s="2801">
        <f>GY213-GX213</f>
        <v>0</v>
      </c>
      <c r="HA213" s="2800" t="e">
        <f>GZ213/GY213</f>
        <v>#DIV/0!</v>
      </c>
      <c r="HB213" s="1089"/>
      <c r="HC213" s="1089"/>
      <c r="HD213" s="1089"/>
      <c r="HE213" s="2801">
        <f>HD213-HC213</f>
        <v>0</v>
      </c>
      <c r="HF213" s="2800" t="e">
        <f>HE213/HD213</f>
        <v>#DIV/0!</v>
      </c>
      <c r="HG213" s="1089"/>
      <c r="HH213" s="1089"/>
      <c r="HI213" s="1089"/>
      <c r="HJ213" s="2801">
        <f>HI213-HH213</f>
        <v>0</v>
      </c>
      <c r="HK213" s="2800" t="e">
        <f>HJ213/HI213</f>
        <v>#DIV/0!</v>
      </c>
      <c r="HL213" s="1089"/>
      <c r="HM213" s="1089"/>
      <c r="HN213" s="1089"/>
      <c r="HO213" s="2801"/>
      <c r="HP213" s="2800"/>
      <c r="HQ213" s="2801"/>
      <c r="HR213" s="2801"/>
      <c r="HS213" s="2801"/>
      <c r="HT213" s="2801"/>
      <c r="HU213" s="4065"/>
      <c r="HV213" s="2802">
        <f t="shared" si="821"/>
        <v>0</v>
      </c>
      <c r="HW213" s="1066">
        <f t="shared" si="821"/>
        <v>0</v>
      </c>
      <c r="HX213" s="1066">
        <f t="shared" si="821"/>
        <v>0</v>
      </c>
      <c r="HY213" s="1066">
        <f t="shared" si="821"/>
        <v>0</v>
      </c>
      <c r="HZ213" s="2803"/>
      <c r="IA213" s="1859"/>
      <c r="IB213" s="2070"/>
      <c r="IC213" s="2070"/>
      <c r="ID213" s="2071"/>
      <c r="IE213" s="2804"/>
      <c r="IF213" s="2804"/>
      <c r="IG213" s="2804"/>
      <c r="IH213" s="2805"/>
      <c r="II213" s="2806"/>
      <c r="IJ213" s="2807"/>
      <c r="IK213" s="2807"/>
      <c r="IL213" s="2805"/>
      <c r="IM213" s="2808"/>
      <c r="IN213" s="2807"/>
      <c r="IO213" s="2807"/>
      <c r="IP213" s="2809"/>
      <c r="IQ213" s="2056"/>
      <c r="IR213" s="2810"/>
      <c r="IS213" s="2811"/>
      <c r="IT213" s="2811"/>
      <c r="IU213" s="2812"/>
      <c r="IV213" s="2813"/>
      <c r="IW213" s="2798"/>
      <c r="IX213" s="2799"/>
      <c r="IY213" s="2799"/>
      <c r="IZ213" s="2799"/>
      <c r="JA213" s="4065"/>
      <c r="JB213" s="2814"/>
      <c r="JC213" s="2786"/>
      <c r="JD213" s="2786"/>
      <c r="JE213" s="2799"/>
      <c r="JF213" s="4065"/>
      <c r="JG213" s="2814"/>
      <c r="JH213" s="2786"/>
      <c r="JI213" s="2786"/>
      <c r="JJ213" s="2789"/>
      <c r="JK213" s="4066"/>
      <c r="JL213" s="2788"/>
      <c r="JM213" s="2789"/>
      <c r="JN213" s="2789"/>
      <c r="JO213" s="2801">
        <f>JN213-JM213</f>
        <v>0</v>
      </c>
      <c r="JP213" s="4065"/>
      <c r="JQ213" s="2815"/>
      <c r="JR213" s="1008"/>
      <c r="JS213" s="1006"/>
      <c r="JT213" s="2816"/>
      <c r="JU213" s="4065"/>
      <c r="JV213" s="2817"/>
      <c r="JW213" s="2789"/>
      <c r="JX213" s="2816"/>
      <c r="JY213" s="2801"/>
      <c r="JZ213" s="2800"/>
      <c r="KA213" s="2818"/>
      <c r="KB213" s="2789"/>
      <c r="KC213" s="2816"/>
      <c r="KD213" s="2801">
        <f>KC213-KB213</f>
        <v>0</v>
      </c>
      <c r="KE213" s="4065"/>
      <c r="KF213" s="2819"/>
      <c r="KG213" s="2789"/>
      <c r="KH213" s="2816"/>
      <c r="KI213" s="2801"/>
      <c r="KJ213" s="4065"/>
      <c r="KK213" s="2875"/>
      <c r="KL213" s="358"/>
      <c r="KM213" s="2872"/>
      <c r="KN213" s="2801">
        <f>KM213-KL213</f>
        <v>0</v>
      </c>
      <c r="KO213" s="2800"/>
      <c r="KP213" s="357"/>
      <c r="KQ213" s="358"/>
      <c r="KR213" s="2872"/>
      <c r="KS213" s="2801">
        <f>KR213-KQ213</f>
        <v>0</v>
      </c>
      <c r="KT213" s="4065"/>
      <c r="KU213" s="2824"/>
      <c r="KV213" s="2801"/>
      <c r="KW213" s="2801"/>
      <c r="KX213" s="2801">
        <f>KW213-KV213</f>
        <v>0</v>
      </c>
      <c r="KY213" s="2800"/>
      <c r="KZ213" s="357">
        <f t="shared" si="822"/>
        <v>0</v>
      </c>
      <c r="LA213" s="358">
        <f t="shared" si="822"/>
        <v>0</v>
      </c>
      <c r="LB213" s="358">
        <f t="shared" si="822"/>
        <v>0</v>
      </c>
      <c r="LC213" s="358">
        <f t="shared" si="822"/>
        <v>0</v>
      </c>
      <c r="LD213" s="220"/>
      <c r="LE213" s="2074"/>
      <c r="LF213" s="2070"/>
      <c r="LG213" s="2070"/>
      <c r="LH213" s="2071"/>
      <c r="LI213" s="2808"/>
      <c r="LJ213" s="2804"/>
      <c r="LK213" s="2804"/>
      <c r="LL213" s="2805"/>
      <c r="LM213" s="1859">
        <f>(JV213+KA213+KF213)/3</f>
        <v>0</v>
      </c>
      <c r="LN213" s="1727">
        <f>(JX213+KC213+KH213)</f>
        <v>0</v>
      </c>
      <c r="LO213" s="1727">
        <f>(JY213+KD213+KI213)</f>
        <v>0</v>
      </c>
      <c r="LP213" s="151"/>
      <c r="LQ213" s="2808"/>
      <c r="LR213" s="2807"/>
      <c r="LS213" s="2807"/>
      <c r="LT213" s="2809"/>
      <c r="LU213" s="2056"/>
      <c r="LV213" s="1567"/>
      <c r="LW213" s="2938"/>
      <c r="LX213" s="2938"/>
      <c r="LY213" s="1568"/>
      <c r="LZ213" s="2939"/>
      <c r="MA213" s="1567"/>
      <c r="MB213" s="2938"/>
      <c r="MC213" s="2938"/>
      <c r="MD213" s="1568"/>
      <c r="ME213" s="2939"/>
      <c r="MF213" s="1569"/>
      <c r="MG213" s="2938"/>
      <c r="MH213" s="2938"/>
      <c r="MI213" s="1568"/>
      <c r="MJ213" s="220"/>
      <c r="MK213" s="2940"/>
      <c r="ML213" s="2938"/>
      <c r="MM213" s="2938"/>
      <c r="MN213" s="1568"/>
      <c r="MO213" s="220"/>
      <c r="MP213" s="2940"/>
      <c r="MQ213" s="2938"/>
      <c r="MR213" s="2938"/>
      <c r="MS213" s="1568"/>
      <c r="MT213" s="220"/>
      <c r="MU213" s="1868"/>
      <c r="MV213" s="2941"/>
      <c r="MW213" s="2941"/>
      <c r="MX213" s="1575"/>
      <c r="MY213" s="2674"/>
      <c r="MZ213" s="1868"/>
      <c r="NA213" s="2941"/>
      <c r="NB213" s="2941"/>
      <c r="NC213" s="1575"/>
      <c r="ND213" s="2674"/>
      <c r="NE213" s="1868"/>
      <c r="NF213" s="2941"/>
      <c r="NG213" s="2941"/>
      <c r="NH213" s="1575"/>
      <c r="NI213" s="2674"/>
      <c r="NJ213" s="1868"/>
      <c r="NK213" s="2941"/>
      <c r="NL213" s="2941"/>
      <c r="NM213" s="1575"/>
      <c r="NN213" s="2674"/>
      <c r="NO213" s="1568"/>
      <c r="NP213" s="2938"/>
      <c r="NQ213" s="2938"/>
      <c r="NR213" s="1575"/>
      <c r="NS213" s="2674"/>
      <c r="NT213" s="1568"/>
      <c r="NU213" s="2938"/>
      <c r="NV213" s="2938"/>
      <c r="NW213" s="1568"/>
      <c r="NX213" s="2673"/>
      <c r="NY213" s="1868"/>
      <c r="NZ213" s="2941">
        <v>0</v>
      </c>
      <c r="OA213" s="2941">
        <v>0</v>
      </c>
      <c r="OB213" s="2001">
        <v>0</v>
      </c>
      <c r="OC213" s="116"/>
      <c r="OD213" s="190">
        <f t="shared" ref="OD213:OD219" si="823">(NY213+NT213+NO213+NJ213+NE213+MZ213+MU213+MP213+MK213+MF213+MA213+LV213)/12</f>
        <v>0</v>
      </c>
      <c r="OE213" s="358">
        <f t="shared" ref="OE213:OG220" si="824">NZ213+NU213+NP213+NK213+NF213+NA213+MV213+MQ213+ML213+MG213+MB213+LW213</f>
        <v>0</v>
      </c>
      <c r="OF213" s="358">
        <f t="shared" si="824"/>
        <v>0</v>
      </c>
      <c r="OG213" s="358">
        <f t="shared" si="824"/>
        <v>0</v>
      </c>
      <c r="OH213" s="2673"/>
      <c r="OI213" s="1863">
        <f>(LV213+MA213+MF213)/3</f>
        <v>0</v>
      </c>
      <c r="OJ213" s="105">
        <f t="shared" ref="OJ213:OL215" si="825">LW213+MB213+MG213</f>
        <v>0</v>
      </c>
      <c r="OK213" s="105">
        <f t="shared" si="825"/>
        <v>0</v>
      </c>
      <c r="OL213" s="105">
        <f t="shared" si="825"/>
        <v>0</v>
      </c>
      <c r="OM213" s="106"/>
      <c r="ON213" s="358">
        <f>(MK213+MP213+MU213)/3</f>
        <v>0</v>
      </c>
      <c r="OO213" s="358">
        <f t="shared" ref="OO213:OQ215" si="826">ML213+MQ213+MV213</f>
        <v>0</v>
      </c>
      <c r="OP213" s="358">
        <f t="shared" si="826"/>
        <v>0</v>
      </c>
      <c r="OQ213" s="359">
        <f t="shared" si="826"/>
        <v>0</v>
      </c>
      <c r="OR213" s="169"/>
      <c r="OS213" s="686">
        <f t="shared" ref="OS213:OV219" si="827">NJ213+NE213+MZ213</f>
        <v>0</v>
      </c>
      <c r="OT213" s="146">
        <f t="shared" si="827"/>
        <v>0</v>
      </c>
      <c r="OU213" s="146">
        <f t="shared" si="827"/>
        <v>0</v>
      </c>
      <c r="OV213" s="1864">
        <f t="shared" si="827"/>
        <v>0</v>
      </c>
      <c r="OW213" s="203"/>
      <c r="OX213" s="357">
        <f t="shared" ref="OX213:OX220" si="828">(NO213+NT213+NY213)/3</f>
        <v>0</v>
      </c>
      <c r="OY213" s="358">
        <f t="shared" ref="OY213:PA220" si="829">NP213+NU213+NZ213</f>
        <v>0</v>
      </c>
      <c r="OZ213" s="358">
        <f t="shared" si="829"/>
        <v>0</v>
      </c>
      <c r="PA213" s="359">
        <f t="shared" si="829"/>
        <v>0</v>
      </c>
      <c r="PB213" s="114"/>
      <c r="PC213" s="146"/>
      <c r="PD213" s="1567"/>
      <c r="PE213" s="2938">
        <v>0</v>
      </c>
      <c r="PF213" s="2938">
        <v>0</v>
      </c>
      <c r="PG213" s="1568"/>
      <c r="PH213" s="353"/>
      <c r="PI213" s="1567"/>
      <c r="PJ213" s="2938"/>
      <c r="PK213" s="2938"/>
      <c r="PL213" s="1568"/>
      <c r="PM213" s="2939"/>
      <c r="PN213" s="1569"/>
      <c r="PO213" s="2938"/>
      <c r="PP213" s="2938"/>
      <c r="PQ213" s="1568"/>
      <c r="PR213" s="220"/>
      <c r="PS213" s="2940"/>
      <c r="PT213" s="2938"/>
      <c r="PU213" s="2938"/>
      <c r="PV213" s="1568"/>
      <c r="PW213" s="220"/>
      <c r="PX213" s="2942"/>
      <c r="PY213" s="2943"/>
      <c r="PZ213" s="2943"/>
      <c r="QA213" s="358"/>
      <c r="QB213" s="151"/>
      <c r="QC213" s="1868"/>
      <c r="QD213" s="2941"/>
      <c r="QE213" s="2941"/>
      <c r="QF213" s="1575">
        <f t="shared" ref="QF213:QF220" si="830">QE213-QD213</f>
        <v>0</v>
      </c>
      <c r="QG213" s="2674"/>
      <c r="QH213" s="405"/>
      <c r="QI213" s="2941"/>
      <c r="QJ213" s="2941"/>
      <c r="QK213" s="1575"/>
      <c r="QL213" s="2674"/>
      <c r="QM213" s="405"/>
      <c r="QN213" s="2941"/>
      <c r="QO213" s="2941"/>
      <c r="QP213" s="1575"/>
      <c r="QQ213" s="2674"/>
      <c r="QR213" s="1868"/>
      <c r="QS213" s="2941"/>
      <c r="QT213" s="2941"/>
      <c r="QU213" s="1575"/>
      <c r="QV213" s="2944"/>
      <c r="QW213" s="1568"/>
      <c r="QX213" s="2938"/>
      <c r="QY213" s="2938"/>
      <c r="QZ213" s="1575"/>
      <c r="RA213" s="2674"/>
      <c r="RB213" s="1568"/>
      <c r="RC213" s="2938"/>
      <c r="RD213" s="2938"/>
      <c r="RE213" s="1568"/>
      <c r="RF213" s="2673"/>
      <c r="RG213" s="1567"/>
      <c r="RH213" s="2938"/>
      <c r="RI213" s="2938"/>
      <c r="RJ213" s="2001">
        <v>0</v>
      </c>
      <c r="RK213" s="725"/>
      <c r="RL213" s="3718">
        <f t="shared" ref="RL213:RL219" si="831">(RG213+RB213+QW213+QR213+QM213+QH213+QC213+PX213+PS213+PN213+PI213+PD213)/12</f>
        <v>0</v>
      </c>
      <c r="RM213" s="1568">
        <f t="shared" ref="RM213:RO220" si="832">RH213+RC213+QX213+QS213+QN213+QI213+QD213+PY213+PT213+PO213+PJ213+PE213</f>
        <v>0</v>
      </c>
      <c r="RN213" s="1568">
        <f t="shared" si="832"/>
        <v>0</v>
      </c>
      <c r="RO213" s="1568">
        <f t="shared" si="832"/>
        <v>0</v>
      </c>
      <c r="RP213" s="2673"/>
      <c r="RQ213" s="1863">
        <f t="shared" ref="RQ213:RQ220" si="833">(PD213+PI213+PN213)/3</f>
        <v>0</v>
      </c>
      <c r="RR213" s="105">
        <f t="shared" ref="RR213:RT220" si="834">PE213+PJ213+PO213</f>
        <v>0</v>
      </c>
      <c r="RS213" s="105">
        <f t="shared" si="834"/>
        <v>0</v>
      </c>
      <c r="RT213" s="105">
        <f t="shared" si="834"/>
        <v>0</v>
      </c>
      <c r="RU213" s="106"/>
      <c r="RV213" s="358">
        <f>(PS213+PX213+QC213)/3</f>
        <v>0</v>
      </c>
      <c r="RW213" s="358">
        <f t="shared" ref="RW213:RY220" si="835">PT213+PY213+QD213</f>
        <v>0</v>
      </c>
      <c r="RX213" s="358">
        <f t="shared" si="835"/>
        <v>0</v>
      </c>
      <c r="RY213" s="359">
        <f t="shared" si="835"/>
        <v>0</v>
      </c>
      <c r="RZ213" s="169"/>
      <c r="SA213" s="686">
        <f>(QR213+QM213+QH213)/3</f>
        <v>0</v>
      </c>
      <c r="SB213" s="146">
        <f>QS213+QN213+QI213</f>
        <v>0</v>
      </c>
      <c r="SC213" s="146">
        <f>QT213+QO213+QJ213</f>
        <v>0</v>
      </c>
      <c r="SD213" s="1864">
        <f>QU213+QP213+QK213</f>
        <v>0</v>
      </c>
      <c r="SE213" s="1059">
        <v>0</v>
      </c>
      <c r="SF213" s="190">
        <f t="shared" ref="SF213:SF219" si="836">(SA213+RV213+RQ213+RL213+RG213+RB213+QW213+QR213+QM213+QH213+QC213+PX213)/12</f>
        <v>0</v>
      </c>
      <c r="SG213" s="358">
        <f>QX213+RC213+RH213</f>
        <v>0</v>
      </c>
      <c r="SH213" s="358">
        <f>QY213+RD213+RI213</f>
        <v>0</v>
      </c>
      <c r="SI213" s="359">
        <f>QZ213+RE213+RJ213</f>
        <v>0</v>
      </c>
      <c r="SJ213" s="2155">
        <v>0</v>
      </c>
      <c r="SK213" s="2056"/>
      <c r="SL213" s="1567"/>
      <c r="SM213" s="2938">
        <v>0</v>
      </c>
      <c r="SN213" s="2938">
        <v>0</v>
      </c>
      <c r="SO213" s="3534">
        <f t="shared" ref="SO213:SO229" si="837">SN213-SM213</f>
        <v>0</v>
      </c>
      <c r="SP213" s="3525">
        <v>0</v>
      </c>
      <c r="SQ213" s="1567"/>
      <c r="SR213" s="2938"/>
      <c r="SS213" s="2938"/>
      <c r="ST213" s="1568"/>
      <c r="SU213" s="2939"/>
      <c r="SV213" s="1858"/>
      <c r="SW213" s="2943"/>
      <c r="SX213" s="2943"/>
      <c r="SY213" s="358"/>
      <c r="SZ213" s="151"/>
      <c r="TA213" s="2942"/>
      <c r="TB213" s="2943"/>
      <c r="TC213" s="2943"/>
      <c r="TD213" s="358">
        <v>0</v>
      </c>
      <c r="TE213" s="151"/>
      <c r="TF213" s="2942"/>
      <c r="TG213" s="2943"/>
      <c r="TH213" s="2943"/>
      <c r="TI213" s="358">
        <v>0</v>
      </c>
      <c r="TJ213" s="151"/>
      <c r="TK213" s="1868"/>
      <c r="TL213" s="2941"/>
      <c r="TM213" s="2941"/>
      <c r="TN213" s="1575">
        <f t="shared" ref="TN213:TN227" si="838">TM213-TL213</f>
        <v>0</v>
      </c>
      <c r="TO213" s="2674"/>
      <c r="TP213" s="4506"/>
      <c r="TQ213" s="2941"/>
      <c r="TR213" s="2941"/>
      <c r="TS213" s="1575"/>
      <c r="TT213" s="2674"/>
      <c r="TU213" s="4506"/>
      <c r="TV213" s="2941"/>
      <c r="TW213" s="2941"/>
      <c r="TX213" s="1575"/>
      <c r="TY213" s="2674"/>
      <c r="TZ213" s="1868"/>
      <c r="UA213" s="2941"/>
      <c r="UB213" s="2941"/>
      <c r="UC213" s="1575"/>
      <c r="UD213" s="2944"/>
      <c r="UE213" s="1568"/>
      <c r="UF213" s="2938"/>
      <c r="UG213" s="2938"/>
      <c r="UH213" s="1575"/>
      <c r="UI213" s="2674"/>
      <c r="UJ213" s="1568"/>
      <c r="UK213" s="2938"/>
      <c r="UL213" s="2938"/>
      <c r="UM213" s="1568"/>
      <c r="UN213" s="2673"/>
      <c r="UO213" s="1567"/>
      <c r="UP213" s="2938"/>
      <c r="UQ213" s="2938"/>
      <c r="UR213" s="2001">
        <v>0</v>
      </c>
      <c r="US213" s="655"/>
      <c r="UT213" s="190">
        <f t="shared" ref="UT213:UT219" si="839">(UO213+UJ213+UE213+TZ213+TU213+TP213+TK213+TF213+TA213+SV213+SQ213+SL213)/12</f>
        <v>0</v>
      </c>
      <c r="UU213" s="358">
        <f>UP213+UK213+UF213+UA213+TV213+TQ213+TL213+TG213+TB213+SW213+SR213+SM213</f>
        <v>0</v>
      </c>
      <c r="UV213" s="358">
        <f>UQ213+UL213+UG213+UB213+TW213+TR213+TM213+TH213+TC213+SX213+SS213+SN213</f>
        <v>0</v>
      </c>
      <c r="UW213" s="358">
        <f>UR213+UM213+UH213+UC213+TX213+TS213+TN213+TI213+TD213+SY213+ST213+SO213</f>
        <v>0</v>
      </c>
      <c r="UX213" s="2281">
        <v>0</v>
      </c>
      <c r="UY213" s="1863">
        <f t="shared" ref="UY213:UY224" si="840">(SL213+SQ213+SV213)/3</f>
        <v>0</v>
      </c>
      <c r="UZ213" s="105">
        <f t="shared" ref="UZ213:VB227" si="841">SM213+SR213+SW213</f>
        <v>0</v>
      </c>
      <c r="VA213" s="105">
        <f t="shared" si="841"/>
        <v>0</v>
      </c>
      <c r="VB213" s="105">
        <f t="shared" si="841"/>
        <v>0</v>
      </c>
      <c r="VC213" s="106"/>
      <c r="VD213" s="358">
        <f>(TA213+TF213+TK213)/3</f>
        <v>0</v>
      </c>
      <c r="VE213" s="358">
        <f t="shared" ref="VE213:VG220" si="842">TB213+TG213+TL213</f>
        <v>0</v>
      </c>
      <c r="VF213" s="358">
        <f t="shared" si="842"/>
        <v>0</v>
      </c>
      <c r="VG213" s="359">
        <f t="shared" si="842"/>
        <v>0</v>
      </c>
      <c r="VH213" s="169"/>
      <c r="VI213" s="686">
        <f t="shared" ref="VI213:VI226" si="843">(TZ213+TU213+TP213)/3</f>
        <v>0</v>
      </c>
      <c r="VJ213" s="146">
        <f t="shared" ref="VJ213:VL227" si="844">UA213+TV213+TQ213</f>
        <v>0</v>
      </c>
      <c r="VK213" s="146">
        <f t="shared" si="844"/>
        <v>0</v>
      </c>
      <c r="VL213" s="1864">
        <f t="shared" si="844"/>
        <v>0</v>
      </c>
      <c r="VM213" s="1059">
        <v>0</v>
      </c>
      <c r="VN213" s="190">
        <f t="shared" ref="VN213:VN219" si="845">(VI213+VD213+UY213+UT213+UO213+UJ213+UE213+TZ213+TU213+TP213+TK213+TF213)/12</f>
        <v>0</v>
      </c>
      <c r="VO213" s="358">
        <f t="shared" ref="VO213:VQ229" si="846">UF213+UK213+UP213</f>
        <v>0</v>
      </c>
      <c r="VP213" s="358">
        <f t="shared" si="846"/>
        <v>0</v>
      </c>
      <c r="VQ213" s="359">
        <f t="shared" si="846"/>
        <v>0</v>
      </c>
      <c r="VR213" s="2155">
        <v>0</v>
      </c>
    </row>
    <row r="214" spans="1:745" s="1193" customFormat="1" ht="13.6" hidden="1" customHeight="1" x14ac:dyDescent="0.3">
      <c r="A214" s="1297"/>
      <c r="B214" s="113" t="s">
        <v>124</v>
      </c>
      <c r="C214" s="2843" t="s">
        <v>126</v>
      </c>
      <c r="D214" s="4067" t="s">
        <v>870</v>
      </c>
      <c r="E214" s="384"/>
      <c r="F214" s="384"/>
      <c r="G214" s="2161">
        <v>1700000</v>
      </c>
      <c r="H214" s="2845"/>
      <c r="I214" s="2846"/>
      <c r="J214" s="2846"/>
      <c r="K214" s="2846"/>
      <c r="L214" s="2847"/>
      <c r="M214" s="2845"/>
      <c r="N214" s="2846"/>
      <c r="O214" s="2846"/>
      <c r="P214" s="2846"/>
      <c r="Q214" s="2847"/>
      <c r="R214" s="2845"/>
      <c r="S214" s="2846"/>
      <c r="T214" s="2846"/>
      <c r="U214" s="2846"/>
      <c r="V214" s="2847"/>
      <c r="W214" s="2845"/>
      <c r="X214" s="2846"/>
      <c r="Y214" s="2846"/>
      <c r="Z214" s="2846"/>
      <c r="AA214" s="2848"/>
      <c r="AB214" s="2845"/>
      <c r="AC214" s="2846"/>
      <c r="AD214" s="2846"/>
      <c r="AE214" s="2846"/>
      <c r="AF214" s="2848"/>
      <c r="AG214" s="2846"/>
      <c r="AH214" s="2846"/>
      <c r="AI214" s="2846"/>
      <c r="AJ214" s="2846"/>
      <c r="AK214" s="2847"/>
      <c r="AL214" s="2846"/>
      <c r="AM214" s="2846"/>
      <c r="AN214" s="2846"/>
      <c r="AO214" s="2846"/>
      <c r="AP214" s="2847"/>
      <c r="AQ214" s="2846"/>
      <c r="AR214" s="2846"/>
      <c r="AS214" s="2846"/>
      <c r="AT214" s="2846"/>
      <c r="AU214" s="2847"/>
      <c r="AV214" s="2849"/>
      <c r="AW214" s="2846"/>
      <c r="AX214" s="2846"/>
      <c r="AY214" s="2846"/>
      <c r="AZ214" s="2848"/>
      <c r="BA214" s="2849"/>
      <c r="BB214" s="2846"/>
      <c r="BC214" s="2846"/>
      <c r="BD214" s="2846"/>
      <c r="BE214" s="2848"/>
      <c r="BF214" s="2849"/>
      <c r="BG214" s="2846"/>
      <c r="BH214" s="2846"/>
      <c r="BI214" s="2846"/>
      <c r="BJ214" s="2848"/>
      <c r="BK214" s="2849"/>
      <c r="BL214" s="2846"/>
      <c r="BM214" s="2846"/>
      <c r="BN214" s="2846"/>
      <c r="BO214" s="2848"/>
      <c r="BP214" s="2850"/>
      <c r="BQ214" s="2846"/>
      <c r="BR214" s="2846"/>
      <c r="BS214" s="2846"/>
      <c r="BT214" s="2851"/>
      <c r="BU214" s="2846"/>
      <c r="BV214" s="2846"/>
      <c r="BW214" s="2852"/>
      <c r="BX214" s="2851"/>
      <c r="BY214" s="2846"/>
      <c r="BZ214" s="2846"/>
      <c r="CA214" s="2853"/>
      <c r="CB214" s="2846"/>
      <c r="CC214" s="2846"/>
      <c r="CD214" s="2846"/>
      <c r="CE214" s="2846"/>
      <c r="CF214" s="2851"/>
      <c r="CG214" s="2846"/>
      <c r="CH214" s="2846"/>
      <c r="CI214" s="2853"/>
      <c r="CJ214" s="2854"/>
      <c r="CK214" s="2846"/>
      <c r="CL214" s="2846"/>
      <c r="CM214" s="2846"/>
      <c r="CN214" s="2852"/>
      <c r="CO214" s="2854"/>
      <c r="CP214" s="2845"/>
      <c r="CQ214" s="2845"/>
      <c r="CR214" s="2845"/>
      <c r="CS214" s="2852"/>
      <c r="CT214" s="2854"/>
      <c r="CU214" s="2846"/>
      <c r="CV214" s="2846"/>
      <c r="CW214" s="2846"/>
      <c r="CX214" s="2852"/>
      <c r="CY214" s="2854"/>
      <c r="CZ214" s="2846"/>
      <c r="DA214" s="2846"/>
      <c r="DB214" s="2846"/>
      <c r="DC214" s="2852"/>
      <c r="DD214" s="2854"/>
      <c r="DE214" s="2846"/>
      <c r="DF214" s="2846"/>
      <c r="DG214" s="2846"/>
      <c r="DH214" s="2855"/>
      <c r="DI214" s="2854"/>
      <c r="DJ214" s="2846"/>
      <c r="DK214" s="2846"/>
      <c r="DL214" s="2846"/>
      <c r="DM214" s="2855"/>
      <c r="DN214" s="2854"/>
      <c r="DO214" s="2846"/>
      <c r="DP214" s="2846"/>
      <c r="DQ214" s="2846"/>
      <c r="DR214" s="2855"/>
      <c r="DS214" s="2854"/>
      <c r="DT214" s="2846"/>
      <c r="DU214" s="2846"/>
      <c r="DV214" s="2846"/>
      <c r="DW214" s="2855"/>
      <c r="DX214" s="2854"/>
      <c r="DY214" s="2846"/>
      <c r="DZ214" s="2846"/>
      <c r="EA214" s="2846"/>
      <c r="EB214" s="2855"/>
      <c r="EC214" s="2854"/>
      <c r="ED214" s="2846"/>
      <c r="EE214" s="2846"/>
      <c r="EF214" s="2846"/>
      <c r="EG214" s="2855"/>
      <c r="EH214" s="1567"/>
      <c r="EI214" s="1568"/>
      <c r="EJ214" s="1568"/>
      <c r="EK214" s="1568"/>
      <c r="EL214" s="353"/>
      <c r="EM214" s="1857"/>
      <c r="EN214" s="358"/>
      <c r="EO214" s="358"/>
      <c r="EP214" s="358"/>
      <c r="EQ214" s="94"/>
      <c r="ER214" s="2856"/>
      <c r="ES214" s="2857"/>
      <c r="ET214" s="2857"/>
      <c r="EU214" s="2857"/>
      <c r="EV214" s="1867"/>
      <c r="EW214" s="1569"/>
      <c r="EX214" s="1569"/>
      <c r="EY214" s="1569"/>
      <c r="EZ214" s="210"/>
      <c r="FA214" s="1567"/>
      <c r="FB214" s="1569"/>
      <c r="FC214" s="1569"/>
      <c r="FD214" s="220"/>
      <c r="FE214" s="1569"/>
      <c r="FF214" s="1569"/>
      <c r="FG214" s="1569"/>
      <c r="FH214" s="210"/>
      <c r="FI214" s="580"/>
      <c r="FJ214" s="579"/>
      <c r="FK214" s="137"/>
      <c r="FL214" s="137"/>
      <c r="FM214" s="151"/>
      <c r="FN214" s="1569"/>
      <c r="FO214" s="1568"/>
      <c r="FP214" s="1568"/>
      <c r="FQ214" s="1568"/>
      <c r="FR214" s="408"/>
      <c r="FS214" s="2858"/>
      <c r="FT214" s="2859"/>
      <c r="FU214" s="2859"/>
      <c r="FV214" s="2859"/>
      <c r="FW214" s="2860"/>
      <c r="FX214" s="1567"/>
      <c r="FY214" s="1568"/>
      <c r="FZ214" s="1568"/>
      <c r="GA214" s="2859"/>
      <c r="GB214" s="2860"/>
      <c r="GC214" s="1567"/>
      <c r="GD214" s="1568"/>
      <c r="GE214" s="1568"/>
      <c r="GF214" s="358"/>
      <c r="GG214" s="94"/>
      <c r="GH214" s="1857"/>
      <c r="GI214" s="358"/>
      <c r="GJ214" s="358"/>
      <c r="GK214" s="2861"/>
      <c r="GL214" s="2860"/>
      <c r="GM214" s="1857"/>
      <c r="GN214" s="358"/>
      <c r="GO214" s="358"/>
      <c r="GP214" s="2861"/>
      <c r="GQ214" s="2860"/>
      <c r="GR214" s="358"/>
      <c r="GS214" s="358"/>
      <c r="GT214" s="358"/>
      <c r="GU214" s="2861"/>
      <c r="GV214" s="2860"/>
      <c r="GW214" s="358"/>
      <c r="GX214" s="358"/>
      <c r="GY214" s="358"/>
      <c r="GZ214" s="2861"/>
      <c r="HA214" s="2860"/>
      <c r="HB214" s="358"/>
      <c r="HC214" s="358"/>
      <c r="HD214" s="358"/>
      <c r="HE214" s="2861"/>
      <c r="HF214" s="2860"/>
      <c r="HG214" s="358"/>
      <c r="HH214" s="358"/>
      <c r="HI214" s="358"/>
      <c r="HJ214" s="2861"/>
      <c r="HK214" s="2860"/>
      <c r="HL214" s="358"/>
      <c r="HM214" s="358"/>
      <c r="HN214" s="358"/>
      <c r="HO214" s="2861"/>
      <c r="HP214" s="2860"/>
      <c r="HQ214" s="2861"/>
      <c r="HR214" s="2861"/>
      <c r="HS214" s="2861"/>
      <c r="HT214" s="2861"/>
      <c r="HU214" s="2870"/>
      <c r="HV214" s="3812"/>
      <c r="HW214" s="208"/>
      <c r="HX214" s="208"/>
      <c r="HY214" s="208"/>
      <c r="HZ214" s="2737"/>
      <c r="IA214" s="1934"/>
      <c r="IB214" s="1855"/>
      <c r="IC214" s="1855"/>
      <c r="ID214" s="1856"/>
      <c r="IE214" s="2863"/>
      <c r="IF214" s="2863"/>
      <c r="IG214" s="2863"/>
      <c r="IH214" s="2864"/>
      <c r="II214" s="2865"/>
      <c r="IJ214" s="3813"/>
      <c r="IK214" s="3813"/>
      <c r="IL214" s="2864"/>
      <c r="IM214" s="2866"/>
      <c r="IN214" s="3813"/>
      <c r="IO214" s="3813"/>
      <c r="IP214" s="2867"/>
      <c r="IQ214" s="1568"/>
      <c r="IR214" s="2868"/>
      <c r="IS214" s="2015"/>
      <c r="IT214" s="2015"/>
      <c r="IU214" s="2869"/>
      <c r="IV214" s="2870"/>
      <c r="IW214" s="2858"/>
      <c r="IX214" s="2859"/>
      <c r="IY214" s="2859"/>
      <c r="IZ214" s="2859"/>
      <c r="JA214" s="2870"/>
      <c r="JB214" s="2871"/>
      <c r="JC214" s="1568"/>
      <c r="JD214" s="1568"/>
      <c r="JE214" s="2859"/>
      <c r="JF214" s="2870"/>
      <c r="JG214" s="2871"/>
      <c r="JH214" s="1568"/>
      <c r="JI214" s="1568"/>
      <c r="JJ214" s="358"/>
      <c r="JK214" s="158"/>
      <c r="JL214" s="1857"/>
      <c r="JM214" s="358"/>
      <c r="JN214" s="358"/>
      <c r="JO214" s="2861"/>
      <c r="JP214" s="2870"/>
      <c r="JQ214" s="2873"/>
      <c r="JR214" s="1025"/>
      <c r="JS214" s="265"/>
      <c r="JT214" s="2872"/>
      <c r="JU214" s="2870"/>
      <c r="JV214" s="2874"/>
      <c r="JW214" s="358"/>
      <c r="JX214" s="2872"/>
      <c r="JY214" s="2861"/>
      <c r="JZ214" s="2860"/>
      <c r="KA214" s="357"/>
      <c r="KB214" s="358"/>
      <c r="KC214" s="2872"/>
      <c r="KD214" s="2861"/>
      <c r="KE214" s="2870"/>
      <c r="KF214" s="2875"/>
      <c r="KG214" s="358"/>
      <c r="KH214" s="2872"/>
      <c r="KI214" s="2861"/>
      <c r="KJ214" s="2870"/>
      <c r="KK214" s="2875"/>
      <c r="KL214" s="358"/>
      <c r="KM214" s="2872"/>
      <c r="KN214" s="2861"/>
      <c r="KO214" s="2860"/>
      <c r="KP214" s="357"/>
      <c r="KQ214" s="358"/>
      <c r="KR214" s="2872"/>
      <c r="KS214" s="2861"/>
      <c r="KT214" s="2870"/>
      <c r="KU214" s="3814"/>
      <c r="KV214" s="2861"/>
      <c r="KW214" s="2861"/>
      <c r="KX214" s="2861">
        <f>KW214-KV214</f>
        <v>0</v>
      </c>
      <c r="KY214" s="2860"/>
      <c r="KZ214" s="357"/>
      <c r="LA214" s="358">
        <f t="shared" si="822"/>
        <v>0</v>
      </c>
      <c r="LB214" s="358">
        <f t="shared" si="822"/>
        <v>0</v>
      </c>
      <c r="LC214" s="358">
        <f t="shared" si="822"/>
        <v>0</v>
      </c>
      <c r="LD214" s="220"/>
      <c r="LE214" s="1854"/>
      <c r="LF214" s="1855"/>
      <c r="LG214" s="1855"/>
      <c r="LH214" s="1856"/>
      <c r="LI214" s="2866"/>
      <c r="LJ214" s="2863"/>
      <c r="LK214" s="2863"/>
      <c r="LL214" s="2864"/>
      <c r="LM214" s="1934"/>
      <c r="LN214" s="2878"/>
      <c r="LO214" s="2878"/>
      <c r="LP214" s="151"/>
      <c r="LQ214" s="2866"/>
      <c r="LR214" s="3813"/>
      <c r="LS214" s="3813"/>
      <c r="LT214" s="2867"/>
      <c r="LU214" s="1568"/>
      <c r="LV214" s="1567"/>
      <c r="LW214" s="2938"/>
      <c r="LX214" s="2938"/>
      <c r="LY214" s="1568"/>
      <c r="LZ214" s="2939"/>
      <c r="MA214" s="1567"/>
      <c r="MB214" s="2938"/>
      <c r="MC214" s="2938"/>
      <c r="MD214" s="1568"/>
      <c r="ME214" s="2939"/>
      <c r="MF214" s="1569"/>
      <c r="MG214" s="2938"/>
      <c r="MH214" s="2938"/>
      <c r="MI214" s="1568"/>
      <c r="MJ214" s="220"/>
      <c r="MK214" s="2940"/>
      <c r="ML214" s="2938"/>
      <c r="MM214" s="2938"/>
      <c r="MN214" s="1568"/>
      <c r="MO214" s="220"/>
      <c r="MP214" s="2940"/>
      <c r="MQ214" s="2938"/>
      <c r="MR214" s="2938"/>
      <c r="MS214" s="1568"/>
      <c r="MT214" s="220"/>
      <c r="MU214" s="1868"/>
      <c r="MV214" s="2941"/>
      <c r="MW214" s="2941"/>
      <c r="MX214" s="1575"/>
      <c r="MY214" s="2674"/>
      <c r="MZ214" s="1868"/>
      <c r="NA214" s="2941"/>
      <c r="NB214" s="2941"/>
      <c r="NC214" s="1575"/>
      <c r="ND214" s="2674"/>
      <c r="NE214" s="1868"/>
      <c r="NF214" s="2941"/>
      <c r="NG214" s="2941"/>
      <c r="NH214" s="1575"/>
      <c r="NI214" s="2674"/>
      <c r="NJ214" s="1868"/>
      <c r="NK214" s="2941"/>
      <c r="NL214" s="2941"/>
      <c r="NM214" s="1575"/>
      <c r="NN214" s="2674"/>
      <c r="NO214" s="1568"/>
      <c r="NP214" s="2938"/>
      <c r="NQ214" s="2938"/>
      <c r="NR214" s="1575"/>
      <c r="NS214" s="2674"/>
      <c r="NT214" s="1568"/>
      <c r="NU214" s="2938"/>
      <c r="NV214" s="2938"/>
      <c r="NW214" s="1568"/>
      <c r="NX214" s="2673"/>
      <c r="NY214" s="1868"/>
      <c r="NZ214" s="2941">
        <v>0</v>
      </c>
      <c r="OA214" s="2941">
        <v>0</v>
      </c>
      <c r="OB214" s="2001">
        <v>0</v>
      </c>
      <c r="OC214" s="116"/>
      <c r="OD214" s="190">
        <f t="shared" si="823"/>
        <v>0</v>
      </c>
      <c r="OE214" s="358">
        <f t="shared" si="824"/>
        <v>0</v>
      </c>
      <c r="OF214" s="358">
        <f t="shared" si="824"/>
        <v>0</v>
      </c>
      <c r="OG214" s="358">
        <f t="shared" si="824"/>
        <v>0</v>
      </c>
      <c r="OH214" s="2673"/>
      <c r="OI214" s="3802">
        <f>(LV214+MA214+MF214)/3</f>
        <v>0</v>
      </c>
      <c r="OJ214" s="96">
        <f t="shared" si="825"/>
        <v>0</v>
      </c>
      <c r="OK214" s="96">
        <f t="shared" si="825"/>
        <v>0</v>
      </c>
      <c r="OL214" s="96">
        <f t="shared" si="825"/>
        <v>0</v>
      </c>
      <c r="OM214" s="114"/>
      <c r="ON214" s="358">
        <f>(MK214+MP214+MU214)/3</f>
        <v>0</v>
      </c>
      <c r="OO214" s="358">
        <f t="shared" si="826"/>
        <v>0</v>
      </c>
      <c r="OP214" s="358">
        <f t="shared" si="826"/>
        <v>0</v>
      </c>
      <c r="OQ214" s="359">
        <f t="shared" si="826"/>
        <v>0</v>
      </c>
      <c r="OR214" s="169"/>
      <c r="OS214" s="607">
        <f t="shared" si="827"/>
        <v>0</v>
      </c>
      <c r="OT214" s="137">
        <f t="shared" si="827"/>
        <v>0</v>
      </c>
      <c r="OU214" s="137">
        <f t="shared" si="827"/>
        <v>0</v>
      </c>
      <c r="OV214" s="3803">
        <f t="shared" si="827"/>
        <v>0</v>
      </c>
      <c r="OW214" s="169"/>
      <c r="OX214" s="357">
        <f t="shared" si="828"/>
        <v>0</v>
      </c>
      <c r="OY214" s="358">
        <f t="shared" si="829"/>
        <v>0</v>
      </c>
      <c r="OZ214" s="358">
        <f t="shared" si="829"/>
        <v>0</v>
      </c>
      <c r="PA214" s="359">
        <f t="shared" si="829"/>
        <v>0</v>
      </c>
      <c r="PB214" s="114"/>
      <c r="PC214" s="137"/>
      <c r="PD214" s="1567"/>
      <c r="PE214" s="2938">
        <v>0</v>
      </c>
      <c r="PF214" s="2938">
        <v>0</v>
      </c>
      <c r="PG214" s="1568"/>
      <c r="PH214" s="353"/>
      <c r="PI214" s="1567"/>
      <c r="PJ214" s="2938"/>
      <c r="PK214" s="2938"/>
      <c r="PL214" s="1568"/>
      <c r="PM214" s="2939"/>
      <c r="PN214" s="1569"/>
      <c r="PO214" s="2938"/>
      <c r="PP214" s="2938"/>
      <c r="PQ214" s="1568"/>
      <c r="PR214" s="220"/>
      <c r="PS214" s="2940"/>
      <c r="PT214" s="2938"/>
      <c r="PU214" s="2938"/>
      <c r="PV214" s="1568"/>
      <c r="PW214" s="220"/>
      <c r="PX214" s="2942"/>
      <c r="PY214" s="2943"/>
      <c r="PZ214" s="2943"/>
      <c r="QA214" s="358"/>
      <c r="QB214" s="151"/>
      <c r="QC214" s="1868"/>
      <c r="QD214" s="2941"/>
      <c r="QE214" s="2941"/>
      <c r="QF214" s="1575">
        <f t="shared" si="830"/>
        <v>0</v>
      </c>
      <c r="QG214" s="2674"/>
      <c r="QH214" s="405"/>
      <c r="QI214" s="2941"/>
      <c r="QJ214" s="2941"/>
      <c r="QK214" s="1575"/>
      <c r="QL214" s="2674"/>
      <c r="QM214" s="405"/>
      <c r="QN214" s="2941"/>
      <c r="QO214" s="2941"/>
      <c r="QP214" s="1575"/>
      <c r="QQ214" s="2674"/>
      <c r="QR214" s="1868"/>
      <c r="QS214" s="2941"/>
      <c r="QT214" s="2941"/>
      <c r="QU214" s="1575"/>
      <c r="QV214" s="2944"/>
      <c r="QW214" s="1568"/>
      <c r="QX214" s="2938"/>
      <c r="QY214" s="2938"/>
      <c r="QZ214" s="1575"/>
      <c r="RA214" s="2674"/>
      <c r="RB214" s="1568"/>
      <c r="RC214" s="2938"/>
      <c r="RD214" s="2938"/>
      <c r="RE214" s="1568"/>
      <c r="RF214" s="2673"/>
      <c r="RG214" s="1567"/>
      <c r="RH214" s="2938"/>
      <c r="RI214" s="2938"/>
      <c r="RJ214" s="2001">
        <v>0</v>
      </c>
      <c r="RK214" s="801"/>
      <c r="RL214" s="3718">
        <f t="shared" si="831"/>
        <v>0</v>
      </c>
      <c r="RM214" s="1568">
        <f t="shared" si="832"/>
        <v>0</v>
      </c>
      <c r="RN214" s="1568">
        <f t="shared" si="832"/>
        <v>0</v>
      </c>
      <c r="RO214" s="1568">
        <f t="shared" si="832"/>
        <v>0</v>
      </c>
      <c r="RP214" s="2673"/>
      <c r="RQ214" s="3802">
        <f t="shared" si="833"/>
        <v>0</v>
      </c>
      <c r="RR214" s="96">
        <f t="shared" si="834"/>
        <v>0</v>
      </c>
      <c r="RS214" s="96">
        <f t="shared" si="834"/>
        <v>0</v>
      </c>
      <c r="RT214" s="96">
        <f t="shared" si="834"/>
        <v>0</v>
      </c>
      <c r="RU214" s="114"/>
      <c r="RV214" s="358">
        <f>(PS214+PX214+QC214)/3</f>
        <v>0</v>
      </c>
      <c r="RW214" s="358">
        <f t="shared" si="835"/>
        <v>0</v>
      </c>
      <c r="RX214" s="358">
        <f t="shared" si="835"/>
        <v>0</v>
      </c>
      <c r="RY214" s="359">
        <f t="shared" si="835"/>
        <v>0</v>
      </c>
      <c r="RZ214" s="169"/>
      <c r="SA214" s="607">
        <f t="shared" ref="SA214:SA226" si="847">(QR214+QM214+QH214)/3</f>
        <v>0</v>
      </c>
      <c r="SB214" s="137">
        <f t="shared" ref="SB214:SD227" si="848">QS214+QN214+QI214</f>
        <v>0</v>
      </c>
      <c r="SC214" s="137">
        <f t="shared" si="848"/>
        <v>0</v>
      </c>
      <c r="SD214" s="3803">
        <f t="shared" si="848"/>
        <v>0</v>
      </c>
      <c r="SE214" s="978">
        <v>0</v>
      </c>
      <c r="SF214" s="190">
        <f t="shared" si="836"/>
        <v>0</v>
      </c>
      <c r="SG214" s="358">
        <f t="shared" ref="SG214:SI228" si="849">QX214+RC214+RH214</f>
        <v>0</v>
      </c>
      <c r="SH214" s="358">
        <f t="shared" si="849"/>
        <v>0</v>
      </c>
      <c r="SI214" s="359">
        <f t="shared" si="849"/>
        <v>0</v>
      </c>
      <c r="SJ214" s="2155">
        <v>0</v>
      </c>
      <c r="SK214" s="1568"/>
      <c r="SL214" s="1567"/>
      <c r="SM214" s="2938">
        <v>0</v>
      </c>
      <c r="SN214" s="2938">
        <v>0</v>
      </c>
      <c r="SO214" s="3534">
        <f t="shared" si="837"/>
        <v>0</v>
      </c>
      <c r="SP214" s="3525">
        <v>0</v>
      </c>
      <c r="SQ214" s="1567"/>
      <c r="SR214" s="2938">
        <v>0</v>
      </c>
      <c r="SS214" s="2938">
        <v>0</v>
      </c>
      <c r="ST214" s="1568">
        <v>0</v>
      </c>
      <c r="SU214" s="2939"/>
      <c r="SV214" s="1858"/>
      <c r="SW214" s="2943"/>
      <c r="SX214" s="2943"/>
      <c r="SY214" s="358"/>
      <c r="SZ214" s="151"/>
      <c r="TA214" s="2942"/>
      <c r="TB214" s="2943"/>
      <c r="TC214" s="2943"/>
      <c r="TD214" s="358">
        <v>0</v>
      </c>
      <c r="TE214" s="151"/>
      <c r="TF214" s="2942"/>
      <c r="TG214" s="2943"/>
      <c r="TH214" s="2943"/>
      <c r="TI214" s="358">
        <v>0</v>
      </c>
      <c r="TJ214" s="151"/>
      <c r="TK214" s="1868"/>
      <c r="TL214" s="2941"/>
      <c r="TM214" s="2941"/>
      <c r="TN214" s="1575">
        <f t="shared" si="838"/>
        <v>0</v>
      </c>
      <c r="TO214" s="2674"/>
      <c r="TP214" s="4506"/>
      <c r="TQ214" s="2941"/>
      <c r="TR214" s="2941"/>
      <c r="TS214" s="1575"/>
      <c r="TT214" s="2674"/>
      <c r="TU214" s="4506"/>
      <c r="TV214" s="2941"/>
      <c r="TW214" s="2941"/>
      <c r="TX214" s="1575"/>
      <c r="TY214" s="2674"/>
      <c r="TZ214" s="1868"/>
      <c r="UA214" s="2941"/>
      <c r="UB214" s="2941"/>
      <c r="UC214" s="1575"/>
      <c r="UD214" s="2944"/>
      <c r="UE214" s="1568"/>
      <c r="UF214" s="2938"/>
      <c r="UG214" s="2938"/>
      <c r="UH214" s="1575"/>
      <c r="UI214" s="2674"/>
      <c r="UJ214" s="1568"/>
      <c r="UK214" s="2938"/>
      <c r="UL214" s="2938"/>
      <c r="UM214" s="1568"/>
      <c r="UN214" s="2673"/>
      <c r="UO214" s="1567"/>
      <c r="UP214" s="2938"/>
      <c r="UQ214" s="2938"/>
      <c r="UR214" s="2001">
        <v>0</v>
      </c>
      <c r="US214" s="655"/>
      <c r="UT214" s="190">
        <f t="shared" si="839"/>
        <v>0</v>
      </c>
      <c r="UU214" s="358">
        <f t="shared" ref="UU214:UW227" si="850">UP214+UK214+UF214+UA214+TV214+TQ214+TL214+TG214+TB214+SW214+SR214+SM214</f>
        <v>0</v>
      </c>
      <c r="UV214" s="358">
        <f t="shared" si="850"/>
        <v>0</v>
      </c>
      <c r="UW214" s="358">
        <f t="shared" si="850"/>
        <v>0</v>
      </c>
      <c r="UX214" s="2281">
        <v>0</v>
      </c>
      <c r="UY214" s="1863">
        <f t="shared" si="840"/>
        <v>0</v>
      </c>
      <c r="UZ214" s="105">
        <f t="shared" si="841"/>
        <v>0</v>
      </c>
      <c r="VA214" s="105">
        <f t="shared" si="841"/>
        <v>0</v>
      </c>
      <c r="VB214" s="105">
        <f t="shared" si="841"/>
        <v>0</v>
      </c>
      <c r="VC214" s="106"/>
      <c r="VD214" s="358">
        <f>(TA214+TF214+TK214)/3</f>
        <v>0</v>
      </c>
      <c r="VE214" s="358">
        <f t="shared" si="842"/>
        <v>0</v>
      </c>
      <c r="VF214" s="358">
        <f t="shared" si="842"/>
        <v>0</v>
      </c>
      <c r="VG214" s="359">
        <f t="shared" si="842"/>
        <v>0</v>
      </c>
      <c r="VH214" s="169"/>
      <c r="VI214" s="686">
        <f t="shared" si="843"/>
        <v>0</v>
      </c>
      <c r="VJ214" s="146">
        <f t="shared" si="844"/>
        <v>0</v>
      </c>
      <c r="VK214" s="146">
        <f t="shared" si="844"/>
        <v>0</v>
      </c>
      <c r="VL214" s="1864">
        <f t="shared" si="844"/>
        <v>0</v>
      </c>
      <c r="VM214" s="1059">
        <v>0</v>
      </c>
      <c r="VN214" s="190">
        <f t="shared" si="845"/>
        <v>0</v>
      </c>
      <c r="VO214" s="358">
        <f t="shared" si="846"/>
        <v>0</v>
      </c>
      <c r="VP214" s="358">
        <f t="shared" si="846"/>
        <v>0</v>
      </c>
      <c r="VQ214" s="359">
        <f t="shared" si="846"/>
        <v>0</v>
      </c>
      <c r="VR214" s="2155">
        <v>0</v>
      </c>
    </row>
    <row r="215" spans="1:745" s="1193" customFormat="1" ht="13.6" hidden="1" customHeight="1" x14ac:dyDescent="0.3">
      <c r="A215" s="1297"/>
      <c r="B215" s="113" t="s">
        <v>124</v>
      </c>
      <c r="C215" s="2843" t="s">
        <v>871</v>
      </c>
      <c r="D215" s="4067" t="s">
        <v>872</v>
      </c>
      <c r="E215" s="384"/>
      <c r="F215" s="384"/>
      <c r="G215" s="2161">
        <v>10000000</v>
      </c>
      <c r="H215" s="2845"/>
      <c r="I215" s="2846"/>
      <c r="J215" s="2846"/>
      <c r="K215" s="2846"/>
      <c r="L215" s="2847"/>
      <c r="M215" s="2845"/>
      <c r="N215" s="2846"/>
      <c r="O215" s="2846"/>
      <c r="P215" s="2846"/>
      <c r="Q215" s="2847"/>
      <c r="R215" s="2845"/>
      <c r="S215" s="2846"/>
      <c r="T215" s="2846"/>
      <c r="U215" s="2846"/>
      <c r="V215" s="2847"/>
      <c r="W215" s="2845"/>
      <c r="X215" s="2846"/>
      <c r="Y215" s="2846"/>
      <c r="Z215" s="2846"/>
      <c r="AA215" s="2848"/>
      <c r="AB215" s="2845"/>
      <c r="AC215" s="2846"/>
      <c r="AD215" s="2846"/>
      <c r="AE215" s="2846"/>
      <c r="AF215" s="2848"/>
      <c r="AG215" s="2846"/>
      <c r="AH215" s="2846"/>
      <c r="AI215" s="2846"/>
      <c r="AJ215" s="2846"/>
      <c r="AK215" s="2847"/>
      <c r="AL215" s="2846"/>
      <c r="AM215" s="2846"/>
      <c r="AN215" s="2846"/>
      <c r="AO215" s="2846"/>
      <c r="AP215" s="2847"/>
      <c r="AQ215" s="2846"/>
      <c r="AR215" s="2846"/>
      <c r="AS215" s="2846"/>
      <c r="AT215" s="2846"/>
      <c r="AU215" s="2847"/>
      <c r="AV215" s="2849"/>
      <c r="AW215" s="2846"/>
      <c r="AX215" s="2846"/>
      <c r="AY215" s="2846"/>
      <c r="AZ215" s="2848"/>
      <c r="BA215" s="2849"/>
      <c r="BB215" s="2846"/>
      <c r="BC215" s="2846"/>
      <c r="BD215" s="2846"/>
      <c r="BE215" s="2848"/>
      <c r="BF215" s="2849"/>
      <c r="BG215" s="2846"/>
      <c r="BH215" s="2846"/>
      <c r="BI215" s="2846"/>
      <c r="BJ215" s="2848"/>
      <c r="BK215" s="2849"/>
      <c r="BL215" s="2846"/>
      <c r="BM215" s="2846"/>
      <c r="BN215" s="2846"/>
      <c r="BO215" s="2848"/>
      <c r="BP215" s="2850"/>
      <c r="BQ215" s="2846"/>
      <c r="BR215" s="2846"/>
      <c r="BS215" s="2846"/>
      <c r="BT215" s="2851"/>
      <c r="BU215" s="2846"/>
      <c r="BV215" s="2846"/>
      <c r="BW215" s="2852"/>
      <c r="BX215" s="2851"/>
      <c r="BY215" s="2846"/>
      <c r="BZ215" s="2846"/>
      <c r="CA215" s="2853"/>
      <c r="CB215" s="2846"/>
      <c r="CC215" s="2846"/>
      <c r="CD215" s="2846"/>
      <c r="CE215" s="2846"/>
      <c r="CF215" s="2851"/>
      <c r="CG215" s="2846"/>
      <c r="CH215" s="2846"/>
      <c r="CI215" s="2853"/>
      <c r="CJ215" s="2854"/>
      <c r="CK215" s="2846"/>
      <c r="CL215" s="2846"/>
      <c r="CM215" s="2846"/>
      <c r="CN215" s="2852"/>
      <c r="CO215" s="2854"/>
      <c r="CP215" s="2845"/>
      <c r="CQ215" s="2845"/>
      <c r="CR215" s="2845"/>
      <c r="CS215" s="2852"/>
      <c r="CT215" s="2854"/>
      <c r="CU215" s="2846"/>
      <c r="CV215" s="2846"/>
      <c r="CW215" s="2846"/>
      <c r="CX215" s="2852"/>
      <c r="CY215" s="2854"/>
      <c r="CZ215" s="2846"/>
      <c r="DA215" s="2846"/>
      <c r="DB215" s="2846"/>
      <c r="DC215" s="2852"/>
      <c r="DD215" s="2854"/>
      <c r="DE215" s="2846"/>
      <c r="DF215" s="2846"/>
      <c r="DG215" s="2846"/>
      <c r="DH215" s="2855"/>
      <c r="DI215" s="2854"/>
      <c r="DJ215" s="2846"/>
      <c r="DK215" s="2846"/>
      <c r="DL215" s="2846"/>
      <c r="DM215" s="2855"/>
      <c r="DN215" s="2854"/>
      <c r="DO215" s="2846"/>
      <c r="DP215" s="2846"/>
      <c r="DQ215" s="2846"/>
      <c r="DR215" s="2855"/>
      <c r="DS215" s="2854"/>
      <c r="DT215" s="2846"/>
      <c r="DU215" s="2846"/>
      <c r="DV215" s="2846"/>
      <c r="DW215" s="2855"/>
      <c r="DX215" s="2854"/>
      <c r="DY215" s="2846"/>
      <c r="DZ215" s="2846"/>
      <c r="EA215" s="2846"/>
      <c r="EB215" s="2855"/>
      <c r="EC215" s="2854"/>
      <c r="ED215" s="2846"/>
      <c r="EE215" s="2846"/>
      <c r="EF215" s="2846"/>
      <c r="EG215" s="2855"/>
      <c r="EH215" s="1567"/>
      <c r="EI215" s="1568"/>
      <c r="EJ215" s="1568"/>
      <c r="EK215" s="1568"/>
      <c r="EL215" s="353"/>
      <c r="EM215" s="1857"/>
      <c r="EN215" s="358"/>
      <c r="EO215" s="358"/>
      <c r="EP215" s="358"/>
      <c r="EQ215" s="94"/>
      <c r="ER215" s="2856"/>
      <c r="ES215" s="2857"/>
      <c r="ET215" s="2857"/>
      <c r="EU215" s="2857"/>
      <c r="EV215" s="1867"/>
      <c r="EW215" s="1569"/>
      <c r="EX215" s="1569"/>
      <c r="EY215" s="1569"/>
      <c r="EZ215" s="210"/>
      <c r="FA215" s="1567"/>
      <c r="FB215" s="1569"/>
      <c r="FC215" s="1569"/>
      <c r="FD215" s="220"/>
      <c r="FE215" s="1569"/>
      <c r="FF215" s="1569"/>
      <c r="FG215" s="1569"/>
      <c r="FH215" s="210"/>
      <c r="FI215" s="580"/>
      <c r="FJ215" s="579"/>
      <c r="FK215" s="137"/>
      <c r="FL215" s="137"/>
      <c r="FM215" s="151"/>
      <c r="FN215" s="1569"/>
      <c r="FO215" s="1568"/>
      <c r="FP215" s="1568"/>
      <c r="FQ215" s="1568"/>
      <c r="FR215" s="408"/>
      <c r="FS215" s="2858"/>
      <c r="FT215" s="2859"/>
      <c r="FU215" s="2859"/>
      <c r="FV215" s="2859"/>
      <c r="FW215" s="2860"/>
      <c r="FX215" s="1567"/>
      <c r="FY215" s="1568"/>
      <c r="FZ215" s="1568"/>
      <c r="GA215" s="2859"/>
      <c r="GB215" s="2860"/>
      <c r="GC215" s="1567"/>
      <c r="GD215" s="1568"/>
      <c r="GE215" s="1568"/>
      <c r="GF215" s="358"/>
      <c r="GG215" s="94"/>
      <c r="GH215" s="1857"/>
      <c r="GI215" s="358"/>
      <c r="GJ215" s="358"/>
      <c r="GK215" s="2861"/>
      <c r="GL215" s="2860"/>
      <c r="GM215" s="1857"/>
      <c r="GN215" s="358"/>
      <c r="GO215" s="358"/>
      <c r="GP215" s="2861"/>
      <c r="GQ215" s="2860"/>
      <c r="GR215" s="358"/>
      <c r="GS215" s="358"/>
      <c r="GT215" s="358"/>
      <c r="GU215" s="2861"/>
      <c r="GV215" s="2860"/>
      <c r="GW215" s="358"/>
      <c r="GX215" s="358"/>
      <c r="GY215" s="358"/>
      <c r="GZ215" s="2861"/>
      <c r="HA215" s="2860"/>
      <c r="HB215" s="358"/>
      <c r="HC215" s="358"/>
      <c r="HD215" s="358"/>
      <c r="HE215" s="2861"/>
      <c r="HF215" s="2860"/>
      <c r="HG215" s="358"/>
      <c r="HH215" s="358"/>
      <c r="HI215" s="358"/>
      <c r="HJ215" s="2861"/>
      <c r="HK215" s="2860"/>
      <c r="HL215" s="358"/>
      <c r="HM215" s="358"/>
      <c r="HN215" s="358"/>
      <c r="HO215" s="2861"/>
      <c r="HP215" s="2860"/>
      <c r="HQ215" s="2861"/>
      <c r="HR215" s="2861"/>
      <c r="HS215" s="2861"/>
      <c r="HT215" s="2861"/>
      <c r="HU215" s="2870"/>
      <c r="HV215" s="3812"/>
      <c r="HW215" s="208"/>
      <c r="HX215" s="208"/>
      <c r="HY215" s="208"/>
      <c r="HZ215" s="2737"/>
      <c r="IA215" s="1934"/>
      <c r="IB215" s="1855"/>
      <c r="IC215" s="1855"/>
      <c r="ID215" s="1856"/>
      <c r="IE215" s="2863"/>
      <c r="IF215" s="2863"/>
      <c r="IG215" s="2863"/>
      <c r="IH215" s="2864"/>
      <c r="II215" s="2865"/>
      <c r="IJ215" s="3813"/>
      <c r="IK215" s="3813"/>
      <c r="IL215" s="2864"/>
      <c r="IM215" s="2866"/>
      <c r="IN215" s="3813"/>
      <c r="IO215" s="3813"/>
      <c r="IP215" s="2867"/>
      <c r="IQ215" s="1568"/>
      <c r="IR215" s="2868"/>
      <c r="IS215" s="2015"/>
      <c r="IT215" s="2015"/>
      <c r="IU215" s="2869"/>
      <c r="IV215" s="2870"/>
      <c r="IW215" s="2858"/>
      <c r="IX215" s="2859">
        <v>472500</v>
      </c>
      <c r="IY215" s="2859">
        <v>498488</v>
      </c>
      <c r="IZ215" s="2859">
        <v>25988</v>
      </c>
      <c r="JA215" s="2870">
        <v>5.2133652164144374E-2</v>
      </c>
      <c r="JB215" s="2871"/>
      <c r="JC215" s="1568"/>
      <c r="JD215" s="1568"/>
      <c r="JE215" s="2859"/>
      <c r="JF215" s="2870"/>
      <c r="JG215" s="2871"/>
      <c r="JH215" s="1568"/>
      <c r="JI215" s="1568"/>
      <c r="JJ215" s="358"/>
      <c r="JK215" s="158"/>
      <c r="JL215" s="1857"/>
      <c r="JM215" s="358"/>
      <c r="JN215" s="358"/>
      <c r="JO215" s="2861"/>
      <c r="JP215" s="2870"/>
      <c r="JQ215" s="2873"/>
      <c r="JR215" s="1025"/>
      <c r="JS215" s="265"/>
      <c r="JT215" s="2872"/>
      <c r="JU215" s="2870"/>
      <c r="JV215" s="2874"/>
      <c r="JW215" s="358"/>
      <c r="JX215" s="2872"/>
      <c r="JY215" s="2861"/>
      <c r="JZ215" s="2860"/>
      <c r="KA215" s="357"/>
      <c r="KB215" s="358"/>
      <c r="KC215" s="2872"/>
      <c r="KD215" s="2861"/>
      <c r="KE215" s="2870"/>
      <c r="KF215" s="2875"/>
      <c r="KG215" s="358"/>
      <c r="KH215" s="2872"/>
      <c r="KI215" s="2861"/>
      <c r="KJ215" s="2870"/>
      <c r="KK215" s="2875"/>
      <c r="KL215" s="358"/>
      <c r="KM215" s="2872"/>
      <c r="KN215" s="2861"/>
      <c r="KO215" s="2860"/>
      <c r="KP215" s="357"/>
      <c r="KQ215" s="358"/>
      <c r="KR215" s="2872"/>
      <c r="KS215" s="2861"/>
      <c r="KT215" s="2870"/>
      <c r="KU215" s="3814"/>
      <c r="KV215" s="2861"/>
      <c r="KW215" s="2861"/>
      <c r="KX215" s="2861">
        <f>KW215-KV215</f>
        <v>0</v>
      </c>
      <c r="KY215" s="2860"/>
      <c r="KZ215" s="357"/>
      <c r="LA215" s="358">
        <f t="shared" si="822"/>
        <v>472500</v>
      </c>
      <c r="LB215" s="358">
        <f t="shared" si="822"/>
        <v>498488</v>
      </c>
      <c r="LC215" s="358">
        <f t="shared" si="822"/>
        <v>25988</v>
      </c>
      <c r="LD215" s="220"/>
      <c r="LE215" s="1854"/>
      <c r="LF215" s="1855"/>
      <c r="LG215" s="1855"/>
      <c r="LH215" s="1856"/>
      <c r="LI215" s="2866"/>
      <c r="LJ215" s="2863"/>
      <c r="LK215" s="2863"/>
      <c r="LL215" s="2864"/>
      <c r="LM215" s="1934"/>
      <c r="LN215" s="2878"/>
      <c r="LO215" s="2878"/>
      <c r="LP215" s="151"/>
      <c r="LQ215" s="2866"/>
      <c r="LR215" s="3813"/>
      <c r="LS215" s="3813"/>
      <c r="LT215" s="2867"/>
      <c r="LU215" s="1568"/>
      <c r="LV215" s="1567"/>
      <c r="LW215" s="2938"/>
      <c r="LX215" s="2938"/>
      <c r="LY215" s="1568"/>
      <c r="LZ215" s="2939"/>
      <c r="MA215" s="1567"/>
      <c r="MB215" s="2938"/>
      <c r="MC215" s="2938"/>
      <c r="MD215" s="1568"/>
      <c r="ME215" s="2939"/>
      <c r="MF215" s="1569"/>
      <c r="MG215" s="2938"/>
      <c r="MH215" s="2938"/>
      <c r="MI215" s="1568"/>
      <c r="MJ215" s="220"/>
      <c r="MK215" s="2940"/>
      <c r="ML215" s="2938"/>
      <c r="MM215" s="2938"/>
      <c r="MN215" s="1568"/>
      <c r="MO215" s="220"/>
      <c r="MP215" s="2940"/>
      <c r="MQ215" s="2938"/>
      <c r="MR215" s="2938"/>
      <c r="MS215" s="1568"/>
      <c r="MT215" s="220"/>
      <c r="MU215" s="1868"/>
      <c r="MV215" s="2941"/>
      <c r="MW215" s="2941"/>
      <c r="MX215" s="1575"/>
      <c r="MY215" s="2674"/>
      <c r="MZ215" s="1868"/>
      <c r="NA215" s="2941"/>
      <c r="NB215" s="2941"/>
      <c r="NC215" s="1575"/>
      <c r="ND215" s="2674"/>
      <c r="NE215" s="1868"/>
      <c r="NF215" s="2941"/>
      <c r="NG215" s="2941"/>
      <c r="NH215" s="1575"/>
      <c r="NI215" s="2674"/>
      <c r="NJ215" s="1868"/>
      <c r="NK215" s="2941"/>
      <c r="NL215" s="2941"/>
      <c r="NM215" s="1575"/>
      <c r="NN215" s="2674"/>
      <c r="NO215" s="1568"/>
      <c r="NP215" s="2938"/>
      <c r="NQ215" s="2938"/>
      <c r="NR215" s="1575"/>
      <c r="NS215" s="2674"/>
      <c r="NT215" s="1568"/>
      <c r="NU215" s="2938"/>
      <c r="NV215" s="2938"/>
      <c r="NW215" s="1568"/>
      <c r="NX215" s="2673"/>
      <c r="NY215" s="1868"/>
      <c r="NZ215" s="2941">
        <v>0</v>
      </c>
      <c r="OA215" s="2941">
        <v>0</v>
      </c>
      <c r="OB215" s="2001">
        <v>0</v>
      </c>
      <c r="OC215" s="116"/>
      <c r="OD215" s="190">
        <f t="shared" si="823"/>
        <v>0</v>
      </c>
      <c r="OE215" s="358">
        <f t="shared" si="824"/>
        <v>0</v>
      </c>
      <c r="OF215" s="358">
        <f t="shared" si="824"/>
        <v>0</v>
      </c>
      <c r="OG215" s="358">
        <f t="shared" si="824"/>
        <v>0</v>
      </c>
      <c r="OH215" s="2673"/>
      <c r="OI215" s="3802">
        <f>(LV215+MA215+MF215)/3</f>
        <v>0</v>
      </c>
      <c r="OJ215" s="96">
        <f t="shared" si="825"/>
        <v>0</v>
      </c>
      <c r="OK215" s="96">
        <f t="shared" si="825"/>
        <v>0</v>
      </c>
      <c r="OL215" s="96">
        <f t="shared" si="825"/>
        <v>0</v>
      </c>
      <c r="OM215" s="114"/>
      <c r="ON215" s="358">
        <f>(MK215+MP215+MU215)/3</f>
        <v>0</v>
      </c>
      <c r="OO215" s="358">
        <f t="shared" si="826"/>
        <v>0</v>
      </c>
      <c r="OP215" s="358">
        <f t="shared" si="826"/>
        <v>0</v>
      </c>
      <c r="OQ215" s="359">
        <f t="shared" si="826"/>
        <v>0</v>
      </c>
      <c r="OR215" s="169"/>
      <c r="OS215" s="607">
        <f t="shared" si="827"/>
        <v>0</v>
      </c>
      <c r="OT215" s="137">
        <f t="shared" si="827"/>
        <v>0</v>
      </c>
      <c r="OU215" s="137">
        <f t="shared" si="827"/>
        <v>0</v>
      </c>
      <c r="OV215" s="3803">
        <f t="shared" si="827"/>
        <v>0</v>
      </c>
      <c r="OW215" s="169"/>
      <c r="OX215" s="357">
        <f t="shared" si="828"/>
        <v>0</v>
      </c>
      <c r="OY215" s="358">
        <f t="shared" si="829"/>
        <v>0</v>
      </c>
      <c r="OZ215" s="358">
        <f t="shared" si="829"/>
        <v>0</v>
      </c>
      <c r="PA215" s="359">
        <f t="shared" si="829"/>
        <v>0</v>
      </c>
      <c r="PB215" s="114"/>
      <c r="PC215" s="137"/>
      <c r="PD215" s="1567"/>
      <c r="PE215" s="2938">
        <v>0</v>
      </c>
      <c r="PF215" s="2938">
        <v>0</v>
      </c>
      <c r="PG215" s="1568"/>
      <c r="PH215" s="353"/>
      <c r="PI215" s="1567"/>
      <c r="PJ215" s="2938"/>
      <c r="PK215" s="2938"/>
      <c r="PL215" s="1568"/>
      <c r="PM215" s="2939"/>
      <c r="PN215" s="1569"/>
      <c r="PO215" s="2938"/>
      <c r="PP215" s="2938"/>
      <c r="PQ215" s="1568"/>
      <c r="PR215" s="220"/>
      <c r="PS215" s="2940"/>
      <c r="PT215" s="2938"/>
      <c r="PU215" s="2938"/>
      <c r="PV215" s="1568"/>
      <c r="PW215" s="220"/>
      <c r="PX215" s="2942"/>
      <c r="PY215" s="2943"/>
      <c r="PZ215" s="2943"/>
      <c r="QA215" s="358"/>
      <c r="QB215" s="151"/>
      <c r="QC215" s="1868"/>
      <c r="QD215" s="2941"/>
      <c r="QE215" s="2941"/>
      <c r="QF215" s="1575">
        <f t="shared" si="830"/>
        <v>0</v>
      </c>
      <c r="QG215" s="2674"/>
      <c r="QH215" s="405"/>
      <c r="QI215" s="2941"/>
      <c r="QJ215" s="2941"/>
      <c r="QK215" s="1575"/>
      <c r="QL215" s="2674"/>
      <c r="QM215" s="405"/>
      <c r="QN215" s="2941"/>
      <c r="QO215" s="2941"/>
      <c r="QP215" s="1575"/>
      <c r="QQ215" s="2674"/>
      <c r="QR215" s="1868"/>
      <c r="QS215" s="2941"/>
      <c r="QT215" s="2941"/>
      <c r="QU215" s="1575"/>
      <c r="QV215" s="2944"/>
      <c r="QW215" s="1568"/>
      <c r="QX215" s="2938"/>
      <c r="QY215" s="2938"/>
      <c r="QZ215" s="1575"/>
      <c r="RA215" s="2674"/>
      <c r="RB215" s="1568"/>
      <c r="RC215" s="2938"/>
      <c r="RD215" s="2938"/>
      <c r="RE215" s="1568"/>
      <c r="RF215" s="2673"/>
      <c r="RG215" s="1567"/>
      <c r="RH215" s="2938"/>
      <c r="RI215" s="2938"/>
      <c r="RJ215" s="2001">
        <v>0</v>
      </c>
      <c r="RK215" s="801"/>
      <c r="RL215" s="3718">
        <f t="shared" si="831"/>
        <v>0</v>
      </c>
      <c r="RM215" s="1568">
        <f t="shared" si="832"/>
        <v>0</v>
      </c>
      <c r="RN215" s="1568">
        <f t="shared" si="832"/>
        <v>0</v>
      </c>
      <c r="RO215" s="1568">
        <f t="shared" si="832"/>
        <v>0</v>
      </c>
      <c r="RP215" s="2673"/>
      <c r="RQ215" s="3802">
        <f t="shared" si="833"/>
        <v>0</v>
      </c>
      <c r="RR215" s="96">
        <f t="shared" si="834"/>
        <v>0</v>
      </c>
      <c r="RS215" s="96">
        <f t="shared" si="834"/>
        <v>0</v>
      </c>
      <c r="RT215" s="96">
        <f t="shared" si="834"/>
        <v>0</v>
      </c>
      <c r="RU215" s="114"/>
      <c r="RV215" s="358">
        <f>(PS215+PX215+QC215)/3</f>
        <v>0</v>
      </c>
      <c r="RW215" s="358">
        <f t="shared" si="835"/>
        <v>0</v>
      </c>
      <c r="RX215" s="358">
        <f t="shared" si="835"/>
        <v>0</v>
      </c>
      <c r="RY215" s="359">
        <f t="shared" si="835"/>
        <v>0</v>
      </c>
      <c r="RZ215" s="169"/>
      <c r="SA215" s="607">
        <f t="shared" si="847"/>
        <v>0</v>
      </c>
      <c r="SB215" s="137">
        <f t="shared" si="848"/>
        <v>0</v>
      </c>
      <c r="SC215" s="137">
        <f t="shared" si="848"/>
        <v>0</v>
      </c>
      <c r="SD215" s="3803">
        <f t="shared" si="848"/>
        <v>0</v>
      </c>
      <c r="SE215" s="978">
        <v>0</v>
      </c>
      <c r="SF215" s="190">
        <f t="shared" si="836"/>
        <v>0</v>
      </c>
      <c r="SG215" s="358">
        <f t="shared" si="849"/>
        <v>0</v>
      </c>
      <c r="SH215" s="358">
        <f t="shared" si="849"/>
        <v>0</v>
      </c>
      <c r="SI215" s="359">
        <f t="shared" si="849"/>
        <v>0</v>
      </c>
      <c r="SJ215" s="2155">
        <v>0</v>
      </c>
      <c r="SK215" s="1568"/>
      <c r="SL215" s="1567"/>
      <c r="SM215" s="2938">
        <v>0</v>
      </c>
      <c r="SN215" s="2938">
        <v>0</v>
      </c>
      <c r="SO215" s="3534">
        <f t="shared" si="837"/>
        <v>0</v>
      </c>
      <c r="SP215" s="3525">
        <v>0</v>
      </c>
      <c r="SQ215" s="1567"/>
      <c r="SR215" s="2938">
        <v>0</v>
      </c>
      <c r="SS215" s="2938">
        <v>0</v>
      </c>
      <c r="ST215" s="1568">
        <v>0</v>
      </c>
      <c r="SU215" s="2939"/>
      <c r="SV215" s="1858"/>
      <c r="SW215" s="2943"/>
      <c r="SX215" s="2943"/>
      <c r="SY215" s="358"/>
      <c r="SZ215" s="151"/>
      <c r="TA215" s="2942"/>
      <c r="TB215" s="2943"/>
      <c r="TC215" s="2943"/>
      <c r="TD215" s="358">
        <v>0</v>
      </c>
      <c r="TE215" s="151"/>
      <c r="TF215" s="2942"/>
      <c r="TG215" s="2943"/>
      <c r="TH215" s="2943"/>
      <c r="TI215" s="358">
        <v>0</v>
      </c>
      <c r="TJ215" s="151"/>
      <c r="TK215" s="1868"/>
      <c r="TL215" s="2941"/>
      <c r="TM215" s="2941"/>
      <c r="TN215" s="1575">
        <f t="shared" si="838"/>
        <v>0</v>
      </c>
      <c r="TO215" s="2674"/>
      <c r="TP215" s="4506"/>
      <c r="TQ215" s="2941"/>
      <c r="TR215" s="2941"/>
      <c r="TS215" s="1575"/>
      <c r="TT215" s="2674"/>
      <c r="TU215" s="4506"/>
      <c r="TV215" s="2941"/>
      <c r="TW215" s="2941"/>
      <c r="TX215" s="1575"/>
      <c r="TY215" s="2674"/>
      <c r="TZ215" s="1868"/>
      <c r="UA215" s="2941"/>
      <c r="UB215" s="2941"/>
      <c r="UC215" s="1575"/>
      <c r="UD215" s="2944"/>
      <c r="UE215" s="1568"/>
      <c r="UF215" s="2938"/>
      <c r="UG215" s="2938"/>
      <c r="UH215" s="1575"/>
      <c r="UI215" s="2674"/>
      <c r="UJ215" s="1568"/>
      <c r="UK215" s="2938"/>
      <c r="UL215" s="2938"/>
      <c r="UM215" s="1568"/>
      <c r="UN215" s="2673"/>
      <c r="UO215" s="1567"/>
      <c r="UP215" s="2938"/>
      <c r="UQ215" s="2938"/>
      <c r="UR215" s="2001">
        <v>0</v>
      </c>
      <c r="US215" s="655"/>
      <c r="UT215" s="190">
        <f t="shared" si="839"/>
        <v>0</v>
      </c>
      <c r="UU215" s="358">
        <f t="shared" si="850"/>
        <v>0</v>
      </c>
      <c r="UV215" s="358">
        <f t="shared" si="850"/>
        <v>0</v>
      </c>
      <c r="UW215" s="358">
        <f t="shared" si="850"/>
        <v>0</v>
      </c>
      <c r="UX215" s="2281">
        <v>0</v>
      </c>
      <c r="UY215" s="1863">
        <f t="shared" si="840"/>
        <v>0</v>
      </c>
      <c r="UZ215" s="105">
        <f t="shared" si="841"/>
        <v>0</v>
      </c>
      <c r="VA215" s="105">
        <f t="shared" si="841"/>
        <v>0</v>
      </c>
      <c r="VB215" s="105">
        <f t="shared" si="841"/>
        <v>0</v>
      </c>
      <c r="VC215" s="106"/>
      <c r="VD215" s="358">
        <f>(TA215+TF215+TK215)/3</f>
        <v>0</v>
      </c>
      <c r="VE215" s="358">
        <f t="shared" si="842"/>
        <v>0</v>
      </c>
      <c r="VF215" s="358">
        <f t="shared" si="842"/>
        <v>0</v>
      </c>
      <c r="VG215" s="359">
        <f t="shared" si="842"/>
        <v>0</v>
      </c>
      <c r="VH215" s="169"/>
      <c r="VI215" s="686">
        <f t="shared" si="843"/>
        <v>0</v>
      </c>
      <c r="VJ215" s="146">
        <f t="shared" si="844"/>
        <v>0</v>
      </c>
      <c r="VK215" s="146">
        <f t="shared" si="844"/>
        <v>0</v>
      </c>
      <c r="VL215" s="1864">
        <f t="shared" si="844"/>
        <v>0</v>
      </c>
      <c r="VM215" s="1059">
        <v>0</v>
      </c>
      <c r="VN215" s="190">
        <f t="shared" si="845"/>
        <v>0</v>
      </c>
      <c r="VO215" s="358">
        <f t="shared" si="846"/>
        <v>0</v>
      </c>
      <c r="VP215" s="358">
        <f t="shared" si="846"/>
        <v>0</v>
      </c>
      <c r="VQ215" s="359">
        <f t="shared" si="846"/>
        <v>0</v>
      </c>
      <c r="VR215" s="2155">
        <v>0</v>
      </c>
    </row>
    <row r="216" spans="1:745" s="1193" customFormat="1" ht="13.6" hidden="1" customHeight="1" x14ac:dyDescent="0.3">
      <c r="A216" s="1297"/>
      <c r="B216" s="113" t="s">
        <v>124</v>
      </c>
      <c r="C216" s="2843" t="s">
        <v>127</v>
      </c>
      <c r="D216" s="4067" t="s">
        <v>873</v>
      </c>
      <c r="E216" s="384"/>
      <c r="F216" s="384"/>
      <c r="G216" s="2161">
        <v>12533400</v>
      </c>
      <c r="H216" s="2845"/>
      <c r="I216" s="2846"/>
      <c r="J216" s="2846"/>
      <c r="K216" s="2846"/>
      <c r="L216" s="2847"/>
      <c r="M216" s="2845"/>
      <c r="N216" s="2846"/>
      <c r="O216" s="2846"/>
      <c r="P216" s="2846"/>
      <c r="Q216" s="2847"/>
      <c r="R216" s="2845"/>
      <c r="S216" s="2846"/>
      <c r="T216" s="2846"/>
      <c r="U216" s="2846"/>
      <c r="V216" s="2847"/>
      <c r="W216" s="2845"/>
      <c r="X216" s="2846"/>
      <c r="Y216" s="2846"/>
      <c r="Z216" s="2846"/>
      <c r="AA216" s="2848"/>
      <c r="AB216" s="2845"/>
      <c r="AC216" s="2846"/>
      <c r="AD216" s="2846"/>
      <c r="AE216" s="2846"/>
      <c r="AF216" s="2848"/>
      <c r="AG216" s="2846"/>
      <c r="AH216" s="2846"/>
      <c r="AI216" s="2846"/>
      <c r="AJ216" s="2846"/>
      <c r="AK216" s="2847"/>
      <c r="AL216" s="2846"/>
      <c r="AM216" s="2846"/>
      <c r="AN216" s="2846"/>
      <c r="AO216" s="2846"/>
      <c r="AP216" s="2847"/>
      <c r="AQ216" s="2846"/>
      <c r="AR216" s="2846"/>
      <c r="AS216" s="2846"/>
      <c r="AT216" s="2846"/>
      <c r="AU216" s="2847"/>
      <c r="AV216" s="2849"/>
      <c r="AW216" s="2846"/>
      <c r="AX216" s="2846"/>
      <c r="AY216" s="2846"/>
      <c r="AZ216" s="2848"/>
      <c r="BA216" s="2849"/>
      <c r="BB216" s="2846"/>
      <c r="BC216" s="2846"/>
      <c r="BD216" s="2846"/>
      <c r="BE216" s="2848"/>
      <c r="BF216" s="2849"/>
      <c r="BG216" s="2846"/>
      <c r="BH216" s="2846"/>
      <c r="BI216" s="2846"/>
      <c r="BJ216" s="2848"/>
      <c r="BK216" s="2849"/>
      <c r="BL216" s="2846"/>
      <c r="BM216" s="2846"/>
      <c r="BN216" s="2846"/>
      <c r="BO216" s="2848"/>
      <c r="BP216" s="2850"/>
      <c r="BQ216" s="2846"/>
      <c r="BR216" s="2846"/>
      <c r="BS216" s="2846"/>
      <c r="BT216" s="2851"/>
      <c r="BU216" s="2846"/>
      <c r="BV216" s="2846"/>
      <c r="BW216" s="2852"/>
      <c r="BX216" s="2851"/>
      <c r="BY216" s="2846"/>
      <c r="BZ216" s="2846"/>
      <c r="CA216" s="2853"/>
      <c r="CB216" s="2846"/>
      <c r="CC216" s="2846"/>
      <c r="CD216" s="2846"/>
      <c r="CE216" s="2846"/>
      <c r="CF216" s="2851"/>
      <c r="CG216" s="2846"/>
      <c r="CH216" s="2846"/>
      <c r="CI216" s="2853"/>
      <c r="CJ216" s="2854"/>
      <c r="CK216" s="2846"/>
      <c r="CL216" s="2846"/>
      <c r="CM216" s="2846"/>
      <c r="CN216" s="2852"/>
      <c r="CO216" s="2854"/>
      <c r="CP216" s="2845"/>
      <c r="CQ216" s="2845"/>
      <c r="CR216" s="2845"/>
      <c r="CS216" s="2852"/>
      <c r="CT216" s="2854"/>
      <c r="CU216" s="2846"/>
      <c r="CV216" s="2846"/>
      <c r="CW216" s="2846"/>
      <c r="CX216" s="2852"/>
      <c r="CY216" s="2854"/>
      <c r="CZ216" s="2846"/>
      <c r="DA216" s="2846"/>
      <c r="DB216" s="2846"/>
      <c r="DC216" s="2852"/>
      <c r="DD216" s="2854"/>
      <c r="DE216" s="2846"/>
      <c r="DF216" s="2846"/>
      <c r="DG216" s="2846"/>
      <c r="DH216" s="2855"/>
      <c r="DI216" s="2854"/>
      <c r="DJ216" s="2846"/>
      <c r="DK216" s="2846"/>
      <c r="DL216" s="2846"/>
      <c r="DM216" s="2855"/>
      <c r="DN216" s="2854"/>
      <c r="DO216" s="2846"/>
      <c r="DP216" s="2846"/>
      <c r="DQ216" s="2846"/>
      <c r="DR216" s="2855"/>
      <c r="DS216" s="2854"/>
      <c r="DT216" s="2846"/>
      <c r="DU216" s="2846"/>
      <c r="DV216" s="2846"/>
      <c r="DW216" s="2855"/>
      <c r="DX216" s="2854"/>
      <c r="DY216" s="2846"/>
      <c r="DZ216" s="2846"/>
      <c r="EA216" s="2846"/>
      <c r="EB216" s="2855"/>
      <c r="EC216" s="2854"/>
      <c r="ED216" s="2846"/>
      <c r="EE216" s="2846"/>
      <c r="EF216" s="2846"/>
      <c r="EG216" s="2855"/>
      <c r="EH216" s="1567"/>
      <c r="EI216" s="1568"/>
      <c r="EJ216" s="1568"/>
      <c r="EK216" s="1568"/>
      <c r="EL216" s="353"/>
      <c r="EM216" s="1857"/>
      <c r="EN216" s="358"/>
      <c r="EO216" s="358"/>
      <c r="EP216" s="358"/>
      <c r="EQ216" s="94"/>
      <c r="ER216" s="2856"/>
      <c r="ES216" s="2857"/>
      <c r="ET216" s="2857"/>
      <c r="EU216" s="2857"/>
      <c r="EV216" s="1867"/>
      <c r="EW216" s="1569"/>
      <c r="EX216" s="1569"/>
      <c r="EY216" s="1569"/>
      <c r="EZ216" s="210"/>
      <c r="FA216" s="1567"/>
      <c r="FB216" s="1569"/>
      <c r="FC216" s="1569"/>
      <c r="FD216" s="220"/>
      <c r="FE216" s="1569"/>
      <c r="FF216" s="1569"/>
      <c r="FG216" s="1569"/>
      <c r="FH216" s="210"/>
      <c r="FI216" s="580"/>
      <c r="FJ216" s="579"/>
      <c r="FK216" s="137"/>
      <c r="FL216" s="137"/>
      <c r="FM216" s="151"/>
      <c r="FN216" s="1569"/>
      <c r="FO216" s="1568"/>
      <c r="FP216" s="1568"/>
      <c r="FQ216" s="1568"/>
      <c r="FR216" s="408"/>
      <c r="FS216" s="2858"/>
      <c r="FT216" s="2859"/>
      <c r="FU216" s="2859"/>
      <c r="FV216" s="2859"/>
      <c r="FW216" s="2860"/>
      <c r="FX216" s="1567"/>
      <c r="FY216" s="1568"/>
      <c r="FZ216" s="1568"/>
      <c r="GA216" s="2859"/>
      <c r="GB216" s="2860"/>
      <c r="GC216" s="1567"/>
      <c r="GD216" s="1568"/>
      <c r="GE216" s="1568"/>
      <c r="GF216" s="358"/>
      <c r="GG216" s="94"/>
      <c r="GH216" s="1857"/>
      <c r="GI216" s="358"/>
      <c r="GJ216" s="358"/>
      <c r="GK216" s="2861"/>
      <c r="GL216" s="2860"/>
      <c r="GM216" s="1857"/>
      <c r="GN216" s="358"/>
      <c r="GO216" s="358"/>
      <c r="GP216" s="2861"/>
      <c r="GQ216" s="2860"/>
      <c r="GR216" s="358"/>
      <c r="GS216" s="358"/>
      <c r="GT216" s="358"/>
      <c r="GU216" s="2861"/>
      <c r="GV216" s="2860"/>
      <c r="GW216" s="358"/>
      <c r="GX216" s="358"/>
      <c r="GY216" s="358"/>
      <c r="GZ216" s="2861"/>
      <c r="HA216" s="2860"/>
      <c r="HB216" s="358"/>
      <c r="HC216" s="358"/>
      <c r="HD216" s="358"/>
      <c r="HE216" s="2861"/>
      <c r="HF216" s="2860"/>
      <c r="HG216" s="358"/>
      <c r="HH216" s="358"/>
      <c r="HI216" s="358"/>
      <c r="HJ216" s="2861"/>
      <c r="HK216" s="2860"/>
      <c r="HL216" s="358"/>
      <c r="HM216" s="358"/>
      <c r="HN216" s="358"/>
      <c r="HO216" s="2861"/>
      <c r="HP216" s="2860"/>
      <c r="HQ216" s="2861"/>
      <c r="HR216" s="2861"/>
      <c r="HS216" s="2861"/>
      <c r="HT216" s="2861"/>
      <c r="HU216" s="2870"/>
      <c r="HV216" s="3812"/>
      <c r="HW216" s="208"/>
      <c r="HX216" s="208"/>
      <c r="HY216" s="208"/>
      <c r="HZ216" s="2737"/>
      <c r="IA216" s="1934"/>
      <c r="IB216" s="1855"/>
      <c r="IC216" s="1855"/>
      <c r="ID216" s="1856"/>
      <c r="IE216" s="2863"/>
      <c r="IF216" s="2863"/>
      <c r="IG216" s="2863"/>
      <c r="IH216" s="2864"/>
      <c r="II216" s="2865"/>
      <c r="IJ216" s="3813"/>
      <c r="IK216" s="3813"/>
      <c r="IL216" s="2864"/>
      <c r="IM216" s="2866"/>
      <c r="IN216" s="3813"/>
      <c r="IO216" s="3813"/>
      <c r="IP216" s="2867"/>
      <c r="IQ216" s="1568"/>
      <c r="IR216" s="2868"/>
      <c r="IS216" s="2015"/>
      <c r="IT216" s="2015"/>
      <c r="IU216" s="2869"/>
      <c r="IV216" s="2870"/>
      <c r="IW216" s="2858"/>
      <c r="IX216" s="2859"/>
      <c r="IY216" s="2859"/>
      <c r="IZ216" s="2859"/>
      <c r="JA216" s="2870"/>
      <c r="JB216" s="2871"/>
      <c r="JC216" s="1568"/>
      <c r="JD216" s="1568"/>
      <c r="JE216" s="2859"/>
      <c r="JF216" s="2870"/>
      <c r="JG216" s="2871"/>
      <c r="JH216" s="1568"/>
      <c r="JI216" s="1568"/>
      <c r="JJ216" s="358"/>
      <c r="JK216" s="158"/>
      <c r="JL216" s="1857"/>
      <c r="JM216" s="358">
        <v>4860000</v>
      </c>
      <c r="JN216" s="358">
        <v>5127300</v>
      </c>
      <c r="JO216" s="2861">
        <v>267300</v>
      </c>
      <c r="JP216" s="2870">
        <v>5.2132701421800945E-2</v>
      </c>
      <c r="JQ216" s="2873"/>
      <c r="JR216" s="1025">
        <v>3024000</v>
      </c>
      <c r="JS216" s="265">
        <v>3190320</v>
      </c>
      <c r="JT216" s="2872">
        <v>166320</v>
      </c>
      <c r="JU216" s="2870">
        <v>5.2132701421800945E-2</v>
      </c>
      <c r="JV216" s="2874"/>
      <c r="JW216" s="358">
        <v>540000</v>
      </c>
      <c r="JX216" s="2872">
        <v>569700</v>
      </c>
      <c r="JY216" s="2861">
        <v>29700</v>
      </c>
      <c r="JZ216" s="2860">
        <v>5.2132701421800945E-2</v>
      </c>
      <c r="KA216" s="357"/>
      <c r="KB216" s="358">
        <v>540000</v>
      </c>
      <c r="KC216" s="2872">
        <v>569700</v>
      </c>
      <c r="KD216" s="2861">
        <v>29700</v>
      </c>
      <c r="KE216" s="2870">
        <v>5.2132701421800945E-2</v>
      </c>
      <c r="KF216" s="2875"/>
      <c r="KG216" s="358">
        <v>540000</v>
      </c>
      <c r="KH216" s="2872">
        <v>569700</v>
      </c>
      <c r="KI216" s="2861">
        <v>29700</v>
      </c>
      <c r="KJ216" s="2870">
        <v>5.2132701421800945E-2</v>
      </c>
      <c r="KK216" s="2875"/>
      <c r="KL216" s="358"/>
      <c r="KM216" s="2872"/>
      <c r="KN216" s="2861"/>
      <c r="KO216" s="2860"/>
      <c r="KP216" s="357"/>
      <c r="KQ216" s="358"/>
      <c r="KR216" s="2872"/>
      <c r="KS216" s="2861"/>
      <c r="KT216" s="2870"/>
      <c r="KU216" s="3814"/>
      <c r="KV216" s="2861"/>
      <c r="KW216" s="2861"/>
      <c r="KX216" s="2861"/>
      <c r="KY216" s="94"/>
      <c r="KZ216" s="357"/>
      <c r="LA216" s="358">
        <f t="shared" si="822"/>
        <v>9504000</v>
      </c>
      <c r="LB216" s="358">
        <f t="shared" si="822"/>
        <v>10026720</v>
      </c>
      <c r="LC216" s="358">
        <f t="shared" si="822"/>
        <v>522720</v>
      </c>
      <c r="LD216" s="220">
        <f>LC216/LB216</f>
        <v>5.2132701421800945E-2</v>
      </c>
      <c r="LE216" s="1854"/>
      <c r="LF216" s="1855"/>
      <c r="LG216" s="1855"/>
      <c r="LH216" s="1856"/>
      <c r="LI216" s="2866"/>
      <c r="LJ216" s="2863"/>
      <c r="LK216" s="2863"/>
      <c r="LL216" s="2864"/>
      <c r="LM216" s="1934"/>
      <c r="LN216" s="2878"/>
      <c r="LO216" s="2878"/>
      <c r="LP216" s="151"/>
      <c r="LQ216" s="2866"/>
      <c r="LR216" s="3813"/>
      <c r="LS216" s="3813"/>
      <c r="LT216" s="2867"/>
      <c r="LU216" s="1568"/>
      <c r="LV216" s="1567"/>
      <c r="LW216" s="2938"/>
      <c r="LX216" s="2938"/>
      <c r="LY216" s="1568"/>
      <c r="LZ216" s="2939"/>
      <c r="MA216" s="1567"/>
      <c r="MB216" s="2938"/>
      <c r="MC216" s="2938"/>
      <c r="MD216" s="1568"/>
      <c r="ME216" s="2939"/>
      <c r="MF216" s="1569"/>
      <c r="MG216" s="2938"/>
      <c r="MH216" s="2938"/>
      <c r="MI216" s="1568"/>
      <c r="MJ216" s="220"/>
      <c r="MK216" s="2940"/>
      <c r="ML216" s="2938"/>
      <c r="MM216" s="2938"/>
      <c r="MN216" s="1568"/>
      <c r="MO216" s="220"/>
      <c r="MP216" s="2940"/>
      <c r="MQ216" s="2938"/>
      <c r="MR216" s="2938"/>
      <c r="MS216" s="1568"/>
      <c r="MT216" s="220"/>
      <c r="MU216" s="1868"/>
      <c r="MV216" s="2941"/>
      <c r="MW216" s="2941"/>
      <c r="MX216" s="1575"/>
      <c r="MY216" s="2674"/>
      <c r="MZ216" s="1868"/>
      <c r="NA216" s="2941"/>
      <c r="NB216" s="2941"/>
      <c r="NC216" s="1575"/>
      <c r="ND216" s="2674"/>
      <c r="NE216" s="1868"/>
      <c r="NF216" s="2941"/>
      <c r="NG216" s="2941"/>
      <c r="NH216" s="1575"/>
      <c r="NI216" s="2674"/>
      <c r="NJ216" s="1868"/>
      <c r="NK216" s="2941"/>
      <c r="NL216" s="2941"/>
      <c r="NM216" s="1575"/>
      <c r="NN216" s="2674"/>
      <c r="NO216" s="1568"/>
      <c r="NP216" s="2938"/>
      <c r="NQ216" s="2938"/>
      <c r="NR216" s="1575"/>
      <c r="NS216" s="2674"/>
      <c r="NT216" s="1568"/>
      <c r="NU216" s="2938"/>
      <c r="NV216" s="2938"/>
      <c r="NW216" s="1568"/>
      <c r="NX216" s="2673"/>
      <c r="NY216" s="1868"/>
      <c r="NZ216" s="2941">
        <v>0</v>
      </c>
      <c r="OA216" s="2941">
        <v>0</v>
      </c>
      <c r="OB216" s="2001">
        <v>0</v>
      </c>
      <c r="OC216" s="116"/>
      <c r="OD216" s="190">
        <f t="shared" si="823"/>
        <v>0</v>
      </c>
      <c r="OE216" s="358">
        <f t="shared" si="824"/>
        <v>0</v>
      </c>
      <c r="OF216" s="358">
        <f t="shared" si="824"/>
        <v>0</v>
      </c>
      <c r="OG216" s="358">
        <f t="shared" si="824"/>
        <v>0</v>
      </c>
      <c r="OH216" s="2673"/>
      <c r="OI216" s="3802"/>
      <c r="OJ216" s="96"/>
      <c r="OK216" s="96"/>
      <c r="OL216" s="96"/>
      <c r="OM216" s="114"/>
      <c r="ON216" s="358"/>
      <c r="OO216" s="358"/>
      <c r="OP216" s="358"/>
      <c r="OQ216" s="359"/>
      <c r="OR216" s="169"/>
      <c r="OS216" s="607">
        <f t="shared" si="827"/>
        <v>0</v>
      </c>
      <c r="OT216" s="137">
        <f t="shared" si="827"/>
        <v>0</v>
      </c>
      <c r="OU216" s="137">
        <f t="shared" si="827"/>
        <v>0</v>
      </c>
      <c r="OV216" s="3803">
        <f t="shared" si="827"/>
        <v>0</v>
      </c>
      <c r="OW216" s="169"/>
      <c r="OX216" s="357">
        <f t="shared" si="828"/>
        <v>0</v>
      </c>
      <c r="OY216" s="358">
        <f t="shared" si="829"/>
        <v>0</v>
      </c>
      <c r="OZ216" s="358">
        <f t="shared" si="829"/>
        <v>0</v>
      </c>
      <c r="PA216" s="359">
        <f t="shared" si="829"/>
        <v>0</v>
      </c>
      <c r="PB216" s="114"/>
      <c r="PC216" s="137"/>
      <c r="PD216" s="1567"/>
      <c r="PE216" s="2938">
        <v>0</v>
      </c>
      <c r="PF216" s="2938">
        <v>0</v>
      </c>
      <c r="PG216" s="1568"/>
      <c r="PH216" s="353"/>
      <c r="PI216" s="1567"/>
      <c r="PJ216" s="2938"/>
      <c r="PK216" s="2938"/>
      <c r="PL216" s="1568"/>
      <c r="PM216" s="2939"/>
      <c r="PN216" s="1569"/>
      <c r="PO216" s="2938"/>
      <c r="PP216" s="2938"/>
      <c r="PQ216" s="1568"/>
      <c r="PR216" s="220"/>
      <c r="PS216" s="2940"/>
      <c r="PT216" s="2938"/>
      <c r="PU216" s="2938"/>
      <c r="PV216" s="1568"/>
      <c r="PW216" s="220"/>
      <c r="PX216" s="2942"/>
      <c r="PY216" s="2943"/>
      <c r="PZ216" s="2943"/>
      <c r="QA216" s="358"/>
      <c r="QB216" s="151"/>
      <c r="QC216" s="1868"/>
      <c r="QD216" s="2941"/>
      <c r="QE216" s="2941"/>
      <c r="QF216" s="1575">
        <f t="shared" si="830"/>
        <v>0</v>
      </c>
      <c r="QG216" s="2674"/>
      <c r="QH216" s="405"/>
      <c r="QI216" s="2941"/>
      <c r="QJ216" s="2941"/>
      <c r="QK216" s="1575"/>
      <c r="QL216" s="2674"/>
      <c r="QM216" s="405"/>
      <c r="QN216" s="2941"/>
      <c r="QO216" s="2941"/>
      <c r="QP216" s="1575"/>
      <c r="QQ216" s="2674"/>
      <c r="QR216" s="1868"/>
      <c r="QS216" s="2941"/>
      <c r="QT216" s="2941"/>
      <c r="QU216" s="1575"/>
      <c r="QV216" s="2944"/>
      <c r="QW216" s="1568"/>
      <c r="QX216" s="2938"/>
      <c r="QY216" s="2938"/>
      <c r="QZ216" s="1575"/>
      <c r="RA216" s="2674"/>
      <c r="RB216" s="1568"/>
      <c r="RC216" s="2938"/>
      <c r="RD216" s="2938"/>
      <c r="RE216" s="1568"/>
      <c r="RF216" s="2673"/>
      <c r="RG216" s="1567"/>
      <c r="RH216" s="2938"/>
      <c r="RI216" s="2938"/>
      <c r="RJ216" s="2001">
        <v>0</v>
      </c>
      <c r="RK216" s="801"/>
      <c r="RL216" s="3718">
        <f t="shared" si="831"/>
        <v>0</v>
      </c>
      <c r="RM216" s="1568">
        <f t="shared" si="832"/>
        <v>0</v>
      </c>
      <c r="RN216" s="1568">
        <f t="shared" si="832"/>
        <v>0</v>
      </c>
      <c r="RO216" s="1568">
        <f t="shared" si="832"/>
        <v>0</v>
      </c>
      <c r="RP216" s="2673"/>
      <c r="RQ216" s="3802">
        <f t="shared" si="833"/>
        <v>0</v>
      </c>
      <c r="RR216" s="96">
        <f t="shared" si="834"/>
        <v>0</v>
      </c>
      <c r="RS216" s="96">
        <f t="shared" si="834"/>
        <v>0</v>
      </c>
      <c r="RT216" s="96">
        <f t="shared" si="834"/>
        <v>0</v>
      </c>
      <c r="RU216" s="114"/>
      <c r="RV216" s="358"/>
      <c r="RW216" s="358">
        <f t="shared" si="835"/>
        <v>0</v>
      </c>
      <c r="RX216" s="358">
        <f t="shared" si="835"/>
        <v>0</v>
      </c>
      <c r="RY216" s="359">
        <f t="shared" si="835"/>
        <v>0</v>
      </c>
      <c r="RZ216" s="169"/>
      <c r="SA216" s="607">
        <f t="shared" si="847"/>
        <v>0</v>
      </c>
      <c r="SB216" s="137">
        <f t="shared" si="848"/>
        <v>0</v>
      </c>
      <c r="SC216" s="137">
        <f t="shared" si="848"/>
        <v>0</v>
      </c>
      <c r="SD216" s="3803">
        <f t="shared" si="848"/>
        <v>0</v>
      </c>
      <c r="SE216" s="978">
        <v>0</v>
      </c>
      <c r="SF216" s="190">
        <f t="shared" si="836"/>
        <v>0</v>
      </c>
      <c r="SG216" s="358">
        <f t="shared" si="849"/>
        <v>0</v>
      </c>
      <c r="SH216" s="358">
        <f t="shared" si="849"/>
        <v>0</v>
      </c>
      <c r="SI216" s="359">
        <f t="shared" si="849"/>
        <v>0</v>
      </c>
      <c r="SJ216" s="2155">
        <v>0</v>
      </c>
      <c r="SK216" s="1568"/>
      <c r="SL216" s="1567"/>
      <c r="SM216" s="2938">
        <v>0</v>
      </c>
      <c r="SN216" s="2938">
        <v>0</v>
      </c>
      <c r="SO216" s="3534">
        <f t="shared" si="837"/>
        <v>0</v>
      </c>
      <c r="SP216" s="3525">
        <v>0</v>
      </c>
      <c r="SQ216" s="1567"/>
      <c r="SR216" s="2938">
        <v>0</v>
      </c>
      <c r="SS216" s="2938">
        <v>0</v>
      </c>
      <c r="ST216" s="1568">
        <v>0</v>
      </c>
      <c r="SU216" s="2939"/>
      <c r="SV216" s="1858"/>
      <c r="SW216" s="2943"/>
      <c r="SX216" s="2943"/>
      <c r="SY216" s="358"/>
      <c r="SZ216" s="151"/>
      <c r="TA216" s="2942"/>
      <c r="TB216" s="2943"/>
      <c r="TC216" s="2943"/>
      <c r="TD216" s="358">
        <v>0</v>
      </c>
      <c r="TE216" s="151"/>
      <c r="TF216" s="2942"/>
      <c r="TG216" s="2943"/>
      <c r="TH216" s="2943"/>
      <c r="TI216" s="358">
        <v>0</v>
      </c>
      <c r="TJ216" s="151"/>
      <c r="TK216" s="1868"/>
      <c r="TL216" s="2941"/>
      <c r="TM216" s="2941"/>
      <c r="TN216" s="1575">
        <f t="shared" si="838"/>
        <v>0</v>
      </c>
      <c r="TO216" s="2674"/>
      <c r="TP216" s="4506"/>
      <c r="TQ216" s="2941"/>
      <c r="TR216" s="2941"/>
      <c r="TS216" s="1575"/>
      <c r="TT216" s="2674"/>
      <c r="TU216" s="4506"/>
      <c r="TV216" s="2941"/>
      <c r="TW216" s="2941"/>
      <c r="TX216" s="1575"/>
      <c r="TY216" s="2674"/>
      <c r="TZ216" s="1868"/>
      <c r="UA216" s="2941"/>
      <c r="UB216" s="2941"/>
      <c r="UC216" s="1575"/>
      <c r="UD216" s="2944"/>
      <c r="UE216" s="1568"/>
      <c r="UF216" s="2938"/>
      <c r="UG216" s="2938"/>
      <c r="UH216" s="1575"/>
      <c r="UI216" s="2674"/>
      <c r="UJ216" s="1568"/>
      <c r="UK216" s="2938"/>
      <c r="UL216" s="2938"/>
      <c r="UM216" s="1568"/>
      <c r="UN216" s="2673"/>
      <c r="UO216" s="1567"/>
      <c r="UP216" s="2938"/>
      <c r="UQ216" s="2938"/>
      <c r="UR216" s="2001">
        <v>0</v>
      </c>
      <c r="US216" s="655"/>
      <c r="UT216" s="190">
        <f t="shared" si="839"/>
        <v>0</v>
      </c>
      <c r="UU216" s="358">
        <f t="shared" si="850"/>
        <v>0</v>
      </c>
      <c r="UV216" s="358">
        <f t="shared" si="850"/>
        <v>0</v>
      </c>
      <c r="UW216" s="358">
        <f t="shared" si="850"/>
        <v>0</v>
      </c>
      <c r="UX216" s="2281">
        <v>0</v>
      </c>
      <c r="UY216" s="1863">
        <f t="shared" si="840"/>
        <v>0</v>
      </c>
      <c r="UZ216" s="105">
        <f t="shared" si="841"/>
        <v>0</v>
      </c>
      <c r="VA216" s="105">
        <f t="shared" si="841"/>
        <v>0</v>
      </c>
      <c r="VB216" s="105">
        <f t="shared" si="841"/>
        <v>0</v>
      </c>
      <c r="VC216" s="106"/>
      <c r="VD216" s="358"/>
      <c r="VE216" s="358">
        <f t="shared" si="842"/>
        <v>0</v>
      </c>
      <c r="VF216" s="358">
        <f t="shared" si="842"/>
        <v>0</v>
      </c>
      <c r="VG216" s="359">
        <f t="shared" si="842"/>
        <v>0</v>
      </c>
      <c r="VH216" s="169"/>
      <c r="VI216" s="686">
        <f t="shared" si="843"/>
        <v>0</v>
      </c>
      <c r="VJ216" s="146">
        <f t="shared" si="844"/>
        <v>0</v>
      </c>
      <c r="VK216" s="146">
        <f t="shared" si="844"/>
        <v>0</v>
      </c>
      <c r="VL216" s="1864">
        <f t="shared" si="844"/>
        <v>0</v>
      </c>
      <c r="VM216" s="1059">
        <v>0</v>
      </c>
      <c r="VN216" s="190">
        <f t="shared" si="845"/>
        <v>0</v>
      </c>
      <c r="VO216" s="358">
        <f t="shared" si="846"/>
        <v>0</v>
      </c>
      <c r="VP216" s="358">
        <f t="shared" si="846"/>
        <v>0</v>
      </c>
      <c r="VQ216" s="359">
        <f t="shared" si="846"/>
        <v>0</v>
      </c>
      <c r="VR216" s="2155">
        <v>0</v>
      </c>
    </row>
    <row r="217" spans="1:745" s="1193" customFormat="1" ht="13.6" hidden="1" customHeight="1" x14ac:dyDescent="0.3">
      <c r="A217" s="1297"/>
      <c r="B217" s="113" t="s">
        <v>124</v>
      </c>
      <c r="C217" s="2843" t="s">
        <v>128</v>
      </c>
      <c r="D217" s="4067" t="s">
        <v>874</v>
      </c>
      <c r="E217" s="384"/>
      <c r="F217" s="384"/>
      <c r="G217" s="2161">
        <v>600000</v>
      </c>
      <c r="H217" s="2845"/>
      <c r="I217" s="2846"/>
      <c r="J217" s="2846"/>
      <c r="K217" s="2846"/>
      <c r="L217" s="2847"/>
      <c r="M217" s="2845"/>
      <c r="N217" s="2846"/>
      <c r="O217" s="2846"/>
      <c r="P217" s="2846"/>
      <c r="Q217" s="2847"/>
      <c r="R217" s="2845"/>
      <c r="S217" s="2846"/>
      <c r="T217" s="2846"/>
      <c r="U217" s="2846"/>
      <c r="V217" s="2847"/>
      <c r="W217" s="2845"/>
      <c r="X217" s="2846"/>
      <c r="Y217" s="2846"/>
      <c r="Z217" s="2846"/>
      <c r="AA217" s="2848"/>
      <c r="AB217" s="2845"/>
      <c r="AC217" s="2846"/>
      <c r="AD217" s="2846"/>
      <c r="AE217" s="2846"/>
      <c r="AF217" s="2848"/>
      <c r="AG217" s="2846"/>
      <c r="AH217" s="2846"/>
      <c r="AI217" s="2846"/>
      <c r="AJ217" s="2846"/>
      <c r="AK217" s="2847"/>
      <c r="AL217" s="2846"/>
      <c r="AM217" s="2846"/>
      <c r="AN217" s="2846"/>
      <c r="AO217" s="2846"/>
      <c r="AP217" s="2847"/>
      <c r="AQ217" s="2846"/>
      <c r="AR217" s="2846"/>
      <c r="AS217" s="2846"/>
      <c r="AT217" s="2846"/>
      <c r="AU217" s="2847"/>
      <c r="AV217" s="2849"/>
      <c r="AW217" s="2846"/>
      <c r="AX217" s="2846"/>
      <c r="AY217" s="2846"/>
      <c r="AZ217" s="2848"/>
      <c r="BA217" s="2849"/>
      <c r="BB217" s="2846"/>
      <c r="BC217" s="2846"/>
      <c r="BD217" s="2846"/>
      <c r="BE217" s="2848"/>
      <c r="BF217" s="2849"/>
      <c r="BG217" s="2846"/>
      <c r="BH217" s="2846"/>
      <c r="BI217" s="2846"/>
      <c r="BJ217" s="2848"/>
      <c r="BK217" s="2849"/>
      <c r="BL217" s="2846"/>
      <c r="BM217" s="2846"/>
      <c r="BN217" s="2846"/>
      <c r="BO217" s="2848"/>
      <c r="BP217" s="2850"/>
      <c r="BQ217" s="2846"/>
      <c r="BR217" s="2846"/>
      <c r="BS217" s="2846"/>
      <c r="BT217" s="2851"/>
      <c r="BU217" s="2846"/>
      <c r="BV217" s="2846"/>
      <c r="BW217" s="2852"/>
      <c r="BX217" s="2851"/>
      <c r="BY217" s="2846"/>
      <c r="BZ217" s="2846"/>
      <c r="CA217" s="2853"/>
      <c r="CB217" s="2846"/>
      <c r="CC217" s="2846"/>
      <c r="CD217" s="2846"/>
      <c r="CE217" s="2846"/>
      <c r="CF217" s="2851"/>
      <c r="CG217" s="2846"/>
      <c r="CH217" s="2846"/>
      <c r="CI217" s="2853"/>
      <c r="CJ217" s="2854"/>
      <c r="CK217" s="2846"/>
      <c r="CL217" s="2846"/>
      <c r="CM217" s="2846"/>
      <c r="CN217" s="2852"/>
      <c r="CO217" s="2854"/>
      <c r="CP217" s="2845"/>
      <c r="CQ217" s="2845"/>
      <c r="CR217" s="2845"/>
      <c r="CS217" s="2852"/>
      <c r="CT217" s="2854"/>
      <c r="CU217" s="2846"/>
      <c r="CV217" s="2846"/>
      <c r="CW217" s="2846"/>
      <c r="CX217" s="2852"/>
      <c r="CY217" s="2854"/>
      <c r="CZ217" s="2846"/>
      <c r="DA217" s="2846"/>
      <c r="DB217" s="2846"/>
      <c r="DC217" s="2852"/>
      <c r="DD217" s="2854"/>
      <c r="DE217" s="2846"/>
      <c r="DF217" s="2846"/>
      <c r="DG217" s="2846"/>
      <c r="DH217" s="2855"/>
      <c r="DI217" s="2854"/>
      <c r="DJ217" s="2846"/>
      <c r="DK217" s="2846"/>
      <c r="DL217" s="2846"/>
      <c r="DM217" s="2855"/>
      <c r="DN217" s="2854"/>
      <c r="DO217" s="2846"/>
      <c r="DP217" s="2846"/>
      <c r="DQ217" s="2846"/>
      <c r="DR217" s="2855"/>
      <c r="DS217" s="2854"/>
      <c r="DT217" s="2846"/>
      <c r="DU217" s="2846"/>
      <c r="DV217" s="2846"/>
      <c r="DW217" s="2855"/>
      <c r="DX217" s="2854"/>
      <c r="DY217" s="2846"/>
      <c r="DZ217" s="2846"/>
      <c r="EA217" s="2846"/>
      <c r="EB217" s="2855"/>
      <c r="EC217" s="2854"/>
      <c r="ED217" s="2846"/>
      <c r="EE217" s="2846"/>
      <c r="EF217" s="2846"/>
      <c r="EG217" s="2855"/>
      <c r="EH217" s="1567"/>
      <c r="EI217" s="1568"/>
      <c r="EJ217" s="1568"/>
      <c r="EK217" s="1568"/>
      <c r="EL217" s="353"/>
      <c r="EM217" s="1857"/>
      <c r="EN217" s="358"/>
      <c r="EO217" s="358"/>
      <c r="EP217" s="358"/>
      <c r="EQ217" s="94"/>
      <c r="ER217" s="2856"/>
      <c r="ES217" s="2857"/>
      <c r="ET217" s="2857"/>
      <c r="EU217" s="2857"/>
      <c r="EV217" s="1867"/>
      <c r="EW217" s="1569"/>
      <c r="EX217" s="1569"/>
      <c r="EY217" s="1569"/>
      <c r="EZ217" s="210"/>
      <c r="FA217" s="1567"/>
      <c r="FB217" s="1569"/>
      <c r="FC217" s="1569"/>
      <c r="FD217" s="220"/>
      <c r="FE217" s="1569"/>
      <c r="FF217" s="1569"/>
      <c r="FG217" s="1569"/>
      <c r="FH217" s="210"/>
      <c r="FI217" s="580"/>
      <c r="FJ217" s="579"/>
      <c r="FK217" s="137"/>
      <c r="FL217" s="137"/>
      <c r="FM217" s="151"/>
      <c r="FN217" s="1569"/>
      <c r="FO217" s="1568"/>
      <c r="FP217" s="1568"/>
      <c r="FQ217" s="1568"/>
      <c r="FR217" s="408"/>
      <c r="FS217" s="2858"/>
      <c r="FT217" s="2859"/>
      <c r="FU217" s="2859"/>
      <c r="FV217" s="2859"/>
      <c r="FW217" s="2860"/>
      <c r="FX217" s="1567"/>
      <c r="FY217" s="1568"/>
      <c r="FZ217" s="1568"/>
      <c r="GA217" s="2859"/>
      <c r="GB217" s="2860"/>
      <c r="GC217" s="1567"/>
      <c r="GD217" s="1568"/>
      <c r="GE217" s="1568"/>
      <c r="GF217" s="358"/>
      <c r="GG217" s="94"/>
      <c r="GH217" s="1857"/>
      <c r="GI217" s="358"/>
      <c r="GJ217" s="358"/>
      <c r="GK217" s="2861"/>
      <c r="GL217" s="2860"/>
      <c r="GM217" s="1857"/>
      <c r="GN217" s="358"/>
      <c r="GO217" s="358"/>
      <c r="GP217" s="2861"/>
      <c r="GQ217" s="2860"/>
      <c r="GR217" s="358"/>
      <c r="GS217" s="358"/>
      <c r="GT217" s="358"/>
      <c r="GU217" s="2861"/>
      <c r="GV217" s="2860"/>
      <c r="GW217" s="358"/>
      <c r="GX217" s="358"/>
      <c r="GY217" s="358"/>
      <c r="GZ217" s="2861"/>
      <c r="HA217" s="2860"/>
      <c r="HB217" s="358"/>
      <c r="HC217" s="358"/>
      <c r="HD217" s="358"/>
      <c r="HE217" s="2861"/>
      <c r="HF217" s="2860"/>
      <c r="HG217" s="358"/>
      <c r="HH217" s="358"/>
      <c r="HI217" s="358"/>
      <c r="HJ217" s="2861"/>
      <c r="HK217" s="2860"/>
      <c r="HL217" s="358"/>
      <c r="HM217" s="358"/>
      <c r="HN217" s="358"/>
      <c r="HO217" s="2861"/>
      <c r="HP217" s="2860"/>
      <c r="HQ217" s="2861"/>
      <c r="HR217" s="2861"/>
      <c r="HS217" s="2861"/>
      <c r="HT217" s="2861"/>
      <c r="HU217" s="2870"/>
      <c r="HV217" s="3812"/>
      <c r="HW217" s="208"/>
      <c r="HX217" s="208"/>
      <c r="HY217" s="208"/>
      <c r="HZ217" s="2737"/>
      <c r="IA217" s="1934"/>
      <c r="IB217" s="1855"/>
      <c r="IC217" s="1855"/>
      <c r="ID217" s="1856"/>
      <c r="IE217" s="2863"/>
      <c r="IF217" s="2863"/>
      <c r="IG217" s="2863"/>
      <c r="IH217" s="2864"/>
      <c r="II217" s="2865"/>
      <c r="IJ217" s="3813"/>
      <c r="IK217" s="3813"/>
      <c r="IL217" s="2864"/>
      <c r="IM217" s="2866"/>
      <c r="IN217" s="3813"/>
      <c r="IO217" s="3813"/>
      <c r="IP217" s="2867"/>
      <c r="IQ217" s="1568"/>
      <c r="IR217" s="2868"/>
      <c r="IS217" s="2015"/>
      <c r="IT217" s="2015"/>
      <c r="IU217" s="2869"/>
      <c r="IV217" s="2870"/>
      <c r="IW217" s="2858"/>
      <c r="IX217" s="2859"/>
      <c r="IY217" s="2859"/>
      <c r="IZ217" s="2859"/>
      <c r="JA217" s="2870"/>
      <c r="JB217" s="2871"/>
      <c r="JC217" s="1568"/>
      <c r="JD217" s="1568"/>
      <c r="JE217" s="2859"/>
      <c r="JF217" s="2870"/>
      <c r="JG217" s="2871"/>
      <c r="JH217" s="1568"/>
      <c r="JI217" s="1568"/>
      <c r="JJ217" s="358"/>
      <c r="JK217" s="158"/>
      <c r="JL217" s="1857"/>
      <c r="JM217" s="358"/>
      <c r="JN217" s="358"/>
      <c r="JO217" s="2861"/>
      <c r="JP217" s="2870"/>
      <c r="JQ217" s="2873"/>
      <c r="JR217" s="1025"/>
      <c r="JS217" s="265"/>
      <c r="JT217" s="2872"/>
      <c r="JU217" s="2870"/>
      <c r="JV217" s="2874"/>
      <c r="JW217" s="358"/>
      <c r="JX217" s="2872"/>
      <c r="JY217" s="2861"/>
      <c r="JZ217" s="2860"/>
      <c r="KA217" s="357"/>
      <c r="KB217" s="358">
        <v>565000</v>
      </c>
      <c r="KC217" s="2872">
        <v>600000</v>
      </c>
      <c r="KD217" s="2861">
        <v>35000</v>
      </c>
      <c r="KE217" s="2870">
        <v>5.8333333333333334E-2</v>
      </c>
      <c r="KF217" s="2875"/>
      <c r="KG217" s="358"/>
      <c r="KH217" s="2872"/>
      <c r="KI217" s="2861"/>
      <c r="KJ217" s="2870"/>
      <c r="KK217" s="2875"/>
      <c r="KL217" s="358"/>
      <c r="KM217" s="2872"/>
      <c r="KN217" s="2861"/>
      <c r="KO217" s="2860"/>
      <c r="KP217" s="357"/>
      <c r="KQ217" s="358"/>
      <c r="KR217" s="2872"/>
      <c r="KS217" s="2861"/>
      <c r="KT217" s="2870"/>
      <c r="KU217" s="3814"/>
      <c r="KV217" s="2861">
        <v>565000</v>
      </c>
      <c r="KW217" s="2861">
        <v>600000</v>
      </c>
      <c r="KX217" s="2861">
        <f>KW217-KV217</f>
        <v>35000</v>
      </c>
      <c r="KY217" s="94">
        <f>KX217/KW217</f>
        <v>5.8333333333333334E-2</v>
      </c>
      <c r="KZ217" s="357"/>
      <c r="LA217" s="358">
        <f t="shared" si="822"/>
        <v>1130000</v>
      </c>
      <c r="LB217" s="358">
        <f t="shared" si="822"/>
        <v>1200000</v>
      </c>
      <c r="LC217" s="358">
        <f t="shared" si="822"/>
        <v>70000</v>
      </c>
      <c r="LD217" s="220">
        <f>LC217/LB217</f>
        <v>5.8333333333333334E-2</v>
      </c>
      <c r="LE217" s="1854"/>
      <c r="LF217" s="1855"/>
      <c r="LG217" s="1855"/>
      <c r="LH217" s="1856"/>
      <c r="LI217" s="2866"/>
      <c r="LJ217" s="2863"/>
      <c r="LK217" s="2863"/>
      <c r="LL217" s="2864"/>
      <c r="LM217" s="1934"/>
      <c r="LN217" s="2878"/>
      <c r="LO217" s="2878"/>
      <c r="LP217" s="151"/>
      <c r="LQ217" s="2866"/>
      <c r="LR217" s="3813"/>
      <c r="LS217" s="3813"/>
      <c r="LT217" s="2867"/>
      <c r="LU217" s="1568"/>
      <c r="LV217" s="1567"/>
      <c r="LW217" s="2938"/>
      <c r="LX217" s="2938"/>
      <c r="LY217" s="1568"/>
      <c r="LZ217" s="2939"/>
      <c r="MA217" s="1567"/>
      <c r="MB217" s="2938"/>
      <c r="MC217" s="2938"/>
      <c r="MD217" s="1568"/>
      <c r="ME217" s="2939"/>
      <c r="MF217" s="1569"/>
      <c r="MG217" s="2938"/>
      <c r="MH217" s="2938"/>
      <c r="MI217" s="1568"/>
      <c r="MJ217" s="220"/>
      <c r="MK217" s="2940"/>
      <c r="ML217" s="2938"/>
      <c r="MM217" s="2938"/>
      <c r="MN217" s="1568"/>
      <c r="MO217" s="220"/>
      <c r="MP217" s="2940"/>
      <c r="MQ217" s="2938"/>
      <c r="MR217" s="2938"/>
      <c r="MS217" s="1568"/>
      <c r="MT217" s="220"/>
      <c r="MU217" s="1868"/>
      <c r="MV217" s="2941"/>
      <c r="MW217" s="2941"/>
      <c r="MX217" s="1575"/>
      <c r="MY217" s="2674"/>
      <c r="MZ217" s="1868"/>
      <c r="NA217" s="2941"/>
      <c r="NB217" s="2941"/>
      <c r="NC217" s="1575"/>
      <c r="ND217" s="2674"/>
      <c r="NE217" s="1868"/>
      <c r="NF217" s="2941"/>
      <c r="NG217" s="2941"/>
      <c r="NH217" s="1575"/>
      <c r="NI217" s="2674"/>
      <c r="NJ217" s="1868"/>
      <c r="NK217" s="2941"/>
      <c r="NL217" s="2941"/>
      <c r="NM217" s="1575"/>
      <c r="NN217" s="2674"/>
      <c r="NO217" s="1568"/>
      <c r="NP217" s="2938"/>
      <c r="NQ217" s="2938"/>
      <c r="NR217" s="1575"/>
      <c r="NS217" s="2674"/>
      <c r="NT217" s="1568"/>
      <c r="NU217" s="2938"/>
      <c r="NV217" s="2938"/>
      <c r="NW217" s="1568"/>
      <c r="NX217" s="2673"/>
      <c r="NY217" s="1868"/>
      <c r="NZ217" s="2941">
        <v>0</v>
      </c>
      <c r="OA217" s="2941">
        <v>0</v>
      </c>
      <c r="OB217" s="2001">
        <v>0</v>
      </c>
      <c r="OC217" s="116"/>
      <c r="OD217" s="190">
        <f t="shared" si="823"/>
        <v>0</v>
      </c>
      <c r="OE217" s="358">
        <f t="shared" si="824"/>
        <v>0</v>
      </c>
      <c r="OF217" s="358">
        <f t="shared" si="824"/>
        <v>0</v>
      </c>
      <c r="OG217" s="358">
        <f t="shared" si="824"/>
        <v>0</v>
      </c>
      <c r="OH217" s="2673"/>
      <c r="OI217" s="3802">
        <f>(LV217+MA217+MF217)/3</f>
        <v>0</v>
      </c>
      <c r="OJ217" s="96">
        <f t="shared" ref="OJ217:OL219" si="851">LW217+MB217+MG217</f>
        <v>0</v>
      </c>
      <c r="OK217" s="96">
        <f t="shared" si="851"/>
        <v>0</v>
      </c>
      <c r="OL217" s="96">
        <f t="shared" si="851"/>
        <v>0</v>
      </c>
      <c r="OM217" s="114"/>
      <c r="ON217" s="358">
        <f>(MK217+MP217+MU217)/3</f>
        <v>0</v>
      </c>
      <c r="OO217" s="358">
        <f t="shared" ref="OO217:OQ219" si="852">ML217+MQ217+MV217</f>
        <v>0</v>
      </c>
      <c r="OP217" s="358">
        <f t="shared" si="852"/>
        <v>0</v>
      </c>
      <c r="OQ217" s="359">
        <f t="shared" si="852"/>
        <v>0</v>
      </c>
      <c r="OR217" s="169"/>
      <c r="OS217" s="607">
        <f t="shared" si="827"/>
        <v>0</v>
      </c>
      <c r="OT217" s="137">
        <f t="shared" si="827"/>
        <v>0</v>
      </c>
      <c r="OU217" s="137">
        <f t="shared" si="827"/>
        <v>0</v>
      </c>
      <c r="OV217" s="3803">
        <f t="shared" si="827"/>
        <v>0</v>
      </c>
      <c r="OW217" s="169"/>
      <c r="OX217" s="357">
        <f t="shared" si="828"/>
        <v>0</v>
      </c>
      <c r="OY217" s="358">
        <f t="shared" si="829"/>
        <v>0</v>
      </c>
      <c r="OZ217" s="358">
        <f t="shared" si="829"/>
        <v>0</v>
      </c>
      <c r="PA217" s="359">
        <f t="shared" si="829"/>
        <v>0</v>
      </c>
      <c r="PB217" s="114"/>
      <c r="PC217" s="137"/>
      <c r="PD217" s="1567"/>
      <c r="PE217" s="2938">
        <v>0</v>
      </c>
      <c r="PF217" s="2938">
        <v>0</v>
      </c>
      <c r="PG217" s="1568"/>
      <c r="PH217" s="353"/>
      <c r="PI217" s="1567"/>
      <c r="PJ217" s="2938"/>
      <c r="PK217" s="2938"/>
      <c r="PL217" s="1568"/>
      <c r="PM217" s="2939"/>
      <c r="PN217" s="1569"/>
      <c r="PO217" s="2938"/>
      <c r="PP217" s="2938"/>
      <c r="PQ217" s="1568"/>
      <c r="PR217" s="220"/>
      <c r="PS217" s="2940"/>
      <c r="PT217" s="2938"/>
      <c r="PU217" s="2938"/>
      <c r="PV217" s="1568"/>
      <c r="PW217" s="220"/>
      <c r="PX217" s="2942"/>
      <c r="PY217" s="2943"/>
      <c r="PZ217" s="2943"/>
      <c r="QA217" s="358"/>
      <c r="QB217" s="151"/>
      <c r="QC217" s="1868"/>
      <c r="QD217" s="2941"/>
      <c r="QE217" s="2941"/>
      <c r="QF217" s="1575">
        <f t="shared" si="830"/>
        <v>0</v>
      </c>
      <c r="QG217" s="2674"/>
      <c r="QH217" s="405"/>
      <c r="QI217" s="2941"/>
      <c r="QJ217" s="2941"/>
      <c r="QK217" s="1575"/>
      <c r="QL217" s="2674"/>
      <c r="QM217" s="405"/>
      <c r="QN217" s="2941"/>
      <c r="QO217" s="2941"/>
      <c r="QP217" s="1575"/>
      <c r="QQ217" s="2674"/>
      <c r="QR217" s="1868"/>
      <c r="QS217" s="2941"/>
      <c r="QT217" s="2941"/>
      <c r="QU217" s="1575"/>
      <c r="QV217" s="2944"/>
      <c r="QW217" s="1568"/>
      <c r="QX217" s="2938"/>
      <c r="QY217" s="2938"/>
      <c r="QZ217" s="1575"/>
      <c r="RA217" s="2674"/>
      <c r="RB217" s="1568"/>
      <c r="RC217" s="2938"/>
      <c r="RD217" s="2938"/>
      <c r="RE217" s="1568"/>
      <c r="RF217" s="2673"/>
      <c r="RG217" s="1567"/>
      <c r="RH217" s="2938"/>
      <c r="RI217" s="2938"/>
      <c r="RJ217" s="2001">
        <v>0</v>
      </c>
      <c r="RK217" s="801"/>
      <c r="RL217" s="3718">
        <f t="shared" si="831"/>
        <v>0</v>
      </c>
      <c r="RM217" s="1568">
        <f t="shared" si="832"/>
        <v>0</v>
      </c>
      <c r="RN217" s="1568">
        <f t="shared" si="832"/>
        <v>0</v>
      </c>
      <c r="RO217" s="1568">
        <f t="shared" si="832"/>
        <v>0</v>
      </c>
      <c r="RP217" s="2673"/>
      <c r="RQ217" s="3802">
        <f t="shared" si="833"/>
        <v>0</v>
      </c>
      <c r="RR217" s="96">
        <f t="shared" si="834"/>
        <v>0</v>
      </c>
      <c r="RS217" s="96">
        <f t="shared" si="834"/>
        <v>0</v>
      </c>
      <c r="RT217" s="96">
        <f t="shared" si="834"/>
        <v>0</v>
      </c>
      <c r="RU217" s="114"/>
      <c r="RV217" s="358">
        <f>(PS217+PX217+QC217)/3</f>
        <v>0</v>
      </c>
      <c r="RW217" s="358">
        <f t="shared" si="835"/>
        <v>0</v>
      </c>
      <c r="RX217" s="358">
        <f t="shared" si="835"/>
        <v>0</v>
      </c>
      <c r="RY217" s="359">
        <f t="shared" si="835"/>
        <v>0</v>
      </c>
      <c r="RZ217" s="169"/>
      <c r="SA217" s="607">
        <f t="shared" si="847"/>
        <v>0</v>
      </c>
      <c r="SB217" s="137">
        <f t="shared" si="848"/>
        <v>0</v>
      </c>
      <c r="SC217" s="137">
        <f t="shared" si="848"/>
        <v>0</v>
      </c>
      <c r="SD217" s="3803">
        <f t="shared" si="848"/>
        <v>0</v>
      </c>
      <c r="SE217" s="978">
        <v>0</v>
      </c>
      <c r="SF217" s="190">
        <f t="shared" si="836"/>
        <v>0</v>
      </c>
      <c r="SG217" s="358">
        <f t="shared" si="849"/>
        <v>0</v>
      </c>
      <c r="SH217" s="358">
        <f t="shared" si="849"/>
        <v>0</v>
      </c>
      <c r="SI217" s="359">
        <f t="shared" si="849"/>
        <v>0</v>
      </c>
      <c r="SJ217" s="2155">
        <v>0</v>
      </c>
      <c r="SK217" s="1568"/>
      <c r="SL217" s="1567"/>
      <c r="SM217" s="2938">
        <v>0</v>
      </c>
      <c r="SN217" s="2938">
        <v>0</v>
      </c>
      <c r="SO217" s="3534">
        <f t="shared" si="837"/>
        <v>0</v>
      </c>
      <c r="SP217" s="3525">
        <v>0</v>
      </c>
      <c r="SQ217" s="1567"/>
      <c r="SR217" s="2938">
        <v>0</v>
      </c>
      <c r="SS217" s="2938">
        <v>0</v>
      </c>
      <c r="ST217" s="1568">
        <v>0</v>
      </c>
      <c r="SU217" s="2939"/>
      <c r="SV217" s="1858"/>
      <c r="SW217" s="2943"/>
      <c r="SX217" s="2943"/>
      <c r="SY217" s="358"/>
      <c r="SZ217" s="151"/>
      <c r="TA217" s="2942"/>
      <c r="TB217" s="2943"/>
      <c r="TC217" s="2943"/>
      <c r="TD217" s="358">
        <v>0</v>
      </c>
      <c r="TE217" s="151"/>
      <c r="TF217" s="2942"/>
      <c r="TG217" s="2943"/>
      <c r="TH217" s="2943"/>
      <c r="TI217" s="358">
        <v>0</v>
      </c>
      <c r="TJ217" s="151"/>
      <c r="TK217" s="1868"/>
      <c r="TL217" s="2941"/>
      <c r="TM217" s="2941"/>
      <c r="TN217" s="1575">
        <f t="shared" si="838"/>
        <v>0</v>
      </c>
      <c r="TO217" s="2674"/>
      <c r="TP217" s="4506"/>
      <c r="TQ217" s="2941"/>
      <c r="TR217" s="2941"/>
      <c r="TS217" s="1575"/>
      <c r="TT217" s="2674"/>
      <c r="TU217" s="4506"/>
      <c r="TV217" s="2941"/>
      <c r="TW217" s="2941"/>
      <c r="TX217" s="1575"/>
      <c r="TY217" s="2674"/>
      <c r="TZ217" s="1868"/>
      <c r="UA217" s="2941"/>
      <c r="UB217" s="2941"/>
      <c r="UC217" s="1575"/>
      <c r="UD217" s="2944"/>
      <c r="UE217" s="1568"/>
      <c r="UF217" s="2938"/>
      <c r="UG217" s="2938"/>
      <c r="UH217" s="1575"/>
      <c r="UI217" s="2674"/>
      <c r="UJ217" s="1568"/>
      <c r="UK217" s="2938"/>
      <c r="UL217" s="2938"/>
      <c r="UM217" s="1568"/>
      <c r="UN217" s="2673"/>
      <c r="UO217" s="1567"/>
      <c r="UP217" s="2938"/>
      <c r="UQ217" s="2938"/>
      <c r="UR217" s="2001">
        <v>0</v>
      </c>
      <c r="US217" s="655"/>
      <c r="UT217" s="190">
        <f t="shared" si="839"/>
        <v>0</v>
      </c>
      <c r="UU217" s="358">
        <f t="shared" si="850"/>
        <v>0</v>
      </c>
      <c r="UV217" s="358">
        <f t="shared" si="850"/>
        <v>0</v>
      </c>
      <c r="UW217" s="358">
        <f t="shared" si="850"/>
        <v>0</v>
      </c>
      <c r="UX217" s="2281">
        <v>0</v>
      </c>
      <c r="UY217" s="1863">
        <f t="shared" si="840"/>
        <v>0</v>
      </c>
      <c r="UZ217" s="105">
        <f t="shared" si="841"/>
        <v>0</v>
      </c>
      <c r="VA217" s="105">
        <f t="shared" si="841"/>
        <v>0</v>
      </c>
      <c r="VB217" s="105">
        <f t="shared" si="841"/>
        <v>0</v>
      </c>
      <c r="VC217" s="106"/>
      <c r="VD217" s="358">
        <f>(TA217+TF217+TK217)/3</f>
        <v>0</v>
      </c>
      <c r="VE217" s="358">
        <f t="shared" si="842"/>
        <v>0</v>
      </c>
      <c r="VF217" s="358">
        <f t="shared" si="842"/>
        <v>0</v>
      </c>
      <c r="VG217" s="359">
        <f t="shared" si="842"/>
        <v>0</v>
      </c>
      <c r="VH217" s="169"/>
      <c r="VI217" s="686">
        <f t="shared" si="843"/>
        <v>0</v>
      </c>
      <c r="VJ217" s="146">
        <f t="shared" si="844"/>
        <v>0</v>
      </c>
      <c r="VK217" s="146">
        <f t="shared" si="844"/>
        <v>0</v>
      </c>
      <c r="VL217" s="1864">
        <f t="shared" si="844"/>
        <v>0</v>
      </c>
      <c r="VM217" s="1059">
        <v>0</v>
      </c>
      <c r="VN217" s="190">
        <f t="shared" si="845"/>
        <v>0</v>
      </c>
      <c r="VO217" s="358">
        <f t="shared" si="846"/>
        <v>0</v>
      </c>
      <c r="VP217" s="358">
        <f t="shared" si="846"/>
        <v>0</v>
      </c>
      <c r="VQ217" s="359">
        <f t="shared" si="846"/>
        <v>0</v>
      </c>
      <c r="VR217" s="2155">
        <v>0</v>
      </c>
    </row>
    <row r="218" spans="1:745" s="1193" customFormat="1" ht="13.6" hidden="1" customHeight="1" x14ac:dyDescent="0.3">
      <c r="A218" s="1297"/>
      <c r="B218" s="113" t="s">
        <v>124</v>
      </c>
      <c r="C218" s="2843" t="s">
        <v>129</v>
      </c>
      <c r="D218" s="4067" t="s">
        <v>875</v>
      </c>
      <c r="E218" s="384"/>
      <c r="F218" s="384"/>
      <c r="G218" s="2161">
        <v>725000</v>
      </c>
      <c r="H218" s="2845"/>
      <c r="I218" s="2846"/>
      <c r="J218" s="2846"/>
      <c r="K218" s="2846"/>
      <c r="L218" s="2847"/>
      <c r="M218" s="2845"/>
      <c r="N218" s="2846"/>
      <c r="O218" s="2846"/>
      <c r="P218" s="2846"/>
      <c r="Q218" s="2847"/>
      <c r="R218" s="2845"/>
      <c r="S218" s="2846"/>
      <c r="T218" s="2846"/>
      <c r="U218" s="2846"/>
      <c r="V218" s="2847"/>
      <c r="W218" s="2845"/>
      <c r="X218" s="2846"/>
      <c r="Y218" s="2846"/>
      <c r="Z218" s="2846"/>
      <c r="AA218" s="2848"/>
      <c r="AB218" s="2845"/>
      <c r="AC218" s="2846"/>
      <c r="AD218" s="2846"/>
      <c r="AE218" s="2846"/>
      <c r="AF218" s="2848"/>
      <c r="AG218" s="2846"/>
      <c r="AH218" s="2846"/>
      <c r="AI218" s="2846"/>
      <c r="AJ218" s="2846"/>
      <c r="AK218" s="2847"/>
      <c r="AL218" s="2846"/>
      <c r="AM218" s="2846"/>
      <c r="AN218" s="2846"/>
      <c r="AO218" s="2846"/>
      <c r="AP218" s="2847"/>
      <c r="AQ218" s="2846"/>
      <c r="AR218" s="2846"/>
      <c r="AS218" s="2846"/>
      <c r="AT218" s="2846"/>
      <c r="AU218" s="2847"/>
      <c r="AV218" s="2849"/>
      <c r="AW218" s="2846"/>
      <c r="AX218" s="2846"/>
      <c r="AY218" s="2846"/>
      <c r="AZ218" s="2848"/>
      <c r="BA218" s="2849"/>
      <c r="BB218" s="2846"/>
      <c r="BC218" s="2846"/>
      <c r="BD218" s="2846"/>
      <c r="BE218" s="2848"/>
      <c r="BF218" s="2849"/>
      <c r="BG218" s="2846"/>
      <c r="BH218" s="2846"/>
      <c r="BI218" s="2846"/>
      <c r="BJ218" s="2848"/>
      <c r="BK218" s="2849"/>
      <c r="BL218" s="2846"/>
      <c r="BM218" s="2846"/>
      <c r="BN218" s="2846"/>
      <c r="BO218" s="2848"/>
      <c r="BP218" s="2850"/>
      <c r="BQ218" s="2846"/>
      <c r="BR218" s="2846"/>
      <c r="BS218" s="2846"/>
      <c r="BT218" s="2851"/>
      <c r="BU218" s="2846"/>
      <c r="BV218" s="2846"/>
      <c r="BW218" s="2852"/>
      <c r="BX218" s="2851"/>
      <c r="BY218" s="2846"/>
      <c r="BZ218" s="2846"/>
      <c r="CA218" s="2853"/>
      <c r="CB218" s="2846"/>
      <c r="CC218" s="2846"/>
      <c r="CD218" s="2846"/>
      <c r="CE218" s="2846"/>
      <c r="CF218" s="2851"/>
      <c r="CG218" s="2846"/>
      <c r="CH218" s="2846"/>
      <c r="CI218" s="2853"/>
      <c r="CJ218" s="2854"/>
      <c r="CK218" s="2846"/>
      <c r="CL218" s="2846"/>
      <c r="CM218" s="2846"/>
      <c r="CN218" s="2852"/>
      <c r="CO218" s="2854"/>
      <c r="CP218" s="2845"/>
      <c r="CQ218" s="2845"/>
      <c r="CR218" s="2845"/>
      <c r="CS218" s="2852"/>
      <c r="CT218" s="2854"/>
      <c r="CU218" s="2846"/>
      <c r="CV218" s="2846"/>
      <c r="CW218" s="2846"/>
      <c r="CX218" s="2852"/>
      <c r="CY218" s="2854"/>
      <c r="CZ218" s="2846"/>
      <c r="DA218" s="2846"/>
      <c r="DB218" s="2846"/>
      <c r="DC218" s="2852"/>
      <c r="DD218" s="2854"/>
      <c r="DE218" s="2846"/>
      <c r="DF218" s="2846"/>
      <c r="DG218" s="2846"/>
      <c r="DH218" s="2855"/>
      <c r="DI218" s="2854"/>
      <c r="DJ218" s="2846"/>
      <c r="DK218" s="2846"/>
      <c r="DL218" s="2846"/>
      <c r="DM218" s="2855"/>
      <c r="DN218" s="2854"/>
      <c r="DO218" s="2846"/>
      <c r="DP218" s="2846"/>
      <c r="DQ218" s="2846"/>
      <c r="DR218" s="2855"/>
      <c r="DS218" s="2854"/>
      <c r="DT218" s="2846"/>
      <c r="DU218" s="2846"/>
      <c r="DV218" s="2846"/>
      <c r="DW218" s="2855"/>
      <c r="DX218" s="2854"/>
      <c r="DY218" s="2846"/>
      <c r="DZ218" s="2846"/>
      <c r="EA218" s="2846"/>
      <c r="EB218" s="2855"/>
      <c r="EC218" s="2854"/>
      <c r="ED218" s="2846"/>
      <c r="EE218" s="2846"/>
      <c r="EF218" s="2846"/>
      <c r="EG218" s="2855"/>
      <c r="EH218" s="1567"/>
      <c r="EI218" s="1568"/>
      <c r="EJ218" s="1568"/>
      <c r="EK218" s="1568"/>
      <c r="EL218" s="353"/>
      <c r="EM218" s="1857"/>
      <c r="EN218" s="358"/>
      <c r="EO218" s="358"/>
      <c r="EP218" s="358"/>
      <c r="EQ218" s="94"/>
      <c r="ER218" s="2856"/>
      <c r="ES218" s="2857"/>
      <c r="ET218" s="2857"/>
      <c r="EU218" s="2857"/>
      <c r="EV218" s="1867"/>
      <c r="EW218" s="1569"/>
      <c r="EX218" s="1569"/>
      <c r="EY218" s="1569"/>
      <c r="EZ218" s="210"/>
      <c r="FA218" s="1567"/>
      <c r="FB218" s="1569"/>
      <c r="FC218" s="1569"/>
      <c r="FD218" s="220"/>
      <c r="FE218" s="1569"/>
      <c r="FF218" s="1569"/>
      <c r="FG218" s="1569"/>
      <c r="FH218" s="210"/>
      <c r="FI218" s="580"/>
      <c r="FJ218" s="579"/>
      <c r="FK218" s="137"/>
      <c r="FL218" s="137"/>
      <c r="FM218" s="151"/>
      <c r="FN218" s="1569"/>
      <c r="FO218" s="1568"/>
      <c r="FP218" s="1568"/>
      <c r="FQ218" s="1568"/>
      <c r="FR218" s="408"/>
      <c r="FS218" s="2858"/>
      <c r="FT218" s="2859"/>
      <c r="FU218" s="2859"/>
      <c r="FV218" s="2859"/>
      <c r="FW218" s="2860"/>
      <c r="FX218" s="1567"/>
      <c r="FY218" s="1568"/>
      <c r="FZ218" s="1568"/>
      <c r="GA218" s="2859"/>
      <c r="GB218" s="2860"/>
      <c r="GC218" s="1567"/>
      <c r="GD218" s="1568"/>
      <c r="GE218" s="1568"/>
      <c r="GF218" s="358"/>
      <c r="GG218" s="94"/>
      <c r="GH218" s="1857"/>
      <c r="GI218" s="358"/>
      <c r="GJ218" s="358"/>
      <c r="GK218" s="2861"/>
      <c r="GL218" s="2860"/>
      <c r="GM218" s="1857"/>
      <c r="GN218" s="358"/>
      <c r="GO218" s="358"/>
      <c r="GP218" s="2861"/>
      <c r="GQ218" s="2860"/>
      <c r="GR218" s="358"/>
      <c r="GS218" s="358"/>
      <c r="GT218" s="358"/>
      <c r="GU218" s="2861"/>
      <c r="GV218" s="2860"/>
      <c r="GW218" s="358"/>
      <c r="GX218" s="358"/>
      <c r="GY218" s="358"/>
      <c r="GZ218" s="2861"/>
      <c r="HA218" s="2860"/>
      <c r="HB218" s="358"/>
      <c r="HC218" s="358"/>
      <c r="HD218" s="358"/>
      <c r="HE218" s="2861"/>
      <c r="HF218" s="2860"/>
      <c r="HG218" s="358"/>
      <c r="HH218" s="358"/>
      <c r="HI218" s="358"/>
      <c r="HJ218" s="2861"/>
      <c r="HK218" s="2860"/>
      <c r="HL218" s="358"/>
      <c r="HM218" s="358"/>
      <c r="HN218" s="358"/>
      <c r="HO218" s="2861"/>
      <c r="HP218" s="2860"/>
      <c r="HQ218" s="2861"/>
      <c r="HR218" s="2861"/>
      <c r="HS218" s="2861"/>
      <c r="HT218" s="2861"/>
      <c r="HU218" s="2870"/>
      <c r="HV218" s="3812"/>
      <c r="HW218" s="208"/>
      <c r="HX218" s="208"/>
      <c r="HY218" s="208"/>
      <c r="HZ218" s="2737"/>
      <c r="IA218" s="1934"/>
      <c r="IB218" s="1855"/>
      <c r="IC218" s="1855"/>
      <c r="ID218" s="1856"/>
      <c r="IE218" s="2863"/>
      <c r="IF218" s="2863"/>
      <c r="IG218" s="2863"/>
      <c r="IH218" s="2864"/>
      <c r="II218" s="2865"/>
      <c r="IJ218" s="3813"/>
      <c r="IK218" s="3813"/>
      <c r="IL218" s="2864"/>
      <c r="IM218" s="2866"/>
      <c r="IN218" s="3813"/>
      <c r="IO218" s="3813"/>
      <c r="IP218" s="2867"/>
      <c r="IQ218" s="1568"/>
      <c r="IR218" s="2868"/>
      <c r="IS218" s="2015">
        <v>58000</v>
      </c>
      <c r="IT218" s="2015">
        <v>217500</v>
      </c>
      <c r="IU218" s="2869">
        <f>IT218-IS218</f>
        <v>159500</v>
      </c>
      <c r="IV218" s="2870">
        <f>IU218/IT218</f>
        <v>0.73333333333333328</v>
      </c>
      <c r="IW218" s="2858"/>
      <c r="IX218" s="2859"/>
      <c r="IY218" s="2859"/>
      <c r="IZ218" s="2859"/>
      <c r="JA218" s="2870"/>
      <c r="JB218" s="2871"/>
      <c r="JC218" s="1568">
        <v>87000</v>
      </c>
      <c r="JD218" s="1568">
        <v>145000</v>
      </c>
      <c r="JE218" s="2859">
        <v>58000</v>
      </c>
      <c r="JF218" s="2870">
        <v>0.4</v>
      </c>
      <c r="JG218" s="2871"/>
      <c r="JH218" s="1568"/>
      <c r="JI218" s="1568"/>
      <c r="JJ218" s="358"/>
      <c r="JK218" s="158"/>
      <c r="JL218" s="1857"/>
      <c r="JM218" s="358"/>
      <c r="JN218" s="358"/>
      <c r="JO218" s="2861"/>
      <c r="JP218" s="2870"/>
      <c r="JQ218" s="2873"/>
      <c r="JR218" s="1025"/>
      <c r="JS218" s="265"/>
      <c r="JT218" s="2872"/>
      <c r="JU218" s="2870"/>
      <c r="JV218" s="2874"/>
      <c r="JW218" s="358"/>
      <c r="JX218" s="2872"/>
      <c r="JY218" s="2861"/>
      <c r="JZ218" s="2860"/>
      <c r="KA218" s="357"/>
      <c r="KB218" s="358"/>
      <c r="KC218" s="2872"/>
      <c r="KD218" s="2861"/>
      <c r="KE218" s="2870"/>
      <c r="KF218" s="2875"/>
      <c r="KG218" s="358"/>
      <c r="KH218" s="2872"/>
      <c r="KI218" s="2861"/>
      <c r="KJ218" s="2870"/>
      <c r="KK218" s="2875"/>
      <c r="KL218" s="358"/>
      <c r="KM218" s="2872"/>
      <c r="KN218" s="2861"/>
      <c r="KO218" s="2860"/>
      <c r="KP218" s="357"/>
      <c r="KQ218" s="358"/>
      <c r="KR218" s="2872"/>
      <c r="KS218" s="2861"/>
      <c r="KT218" s="2870"/>
      <c r="KU218" s="3814"/>
      <c r="KV218" s="2861"/>
      <c r="KW218" s="2861"/>
      <c r="KX218" s="2861">
        <f>KW218-KV218</f>
        <v>0</v>
      </c>
      <c r="KY218" s="2860"/>
      <c r="KZ218" s="357"/>
      <c r="LA218" s="358">
        <f t="shared" si="822"/>
        <v>145000</v>
      </c>
      <c r="LB218" s="358">
        <f t="shared" si="822"/>
        <v>362500</v>
      </c>
      <c r="LC218" s="358">
        <f t="shared" si="822"/>
        <v>217500</v>
      </c>
      <c r="LD218" s="220">
        <f>LC218/LB218</f>
        <v>0.6</v>
      </c>
      <c r="LE218" s="1854"/>
      <c r="LF218" s="1855"/>
      <c r="LG218" s="1855"/>
      <c r="LH218" s="1856"/>
      <c r="LI218" s="2866"/>
      <c r="LJ218" s="2863"/>
      <c r="LK218" s="2863"/>
      <c r="LL218" s="2864"/>
      <c r="LM218" s="1934"/>
      <c r="LN218" s="2878"/>
      <c r="LO218" s="2878"/>
      <c r="LP218" s="151"/>
      <c r="LQ218" s="2866"/>
      <c r="LR218" s="3813"/>
      <c r="LS218" s="3813"/>
      <c r="LT218" s="2867"/>
      <c r="LU218" s="1568"/>
      <c r="LV218" s="1567"/>
      <c r="LW218" s="2938"/>
      <c r="LX218" s="2938"/>
      <c r="LY218" s="1568"/>
      <c r="LZ218" s="2939"/>
      <c r="MA218" s="1567"/>
      <c r="MB218" s="2938"/>
      <c r="MC218" s="2938"/>
      <c r="MD218" s="1568"/>
      <c r="ME218" s="2939"/>
      <c r="MF218" s="1569"/>
      <c r="MG218" s="2938"/>
      <c r="MH218" s="2938"/>
      <c r="MI218" s="1568"/>
      <c r="MJ218" s="220"/>
      <c r="MK218" s="2940"/>
      <c r="ML218" s="2938"/>
      <c r="MM218" s="2938"/>
      <c r="MN218" s="1568"/>
      <c r="MO218" s="220"/>
      <c r="MP218" s="2940"/>
      <c r="MQ218" s="2938"/>
      <c r="MR218" s="2938"/>
      <c r="MS218" s="1568"/>
      <c r="MT218" s="220"/>
      <c r="MU218" s="1868"/>
      <c r="MV218" s="2941"/>
      <c r="MW218" s="2941"/>
      <c r="MX218" s="1575"/>
      <c r="MY218" s="2674"/>
      <c r="MZ218" s="1868"/>
      <c r="NA218" s="2941"/>
      <c r="NB218" s="2941"/>
      <c r="NC218" s="1575"/>
      <c r="ND218" s="2674"/>
      <c r="NE218" s="1868"/>
      <c r="NF218" s="2941"/>
      <c r="NG218" s="2941"/>
      <c r="NH218" s="1575"/>
      <c r="NI218" s="2674"/>
      <c r="NJ218" s="1868"/>
      <c r="NK218" s="2941"/>
      <c r="NL218" s="2941"/>
      <c r="NM218" s="1575"/>
      <c r="NN218" s="2674"/>
      <c r="NO218" s="1568"/>
      <c r="NP218" s="2938"/>
      <c r="NQ218" s="2938"/>
      <c r="NR218" s="1575"/>
      <c r="NS218" s="2674"/>
      <c r="NT218" s="1568"/>
      <c r="NU218" s="2938"/>
      <c r="NV218" s="2938"/>
      <c r="NW218" s="1568"/>
      <c r="NX218" s="2673"/>
      <c r="NY218" s="1868"/>
      <c r="NZ218" s="2941">
        <v>0</v>
      </c>
      <c r="OA218" s="2941">
        <v>0</v>
      </c>
      <c r="OB218" s="2001">
        <v>0</v>
      </c>
      <c r="OC218" s="116"/>
      <c r="OD218" s="190">
        <f t="shared" si="823"/>
        <v>0</v>
      </c>
      <c r="OE218" s="358">
        <f t="shared" si="824"/>
        <v>0</v>
      </c>
      <c r="OF218" s="358">
        <f t="shared" si="824"/>
        <v>0</v>
      </c>
      <c r="OG218" s="358">
        <f t="shared" si="824"/>
        <v>0</v>
      </c>
      <c r="OH218" s="2673"/>
      <c r="OI218" s="3802">
        <f>(LV218+MA218+MF218)/3</f>
        <v>0</v>
      </c>
      <c r="OJ218" s="96">
        <f t="shared" si="851"/>
        <v>0</v>
      </c>
      <c r="OK218" s="96">
        <f t="shared" si="851"/>
        <v>0</v>
      </c>
      <c r="OL218" s="96">
        <f t="shared" si="851"/>
        <v>0</v>
      </c>
      <c r="OM218" s="114"/>
      <c r="ON218" s="358">
        <f>(MK218+MP218+MU218)/3</f>
        <v>0</v>
      </c>
      <c r="OO218" s="358">
        <f t="shared" si="852"/>
        <v>0</v>
      </c>
      <c r="OP218" s="358">
        <f t="shared" si="852"/>
        <v>0</v>
      </c>
      <c r="OQ218" s="359">
        <f t="shared" si="852"/>
        <v>0</v>
      </c>
      <c r="OR218" s="169"/>
      <c r="OS218" s="607">
        <f t="shared" si="827"/>
        <v>0</v>
      </c>
      <c r="OT218" s="137">
        <f t="shared" si="827"/>
        <v>0</v>
      </c>
      <c r="OU218" s="137">
        <f t="shared" si="827"/>
        <v>0</v>
      </c>
      <c r="OV218" s="3803">
        <f t="shared" si="827"/>
        <v>0</v>
      </c>
      <c r="OW218" s="169"/>
      <c r="OX218" s="357">
        <f t="shared" si="828"/>
        <v>0</v>
      </c>
      <c r="OY218" s="358">
        <f t="shared" si="829"/>
        <v>0</v>
      </c>
      <c r="OZ218" s="358">
        <f t="shared" si="829"/>
        <v>0</v>
      </c>
      <c r="PA218" s="359">
        <f t="shared" si="829"/>
        <v>0</v>
      </c>
      <c r="PB218" s="114"/>
      <c r="PC218" s="137"/>
      <c r="PD218" s="1567"/>
      <c r="PE218" s="2938">
        <v>0</v>
      </c>
      <c r="PF218" s="2938">
        <v>0</v>
      </c>
      <c r="PG218" s="1568"/>
      <c r="PH218" s="353"/>
      <c r="PI218" s="1567"/>
      <c r="PJ218" s="2938"/>
      <c r="PK218" s="2938"/>
      <c r="PL218" s="1568"/>
      <c r="PM218" s="2939"/>
      <c r="PN218" s="1569"/>
      <c r="PO218" s="2938"/>
      <c r="PP218" s="2938"/>
      <c r="PQ218" s="1568"/>
      <c r="PR218" s="220"/>
      <c r="PS218" s="2940"/>
      <c r="PT218" s="2938"/>
      <c r="PU218" s="2938"/>
      <c r="PV218" s="1568"/>
      <c r="PW218" s="220"/>
      <c r="PX218" s="2942"/>
      <c r="PY218" s="2943"/>
      <c r="PZ218" s="2943"/>
      <c r="QA218" s="358"/>
      <c r="QB218" s="151"/>
      <c r="QC218" s="1868"/>
      <c r="QD218" s="2941"/>
      <c r="QE218" s="2941"/>
      <c r="QF218" s="1575">
        <f t="shared" si="830"/>
        <v>0</v>
      </c>
      <c r="QG218" s="2674"/>
      <c r="QH218" s="405"/>
      <c r="QI218" s="2941"/>
      <c r="QJ218" s="2941"/>
      <c r="QK218" s="1575"/>
      <c r="QL218" s="2674"/>
      <c r="QM218" s="405"/>
      <c r="QN218" s="2941"/>
      <c r="QO218" s="2941"/>
      <c r="QP218" s="1575"/>
      <c r="QQ218" s="2674"/>
      <c r="QR218" s="1868"/>
      <c r="QS218" s="2941"/>
      <c r="QT218" s="2941"/>
      <c r="QU218" s="1575"/>
      <c r="QV218" s="2944"/>
      <c r="QW218" s="1568"/>
      <c r="QX218" s="2938"/>
      <c r="QY218" s="2938"/>
      <c r="QZ218" s="1575"/>
      <c r="RA218" s="2674"/>
      <c r="RB218" s="1568"/>
      <c r="RC218" s="2938"/>
      <c r="RD218" s="2938"/>
      <c r="RE218" s="1568"/>
      <c r="RF218" s="2673"/>
      <c r="RG218" s="1567"/>
      <c r="RH218" s="2938"/>
      <c r="RI218" s="2938"/>
      <c r="RJ218" s="2001">
        <v>0</v>
      </c>
      <c r="RK218" s="801"/>
      <c r="RL218" s="3718">
        <f t="shared" si="831"/>
        <v>0</v>
      </c>
      <c r="RM218" s="1568">
        <f t="shared" si="832"/>
        <v>0</v>
      </c>
      <c r="RN218" s="1568">
        <f t="shared" si="832"/>
        <v>0</v>
      </c>
      <c r="RO218" s="1568">
        <f t="shared" si="832"/>
        <v>0</v>
      </c>
      <c r="RP218" s="2673"/>
      <c r="RQ218" s="3802">
        <f t="shared" si="833"/>
        <v>0</v>
      </c>
      <c r="RR218" s="96">
        <f t="shared" si="834"/>
        <v>0</v>
      </c>
      <c r="RS218" s="96">
        <f t="shared" si="834"/>
        <v>0</v>
      </c>
      <c r="RT218" s="96">
        <f t="shared" si="834"/>
        <v>0</v>
      </c>
      <c r="RU218" s="114"/>
      <c r="RV218" s="358">
        <f>(PS218+PX218+QC218)/3</f>
        <v>0</v>
      </c>
      <c r="RW218" s="358">
        <f t="shared" si="835"/>
        <v>0</v>
      </c>
      <c r="RX218" s="358">
        <f t="shared" si="835"/>
        <v>0</v>
      </c>
      <c r="RY218" s="359">
        <f t="shared" si="835"/>
        <v>0</v>
      </c>
      <c r="RZ218" s="169"/>
      <c r="SA218" s="607">
        <f t="shared" si="847"/>
        <v>0</v>
      </c>
      <c r="SB218" s="137">
        <f t="shared" si="848"/>
        <v>0</v>
      </c>
      <c r="SC218" s="137">
        <f t="shared" si="848"/>
        <v>0</v>
      </c>
      <c r="SD218" s="3803">
        <f t="shared" si="848"/>
        <v>0</v>
      </c>
      <c r="SE218" s="978">
        <v>0</v>
      </c>
      <c r="SF218" s="190">
        <f t="shared" si="836"/>
        <v>0</v>
      </c>
      <c r="SG218" s="358">
        <f t="shared" si="849"/>
        <v>0</v>
      </c>
      <c r="SH218" s="358">
        <f t="shared" si="849"/>
        <v>0</v>
      </c>
      <c r="SI218" s="359">
        <f t="shared" si="849"/>
        <v>0</v>
      </c>
      <c r="SJ218" s="2155">
        <v>0</v>
      </c>
      <c r="SK218" s="1568"/>
      <c r="SL218" s="1567"/>
      <c r="SM218" s="2938">
        <v>0</v>
      </c>
      <c r="SN218" s="2938">
        <v>0</v>
      </c>
      <c r="SO218" s="3534">
        <f t="shared" si="837"/>
        <v>0</v>
      </c>
      <c r="SP218" s="3525">
        <v>0</v>
      </c>
      <c r="SQ218" s="1567"/>
      <c r="SR218" s="2938">
        <v>0</v>
      </c>
      <c r="SS218" s="2938">
        <v>0</v>
      </c>
      <c r="ST218" s="1568">
        <v>0</v>
      </c>
      <c r="SU218" s="2939"/>
      <c r="SV218" s="1858"/>
      <c r="SW218" s="2943"/>
      <c r="SX218" s="2943"/>
      <c r="SY218" s="358"/>
      <c r="SZ218" s="151"/>
      <c r="TA218" s="2942"/>
      <c r="TB218" s="2943"/>
      <c r="TC218" s="2943"/>
      <c r="TD218" s="358">
        <v>0</v>
      </c>
      <c r="TE218" s="151"/>
      <c r="TF218" s="2942"/>
      <c r="TG218" s="2943"/>
      <c r="TH218" s="2943"/>
      <c r="TI218" s="358">
        <v>0</v>
      </c>
      <c r="TJ218" s="151"/>
      <c r="TK218" s="1868"/>
      <c r="TL218" s="2941"/>
      <c r="TM218" s="2941"/>
      <c r="TN218" s="1575">
        <f t="shared" si="838"/>
        <v>0</v>
      </c>
      <c r="TO218" s="2674"/>
      <c r="TP218" s="4506"/>
      <c r="TQ218" s="2941"/>
      <c r="TR218" s="2941"/>
      <c r="TS218" s="1575"/>
      <c r="TT218" s="2674"/>
      <c r="TU218" s="4506"/>
      <c r="TV218" s="2941"/>
      <c r="TW218" s="2941"/>
      <c r="TX218" s="1575"/>
      <c r="TY218" s="2674"/>
      <c r="TZ218" s="1868"/>
      <c r="UA218" s="2941"/>
      <c r="UB218" s="2941"/>
      <c r="UC218" s="1575"/>
      <c r="UD218" s="2944"/>
      <c r="UE218" s="1568"/>
      <c r="UF218" s="2938"/>
      <c r="UG218" s="2938"/>
      <c r="UH218" s="1575"/>
      <c r="UI218" s="2674"/>
      <c r="UJ218" s="1568"/>
      <c r="UK218" s="2938"/>
      <c r="UL218" s="2938"/>
      <c r="UM218" s="1568"/>
      <c r="UN218" s="2673"/>
      <c r="UO218" s="1567"/>
      <c r="UP218" s="2938"/>
      <c r="UQ218" s="2938"/>
      <c r="UR218" s="2001">
        <v>0</v>
      </c>
      <c r="US218" s="655"/>
      <c r="UT218" s="190">
        <f t="shared" si="839"/>
        <v>0</v>
      </c>
      <c r="UU218" s="358">
        <f t="shared" si="850"/>
        <v>0</v>
      </c>
      <c r="UV218" s="358">
        <f t="shared" si="850"/>
        <v>0</v>
      </c>
      <c r="UW218" s="358">
        <f t="shared" si="850"/>
        <v>0</v>
      </c>
      <c r="UX218" s="2281">
        <v>0</v>
      </c>
      <c r="UY218" s="1863">
        <f t="shared" si="840"/>
        <v>0</v>
      </c>
      <c r="UZ218" s="105">
        <f t="shared" si="841"/>
        <v>0</v>
      </c>
      <c r="VA218" s="105">
        <f t="shared" si="841"/>
        <v>0</v>
      </c>
      <c r="VB218" s="105">
        <f t="shared" si="841"/>
        <v>0</v>
      </c>
      <c r="VC218" s="106"/>
      <c r="VD218" s="358">
        <f>(TA218+TF218+TK218)/3</f>
        <v>0</v>
      </c>
      <c r="VE218" s="358">
        <f t="shared" si="842"/>
        <v>0</v>
      </c>
      <c r="VF218" s="358">
        <f t="shared" si="842"/>
        <v>0</v>
      </c>
      <c r="VG218" s="359">
        <f t="shared" si="842"/>
        <v>0</v>
      </c>
      <c r="VH218" s="169"/>
      <c r="VI218" s="686">
        <f t="shared" si="843"/>
        <v>0</v>
      </c>
      <c r="VJ218" s="146">
        <f t="shared" si="844"/>
        <v>0</v>
      </c>
      <c r="VK218" s="146">
        <f t="shared" si="844"/>
        <v>0</v>
      </c>
      <c r="VL218" s="1864">
        <f t="shared" si="844"/>
        <v>0</v>
      </c>
      <c r="VM218" s="1059">
        <v>0</v>
      </c>
      <c r="VN218" s="190">
        <f t="shared" si="845"/>
        <v>0</v>
      </c>
      <c r="VO218" s="358">
        <f t="shared" si="846"/>
        <v>0</v>
      </c>
      <c r="VP218" s="358">
        <f t="shared" si="846"/>
        <v>0</v>
      </c>
      <c r="VQ218" s="359">
        <f t="shared" si="846"/>
        <v>0</v>
      </c>
      <c r="VR218" s="2155">
        <v>0</v>
      </c>
    </row>
    <row r="219" spans="1:745" s="1193" customFormat="1" ht="13.6" hidden="1" customHeight="1" x14ac:dyDescent="0.3">
      <c r="A219" s="1297"/>
      <c r="B219" s="113" t="s">
        <v>124</v>
      </c>
      <c r="C219" s="2843" t="s">
        <v>130</v>
      </c>
      <c r="D219" s="4068" t="s">
        <v>876</v>
      </c>
      <c r="E219" s="384"/>
      <c r="F219" s="384"/>
      <c r="G219" s="2161">
        <v>0</v>
      </c>
      <c r="H219" s="2845"/>
      <c r="I219" s="2846"/>
      <c r="J219" s="2846"/>
      <c r="K219" s="2846"/>
      <c r="L219" s="2847"/>
      <c r="M219" s="2845"/>
      <c r="N219" s="2846"/>
      <c r="O219" s="2846"/>
      <c r="P219" s="2846"/>
      <c r="Q219" s="2847"/>
      <c r="R219" s="2845"/>
      <c r="S219" s="2846"/>
      <c r="T219" s="2846"/>
      <c r="U219" s="2846"/>
      <c r="V219" s="2847"/>
      <c r="W219" s="2845"/>
      <c r="X219" s="2846"/>
      <c r="Y219" s="2846"/>
      <c r="Z219" s="2846"/>
      <c r="AA219" s="2848"/>
      <c r="AB219" s="2845"/>
      <c r="AC219" s="2846"/>
      <c r="AD219" s="2846"/>
      <c r="AE219" s="2846"/>
      <c r="AF219" s="2848"/>
      <c r="AG219" s="2846"/>
      <c r="AH219" s="2846"/>
      <c r="AI219" s="2846"/>
      <c r="AJ219" s="2846"/>
      <c r="AK219" s="2847"/>
      <c r="AL219" s="2846"/>
      <c r="AM219" s="2846"/>
      <c r="AN219" s="2846"/>
      <c r="AO219" s="2846"/>
      <c r="AP219" s="2847"/>
      <c r="AQ219" s="2846"/>
      <c r="AR219" s="2846"/>
      <c r="AS219" s="2846"/>
      <c r="AT219" s="2846"/>
      <c r="AU219" s="2847"/>
      <c r="AV219" s="2849"/>
      <c r="AW219" s="2846"/>
      <c r="AX219" s="2846"/>
      <c r="AY219" s="2846"/>
      <c r="AZ219" s="2848"/>
      <c r="BA219" s="2849"/>
      <c r="BB219" s="2846"/>
      <c r="BC219" s="2846"/>
      <c r="BD219" s="2846"/>
      <c r="BE219" s="2848"/>
      <c r="BF219" s="2849"/>
      <c r="BG219" s="2846"/>
      <c r="BH219" s="2846"/>
      <c r="BI219" s="2846"/>
      <c r="BJ219" s="2848"/>
      <c r="BK219" s="2849"/>
      <c r="BL219" s="2846"/>
      <c r="BM219" s="2846"/>
      <c r="BN219" s="2846"/>
      <c r="BO219" s="2848"/>
      <c r="BP219" s="2850"/>
      <c r="BQ219" s="2846"/>
      <c r="BR219" s="2846"/>
      <c r="BS219" s="2846"/>
      <c r="BT219" s="2851"/>
      <c r="BU219" s="2846"/>
      <c r="BV219" s="2846"/>
      <c r="BW219" s="2852"/>
      <c r="BX219" s="2851"/>
      <c r="BY219" s="2846"/>
      <c r="BZ219" s="2846"/>
      <c r="CA219" s="2853"/>
      <c r="CB219" s="2846"/>
      <c r="CC219" s="2846"/>
      <c r="CD219" s="2846"/>
      <c r="CE219" s="2846"/>
      <c r="CF219" s="2851"/>
      <c r="CG219" s="2846"/>
      <c r="CH219" s="2846"/>
      <c r="CI219" s="2853"/>
      <c r="CJ219" s="2854"/>
      <c r="CK219" s="2846"/>
      <c r="CL219" s="2846"/>
      <c r="CM219" s="2846"/>
      <c r="CN219" s="2852"/>
      <c r="CO219" s="2854"/>
      <c r="CP219" s="2845"/>
      <c r="CQ219" s="2845"/>
      <c r="CR219" s="2845"/>
      <c r="CS219" s="2852"/>
      <c r="CT219" s="2854"/>
      <c r="CU219" s="2846"/>
      <c r="CV219" s="2846"/>
      <c r="CW219" s="2846"/>
      <c r="CX219" s="2852"/>
      <c r="CY219" s="2854"/>
      <c r="CZ219" s="2846"/>
      <c r="DA219" s="2846"/>
      <c r="DB219" s="2846"/>
      <c r="DC219" s="2852"/>
      <c r="DD219" s="2854"/>
      <c r="DE219" s="2846"/>
      <c r="DF219" s="2846"/>
      <c r="DG219" s="2846"/>
      <c r="DH219" s="2855"/>
      <c r="DI219" s="2854"/>
      <c r="DJ219" s="2846"/>
      <c r="DK219" s="2846"/>
      <c r="DL219" s="2846"/>
      <c r="DM219" s="2855"/>
      <c r="DN219" s="2854"/>
      <c r="DO219" s="2846"/>
      <c r="DP219" s="2846"/>
      <c r="DQ219" s="2846"/>
      <c r="DR219" s="2855"/>
      <c r="DS219" s="2854"/>
      <c r="DT219" s="2846"/>
      <c r="DU219" s="2846"/>
      <c r="DV219" s="2846"/>
      <c r="DW219" s="2855"/>
      <c r="DX219" s="2854"/>
      <c r="DY219" s="2846"/>
      <c r="DZ219" s="2846"/>
      <c r="EA219" s="2846"/>
      <c r="EB219" s="2855"/>
      <c r="EC219" s="2854"/>
      <c r="ED219" s="2846"/>
      <c r="EE219" s="2846"/>
      <c r="EF219" s="2846"/>
      <c r="EG219" s="2855"/>
      <c r="EH219" s="1567"/>
      <c r="EI219" s="1568"/>
      <c r="EJ219" s="1568"/>
      <c r="EK219" s="1568"/>
      <c r="EL219" s="353"/>
      <c r="EM219" s="1857"/>
      <c r="EN219" s="358"/>
      <c r="EO219" s="358"/>
      <c r="EP219" s="358"/>
      <c r="EQ219" s="94"/>
      <c r="ER219" s="2856"/>
      <c r="ES219" s="2857"/>
      <c r="ET219" s="2857"/>
      <c r="EU219" s="2857"/>
      <c r="EV219" s="1867"/>
      <c r="EW219" s="1569"/>
      <c r="EX219" s="1569"/>
      <c r="EY219" s="1569"/>
      <c r="EZ219" s="210"/>
      <c r="FA219" s="1567"/>
      <c r="FB219" s="1569"/>
      <c r="FC219" s="1569"/>
      <c r="FD219" s="220"/>
      <c r="FE219" s="1569"/>
      <c r="FF219" s="1569"/>
      <c r="FG219" s="1569"/>
      <c r="FH219" s="210"/>
      <c r="FI219" s="580"/>
      <c r="FJ219" s="579"/>
      <c r="FK219" s="137"/>
      <c r="FL219" s="137"/>
      <c r="FM219" s="151"/>
      <c r="FN219" s="1569"/>
      <c r="FO219" s="1568"/>
      <c r="FP219" s="1568"/>
      <c r="FQ219" s="1568"/>
      <c r="FR219" s="408"/>
      <c r="FS219" s="2858"/>
      <c r="FT219" s="2859"/>
      <c r="FU219" s="2859"/>
      <c r="FV219" s="2859"/>
      <c r="FW219" s="2860"/>
      <c r="FX219" s="1567"/>
      <c r="FY219" s="1568"/>
      <c r="FZ219" s="1568"/>
      <c r="GA219" s="2859"/>
      <c r="GB219" s="2860"/>
      <c r="GC219" s="1567"/>
      <c r="GD219" s="1568"/>
      <c r="GE219" s="1568"/>
      <c r="GF219" s="358"/>
      <c r="GG219" s="94"/>
      <c r="GH219" s="1857"/>
      <c r="GI219" s="358"/>
      <c r="GJ219" s="358"/>
      <c r="GK219" s="2861">
        <f>GJ219-GI219</f>
        <v>0</v>
      </c>
      <c r="GL219" s="2860" t="e">
        <f>GK219/GJ219</f>
        <v>#DIV/0!</v>
      </c>
      <c r="GM219" s="1857"/>
      <c r="GN219" s="358"/>
      <c r="GO219" s="358"/>
      <c r="GP219" s="2861">
        <f>GO219-GN219</f>
        <v>0</v>
      </c>
      <c r="GQ219" s="2860" t="e">
        <f>GP219/GO219</f>
        <v>#DIV/0!</v>
      </c>
      <c r="GR219" s="358"/>
      <c r="GS219" s="358"/>
      <c r="GT219" s="358"/>
      <c r="GU219" s="2861">
        <f>GT219-GS219</f>
        <v>0</v>
      </c>
      <c r="GV219" s="2860" t="e">
        <f>GU219/GT219</f>
        <v>#DIV/0!</v>
      </c>
      <c r="GW219" s="358"/>
      <c r="GX219" s="358"/>
      <c r="GY219" s="358"/>
      <c r="GZ219" s="2861">
        <f>GY219-GX219</f>
        <v>0</v>
      </c>
      <c r="HA219" s="2860" t="e">
        <f>GZ219/GY219</f>
        <v>#DIV/0!</v>
      </c>
      <c r="HB219" s="358"/>
      <c r="HC219" s="358"/>
      <c r="HD219" s="358"/>
      <c r="HE219" s="2861">
        <f>HD219-HC219</f>
        <v>0</v>
      </c>
      <c r="HF219" s="2860" t="e">
        <f>HE219/HD219</f>
        <v>#DIV/0!</v>
      </c>
      <c r="HG219" s="358"/>
      <c r="HH219" s="358"/>
      <c r="HI219" s="358"/>
      <c r="HJ219" s="2861">
        <f>HI219-HH219</f>
        <v>0</v>
      </c>
      <c r="HK219" s="2860" t="e">
        <f>HJ219/HI219</f>
        <v>#DIV/0!</v>
      </c>
      <c r="HL219" s="358"/>
      <c r="HM219" s="358"/>
      <c r="HN219" s="358"/>
      <c r="HO219" s="2861"/>
      <c r="HP219" s="2860"/>
      <c r="HQ219" s="2861"/>
      <c r="HR219" s="2861"/>
      <c r="HS219" s="2861"/>
      <c r="HT219" s="2861"/>
      <c r="HU219" s="2870"/>
      <c r="HV219" s="3812">
        <f>FN219+FS219+FX219+GC219+GH219+GM219+GR219+GW219+HB219+HG219+HL219+HQ219</f>
        <v>0</v>
      </c>
      <c r="HW219" s="208">
        <f>FO219+FT219+FY219+GD219+GI219+GN219+GS219+GX219+HC219+HH219+HM219+HR219</f>
        <v>0</v>
      </c>
      <c r="HX219" s="208">
        <f>FP219+FU219+FZ219+GE219+GJ219+GO219+GT219+GY219+HD219+HI219+HN219+HS219</f>
        <v>0</v>
      </c>
      <c r="HY219" s="208">
        <f>FQ219+FV219+GA219+GF219+GK219+GP219+GU219+GZ219+HE219+HJ219+HO219+HT219</f>
        <v>0</v>
      </c>
      <c r="HZ219" s="2737"/>
      <c r="IA219" s="1934"/>
      <c r="IB219" s="1855"/>
      <c r="IC219" s="1855"/>
      <c r="ID219" s="1856"/>
      <c r="IE219" s="2863"/>
      <c r="IF219" s="2863"/>
      <c r="IG219" s="2863"/>
      <c r="IH219" s="2864"/>
      <c r="II219" s="2865"/>
      <c r="IJ219" s="3813"/>
      <c r="IK219" s="3813"/>
      <c r="IL219" s="2864"/>
      <c r="IM219" s="2866"/>
      <c r="IN219" s="3813"/>
      <c r="IO219" s="3813"/>
      <c r="IP219" s="2867"/>
      <c r="IQ219" s="1568"/>
      <c r="IR219" s="2868"/>
      <c r="IS219" s="2015"/>
      <c r="IT219" s="2015"/>
      <c r="IU219" s="2869"/>
      <c r="IV219" s="2870"/>
      <c r="IW219" s="2858"/>
      <c r="IX219" s="2859"/>
      <c r="IY219" s="2859"/>
      <c r="IZ219" s="2859"/>
      <c r="JA219" s="2870"/>
      <c r="JB219" s="2871"/>
      <c r="JC219" s="1568"/>
      <c r="JD219" s="1568"/>
      <c r="JE219" s="2859"/>
      <c r="JF219" s="2870"/>
      <c r="JG219" s="2871"/>
      <c r="JH219" s="1568"/>
      <c r="JI219" s="1568"/>
      <c r="JJ219" s="358"/>
      <c r="JK219" s="158"/>
      <c r="JL219" s="1857"/>
      <c r="JM219" s="358"/>
      <c r="JN219" s="358"/>
      <c r="JO219" s="2861">
        <f>JN219-JM219</f>
        <v>0</v>
      </c>
      <c r="JP219" s="2870"/>
      <c r="JQ219" s="2873"/>
      <c r="JR219" s="1025"/>
      <c r="JS219" s="265"/>
      <c r="JT219" s="2872">
        <f>JS219-JR219</f>
        <v>0</v>
      </c>
      <c r="JU219" s="2870"/>
      <c r="JV219" s="2874"/>
      <c r="JW219" s="358"/>
      <c r="JX219" s="2872"/>
      <c r="JY219" s="2861"/>
      <c r="JZ219" s="2860"/>
      <c r="KA219" s="357"/>
      <c r="KB219" s="358"/>
      <c r="KC219" s="2872"/>
      <c r="KD219" s="2861">
        <f>KC219-KB219</f>
        <v>0</v>
      </c>
      <c r="KE219" s="2870"/>
      <c r="KF219" s="2875"/>
      <c r="KG219" s="358"/>
      <c r="KH219" s="2872"/>
      <c r="KI219" s="2861"/>
      <c r="KJ219" s="2870"/>
      <c r="KK219" s="2875"/>
      <c r="KL219" s="358"/>
      <c r="KM219" s="2872"/>
      <c r="KN219" s="2861">
        <f>KM219-KL219</f>
        <v>0</v>
      </c>
      <c r="KO219" s="2860"/>
      <c r="KP219" s="357"/>
      <c r="KQ219" s="358"/>
      <c r="KR219" s="2872"/>
      <c r="KS219" s="2861">
        <f>KR219-KQ219</f>
        <v>0</v>
      </c>
      <c r="KT219" s="2870"/>
      <c r="KU219" s="3814"/>
      <c r="KV219" s="2861"/>
      <c r="KW219" s="2861"/>
      <c r="KX219" s="2861">
        <f>KW219-KV219</f>
        <v>0</v>
      </c>
      <c r="KY219" s="2860"/>
      <c r="KZ219" s="357">
        <f>IR219+IW219+JB219+JG219+JL219+JQ219+JV219+KA219+KF219+KK219+KP219+KU219</f>
        <v>0</v>
      </c>
      <c r="LA219" s="358">
        <f t="shared" si="822"/>
        <v>0</v>
      </c>
      <c r="LB219" s="358">
        <f t="shared" si="822"/>
        <v>0</v>
      </c>
      <c r="LC219" s="358">
        <f t="shared" si="822"/>
        <v>0</v>
      </c>
      <c r="LD219" s="220"/>
      <c r="LE219" s="1854"/>
      <c r="LF219" s="1855"/>
      <c r="LG219" s="1855"/>
      <c r="LH219" s="1856"/>
      <c r="LI219" s="2866"/>
      <c r="LJ219" s="2863"/>
      <c r="LK219" s="2863"/>
      <c r="LL219" s="2864"/>
      <c r="LM219" s="1934">
        <f>(JV219+KA219+KF219)/3</f>
        <v>0</v>
      </c>
      <c r="LN219" s="2878">
        <f>(JX219+KC219+KH219)</f>
        <v>0</v>
      </c>
      <c r="LO219" s="2878">
        <f>(JY219+KD219+KI219)</f>
        <v>0</v>
      </c>
      <c r="LP219" s="151"/>
      <c r="LQ219" s="2866"/>
      <c r="LR219" s="3813"/>
      <c r="LS219" s="3813"/>
      <c r="LT219" s="2867"/>
      <c r="LU219" s="1568"/>
      <c r="LV219" s="1567"/>
      <c r="LW219" s="2938"/>
      <c r="LX219" s="2938"/>
      <c r="LY219" s="1568"/>
      <c r="LZ219" s="2939"/>
      <c r="MA219" s="1567"/>
      <c r="MB219" s="2938"/>
      <c r="MC219" s="2938"/>
      <c r="MD219" s="1568"/>
      <c r="ME219" s="2939"/>
      <c r="MF219" s="1569"/>
      <c r="MG219" s="2938"/>
      <c r="MH219" s="2938"/>
      <c r="MI219" s="1568"/>
      <c r="MJ219" s="220"/>
      <c r="MK219" s="2940"/>
      <c r="ML219" s="2938"/>
      <c r="MM219" s="2938"/>
      <c r="MN219" s="1568"/>
      <c r="MO219" s="220"/>
      <c r="MP219" s="2940"/>
      <c r="MQ219" s="2938"/>
      <c r="MR219" s="2938"/>
      <c r="MS219" s="1568"/>
      <c r="MT219" s="220"/>
      <c r="MU219" s="1868"/>
      <c r="MV219" s="2941"/>
      <c r="MW219" s="2941"/>
      <c r="MX219" s="1575"/>
      <c r="MY219" s="2674"/>
      <c r="MZ219" s="1868"/>
      <c r="NA219" s="2941"/>
      <c r="NB219" s="2941"/>
      <c r="NC219" s="1575"/>
      <c r="ND219" s="2674"/>
      <c r="NE219" s="1868"/>
      <c r="NF219" s="2941"/>
      <c r="NG219" s="2941"/>
      <c r="NH219" s="1575"/>
      <c r="NI219" s="2674"/>
      <c r="NJ219" s="1868"/>
      <c r="NK219" s="2941"/>
      <c r="NL219" s="2941"/>
      <c r="NM219" s="1575"/>
      <c r="NN219" s="2674"/>
      <c r="NO219" s="1568"/>
      <c r="NP219" s="2938"/>
      <c r="NQ219" s="2938"/>
      <c r="NR219" s="1575"/>
      <c r="NS219" s="2674"/>
      <c r="NT219" s="1568"/>
      <c r="NU219" s="2938"/>
      <c r="NV219" s="2938"/>
      <c r="NW219" s="1568"/>
      <c r="NX219" s="2673"/>
      <c r="NY219" s="1868"/>
      <c r="NZ219" s="2941">
        <v>0</v>
      </c>
      <c r="OA219" s="2941">
        <v>0</v>
      </c>
      <c r="OB219" s="2001">
        <v>0</v>
      </c>
      <c r="OC219" s="116"/>
      <c r="OD219" s="190">
        <f t="shared" si="823"/>
        <v>0</v>
      </c>
      <c r="OE219" s="358">
        <f t="shared" si="824"/>
        <v>0</v>
      </c>
      <c r="OF219" s="358">
        <f t="shared" si="824"/>
        <v>0</v>
      </c>
      <c r="OG219" s="358">
        <f t="shared" si="824"/>
        <v>0</v>
      </c>
      <c r="OH219" s="2673"/>
      <c r="OI219" s="3802">
        <f>(LV219+MA219+MF219)/3</f>
        <v>0</v>
      </c>
      <c r="OJ219" s="96">
        <f t="shared" si="851"/>
        <v>0</v>
      </c>
      <c r="OK219" s="96">
        <f t="shared" si="851"/>
        <v>0</v>
      </c>
      <c r="OL219" s="96">
        <f t="shared" si="851"/>
        <v>0</v>
      </c>
      <c r="OM219" s="114"/>
      <c r="ON219" s="358">
        <f>(MK219+MP219+MU219)/3</f>
        <v>0</v>
      </c>
      <c r="OO219" s="358">
        <f t="shared" si="852"/>
        <v>0</v>
      </c>
      <c r="OP219" s="358">
        <f t="shared" si="852"/>
        <v>0</v>
      </c>
      <c r="OQ219" s="359">
        <f t="shared" si="852"/>
        <v>0</v>
      </c>
      <c r="OR219" s="169"/>
      <c r="OS219" s="607">
        <f t="shared" si="827"/>
        <v>0</v>
      </c>
      <c r="OT219" s="137">
        <f t="shared" si="827"/>
        <v>0</v>
      </c>
      <c r="OU219" s="137">
        <f t="shared" si="827"/>
        <v>0</v>
      </c>
      <c r="OV219" s="3803">
        <f t="shared" si="827"/>
        <v>0</v>
      </c>
      <c r="OW219" s="169"/>
      <c r="OX219" s="357">
        <f t="shared" si="828"/>
        <v>0</v>
      </c>
      <c r="OY219" s="358">
        <f t="shared" si="829"/>
        <v>0</v>
      </c>
      <c r="OZ219" s="358">
        <f t="shared" si="829"/>
        <v>0</v>
      </c>
      <c r="PA219" s="359">
        <f t="shared" si="829"/>
        <v>0</v>
      </c>
      <c r="PB219" s="114"/>
      <c r="PC219" s="137"/>
      <c r="PD219" s="1567"/>
      <c r="PE219" s="2938">
        <v>0</v>
      </c>
      <c r="PF219" s="2938">
        <v>0</v>
      </c>
      <c r="PG219" s="1568"/>
      <c r="PH219" s="353"/>
      <c r="PI219" s="1567"/>
      <c r="PJ219" s="2938"/>
      <c r="PK219" s="2938"/>
      <c r="PL219" s="1568"/>
      <c r="PM219" s="2939"/>
      <c r="PN219" s="1569"/>
      <c r="PO219" s="2938"/>
      <c r="PP219" s="2938"/>
      <c r="PQ219" s="1568"/>
      <c r="PR219" s="220"/>
      <c r="PS219" s="2940"/>
      <c r="PT219" s="2938"/>
      <c r="PU219" s="2938"/>
      <c r="PV219" s="1568"/>
      <c r="PW219" s="220"/>
      <c r="PX219" s="2942"/>
      <c r="PY219" s="2943"/>
      <c r="PZ219" s="2943"/>
      <c r="QA219" s="358"/>
      <c r="QB219" s="151"/>
      <c r="QC219" s="1868"/>
      <c r="QD219" s="2941"/>
      <c r="QE219" s="2941"/>
      <c r="QF219" s="1575">
        <f t="shared" si="830"/>
        <v>0</v>
      </c>
      <c r="QG219" s="2674"/>
      <c r="QH219" s="405"/>
      <c r="QI219" s="2941"/>
      <c r="QJ219" s="2941"/>
      <c r="QK219" s="1575"/>
      <c r="QL219" s="2674"/>
      <c r="QM219" s="405"/>
      <c r="QN219" s="2941"/>
      <c r="QO219" s="2941"/>
      <c r="QP219" s="1575"/>
      <c r="QQ219" s="2674"/>
      <c r="QR219" s="1868"/>
      <c r="QS219" s="2941"/>
      <c r="QT219" s="2941"/>
      <c r="QU219" s="1575"/>
      <c r="QV219" s="2944"/>
      <c r="QW219" s="1568"/>
      <c r="QX219" s="2938"/>
      <c r="QY219" s="2938"/>
      <c r="QZ219" s="1575"/>
      <c r="RA219" s="2674"/>
      <c r="RB219" s="1568"/>
      <c r="RC219" s="2938"/>
      <c r="RD219" s="2938"/>
      <c r="RE219" s="1568"/>
      <c r="RF219" s="2673"/>
      <c r="RG219" s="1567"/>
      <c r="RH219" s="2938"/>
      <c r="RI219" s="2938"/>
      <c r="RJ219" s="2001">
        <v>0</v>
      </c>
      <c r="RK219" s="801"/>
      <c r="RL219" s="3718">
        <f t="shared" si="831"/>
        <v>0</v>
      </c>
      <c r="RM219" s="1568">
        <f t="shared" si="832"/>
        <v>0</v>
      </c>
      <c r="RN219" s="1568">
        <f t="shared" si="832"/>
        <v>0</v>
      </c>
      <c r="RO219" s="1568">
        <f t="shared" si="832"/>
        <v>0</v>
      </c>
      <c r="RP219" s="2673"/>
      <c r="RQ219" s="3802">
        <f t="shared" si="833"/>
        <v>0</v>
      </c>
      <c r="RR219" s="96">
        <f t="shared" si="834"/>
        <v>0</v>
      </c>
      <c r="RS219" s="96">
        <f t="shared" si="834"/>
        <v>0</v>
      </c>
      <c r="RT219" s="96">
        <f t="shared" si="834"/>
        <v>0</v>
      </c>
      <c r="RU219" s="114"/>
      <c r="RV219" s="358">
        <f>(PS219+PX219+QC219)/3</f>
        <v>0</v>
      </c>
      <c r="RW219" s="358">
        <f t="shared" si="835"/>
        <v>0</v>
      </c>
      <c r="RX219" s="358">
        <f t="shared" si="835"/>
        <v>0</v>
      </c>
      <c r="RY219" s="359">
        <f t="shared" si="835"/>
        <v>0</v>
      </c>
      <c r="RZ219" s="169"/>
      <c r="SA219" s="607">
        <f t="shared" si="847"/>
        <v>0</v>
      </c>
      <c r="SB219" s="137">
        <f t="shared" si="848"/>
        <v>0</v>
      </c>
      <c r="SC219" s="137">
        <f t="shared" si="848"/>
        <v>0</v>
      </c>
      <c r="SD219" s="3803">
        <f t="shared" si="848"/>
        <v>0</v>
      </c>
      <c r="SE219" s="978">
        <v>0</v>
      </c>
      <c r="SF219" s="190">
        <f t="shared" si="836"/>
        <v>0</v>
      </c>
      <c r="SG219" s="358">
        <f t="shared" si="849"/>
        <v>0</v>
      </c>
      <c r="SH219" s="358">
        <f t="shared" si="849"/>
        <v>0</v>
      </c>
      <c r="SI219" s="359">
        <f t="shared" si="849"/>
        <v>0</v>
      </c>
      <c r="SJ219" s="2155">
        <v>0</v>
      </c>
      <c r="SK219" s="1568"/>
      <c r="SL219" s="1567"/>
      <c r="SM219" s="2938">
        <v>0</v>
      </c>
      <c r="SN219" s="2938">
        <v>0</v>
      </c>
      <c r="SO219" s="3534">
        <f t="shared" si="837"/>
        <v>0</v>
      </c>
      <c r="SP219" s="3525">
        <v>0</v>
      </c>
      <c r="SQ219" s="1567"/>
      <c r="SR219" s="2938">
        <v>0</v>
      </c>
      <c r="SS219" s="2938">
        <v>0</v>
      </c>
      <c r="ST219" s="1568">
        <v>0</v>
      </c>
      <c r="SU219" s="2939"/>
      <c r="SV219" s="1858"/>
      <c r="SW219" s="2943"/>
      <c r="SX219" s="2943"/>
      <c r="SY219" s="358"/>
      <c r="SZ219" s="151"/>
      <c r="TA219" s="2942"/>
      <c r="TB219" s="2943"/>
      <c r="TC219" s="2943"/>
      <c r="TD219" s="358">
        <v>0</v>
      </c>
      <c r="TE219" s="151"/>
      <c r="TF219" s="2942"/>
      <c r="TG219" s="2943"/>
      <c r="TH219" s="2943"/>
      <c r="TI219" s="358">
        <v>0</v>
      </c>
      <c r="TJ219" s="151"/>
      <c r="TK219" s="1868"/>
      <c r="TL219" s="2941"/>
      <c r="TM219" s="2941"/>
      <c r="TN219" s="1575">
        <f t="shared" si="838"/>
        <v>0</v>
      </c>
      <c r="TO219" s="2674"/>
      <c r="TP219" s="4506"/>
      <c r="TQ219" s="2941"/>
      <c r="TR219" s="2941"/>
      <c r="TS219" s="1575"/>
      <c r="TT219" s="2674"/>
      <c r="TU219" s="4506"/>
      <c r="TV219" s="2941"/>
      <c r="TW219" s="2941"/>
      <c r="TX219" s="1575"/>
      <c r="TY219" s="2674"/>
      <c r="TZ219" s="1868"/>
      <c r="UA219" s="2941"/>
      <c r="UB219" s="2941"/>
      <c r="UC219" s="1575"/>
      <c r="UD219" s="2944"/>
      <c r="UE219" s="1568"/>
      <c r="UF219" s="2938"/>
      <c r="UG219" s="2938"/>
      <c r="UH219" s="1575"/>
      <c r="UI219" s="2674"/>
      <c r="UJ219" s="1568"/>
      <c r="UK219" s="2938"/>
      <c r="UL219" s="2938"/>
      <c r="UM219" s="1568"/>
      <c r="UN219" s="2673"/>
      <c r="UO219" s="1567"/>
      <c r="UP219" s="2938"/>
      <c r="UQ219" s="2938"/>
      <c r="UR219" s="2001">
        <v>0</v>
      </c>
      <c r="US219" s="655"/>
      <c r="UT219" s="190">
        <f t="shared" si="839"/>
        <v>0</v>
      </c>
      <c r="UU219" s="358">
        <f t="shared" si="850"/>
        <v>0</v>
      </c>
      <c r="UV219" s="358">
        <f t="shared" si="850"/>
        <v>0</v>
      </c>
      <c r="UW219" s="358">
        <f t="shared" si="850"/>
        <v>0</v>
      </c>
      <c r="UX219" s="2281">
        <v>0</v>
      </c>
      <c r="UY219" s="1863">
        <f t="shared" si="840"/>
        <v>0</v>
      </c>
      <c r="UZ219" s="105">
        <f t="shared" si="841"/>
        <v>0</v>
      </c>
      <c r="VA219" s="105">
        <f t="shared" si="841"/>
        <v>0</v>
      </c>
      <c r="VB219" s="105">
        <f t="shared" si="841"/>
        <v>0</v>
      </c>
      <c r="VC219" s="106"/>
      <c r="VD219" s="358">
        <f>(TA219+TF219+TK219)/3</f>
        <v>0</v>
      </c>
      <c r="VE219" s="358">
        <f t="shared" si="842"/>
        <v>0</v>
      </c>
      <c r="VF219" s="358">
        <f t="shared" si="842"/>
        <v>0</v>
      </c>
      <c r="VG219" s="359">
        <f t="shared" si="842"/>
        <v>0</v>
      </c>
      <c r="VH219" s="169"/>
      <c r="VI219" s="686">
        <f t="shared" si="843"/>
        <v>0</v>
      </c>
      <c r="VJ219" s="146">
        <f t="shared" si="844"/>
        <v>0</v>
      </c>
      <c r="VK219" s="146">
        <f t="shared" si="844"/>
        <v>0</v>
      </c>
      <c r="VL219" s="1864">
        <f t="shared" si="844"/>
        <v>0</v>
      </c>
      <c r="VM219" s="1059">
        <v>0</v>
      </c>
      <c r="VN219" s="190">
        <f t="shared" si="845"/>
        <v>0</v>
      </c>
      <c r="VO219" s="358">
        <f t="shared" si="846"/>
        <v>0</v>
      </c>
      <c r="VP219" s="358">
        <f t="shared" si="846"/>
        <v>0</v>
      </c>
      <c r="VQ219" s="359">
        <f t="shared" si="846"/>
        <v>0</v>
      </c>
      <c r="VR219" s="2155">
        <v>0</v>
      </c>
    </row>
    <row r="220" spans="1:745" s="1193" customFormat="1" ht="13.6" hidden="1" customHeight="1" thickBot="1" x14ac:dyDescent="0.35">
      <c r="A220" s="1297"/>
      <c r="B220" s="113" t="s">
        <v>124</v>
      </c>
      <c r="C220" s="979" t="s">
        <v>877</v>
      </c>
      <c r="D220" s="4068" t="s">
        <v>878</v>
      </c>
      <c r="E220" s="384"/>
      <c r="F220" s="384"/>
      <c r="G220" s="2161">
        <v>0</v>
      </c>
      <c r="H220" s="2845"/>
      <c r="I220" s="2846"/>
      <c r="J220" s="2846"/>
      <c r="K220" s="2846"/>
      <c r="L220" s="2847"/>
      <c r="M220" s="2845"/>
      <c r="N220" s="2846"/>
      <c r="O220" s="2846"/>
      <c r="P220" s="2846"/>
      <c r="Q220" s="2847"/>
      <c r="R220" s="2845"/>
      <c r="S220" s="2846"/>
      <c r="T220" s="2846"/>
      <c r="U220" s="2846"/>
      <c r="V220" s="2847"/>
      <c r="W220" s="2845"/>
      <c r="X220" s="2846"/>
      <c r="Y220" s="2846"/>
      <c r="Z220" s="2846"/>
      <c r="AA220" s="2848"/>
      <c r="AB220" s="2845"/>
      <c r="AC220" s="2846"/>
      <c r="AD220" s="2846"/>
      <c r="AE220" s="2846"/>
      <c r="AF220" s="2848"/>
      <c r="AG220" s="2846"/>
      <c r="AH220" s="2846"/>
      <c r="AI220" s="2846"/>
      <c r="AJ220" s="2846"/>
      <c r="AK220" s="2847"/>
      <c r="AL220" s="2846"/>
      <c r="AM220" s="2846"/>
      <c r="AN220" s="2846"/>
      <c r="AO220" s="2846"/>
      <c r="AP220" s="2847"/>
      <c r="AQ220" s="2846"/>
      <c r="AR220" s="2846"/>
      <c r="AS220" s="2846"/>
      <c r="AT220" s="2846"/>
      <c r="AU220" s="2847"/>
      <c r="AV220" s="2849"/>
      <c r="AW220" s="2846"/>
      <c r="AX220" s="2846"/>
      <c r="AY220" s="2846"/>
      <c r="AZ220" s="2848"/>
      <c r="BA220" s="2849"/>
      <c r="BB220" s="2846"/>
      <c r="BC220" s="2846"/>
      <c r="BD220" s="2846"/>
      <c r="BE220" s="2848"/>
      <c r="BF220" s="2849"/>
      <c r="BG220" s="2846"/>
      <c r="BH220" s="2846"/>
      <c r="BI220" s="2846"/>
      <c r="BJ220" s="2848"/>
      <c r="BK220" s="2849"/>
      <c r="BL220" s="2846"/>
      <c r="BM220" s="2846"/>
      <c r="BN220" s="2846"/>
      <c r="BO220" s="2848"/>
      <c r="BP220" s="2850"/>
      <c r="BQ220" s="2846"/>
      <c r="BR220" s="2846"/>
      <c r="BS220" s="2846"/>
      <c r="BT220" s="2851"/>
      <c r="BU220" s="2846"/>
      <c r="BV220" s="2846"/>
      <c r="BW220" s="2852"/>
      <c r="BX220" s="2851"/>
      <c r="BY220" s="2846"/>
      <c r="BZ220" s="2846"/>
      <c r="CA220" s="2853"/>
      <c r="CB220" s="2846"/>
      <c r="CC220" s="2846"/>
      <c r="CD220" s="2846"/>
      <c r="CE220" s="2846"/>
      <c r="CF220" s="2851"/>
      <c r="CG220" s="2846"/>
      <c r="CH220" s="2846"/>
      <c r="CI220" s="2853"/>
      <c r="CJ220" s="2854"/>
      <c r="CK220" s="2846"/>
      <c r="CL220" s="2846"/>
      <c r="CM220" s="2846"/>
      <c r="CN220" s="2852"/>
      <c r="CO220" s="2854"/>
      <c r="CP220" s="2845"/>
      <c r="CQ220" s="2845"/>
      <c r="CR220" s="2845"/>
      <c r="CS220" s="2852"/>
      <c r="CT220" s="2854"/>
      <c r="CU220" s="2846"/>
      <c r="CV220" s="2846"/>
      <c r="CW220" s="2846"/>
      <c r="CX220" s="2852"/>
      <c r="CY220" s="2854"/>
      <c r="CZ220" s="2846"/>
      <c r="DA220" s="2846"/>
      <c r="DB220" s="2846"/>
      <c r="DC220" s="2852"/>
      <c r="DD220" s="2854"/>
      <c r="DE220" s="2846"/>
      <c r="DF220" s="2846"/>
      <c r="DG220" s="2846"/>
      <c r="DH220" s="2855"/>
      <c r="DI220" s="2854"/>
      <c r="DJ220" s="2846"/>
      <c r="DK220" s="2846"/>
      <c r="DL220" s="2846"/>
      <c r="DM220" s="2855"/>
      <c r="DN220" s="2854"/>
      <c r="DO220" s="2846"/>
      <c r="DP220" s="2846"/>
      <c r="DQ220" s="2846"/>
      <c r="DR220" s="2855"/>
      <c r="DS220" s="2854"/>
      <c r="DT220" s="2846"/>
      <c r="DU220" s="2846"/>
      <c r="DV220" s="2846"/>
      <c r="DW220" s="2855"/>
      <c r="DX220" s="2854"/>
      <c r="DY220" s="2846"/>
      <c r="DZ220" s="2846"/>
      <c r="EA220" s="2846"/>
      <c r="EB220" s="2855"/>
      <c r="EC220" s="2854"/>
      <c r="ED220" s="2846"/>
      <c r="EE220" s="2846"/>
      <c r="EF220" s="2846"/>
      <c r="EG220" s="2855"/>
      <c r="EH220" s="1567"/>
      <c r="EI220" s="1568"/>
      <c r="EJ220" s="1568"/>
      <c r="EK220" s="1568"/>
      <c r="EL220" s="353"/>
      <c r="EM220" s="1857"/>
      <c r="EN220" s="358"/>
      <c r="EO220" s="358"/>
      <c r="EP220" s="358"/>
      <c r="EQ220" s="94"/>
      <c r="ER220" s="2856"/>
      <c r="ES220" s="2857"/>
      <c r="ET220" s="2857"/>
      <c r="EU220" s="2857"/>
      <c r="EV220" s="1867"/>
      <c r="EW220" s="1569"/>
      <c r="EX220" s="1569"/>
      <c r="EY220" s="1569"/>
      <c r="EZ220" s="210"/>
      <c r="FA220" s="1567"/>
      <c r="FB220" s="1569"/>
      <c r="FC220" s="1569"/>
      <c r="FD220" s="220"/>
      <c r="FE220" s="1569"/>
      <c r="FF220" s="1569"/>
      <c r="FG220" s="1569"/>
      <c r="FH220" s="210"/>
      <c r="FI220" s="580"/>
      <c r="FJ220" s="579"/>
      <c r="FK220" s="137"/>
      <c r="FL220" s="137"/>
      <c r="FM220" s="151"/>
      <c r="FN220" s="1569"/>
      <c r="FO220" s="1568"/>
      <c r="FP220" s="1568"/>
      <c r="FQ220" s="1568"/>
      <c r="FR220" s="408"/>
      <c r="FS220" s="2858"/>
      <c r="FT220" s="2859"/>
      <c r="FU220" s="2859"/>
      <c r="FV220" s="2859"/>
      <c r="FW220" s="2860"/>
      <c r="FX220" s="1567"/>
      <c r="FY220" s="1568"/>
      <c r="FZ220" s="1568"/>
      <c r="GA220" s="2859"/>
      <c r="GB220" s="2860"/>
      <c r="GC220" s="1567"/>
      <c r="GD220" s="1568"/>
      <c r="GE220" s="1568"/>
      <c r="GF220" s="358"/>
      <c r="GG220" s="94"/>
      <c r="GH220" s="1857"/>
      <c r="GI220" s="358"/>
      <c r="GJ220" s="358"/>
      <c r="GK220" s="2861"/>
      <c r="GL220" s="2860"/>
      <c r="GM220" s="1857"/>
      <c r="GN220" s="358"/>
      <c r="GO220" s="358"/>
      <c r="GP220" s="2861"/>
      <c r="GQ220" s="2860"/>
      <c r="GR220" s="358"/>
      <c r="GS220" s="358"/>
      <c r="GT220" s="358"/>
      <c r="GU220" s="2861"/>
      <c r="GV220" s="2860"/>
      <c r="GW220" s="358"/>
      <c r="GX220" s="358"/>
      <c r="GY220" s="358"/>
      <c r="GZ220" s="2861"/>
      <c r="HA220" s="2860"/>
      <c r="HB220" s="358"/>
      <c r="HC220" s="358"/>
      <c r="HD220" s="358"/>
      <c r="HE220" s="2861"/>
      <c r="HF220" s="2860"/>
      <c r="HG220" s="358"/>
      <c r="HH220" s="358"/>
      <c r="HI220" s="358"/>
      <c r="HJ220" s="2861"/>
      <c r="HK220" s="2860"/>
      <c r="HL220" s="358"/>
      <c r="HM220" s="358"/>
      <c r="HN220" s="358"/>
      <c r="HO220" s="2861"/>
      <c r="HP220" s="2860"/>
      <c r="HQ220" s="2861"/>
      <c r="HR220" s="2861"/>
      <c r="HS220" s="2861"/>
      <c r="HT220" s="2861"/>
      <c r="HU220" s="2870"/>
      <c r="HV220" s="3812"/>
      <c r="HW220" s="208"/>
      <c r="HX220" s="208"/>
      <c r="HY220" s="208"/>
      <c r="HZ220" s="2737"/>
      <c r="IA220" s="1934"/>
      <c r="IB220" s="1855"/>
      <c r="IC220" s="1855"/>
      <c r="ID220" s="1856"/>
      <c r="IE220" s="2863"/>
      <c r="IF220" s="2863"/>
      <c r="IG220" s="2863"/>
      <c r="IH220" s="2864"/>
      <c r="II220" s="2865"/>
      <c r="IJ220" s="3813"/>
      <c r="IK220" s="3813"/>
      <c r="IL220" s="2864"/>
      <c r="IM220" s="2866"/>
      <c r="IN220" s="3813"/>
      <c r="IO220" s="3813"/>
      <c r="IP220" s="2867"/>
      <c r="IQ220" s="1568"/>
      <c r="IR220" s="2868"/>
      <c r="IS220" s="2015"/>
      <c r="IT220" s="2015"/>
      <c r="IU220" s="2869"/>
      <c r="IV220" s="2870"/>
      <c r="IW220" s="2858"/>
      <c r="IX220" s="2859"/>
      <c r="IY220" s="2859"/>
      <c r="IZ220" s="2859"/>
      <c r="JA220" s="2870"/>
      <c r="JB220" s="2871"/>
      <c r="JC220" s="1568"/>
      <c r="JD220" s="1568"/>
      <c r="JE220" s="2859"/>
      <c r="JF220" s="2870"/>
      <c r="JG220" s="2871"/>
      <c r="JH220" s="1568"/>
      <c r="JI220" s="1568"/>
      <c r="JJ220" s="358"/>
      <c r="JK220" s="158"/>
      <c r="JL220" s="1857"/>
      <c r="JM220" s="358"/>
      <c r="JN220" s="358"/>
      <c r="JO220" s="2861"/>
      <c r="JP220" s="2870"/>
      <c r="JQ220" s="2873"/>
      <c r="JR220" s="1025"/>
      <c r="JS220" s="265"/>
      <c r="JT220" s="2872"/>
      <c r="JU220" s="2870"/>
      <c r="JV220" s="2874"/>
      <c r="JW220" s="358"/>
      <c r="JX220" s="2872"/>
      <c r="JY220" s="2861"/>
      <c r="JZ220" s="2860"/>
      <c r="KA220" s="357"/>
      <c r="KB220" s="358"/>
      <c r="KC220" s="2872"/>
      <c r="KD220" s="2861"/>
      <c r="KE220" s="2870"/>
      <c r="KF220" s="2875"/>
      <c r="KG220" s="358"/>
      <c r="KH220" s="2872"/>
      <c r="KI220" s="2861"/>
      <c r="KJ220" s="2870"/>
      <c r="KK220" s="2875"/>
      <c r="KL220" s="358"/>
      <c r="KM220" s="2872"/>
      <c r="KN220" s="2861"/>
      <c r="KO220" s="2860"/>
      <c r="KP220" s="357"/>
      <c r="KQ220" s="358"/>
      <c r="KR220" s="2872"/>
      <c r="KS220" s="2861"/>
      <c r="KT220" s="2870"/>
      <c r="KU220" s="3814"/>
      <c r="KV220" s="2861"/>
      <c r="KW220" s="2861"/>
      <c r="KX220" s="2861"/>
      <c r="KY220" s="2860"/>
      <c r="KZ220" s="357"/>
      <c r="LA220" s="358"/>
      <c r="LB220" s="358"/>
      <c r="LC220" s="358"/>
      <c r="LD220" s="220"/>
      <c r="LE220" s="1854"/>
      <c r="LF220" s="1855"/>
      <c r="LG220" s="1855"/>
      <c r="LH220" s="1856"/>
      <c r="LI220" s="2866"/>
      <c r="LJ220" s="2863"/>
      <c r="LK220" s="2863"/>
      <c r="LL220" s="2864"/>
      <c r="LM220" s="1934"/>
      <c r="LN220" s="2878"/>
      <c r="LO220" s="2878"/>
      <c r="LP220" s="151"/>
      <c r="LQ220" s="2866"/>
      <c r="LR220" s="3813"/>
      <c r="LS220" s="3813"/>
      <c r="LT220" s="2867"/>
      <c r="LU220" s="1568"/>
      <c r="LV220" s="1567"/>
      <c r="LW220" s="2938"/>
      <c r="LX220" s="2938"/>
      <c r="LY220" s="1568"/>
      <c r="LZ220" s="2939"/>
      <c r="MA220" s="1567"/>
      <c r="MB220" s="2938"/>
      <c r="MC220" s="2938"/>
      <c r="MD220" s="1568"/>
      <c r="ME220" s="2939"/>
      <c r="MF220" s="1569"/>
      <c r="MG220" s="2938"/>
      <c r="MH220" s="2938"/>
      <c r="MI220" s="1568"/>
      <c r="MJ220" s="220"/>
      <c r="MK220" s="2940"/>
      <c r="ML220" s="2938"/>
      <c r="MM220" s="2938"/>
      <c r="MN220" s="1568"/>
      <c r="MO220" s="220"/>
      <c r="MP220" s="2940"/>
      <c r="MQ220" s="2938"/>
      <c r="MR220" s="2938"/>
      <c r="MS220" s="1568"/>
      <c r="MT220" s="220"/>
      <c r="MU220" s="1868"/>
      <c r="MV220" s="2941"/>
      <c r="MW220" s="2941"/>
      <c r="MX220" s="1575"/>
      <c r="MY220" s="2674"/>
      <c r="MZ220" s="1868"/>
      <c r="NA220" s="2941"/>
      <c r="NB220" s="2941"/>
      <c r="NC220" s="1575"/>
      <c r="ND220" s="2674"/>
      <c r="NE220" s="1868"/>
      <c r="NF220" s="2941"/>
      <c r="NG220" s="2941"/>
      <c r="NH220" s="1575"/>
      <c r="NI220" s="2674"/>
      <c r="NJ220" s="1868"/>
      <c r="NK220" s="2941"/>
      <c r="NL220" s="2941"/>
      <c r="NM220" s="1575"/>
      <c r="NN220" s="2674"/>
      <c r="NO220" s="1568"/>
      <c r="NP220" s="2938"/>
      <c r="NQ220" s="2938"/>
      <c r="NR220" s="1575"/>
      <c r="NS220" s="2674"/>
      <c r="NT220" s="1568"/>
      <c r="NU220" s="2938"/>
      <c r="NV220" s="2938"/>
      <c r="NW220" s="1568"/>
      <c r="NX220" s="2673"/>
      <c r="NY220" s="1868"/>
      <c r="NZ220" s="2945">
        <v>210000</v>
      </c>
      <c r="OA220" s="2945">
        <v>220500</v>
      </c>
      <c r="OB220" s="395">
        <f>OA220-NZ220</f>
        <v>10500</v>
      </c>
      <c r="OC220" s="116">
        <f>OB220/OA220</f>
        <v>4.7619047619047616E-2</v>
      </c>
      <c r="OD220" s="190"/>
      <c r="OE220" s="358">
        <f t="shared" si="824"/>
        <v>210000</v>
      </c>
      <c r="OF220" s="358">
        <f t="shared" si="824"/>
        <v>220500</v>
      </c>
      <c r="OG220" s="358">
        <f t="shared" si="824"/>
        <v>10500</v>
      </c>
      <c r="OH220" s="220">
        <f>OG220/OF220</f>
        <v>4.7619047619047616E-2</v>
      </c>
      <c r="OI220" s="3802"/>
      <c r="OJ220" s="96"/>
      <c r="OK220" s="96"/>
      <c r="OL220" s="96"/>
      <c r="OM220" s="114"/>
      <c r="ON220" s="358"/>
      <c r="OO220" s="358"/>
      <c r="OP220" s="358"/>
      <c r="OQ220" s="359"/>
      <c r="OR220" s="169"/>
      <c r="OS220" s="607"/>
      <c r="OT220" s="137"/>
      <c r="OU220" s="137"/>
      <c r="OV220" s="3803"/>
      <c r="OW220" s="169"/>
      <c r="OX220" s="357">
        <f t="shared" si="828"/>
        <v>0</v>
      </c>
      <c r="OY220" s="358">
        <f t="shared" si="829"/>
        <v>210000</v>
      </c>
      <c r="OZ220" s="358">
        <f t="shared" si="829"/>
        <v>220500</v>
      </c>
      <c r="PA220" s="359">
        <f t="shared" si="829"/>
        <v>10500</v>
      </c>
      <c r="PB220" s="114">
        <f>PA220/OZ220</f>
        <v>4.7619047619047616E-2</v>
      </c>
      <c r="PC220" s="137"/>
      <c r="PD220" s="1567"/>
      <c r="PE220" s="2938">
        <v>0</v>
      </c>
      <c r="PF220" s="2938">
        <v>0</v>
      </c>
      <c r="PG220" s="1568"/>
      <c r="PH220" s="353"/>
      <c r="PI220" s="1567"/>
      <c r="PJ220" s="2946">
        <v>735000</v>
      </c>
      <c r="PK220" s="2938">
        <v>771750</v>
      </c>
      <c r="PL220" s="1568">
        <f>PK220-PJ220</f>
        <v>36750</v>
      </c>
      <c r="PM220" s="353">
        <f>PL220/PK220</f>
        <v>4.7619047619047616E-2</v>
      </c>
      <c r="PN220" s="1569"/>
      <c r="PO220" s="2938"/>
      <c r="PP220" s="2938"/>
      <c r="PQ220" s="1568"/>
      <c r="PR220" s="220"/>
      <c r="PS220" s="2940"/>
      <c r="PT220" s="2938"/>
      <c r="PU220" s="2938"/>
      <c r="PV220" s="1568"/>
      <c r="PW220" s="220"/>
      <c r="PX220" s="2942"/>
      <c r="PY220" s="2943"/>
      <c r="PZ220" s="2943"/>
      <c r="QA220" s="358"/>
      <c r="QB220" s="151"/>
      <c r="QC220" s="1868"/>
      <c r="QD220" s="2941"/>
      <c r="QE220" s="2941"/>
      <c r="QF220" s="1575">
        <f t="shared" si="830"/>
        <v>0</v>
      </c>
      <c r="QG220" s="2674"/>
      <c r="QH220" s="405"/>
      <c r="QI220" s="2941"/>
      <c r="QJ220" s="2941"/>
      <c r="QK220" s="1575"/>
      <c r="QL220" s="2674"/>
      <c r="QM220" s="405"/>
      <c r="QN220" s="2941"/>
      <c r="QO220" s="2941"/>
      <c r="QP220" s="1575"/>
      <c r="QQ220" s="2674"/>
      <c r="QR220" s="1868"/>
      <c r="QS220" s="2941"/>
      <c r="QT220" s="2941"/>
      <c r="QU220" s="1575"/>
      <c r="QV220" s="2944"/>
      <c r="QW220" s="1568"/>
      <c r="QX220" s="2938"/>
      <c r="QY220" s="2938"/>
      <c r="QZ220" s="1575"/>
      <c r="RA220" s="2674"/>
      <c r="RB220" s="1568"/>
      <c r="RC220" s="2938"/>
      <c r="RD220" s="2938"/>
      <c r="RE220" s="1568"/>
      <c r="RF220" s="2673"/>
      <c r="RG220" s="1567"/>
      <c r="RH220" s="2938"/>
      <c r="RI220" s="2938"/>
      <c r="RJ220" s="2001">
        <v>0</v>
      </c>
      <c r="RK220" s="801"/>
      <c r="RL220" s="3718"/>
      <c r="RM220" s="1568">
        <f t="shared" si="832"/>
        <v>735000</v>
      </c>
      <c r="RN220" s="1568">
        <f t="shared" si="832"/>
        <v>771750</v>
      </c>
      <c r="RO220" s="1568">
        <f t="shared" si="832"/>
        <v>36750</v>
      </c>
      <c r="RP220" s="2673"/>
      <c r="RQ220" s="3802">
        <f t="shared" si="833"/>
        <v>0</v>
      </c>
      <c r="RR220" s="96">
        <f t="shared" si="834"/>
        <v>735000</v>
      </c>
      <c r="RS220" s="96">
        <f t="shared" si="834"/>
        <v>771750</v>
      </c>
      <c r="RT220" s="96">
        <f t="shared" si="834"/>
        <v>36750</v>
      </c>
      <c r="RU220" s="114"/>
      <c r="RV220" s="358"/>
      <c r="RW220" s="358">
        <f t="shared" si="835"/>
        <v>0</v>
      </c>
      <c r="RX220" s="358">
        <f t="shared" si="835"/>
        <v>0</v>
      </c>
      <c r="RY220" s="359">
        <f t="shared" si="835"/>
        <v>0</v>
      </c>
      <c r="RZ220" s="169"/>
      <c r="SA220" s="607">
        <f t="shared" si="847"/>
        <v>0</v>
      </c>
      <c r="SB220" s="137">
        <f t="shared" si="848"/>
        <v>0</v>
      </c>
      <c r="SC220" s="137">
        <f t="shared" si="848"/>
        <v>0</v>
      </c>
      <c r="SD220" s="3803">
        <f t="shared" si="848"/>
        <v>0</v>
      </c>
      <c r="SE220" s="978">
        <v>0</v>
      </c>
      <c r="SF220" s="190"/>
      <c r="SG220" s="358">
        <f t="shared" si="849"/>
        <v>0</v>
      </c>
      <c r="SH220" s="358">
        <f t="shared" si="849"/>
        <v>0</v>
      </c>
      <c r="SI220" s="359">
        <f t="shared" si="849"/>
        <v>0</v>
      </c>
      <c r="SJ220" s="2155">
        <v>0</v>
      </c>
      <c r="SK220" s="1568"/>
      <c r="SL220" s="1567"/>
      <c r="SM220" s="2938">
        <v>0</v>
      </c>
      <c r="SN220" s="2938">
        <v>0</v>
      </c>
      <c r="SO220" s="3534">
        <f t="shared" si="837"/>
        <v>0</v>
      </c>
      <c r="SP220" s="3525">
        <v>0</v>
      </c>
      <c r="SQ220" s="1567"/>
      <c r="SR220" s="2938">
        <v>0</v>
      </c>
      <c r="SS220" s="2938">
        <v>0</v>
      </c>
      <c r="ST220" s="1568">
        <v>0</v>
      </c>
      <c r="SU220" s="353"/>
      <c r="SV220" s="1858"/>
      <c r="SW220" s="2943"/>
      <c r="SX220" s="2943"/>
      <c r="SY220" s="358"/>
      <c r="SZ220" s="151"/>
      <c r="TA220" s="2942"/>
      <c r="TB220" s="2943"/>
      <c r="TC220" s="2943"/>
      <c r="TD220" s="358">
        <v>0</v>
      </c>
      <c r="TE220" s="151"/>
      <c r="TF220" s="2942"/>
      <c r="TG220" s="2943"/>
      <c r="TH220" s="2943"/>
      <c r="TI220" s="358">
        <v>0</v>
      </c>
      <c r="TJ220" s="151"/>
      <c r="TK220" s="1868"/>
      <c r="TL220" s="2941"/>
      <c r="TM220" s="2941"/>
      <c r="TN220" s="1575">
        <f t="shared" si="838"/>
        <v>0</v>
      </c>
      <c r="TO220" s="2674"/>
      <c r="TP220" s="4506"/>
      <c r="TQ220" s="2941"/>
      <c r="TR220" s="2941"/>
      <c r="TS220" s="1575"/>
      <c r="TT220" s="2674"/>
      <c r="TU220" s="4506"/>
      <c r="TV220" s="2941"/>
      <c r="TW220" s="2941"/>
      <c r="TX220" s="1575"/>
      <c r="TY220" s="2674"/>
      <c r="TZ220" s="1868"/>
      <c r="UA220" s="2941"/>
      <c r="UB220" s="2941"/>
      <c r="UC220" s="1575"/>
      <c r="UD220" s="2944"/>
      <c r="UE220" s="1568"/>
      <c r="UF220" s="2938"/>
      <c r="UG220" s="2938"/>
      <c r="UH220" s="1575"/>
      <c r="UI220" s="2674"/>
      <c r="UJ220" s="1568"/>
      <c r="UK220" s="2938"/>
      <c r="UL220" s="2938"/>
      <c r="UM220" s="1568"/>
      <c r="UN220" s="2673"/>
      <c r="UO220" s="1567"/>
      <c r="UP220" s="2938"/>
      <c r="UQ220" s="2938"/>
      <c r="UR220" s="2001">
        <v>0</v>
      </c>
      <c r="US220" s="655"/>
      <c r="UT220" s="190"/>
      <c r="UU220" s="358">
        <f t="shared" si="850"/>
        <v>0</v>
      </c>
      <c r="UV220" s="358">
        <f t="shared" si="850"/>
        <v>0</v>
      </c>
      <c r="UW220" s="358">
        <f t="shared" si="850"/>
        <v>0</v>
      </c>
      <c r="UX220" s="2281">
        <v>0</v>
      </c>
      <c r="UY220" s="1863">
        <f t="shared" si="840"/>
        <v>0</v>
      </c>
      <c r="UZ220" s="105">
        <f t="shared" si="841"/>
        <v>0</v>
      </c>
      <c r="VA220" s="105">
        <f t="shared" si="841"/>
        <v>0</v>
      </c>
      <c r="VB220" s="105">
        <f t="shared" si="841"/>
        <v>0</v>
      </c>
      <c r="VC220" s="106"/>
      <c r="VD220" s="358"/>
      <c r="VE220" s="358">
        <f t="shared" si="842"/>
        <v>0</v>
      </c>
      <c r="VF220" s="358">
        <f t="shared" si="842"/>
        <v>0</v>
      </c>
      <c r="VG220" s="359">
        <f t="shared" si="842"/>
        <v>0</v>
      </c>
      <c r="VH220" s="169"/>
      <c r="VI220" s="686">
        <f t="shared" si="843"/>
        <v>0</v>
      </c>
      <c r="VJ220" s="146">
        <f t="shared" si="844"/>
        <v>0</v>
      </c>
      <c r="VK220" s="146">
        <f t="shared" si="844"/>
        <v>0</v>
      </c>
      <c r="VL220" s="1864">
        <f t="shared" si="844"/>
        <v>0</v>
      </c>
      <c r="VM220" s="1059">
        <v>0</v>
      </c>
      <c r="VN220" s="190"/>
      <c r="VO220" s="358">
        <f t="shared" si="846"/>
        <v>0</v>
      </c>
      <c r="VP220" s="358">
        <f t="shared" si="846"/>
        <v>0</v>
      </c>
      <c r="VQ220" s="359">
        <f t="shared" si="846"/>
        <v>0</v>
      </c>
      <c r="VR220" s="2155">
        <v>0</v>
      </c>
    </row>
    <row r="221" spans="1:745" s="1193" customFormat="1" ht="13.6" hidden="1" customHeight="1" x14ac:dyDescent="0.3">
      <c r="A221" s="1297"/>
      <c r="B221" s="113" t="s">
        <v>124</v>
      </c>
      <c r="C221" s="979" t="s">
        <v>305</v>
      </c>
      <c r="D221" s="4068" t="s">
        <v>879</v>
      </c>
      <c r="E221" s="384"/>
      <c r="F221" s="384"/>
      <c r="G221" s="2161">
        <v>0</v>
      </c>
      <c r="H221" s="2845"/>
      <c r="I221" s="2846"/>
      <c r="J221" s="2846"/>
      <c r="K221" s="2846"/>
      <c r="L221" s="2847"/>
      <c r="M221" s="2845"/>
      <c r="N221" s="2846"/>
      <c r="O221" s="2846"/>
      <c r="P221" s="2846"/>
      <c r="Q221" s="2847"/>
      <c r="R221" s="2845"/>
      <c r="S221" s="2846"/>
      <c r="T221" s="2846"/>
      <c r="U221" s="2846"/>
      <c r="V221" s="2847"/>
      <c r="W221" s="2845"/>
      <c r="X221" s="2846"/>
      <c r="Y221" s="2846"/>
      <c r="Z221" s="2846"/>
      <c r="AA221" s="2848"/>
      <c r="AB221" s="2845"/>
      <c r="AC221" s="2846"/>
      <c r="AD221" s="2846"/>
      <c r="AE221" s="2846"/>
      <c r="AF221" s="2848"/>
      <c r="AG221" s="2846"/>
      <c r="AH221" s="2846"/>
      <c r="AI221" s="2846"/>
      <c r="AJ221" s="2846"/>
      <c r="AK221" s="2847"/>
      <c r="AL221" s="2846"/>
      <c r="AM221" s="2846"/>
      <c r="AN221" s="2846"/>
      <c r="AO221" s="2846"/>
      <c r="AP221" s="2847"/>
      <c r="AQ221" s="2846"/>
      <c r="AR221" s="2846"/>
      <c r="AS221" s="2846"/>
      <c r="AT221" s="2846"/>
      <c r="AU221" s="2847"/>
      <c r="AV221" s="2849"/>
      <c r="AW221" s="2846"/>
      <c r="AX221" s="2846"/>
      <c r="AY221" s="2846"/>
      <c r="AZ221" s="2848"/>
      <c r="BA221" s="2849"/>
      <c r="BB221" s="2846"/>
      <c r="BC221" s="2846"/>
      <c r="BD221" s="2846"/>
      <c r="BE221" s="2848"/>
      <c r="BF221" s="2849"/>
      <c r="BG221" s="2846"/>
      <c r="BH221" s="2846"/>
      <c r="BI221" s="2846"/>
      <c r="BJ221" s="2848"/>
      <c r="BK221" s="2849"/>
      <c r="BL221" s="2846"/>
      <c r="BM221" s="2846"/>
      <c r="BN221" s="2846"/>
      <c r="BO221" s="2848"/>
      <c r="BP221" s="2850"/>
      <c r="BQ221" s="2846"/>
      <c r="BR221" s="2846"/>
      <c r="BS221" s="2846"/>
      <c r="BT221" s="2851"/>
      <c r="BU221" s="2846"/>
      <c r="BV221" s="2846"/>
      <c r="BW221" s="2852"/>
      <c r="BX221" s="2851"/>
      <c r="BY221" s="2846"/>
      <c r="BZ221" s="2846"/>
      <c r="CA221" s="2853"/>
      <c r="CB221" s="2846"/>
      <c r="CC221" s="2846"/>
      <c r="CD221" s="2846"/>
      <c r="CE221" s="2846"/>
      <c r="CF221" s="2851"/>
      <c r="CG221" s="2846"/>
      <c r="CH221" s="2846"/>
      <c r="CI221" s="2853"/>
      <c r="CJ221" s="2854"/>
      <c r="CK221" s="2846"/>
      <c r="CL221" s="2846"/>
      <c r="CM221" s="2846"/>
      <c r="CN221" s="2852"/>
      <c r="CO221" s="2854"/>
      <c r="CP221" s="2845"/>
      <c r="CQ221" s="2845"/>
      <c r="CR221" s="2845"/>
      <c r="CS221" s="2852"/>
      <c r="CT221" s="2854"/>
      <c r="CU221" s="2846"/>
      <c r="CV221" s="2846"/>
      <c r="CW221" s="2846"/>
      <c r="CX221" s="2852"/>
      <c r="CY221" s="2854"/>
      <c r="CZ221" s="2846"/>
      <c r="DA221" s="2846"/>
      <c r="DB221" s="2846"/>
      <c r="DC221" s="2852"/>
      <c r="DD221" s="2854"/>
      <c r="DE221" s="2846"/>
      <c r="DF221" s="2846"/>
      <c r="DG221" s="2846"/>
      <c r="DH221" s="2855"/>
      <c r="DI221" s="2854"/>
      <c r="DJ221" s="2846"/>
      <c r="DK221" s="2846"/>
      <c r="DL221" s="2846"/>
      <c r="DM221" s="2855"/>
      <c r="DN221" s="2854"/>
      <c r="DO221" s="2846"/>
      <c r="DP221" s="2846"/>
      <c r="DQ221" s="2846"/>
      <c r="DR221" s="2855"/>
      <c r="DS221" s="2854"/>
      <c r="DT221" s="2846"/>
      <c r="DU221" s="2846"/>
      <c r="DV221" s="2846"/>
      <c r="DW221" s="2855"/>
      <c r="DX221" s="2854"/>
      <c r="DY221" s="2846"/>
      <c r="DZ221" s="2846"/>
      <c r="EA221" s="2846"/>
      <c r="EB221" s="2855"/>
      <c r="EC221" s="2854"/>
      <c r="ED221" s="2846"/>
      <c r="EE221" s="2846"/>
      <c r="EF221" s="2846"/>
      <c r="EG221" s="2855"/>
      <c r="EH221" s="1567"/>
      <c r="EI221" s="1568"/>
      <c r="EJ221" s="1568"/>
      <c r="EK221" s="1568"/>
      <c r="EL221" s="353"/>
      <c r="EM221" s="1857"/>
      <c r="EN221" s="358"/>
      <c r="EO221" s="358"/>
      <c r="EP221" s="358"/>
      <c r="EQ221" s="94"/>
      <c r="ER221" s="2856"/>
      <c r="ES221" s="2857"/>
      <c r="ET221" s="2857"/>
      <c r="EU221" s="2857"/>
      <c r="EV221" s="1867"/>
      <c r="EW221" s="1569"/>
      <c r="EX221" s="1569"/>
      <c r="EY221" s="1569"/>
      <c r="EZ221" s="210"/>
      <c r="FA221" s="1567"/>
      <c r="FB221" s="1569"/>
      <c r="FC221" s="1569"/>
      <c r="FD221" s="220"/>
      <c r="FE221" s="1569"/>
      <c r="FF221" s="1569"/>
      <c r="FG221" s="1569"/>
      <c r="FH221" s="210"/>
      <c r="FI221" s="580"/>
      <c r="FJ221" s="579"/>
      <c r="FK221" s="137"/>
      <c r="FL221" s="137"/>
      <c r="FM221" s="151"/>
      <c r="FN221" s="1569"/>
      <c r="FO221" s="1568"/>
      <c r="FP221" s="1568"/>
      <c r="FQ221" s="1568"/>
      <c r="FR221" s="408"/>
      <c r="FS221" s="2858"/>
      <c r="FT221" s="2859"/>
      <c r="FU221" s="2859"/>
      <c r="FV221" s="2859"/>
      <c r="FW221" s="2860"/>
      <c r="FX221" s="1567"/>
      <c r="FY221" s="1568"/>
      <c r="FZ221" s="1568"/>
      <c r="GA221" s="2859"/>
      <c r="GB221" s="2860"/>
      <c r="GC221" s="1567"/>
      <c r="GD221" s="1568"/>
      <c r="GE221" s="1568"/>
      <c r="GF221" s="358"/>
      <c r="GG221" s="94"/>
      <c r="GH221" s="1857"/>
      <c r="GI221" s="358"/>
      <c r="GJ221" s="358"/>
      <c r="GK221" s="2861"/>
      <c r="GL221" s="2860"/>
      <c r="GM221" s="1857"/>
      <c r="GN221" s="358"/>
      <c r="GO221" s="358"/>
      <c r="GP221" s="2861"/>
      <c r="GQ221" s="2860"/>
      <c r="GR221" s="358"/>
      <c r="GS221" s="358"/>
      <c r="GT221" s="358"/>
      <c r="GU221" s="2861"/>
      <c r="GV221" s="2860"/>
      <c r="GW221" s="358"/>
      <c r="GX221" s="358"/>
      <c r="GY221" s="358"/>
      <c r="GZ221" s="2861"/>
      <c r="HA221" s="2860"/>
      <c r="HB221" s="358"/>
      <c r="HC221" s="358"/>
      <c r="HD221" s="358"/>
      <c r="HE221" s="2861"/>
      <c r="HF221" s="2860"/>
      <c r="HG221" s="358"/>
      <c r="HH221" s="358"/>
      <c r="HI221" s="358"/>
      <c r="HJ221" s="2861"/>
      <c r="HK221" s="2860"/>
      <c r="HL221" s="358"/>
      <c r="HM221" s="358"/>
      <c r="HN221" s="358"/>
      <c r="HO221" s="2861"/>
      <c r="HP221" s="2860"/>
      <c r="HQ221" s="2861"/>
      <c r="HR221" s="2861"/>
      <c r="HS221" s="2861"/>
      <c r="HT221" s="2861"/>
      <c r="HU221" s="2870"/>
      <c r="HV221" s="3812"/>
      <c r="HW221" s="208"/>
      <c r="HX221" s="208"/>
      <c r="HY221" s="208"/>
      <c r="HZ221" s="2737"/>
      <c r="IA221" s="1934"/>
      <c r="IB221" s="1855"/>
      <c r="IC221" s="1855"/>
      <c r="ID221" s="1856"/>
      <c r="IE221" s="2863"/>
      <c r="IF221" s="2863"/>
      <c r="IG221" s="2863"/>
      <c r="IH221" s="2864"/>
      <c r="II221" s="2865"/>
      <c r="IJ221" s="3813"/>
      <c r="IK221" s="3813"/>
      <c r="IL221" s="2864"/>
      <c r="IM221" s="2866"/>
      <c r="IN221" s="3813"/>
      <c r="IO221" s="3813"/>
      <c r="IP221" s="2867"/>
      <c r="IQ221" s="1568"/>
      <c r="IR221" s="2868"/>
      <c r="IS221" s="2015"/>
      <c r="IT221" s="2015"/>
      <c r="IU221" s="2869"/>
      <c r="IV221" s="2870"/>
      <c r="IW221" s="2858"/>
      <c r="IX221" s="2859"/>
      <c r="IY221" s="2859"/>
      <c r="IZ221" s="2859"/>
      <c r="JA221" s="2870"/>
      <c r="JB221" s="2871"/>
      <c r="JC221" s="1568"/>
      <c r="JD221" s="1568"/>
      <c r="JE221" s="2859"/>
      <c r="JF221" s="2870"/>
      <c r="JG221" s="2871"/>
      <c r="JH221" s="1568"/>
      <c r="JI221" s="1568"/>
      <c r="JJ221" s="358"/>
      <c r="JK221" s="158"/>
      <c r="JL221" s="1857"/>
      <c r="JM221" s="358"/>
      <c r="JN221" s="358"/>
      <c r="JO221" s="2861"/>
      <c r="JP221" s="2870"/>
      <c r="JQ221" s="2873"/>
      <c r="JR221" s="1025"/>
      <c r="JS221" s="265"/>
      <c r="JT221" s="2872"/>
      <c r="JU221" s="2870"/>
      <c r="JV221" s="2874"/>
      <c r="JW221" s="358"/>
      <c r="JX221" s="2872"/>
      <c r="JY221" s="2861"/>
      <c r="JZ221" s="2860"/>
      <c r="KA221" s="357"/>
      <c r="KB221" s="358"/>
      <c r="KC221" s="2872"/>
      <c r="KD221" s="2861"/>
      <c r="KE221" s="2870"/>
      <c r="KF221" s="2875"/>
      <c r="KG221" s="358"/>
      <c r="KH221" s="2872"/>
      <c r="KI221" s="2861"/>
      <c r="KJ221" s="2870"/>
      <c r="KK221" s="2875"/>
      <c r="KL221" s="358"/>
      <c r="KM221" s="2872"/>
      <c r="KN221" s="2861"/>
      <c r="KO221" s="2860"/>
      <c r="KP221" s="357"/>
      <c r="KQ221" s="358"/>
      <c r="KR221" s="2872"/>
      <c r="KS221" s="2861"/>
      <c r="KT221" s="2870"/>
      <c r="KU221" s="3814"/>
      <c r="KV221" s="2861"/>
      <c r="KW221" s="2861"/>
      <c r="KX221" s="2861"/>
      <c r="KY221" s="2860"/>
      <c r="KZ221" s="357"/>
      <c r="LA221" s="358"/>
      <c r="LB221" s="358"/>
      <c r="LC221" s="358"/>
      <c r="LD221" s="220"/>
      <c r="LE221" s="1854"/>
      <c r="LF221" s="1855"/>
      <c r="LG221" s="1855"/>
      <c r="LH221" s="1856"/>
      <c r="LI221" s="2866"/>
      <c r="LJ221" s="2863"/>
      <c r="LK221" s="2863"/>
      <c r="LL221" s="2864"/>
      <c r="LM221" s="1934"/>
      <c r="LN221" s="2878"/>
      <c r="LO221" s="2878"/>
      <c r="LP221" s="151"/>
      <c r="LQ221" s="2866"/>
      <c r="LR221" s="3813"/>
      <c r="LS221" s="3813"/>
      <c r="LT221" s="2867"/>
      <c r="LU221" s="1568"/>
      <c r="LV221" s="1567"/>
      <c r="LW221" s="2938"/>
      <c r="LX221" s="2938"/>
      <c r="LY221" s="1568"/>
      <c r="LZ221" s="2939"/>
      <c r="MA221" s="1567"/>
      <c r="MB221" s="2938"/>
      <c r="MC221" s="2938"/>
      <c r="MD221" s="1568"/>
      <c r="ME221" s="2939"/>
      <c r="MF221" s="1569"/>
      <c r="MG221" s="2938"/>
      <c r="MH221" s="2938"/>
      <c r="MI221" s="1568"/>
      <c r="MJ221" s="220"/>
      <c r="MK221" s="2940"/>
      <c r="ML221" s="2938"/>
      <c r="MM221" s="2938"/>
      <c r="MN221" s="1568"/>
      <c r="MO221" s="220"/>
      <c r="MP221" s="2940"/>
      <c r="MQ221" s="2938"/>
      <c r="MR221" s="2938"/>
      <c r="MS221" s="1568"/>
      <c r="MT221" s="220"/>
      <c r="MU221" s="1868"/>
      <c r="MV221" s="2941"/>
      <c r="MW221" s="2941"/>
      <c r="MX221" s="1575"/>
      <c r="MY221" s="2674"/>
      <c r="MZ221" s="1868"/>
      <c r="NA221" s="2941"/>
      <c r="NB221" s="2941"/>
      <c r="NC221" s="1575"/>
      <c r="ND221" s="2674"/>
      <c r="NE221" s="1868"/>
      <c r="NF221" s="2941"/>
      <c r="NG221" s="2941"/>
      <c r="NH221" s="1575"/>
      <c r="NI221" s="2674"/>
      <c r="NJ221" s="1868"/>
      <c r="NK221" s="2941"/>
      <c r="NL221" s="2941"/>
      <c r="NM221" s="1575"/>
      <c r="NN221" s="2674"/>
      <c r="NO221" s="1568"/>
      <c r="NP221" s="2938"/>
      <c r="NQ221" s="2938"/>
      <c r="NR221" s="1575"/>
      <c r="NS221" s="2674"/>
      <c r="NT221" s="1568"/>
      <c r="NU221" s="2938"/>
      <c r="NV221" s="2938"/>
      <c r="NW221" s="1568"/>
      <c r="NX221" s="2673"/>
      <c r="NY221" s="1868"/>
      <c r="NZ221" s="2941"/>
      <c r="OA221" s="2941"/>
      <c r="OB221" s="2001"/>
      <c r="OC221" s="116"/>
      <c r="OD221" s="190"/>
      <c r="OE221" s="358"/>
      <c r="OF221" s="358"/>
      <c r="OG221" s="358"/>
      <c r="OH221" s="220"/>
      <c r="OI221" s="3802"/>
      <c r="OJ221" s="96"/>
      <c r="OK221" s="96"/>
      <c r="OL221" s="96"/>
      <c r="OM221" s="114"/>
      <c r="ON221" s="358"/>
      <c r="OO221" s="358"/>
      <c r="OP221" s="358"/>
      <c r="OQ221" s="359"/>
      <c r="OR221" s="169"/>
      <c r="OS221" s="607"/>
      <c r="OT221" s="137"/>
      <c r="OU221" s="137"/>
      <c r="OV221" s="3803"/>
      <c r="OW221" s="169"/>
      <c r="OX221" s="357"/>
      <c r="OY221" s="358"/>
      <c r="OZ221" s="358"/>
      <c r="PA221" s="359"/>
      <c r="PB221" s="114"/>
      <c r="PC221" s="137"/>
      <c r="PD221" s="1567"/>
      <c r="PE221" s="2938"/>
      <c r="PF221" s="2938"/>
      <c r="PG221" s="1568"/>
      <c r="PH221" s="353"/>
      <c r="PI221" s="1567"/>
      <c r="PJ221" s="2946"/>
      <c r="PK221" s="2938"/>
      <c r="PL221" s="1568"/>
      <c r="PM221" s="353"/>
      <c r="PN221" s="1569"/>
      <c r="PO221" s="2938"/>
      <c r="PP221" s="2938"/>
      <c r="PQ221" s="1568"/>
      <c r="PR221" s="220"/>
      <c r="PS221" s="2940"/>
      <c r="PT221" s="2938"/>
      <c r="PU221" s="2938"/>
      <c r="PV221" s="1568"/>
      <c r="PW221" s="220"/>
      <c r="PX221" s="2942"/>
      <c r="PY221" s="2943"/>
      <c r="PZ221" s="2943"/>
      <c r="QA221" s="358"/>
      <c r="QB221" s="151"/>
      <c r="QC221" s="1868"/>
      <c r="QD221" s="2941"/>
      <c r="QE221" s="2941"/>
      <c r="QF221" s="1575"/>
      <c r="QG221" s="2674"/>
      <c r="QH221" s="2445"/>
      <c r="QI221" s="2947">
        <f>349000*2</f>
        <v>698000</v>
      </c>
      <c r="QJ221" s="2947">
        <v>739880</v>
      </c>
      <c r="QK221" s="395">
        <f>QJ221-QI221</f>
        <v>41880</v>
      </c>
      <c r="QL221" s="441">
        <f>QK221/QJ221</f>
        <v>5.6603773584905662E-2</v>
      </c>
      <c r="QM221" s="405"/>
      <c r="QN221" s="2941"/>
      <c r="QO221" s="2941"/>
      <c r="QP221" s="1575"/>
      <c r="QQ221" s="2674"/>
      <c r="QR221" s="1868"/>
      <c r="QS221" s="2941"/>
      <c r="QT221" s="2941"/>
      <c r="QU221" s="1575"/>
      <c r="QV221" s="2944"/>
      <c r="QW221" s="1568"/>
      <c r="QX221" s="2938"/>
      <c r="QY221" s="2938"/>
      <c r="QZ221" s="1575"/>
      <c r="RA221" s="2674"/>
      <c r="RB221" s="1568"/>
      <c r="RC221" s="2938"/>
      <c r="RD221" s="2938"/>
      <c r="RE221" s="1568"/>
      <c r="RF221" s="2673"/>
      <c r="RG221" s="1567"/>
      <c r="RH221" s="2938"/>
      <c r="RI221" s="2938"/>
      <c r="RJ221" s="2001">
        <v>0</v>
      </c>
      <c r="RK221" s="801"/>
      <c r="RL221" s="3718"/>
      <c r="RM221" s="1568">
        <f>RH221+RC221+QX221+QS221+QN221+QI221+QD221+PY221+PT221+PO221+PJ221+PE221</f>
        <v>698000</v>
      </c>
      <c r="RN221" s="1568">
        <f>RI221+RD221+QY221+QT221+QO221+QJ221+QE221+PZ221+PU221+PP221+PK221+PF221</f>
        <v>739880</v>
      </c>
      <c r="RO221" s="1568">
        <f>RJ221+RE221+QZ221+QU221+QP221+QK221+QF221+QA221+PV221+PQ221+PL221+PG221</f>
        <v>41880</v>
      </c>
      <c r="RP221" s="2673"/>
      <c r="RQ221" s="3802"/>
      <c r="RR221" s="96"/>
      <c r="RS221" s="96"/>
      <c r="RT221" s="96"/>
      <c r="RU221" s="114"/>
      <c r="RV221" s="358"/>
      <c r="RW221" s="358"/>
      <c r="RX221" s="358"/>
      <c r="RY221" s="359"/>
      <c r="RZ221" s="169"/>
      <c r="SA221" s="607">
        <f t="shared" si="847"/>
        <v>0</v>
      </c>
      <c r="SB221" s="137">
        <f t="shared" si="848"/>
        <v>698000</v>
      </c>
      <c r="SC221" s="137">
        <f t="shared" si="848"/>
        <v>739880</v>
      </c>
      <c r="SD221" s="3803">
        <f t="shared" si="848"/>
        <v>41880</v>
      </c>
      <c r="SE221" s="169">
        <f>SD221/SC221</f>
        <v>5.6603773584905662E-2</v>
      </c>
      <c r="SF221" s="190"/>
      <c r="SG221" s="358">
        <f t="shared" si="849"/>
        <v>0</v>
      </c>
      <c r="SH221" s="358">
        <f t="shared" si="849"/>
        <v>0</v>
      </c>
      <c r="SI221" s="359">
        <f t="shared" si="849"/>
        <v>0</v>
      </c>
      <c r="SJ221" s="2155">
        <v>0</v>
      </c>
      <c r="SK221" s="1568"/>
      <c r="SL221" s="1567"/>
      <c r="SM221" s="2938">
        <v>0</v>
      </c>
      <c r="SN221" s="2938">
        <v>0</v>
      </c>
      <c r="SO221" s="3534">
        <f t="shared" si="837"/>
        <v>0</v>
      </c>
      <c r="SP221" s="3525">
        <v>0</v>
      </c>
      <c r="SQ221" s="1567"/>
      <c r="SR221" s="2938">
        <v>0</v>
      </c>
      <c r="SS221" s="2938">
        <v>0</v>
      </c>
      <c r="ST221" s="1568">
        <v>0</v>
      </c>
      <c r="SU221" s="353"/>
      <c r="SV221" s="1858"/>
      <c r="SW221" s="2943"/>
      <c r="SX221" s="2943"/>
      <c r="SY221" s="358"/>
      <c r="SZ221" s="151"/>
      <c r="TA221" s="2942"/>
      <c r="TB221" s="2943"/>
      <c r="TC221" s="2943"/>
      <c r="TD221" s="358">
        <v>0</v>
      </c>
      <c r="TE221" s="151"/>
      <c r="TF221" s="2942"/>
      <c r="TG221" s="2943"/>
      <c r="TH221" s="2943"/>
      <c r="TI221" s="358">
        <v>0</v>
      </c>
      <c r="TJ221" s="151"/>
      <c r="TK221" s="1868"/>
      <c r="TL221" s="2941"/>
      <c r="TM221" s="2941"/>
      <c r="TN221" s="1575">
        <f t="shared" si="838"/>
        <v>0</v>
      </c>
      <c r="TO221" s="2674"/>
      <c r="TP221" s="4464"/>
      <c r="TQ221" s="2947">
        <v>0</v>
      </c>
      <c r="TR221" s="2947">
        <v>0</v>
      </c>
      <c r="TS221" s="395">
        <f>TR221-TQ221</f>
        <v>0</v>
      </c>
      <c r="TT221" s="2674"/>
      <c r="TU221" s="4506"/>
      <c r="TV221" s="2941"/>
      <c r="TW221" s="2941"/>
      <c r="TX221" s="1575"/>
      <c r="TY221" s="2674"/>
      <c r="TZ221" s="1868"/>
      <c r="UA221" s="2941"/>
      <c r="UB221" s="2941"/>
      <c r="UC221" s="1575"/>
      <c r="UD221" s="2944"/>
      <c r="UE221" s="1568"/>
      <c r="UF221" s="2938"/>
      <c r="UG221" s="2938"/>
      <c r="UH221" s="1575"/>
      <c r="UI221" s="2674"/>
      <c r="UJ221" s="1568"/>
      <c r="UK221" s="2938"/>
      <c r="UL221" s="2938"/>
      <c r="UM221" s="1568"/>
      <c r="UN221" s="2673"/>
      <c r="UO221" s="1567"/>
      <c r="UP221" s="2938"/>
      <c r="UQ221" s="2938"/>
      <c r="UR221" s="2001">
        <v>0</v>
      </c>
      <c r="US221" s="655"/>
      <c r="UT221" s="190"/>
      <c r="UU221" s="358">
        <f t="shared" si="850"/>
        <v>0</v>
      </c>
      <c r="UV221" s="358">
        <f t="shared" si="850"/>
        <v>0</v>
      </c>
      <c r="UW221" s="358">
        <f t="shared" si="850"/>
        <v>0</v>
      </c>
      <c r="UX221" s="2281">
        <v>0</v>
      </c>
      <c r="UY221" s="1863">
        <f t="shared" si="840"/>
        <v>0</v>
      </c>
      <c r="UZ221" s="105">
        <f t="shared" si="841"/>
        <v>0</v>
      </c>
      <c r="VA221" s="105">
        <f t="shared" si="841"/>
        <v>0</v>
      </c>
      <c r="VB221" s="105">
        <f t="shared" si="841"/>
        <v>0</v>
      </c>
      <c r="VC221" s="106"/>
      <c r="VD221" s="358"/>
      <c r="VE221" s="358"/>
      <c r="VF221" s="358"/>
      <c r="VG221" s="359"/>
      <c r="VH221" s="169"/>
      <c r="VI221" s="686">
        <f t="shared" si="843"/>
        <v>0</v>
      </c>
      <c r="VJ221" s="146">
        <f t="shared" si="844"/>
        <v>0</v>
      </c>
      <c r="VK221" s="146">
        <f t="shared" si="844"/>
        <v>0</v>
      </c>
      <c r="VL221" s="1864">
        <f t="shared" si="844"/>
        <v>0</v>
      </c>
      <c r="VM221" s="1059">
        <v>0</v>
      </c>
      <c r="VN221" s="190"/>
      <c r="VO221" s="358">
        <f t="shared" si="846"/>
        <v>0</v>
      </c>
      <c r="VP221" s="358">
        <f t="shared" si="846"/>
        <v>0</v>
      </c>
      <c r="VQ221" s="359">
        <f t="shared" si="846"/>
        <v>0</v>
      </c>
      <c r="VR221" s="2155">
        <v>0</v>
      </c>
    </row>
    <row r="222" spans="1:745" s="1193" customFormat="1" ht="13.6" customHeight="1" x14ac:dyDescent="0.3">
      <c r="A222" s="1297"/>
      <c r="B222" s="113" t="s">
        <v>124</v>
      </c>
      <c r="C222" s="979" t="s">
        <v>966</v>
      </c>
      <c r="D222" s="4068"/>
      <c r="E222" s="384"/>
      <c r="F222" s="384"/>
      <c r="G222" s="2161"/>
      <c r="H222" s="2845"/>
      <c r="I222" s="2846"/>
      <c r="J222" s="2846"/>
      <c r="K222" s="2846"/>
      <c r="L222" s="2847"/>
      <c r="M222" s="2845"/>
      <c r="N222" s="2846"/>
      <c r="O222" s="2846"/>
      <c r="P222" s="2846"/>
      <c r="Q222" s="2847"/>
      <c r="R222" s="2845"/>
      <c r="S222" s="2846"/>
      <c r="T222" s="2846"/>
      <c r="U222" s="2846"/>
      <c r="V222" s="2847"/>
      <c r="W222" s="2845"/>
      <c r="X222" s="2846"/>
      <c r="Y222" s="2846"/>
      <c r="Z222" s="2846"/>
      <c r="AA222" s="2848"/>
      <c r="AB222" s="2845"/>
      <c r="AC222" s="2846"/>
      <c r="AD222" s="2846"/>
      <c r="AE222" s="2846"/>
      <c r="AF222" s="2848"/>
      <c r="AG222" s="2846"/>
      <c r="AH222" s="2846"/>
      <c r="AI222" s="2846"/>
      <c r="AJ222" s="2846"/>
      <c r="AK222" s="2847"/>
      <c r="AL222" s="2846"/>
      <c r="AM222" s="2846"/>
      <c r="AN222" s="2846"/>
      <c r="AO222" s="2846"/>
      <c r="AP222" s="2847"/>
      <c r="AQ222" s="2846"/>
      <c r="AR222" s="2846"/>
      <c r="AS222" s="2846"/>
      <c r="AT222" s="2846"/>
      <c r="AU222" s="2847"/>
      <c r="AV222" s="2849"/>
      <c r="AW222" s="2846"/>
      <c r="AX222" s="2846"/>
      <c r="AY222" s="2846"/>
      <c r="AZ222" s="2848"/>
      <c r="BA222" s="2849"/>
      <c r="BB222" s="2846"/>
      <c r="BC222" s="2846"/>
      <c r="BD222" s="2846"/>
      <c r="BE222" s="2848"/>
      <c r="BF222" s="2849"/>
      <c r="BG222" s="2846"/>
      <c r="BH222" s="2846"/>
      <c r="BI222" s="2846"/>
      <c r="BJ222" s="2848"/>
      <c r="BK222" s="2849"/>
      <c r="BL222" s="2846"/>
      <c r="BM222" s="2846"/>
      <c r="BN222" s="2846"/>
      <c r="BO222" s="2848"/>
      <c r="BP222" s="2850"/>
      <c r="BQ222" s="2846"/>
      <c r="BR222" s="2846"/>
      <c r="BS222" s="2846"/>
      <c r="BT222" s="2851"/>
      <c r="BU222" s="2846"/>
      <c r="BV222" s="2846"/>
      <c r="BW222" s="2852"/>
      <c r="BX222" s="2851"/>
      <c r="BY222" s="2846"/>
      <c r="BZ222" s="2846"/>
      <c r="CA222" s="2853"/>
      <c r="CB222" s="2846"/>
      <c r="CC222" s="2846"/>
      <c r="CD222" s="2846"/>
      <c r="CE222" s="2846"/>
      <c r="CF222" s="2851"/>
      <c r="CG222" s="2846"/>
      <c r="CH222" s="2846"/>
      <c r="CI222" s="2853"/>
      <c r="CJ222" s="2854"/>
      <c r="CK222" s="2846"/>
      <c r="CL222" s="2846"/>
      <c r="CM222" s="2846"/>
      <c r="CN222" s="2852"/>
      <c r="CO222" s="2854"/>
      <c r="CP222" s="2845"/>
      <c r="CQ222" s="2845"/>
      <c r="CR222" s="2845"/>
      <c r="CS222" s="2852"/>
      <c r="CT222" s="2854"/>
      <c r="CU222" s="2846"/>
      <c r="CV222" s="2846"/>
      <c r="CW222" s="2846"/>
      <c r="CX222" s="2852"/>
      <c r="CY222" s="2854"/>
      <c r="CZ222" s="2846"/>
      <c r="DA222" s="2846"/>
      <c r="DB222" s="2846"/>
      <c r="DC222" s="2852"/>
      <c r="DD222" s="2854"/>
      <c r="DE222" s="2846"/>
      <c r="DF222" s="2846"/>
      <c r="DG222" s="2846"/>
      <c r="DH222" s="2855"/>
      <c r="DI222" s="2854"/>
      <c r="DJ222" s="2846"/>
      <c r="DK222" s="2846"/>
      <c r="DL222" s="2846"/>
      <c r="DM222" s="2855"/>
      <c r="DN222" s="2854"/>
      <c r="DO222" s="2846"/>
      <c r="DP222" s="2846"/>
      <c r="DQ222" s="2846"/>
      <c r="DR222" s="2855"/>
      <c r="DS222" s="2854"/>
      <c r="DT222" s="2846"/>
      <c r="DU222" s="2846"/>
      <c r="DV222" s="2846"/>
      <c r="DW222" s="2855"/>
      <c r="DX222" s="2854"/>
      <c r="DY222" s="2846"/>
      <c r="DZ222" s="2846"/>
      <c r="EA222" s="2846"/>
      <c r="EB222" s="2855"/>
      <c r="EC222" s="2854"/>
      <c r="ED222" s="2846"/>
      <c r="EE222" s="2846"/>
      <c r="EF222" s="2846"/>
      <c r="EG222" s="2855"/>
      <c r="EH222" s="1567"/>
      <c r="EI222" s="1568"/>
      <c r="EJ222" s="1568"/>
      <c r="EK222" s="1568"/>
      <c r="EL222" s="353"/>
      <c r="EM222" s="1857"/>
      <c r="EN222" s="358"/>
      <c r="EO222" s="358"/>
      <c r="EP222" s="358"/>
      <c r="EQ222" s="94"/>
      <c r="ER222" s="2856"/>
      <c r="ES222" s="2857"/>
      <c r="ET222" s="2857"/>
      <c r="EU222" s="2857"/>
      <c r="EV222" s="1867"/>
      <c r="EW222" s="1569"/>
      <c r="EX222" s="1569"/>
      <c r="EY222" s="1569"/>
      <c r="EZ222" s="210"/>
      <c r="FA222" s="1567"/>
      <c r="FB222" s="1569"/>
      <c r="FC222" s="1569"/>
      <c r="FD222" s="220"/>
      <c r="FE222" s="1569"/>
      <c r="FF222" s="1569"/>
      <c r="FG222" s="1569"/>
      <c r="FH222" s="210"/>
      <c r="FI222" s="580"/>
      <c r="FJ222" s="579"/>
      <c r="FK222" s="137"/>
      <c r="FL222" s="137"/>
      <c r="FM222" s="151"/>
      <c r="FN222" s="1569"/>
      <c r="FO222" s="1568"/>
      <c r="FP222" s="1568"/>
      <c r="FQ222" s="1568"/>
      <c r="FR222" s="408"/>
      <c r="FS222" s="2858"/>
      <c r="FT222" s="2859"/>
      <c r="FU222" s="2859"/>
      <c r="FV222" s="2859"/>
      <c r="FW222" s="2860"/>
      <c r="FX222" s="1567"/>
      <c r="FY222" s="1568"/>
      <c r="FZ222" s="1568"/>
      <c r="GA222" s="2859"/>
      <c r="GB222" s="2860"/>
      <c r="GC222" s="1567"/>
      <c r="GD222" s="1568"/>
      <c r="GE222" s="1568"/>
      <c r="GF222" s="358"/>
      <c r="GG222" s="94"/>
      <c r="GH222" s="1857"/>
      <c r="GI222" s="358"/>
      <c r="GJ222" s="358"/>
      <c r="GK222" s="2861"/>
      <c r="GL222" s="2860"/>
      <c r="GM222" s="1857"/>
      <c r="GN222" s="358"/>
      <c r="GO222" s="358"/>
      <c r="GP222" s="2861"/>
      <c r="GQ222" s="2860"/>
      <c r="GR222" s="358"/>
      <c r="GS222" s="358"/>
      <c r="GT222" s="358"/>
      <c r="GU222" s="2861"/>
      <c r="GV222" s="2860"/>
      <c r="GW222" s="358"/>
      <c r="GX222" s="358"/>
      <c r="GY222" s="358"/>
      <c r="GZ222" s="2861"/>
      <c r="HA222" s="2860"/>
      <c r="HB222" s="358"/>
      <c r="HC222" s="358"/>
      <c r="HD222" s="358"/>
      <c r="HE222" s="2861"/>
      <c r="HF222" s="2860"/>
      <c r="HG222" s="358"/>
      <c r="HH222" s="358"/>
      <c r="HI222" s="358"/>
      <c r="HJ222" s="2861"/>
      <c r="HK222" s="2860"/>
      <c r="HL222" s="358"/>
      <c r="HM222" s="358"/>
      <c r="HN222" s="358"/>
      <c r="HO222" s="2861"/>
      <c r="HP222" s="2860"/>
      <c r="HQ222" s="2861"/>
      <c r="HR222" s="2861"/>
      <c r="HS222" s="2861"/>
      <c r="HT222" s="2861"/>
      <c r="HU222" s="2870"/>
      <c r="HV222" s="3812"/>
      <c r="HW222" s="208"/>
      <c r="HX222" s="208"/>
      <c r="HY222" s="208"/>
      <c r="HZ222" s="2737"/>
      <c r="IA222" s="1934"/>
      <c r="IB222" s="1855"/>
      <c r="IC222" s="1855"/>
      <c r="ID222" s="1856"/>
      <c r="IE222" s="2863"/>
      <c r="IF222" s="2863"/>
      <c r="IG222" s="2863"/>
      <c r="IH222" s="2864"/>
      <c r="II222" s="2865"/>
      <c r="IJ222" s="3813"/>
      <c r="IK222" s="3813"/>
      <c r="IL222" s="2864"/>
      <c r="IM222" s="2866"/>
      <c r="IN222" s="3813"/>
      <c r="IO222" s="3813"/>
      <c r="IP222" s="2867"/>
      <c r="IQ222" s="1568"/>
      <c r="IR222" s="2868"/>
      <c r="IS222" s="2015"/>
      <c r="IT222" s="2015"/>
      <c r="IU222" s="2869"/>
      <c r="IV222" s="2870"/>
      <c r="IW222" s="2858"/>
      <c r="IX222" s="2859"/>
      <c r="IY222" s="2859"/>
      <c r="IZ222" s="2859"/>
      <c r="JA222" s="2870"/>
      <c r="JB222" s="2871"/>
      <c r="JC222" s="1568"/>
      <c r="JD222" s="1568"/>
      <c r="JE222" s="2859"/>
      <c r="JF222" s="2870"/>
      <c r="JG222" s="2871"/>
      <c r="JH222" s="1568"/>
      <c r="JI222" s="1568"/>
      <c r="JJ222" s="358"/>
      <c r="JK222" s="158"/>
      <c r="JL222" s="1857"/>
      <c r="JM222" s="358"/>
      <c r="JN222" s="358"/>
      <c r="JO222" s="2861"/>
      <c r="JP222" s="2870"/>
      <c r="JQ222" s="2873"/>
      <c r="JR222" s="1025"/>
      <c r="JS222" s="265"/>
      <c r="JT222" s="2872"/>
      <c r="JU222" s="2870"/>
      <c r="JV222" s="2874"/>
      <c r="JW222" s="358"/>
      <c r="JX222" s="2872"/>
      <c r="JY222" s="2861"/>
      <c r="JZ222" s="2860"/>
      <c r="KA222" s="357"/>
      <c r="KB222" s="358"/>
      <c r="KC222" s="2872"/>
      <c r="KD222" s="2861"/>
      <c r="KE222" s="2870"/>
      <c r="KF222" s="2875"/>
      <c r="KG222" s="358"/>
      <c r="KH222" s="2872"/>
      <c r="KI222" s="2861"/>
      <c r="KJ222" s="2870"/>
      <c r="KK222" s="2875"/>
      <c r="KL222" s="358"/>
      <c r="KM222" s="2872"/>
      <c r="KN222" s="2861"/>
      <c r="KO222" s="2860"/>
      <c r="KP222" s="357"/>
      <c r="KQ222" s="358"/>
      <c r="KR222" s="2872"/>
      <c r="KS222" s="2861"/>
      <c r="KT222" s="2870"/>
      <c r="KU222" s="3814"/>
      <c r="KV222" s="2861"/>
      <c r="KW222" s="2861"/>
      <c r="KX222" s="2861"/>
      <c r="KY222" s="2860"/>
      <c r="KZ222" s="357"/>
      <c r="LA222" s="358"/>
      <c r="LB222" s="358"/>
      <c r="LC222" s="358"/>
      <c r="LD222" s="220"/>
      <c r="LE222" s="1854"/>
      <c r="LF222" s="1855"/>
      <c r="LG222" s="1855"/>
      <c r="LH222" s="1856"/>
      <c r="LI222" s="2866"/>
      <c r="LJ222" s="2863"/>
      <c r="LK222" s="2863"/>
      <c r="LL222" s="2864"/>
      <c r="LM222" s="1934"/>
      <c r="LN222" s="2878"/>
      <c r="LO222" s="2878"/>
      <c r="LP222" s="151"/>
      <c r="LQ222" s="2866"/>
      <c r="LR222" s="3813"/>
      <c r="LS222" s="3813"/>
      <c r="LT222" s="2867"/>
      <c r="LU222" s="1568"/>
      <c r="LV222" s="1567"/>
      <c r="LW222" s="2938"/>
      <c r="LX222" s="2938"/>
      <c r="LY222" s="1568"/>
      <c r="LZ222" s="2939"/>
      <c r="MA222" s="1567"/>
      <c r="MB222" s="2938"/>
      <c r="MC222" s="2938"/>
      <c r="MD222" s="1568"/>
      <c r="ME222" s="2939"/>
      <c r="MF222" s="1569"/>
      <c r="MG222" s="2938"/>
      <c r="MH222" s="2938"/>
      <c r="MI222" s="1568"/>
      <c r="MJ222" s="220"/>
      <c r="MK222" s="2940"/>
      <c r="ML222" s="2938"/>
      <c r="MM222" s="2938"/>
      <c r="MN222" s="1568"/>
      <c r="MO222" s="220"/>
      <c r="MP222" s="2940"/>
      <c r="MQ222" s="2938"/>
      <c r="MR222" s="2938"/>
      <c r="MS222" s="1568"/>
      <c r="MT222" s="220"/>
      <c r="MU222" s="1868"/>
      <c r="MV222" s="2941"/>
      <c r="MW222" s="2941"/>
      <c r="MX222" s="1575"/>
      <c r="MY222" s="2674"/>
      <c r="MZ222" s="1868"/>
      <c r="NA222" s="2941"/>
      <c r="NB222" s="2941"/>
      <c r="NC222" s="1575"/>
      <c r="ND222" s="2674"/>
      <c r="NE222" s="1868"/>
      <c r="NF222" s="2941"/>
      <c r="NG222" s="2941"/>
      <c r="NH222" s="1575"/>
      <c r="NI222" s="2674"/>
      <c r="NJ222" s="1868"/>
      <c r="NK222" s="2941"/>
      <c r="NL222" s="2941"/>
      <c r="NM222" s="1575"/>
      <c r="NN222" s="2674"/>
      <c r="NO222" s="1568"/>
      <c r="NP222" s="2938"/>
      <c r="NQ222" s="2938"/>
      <c r="NR222" s="1575"/>
      <c r="NS222" s="2674"/>
      <c r="NT222" s="1568"/>
      <c r="NU222" s="2938"/>
      <c r="NV222" s="2938"/>
      <c r="NW222" s="1568"/>
      <c r="NX222" s="2673"/>
      <c r="NY222" s="1868"/>
      <c r="NZ222" s="2941"/>
      <c r="OA222" s="2941"/>
      <c r="OB222" s="2001"/>
      <c r="OC222" s="116"/>
      <c r="OD222" s="190"/>
      <c r="OE222" s="358"/>
      <c r="OF222" s="358"/>
      <c r="OG222" s="358"/>
      <c r="OH222" s="220"/>
      <c r="OI222" s="3802"/>
      <c r="OJ222" s="96"/>
      <c r="OK222" s="96"/>
      <c r="OL222" s="96"/>
      <c r="OM222" s="114"/>
      <c r="ON222" s="358"/>
      <c r="OO222" s="358"/>
      <c r="OP222" s="358"/>
      <c r="OQ222" s="359"/>
      <c r="OR222" s="169"/>
      <c r="OS222" s="607"/>
      <c r="OT222" s="137"/>
      <c r="OU222" s="137"/>
      <c r="OV222" s="3803"/>
      <c r="OW222" s="169"/>
      <c r="OX222" s="357"/>
      <c r="OY222" s="358"/>
      <c r="OZ222" s="358"/>
      <c r="PA222" s="359"/>
      <c r="PB222" s="114"/>
      <c r="PC222" s="137"/>
      <c r="PD222" s="1567"/>
      <c r="PE222" s="2938"/>
      <c r="PF222" s="2938"/>
      <c r="PG222" s="1568"/>
      <c r="PH222" s="353"/>
      <c r="PI222" s="1567"/>
      <c r="PJ222" s="2946"/>
      <c r="PK222" s="2938"/>
      <c r="PL222" s="1568"/>
      <c r="PM222" s="353"/>
      <c r="PN222" s="1569"/>
      <c r="PO222" s="2938"/>
      <c r="PP222" s="2938"/>
      <c r="PQ222" s="1568"/>
      <c r="PR222" s="220"/>
      <c r="PS222" s="2940"/>
      <c r="PT222" s="2938"/>
      <c r="PU222" s="2938"/>
      <c r="PV222" s="1568"/>
      <c r="PW222" s="220"/>
      <c r="PX222" s="2942"/>
      <c r="PY222" s="2943"/>
      <c r="PZ222" s="2943"/>
      <c r="QA222" s="358"/>
      <c r="QB222" s="151"/>
      <c r="QC222" s="1868"/>
      <c r="QD222" s="2941"/>
      <c r="QE222" s="2941"/>
      <c r="QF222" s="1575"/>
      <c r="QG222" s="2674"/>
      <c r="QH222" s="2445"/>
      <c r="QI222" s="2947"/>
      <c r="QJ222" s="2947"/>
      <c r="QK222" s="395"/>
      <c r="QL222" s="441"/>
      <c r="QM222" s="405"/>
      <c r="QN222" s="2941"/>
      <c r="QO222" s="2941"/>
      <c r="QP222" s="1575"/>
      <c r="QQ222" s="2674"/>
      <c r="QR222" s="1868"/>
      <c r="QS222" s="2941"/>
      <c r="QT222" s="2941"/>
      <c r="QU222" s="1575"/>
      <c r="QV222" s="2944"/>
      <c r="QW222" s="1568"/>
      <c r="QX222" s="2938"/>
      <c r="QY222" s="2938"/>
      <c r="QZ222" s="1575"/>
      <c r="RA222" s="2674"/>
      <c r="RB222" s="1568"/>
      <c r="RC222" s="2938"/>
      <c r="RD222" s="2938"/>
      <c r="RE222" s="1568"/>
      <c r="RF222" s="2673"/>
      <c r="RG222" s="1567"/>
      <c r="RH222" s="2938"/>
      <c r="RI222" s="2938"/>
      <c r="RJ222" s="2001"/>
      <c r="RK222" s="801"/>
      <c r="RL222" s="3718"/>
      <c r="RM222" s="1568"/>
      <c r="RN222" s="1568"/>
      <c r="RO222" s="1568"/>
      <c r="RP222" s="2673"/>
      <c r="RQ222" s="3802"/>
      <c r="RR222" s="96"/>
      <c r="RS222" s="96"/>
      <c r="RT222" s="96"/>
      <c r="RU222" s="114"/>
      <c r="RV222" s="358"/>
      <c r="RW222" s="358"/>
      <c r="RX222" s="358"/>
      <c r="RY222" s="359"/>
      <c r="RZ222" s="169"/>
      <c r="SA222" s="607"/>
      <c r="SB222" s="137"/>
      <c r="SC222" s="137"/>
      <c r="SD222" s="3803"/>
      <c r="SE222" s="169"/>
      <c r="SF222" s="190"/>
      <c r="SG222" s="358"/>
      <c r="SH222" s="358"/>
      <c r="SI222" s="359"/>
      <c r="SJ222" s="2155"/>
      <c r="SK222" s="1568"/>
      <c r="SL222" s="1567"/>
      <c r="SM222" s="2938"/>
      <c r="SN222" s="2938"/>
      <c r="SO222" s="3534"/>
      <c r="SP222" s="3525"/>
      <c r="SQ222" s="1567"/>
      <c r="SR222" s="2938"/>
      <c r="SS222" s="2938"/>
      <c r="ST222" s="1568"/>
      <c r="SU222" s="353"/>
      <c r="SV222" s="1858"/>
      <c r="SW222" s="2943">
        <v>12855982</v>
      </c>
      <c r="SX222" s="2943">
        <f>13921271</f>
        <v>13921271</v>
      </c>
      <c r="SY222" s="358">
        <f>SX222-SW222</f>
        <v>1065289</v>
      </c>
      <c r="SZ222" s="151">
        <f>SY222/SX222</f>
        <v>7.6522395117514769E-2</v>
      </c>
      <c r="TA222" s="2942"/>
      <c r="TB222" s="2943"/>
      <c r="TC222" s="2943"/>
      <c r="TD222" s="358">
        <v>0</v>
      </c>
      <c r="TE222" s="151"/>
      <c r="TF222" s="2942"/>
      <c r="TG222" s="2943"/>
      <c r="TH222" s="2943"/>
      <c r="TI222" s="358">
        <v>0</v>
      </c>
      <c r="TJ222" s="151"/>
      <c r="TK222" s="1868"/>
      <c r="TL222" s="2941"/>
      <c r="TM222" s="2941"/>
      <c r="TN222" s="1575">
        <f t="shared" si="838"/>
        <v>0</v>
      </c>
      <c r="TO222" s="2674"/>
      <c r="TP222" s="4464"/>
      <c r="TQ222" s="2947"/>
      <c r="TR222" s="2947"/>
      <c r="TS222" s="395"/>
      <c r="TT222" s="2674"/>
      <c r="TU222" s="4506"/>
      <c r="TV222" s="2941"/>
      <c r="TW222" s="2941"/>
      <c r="TX222" s="1575"/>
      <c r="TY222" s="2674"/>
      <c r="TZ222" s="1868"/>
      <c r="UA222" s="2941"/>
      <c r="UB222" s="2941"/>
      <c r="UC222" s="1575"/>
      <c r="UD222" s="2944"/>
      <c r="UE222" s="1568"/>
      <c r="UF222" s="2938"/>
      <c r="UG222" s="2938"/>
      <c r="UH222" s="1575"/>
      <c r="UI222" s="2674"/>
      <c r="UJ222" s="1568"/>
      <c r="UK222" s="2938"/>
      <c r="UL222" s="2938"/>
      <c r="UM222" s="1568"/>
      <c r="UN222" s="2673"/>
      <c r="UO222" s="1567"/>
      <c r="UP222" s="2938"/>
      <c r="UQ222" s="2938"/>
      <c r="UR222" s="2001"/>
      <c r="US222" s="655"/>
      <c r="UT222" s="190"/>
      <c r="UU222" s="358">
        <f t="shared" si="850"/>
        <v>12855982</v>
      </c>
      <c r="UV222" s="358">
        <f t="shared" si="850"/>
        <v>13921271</v>
      </c>
      <c r="UW222" s="358">
        <f t="shared" si="850"/>
        <v>1065289</v>
      </c>
      <c r="UX222" s="220">
        <f>UW222/UV222</f>
        <v>7.6522395117514769E-2</v>
      </c>
      <c r="UY222" s="1863">
        <f t="shared" si="840"/>
        <v>0</v>
      </c>
      <c r="UZ222" s="105">
        <f t="shared" si="841"/>
        <v>12855982</v>
      </c>
      <c r="VA222" s="105">
        <f t="shared" si="841"/>
        <v>13921271</v>
      </c>
      <c r="VB222" s="105">
        <f t="shared" si="841"/>
        <v>1065289</v>
      </c>
      <c r="VC222" s="106"/>
      <c r="VD222" s="358"/>
      <c r="VE222" s="358"/>
      <c r="VF222" s="358"/>
      <c r="VG222" s="359"/>
      <c r="VH222" s="169"/>
      <c r="VI222" s="686"/>
      <c r="VJ222" s="146"/>
      <c r="VK222" s="146"/>
      <c r="VL222" s="1864"/>
      <c r="VM222" s="1059">
        <v>0</v>
      </c>
      <c r="VN222" s="190"/>
      <c r="VO222" s="358"/>
      <c r="VP222" s="358"/>
      <c r="VQ222" s="359"/>
      <c r="VR222" s="2155"/>
    </row>
    <row r="223" spans="1:745" s="1193" customFormat="1" ht="13.6" hidden="1" customHeight="1" x14ac:dyDescent="0.3">
      <c r="A223" s="1297"/>
      <c r="B223" s="113" t="s">
        <v>113</v>
      </c>
      <c r="C223" s="2843" t="s">
        <v>880</v>
      </c>
      <c r="D223" s="4067" t="s">
        <v>881</v>
      </c>
      <c r="E223" s="384"/>
      <c r="F223" s="384"/>
      <c r="G223" s="2161">
        <v>1700000</v>
      </c>
      <c r="H223" s="2845"/>
      <c r="I223" s="2846"/>
      <c r="J223" s="2846"/>
      <c r="K223" s="2846"/>
      <c r="L223" s="2847"/>
      <c r="M223" s="2845"/>
      <c r="N223" s="2846"/>
      <c r="O223" s="2846"/>
      <c r="P223" s="2846"/>
      <c r="Q223" s="2847"/>
      <c r="R223" s="2845"/>
      <c r="S223" s="2846"/>
      <c r="T223" s="2846"/>
      <c r="U223" s="2846"/>
      <c r="V223" s="2847"/>
      <c r="W223" s="2845"/>
      <c r="X223" s="2846"/>
      <c r="Y223" s="2846"/>
      <c r="Z223" s="2846"/>
      <c r="AA223" s="2848"/>
      <c r="AB223" s="2845"/>
      <c r="AC223" s="2846"/>
      <c r="AD223" s="2846"/>
      <c r="AE223" s="2846"/>
      <c r="AF223" s="2848"/>
      <c r="AG223" s="2846"/>
      <c r="AH223" s="2846"/>
      <c r="AI223" s="2846"/>
      <c r="AJ223" s="2846"/>
      <c r="AK223" s="2847"/>
      <c r="AL223" s="2846"/>
      <c r="AM223" s="2846"/>
      <c r="AN223" s="2846"/>
      <c r="AO223" s="2846"/>
      <c r="AP223" s="2847"/>
      <c r="AQ223" s="2846"/>
      <c r="AR223" s="2846"/>
      <c r="AS223" s="2846"/>
      <c r="AT223" s="2846"/>
      <c r="AU223" s="2847"/>
      <c r="AV223" s="2849"/>
      <c r="AW223" s="2846"/>
      <c r="AX223" s="2846"/>
      <c r="AY223" s="2846"/>
      <c r="AZ223" s="2848"/>
      <c r="BA223" s="2849"/>
      <c r="BB223" s="2846"/>
      <c r="BC223" s="2846"/>
      <c r="BD223" s="2846"/>
      <c r="BE223" s="2848"/>
      <c r="BF223" s="2849"/>
      <c r="BG223" s="2846"/>
      <c r="BH223" s="2846"/>
      <c r="BI223" s="2846"/>
      <c r="BJ223" s="2848"/>
      <c r="BK223" s="2849"/>
      <c r="BL223" s="2846"/>
      <c r="BM223" s="2846"/>
      <c r="BN223" s="2846"/>
      <c r="BO223" s="2848"/>
      <c r="BP223" s="2850"/>
      <c r="BQ223" s="2846"/>
      <c r="BR223" s="2846"/>
      <c r="BS223" s="2846"/>
      <c r="BT223" s="2851"/>
      <c r="BU223" s="2846"/>
      <c r="BV223" s="2846"/>
      <c r="BW223" s="2852"/>
      <c r="BX223" s="2851"/>
      <c r="BY223" s="2846"/>
      <c r="BZ223" s="2846"/>
      <c r="CA223" s="2853"/>
      <c r="CB223" s="2846"/>
      <c r="CC223" s="2846"/>
      <c r="CD223" s="2846"/>
      <c r="CE223" s="2846"/>
      <c r="CF223" s="2851"/>
      <c r="CG223" s="2846"/>
      <c r="CH223" s="2846"/>
      <c r="CI223" s="2853"/>
      <c r="CJ223" s="2854"/>
      <c r="CK223" s="2846"/>
      <c r="CL223" s="2846"/>
      <c r="CM223" s="2846"/>
      <c r="CN223" s="2852"/>
      <c r="CO223" s="2854"/>
      <c r="CP223" s="2845"/>
      <c r="CQ223" s="2845"/>
      <c r="CR223" s="2845"/>
      <c r="CS223" s="2852"/>
      <c r="CT223" s="2854"/>
      <c r="CU223" s="2846"/>
      <c r="CV223" s="2846"/>
      <c r="CW223" s="2846"/>
      <c r="CX223" s="2852"/>
      <c r="CY223" s="2854"/>
      <c r="CZ223" s="2846"/>
      <c r="DA223" s="2846"/>
      <c r="DB223" s="2846"/>
      <c r="DC223" s="2852"/>
      <c r="DD223" s="2854"/>
      <c r="DE223" s="2846"/>
      <c r="DF223" s="2846"/>
      <c r="DG223" s="2846"/>
      <c r="DH223" s="2855"/>
      <c r="DI223" s="2854"/>
      <c r="DJ223" s="2846"/>
      <c r="DK223" s="2846"/>
      <c r="DL223" s="2846"/>
      <c r="DM223" s="2855"/>
      <c r="DN223" s="2854"/>
      <c r="DO223" s="2846"/>
      <c r="DP223" s="2846"/>
      <c r="DQ223" s="2846"/>
      <c r="DR223" s="2855"/>
      <c r="DS223" s="2854"/>
      <c r="DT223" s="2846"/>
      <c r="DU223" s="2846"/>
      <c r="DV223" s="2846"/>
      <c r="DW223" s="2855"/>
      <c r="DX223" s="2854"/>
      <c r="DY223" s="2846"/>
      <c r="DZ223" s="2846"/>
      <c r="EA223" s="2846"/>
      <c r="EB223" s="2855"/>
      <c r="EC223" s="2854"/>
      <c r="ED223" s="2846"/>
      <c r="EE223" s="2846"/>
      <c r="EF223" s="2846"/>
      <c r="EG223" s="2855"/>
      <c r="EH223" s="1567"/>
      <c r="EI223" s="1568"/>
      <c r="EJ223" s="1568"/>
      <c r="EK223" s="1568"/>
      <c r="EL223" s="353"/>
      <c r="EM223" s="1857"/>
      <c r="EN223" s="358"/>
      <c r="EO223" s="358"/>
      <c r="EP223" s="358"/>
      <c r="EQ223" s="94"/>
      <c r="ER223" s="2856"/>
      <c r="ES223" s="2857"/>
      <c r="ET223" s="2857"/>
      <c r="EU223" s="2857"/>
      <c r="EV223" s="1867"/>
      <c r="EW223" s="1569"/>
      <c r="EX223" s="1569"/>
      <c r="EY223" s="1569"/>
      <c r="EZ223" s="210"/>
      <c r="FA223" s="1567"/>
      <c r="FB223" s="1569"/>
      <c r="FC223" s="1569"/>
      <c r="FD223" s="220"/>
      <c r="FE223" s="1569"/>
      <c r="FF223" s="1569"/>
      <c r="FG223" s="1569"/>
      <c r="FH223" s="210"/>
      <c r="FI223" s="580"/>
      <c r="FJ223" s="579"/>
      <c r="FK223" s="137"/>
      <c r="FL223" s="137"/>
      <c r="FM223" s="151"/>
      <c r="FN223" s="1569"/>
      <c r="FO223" s="1568"/>
      <c r="FP223" s="1568"/>
      <c r="FQ223" s="1568"/>
      <c r="FR223" s="408"/>
      <c r="FS223" s="2858"/>
      <c r="FT223" s="2859"/>
      <c r="FU223" s="2859"/>
      <c r="FV223" s="2859"/>
      <c r="FW223" s="2860"/>
      <c r="FX223" s="1567"/>
      <c r="FY223" s="1568"/>
      <c r="FZ223" s="1568"/>
      <c r="GA223" s="2859"/>
      <c r="GB223" s="2860"/>
      <c r="GC223" s="1567"/>
      <c r="GD223" s="1568"/>
      <c r="GE223" s="1568"/>
      <c r="GF223" s="358"/>
      <c r="GG223" s="94"/>
      <c r="GH223" s="1857"/>
      <c r="GI223" s="358"/>
      <c r="GJ223" s="358"/>
      <c r="GK223" s="2861">
        <f>GJ223-GI223</f>
        <v>0</v>
      </c>
      <c r="GL223" s="2860" t="e">
        <f>GK223/GJ223</f>
        <v>#DIV/0!</v>
      </c>
      <c r="GM223" s="1857"/>
      <c r="GN223" s="358"/>
      <c r="GO223" s="358"/>
      <c r="GP223" s="2861">
        <f>GO223-GN223</f>
        <v>0</v>
      </c>
      <c r="GQ223" s="2860" t="e">
        <f>GP223/GO223</f>
        <v>#DIV/0!</v>
      </c>
      <c r="GR223" s="358"/>
      <c r="GS223" s="358"/>
      <c r="GT223" s="358"/>
      <c r="GU223" s="2861">
        <f>GT223-GS223</f>
        <v>0</v>
      </c>
      <c r="GV223" s="2860" t="e">
        <f>GU223/GT223</f>
        <v>#DIV/0!</v>
      </c>
      <c r="GW223" s="358"/>
      <c r="GX223" s="358"/>
      <c r="GY223" s="358"/>
      <c r="GZ223" s="2861">
        <f>GY223-GX223</f>
        <v>0</v>
      </c>
      <c r="HA223" s="2860" t="e">
        <f>GZ223/GY223</f>
        <v>#DIV/0!</v>
      </c>
      <c r="HB223" s="358"/>
      <c r="HC223" s="358"/>
      <c r="HD223" s="358"/>
      <c r="HE223" s="2861">
        <f>HD223-HC223</f>
        <v>0</v>
      </c>
      <c r="HF223" s="2860" t="e">
        <f>HE223/HD223</f>
        <v>#DIV/0!</v>
      </c>
      <c r="HG223" s="358"/>
      <c r="HH223" s="358"/>
      <c r="HI223" s="358"/>
      <c r="HJ223" s="2861">
        <f>HI223-HH223</f>
        <v>0</v>
      </c>
      <c r="HK223" s="2860" t="e">
        <f>HJ223/HI223</f>
        <v>#DIV/0!</v>
      </c>
      <c r="HL223" s="358"/>
      <c r="HM223" s="358"/>
      <c r="HN223" s="358"/>
      <c r="HO223" s="2861"/>
      <c r="HP223" s="2860"/>
      <c r="HQ223" s="2861"/>
      <c r="HR223" s="2861"/>
      <c r="HS223" s="2861"/>
      <c r="HT223" s="2861"/>
      <c r="HU223" s="2870"/>
      <c r="HV223" s="3812">
        <f t="shared" ref="HV223:HY226" si="853">FN223+FS223+FX223+GC223+GH223+GM223+GR223+GW223+HB223+HG223+HL223+HQ223</f>
        <v>0</v>
      </c>
      <c r="HW223" s="208">
        <f t="shared" si="853"/>
        <v>0</v>
      </c>
      <c r="HX223" s="208">
        <f t="shared" si="853"/>
        <v>0</v>
      </c>
      <c r="HY223" s="208">
        <f t="shared" si="853"/>
        <v>0</v>
      </c>
      <c r="HZ223" s="2737"/>
      <c r="IA223" s="1934"/>
      <c r="IB223" s="1855"/>
      <c r="IC223" s="1855"/>
      <c r="ID223" s="1856"/>
      <c r="IE223" s="2863"/>
      <c r="IF223" s="2863"/>
      <c r="IG223" s="2863"/>
      <c r="IH223" s="2864"/>
      <c r="II223" s="2865"/>
      <c r="IJ223" s="3813"/>
      <c r="IK223" s="3813"/>
      <c r="IL223" s="2864"/>
      <c r="IM223" s="2866"/>
      <c r="IN223" s="3813"/>
      <c r="IO223" s="3813"/>
      <c r="IP223" s="2867"/>
      <c r="IQ223" s="1568"/>
      <c r="IR223" s="2868"/>
      <c r="IS223" s="2015"/>
      <c r="IT223" s="2015"/>
      <c r="IU223" s="2869"/>
      <c r="IV223" s="2870"/>
      <c r="IW223" s="2858"/>
      <c r="IX223" s="2859"/>
      <c r="IY223" s="2859"/>
      <c r="IZ223" s="2859"/>
      <c r="JA223" s="2870"/>
      <c r="JB223" s="2871"/>
      <c r="JC223" s="1568"/>
      <c r="JD223" s="1568"/>
      <c r="JE223" s="2859"/>
      <c r="JF223" s="2870"/>
      <c r="JG223" s="2871"/>
      <c r="JH223" s="1568"/>
      <c r="JI223" s="1568"/>
      <c r="JJ223" s="358"/>
      <c r="JK223" s="158"/>
      <c r="JL223" s="1857"/>
      <c r="JM223" s="358">
        <v>270000</v>
      </c>
      <c r="JN223" s="358">
        <v>680000</v>
      </c>
      <c r="JO223" s="2861">
        <v>410000</v>
      </c>
      <c r="JP223" s="2870">
        <v>0.6029411764705882</v>
      </c>
      <c r="JQ223" s="2873"/>
      <c r="JR223" s="1025"/>
      <c r="JS223" s="265"/>
      <c r="JT223" s="2872">
        <f>JS223-JR223</f>
        <v>0</v>
      </c>
      <c r="JU223" s="2870"/>
      <c r="JV223" s="2874"/>
      <c r="JW223" s="358"/>
      <c r="JX223" s="2872"/>
      <c r="JY223" s="2861"/>
      <c r="JZ223" s="2860"/>
      <c r="KA223" s="357"/>
      <c r="KB223" s="358">
        <v>210000</v>
      </c>
      <c r="KC223" s="2872">
        <v>510000</v>
      </c>
      <c r="KD223" s="2861">
        <v>300000</v>
      </c>
      <c r="KE223" s="2870">
        <v>0.58823529411764708</v>
      </c>
      <c r="KF223" s="2875"/>
      <c r="KG223" s="358"/>
      <c r="KH223" s="2872"/>
      <c r="KI223" s="2861"/>
      <c r="KJ223" s="2870"/>
      <c r="KK223" s="2875"/>
      <c r="KL223" s="358"/>
      <c r="KM223" s="2872"/>
      <c r="KN223" s="2861">
        <f>KM223-KL223</f>
        <v>0</v>
      </c>
      <c r="KO223" s="2860"/>
      <c r="KP223" s="357"/>
      <c r="KQ223" s="358"/>
      <c r="KR223" s="2872"/>
      <c r="KS223" s="2861">
        <f>KR223-KQ223</f>
        <v>0</v>
      </c>
      <c r="KT223" s="2870"/>
      <c r="KU223" s="3814"/>
      <c r="KV223" s="2861"/>
      <c r="KW223" s="2861"/>
      <c r="KX223" s="2861">
        <f>KW223-KV223</f>
        <v>0</v>
      </c>
      <c r="KY223" s="2860"/>
      <c r="KZ223" s="357">
        <f t="shared" ref="KZ223:LC229" si="854">IR223+IW223+JB223+JG223+JL223+JQ223+JV223+KA223+KF223+KK223+KP223+KU223</f>
        <v>0</v>
      </c>
      <c r="LA223" s="358">
        <f t="shared" si="854"/>
        <v>480000</v>
      </c>
      <c r="LB223" s="358">
        <f t="shared" si="854"/>
        <v>1190000</v>
      </c>
      <c r="LC223" s="358">
        <f t="shared" si="854"/>
        <v>710000</v>
      </c>
      <c r="LD223" s="220">
        <f>LC223/LB223</f>
        <v>0.59663865546218486</v>
      </c>
      <c r="LE223" s="1854"/>
      <c r="LF223" s="1855"/>
      <c r="LG223" s="1855"/>
      <c r="LH223" s="1856"/>
      <c r="LI223" s="2866"/>
      <c r="LJ223" s="2863"/>
      <c r="LK223" s="2863"/>
      <c r="LL223" s="2864"/>
      <c r="LM223" s="1934">
        <f>(JV223+KA223+KF223)/3</f>
        <v>0</v>
      </c>
      <c r="LN223" s="2878">
        <f t="shared" ref="LN223:LO226" si="855">(JX223+KC223+KH223)</f>
        <v>510000</v>
      </c>
      <c r="LO223" s="2878">
        <f t="shared" si="855"/>
        <v>300000</v>
      </c>
      <c r="LP223" s="151"/>
      <c r="LQ223" s="2866"/>
      <c r="LR223" s="3813"/>
      <c r="LS223" s="3813"/>
      <c r="LT223" s="2867"/>
      <c r="LU223" s="1568"/>
      <c r="LV223" s="1567"/>
      <c r="LW223" s="2938"/>
      <c r="LX223" s="2938"/>
      <c r="LY223" s="1568"/>
      <c r="LZ223" s="2939"/>
      <c r="MA223" s="1567"/>
      <c r="MB223" s="2938"/>
      <c r="MC223" s="2938"/>
      <c r="MD223" s="1568"/>
      <c r="ME223" s="2939"/>
      <c r="MF223" s="1569"/>
      <c r="MG223" s="2938"/>
      <c r="MH223" s="2938"/>
      <c r="MI223" s="1568"/>
      <c r="MJ223" s="220"/>
      <c r="MK223" s="2940"/>
      <c r="ML223" s="2938"/>
      <c r="MM223" s="2938"/>
      <c r="MN223" s="1568"/>
      <c r="MO223" s="220"/>
      <c r="MP223" s="2940"/>
      <c r="MQ223" s="2938"/>
      <c r="MR223" s="2938"/>
      <c r="MS223" s="1568"/>
      <c r="MT223" s="220"/>
      <c r="MU223" s="1868"/>
      <c r="MV223" s="2945">
        <v>260000</v>
      </c>
      <c r="MW223" s="2945">
        <v>510000</v>
      </c>
      <c r="MX223" s="208">
        <f>MW223-MV223</f>
        <v>250000</v>
      </c>
      <c r="MY223" s="114">
        <f>MX223/MW223</f>
        <v>0.49019607843137253</v>
      </c>
      <c r="MZ223" s="1868"/>
      <c r="NA223" s="2941"/>
      <c r="NB223" s="2941"/>
      <c r="NC223" s="1575"/>
      <c r="ND223" s="83"/>
      <c r="NE223" s="1868"/>
      <c r="NF223" s="2941"/>
      <c r="NG223" s="2941"/>
      <c r="NH223" s="1575"/>
      <c r="NI223" s="83"/>
      <c r="NJ223" s="1868"/>
      <c r="NK223" s="2941"/>
      <c r="NL223" s="2941"/>
      <c r="NM223" s="1575"/>
      <c r="NN223" s="83"/>
      <c r="NO223" s="1568"/>
      <c r="NP223" s="2938"/>
      <c r="NQ223" s="2938"/>
      <c r="NR223" s="1575"/>
      <c r="NS223" s="83"/>
      <c r="NT223" s="1568"/>
      <c r="NU223" s="2938"/>
      <c r="NV223" s="2938"/>
      <c r="NW223" s="1568"/>
      <c r="NX223" s="2673"/>
      <c r="NY223" s="1868"/>
      <c r="NZ223" s="2941">
        <v>0</v>
      </c>
      <c r="OA223" s="2941">
        <v>0</v>
      </c>
      <c r="OB223" s="2001">
        <v>0</v>
      </c>
      <c r="OC223" s="116"/>
      <c r="OD223" s="190">
        <f>(NY223+NT223+NO223+NJ223+NE223+MZ223+MU223+MP223+MK223+MF223+MA223+LV223)/12</f>
        <v>0</v>
      </c>
      <c r="OE223" s="358">
        <f t="shared" ref="OE223:OG226" si="856">NZ223+NU223+NP223+NK223+NF223+NA223+MV223+MQ223+ML223+MG223+MB223+LW223</f>
        <v>260000</v>
      </c>
      <c r="OF223" s="358">
        <f t="shared" si="856"/>
        <v>510000</v>
      </c>
      <c r="OG223" s="358">
        <f t="shared" si="856"/>
        <v>250000</v>
      </c>
      <c r="OH223" s="220">
        <f>OG223/OF223</f>
        <v>0.49019607843137253</v>
      </c>
      <c r="OI223" s="3802">
        <f t="shared" ref="OI223:OI229" si="857">(LV223+MA223+MF223)/3</f>
        <v>0</v>
      </c>
      <c r="OJ223" s="96">
        <f t="shared" ref="OJ223:OL229" si="858">LW223+MB223+MG223</f>
        <v>0</v>
      </c>
      <c r="OK223" s="96">
        <f t="shared" si="858"/>
        <v>0</v>
      </c>
      <c r="OL223" s="96">
        <f t="shared" si="858"/>
        <v>0</v>
      </c>
      <c r="OM223" s="114"/>
      <c r="ON223" s="358">
        <f t="shared" ref="ON223:ON229" si="859">(MK223+MP223+MU223)/3</f>
        <v>0</v>
      </c>
      <c r="OO223" s="358">
        <f t="shared" ref="OO223:OQ229" si="860">ML223+MQ223+MV223</f>
        <v>260000</v>
      </c>
      <c r="OP223" s="358">
        <f t="shared" si="860"/>
        <v>510000</v>
      </c>
      <c r="OQ223" s="359">
        <f t="shared" si="860"/>
        <v>250000</v>
      </c>
      <c r="OR223" s="169">
        <f>OQ223/OP223</f>
        <v>0.49019607843137253</v>
      </c>
      <c r="OS223" s="607">
        <f t="shared" ref="OS223:OV226" si="861">NJ223+NE223+MZ223</f>
        <v>0</v>
      </c>
      <c r="OT223" s="137">
        <f t="shared" si="861"/>
        <v>0</v>
      </c>
      <c r="OU223" s="137">
        <f t="shared" si="861"/>
        <v>0</v>
      </c>
      <c r="OV223" s="3803">
        <f t="shared" si="861"/>
        <v>0</v>
      </c>
      <c r="OW223" s="169"/>
      <c r="OX223" s="357">
        <f t="shared" ref="OX223:OX229" si="862">(NO223+NT223+NY223)/3</f>
        <v>0</v>
      </c>
      <c r="OY223" s="358">
        <f t="shared" ref="OY223:PA229" si="863">NP223+NU223+NZ223</f>
        <v>0</v>
      </c>
      <c r="OZ223" s="358">
        <f t="shared" si="863"/>
        <v>0</v>
      </c>
      <c r="PA223" s="359">
        <f t="shared" si="863"/>
        <v>0</v>
      </c>
      <c r="PB223" s="114"/>
      <c r="PC223" s="137"/>
      <c r="PD223" s="1567"/>
      <c r="PE223" s="2938">
        <v>0</v>
      </c>
      <c r="PF223" s="2938">
        <v>0</v>
      </c>
      <c r="PG223" s="1568"/>
      <c r="PH223" s="353"/>
      <c r="PI223" s="1567"/>
      <c r="PJ223" s="2938"/>
      <c r="PK223" s="2938"/>
      <c r="PL223" s="1568"/>
      <c r="PM223" s="2939"/>
      <c r="PN223" s="1569"/>
      <c r="PO223" s="2938"/>
      <c r="PP223" s="2938"/>
      <c r="PQ223" s="1568"/>
      <c r="PR223" s="220"/>
      <c r="PS223" s="2940"/>
      <c r="PT223" s="2938"/>
      <c r="PU223" s="2938"/>
      <c r="PV223" s="1568"/>
      <c r="PW223" s="220"/>
      <c r="PX223" s="2942"/>
      <c r="PY223" s="2943"/>
      <c r="PZ223" s="2943"/>
      <c r="QA223" s="358"/>
      <c r="QB223" s="151"/>
      <c r="QC223" s="1868"/>
      <c r="QD223" s="2941"/>
      <c r="QE223" s="2941"/>
      <c r="QF223" s="1575">
        <f>QE223-QD223</f>
        <v>0</v>
      </c>
      <c r="QG223" s="83"/>
      <c r="QH223" s="405"/>
      <c r="QI223" s="2941"/>
      <c r="QJ223" s="2941"/>
      <c r="QK223" s="1575"/>
      <c r="QL223" s="83"/>
      <c r="QM223" s="405"/>
      <c r="QN223" s="2941"/>
      <c r="QO223" s="2941"/>
      <c r="QP223" s="1575"/>
      <c r="QQ223" s="83"/>
      <c r="QR223" s="1868"/>
      <c r="QS223" s="2941"/>
      <c r="QT223" s="2941"/>
      <c r="QU223" s="1575"/>
      <c r="QV223" s="222"/>
      <c r="QW223" s="1568"/>
      <c r="QX223" s="2938"/>
      <c r="QY223" s="2938"/>
      <c r="QZ223" s="1575"/>
      <c r="RA223" s="83"/>
      <c r="RB223" s="1568"/>
      <c r="RC223" s="2938"/>
      <c r="RD223" s="2938"/>
      <c r="RE223" s="1568"/>
      <c r="RF223" s="2673"/>
      <c r="RG223" s="1567"/>
      <c r="RH223" s="2938"/>
      <c r="RI223" s="2938"/>
      <c r="RJ223" s="2001">
        <v>0</v>
      </c>
      <c r="RK223" s="801"/>
      <c r="RL223" s="3718">
        <f t="shared" ref="RL223:RL229" si="864">(RG223+RB223+QW223+QR223+QM223+QH223+QC223+PX223+PS223+PN223+PI223+PD223)/12</f>
        <v>0</v>
      </c>
      <c r="RM223" s="1568">
        <f t="shared" ref="RM223:RO229" si="865">RH223+RC223+QX223+QS223+QN223+QI223+QD223+PY223+PT223+PO223+PJ223+PE223</f>
        <v>0</v>
      </c>
      <c r="RN223" s="1568">
        <f t="shared" si="865"/>
        <v>0</v>
      </c>
      <c r="RO223" s="1568">
        <f t="shared" si="865"/>
        <v>0</v>
      </c>
      <c r="RP223" s="2673"/>
      <c r="RQ223" s="3802">
        <f t="shared" ref="RQ223:RQ229" si="866">(PD223+PI223+PN223)/3</f>
        <v>0</v>
      </c>
      <c r="RR223" s="96">
        <f t="shared" ref="RR223:RT229" si="867">PE223+PJ223+PO223</f>
        <v>0</v>
      </c>
      <c r="RS223" s="96">
        <f t="shared" si="867"/>
        <v>0</v>
      </c>
      <c r="RT223" s="96">
        <f t="shared" si="867"/>
        <v>0</v>
      </c>
      <c r="RU223" s="114"/>
      <c r="RV223" s="358">
        <f t="shared" ref="RV223:RV229" si="868">(PS223+PX223+QC223)/3</f>
        <v>0</v>
      </c>
      <c r="RW223" s="358">
        <f t="shared" ref="RW223:RY229" si="869">PT223+PY223+QD223</f>
        <v>0</v>
      </c>
      <c r="RX223" s="358">
        <f t="shared" si="869"/>
        <v>0</v>
      </c>
      <c r="RY223" s="359">
        <f t="shared" si="869"/>
        <v>0</v>
      </c>
      <c r="RZ223" s="169"/>
      <c r="SA223" s="607">
        <f t="shared" si="847"/>
        <v>0</v>
      </c>
      <c r="SB223" s="137">
        <f t="shared" si="848"/>
        <v>0</v>
      </c>
      <c r="SC223" s="137">
        <f t="shared" si="848"/>
        <v>0</v>
      </c>
      <c r="SD223" s="3803">
        <f t="shared" si="848"/>
        <v>0</v>
      </c>
      <c r="SE223" s="978">
        <v>0</v>
      </c>
      <c r="SF223" s="190">
        <f t="shared" ref="SF223:SF229" si="870">(SA223+RV223+RQ223+RL223+RG223+RB223+QW223+QR223+QM223+QH223+QC223+PX223)/12</f>
        <v>0</v>
      </c>
      <c r="SG223" s="358">
        <f t="shared" si="849"/>
        <v>0</v>
      </c>
      <c r="SH223" s="358">
        <f t="shared" si="849"/>
        <v>0</v>
      </c>
      <c r="SI223" s="359">
        <f t="shared" si="849"/>
        <v>0</v>
      </c>
      <c r="SJ223" s="2155">
        <v>0</v>
      </c>
      <c r="SK223" s="1568"/>
      <c r="SL223" s="1567"/>
      <c r="SM223" s="2938">
        <v>0</v>
      </c>
      <c r="SN223" s="2938">
        <v>0</v>
      </c>
      <c r="SO223" s="3534">
        <f t="shared" si="837"/>
        <v>0</v>
      </c>
      <c r="SP223" s="3525">
        <v>0</v>
      </c>
      <c r="SQ223" s="1567"/>
      <c r="SR223" s="2938">
        <v>0</v>
      </c>
      <c r="SS223" s="2938">
        <v>0</v>
      </c>
      <c r="ST223" s="1568">
        <v>0</v>
      </c>
      <c r="SU223" s="2939"/>
      <c r="SV223" s="1858"/>
      <c r="SW223" s="2943"/>
      <c r="SX223" s="2943"/>
      <c r="SY223" s="358"/>
      <c r="SZ223" s="151"/>
      <c r="TA223" s="2942"/>
      <c r="TB223" s="2943"/>
      <c r="TC223" s="2943"/>
      <c r="TD223" s="358">
        <v>0</v>
      </c>
      <c r="TE223" s="151"/>
      <c r="TF223" s="2942"/>
      <c r="TG223" s="2943"/>
      <c r="TH223" s="2943"/>
      <c r="TI223" s="358">
        <v>0</v>
      </c>
      <c r="TJ223" s="151"/>
      <c r="TK223" s="1868"/>
      <c r="TL223" s="2941"/>
      <c r="TM223" s="2941"/>
      <c r="TN223" s="1575">
        <f t="shared" si="838"/>
        <v>0</v>
      </c>
      <c r="TO223" s="83"/>
      <c r="TP223" s="4506"/>
      <c r="TQ223" s="2941"/>
      <c r="TR223" s="2941"/>
      <c r="TS223" s="1575"/>
      <c r="TT223" s="2674"/>
      <c r="TU223" s="4506"/>
      <c r="TV223" s="2941"/>
      <c r="TW223" s="2941"/>
      <c r="TX223" s="1575"/>
      <c r="TY223" s="83"/>
      <c r="TZ223" s="1868"/>
      <c r="UA223" s="2941"/>
      <c r="UB223" s="2941"/>
      <c r="UC223" s="1575"/>
      <c r="UD223" s="222"/>
      <c r="UE223" s="1568"/>
      <c r="UF223" s="2938"/>
      <c r="UG223" s="2938"/>
      <c r="UH223" s="1575"/>
      <c r="UI223" s="83"/>
      <c r="UJ223" s="1568"/>
      <c r="UK223" s="2938"/>
      <c r="UL223" s="2938"/>
      <c r="UM223" s="1568"/>
      <c r="UN223" s="2673"/>
      <c r="UO223" s="1567"/>
      <c r="UP223" s="2938"/>
      <c r="UQ223" s="2938"/>
      <c r="UR223" s="2001">
        <v>0</v>
      </c>
      <c r="US223" s="655"/>
      <c r="UT223" s="190">
        <f>(UO223+UJ223+UE223+TZ223+TU223+TP223+TK223+TF223+TA223+SV223+SQ223+SL223)/12</f>
        <v>0</v>
      </c>
      <c r="UU223" s="358">
        <f t="shared" si="850"/>
        <v>0</v>
      </c>
      <c r="UV223" s="358">
        <f t="shared" si="850"/>
        <v>0</v>
      </c>
      <c r="UW223" s="358">
        <f t="shared" si="850"/>
        <v>0</v>
      </c>
      <c r="UX223" s="2281">
        <v>0</v>
      </c>
      <c r="UY223" s="1863">
        <f t="shared" si="840"/>
        <v>0</v>
      </c>
      <c r="UZ223" s="105">
        <f t="shared" si="841"/>
        <v>0</v>
      </c>
      <c r="VA223" s="105">
        <f t="shared" si="841"/>
        <v>0</v>
      </c>
      <c r="VB223" s="105">
        <f t="shared" si="841"/>
        <v>0</v>
      </c>
      <c r="VC223" s="106"/>
      <c r="VD223" s="358">
        <f>(TA223+TF223+TK223)/3</f>
        <v>0</v>
      </c>
      <c r="VE223" s="358">
        <f t="shared" ref="VE223:VG227" si="871">TB223+TG223+TL223</f>
        <v>0</v>
      </c>
      <c r="VF223" s="358">
        <f t="shared" si="871"/>
        <v>0</v>
      </c>
      <c r="VG223" s="359">
        <f t="shared" si="871"/>
        <v>0</v>
      </c>
      <c r="VH223" s="169"/>
      <c r="VI223" s="686">
        <f t="shared" si="843"/>
        <v>0</v>
      </c>
      <c r="VJ223" s="146">
        <f t="shared" si="844"/>
        <v>0</v>
      </c>
      <c r="VK223" s="146">
        <f t="shared" si="844"/>
        <v>0</v>
      </c>
      <c r="VL223" s="1864">
        <f t="shared" si="844"/>
        <v>0</v>
      </c>
      <c r="VM223" s="1059">
        <v>0</v>
      </c>
      <c r="VN223" s="190">
        <f>(VI223+VD223+UY223+UT223+UO223+UJ223+UE223+TZ223+TU223+TP223+TK223+TF223)/12</f>
        <v>0</v>
      </c>
      <c r="VO223" s="358">
        <f t="shared" si="846"/>
        <v>0</v>
      </c>
      <c r="VP223" s="358">
        <f t="shared" si="846"/>
        <v>0</v>
      </c>
      <c r="VQ223" s="359">
        <f t="shared" si="846"/>
        <v>0</v>
      </c>
      <c r="VR223" s="2155">
        <v>0</v>
      </c>
    </row>
    <row r="224" spans="1:745" s="1193" customFormat="1" ht="13.6" hidden="1" customHeight="1" x14ac:dyDescent="0.3">
      <c r="A224" s="1297"/>
      <c r="B224" s="113" t="s">
        <v>113</v>
      </c>
      <c r="C224" s="2843" t="s">
        <v>882</v>
      </c>
      <c r="D224" s="4067" t="s">
        <v>883</v>
      </c>
      <c r="E224" s="384"/>
      <c r="F224" s="384"/>
      <c r="G224" s="2161">
        <v>3400000</v>
      </c>
      <c r="H224" s="2845"/>
      <c r="I224" s="2846"/>
      <c r="J224" s="2846"/>
      <c r="K224" s="2846"/>
      <c r="L224" s="2847"/>
      <c r="M224" s="2845"/>
      <c r="N224" s="2846"/>
      <c r="O224" s="2846"/>
      <c r="P224" s="2846"/>
      <c r="Q224" s="2847"/>
      <c r="R224" s="2845"/>
      <c r="S224" s="2846"/>
      <c r="T224" s="2846"/>
      <c r="U224" s="2846"/>
      <c r="V224" s="2847"/>
      <c r="W224" s="2845"/>
      <c r="X224" s="2846"/>
      <c r="Y224" s="2846"/>
      <c r="Z224" s="2846"/>
      <c r="AA224" s="2848"/>
      <c r="AB224" s="2845"/>
      <c r="AC224" s="2846"/>
      <c r="AD224" s="2846"/>
      <c r="AE224" s="2846"/>
      <c r="AF224" s="2848"/>
      <c r="AG224" s="2846"/>
      <c r="AH224" s="2846"/>
      <c r="AI224" s="2846"/>
      <c r="AJ224" s="2846"/>
      <c r="AK224" s="2847"/>
      <c r="AL224" s="2846"/>
      <c r="AM224" s="2846"/>
      <c r="AN224" s="2846"/>
      <c r="AO224" s="2846"/>
      <c r="AP224" s="2847"/>
      <c r="AQ224" s="2846"/>
      <c r="AR224" s="2846"/>
      <c r="AS224" s="2846"/>
      <c r="AT224" s="2846"/>
      <c r="AU224" s="2847"/>
      <c r="AV224" s="2849"/>
      <c r="AW224" s="2846"/>
      <c r="AX224" s="2846"/>
      <c r="AY224" s="2846"/>
      <c r="AZ224" s="2848"/>
      <c r="BA224" s="2849"/>
      <c r="BB224" s="2846"/>
      <c r="BC224" s="2846"/>
      <c r="BD224" s="2846"/>
      <c r="BE224" s="2848"/>
      <c r="BF224" s="2849"/>
      <c r="BG224" s="2846"/>
      <c r="BH224" s="2846"/>
      <c r="BI224" s="2846"/>
      <c r="BJ224" s="2848"/>
      <c r="BK224" s="2849"/>
      <c r="BL224" s="2846"/>
      <c r="BM224" s="2846"/>
      <c r="BN224" s="2846"/>
      <c r="BO224" s="2848"/>
      <c r="BP224" s="2850"/>
      <c r="BQ224" s="2846"/>
      <c r="BR224" s="2846"/>
      <c r="BS224" s="2846"/>
      <c r="BT224" s="2851"/>
      <c r="BU224" s="2846"/>
      <c r="BV224" s="2846"/>
      <c r="BW224" s="2852"/>
      <c r="BX224" s="2851"/>
      <c r="BY224" s="2846"/>
      <c r="BZ224" s="2846"/>
      <c r="CA224" s="2853"/>
      <c r="CB224" s="2846"/>
      <c r="CC224" s="2846"/>
      <c r="CD224" s="2846"/>
      <c r="CE224" s="2846"/>
      <c r="CF224" s="2851"/>
      <c r="CG224" s="2846"/>
      <c r="CH224" s="2846"/>
      <c r="CI224" s="2853"/>
      <c r="CJ224" s="2854"/>
      <c r="CK224" s="2846"/>
      <c r="CL224" s="2846"/>
      <c r="CM224" s="2846"/>
      <c r="CN224" s="2852"/>
      <c r="CO224" s="2854"/>
      <c r="CP224" s="2845"/>
      <c r="CQ224" s="2845"/>
      <c r="CR224" s="2845"/>
      <c r="CS224" s="2852"/>
      <c r="CT224" s="2854"/>
      <c r="CU224" s="2846"/>
      <c r="CV224" s="2846"/>
      <c r="CW224" s="2846"/>
      <c r="CX224" s="2852"/>
      <c r="CY224" s="2854"/>
      <c r="CZ224" s="2846"/>
      <c r="DA224" s="2846"/>
      <c r="DB224" s="2846"/>
      <c r="DC224" s="2852"/>
      <c r="DD224" s="2854"/>
      <c r="DE224" s="2846"/>
      <c r="DF224" s="2846"/>
      <c r="DG224" s="2846"/>
      <c r="DH224" s="2855"/>
      <c r="DI224" s="2854"/>
      <c r="DJ224" s="2846"/>
      <c r="DK224" s="2846"/>
      <c r="DL224" s="2846"/>
      <c r="DM224" s="2855"/>
      <c r="DN224" s="2854"/>
      <c r="DO224" s="2846"/>
      <c r="DP224" s="2846"/>
      <c r="DQ224" s="2846"/>
      <c r="DR224" s="2855"/>
      <c r="DS224" s="2854"/>
      <c r="DT224" s="2846"/>
      <c r="DU224" s="2846"/>
      <c r="DV224" s="2846"/>
      <c r="DW224" s="2855"/>
      <c r="DX224" s="2854"/>
      <c r="DY224" s="2846"/>
      <c r="DZ224" s="2846"/>
      <c r="EA224" s="2846"/>
      <c r="EB224" s="2855"/>
      <c r="EC224" s="2854"/>
      <c r="ED224" s="2846"/>
      <c r="EE224" s="2846"/>
      <c r="EF224" s="2846"/>
      <c r="EG224" s="2855"/>
      <c r="EH224" s="1567"/>
      <c r="EI224" s="1568"/>
      <c r="EJ224" s="1568"/>
      <c r="EK224" s="1568"/>
      <c r="EL224" s="353"/>
      <c r="EM224" s="1857"/>
      <c r="EN224" s="358"/>
      <c r="EO224" s="358"/>
      <c r="EP224" s="358"/>
      <c r="EQ224" s="94"/>
      <c r="ER224" s="2856"/>
      <c r="ES224" s="2857"/>
      <c r="ET224" s="2857"/>
      <c r="EU224" s="2857"/>
      <c r="EV224" s="1867"/>
      <c r="EW224" s="1569"/>
      <c r="EX224" s="1569"/>
      <c r="EY224" s="1569"/>
      <c r="EZ224" s="210"/>
      <c r="FA224" s="1567"/>
      <c r="FB224" s="1569"/>
      <c r="FC224" s="1569"/>
      <c r="FD224" s="220"/>
      <c r="FE224" s="1569"/>
      <c r="FF224" s="1569"/>
      <c r="FG224" s="1569"/>
      <c r="FH224" s="210"/>
      <c r="FI224" s="580"/>
      <c r="FJ224" s="579"/>
      <c r="FK224" s="137"/>
      <c r="FL224" s="137"/>
      <c r="FM224" s="151"/>
      <c r="FN224" s="1569"/>
      <c r="FO224" s="1568"/>
      <c r="FP224" s="1568"/>
      <c r="FQ224" s="1568"/>
      <c r="FR224" s="408"/>
      <c r="FS224" s="2858"/>
      <c r="FT224" s="2859"/>
      <c r="FU224" s="2859"/>
      <c r="FV224" s="2859"/>
      <c r="FW224" s="2860"/>
      <c r="FX224" s="1567"/>
      <c r="FY224" s="1568"/>
      <c r="FZ224" s="1568"/>
      <c r="GA224" s="2859"/>
      <c r="GB224" s="2860"/>
      <c r="GC224" s="1567"/>
      <c r="GD224" s="1568"/>
      <c r="GE224" s="1568"/>
      <c r="GF224" s="358"/>
      <c r="GG224" s="94"/>
      <c r="GH224" s="1857"/>
      <c r="GI224" s="358"/>
      <c r="GJ224" s="358"/>
      <c r="GK224" s="2861">
        <f>GJ224-GI224</f>
        <v>0</v>
      </c>
      <c r="GL224" s="2860" t="e">
        <f>GK224/GJ224</f>
        <v>#DIV/0!</v>
      </c>
      <c r="GM224" s="1857"/>
      <c r="GN224" s="358"/>
      <c r="GO224" s="358"/>
      <c r="GP224" s="2861">
        <f>GO224-GN224</f>
        <v>0</v>
      </c>
      <c r="GQ224" s="2860" t="e">
        <f>GP224/GO224</f>
        <v>#DIV/0!</v>
      </c>
      <c r="GR224" s="358"/>
      <c r="GS224" s="358"/>
      <c r="GT224" s="358"/>
      <c r="GU224" s="2861">
        <f>GT224-GS224</f>
        <v>0</v>
      </c>
      <c r="GV224" s="2860" t="e">
        <f>GU224/GT224</f>
        <v>#DIV/0!</v>
      </c>
      <c r="GW224" s="358"/>
      <c r="GX224" s="358"/>
      <c r="GY224" s="358"/>
      <c r="GZ224" s="2861">
        <f>GY224-GX224</f>
        <v>0</v>
      </c>
      <c r="HA224" s="2860" t="e">
        <f>GZ224/GY224</f>
        <v>#DIV/0!</v>
      </c>
      <c r="HB224" s="358"/>
      <c r="HC224" s="358"/>
      <c r="HD224" s="358"/>
      <c r="HE224" s="2861">
        <f>HD224-HC224</f>
        <v>0</v>
      </c>
      <c r="HF224" s="2860" t="e">
        <f>HE224/HD224</f>
        <v>#DIV/0!</v>
      </c>
      <c r="HG224" s="358"/>
      <c r="HH224" s="358"/>
      <c r="HI224" s="358"/>
      <c r="HJ224" s="2861">
        <f>HI224-HH224</f>
        <v>0</v>
      </c>
      <c r="HK224" s="2860" t="e">
        <f>HJ224/HI224</f>
        <v>#DIV/0!</v>
      </c>
      <c r="HL224" s="358"/>
      <c r="HM224" s="358"/>
      <c r="HN224" s="358"/>
      <c r="HO224" s="2861"/>
      <c r="HP224" s="2860"/>
      <c r="HQ224" s="2861"/>
      <c r="HR224" s="2861"/>
      <c r="HS224" s="2861"/>
      <c r="HT224" s="2861"/>
      <c r="HU224" s="2870"/>
      <c r="HV224" s="3812">
        <f t="shared" si="853"/>
        <v>0</v>
      </c>
      <c r="HW224" s="208">
        <f t="shared" si="853"/>
        <v>0</v>
      </c>
      <c r="HX224" s="208">
        <f t="shared" si="853"/>
        <v>0</v>
      </c>
      <c r="HY224" s="208">
        <f t="shared" si="853"/>
        <v>0</v>
      </c>
      <c r="HZ224" s="2737"/>
      <c r="IA224" s="1934"/>
      <c r="IB224" s="1855"/>
      <c r="IC224" s="1855"/>
      <c r="ID224" s="1856"/>
      <c r="IE224" s="2863"/>
      <c r="IF224" s="2863"/>
      <c r="IG224" s="2863"/>
      <c r="IH224" s="2864"/>
      <c r="II224" s="2865"/>
      <c r="IJ224" s="3813"/>
      <c r="IK224" s="3813"/>
      <c r="IL224" s="2864"/>
      <c r="IM224" s="2866"/>
      <c r="IN224" s="3813"/>
      <c r="IO224" s="3813"/>
      <c r="IP224" s="2867"/>
      <c r="IQ224" s="1568"/>
      <c r="IR224" s="2868"/>
      <c r="IS224" s="2015"/>
      <c r="IT224" s="2015"/>
      <c r="IU224" s="2869"/>
      <c r="IV224" s="2870"/>
      <c r="IW224" s="2858"/>
      <c r="IX224" s="2859"/>
      <c r="IY224" s="2859"/>
      <c r="IZ224" s="2859"/>
      <c r="JA224" s="2870"/>
      <c r="JB224" s="2871"/>
      <c r="JC224" s="1568"/>
      <c r="JD224" s="1568"/>
      <c r="JE224" s="2859"/>
      <c r="JF224" s="2870"/>
      <c r="JG224" s="2871"/>
      <c r="JH224" s="1568"/>
      <c r="JI224" s="1568"/>
      <c r="JJ224" s="358"/>
      <c r="JK224" s="158"/>
      <c r="JL224" s="1857"/>
      <c r="JM224" s="358"/>
      <c r="JN224" s="358"/>
      <c r="JO224" s="2861">
        <f>JN224-JM224</f>
        <v>0</v>
      </c>
      <c r="JP224" s="2870"/>
      <c r="JQ224" s="2873"/>
      <c r="JR224" s="1025">
        <v>918000</v>
      </c>
      <c r="JS224" s="265">
        <v>1360000</v>
      </c>
      <c r="JT224" s="2872">
        <v>442000</v>
      </c>
      <c r="JU224" s="2870">
        <f>JT224/JS224</f>
        <v>0.32500000000000001</v>
      </c>
      <c r="JV224" s="2874"/>
      <c r="JW224" s="358"/>
      <c r="JX224" s="2872"/>
      <c r="JY224" s="2861"/>
      <c r="JZ224" s="2860"/>
      <c r="KA224" s="357"/>
      <c r="KB224" s="358"/>
      <c r="KC224" s="2872"/>
      <c r="KD224" s="2861">
        <f>KC224-KB224</f>
        <v>0</v>
      </c>
      <c r="KE224" s="2870"/>
      <c r="KF224" s="2875"/>
      <c r="KG224" s="358"/>
      <c r="KH224" s="2872"/>
      <c r="KI224" s="2861"/>
      <c r="KJ224" s="2870"/>
      <c r="KK224" s="2875"/>
      <c r="KL224" s="358"/>
      <c r="KM224" s="2872"/>
      <c r="KN224" s="2861">
        <f>KM224-KL224</f>
        <v>0</v>
      </c>
      <c r="KO224" s="2860"/>
      <c r="KP224" s="357"/>
      <c r="KQ224" s="358">
        <v>800000</v>
      </c>
      <c r="KR224" s="2872">
        <v>1020000</v>
      </c>
      <c r="KS224" s="2861">
        <f>KR224-KQ224</f>
        <v>220000</v>
      </c>
      <c r="KT224" s="2870"/>
      <c r="KU224" s="3814"/>
      <c r="KV224" s="2861"/>
      <c r="KW224" s="2861"/>
      <c r="KX224" s="2861">
        <f>KW224-KV224</f>
        <v>0</v>
      </c>
      <c r="KY224" s="2860"/>
      <c r="KZ224" s="357">
        <f t="shared" si="854"/>
        <v>0</v>
      </c>
      <c r="LA224" s="358">
        <f t="shared" si="854"/>
        <v>1718000</v>
      </c>
      <c r="LB224" s="358">
        <f t="shared" si="854"/>
        <v>2380000</v>
      </c>
      <c r="LC224" s="358">
        <f t="shared" si="854"/>
        <v>662000</v>
      </c>
      <c r="LD224" s="220">
        <f>LC224/LB224</f>
        <v>0.27815126050420169</v>
      </c>
      <c r="LE224" s="1854"/>
      <c r="LF224" s="1855"/>
      <c r="LG224" s="1855"/>
      <c r="LH224" s="1856"/>
      <c r="LI224" s="2866"/>
      <c r="LJ224" s="2863"/>
      <c r="LK224" s="2863"/>
      <c r="LL224" s="2864"/>
      <c r="LM224" s="1934">
        <f>(JV224+KA224+KF224)/3</f>
        <v>0</v>
      </c>
      <c r="LN224" s="2878">
        <f t="shared" si="855"/>
        <v>0</v>
      </c>
      <c r="LO224" s="2878">
        <f t="shared" si="855"/>
        <v>0</v>
      </c>
      <c r="LP224" s="151"/>
      <c r="LQ224" s="2866"/>
      <c r="LR224" s="3813"/>
      <c r="LS224" s="3813"/>
      <c r="LT224" s="2867"/>
      <c r="LU224" s="1568"/>
      <c r="LV224" s="1567"/>
      <c r="LW224" s="2938"/>
      <c r="LX224" s="2938"/>
      <c r="LY224" s="1568"/>
      <c r="LZ224" s="2939"/>
      <c r="MA224" s="1567"/>
      <c r="MB224" s="2938"/>
      <c r="MC224" s="2938"/>
      <c r="MD224" s="1568"/>
      <c r="ME224" s="2939"/>
      <c r="MF224" s="1569"/>
      <c r="MG224" s="2938"/>
      <c r="MH224" s="2938"/>
      <c r="MI224" s="1568"/>
      <c r="MJ224" s="220"/>
      <c r="MK224" s="2940"/>
      <c r="ML224" s="2938"/>
      <c r="MM224" s="2938"/>
      <c r="MN224" s="1568"/>
      <c r="MO224" s="220"/>
      <c r="MP224" s="2940"/>
      <c r="MQ224" s="2938"/>
      <c r="MR224" s="2938"/>
      <c r="MS224" s="1568"/>
      <c r="MT224" s="220"/>
      <c r="MU224" s="1868"/>
      <c r="MV224" s="2941"/>
      <c r="MW224" s="2941"/>
      <c r="MX224" s="1575"/>
      <c r="MY224" s="83"/>
      <c r="MZ224" s="2002"/>
      <c r="NA224" s="2948"/>
      <c r="NB224" s="2948"/>
      <c r="NC224" s="2001"/>
      <c r="ND224" s="2003"/>
      <c r="NE224" s="2430"/>
      <c r="NF224" s="2437">
        <f>330000+52000</f>
        <v>382000</v>
      </c>
      <c r="NG224" s="395">
        <v>680000</v>
      </c>
      <c r="NH224" s="395">
        <f>NG224-NF224</f>
        <v>298000</v>
      </c>
      <c r="NI224" s="116">
        <v>1</v>
      </c>
      <c r="NJ224" s="2430"/>
      <c r="NK224" s="2941"/>
      <c r="NL224" s="2001"/>
      <c r="NM224" s="2001"/>
      <c r="NN224" s="116"/>
      <c r="NO224" s="1568"/>
      <c r="NP224" s="2938"/>
      <c r="NQ224" s="2938"/>
      <c r="NR224" s="2001"/>
      <c r="NS224" s="116"/>
      <c r="NT224" s="1568"/>
      <c r="NU224" s="2938"/>
      <c r="NV224" s="2938"/>
      <c r="NW224" s="1568"/>
      <c r="NX224" s="2673"/>
      <c r="NY224" s="1868"/>
      <c r="NZ224" s="2941">
        <v>0</v>
      </c>
      <c r="OA224" s="2941">
        <v>0</v>
      </c>
      <c r="OB224" s="2001">
        <v>0</v>
      </c>
      <c r="OC224" s="116"/>
      <c r="OD224" s="190">
        <f>(NY224+NT224+NO224+NJ224+NE224+MZ224+MU224+MP224+MK224+MF224+MA224+LV224)/12</f>
        <v>0</v>
      </c>
      <c r="OE224" s="358">
        <f t="shared" si="856"/>
        <v>382000</v>
      </c>
      <c r="OF224" s="358">
        <f t="shared" si="856"/>
        <v>680000</v>
      </c>
      <c r="OG224" s="358">
        <f t="shared" si="856"/>
        <v>298000</v>
      </c>
      <c r="OH224" s="220">
        <f>OG224/OF224</f>
        <v>0.43823529411764706</v>
      </c>
      <c r="OI224" s="3802">
        <f t="shared" si="857"/>
        <v>0</v>
      </c>
      <c r="OJ224" s="96">
        <f t="shared" si="858"/>
        <v>0</v>
      </c>
      <c r="OK224" s="96">
        <f t="shared" si="858"/>
        <v>0</v>
      </c>
      <c r="OL224" s="96">
        <f t="shared" si="858"/>
        <v>0</v>
      </c>
      <c r="OM224" s="114"/>
      <c r="ON224" s="358">
        <f t="shared" si="859"/>
        <v>0</v>
      </c>
      <c r="OO224" s="358">
        <f t="shared" si="860"/>
        <v>0</v>
      </c>
      <c r="OP224" s="358">
        <f t="shared" si="860"/>
        <v>0</v>
      </c>
      <c r="OQ224" s="359">
        <f t="shared" si="860"/>
        <v>0</v>
      </c>
      <c r="OR224" s="169"/>
      <c r="OS224" s="607">
        <f t="shared" si="861"/>
        <v>0</v>
      </c>
      <c r="OT224" s="137">
        <f t="shared" si="861"/>
        <v>382000</v>
      </c>
      <c r="OU224" s="137">
        <f t="shared" si="861"/>
        <v>680000</v>
      </c>
      <c r="OV224" s="3803">
        <f t="shared" si="861"/>
        <v>298000</v>
      </c>
      <c r="OW224" s="169">
        <f>OV224/OU224</f>
        <v>0.43823529411764706</v>
      </c>
      <c r="OX224" s="357">
        <f t="shared" si="862"/>
        <v>0</v>
      </c>
      <c r="OY224" s="358">
        <f t="shared" si="863"/>
        <v>0</v>
      </c>
      <c r="OZ224" s="358">
        <f t="shared" si="863"/>
        <v>0</v>
      </c>
      <c r="PA224" s="359">
        <f t="shared" si="863"/>
        <v>0</v>
      </c>
      <c r="PB224" s="114"/>
      <c r="PC224" s="137"/>
      <c r="PD224" s="1567"/>
      <c r="PE224" s="2938">
        <v>0</v>
      </c>
      <c r="PF224" s="2938">
        <v>0</v>
      </c>
      <c r="PG224" s="1568"/>
      <c r="PH224" s="353"/>
      <c r="PI224" s="1567"/>
      <c r="PJ224" s="2938"/>
      <c r="PK224" s="2938"/>
      <c r="PL224" s="1568"/>
      <c r="PM224" s="2939"/>
      <c r="PN224" s="1569"/>
      <c r="PO224" s="2938"/>
      <c r="PP224" s="2938"/>
      <c r="PQ224" s="1568"/>
      <c r="PR224" s="220"/>
      <c r="PS224" s="2940"/>
      <c r="PT224" s="2938"/>
      <c r="PU224" s="2938"/>
      <c r="PV224" s="1568"/>
      <c r="PW224" s="220"/>
      <c r="PX224" s="2942"/>
      <c r="PY224" s="2943"/>
      <c r="PZ224" s="2943"/>
      <c r="QA224" s="358"/>
      <c r="QB224" s="151"/>
      <c r="QC224" s="1868"/>
      <c r="QD224" s="2941"/>
      <c r="QE224" s="2941"/>
      <c r="QF224" s="1575">
        <f>QE224-QD224</f>
        <v>0</v>
      </c>
      <c r="QG224" s="83"/>
      <c r="QH224" s="2445"/>
      <c r="QI224" s="2948"/>
      <c r="QJ224" s="2948"/>
      <c r="QK224" s="2001"/>
      <c r="QL224" s="2003"/>
      <c r="QM224" s="2108"/>
      <c r="QN224" s="2941"/>
      <c r="QO224" s="395"/>
      <c r="QP224" s="395"/>
      <c r="QQ224" s="116"/>
      <c r="QR224" s="2430"/>
      <c r="QS224" s="2941"/>
      <c r="QT224" s="2001"/>
      <c r="QU224" s="2001"/>
      <c r="QV224" s="1498"/>
      <c r="QW224" s="1568"/>
      <c r="QX224" s="2938"/>
      <c r="QY224" s="2938"/>
      <c r="QZ224" s="2001"/>
      <c r="RA224" s="441"/>
      <c r="RB224" s="1568"/>
      <c r="RC224" s="2938"/>
      <c r="RD224" s="2938"/>
      <c r="RE224" s="1568"/>
      <c r="RF224" s="2673"/>
      <c r="RG224" s="1567"/>
      <c r="RH224" s="2938"/>
      <c r="RI224" s="2938"/>
      <c r="RJ224" s="2001">
        <v>0</v>
      </c>
      <c r="RK224" s="801"/>
      <c r="RL224" s="3718">
        <f t="shared" si="864"/>
        <v>0</v>
      </c>
      <c r="RM224" s="1568">
        <f t="shared" si="865"/>
        <v>0</v>
      </c>
      <c r="RN224" s="1568">
        <f t="shared" si="865"/>
        <v>0</v>
      </c>
      <c r="RO224" s="1568">
        <f t="shared" si="865"/>
        <v>0</v>
      </c>
      <c r="RP224" s="2673"/>
      <c r="RQ224" s="3802">
        <f t="shared" si="866"/>
        <v>0</v>
      </c>
      <c r="RR224" s="96">
        <f t="shared" si="867"/>
        <v>0</v>
      </c>
      <c r="RS224" s="96">
        <f t="shared" si="867"/>
        <v>0</v>
      </c>
      <c r="RT224" s="96">
        <f t="shared" si="867"/>
        <v>0</v>
      </c>
      <c r="RU224" s="114"/>
      <c r="RV224" s="358">
        <f t="shared" si="868"/>
        <v>0</v>
      </c>
      <c r="RW224" s="358">
        <f t="shared" si="869"/>
        <v>0</v>
      </c>
      <c r="RX224" s="358">
        <f t="shared" si="869"/>
        <v>0</v>
      </c>
      <c r="RY224" s="359">
        <f t="shared" si="869"/>
        <v>0</v>
      </c>
      <c r="RZ224" s="169"/>
      <c r="SA224" s="607">
        <f t="shared" si="847"/>
        <v>0</v>
      </c>
      <c r="SB224" s="137">
        <f t="shared" si="848"/>
        <v>0</v>
      </c>
      <c r="SC224" s="137">
        <f t="shared" si="848"/>
        <v>0</v>
      </c>
      <c r="SD224" s="3803">
        <f t="shared" si="848"/>
        <v>0</v>
      </c>
      <c r="SE224" s="978">
        <v>0</v>
      </c>
      <c r="SF224" s="190">
        <f t="shared" si="870"/>
        <v>0</v>
      </c>
      <c r="SG224" s="358">
        <f t="shared" si="849"/>
        <v>0</v>
      </c>
      <c r="SH224" s="358">
        <f t="shared" si="849"/>
        <v>0</v>
      </c>
      <c r="SI224" s="359">
        <f t="shared" si="849"/>
        <v>0</v>
      </c>
      <c r="SJ224" s="2155">
        <v>0</v>
      </c>
      <c r="SK224" s="1568"/>
      <c r="SL224" s="1567"/>
      <c r="SM224" s="2938">
        <v>0</v>
      </c>
      <c r="SN224" s="2938">
        <v>0</v>
      </c>
      <c r="SO224" s="3534">
        <f t="shared" si="837"/>
        <v>0</v>
      </c>
      <c r="SP224" s="3525">
        <v>0</v>
      </c>
      <c r="SQ224" s="1567"/>
      <c r="SR224" s="2938">
        <v>0</v>
      </c>
      <c r="SS224" s="2938">
        <v>0</v>
      </c>
      <c r="ST224" s="1568">
        <v>0</v>
      </c>
      <c r="SU224" s="2939"/>
      <c r="SV224" s="1858"/>
      <c r="SW224" s="2943"/>
      <c r="SX224" s="2943"/>
      <c r="SY224" s="358"/>
      <c r="SZ224" s="151"/>
      <c r="TA224" s="2942"/>
      <c r="TB224" s="2943"/>
      <c r="TC224" s="2943"/>
      <c r="TD224" s="358">
        <v>0</v>
      </c>
      <c r="TE224" s="151"/>
      <c r="TF224" s="2942"/>
      <c r="TG224" s="2943"/>
      <c r="TH224" s="2943"/>
      <c r="TI224" s="358">
        <v>0</v>
      </c>
      <c r="TJ224" s="151"/>
      <c r="TK224" s="1868"/>
      <c r="TL224" s="2941"/>
      <c r="TM224" s="2941"/>
      <c r="TN224" s="1575">
        <f t="shared" si="838"/>
        <v>0</v>
      </c>
      <c r="TO224" s="83"/>
      <c r="TP224" s="4464"/>
      <c r="TQ224" s="2948"/>
      <c r="TR224" s="2948"/>
      <c r="TS224" s="2001"/>
      <c r="TT224" s="2674"/>
      <c r="TU224" s="3923"/>
      <c r="TV224" s="2941"/>
      <c r="TW224" s="2001"/>
      <c r="TX224" s="2001"/>
      <c r="TY224" s="441"/>
      <c r="TZ224" s="2430"/>
      <c r="UA224" s="2941"/>
      <c r="UB224" s="2001"/>
      <c r="UC224" s="2001"/>
      <c r="UD224" s="1498"/>
      <c r="UE224" s="1568"/>
      <c r="UF224" s="2938"/>
      <c r="UG224" s="2938"/>
      <c r="UH224" s="2001"/>
      <c r="UI224" s="441"/>
      <c r="UJ224" s="1568"/>
      <c r="UK224" s="2938"/>
      <c r="UL224" s="2938"/>
      <c r="UM224" s="1568"/>
      <c r="UN224" s="2673"/>
      <c r="UO224" s="1567"/>
      <c r="UP224" s="2938"/>
      <c r="UQ224" s="2938"/>
      <c r="UR224" s="2001">
        <v>0</v>
      </c>
      <c r="US224" s="655"/>
      <c r="UT224" s="190">
        <f>(UO224+UJ224+UE224+TZ224+TU224+TP224+TK224+TF224+TA224+SV224+SQ224+SL224)/12</f>
        <v>0</v>
      </c>
      <c r="UU224" s="358">
        <f t="shared" si="850"/>
        <v>0</v>
      </c>
      <c r="UV224" s="358">
        <f t="shared" si="850"/>
        <v>0</v>
      </c>
      <c r="UW224" s="358">
        <f t="shared" si="850"/>
        <v>0</v>
      </c>
      <c r="UX224" s="2281">
        <v>0</v>
      </c>
      <c r="UY224" s="1863">
        <f t="shared" si="840"/>
        <v>0</v>
      </c>
      <c r="UZ224" s="105">
        <f t="shared" si="841"/>
        <v>0</v>
      </c>
      <c r="VA224" s="105">
        <f t="shared" si="841"/>
        <v>0</v>
      </c>
      <c r="VB224" s="105">
        <f t="shared" si="841"/>
        <v>0</v>
      </c>
      <c r="VC224" s="106"/>
      <c r="VD224" s="358">
        <f>(TA224+TF224+TK224)/3</f>
        <v>0</v>
      </c>
      <c r="VE224" s="358">
        <f t="shared" si="871"/>
        <v>0</v>
      </c>
      <c r="VF224" s="358">
        <f t="shared" si="871"/>
        <v>0</v>
      </c>
      <c r="VG224" s="359">
        <f t="shared" si="871"/>
        <v>0</v>
      </c>
      <c r="VH224" s="169"/>
      <c r="VI224" s="686">
        <f t="shared" si="843"/>
        <v>0</v>
      </c>
      <c r="VJ224" s="146">
        <f t="shared" si="844"/>
        <v>0</v>
      </c>
      <c r="VK224" s="146">
        <f t="shared" si="844"/>
        <v>0</v>
      </c>
      <c r="VL224" s="1864">
        <f t="shared" si="844"/>
        <v>0</v>
      </c>
      <c r="VM224" s="1059">
        <v>0</v>
      </c>
      <c r="VN224" s="190">
        <f>(VI224+VD224+UY224+UT224+UO224+UJ224+UE224+TZ224+TU224+TP224+TK224+TF224)/12</f>
        <v>0</v>
      </c>
      <c r="VO224" s="358">
        <f t="shared" si="846"/>
        <v>0</v>
      </c>
      <c r="VP224" s="358">
        <f t="shared" si="846"/>
        <v>0</v>
      </c>
      <c r="VQ224" s="359">
        <f t="shared" si="846"/>
        <v>0</v>
      </c>
      <c r="VR224" s="2155">
        <v>0</v>
      </c>
    </row>
    <row r="225" spans="1:592" s="1193" customFormat="1" ht="13.6" hidden="1" customHeight="1" thickBot="1" x14ac:dyDescent="0.35">
      <c r="A225" s="1297"/>
      <c r="B225" s="113" t="s">
        <v>113</v>
      </c>
      <c r="C225" s="2843" t="s">
        <v>131</v>
      </c>
      <c r="D225" s="4067" t="s">
        <v>884</v>
      </c>
      <c r="E225" s="384"/>
      <c r="F225" s="384"/>
      <c r="G225" s="2161">
        <v>800000</v>
      </c>
      <c r="H225" s="2845"/>
      <c r="I225" s="2846"/>
      <c r="J225" s="2846"/>
      <c r="K225" s="2846"/>
      <c r="L225" s="2847"/>
      <c r="M225" s="2845"/>
      <c r="N225" s="2846"/>
      <c r="O225" s="2846"/>
      <c r="P225" s="2846"/>
      <c r="Q225" s="2847"/>
      <c r="R225" s="2845"/>
      <c r="S225" s="2846"/>
      <c r="T225" s="2846"/>
      <c r="U225" s="2846"/>
      <c r="V225" s="2847"/>
      <c r="W225" s="2845"/>
      <c r="X225" s="2846"/>
      <c r="Y225" s="2846"/>
      <c r="Z225" s="2846"/>
      <c r="AA225" s="2848"/>
      <c r="AB225" s="2845"/>
      <c r="AC225" s="2846"/>
      <c r="AD225" s="2846"/>
      <c r="AE225" s="2846"/>
      <c r="AF225" s="2848"/>
      <c r="AG225" s="2846"/>
      <c r="AH225" s="2846"/>
      <c r="AI225" s="2846"/>
      <c r="AJ225" s="2846"/>
      <c r="AK225" s="2847"/>
      <c r="AL225" s="2846"/>
      <c r="AM225" s="2846"/>
      <c r="AN225" s="2846"/>
      <c r="AO225" s="2846"/>
      <c r="AP225" s="2847"/>
      <c r="AQ225" s="2846"/>
      <c r="AR225" s="2846"/>
      <c r="AS225" s="2846"/>
      <c r="AT225" s="2846"/>
      <c r="AU225" s="2847"/>
      <c r="AV225" s="2849"/>
      <c r="AW225" s="2846"/>
      <c r="AX225" s="2846"/>
      <c r="AY225" s="2846"/>
      <c r="AZ225" s="2848"/>
      <c r="BA225" s="2849"/>
      <c r="BB225" s="2846"/>
      <c r="BC225" s="2846"/>
      <c r="BD225" s="2846"/>
      <c r="BE225" s="2848"/>
      <c r="BF225" s="2849"/>
      <c r="BG225" s="2846"/>
      <c r="BH225" s="2846"/>
      <c r="BI225" s="2846"/>
      <c r="BJ225" s="2848"/>
      <c r="BK225" s="2849"/>
      <c r="BL225" s="2846"/>
      <c r="BM225" s="2846"/>
      <c r="BN225" s="2846"/>
      <c r="BO225" s="2848"/>
      <c r="BP225" s="2850"/>
      <c r="BQ225" s="2846"/>
      <c r="BR225" s="2846"/>
      <c r="BS225" s="2846"/>
      <c r="BT225" s="2851"/>
      <c r="BU225" s="2846"/>
      <c r="BV225" s="2846"/>
      <c r="BW225" s="2852"/>
      <c r="BX225" s="2851"/>
      <c r="BY225" s="2846"/>
      <c r="BZ225" s="2846"/>
      <c r="CA225" s="2853"/>
      <c r="CB225" s="2846"/>
      <c r="CC225" s="2846"/>
      <c r="CD225" s="2846"/>
      <c r="CE225" s="2846"/>
      <c r="CF225" s="2851"/>
      <c r="CG225" s="2846"/>
      <c r="CH225" s="2846"/>
      <c r="CI225" s="2853"/>
      <c r="CJ225" s="2854"/>
      <c r="CK225" s="2846"/>
      <c r="CL225" s="2846"/>
      <c r="CM225" s="2846"/>
      <c r="CN225" s="2852"/>
      <c r="CO225" s="2854"/>
      <c r="CP225" s="2845"/>
      <c r="CQ225" s="2845"/>
      <c r="CR225" s="2845"/>
      <c r="CS225" s="2852"/>
      <c r="CT225" s="2854"/>
      <c r="CU225" s="2846"/>
      <c r="CV225" s="2846"/>
      <c r="CW225" s="2846"/>
      <c r="CX225" s="2852"/>
      <c r="CY225" s="2854"/>
      <c r="CZ225" s="2846"/>
      <c r="DA225" s="2846"/>
      <c r="DB225" s="2846"/>
      <c r="DC225" s="2852"/>
      <c r="DD225" s="2854"/>
      <c r="DE225" s="2846"/>
      <c r="DF225" s="2846"/>
      <c r="DG225" s="2846"/>
      <c r="DH225" s="2855"/>
      <c r="DI225" s="2854"/>
      <c r="DJ225" s="2846"/>
      <c r="DK225" s="2846"/>
      <c r="DL225" s="2846"/>
      <c r="DM225" s="2855"/>
      <c r="DN225" s="2854"/>
      <c r="DO225" s="2846"/>
      <c r="DP225" s="2846"/>
      <c r="DQ225" s="2846"/>
      <c r="DR225" s="2855"/>
      <c r="DS225" s="2854"/>
      <c r="DT225" s="2846"/>
      <c r="DU225" s="2846"/>
      <c r="DV225" s="2846"/>
      <c r="DW225" s="2855"/>
      <c r="DX225" s="2854"/>
      <c r="DY225" s="2846"/>
      <c r="DZ225" s="2846"/>
      <c r="EA225" s="2846"/>
      <c r="EB225" s="2855"/>
      <c r="EC225" s="2854"/>
      <c r="ED225" s="2846"/>
      <c r="EE225" s="2846"/>
      <c r="EF225" s="2846"/>
      <c r="EG225" s="2855"/>
      <c r="EH225" s="1567"/>
      <c r="EI225" s="1568"/>
      <c r="EJ225" s="1568"/>
      <c r="EK225" s="1568"/>
      <c r="EL225" s="353"/>
      <c r="EM225" s="1857"/>
      <c r="EN225" s="358"/>
      <c r="EO225" s="358"/>
      <c r="EP225" s="358"/>
      <c r="EQ225" s="94"/>
      <c r="ER225" s="2856"/>
      <c r="ES225" s="2857"/>
      <c r="ET225" s="2857"/>
      <c r="EU225" s="2857"/>
      <c r="EV225" s="1867"/>
      <c r="EW225" s="1569"/>
      <c r="EX225" s="1569"/>
      <c r="EY225" s="1569"/>
      <c r="EZ225" s="210"/>
      <c r="FA225" s="1567"/>
      <c r="FB225" s="1569"/>
      <c r="FC225" s="1569"/>
      <c r="FD225" s="220"/>
      <c r="FE225" s="1569"/>
      <c r="FF225" s="1569"/>
      <c r="FG225" s="1569"/>
      <c r="FH225" s="210"/>
      <c r="FI225" s="580"/>
      <c r="FJ225" s="579"/>
      <c r="FK225" s="137"/>
      <c r="FL225" s="137"/>
      <c r="FM225" s="151"/>
      <c r="FN225" s="1569"/>
      <c r="FO225" s="1568"/>
      <c r="FP225" s="1568"/>
      <c r="FQ225" s="1568"/>
      <c r="FR225" s="408"/>
      <c r="FS225" s="2858"/>
      <c r="FT225" s="2859"/>
      <c r="FU225" s="2859"/>
      <c r="FV225" s="2859"/>
      <c r="FW225" s="2860"/>
      <c r="FX225" s="1567"/>
      <c r="FY225" s="1568"/>
      <c r="FZ225" s="1568"/>
      <c r="GA225" s="2859"/>
      <c r="GB225" s="2860"/>
      <c r="GC225" s="1567"/>
      <c r="GD225" s="1568"/>
      <c r="GE225" s="1568"/>
      <c r="GF225" s="358"/>
      <c r="GG225" s="94"/>
      <c r="GH225" s="1857"/>
      <c r="GI225" s="358"/>
      <c r="GJ225" s="358"/>
      <c r="GK225" s="2861">
        <f>GJ225-GI225</f>
        <v>0</v>
      </c>
      <c r="GL225" s="2860" t="e">
        <f>GK225/GJ225</f>
        <v>#DIV/0!</v>
      </c>
      <c r="GM225" s="1857"/>
      <c r="GN225" s="358"/>
      <c r="GO225" s="358"/>
      <c r="GP225" s="2861">
        <f>GO225-GN225</f>
        <v>0</v>
      </c>
      <c r="GQ225" s="2860" t="e">
        <f>GP225/GO225</f>
        <v>#DIV/0!</v>
      </c>
      <c r="GR225" s="358"/>
      <c r="GS225" s="358"/>
      <c r="GT225" s="358"/>
      <c r="GU225" s="2861">
        <f>GT225-GS225</f>
        <v>0</v>
      </c>
      <c r="GV225" s="2860" t="e">
        <f>GU225/GT225</f>
        <v>#DIV/0!</v>
      </c>
      <c r="GW225" s="358"/>
      <c r="GX225" s="358"/>
      <c r="GY225" s="358"/>
      <c r="GZ225" s="2861">
        <f>GY225-GX225</f>
        <v>0</v>
      </c>
      <c r="HA225" s="2860" t="e">
        <f>GZ225/GY225</f>
        <v>#DIV/0!</v>
      </c>
      <c r="HB225" s="358"/>
      <c r="HC225" s="358"/>
      <c r="HD225" s="358"/>
      <c r="HE225" s="2861">
        <f>HD225-HC225</f>
        <v>0</v>
      </c>
      <c r="HF225" s="2860" t="e">
        <f>HE225/HD225</f>
        <v>#DIV/0!</v>
      </c>
      <c r="HG225" s="358"/>
      <c r="HH225" s="358"/>
      <c r="HI225" s="358"/>
      <c r="HJ225" s="2861">
        <f>HI225-HH225</f>
        <v>0</v>
      </c>
      <c r="HK225" s="2860" t="e">
        <f>HJ225/HI225</f>
        <v>#DIV/0!</v>
      </c>
      <c r="HL225" s="358"/>
      <c r="HM225" s="358"/>
      <c r="HN225" s="358"/>
      <c r="HO225" s="2861"/>
      <c r="HP225" s="2860"/>
      <c r="HQ225" s="2861"/>
      <c r="HR225" s="2861"/>
      <c r="HS225" s="2861"/>
      <c r="HT225" s="2861"/>
      <c r="HU225" s="2870"/>
      <c r="HV225" s="3812">
        <f t="shared" si="853"/>
        <v>0</v>
      </c>
      <c r="HW225" s="208">
        <f t="shared" si="853"/>
        <v>0</v>
      </c>
      <c r="HX225" s="208">
        <f t="shared" si="853"/>
        <v>0</v>
      </c>
      <c r="HY225" s="208">
        <f t="shared" si="853"/>
        <v>0</v>
      </c>
      <c r="HZ225" s="2737"/>
      <c r="IA225" s="1934"/>
      <c r="IB225" s="1855"/>
      <c r="IC225" s="1855"/>
      <c r="ID225" s="1856"/>
      <c r="IE225" s="2863"/>
      <c r="IF225" s="2863"/>
      <c r="IG225" s="2863"/>
      <c r="IH225" s="2864"/>
      <c r="II225" s="2865"/>
      <c r="IJ225" s="3813"/>
      <c r="IK225" s="3813"/>
      <c r="IL225" s="2864"/>
      <c r="IM225" s="2866"/>
      <c r="IN225" s="3813"/>
      <c r="IO225" s="3813"/>
      <c r="IP225" s="2867"/>
      <c r="IQ225" s="1568"/>
      <c r="IR225" s="2868"/>
      <c r="IS225" s="2015"/>
      <c r="IT225" s="2015"/>
      <c r="IU225" s="2869"/>
      <c r="IV225" s="2870"/>
      <c r="IW225" s="2858"/>
      <c r="IX225" s="2859"/>
      <c r="IY225" s="2859"/>
      <c r="IZ225" s="2859"/>
      <c r="JA225" s="2870"/>
      <c r="JB225" s="2871"/>
      <c r="JC225" s="1568"/>
      <c r="JD225" s="1568"/>
      <c r="JE225" s="2859"/>
      <c r="JF225" s="2870"/>
      <c r="JG225" s="2871"/>
      <c r="JH225" s="1568"/>
      <c r="JI225" s="1568"/>
      <c r="JJ225" s="358"/>
      <c r="JK225" s="158"/>
      <c r="JL225" s="1857"/>
      <c r="JM225" s="358"/>
      <c r="JN225" s="358"/>
      <c r="JO225" s="2861">
        <f>JN225-JM225</f>
        <v>0</v>
      </c>
      <c r="JP225" s="2870"/>
      <c r="JQ225" s="2873"/>
      <c r="JR225" s="1025"/>
      <c r="JS225" s="265"/>
      <c r="JT225" s="2872">
        <f>JS225-JR225</f>
        <v>0</v>
      </c>
      <c r="JU225" s="2870"/>
      <c r="JV225" s="2874"/>
      <c r="JW225" s="358"/>
      <c r="JX225" s="2872"/>
      <c r="JY225" s="2861"/>
      <c r="JZ225" s="2860"/>
      <c r="KA225" s="357"/>
      <c r="KB225" s="358"/>
      <c r="KC225" s="2872"/>
      <c r="KD225" s="2861">
        <f>KC225-KB225</f>
        <v>0</v>
      </c>
      <c r="KE225" s="2870"/>
      <c r="KF225" s="2875"/>
      <c r="KG225" s="358">
        <v>200000</v>
      </c>
      <c r="KH225" s="2872">
        <v>480000</v>
      </c>
      <c r="KI225" s="2861">
        <v>280000</v>
      </c>
      <c r="KJ225" s="2870">
        <v>0.58333333333333337</v>
      </c>
      <c r="KK225" s="2875"/>
      <c r="KL225" s="358"/>
      <c r="KM225" s="2872"/>
      <c r="KN225" s="2861">
        <f>KM225-KL225</f>
        <v>0</v>
      </c>
      <c r="KO225" s="2860"/>
      <c r="KP225" s="357"/>
      <c r="KQ225" s="358"/>
      <c r="KR225" s="2872"/>
      <c r="KS225" s="2861">
        <f>KR225-KQ225</f>
        <v>0</v>
      </c>
      <c r="KT225" s="2870"/>
      <c r="KU225" s="3814"/>
      <c r="KV225" s="2861"/>
      <c r="KW225" s="2861"/>
      <c r="KX225" s="2861"/>
      <c r="KY225" s="2860"/>
      <c r="KZ225" s="357">
        <f t="shared" si="854"/>
        <v>0</v>
      </c>
      <c r="LA225" s="358">
        <f t="shared" si="854"/>
        <v>200000</v>
      </c>
      <c r="LB225" s="358">
        <f t="shared" si="854"/>
        <v>480000</v>
      </c>
      <c r="LC225" s="358">
        <f t="shared" si="854"/>
        <v>280000</v>
      </c>
      <c r="LD225" s="220">
        <f>LC225/LB225</f>
        <v>0.58333333333333337</v>
      </c>
      <c r="LE225" s="1854"/>
      <c r="LF225" s="1855"/>
      <c r="LG225" s="1855"/>
      <c r="LH225" s="1856"/>
      <c r="LI225" s="2866"/>
      <c r="LJ225" s="2863"/>
      <c r="LK225" s="2863"/>
      <c r="LL225" s="2864"/>
      <c r="LM225" s="1934">
        <f>(JV225+KA225+KF225)/3</f>
        <v>0</v>
      </c>
      <c r="LN225" s="2878">
        <f t="shared" si="855"/>
        <v>480000</v>
      </c>
      <c r="LO225" s="2878">
        <f t="shared" si="855"/>
        <v>280000</v>
      </c>
      <c r="LP225" s="151"/>
      <c r="LQ225" s="2866"/>
      <c r="LR225" s="3813"/>
      <c r="LS225" s="3813"/>
      <c r="LT225" s="2867"/>
      <c r="LU225" s="1568"/>
      <c r="LV225" s="1567"/>
      <c r="LW225" s="2938"/>
      <c r="LX225" s="2938"/>
      <c r="LY225" s="1568"/>
      <c r="LZ225" s="2939"/>
      <c r="MA225" s="1567"/>
      <c r="MB225" s="2938"/>
      <c r="MC225" s="2938"/>
      <c r="MD225" s="1568"/>
      <c r="ME225" s="2939"/>
      <c r="MF225" s="1569"/>
      <c r="MG225" s="2938"/>
      <c r="MH225" s="2938"/>
      <c r="MI225" s="1568"/>
      <c r="MJ225" s="220"/>
      <c r="MK225" s="2940"/>
      <c r="ML225" s="2938"/>
      <c r="MM225" s="2938"/>
      <c r="MN225" s="1568"/>
      <c r="MO225" s="220"/>
      <c r="MP225" s="2940"/>
      <c r="MQ225" s="2938"/>
      <c r="MR225" s="2938"/>
      <c r="MS225" s="1568"/>
      <c r="MT225" s="220"/>
      <c r="MU225" s="1868"/>
      <c r="MV225" s="2941"/>
      <c r="MW225" s="2941"/>
      <c r="MX225" s="1575"/>
      <c r="MY225" s="83"/>
      <c r="MZ225" s="1868"/>
      <c r="NA225" s="2941"/>
      <c r="NB225" s="2941"/>
      <c r="NC225" s="1575"/>
      <c r="ND225" s="83"/>
      <c r="NE225" s="1868"/>
      <c r="NF225" s="2941"/>
      <c r="NG225" s="2941"/>
      <c r="NH225" s="1575"/>
      <c r="NI225" s="83"/>
      <c r="NJ225" s="1868"/>
      <c r="NK225" s="2941"/>
      <c r="NL225" s="2941"/>
      <c r="NM225" s="1575"/>
      <c r="NN225" s="83"/>
      <c r="NO225" s="1568"/>
      <c r="NP225" s="2938"/>
      <c r="NQ225" s="2938"/>
      <c r="NR225" s="1575"/>
      <c r="NS225" s="83"/>
      <c r="NT225" s="1568"/>
      <c r="NU225" s="2938"/>
      <c r="NV225" s="2938"/>
      <c r="NW225" s="1568"/>
      <c r="NX225" s="2673"/>
      <c r="NY225" s="1868"/>
      <c r="NZ225" s="2941">
        <v>0</v>
      </c>
      <c r="OA225" s="2941">
        <v>0</v>
      </c>
      <c r="OB225" s="2001">
        <v>0</v>
      </c>
      <c r="OC225" s="116"/>
      <c r="OD225" s="190">
        <f>(NY225+NT225+NO225+NJ225+NE225+MZ225+MU225+MP225+MK225+MF225+MA225+LV225)/12</f>
        <v>0</v>
      </c>
      <c r="OE225" s="358">
        <f t="shared" si="856"/>
        <v>0</v>
      </c>
      <c r="OF225" s="358">
        <f t="shared" si="856"/>
        <v>0</v>
      </c>
      <c r="OG225" s="358">
        <f t="shared" si="856"/>
        <v>0</v>
      </c>
      <c r="OH225" s="220"/>
      <c r="OI225" s="3802">
        <f t="shared" si="857"/>
        <v>0</v>
      </c>
      <c r="OJ225" s="96">
        <f t="shared" si="858"/>
        <v>0</v>
      </c>
      <c r="OK225" s="96">
        <f t="shared" si="858"/>
        <v>0</v>
      </c>
      <c r="OL225" s="96">
        <f t="shared" si="858"/>
        <v>0</v>
      </c>
      <c r="OM225" s="114"/>
      <c r="ON225" s="358">
        <f t="shared" si="859"/>
        <v>0</v>
      </c>
      <c r="OO225" s="358">
        <f t="shared" si="860"/>
        <v>0</v>
      </c>
      <c r="OP225" s="358">
        <f t="shared" si="860"/>
        <v>0</v>
      </c>
      <c r="OQ225" s="359">
        <f t="shared" si="860"/>
        <v>0</v>
      </c>
      <c r="OR225" s="169"/>
      <c r="OS225" s="607">
        <f t="shared" si="861"/>
        <v>0</v>
      </c>
      <c r="OT225" s="137">
        <f t="shared" si="861"/>
        <v>0</v>
      </c>
      <c r="OU225" s="137">
        <f t="shared" si="861"/>
        <v>0</v>
      </c>
      <c r="OV225" s="3803">
        <f t="shared" si="861"/>
        <v>0</v>
      </c>
      <c r="OW225" s="169"/>
      <c r="OX225" s="357">
        <f t="shared" si="862"/>
        <v>0</v>
      </c>
      <c r="OY225" s="358">
        <f t="shared" si="863"/>
        <v>0</v>
      </c>
      <c r="OZ225" s="358">
        <f t="shared" si="863"/>
        <v>0</v>
      </c>
      <c r="PA225" s="359">
        <f t="shared" si="863"/>
        <v>0</v>
      </c>
      <c r="PB225" s="114"/>
      <c r="PC225" s="137"/>
      <c r="PD225" s="1567"/>
      <c r="PE225" s="2938">
        <v>0</v>
      </c>
      <c r="PF225" s="2938">
        <v>0</v>
      </c>
      <c r="PG225" s="1568"/>
      <c r="PH225" s="353"/>
      <c r="PI225" s="1567"/>
      <c r="PJ225" s="2938"/>
      <c r="PK225" s="2938"/>
      <c r="PL225" s="1568"/>
      <c r="PM225" s="2939"/>
      <c r="PN225" s="1569"/>
      <c r="PO225" s="2938"/>
      <c r="PP225" s="2938"/>
      <c r="PQ225" s="1568"/>
      <c r="PR225" s="220"/>
      <c r="PS225" s="2940"/>
      <c r="PT225" s="2938"/>
      <c r="PU225" s="2938"/>
      <c r="PV225" s="1568"/>
      <c r="PW225" s="220"/>
      <c r="PX225" s="2942"/>
      <c r="PY225" s="2943"/>
      <c r="PZ225" s="2943"/>
      <c r="QA225" s="358"/>
      <c r="QB225" s="151"/>
      <c r="QC225" s="1868"/>
      <c r="QD225" s="2941"/>
      <c r="QE225" s="2941"/>
      <c r="QF225" s="1575">
        <f>QE225-QD225</f>
        <v>0</v>
      </c>
      <c r="QG225" s="83"/>
      <c r="QH225" s="405"/>
      <c r="QI225" s="2941"/>
      <c r="QJ225" s="2941"/>
      <c r="QK225" s="1575"/>
      <c r="QL225" s="83"/>
      <c r="QM225" s="405"/>
      <c r="QN225" s="2941"/>
      <c r="QO225" s="2941"/>
      <c r="QP225" s="1575"/>
      <c r="QQ225" s="83"/>
      <c r="QR225" s="1868"/>
      <c r="QS225" s="2941"/>
      <c r="QT225" s="2941"/>
      <c r="QU225" s="1575"/>
      <c r="QV225" s="222"/>
      <c r="QW225" s="1568"/>
      <c r="QX225" s="2938"/>
      <c r="QY225" s="2938"/>
      <c r="QZ225" s="1575"/>
      <c r="RA225" s="83"/>
      <c r="RB225" s="1568"/>
      <c r="RC225" s="2938"/>
      <c r="RD225" s="2938"/>
      <c r="RE225" s="1568"/>
      <c r="RF225" s="2673"/>
      <c r="RG225" s="1567"/>
      <c r="RH225" s="2938"/>
      <c r="RI225" s="2938"/>
      <c r="RJ225" s="2001">
        <v>0</v>
      </c>
      <c r="RK225" s="801"/>
      <c r="RL225" s="3718">
        <f t="shared" si="864"/>
        <v>0</v>
      </c>
      <c r="RM225" s="1568">
        <f t="shared" si="865"/>
        <v>0</v>
      </c>
      <c r="RN225" s="1568">
        <f t="shared" si="865"/>
        <v>0</v>
      </c>
      <c r="RO225" s="1568">
        <f t="shared" si="865"/>
        <v>0</v>
      </c>
      <c r="RP225" s="2673"/>
      <c r="RQ225" s="3802">
        <f t="shared" si="866"/>
        <v>0</v>
      </c>
      <c r="RR225" s="96">
        <f t="shared" si="867"/>
        <v>0</v>
      </c>
      <c r="RS225" s="96">
        <f t="shared" si="867"/>
        <v>0</v>
      </c>
      <c r="RT225" s="96">
        <f t="shared" si="867"/>
        <v>0</v>
      </c>
      <c r="RU225" s="114"/>
      <c r="RV225" s="358">
        <f t="shared" si="868"/>
        <v>0</v>
      </c>
      <c r="RW225" s="358">
        <f t="shared" si="869"/>
        <v>0</v>
      </c>
      <c r="RX225" s="358">
        <f t="shared" si="869"/>
        <v>0</v>
      </c>
      <c r="RY225" s="359">
        <f t="shared" si="869"/>
        <v>0</v>
      </c>
      <c r="RZ225" s="169"/>
      <c r="SA225" s="607">
        <f t="shared" si="847"/>
        <v>0</v>
      </c>
      <c r="SB225" s="137">
        <f t="shared" si="848"/>
        <v>0</v>
      </c>
      <c r="SC225" s="137">
        <f t="shared" si="848"/>
        <v>0</v>
      </c>
      <c r="SD225" s="3803">
        <f t="shared" si="848"/>
        <v>0</v>
      </c>
      <c r="SE225" s="978">
        <v>0</v>
      </c>
      <c r="SF225" s="190">
        <f t="shared" si="870"/>
        <v>0</v>
      </c>
      <c r="SG225" s="358">
        <f t="shared" si="849"/>
        <v>0</v>
      </c>
      <c r="SH225" s="358">
        <f t="shared" si="849"/>
        <v>0</v>
      </c>
      <c r="SI225" s="359">
        <f t="shared" si="849"/>
        <v>0</v>
      </c>
      <c r="SJ225" s="2155">
        <v>0</v>
      </c>
      <c r="SK225" s="1568"/>
      <c r="SL225" s="1567"/>
      <c r="SM225" s="2938">
        <v>0</v>
      </c>
      <c r="SN225" s="2938">
        <v>0</v>
      </c>
      <c r="SO225" s="3534">
        <f t="shared" si="837"/>
        <v>0</v>
      </c>
      <c r="SP225" s="3525">
        <v>0</v>
      </c>
      <c r="SQ225" s="1567"/>
      <c r="SR225" s="2938">
        <v>0</v>
      </c>
      <c r="SS225" s="2938">
        <v>0</v>
      </c>
      <c r="ST225" s="1568">
        <v>0</v>
      </c>
      <c r="SU225" s="2939"/>
      <c r="SV225" s="1858"/>
      <c r="SW225" s="2943"/>
      <c r="SX225" s="2943"/>
      <c r="SY225" s="358"/>
      <c r="SZ225" s="151"/>
      <c r="TA225" s="2942"/>
      <c r="TB225" s="2943"/>
      <c r="TC225" s="2943"/>
      <c r="TD225" s="358">
        <v>0</v>
      </c>
      <c r="TE225" s="151"/>
      <c r="TF225" s="2942"/>
      <c r="TG225" s="2943"/>
      <c r="TH225" s="2943"/>
      <c r="TI225" s="358">
        <v>0</v>
      </c>
      <c r="TJ225" s="151"/>
      <c r="TK225" s="1868"/>
      <c r="TL225" s="2941"/>
      <c r="TM225" s="2941"/>
      <c r="TN225" s="1575">
        <f t="shared" si="838"/>
        <v>0</v>
      </c>
      <c r="TO225" s="83"/>
      <c r="TP225" s="4506"/>
      <c r="TQ225" s="2941"/>
      <c r="TR225" s="2941"/>
      <c r="TS225" s="1575"/>
      <c r="TT225" s="2674"/>
      <c r="TU225" s="4506"/>
      <c r="TV225" s="2941"/>
      <c r="TW225" s="2941"/>
      <c r="TX225" s="1575"/>
      <c r="TY225" s="83"/>
      <c r="TZ225" s="1868"/>
      <c r="UA225" s="2941"/>
      <c r="UB225" s="2941"/>
      <c r="UC225" s="1575"/>
      <c r="UD225" s="222"/>
      <c r="UE225" s="1568"/>
      <c r="UF225" s="2938"/>
      <c r="UG225" s="2938"/>
      <c r="UH225" s="1575"/>
      <c r="UI225" s="83"/>
      <c r="UJ225" s="1568"/>
      <c r="UK225" s="2938"/>
      <c r="UL225" s="2938"/>
      <c r="UM225" s="1568"/>
      <c r="UN225" s="2673"/>
      <c r="UO225" s="1567"/>
      <c r="UP225" s="2938"/>
      <c r="UQ225" s="2938"/>
      <c r="UR225" s="2001">
        <v>0</v>
      </c>
      <c r="US225" s="655"/>
      <c r="UT225" s="190">
        <f>(UO225+UJ225+UE225+TZ225+TU225+TP225+TK225+TF225+TA225+SV225+SQ225+SL225)/12</f>
        <v>0</v>
      </c>
      <c r="UU225" s="358">
        <f t="shared" si="850"/>
        <v>0</v>
      </c>
      <c r="UV225" s="358">
        <f t="shared" si="850"/>
        <v>0</v>
      </c>
      <c r="UW225" s="358">
        <f t="shared" si="850"/>
        <v>0</v>
      </c>
      <c r="UX225" s="2281">
        <v>0</v>
      </c>
      <c r="UY225" s="1863">
        <f>(SL225+SQ225+SV225)/3</f>
        <v>0</v>
      </c>
      <c r="UZ225" s="105">
        <f t="shared" si="841"/>
        <v>0</v>
      </c>
      <c r="VA225" s="105">
        <f t="shared" si="841"/>
        <v>0</v>
      </c>
      <c r="VB225" s="105">
        <f t="shared" si="841"/>
        <v>0</v>
      </c>
      <c r="VC225" s="106"/>
      <c r="VD225" s="358">
        <f>(TA225+TF225+TK225)/3</f>
        <v>0</v>
      </c>
      <c r="VE225" s="358">
        <f t="shared" si="871"/>
        <v>0</v>
      </c>
      <c r="VF225" s="358">
        <f t="shared" si="871"/>
        <v>0</v>
      </c>
      <c r="VG225" s="359">
        <f t="shared" si="871"/>
        <v>0</v>
      </c>
      <c r="VH225" s="169"/>
      <c r="VI225" s="686">
        <f t="shared" si="843"/>
        <v>0</v>
      </c>
      <c r="VJ225" s="146">
        <f t="shared" si="844"/>
        <v>0</v>
      </c>
      <c r="VK225" s="146">
        <f t="shared" si="844"/>
        <v>0</v>
      </c>
      <c r="VL225" s="1864">
        <f t="shared" si="844"/>
        <v>0</v>
      </c>
      <c r="VM225" s="1059">
        <v>0</v>
      </c>
      <c r="VN225" s="190">
        <f>(VI225+VD225+UY225+UT225+UO225+UJ225+UE225+TZ225+TU225+TP225+TK225+TF225)/12</f>
        <v>0</v>
      </c>
      <c r="VO225" s="358">
        <f t="shared" si="846"/>
        <v>0</v>
      </c>
      <c r="VP225" s="358">
        <f t="shared" si="846"/>
        <v>0</v>
      </c>
      <c r="VQ225" s="359">
        <f t="shared" si="846"/>
        <v>0</v>
      </c>
      <c r="VR225" s="2155">
        <v>0</v>
      </c>
    </row>
    <row r="226" spans="1:592" s="1193" customFormat="1" ht="13.6" hidden="1" customHeight="1" x14ac:dyDescent="0.3">
      <c r="A226" s="1297"/>
      <c r="B226" s="113" t="s">
        <v>113</v>
      </c>
      <c r="C226" s="2156" t="s">
        <v>885</v>
      </c>
      <c r="D226" s="4067" t="s">
        <v>886</v>
      </c>
      <c r="E226" s="384"/>
      <c r="F226" s="384"/>
      <c r="G226" s="2161">
        <v>1150000</v>
      </c>
      <c r="H226" s="2845"/>
      <c r="I226" s="2846"/>
      <c r="J226" s="2846"/>
      <c r="K226" s="2846"/>
      <c r="L226" s="2847"/>
      <c r="M226" s="2845"/>
      <c r="N226" s="2846"/>
      <c r="O226" s="2846"/>
      <c r="P226" s="2846"/>
      <c r="Q226" s="2847"/>
      <c r="R226" s="2845"/>
      <c r="S226" s="2846"/>
      <c r="T226" s="2846"/>
      <c r="U226" s="2846"/>
      <c r="V226" s="2847"/>
      <c r="W226" s="2845"/>
      <c r="X226" s="2846"/>
      <c r="Y226" s="2846"/>
      <c r="Z226" s="2846"/>
      <c r="AA226" s="2848"/>
      <c r="AB226" s="2845"/>
      <c r="AC226" s="2846"/>
      <c r="AD226" s="2846"/>
      <c r="AE226" s="2846"/>
      <c r="AF226" s="2848"/>
      <c r="AG226" s="2846"/>
      <c r="AH226" s="2846"/>
      <c r="AI226" s="2846"/>
      <c r="AJ226" s="2846"/>
      <c r="AK226" s="2847"/>
      <c r="AL226" s="2846"/>
      <c r="AM226" s="2846"/>
      <c r="AN226" s="2846"/>
      <c r="AO226" s="2846"/>
      <c r="AP226" s="2847"/>
      <c r="AQ226" s="2846"/>
      <c r="AR226" s="2846"/>
      <c r="AS226" s="2846"/>
      <c r="AT226" s="2846"/>
      <c r="AU226" s="2847"/>
      <c r="AV226" s="2849"/>
      <c r="AW226" s="2846"/>
      <c r="AX226" s="2846"/>
      <c r="AY226" s="2846"/>
      <c r="AZ226" s="2848"/>
      <c r="BA226" s="2849"/>
      <c r="BB226" s="2846"/>
      <c r="BC226" s="2846"/>
      <c r="BD226" s="2846"/>
      <c r="BE226" s="2848"/>
      <c r="BF226" s="2849"/>
      <c r="BG226" s="2846"/>
      <c r="BH226" s="2846"/>
      <c r="BI226" s="2846"/>
      <c r="BJ226" s="2848"/>
      <c r="BK226" s="2849"/>
      <c r="BL226" s="2846"/>
      <c r="BM226" s="2846"/>
      <c r="BN226" s="2846"/>
      <c r="BO226" s="2848"/>
      <c r="BP226" s="2850"/>
      <c r="BQ226" s="2846"/>
      <c r="BR226" s="2846"/>
      <c r="BS226" s="2846"/>
      <c r="BT226" s="2851"/>
      <c r="BU226" s="2846"/>
      <c r="BV226" s="2846"/>
      <c r="BW226" s="2852"/>
      <c r="BX226" s="2851"/>
      <c r="BY226" s="2846"/>
      <c r="BZ226" s="2846"/>
      <c r="CA226" s="2853"/>
      <c r="CB226" s="2846"/>
      <c r="CC226" s="2846"/>
      <c r="CD226" s="2846"/>
      <c r="CE226" s="2846"/>
      <c r="CF226" s="2851"/>
      <c r="CG226" s="2846"/>
      <c r="CH226" s="2846"/>
      <c r="CI226" s="2853"/>
      <c r="CJ226" s="2854"/>
      <c r="CK226" s="2846"/>
      <c r="CL226" s="2846"/>
      <c r="CM226" s="2846"/>
      <c r="CN226" s="2852"/>
      <c r="CO226" s="2854"/>
      <c r="CP226" s="2845"/>
      <c r="CQ226" s="2845"/>
      <c r="CR226" s="2845"/>
      <c r="CS226" s="2852"/>
      <c r="CT226" s="2854"/>
      <c r="CU226" s="2846"/>
      <c r="CV226" s="2846"/>
      <c r="CW226" s="2846"/>
      <c r="CX226" s="2852"/>
      <c r="CY226" s="2854"/>
      <c r="CZ226" s="2846"/>
      <c r="DA226" s="2846"/>
      <c r="DB226" s="2846"/>
      <c r="DC226" s="2852"/>
      <c r="DD226" s="2854"/>
      <c r="DE226" s="2846"/>
      <c r="DF226" s="2846"/>
      <c r="DG226" s="2846"/>
      <c r="DH226" s="2855"/>
      <c r="DI226" s="2854"/>
      <c r="DJ226" s="2846"/>
      <c r="DK226" s="2846"/>
      <c r="DL226" s="2846"/>
      <c r="DM226" s="2855"/>
      <c r="DN226" s="2854"/>
      <c r="DO226" s="2846"/>
      <c r="DP226" s="2846"/>
      <c r="DQ226" s="2846"/>
      <c r="DR226" s="2855"/>
      <c r="DS226" s="2854"/>
      <c r="DT226" s="2846"/>
      <c r="DU226" s="2846"/>
      <c r="DV226" s="2846"/>
      <c r="DW226" s="2855"/>
      <c r="DX226" s="2854"/>
      <c r="DY226" s="2846"/>
      <c r="DZ226" s="2846"/>
      <c r="EA226" s="2846"/>
      <c r="EB226" s="2855"/>
      <c r="EC226" s="2854"/>
      <c r="ED226" s="2846"/>
      <c r="EE226" s="2846"/>
      <c r="EF226" s="2846"/>
      <c r="EG226" s="2855"/>
      <c r="EH226" s="1567"/>
      <c r="EI226" s="1568"/>
      <c r="EJ226" s="1568"/>
      <c r="EK226" s="1568"/>
      <c r="EL226" s="353"/>
      <c r="EM226" s="1857"/>
      <c r="EN226" s="358"/>
      <c r="EO226" s="358"/>
      <c r="EP226" s="358"/>
      <c r="EQ226" s="94"/>
      <c r="ER226" s="2856"/>
      <c r="ES226" s="2857"/>
      <c r="ET226" s="2857"/>
      <c r="EU226" s="2857"/>
      <c r="EV226" s="1867"/>
      <c r="EW226" s="1569"/>
      <c r="EX226" s="1569"/>
      <c r="EY226" s="1569"/>
      <c r="EZ226" s="210"/>
      <c r="FA226" s="1567"/>
      <c r="FB226" s="1569"/>
      <c r="FC226" s="1569"/>
      <c r="FD226" s="220"/>
      <c r="FE226" s="1569"/>
      <c r="FF226" s="1569"/>
      <c r="FG226" s="1569"/>
      <c r="FH226" s="210"/>
      <c r="FI226" s="580"/>
      <c r="FJ226" s="579"/>
      <c r="FK226" s="137"/>
      <c r="FL226" s="137"/>
      <c r="FM226" s="151"/>
      <c r="FN226" s="1569"/>
      <c r="FO226" s="1568"/>
      <c r="FP226" s="1568"/>
      <c r="FQ226" s="1568"/>
      <c r="FR226" s="408"/>
      <c r="FS226" s="2858"/>
      <c r="FT226" s="2859"/>
      <c r="FU226" s="2859"/>
      <c r="FV226" s="2859"/>
      <c r="FW226" s="2860"/>
      <c r="FX226" s="1567"/>
      <c r="FY226" s="1568"/>
      <c r="FZ226" s="1568"/>
      <c r="GA226" s="2859"/>
      <c r="GB226" s="2860"/>
      <c r="GC226" s="1567"/>
      <c r="GD226" s="1568"/>
      <c r="GE226" s="1568"/>
      <c r="GF226" s="358"/>
      <c r="GG226" s="94"/>
      <c r="GH226" s="1857"/>
      <c r="GI226" s="358"/>
      <c r="GJ226" s="358"/>
      <c r="GK226" s="2861">
        <f>GJ226-GI226</f>
        <v>0</v>
      </c>
      <c r="GL226" s="2860" t="e">
        <f>GK226/GJ226</f>
        <v>#DIV/0!</v>
      </c>
      <c r="GM226" s="1857"/>
      <c r="GN226" s="358"/>
      <c r="GO226" s="358"/>
      <c r="GP226" s="2861">
        <f>GO226-GN226</f>
        <v>0</v>
      </c>
      <c r="GQ226" s="2860" t="e">
        <f>GP226/GO226</f>
        <v>#DIV/0!</v>
      </c>
      <c r="GR226" s="358"/>
      <c r="GS226" s="358"/>
      <c r="GT226" s="358"/>
      <c r="GU226" s="2861">
        <f>GT226-GS226</f>
        <v>0</v>
      </c>
      <c r="GV226" s="2860" t="e">
        <f>GU226/GT226</f>
        <v>#DIV/0!</v>
      </c>
      <c r="GW226" s="358"/>
      <c r="GX226" s="358"/>
      <c r="GY226" s="358"/>
      <c r="GZ226" s="2861">
        <f>GY226-GX226</f>
        <v>0</v>
      </c>
      <c r="HA226" s="2860" t="e">
        <f>GZ226/GY226</f>
        <v>#DIV/0!</v>
      </c>
      <c r="HB226" s="358"/>
      <c r="HC226" s="358"/>
      <c r="HD226" s="358"/>
      <c r="HE226" s="2861">
        <f>HD226-HC226</f>
        <v>0</v>
      </c>
      <c r="HF226" s="2860" t="e">
        <f>HE226/HD226</f>
        <v>#DIV/0!</v>
      </c>
      <c r="HG226" s="358"/>
      <c r="HH226" s="358"/>
      <c r="HI226" s="358"/>
      <c r="HJ226" s="2861">
        <f>HI226-HH226</f>
        <v>0</v>
      </c>
      <c r="HK226" s="2860" t="e">
        <f>HJ226/HI226</f>
        <v>#DIV/0!</v>
      </c>
      <c r="HL226" s="358"/>
      <c r="HM226" s="358"/>
      <c r="HN226" s="358"/>
      <c r="HO226" s="2861"/>
      <c r="HP226" s="2860"/>
      <c r="HQ226" s="2861"/>
      <c r="HR226" s="2861"/>
      <c r="HS226" s="2861"/>
      <c r="HT226" s="2861"/>
      <c r="HU226" s="2870"/>
      <c r="HV226" s="3812">
        <f t="shared" si="853"/>
        <v>0</v>
      </c>
      <c r="HW226" s="208">
        <f t="shared" si="853"/>
        <v>0</v>
      </c>
      <c r="HX226" s="208">
        <f t="shared" si="853"/>
        <v>0</v>
      </c>
      <c r="HY226" s="208">
        <f t="shared" si="853"/>
        <v>0</v>
      </c>
      <c r="HZ226" s="2737"/>
      <c r="IA226" s="1934"/>
      <c r="IB226" s="1855"/>
      <c r="IC226" s="1855"/>
      <c r="ID226" s="1856"/>
      <c r="IE226" s="2863"/>
      <c r="IF226" s="2863"/>
      <c r="IG226" s="2863"/>
      <c r="IH226" s="2864"/>
      <c r="II226" s="2865"/>
      <c r="IJ226" s="3813"/>
      <c r="IK226" s="3813"/>
      <c r="IL226" s="2864"/>
      <c r="IM226" s="2866"/>
      <c r="IN226" s="3813"/>
      <c r="IO226" s="3813"/>
      <c r="IP226" s="2867"/>
      <c r="IQ226" s="1568"/>
      <c r="IR226" s="2868"/>
      <c r="IS226" s="2015"/>
      <c r="IT226" s="2015"/>
      <c r="IU226" s="2869"/>
      <c r="IV226" s="2870"/>
      <c r="IW226" s="2858"/>
      <c r="IX226" s="2859"/>
      <c r="IY226" s="2859"/>
      <c r="IZ226" s="2859"/>
      <c r="JA226" s="2870"/>
      <c r="JB226" s="2871"/>
      <c r="JC226" s="1568"/>
      <c r="JD226" s="1568"/>
      <c r="JE226" s="2859"/>
      <c r="JF226" s="2870"/>
      <c r="JG226" s="2871"/>
      <c r="JH226" s="1568"/>
      <c r="JI226" s="1568"/>
      <c r="JJ226" s="358"/>
      <c r="JK226" s="158"/>
      <c r="JL226" s="1857"/>
      <c r="JM226" s="358"/>
      <c r="JN226" s="358"/>
      <c r="JO226" s="2861">
        <f>JN226-JM226</f>
        <v>0</v>
      </c>
      <c r="JP226" s="2870"/>
      <c r="JQ226" s="2873"/>
      <c r="JR226" s="1025"/>
      <c r="JS226" s="265"/>
      <c r="JT226" s="2872">
        <f>JS226-JR226</f>
        <v>0</v>
      </c>
      <c r="JU226" s="2870"/>
      <c r="JV226" s="2874"/>
      <c r="JW226" s="358"/>
      <c r="JX226" s="2872"/>
      <c r="JY226" s="2861"/>
      <c r="JZ226" s="2860"/>
      <c r="KA226" s="357"/>
      <c r="KB226" s="358"/>
      <c r="KC226" s="2872"/>
      <c r="KD226" s="2861">
        <f>KC226-KB226</f>
        <v>0</v>
      </c>
      <c r="KE226" s="2870"/>
      <c r="KF226" s="2875"/>
      <c r="KG226" s="358"/>
      <c r="KH226" s="2872"/>
      <c r="KI226" s="2861"/>
      <c r="KJ226" s="2870"/>
      <c r="KK226" s="2875"/>
      <c r="KL226" s="358"/>
      <c r="KM226" s="2872"/>
      <c r="KN226" s="2861">
        <f>KM226-KL226</f>
        <v>0</v>
      </c>
      <c r="KO226" s="2860"/>
      <c r="KP226" s="357"/>
      <c r="KQ226" s="358"/>
      <c r="KR226" s="2872"/>
      <c r="KS226" s="2861">
        <f>KR226-KQ226</f>
        <v>0</v>
      </c>
      <c r="KT226" s="2870"/>
      <c r="KU226" s="3814"/>
      <c r="KV226" s="2861"/>
      <c r="KW226" s="2861"/>
      <c r="KX226" s="2861"/>
      <c r="KY226" s="2860"/>
      <c r="KZ226" s="357">
        <f t="shared" si="854"/>
        <v>0</v>
      </c>
      <c r="LA226" s="358">
        <f t="shared" si="854"/>
        <v>0</v>
      </c>
      <c r="LB226" s="358">
        <f t="shared" si="854"/>
        <v>0</v>
      </c>
      <c r="LC226" s="358">
        <f t="shared" si="854"/>
        <v>0</v>
      </c>
      <c r="LD226" s="220"/>
      <c r="LE226" s="1854"/>
      <c r="LF226" s="1855"/>
      <c r="LG226" s="1855"/>
      <c r="LH226" s="1856"/>
      <c r="LI226" s="2866"/>
      <c r="LJ226" s="2863"/>
      <c r="LK226" s="2863"/>
      <c r="LL226" s="2864"/>
      <c r="LM226" s="1934">
        <f>(JV226+KA226+KF226)/3</f>
        <v>0</v>
      </c>
      <c r="LN226" s="2878">
        <f t="shared" si="855"/>
        <v>0</v>
      </c>
      <c r="LO226" s="2878">
        <f t="shared" si="855"/>
        <v>0</v>
      </c>
      <c r="LP226" s="151"/>
      <c r="LQ226" s="2866"/>
      <c r="LR226" s="3813"/>
      <c r="LS226" s="3813"/>
      <c r="LT226" s="2867"/>
      <c r="LU226" s="1568"/>
      <c r="LV226" s="1567"/>
      <c r="LW226" s="4069">
        <v>280000</v>
      </c>
      <c r="LX226" s="4069">
        <v>460000</v>
      </c>
      <c r="LY226" s="4069">
        <f>LX226-LW226</f>
        <v>180000</v>
      </c>
      <c r="LZ226" s="353">
        <f>LY226/LX226</f>
        <v>0.39130434782608697</v>
      </c>
      <c r="MA226" s="1567"/>
      <c r="MB226" s="2938"/>
      <c r="MC226" s="2938"/>
      <c r="MD226" s="1568"/>
      <c r="ME226" s="2939"/>
      <c r="MF226" s="1569"/>
      <c r="MG226" s="2938"/>
      <c r="MH226" s="2938"/>
      <c r="MI226" s="1568"/>
      <c r="MJ226" s="220"/>
      <c r="MK226" s="2940"/>
      <c r="ML226" s="2938"/>
      <c r="MM226" s="2938"/>
      <c r="MN226" s="1568"/>
      <c r="MO226" s="220"/>
      <c r="MP226" s="2940"/>
      <c r="MQ226" s="2938"/>
      <c r="MR226" s="2938"/>
      <c r="MS226" s="1568"/>
      <c r="MT226" s="220"/>
      <c r="MU226" s="1868"/>
      <c r="MV226" s="2945">
        <v>505000</v>
      </c>
      <c r="MW226" s="2945">
        <v>690000</v>
      </c>
      <c r="MX226" s="208">
        <f>MW226-MV226</f>
        <v>185000</v>
      </c>
      <c r="MY226" s="114">
        <f>MX226/MW226</f>
        <v>0.26811594202898553</v>
      </c>
      <c r="MZ226" s="1868"/>
      <c r="NA226" s="2941"/>
      <c r="NB226" s="2941"/>
      <c r="NC226" s="1575"/>
      <c r="ND226" s="83"/>
      <c r="NE226" s="1868"/>
      <c r="NF226" s="2941"/>
      <c r="NG226" s="2941"/>
      <c r="NH226" s="1575"/>
      <c r="NI226" s="83"/>
      <c r="NJ226" s="1868"/>
      <c r="NK226" s="2941"/>
      <c r="NL226" s="2941"/>
      <c r="NM226" s="1575"/>
      <c r="NN226" s="83"/>
      <c r="NO226" s="1568"/>
      <c r="NP226" s="2938"/>
      <c r="NQ226" s="2938"/>
      <c r="NR226" s="1575"/>
      <c r="NS226" s="83"/>
      <c r="NT226" s="1568"/>
      <c r="NU226" s="2938"/>
      <c r="NV226" s="2938"/>
      <c r="NW226" s="1568"/>
      <c r="NX226" s="2673"/>
      <c r="NY226" s="1868"/>
      <c r="NZ226" s="2941">
        <v>0</v>
      </c>
      <c r="OA226" s="2941">
        <v>0</v>
      </c>
      <c r="OB226" s="2001">
        <v>0</v>
      </c>
      <c r="OC226" s="116"/>
      <c r="OD226" s="190">
        <f>(NY226+NT226+NO226+NJ226+NE226+MZ226+MU226+MP226+MK226+MF226+MA226+LV226)/12</f>
        <v>0</v>
      </c>
      <c r="OE226" s="358">
        <f t="shared" si="856"/>
        <v>785000</v>
      </c>
      <c r="OF226" s="358">
        <f t="shared" si="856"/>
        <v>1150000</v>
      </c>
      <c r="OG226" s="358">
        <f t="shared" si="856"/>
        <v>365000</v>
      </c>
      <c r="OH226" s="220">
        <f>OG226/OF226</f>
        <v>0.31739130434782609</v>
      </c>
      <c r="OI226" s="3802">
        <f t="shared" si="857"/>
        <v>0</v>
      </c>
      <c r="OJ226" s="96">
        <f t="shared" si="858"/>
        <v>280000</v>
      </c>
      <c r="OK226" s="96">
        <f t="shared" si="858"/>
        <v>460000</v>
      </c>
      <c r="OL226" s="96">
        <f t="shared" si="858"/>
        <v>180000</v>
      </c>
      <c r="OM226" s="114">
        <f>OL226/OK226</f>
        <v>0.39130434782608697</v>
      </c>
      <c r="ON226" s="358">
        <f t="shared" si="859"/>
        <v>0</v>
      </c>
      <c r="OO226" s="358">
        <f t="shared" si="860"/>
        <v>505000</v>
      </c>
      <c r="OP226" s="358">
        <f t="shared" si="860"/>
        <v>690000</v>
      </c>
      <c r="OQ226" s="359">
        <f t="shared" si="860"/>
        <v>185000</v>
      </c>
      <c r="OR226" s="169">
        <f>OQ226/OP226</f>
        <v>0.26811594202898553</v>
      </c>
      <c r="OS226" s="607">
        <f t="shared" si="861"/>
        <v>0</v>
      </c>
      <c r="OT226" s="137">
        <f t="shared" si="861"/>
        <v>0</v>
      </c>
      <c r="OU226" s="137">
        <f t="shared" si="861"/>
        <v>0</v>
      </c>
      <c r="OV226" s="3803">
        <f t="shared" si="861"/>
        <v>0</v>
      </c>
      <c r="OW226" s="169"/>
      <c r="OX226" s="357">
        <f t="shared" si="862"/>
        <v>0</v>
      </c>
      <c r="OY226" s="358">
        <f t="shared" si="863"/>
        <v>0</v>
      </c>
      <c r="OZ226" s="358">
        <f t="shared" si="863"/>
        <v>0</v>
      </c>
      <c r="PA226" s="359">
        <f t="shared" si="863"/>
        <v>0</v>
      </c>
      <c r="PB226" s="114"/>
      <c r="PC226" s="137"/>
      <c r="PD226" s="1567"/>
      <c r="PE226" s="2938">
        <v>0</v>
      </c>
      <c r="PF226" s="2938">
        <v>0</v>
      </c>
      <c r="PG226" s="4069"/>
      <c r="PH226" s="353"/>
      <c r="PI226" s="1567"/>
      <c r="PJ226" s="2938"/>
      <c r="PK226" s="2938"/>
      <c r="PL226" s="1568"/>
      <c r="PM226" s="2939"/>
      <c r="PN226" s="1569"/>
      <c r="PO226" s="2938"/>
      <c r="PP226" s="2938"/>
      <c r="PQ226" s="1568"/>
      <c r="PR226" s="220"/>
      <c r="PS226" s="2940"/>
      <c r="PT226" s="2938"/>
      <c r="PU226" s="2938"/>
      <c r="PV226" s="1568"/>
      <c r="PW226" s="220"/>
      <c r="PX226" s="2942"/>
      <c r="PY226" s="2943"/>
      <c r="PZ226" s="2943"/>
      <c r="QA226" s="358"/>
      <c r="QB226" s="151"/>
      <c r="QC226" s="1868"/>
      <c r="QD226" s="2941"/>
      <c r="QE226" s="2941"/>
      <c r="QF226" s="1575">
        <f>QE226-QD226</f>
        <v>0</v>
      </c>
      <c r="QG226" s="83"/>
      <c r="QH226" s="405"/>
      <c r="QI226" s="2941"/>
      <c r="QJ226" s="2941"/>
      <c r="QK226" s="1575"/>
      <c r="QL226" s="83"/>
      <c r="QM226" s="405"/>
      <c r="QN226" s="2941"/>
      <c r="QO226" s="2941"/>
      <c r="QP226" s="1575"/>
      <c r="QQ226" s="83"/>
      <c r="QR226" s="1868"/>
      <c r="QS226" s="2941"/>
      <c r="QT226" s="2941"/>
      <c r="QU226" s="1575"/>
      <c r="QV226" s="222"/>
      <c r="QW226" s="1568"/>
      <c r="QX226" s="2938"/>
      <c r="QY226" s="2938"/>
      <c r="QZ226" s="1575"/>
      <c r="RA226" s="83"/>
      <c r="RB226" s="1568"/>
      <c r="RC226" s="2938"/>
      <c r="RD226" s="2938"/>
      <c r="RE226" s="1568"/>
      <c r="RF226" s="2673"/>
      <c r="RG226" s="1567"/>
      <c r="RH226" s="2938"/>
      <c r="RI226" s="2938"/>
      <c r="RJ226" s="2001">
        <v>0</v>
      </c>
      <c r="RK226" s="801"/>
      <c r="RL226" s="3718">
        <f t="shared" si="864"/>
        <v>0</v>
      </c>
      <c r="RM226" s="1568">
        <f t="shared" si="865"/>
        <v>0</v>
      </c>
      <c r="RN226" s="1568">
        <f t="shared" si="865"/>
        <v>0</v>
      </c>
      <c r="RO226" s="1568">
        <f t="shared" si="865"/>
        <v>0</v>
      </c>
      <c r="RP226" s="2673"/>
      <c r="RQ226" s="3802">
        <f t="shared" si="866"/>
        <v>0</v>
      </c>
      <c r="RR226" s="96">
        <f t="shared" si="867"/>
        <v>0</v>
      </c>
      <c r="RS226" s="96">
        <f t="shared" si="867"/>
        <v>0</v>
      </c>
      <c r="RT226" s="96">
        <f t="shared" si="867"/>
        <v>0</v>
      </c>
      <c r="RU226" s="114"/>
      <c r="RV226" s="358">
        <f t="shared" si="868"/>
        <v>0</v>
      </c>
      <c r="RW226" s="358">
        <f t="shared" si="869"/>
        <v>0</v>
      </c>
      <c r="RX226" s="358">
        <f t="shared" si="869"/>
        <v>0</v>
      </c>
      <c r="RY226" s="359">
        <f t="shared" si="869"/>
        <v>0</v>
      </c>
      <c r="RZ226" s="169"/>
      <c r="SA226" s="607">
        <f t="shared" si="847"/>
        <v>0</v>
      </c>
      <c r="SB226" s="137">
        <f t="shared" si="848"/>
        <v>0</v>
      </c>
      <c r="SC226" s="137">
        <f t="shared" si="848"/>
        <v>0</v>
      </c>
      <c r="SD226" s="3803">
        <f t="shared" si="848"/>
        <v>0</v>
      </c>
      <c r="SE226" s="978">
        <v>0</v>
      </c>
      <c r="SF226" s="190">
        <f t="shared" si="870"/>
        <v>0</v>
      </c>
      <c r="SG226" s="358">
        <f t="shared" si="849"/>
        <v>0</v>
      </c>
      <c r="SH226" s="358">
        <f t="shared" si="849"/>
        <v>0</v>
      </c>
      <c r="SI226" s="359">
        <f t="shared" si="849"/>
        <v>0</v>
      </c>
      <c r="SJ226" s="2155">
        <v>0</v>
      </c>
      <c r="SK226" s="1568"/>
      <c r="SL226" s="1567"/>
      <c r="SM226" s="2938">
        <v>0</v>
      </c>
      <c r="SN226" s="2938">
        <v>0</v>
      </c>
      <c r="SO226" s="3534">
        <f t="shared" si="837"/>
        <v>0</v>
      </c>
      <c r="SP226" s="3525">
        <v>0</v>
      </c>
      <c r="SQ226" s="1567"/>
      <c r="SR226" s="2938">
        <v>0</v>
      </c>
      <c r="SS226" s="2938">
        <v>0</v>
      </c>
      <c r="ST226" s="1568">
        <v>0</v>
      </c>
      <c r="SU226" s="2939"/>
      <c r="SV226" s="1858"/>
      <c r="SW226" s="2943"/>
      <c r="SX226" s="2943"/>
      <c r="SY226" s="358"/>
      <c r="SZ226" s="151"/>
      <c r="TA226" s="2942"/>
      <c r="TB226" s="2943"/>
      <c r="TC226" s="2943"/>
      <c r="TD226" s="358">
        <v>0</v>
      </c>
      <c r="TE226" s="151"/>
      <c r="TF226" s="2942"/>
      <c r="TG226" s="2943"/>
      <c r="TH226" s="2943"/>
      <c r="TI226" s="358">
        <v>0</v>
      </c>
      <c r="TJ226" s="151"/>
      <c r="TK226" s="1868"/>
      <c r="TL226" s="2941"/>
      <c r="TM226" s="2941"/>
      <c r="TN226" s="1575">
        <f t="shared" si="838"/>
        <v>0</v>
      </c>
      <c r="TO226" s="83"/>
      <c r="TP226" s="4506"/>
      <c r="TQ226" s="2941"/>
      <c r="TR226" s="2941"/>
      <c r="TS226" s="1575"/>
      <c r="TT226" s="83"/>
      <c r="TU226" s="4506"/>
      <c r="TV226" s="2941"/>
      <c r="TW226" s="2941"/>
      <c r="TX226" s="1575"/>
      <c r="TY226" s="83"/>
      <c r="TZ226" s="1868"/>
      <c r="UA226" s="2941"/>
      <c r="UB226" s="2941"/>
      <c r="UC226" s="1575"/>
      <c r="UD226" s="222"/>
      <c r="UE226" s="1568"/>
      <c r="UF226" s="2938"/>
      <c r="UG226" s="2938"/>
      <c r="UH226" s="1575"/>
      <c r="UI226" s="83"/>
      <c r="UJ226" s="1568"/>
      <c r="UK226" s="2938"/>
      <c r="UL226" s="2938"/>
      <c r="UM226" s="1568"/>
      <c r="UN226" s="2673"/>
      <c r="UO226" s="1567"/>
      <c r="UP226" s="2938"/>
      <c r="UQ226" s="2938"/>
      <c r="UR226" s="2001">
        <v>0</v>
      </c>
      <c r="US226" s="655"/>
      <c r="UT226" s="190">
        <f>(UO226+UJ226+UE226+TZ226+TU226+TP226+TK226+TF226+TA226+SV226+SQ226+SL226)/12</f>
        <v>0</v>
      </c>
      <c r="UU226" s="358">
        <f t="shared" si="850"/>
        <v>0</v>
      </c>
      <c r="UV226" s="358">
        <f t="shared" si="850"/>
        <v>0</v>
      </c>
      <c r="UW226" s="358">
        <f t="shared" si="850"/>
        <v>0</v>
      </c>
      <c r="UX226" s="2281">
        <v>0</v>
      </c>
      <c r="UY226" s="1863">
        <f>(SL226+SQ226+SV226)/3</f>
        <v>0</v>
      </c>
      <c r="UZ226" s="105">
        <f t="shared" si="841"/>
        <v>0</v>
      </c>
      <c r="VA226" s="105">
        <f t="shared" si="841"/>
        <v>0</v>
      </c>
      <c r="VB226" s="105">
        <f t="shared" si="841"/>
        <v>0</v>
      </c>
      <c r="VC226" s="106"/>
      <c r="VD226" s="358">
        <f>(TA226+TF226+TK226)/3</f>
        <v>0</v>
      </c>
      <c r="VE226" s="358">
        <f t="shared" si="871"/>
        <v>0</v>
      </c>
      <c r="VF226" s="358">
        <f t="shared" si="871"/>
        <v>0</v>
      </c>
      <c r="VG226" s="359">
        <f t="shared" si="871"/>
        <v>0</v>
      </c>
      <c r="VH226" s="169"/>
      <c r="VI226" s="686">
        <f t="shared" si="843"/>
        <v>0</v>
      </c>
      <c r="VJ226" s="146">
        <f t="shared" si="844"/>
        <v>0</v>
      </c>
      <c r="VK226" s="146">
        <f t="shared" si="844"/>
        <v>0</v>
      </c>
      <c r="VL226" s="1864">
        <f t="shared" si="844"/>
        <v>0</v>
      </c>
      <c r="VM226" s="1059">
        <v>0</v>
      </c>
      <c r="VN226" s="190">
        <f>(VI226+VD226+UY226+UT226+UO226+UJ226+UE226+TZ226+TU226+TP226+TK226+TF226)/12</f>
        <v>0</v>
      </c>
      <c r="VO226" s="358">
        <f t="shared" si="846"/>
        <v>0</v>
      </c>
      <c r="VP226" s="358">
        <f t="shared" si="846"/>
        <v>0</v>
      </c>
      <c r="VQ226" s="359">
        <f t="shared" si="846"/>
        <v>0</v>
      </c>
      <c r="VR226" s="2155">
        <v>0</v>
      </c>
    </row>
    <row r="227" spans="1:592" s="1193" customFormat="1" ht="13.6" hidden="1" customHeight="1" x14ac:dyDescent="0.3">
      <c r="A227" s="1297"/>
      <c r="B227" s="113" t="s">
        <v>109</v>
      </c>
      <c r="C227" s="2843" t="s">
        <v>314</v>
      </c>
      <c r="D227" s="4067"/>
      <c r="E227" s="384"/>
      <c r="F227" s="384"/>
      <c r="G227" s="2161">
        <v>1200000</v>
      </c>
      <c r="H227" s="2845"/>
      <c r="I227" s="2846"/>
      <c r="J227" s="2846"/>
      <c r="K227" s="2846"/>
      <c r="L227" s="2847"/>
      <c r="M227" s="2845"/>
      <c r="N227" s="2846"/>
      <c r="O227" s="2846"/>
      <c r="P227" s="2846"/>
      <c r="Q227" s="2847"/>
      <c r="R227" s="2845"/>
      <c r="S227" s="2846"/>
      <c r="T227" s="2846"/>
      <c r="U227" s="2846"/>
      <c r="V227" s="2847"/>
      <c r="W227" s="2845"/>
      <c r="X227" s="2846"/>
      <c r="Y227" s="2846"/>
      <c r="Z227" s="2846"/>
      <c r="AA227" s="2848"/>
      <c r="AB227" s="2845"/>
      <c r="AC227" s="2846"/>
      <c r="AD227" s="2846"/>
      <c r="AE227" s="2846"/>
      <c r="AF227" s="2848"/>
      <c r="AG227" s="2846"/>
      <c r="AH227" s="2846"/>
      <c r="AI227" s="2846"/>
      <c r="AJ227" s="2846"/>
      <c r="AK227" s="2847"/>
      <c r="AL227" s="2846"/>
      <c r="AM227" s="2846"/>
      <c r="AN227" s="2846"/>
      <c r="AO227" s="2846"/>
      <c r="AP227" s="2847"/>
      <c r="AQ227" s="2846"/>
      <c r="AR227" s="2846"/>
      <c r="AS227" s="2846"/>
      <c r="AT227" s="2846"/>
      <c r="AU227" s="2847"/>
      <c r="AV227" s="2849"/>
      <c r="AW227" s="2846"/>
      <c r="AX227" s="2846"/>
      <c r="AY227" s="2846"/>
      <c r="AZ227" s="2848"/>
      <c r="BA227" s="2849"/>
      <c r="BB227" s="2846"/>
      <c r="BC227" s="2846"/>
      <c r="BD227" s="2846"/>
      <c r="BE227" s="2848"/>
      <c r="BF227" s="2849"/>
      <c r="BG227" s="2846"/>
      <c r="BH227" s="2846"/>
      <c r="BI227" s="2846"/>
      <c r="BJ227" s="2848"/>
      <c r="BK227" s="2849"/>
      <c r="BL227" s="2846"/>
      <c r="BM227" s="2846"/>
      <c r="BN227" s="2846"/>
      <c r="BO227" s="2848"/>
      <c r="BP227" s="2850"/>
      <c r="BQ227" s="2846"/>
      <c r="BR227" s="2846"/>
      <c r="BS227" s="2846"/>
      <c r="BT227" s="2851"/>
      <c r="BU227" s="2846"/>
      <c r="BV227" s="2846"/>
      <c r="BW227" s="2852"/>
      <c r="BX227" s="2851"/>
      <c r="BY227" s="2846"/>
      <c r="BZ227" s="2846"/>
      <c r="CA227" s="2853"/>
      <c r="CB227" s="2846"/>
      <c r="CC227" s="2846"/>
      <c r="CD227" s="2846"/>
      <c r="CE227" s="2846"/>
      <c r="CF227" s="2851"/>
      <c r="CG227" s="2846"/>
      <c r="CH227" s="2846"/>
      <c r="CI227" s="2853"/>
      <c r="CJ227" s="2854"/>
      <c r="CK227" s="2846"/>
      <c r="CL227" s="2846"/>
      <c r="CM227" s="2846"/>
      <c r="CN227" s="2852"/>
      <c r="CO227" s="2854"/>
      <c r="CP227" s="2845"/>
      <c r="CQ227" s="2845"/>
      <c r="CR227" s="2845"/>
      <c r="CS227" s="2852"/>
      <c r="CT227" s="2854"/>
      <c r="CU227" s="2846"/>
      <c r="CV227" s="2846"/>
      <c r="CW227" s="2846"/>
      <c r="CX227" s="2852"/>
      <c r="CY227" s="2854"/>
      <c r="CZ227" s="2846"/>
      <c r="DA227" s="2846"/>
      <c r="DB227" s="2846"/>
      <c r="DC227" s="2852"/>
      <c r="DD227" s="2854"/>
      <c r="DE227" s="2846"/>
      <c r="DF227" s="2846"/>
      <c r="DG227" s="2846"/>
      <c r="DH227" s="2855"/>
      <c r="DI227" s="2854"/>
      <c r="DJ227" s="2846"/>
      <c r="DK227" s="2846"/>
      <c r="DL227" s="2846"/>
      <c r="DM227" s="2855"/>
      <c r="DN227" s="2854"/>
      <c r="DO227" s="2846"/>
      <c r="DP227" s="2846"/>
      <c r="DQ227" s="2846"/>
      <c r="DR227" s="2855"/>
      <c r="DS227" s="2854"/>
      <c r="DT227" s="2846"/>
      <c r="DU227" s="2846"/>
      <c r="DV227" s="2846"/>
      <c r="DW227" s="2855"/>
      <c r="DX227" s="2854"/>
      <c r="DY227" s="2846"/>
      <c r="DZ227" s="2846"/>
      <c r="EA227" s="2846"/>
      <c r="EB227" s="2855"/>
      <c r="EC227" s="2854"/>
      <c r="ED227" s="2846"/>
      <c r="EE227" s="2846"/>
      <c r="EF227" s="2846"/>
      <c r="EG227" s="2855"/>
      <c r="EH227" s="1567"/>
      <c r="EI227" s="1568"/>
      <c r="EJ227" s="1568"/>
      <c r="EK227" s="1568"/>
      <c r="EL227" s="353"/>
      <c r="EM227" s="1857"/>
      <c r="EN227" s="358"/>
      <c r="EO227" s="358"/>
      <c r="EP227" s="358"/>
      <c r="EQ227" s="94"/>
      <c r="ER227" s="2856"/>
      <c r="ES227" s="2857"/>
      <c r="ET227" s="2857"/>
      <c r="EU227" s="2857"/>
      <c r="EV227" s="1867"/>
      <c r="EW227" s="1569"/>
      <c r="EX227" s="1569"/>
      <c r="EY227" s="1569"/>
      <c r="EZ227" s="210"/>
      <c r="FA227" s="1567"/>
      <c r="FB227" s="1569"/>
      <c r="FC227" s="1569"/>
      <c r="FD227" s="220"/>
      <c r="FE227" s="1569"/>
      <c r="FF227" s="1569"/>
      <c r="FG227" s="1569"/>
      <c r="FH227" s="210"/>
      <c r="FI227" s="580"/>
      <c r="FJ227" s="579"/>
      <c r="FK227" s="137"/>
      <c r="FL227" s="137"/>
      <c r="FM227" s="151"/>
      <c r="FN227" s="1569"/>
      <c r="FO227" s="1568"/>
      <c r="FP227" s="1568"/>
      <c r="FQ227" s="1568"/>
      <c r="FR227" s="408"/>
      <c r="FS227" s="2858"/>
      <c r="FT227" s="2859"/>
      <c r="FU227" s="2859"/>
      <c r="FV227" s="2859"/>
      <c r="FW227" s="2860"/>
      <c r="FX227" s="1567"/>
      <c r="FY227" s="1568"/>
      <c r="FZ227" s="1568"/>
      <c r="GA227" s="2859"/>
      <c r="GB227" s="2860"/>
      <c r="GC227" s="1567"/>
      <c r="GD227" s="1568"/>
      <c r="GE227" s="1568"/>
      <c r="GF227" s="358"/>
      <c r="GG227" s="94"/>
      <c r="GH227" s="1857"/>
      <c r="GI227" s="358"/>
      <c r="GJ227" s="358"/>
      <c r="GK227" s="2861"/>
      <c r="GL227" s="2860"/>
      <c r="GM227" s="1857"/>
      <c r="GN227" s="358"/>
      <c r="GO227" s="358"/>
      <c r="GP227" s="2861"/>
      <c r="GQ227" s="2860"/>
      <c r="GR227" s="358"/>
      <c r="GS227" s="358"/>
      <c r="GT227" s="358"/>
      <c r="GU227" s="2861"/>
      <c r="GV227" s="2860"/>
      <c r="GW227" s="358"/>
      <c r="GX227" s="358"/>
      <c r="GY227" s="358"/>
      <c r="GZ227" s="2861"/>
      <c r="HA227" s="2860"/>
      <c r="HB227" s="358"/>
      <c r="HC227" s="358"/>
      <c r="HD227" s="358"/>
      <c r="HE227" s="2861"/>
      <c r="HF227" s="2860"/>
      <c r="HG227" s="358"/>
      <c r="HH227" s="358"/>
      <c r="HI227" s="358"/>
      <c r="HJ227" s="2861"/>
      <c r="HK227" s="2860"/>
      <c r="HL227" s="358"/>
      <c r="HM227" s="358"/>
      <c r="HN227" s="358"/>
      <c r="HO227" s="2861"/>
      <c r="HP227" s="2860"/>
      <c r="HQ227" s="2861"/>
      <c r="HR227" s="2861"/>
      <c r="HS227" s="2861"/>
      <c r="HT227" s="2861"/>
      <c r="HU227" s="2870"/>
      <c r="HV227" s="3812"/>
      <c r="HW227" s="208"/>
      <c r="HX227" s="208"/>
      <c r="HY227" s="208"/>
      <c r="HZ227" s="2737"/>
      <c r="IA227" s="1934"/>
      <c r="IB227" s="1855"/>
      <c r="IC227" s="1855"/>
      <c r="ID227" s="1856"/>
      <c r="IE227" s="2863"/>
      <c r="IF227" s="2863"/>
      <c r="IG227" s="2863"/>
      <c r="IH227" s="2864"/>
      <c r="II227" s="2865"/>
      <c r="IJ227" s="3813"/>
      <c r="IK227" s="3813"/>
      <c r="IL227" s="2864"/>
      <c r="IM227" s="2866"/>
      <c r="IN227" s="3813"/>
      <c r="IO227" s="3813"/>
      <c r="IP227" s="2867"/>
      <c r="IQ227" s="1568"/>
      <c r="IR227" s="2868"/>
      <c r="IS227" s="2015"/>
      <c r="IT227" s="2015"/>
      <c r="IU227" s="2869"/>
      <c r="IV227" s="2870"/>
      <c r="IW227" s="2858"/>
      <c r="IX227" s="2859"/>
      <c r="IY227" s="2859"/>
      <c r="IZ227" s="2859"/>
      <c r="JA227" s="2870"/>
      <c r="JB227" s="2871"/>
      <c r="JC227" s="1568"/>
      <c r="JD227" s="1568"/>
      <c r="JE227" s="2859"/>
      <c r="JF227" s="2870"/>
      <c r="JG227" s="2871"/>
      <c r="JH227" s="1568"/>
      <c r="JI227" s="1568"/>
      <c r="JJ227" s="358"/>
      <c r="JK227" s="158"/>
      <c r="JL227" s="1857"/>
      <c r="JM227" s="358"/>
      <c r="JN227" s="358"/>
      <c r="JO227" s="2861"/>
      <c r="JP227" s="2870"/>
      <c r="JQ227" s="2873"/>
      <c r="JR227" s="1025"/>
      <c r="JS227" s="265"/>
      <c r="JT227" s="2872"/>
      <c r="JU227" s="2870"/>
      <c r="JV227" s="2874"/>
      <c r="JW227" s="358"/>
      <c r="JX227" s="2872"/>
      <c r="JY227" s="2861"/>
      <c r="JZ227" s="2860"/>
      <c r="KA227" s="357"/>
      <c r="KB227" s="358"/>
      <c r="KC227" s="2872"/>
      <c r="KD227" s="2861"/>
      <c r="KE227" s="2870"/>
      <c r="KF227" s="2875"/>
      <c r="KG227" s="358"/>
      <c r="KH227" s="2872"/>
      <c r="KI227" s="2861"/>
      <c r="KJ227" s="2870"/>
      <c r="KK227" s="2875"/>
      <c r="KL227" s="358"/>
      <c r="KM227" s="2872"/>
      <c r="KN227" s="2861"/>
      <c r="KO227" s="2860"/>
      <c r="KP227" s="357"/>
      <c r="KQ227" s="358"/>
      <c r="KR227" s="2872"/>
      <c r="KS227" s="2861"/>
      <c r="KT227" s="2870"/>
      <c r="KU227" s="3814"/>
      <c r="KV227" s="2861"/>
      <c r="KW227" s="2861"/>
      <c r="KX227" s="2861"/>
      <c r="KY227" s="2860"/>
      <c r="KZ227" s="357"/>
      <c r="LA227" s="358">
        <f t="shared" si="854"/>
        <v>0</v>
      </c>
      <c r="LB227" s="358">
        <f t="shared" si="854"/>
        <v>0</v>
      </c>
      <c r="LC227" s="358">
        <f t="shared" si="854"/>
        <v>0</v>
      </c>
      <c r="LD227" s="220"/>
      <c r="LE227" s="1854"/>
      <c r="LF227" s="1855"/>
      <c r="LG227" s="1855"/>
      <c r="LH227" s="1856"/>
      <c r="LI227" s="2866"/>
      <c r="LJ227" s="2863"/>
      <c r="LK227" s="2863"/>
      <c r="LL227" s="2864"/>
      <c r="LM227" s="1934"/>
      <c r="LN227" s="2878"/>
      <c r="LO227" s="2878"/>
      <c r="LP227" s="151"/>
      <c r="LQ227" s="2866"/>
      <c r="LR227" s="3813"/>
      <c r="LS227" s="3813"/>
      <c r="LT227" s="2867"/>
      <c r="LU227" s="1568"/>
      <c r="LV227" s="1567"/>
      <c r="LW227" s="2938"/>
      <c r="LX227" s="2938"/>
      <c r="LY227" s="1568"/>
      <c r="LZ227" s="2939"/>
      <c r="MA227" s="1567"/>
      <c r="MB227" s="2938"/>
      <c r="MC227" s="2938"/>
      <c r="MD227" s="1568"/>
      <c r="ME227" s="2939"/>
      <c r="MF227" s="1569"/>
      <c r="MG227" s="2938"/>
      <c r="MH227" s="2938"/>
      <c r="MI227" s="1568"/>
      <c r="MJ227" s="220"/>
      <c r="MK227" s="2940"/>
      <c r="ML227" s="2938"/>
      <c r="MM227" s="2938"/>
      <c r="MN227" s="1568"/>
      <c r="MO227" s="220"/>
      <c r="MP227" s="2940"/>
      <c r="MQ227" s="2938"/>
      <c r="MR227" s="2938"/>
      <c r="MS227" s="1568"/>
      <c r="MT227" s="220"/>
      <c r="MU227" s="1868"/>
      <c r="MV227" s="2941"/>
      <c r="MW227" s="2941"/>
      <c r="MX227" s="1575"/>
      <c r="MY227" s="83"/>
      <c r="MZ227" s="1868"/>
      <c r="NA227" s="2941"/>
      <c r="NB227" s="2941"/>
      <c r="NC227" s="1575"/>
      <c r="ND227" s="83"/>
      <c r="NE227" s="1868"/>
      <c r="NF227" s="2941"/>
      <c r="NG227" s="2941"/>
      <c r="NH227" s="1575"/>
      <c r="NI227" s="83"/>
      <c r="NJ227" s="1868"/>
      <c r="NK227" s="2941"/>
      <c r="NL227" s="2941"/>
      <c r="NM227" s="1575"/>
      <c r="NN227" s="83"/>
      <c r="NO227" s="1568"/>
      <c r="NP227" s="2938"/>
      <c r="NQ227" s="2938"/>
      <c r="NR227" s="1575"/>
      <c r="NS227" s="83"/>
      <c r="NT227" s="1568"/>
      <c r="NU227" s="2938"/>
      <c r="NV227" s="2938"/>
      <c r="NW227" s="1568"/>
      <c r="NX227" s="2673"/>
      <c r="NY227" s="1868"/>
      <c r="NZ227" s="2941"/>
      <c r="OA227" s="2941"/>
      <c r="OB227" s="2001"/>
      <c r="OC227" s="116"/>
      <c r="OD227" s="190"/>
      <c r="OE227" s="358"/>
      <c r="OF227" s="358"/>
      <c r="OG227" s="358"/>
      <c r="OH227" s="2673"/>
      <c r="OI227" s="3802">
        <f t="shared" si="857"/>
        <v>0</v>
      </c>
      <c r="OJ227" s="96">
        <f t="shared" si="858"/>
        <v>0</v>
      </c>
      <c r="OK227" s="96">
        <f t="shared" si="858"/>
        <v>0</v>
      </c>
      <c r="OL227" s="96">
        <f t="shared" si="858"/>
        <v>0</v>
      </c>
      <c r="OM227" s="114"/>
      <c r="ON227" s="358">
        <f t="shared" si="859"/>
        <v>0</v>
      </c>
      <c r="OO227" s="358">
        <f t="shared" si="860"/>
        <v>0</v>
      </c>
      <c r="OP227" s="358">
        <f t="shared" si="860"/>
        <v>0</v>
      </c>
      <c r="OQ227" s="359">
        <f t="shared" si="860"/>
        <v>0</v>
      </c>
      <c r="OR227" s="169"/>
      <c r="OS227" s="1022"/>
      <c r="OT227" s="1568"/>
      <c r="OU227" s="1568"/>
      <c r="OV227" s="1568"/>
      <c r="OW227" s="2950"/>
      <c r="OX227" s="357">
        <f t="shared" si="862"/>
        <v>0</v>
      </c>
      <c r="OY227" s="358">
        <f t="shared" si="863"/>
        <v>0</v>
      </c>
      <c r="OZ227" s="358">
        <f t="shared" si="863"/>
        <v>0</v>
      </c>
      <c r="PA227" s="359">
        <f t="shared" si="863"/>
        <v>0</v>
      </c>
      <c r="PB227" s="114"/>
      <c r="PC227" s="137"/>
      <c r="PD227" s="1567"/>
      <c r="PE227" s="2938">
        <v>0</v>
      </c>
      <c r="PF227" s="2938">
        <v>0</v>
      </c>
      <c r="PG227" s="1568"/>
      <c r="PH227" s="353"/>
      <c r="PI227" s="1567"/>
      <c r="PJ227" s="2938"/>
      <c r="PK227" s="2938"/>
      <c r="PL227" s="1568"/>
      <c r="PM227" s="2939"/>
      <c r="PN227" s="1569"/>
      <c r="PO227" s="2938"/>
      <c r="PP227" s="2938"/>
      <c r="PQ227" s="1568"/>
      <c r="PR227" s="220"/>
      <c r="PS227" s="2940"/>
      <c r="PT227" s="2938"/>
      <c r="PU227" s="2938"/>
      <c r="PV227" s="1568"/>
      <c r="PW227" s="220"/>
      <c r="PX227" s="2942"/>
      <c r="PY227" s="2943"/>
      <c r="PZ227" s="2943"/>
      <c r="QA227" s="358"/>
      <c r="QB227" s="151"/>
      <c r="QC227" s="1868"/>
      <c r="QD227" s="2941"/>
      <c r="QE227" s="2941"/>
      <c r="QF227" s="1575">
        <f>QE227-QD227</f>
        <v>0</v>
      </c>
      <c r="QG227" s="83"/>
      <c r="QH227" s="405"/>
      <c r="QI227" s="2941"/>
      <c r="QJ227" s="2941"/>
      <c r="QK227" s="2001"/>
      <c r="QL227" s="441"/>
      <c r="QM227" s="405">
        <v>2</v>
      </c>
      <c r="QN227" s="1575">
        <v>850000</v>
      </c>
      <c r="QO227" s="1575">
        <v>1200000</v>
      </c>
      <c r="QP227" s="2001">
        <f>QO227-QN227</f>
        <v>350000</v>
      </c>
      <c r="QQ227" s="2003">
        <f>QP227/QO227</f>
        <v>0.29166666666666669</v>
      </c>
      <c r="QR227" s="1868"/>
      <c r="QS227" s="2941"/>
      <c r="QT227" s="2941"/>
      <c r="QU227" s="1575"/>
      <c r="QV227" s="222"/>
      <c r="QW227" s="1568"/>
      <c r="QX227" s="2938"/>
      <c r="QY227" s="2938"/>
      <c r="QZ227" s="1575"/>
      <c r="RA227" s="83"/>
      <c r="RB227" s="1568"/>
      <c r="RC227" s="2938"/>
      <c r="RD227" s="2938"/>
      <c r="RE227" s="1568"/>
      <c r="RF227" s="2673"/>
      <c r="RG227" s="1567"/>
      <c r="RH227" s="2938"/>
      <c r="RI227" s="2938"/>
      <c r="RJ227" s="2001">
        <v>0</v>
      </c>
      <c r="RK227" s="801"/>
      <c r="RL227" s="3719">
        <v>0</v>
      </c>
      <c r="RM227" s="1568">
        <f t="shared" si="865"/>
        <v>850000</v>
      </c>
      <c r="RN227" s="1568">
        <f t="shared" si="865"/>
        <v>1200000</v>
      </c>
      <c r="RO227" s="1568">
        <f t="shared" si="865"/>
        <v>350000</v>
      </c>
      <c r="RP227" s="2673"/>
      <c r="RQ227" s="3802">
        <f t="shared" si="866"/>
        <v>0</v>
      </c>
      <c r="RR227" s="96">
        <f t="shared" si="867"/>
        <v>0</v>
      </c>
      <c r="RS227" s="96">
        <f t="shared" si="867"/>
        <v>0</v>
      </c>
      <c r="RT227" s="96">
        <f t="shared" si="867"/>
        <v>0</v>
      </c>
      <c r="RU227" s="114"/>
      <c r="RV227" s="358">
        <f t="shared" si="868"/>
        <v>0</v>
      </c>
      <c r="RW227" s="358">
        <f t="shared" si="869"/>
        <v>0</v>
      </c>
      <c r="RX227" s="358">
        <f t="shared" si="869"/>
        <v>0</v>
      </c>
      <c r="RY227" s="359">
        <f t="shared" si="869"/>
        <v>0</v>
      </c>
      <c r="RZ227" s="169"/>
      <c r="SA227" s="607"/>
      <c r="SB227" s="137">
        <f t="shared" si="848"/>
        <v>850000</v>
      </c>
      <c r="SC227" s="137">
        <f t="shared" si="848"/>
        <v>1200000</v>
      </c>
      <c r="SD227" s="3803">
        <f t="shared" si="848"/>
        <v>350000</v>
      </c>
      <c r="SE227" s="169">
        <f>SD227/SC227</f>
        <v>0.29166666666666669</v>
      </c>
      <c r="SF227" s="1339">
        <v>0</v>
      </c>
      <c r="SG227" s="358">
        <f t="shared" si="849"/>
        <v>0</v>
      </c>
      <c r="SH227" s="358">
        <f t="shared" si="849"/>
        <v>0</v>
      </c>
      <c r="SI227" s="359">
        <f t="shared" si="849"/>
        <v>0</v>
      </c>
      <c r="SJ227" s="2155">
        <v>0</v>
      </c>
      <c r="SK227" s="1568"/>
      <c r="SL227" s="1567"/>
      <c r="SM227" s="2938">
        <v>0</v>
      </c>
      <c r="SN227" s="2938">
        <v>0</v>
      </c>
      <c r="SO227" s="3534">
        <f t="shared" si="837"/>
        <v>0</v>
      </c>
      <c r="SP227" s="3525">
        <v>0</v>
      </c>
      <c r="SQ227" s="1567"/>
      <c r="SR227" s="2938">
        <v>0</v>
      </c>
      <c r="SS227" s="2938">
        <v>0</v>
      </c>
      <c r="ST227" s="1568">
        <v>0</v>
      </c>
      <c r="SU227" s="2939"/>
      <c r="SV227" s="1858"/>
      <c r="SW227" s="2943"/>
      <c r="SX227" s="2943"/>
      <c r="SY227" s="358"/>
      <c r="SZ227" s="151"/>
      <c r="TA227" s="2942"/>
      <c r="TB227" s="2943"/>
      <c r="TC227" s="2943"/>
      <c r="TD227" s="358">
        <v>0</v>
      </c>
      <c r="TE227" s="151"/>
      <c r="TF227" s="2942"/>
      <c r="TG227" s="2943"/>
      <c r="TH227" s="2943"/>
      <c r="TI227" s="358">
        <v>0</v>
      </c>
      <c r="TJ227" s="151"/>
      <c r="TK227" s="1868"/>
      <c r="TL227" s="2941"/>
      <c r="TM227" s="2941"/>
      <c r="TN227" s="1575">
        <f t="shared" si="838"/>
        <v>0</v>
      </c>
      <c r="TO227" s="83"/>
      <c r="TP227" s="4506"/>
      <c r="TQ227" s="2941"/>
      <c r="TR227" s="2941"/>
      <c r="TS227" s="2001"/>
      <c r="TT227" s="441"/>
      <c r="TU227" s="4506"/>
      <c r="TV227" s="1575"/>
      <c r="TW227" s="1575"/>
      <c r="TX227" s="2001">
        <f>TW227-TV227</f>
        <v>0</v>
      </c>
      <c r="TY227" s="2019" t="e">
        <f>TX227/TW227</f>
        <v>#DIV/0!</v>
      </c>
      <c r="TZ227" s="1868"/>
      <c r="UA227" s="2941"/>
      <c r="UB227" s="2941"/>
      <c r="UC227" s="1575"/>
      <c r="UD227" s="222"/>
      <c r="UE227" s="1568"/>
      <c r="UF227" s="2938"/>
      <c r="UG227" s="2938"/>
      <c r="UH227" s="1575"/>
      <c r="UI227" s="83"/>
      <c r="UJ227" s="1568"/>
      <c r="UK227" s="2938"/>
      <c r="UL227" s="2938"/>
      <c r="UM227" s="1568"/>
      <c r="UN227" s="2673"/>
      <c r="UO227" s="1567"/>
      <c r="UP227" s="2938"/>
      <c r="UQ227" s="2938"/>
      <c r="UR227" s="2001">
        <v>0</v>
      </c>
      <c r="US227" s="655"/>
      <c r="UT227" s="1339">
        <v>0</v>
      </c>
      <c r="UU227" s="358">
        <f t="shared" si="850"/>
        <v>0</v>
      </c>
      <c r="UV227" s="358">
        <f t="shared" si="850"/>
        <v>0</v>
      </c>
      <c r="UW227" s="358">
        <f t="shared" si="850"/>
        <v>0</v>
      </c>
      <c r="UX227" s="2281">
        <v>0</v>
      </c>
      <c r="UY227" s="1863">
        <f>(SL227+SQ227+SV227)/3</f>
        <v>0</v>
      </c>
      <c r="UZ227" s="105">
        <f t="shared" si="841"/>
        <v>0</v>
      </c>
      <c r="VA227" s="105">
        <f t="shared" si="841"/>
        <v>0</v>
      </c>
      <c r="VB227" s="105">
        <f t="shared" si="841"/>
        <v>0</v>
      </c>
      <c r="VC227" s="106"/>
      <c r="VD227" s="358">
        <f>(TA227+TF227+TK227)/3</f>
        <v>0</v>
      </c>
      <c r="VE227" s="358">
        <f t="shared" si="871"/>
        <v>0</v>
      </c>
      <c r="VF227" s="358">
        <f t="shared" si="871"/>
        <v>0</v>
      </c>
      <c r="VG227" s="359">
        <f t="shared" si="871"/>
        <v>0</v>
      </c>
      <c r="VH227" s="169"/>
      <c r="VI227" s="686"/>
      <c r="VJ227" s="146">
        <f t="shared" si="844"/>
        <v>0</v>
      </c>
      <c r="VK227" s="146">
        <f t="shared" si="844"/>
        <v>0</v>
      </c>
      <c r="VL227" s="1864">
        <f t="shared" si="844"/>
        <v>0</v>
      </c>
      <c r="VM227" s="1059">
        <v>0</v>
      </c>
      <c r="VN227" s="1339">
        <v>0</v>
      </c>
      <c r="VO227" s="358">
        <f t="shared" si="846"/>
        <v>0</v>
      </c>
      <c r="VP227" s="358">
        <f t="shared" si="846"/>
        <v>0</v>
      </c>
      <c r="VQ227" s="359">
        <f t="shared" si="846"/>
        <v>0</v>
      </c>
      <c r="VR227" s="2155">
        <v>0</v>
      </c>
    </row>
    <row r="228" spans="1:592" s="1193" customFormat="1" ht="13.6" hidden="1" customHeight="1" thickBot="1" x14ac:dyDescent="0.35">
      <c r="A228" s="1297"/>
      <c r="B228" s="113"/>
      <c r="C228" s="2843"/>
      <c r="D228" s="4067"/>
      <c r="E228" s="384"/>
      <c r="F228" s="384"/>
      <c r="G228" s="2161"/>
      <c r="H228" s="2845"/>
      <c r="I228" s="2846"/>
      <c r="J228" s="2846"/>
      <c r="K228" s="2846"/>
      <c r="L228" s="2847"/>
      <c r="M228" s="2845"/>
      <c r="N228" s="2846"/>
      <c r="O228" s="2846"/>
      <c r="P228" s="2846"/>
      <c r="Q228" s="2847"/>
      <c r="R228" s="2845"/>
      <c r="S228" s="2846"/>
      <c r="T228" s="2846"/>
      <c r="U228" s="2846"/>
      <c r="V228" s="2847"/>
      <c r="W228" s="2845"/>
      <c r="X228" s="2846"/>
      <c r="Y228" s="2846"/>
      <c r="Z228" s="2846"/>
      <c r="AA228" s="2848"/>
      <c r="AB228" s="2845"/>
      <c r="AC228" s="2846"/>
      <c r="AD228" s="2846"/>
      <c r="AE228" s="2846"/>
      <c r="AF228" s="2848"/>
      <c r="AG228" s="2846"/>
      <c r="AH228" s="2846"/>
      <c r="AI228" s="2846"/>
      <c r="AJ228" s="2846"/>
      <c r="AK228" s="2847"/>
      <c r="AL228" s="2846"/>
      <c r="AM228" s="2846"/>
      <c r="AN228" s="2846"/>
      <c r="AO228" s="2846"/>
      <c r="AP228" s="2847"/>
      <c r="AQ228" s="2846"/>
      <c r="AR228" s="2846"/>
      <c r="AS228" s="2846"/>
      <c r="AT228" s="2846"/>
      <c r="AU228" s="2847"/>
      <c r="AV228" s="2849"/>
      <c r="AW228" s="2846"/>
      <c r="AX228" s="2846"/>
      <c r="AY228" s="2846"/>
      <c r="AZ228" s="2848"/>
      <c r="BA228" s="2849"/>
      <c r="BB228" s="2846"/>
      <c r="BC228" s="2846"/>
      <c r="BD228" s="2846"/>
      <c r="BE228" s="2848"/>
      <c r="BF228" s="2849"/>
      <c r="BG228" s="2846"/>
      <c r="BH228" s="2846"/>
      <c r="BI228" s="2846"/>
      <c r="BJ228" s="2848"/>
      <c r="BK228" s="2849"/>
      <c r="BL228" s="2846"/>
      <c r="BM228" s="2846"/>
      <c r="BN228" s="2846"/>
      <c r="BO228" s="2848"/>
      <c r="BP228" s="2850"/>
      <c r="BQ228" s="2846"/>
      <c r="BR228" s="2846"/>
      <c r="BS228" s="2846"/>
      <c r="BT228" s="2851"/>
      <c r="BU228" s="2846"/>
      <c r="BV228" s="2846"/>
      <c r="BW228" s="2852"/>
      <c r="BX228" s="2851"/>
      <c r="BY228" s="2846"/>
      <c r="BZ228" s="2846"/>
      <c r="CA228" s="2853"/>
      <c r="CB228" s="2846"/>
      <c r="CC228" s="2846"/>
      <c r="CD228" s="2846"/>
      <c r="CE228" s="2846"/>
      <c r="CF228" s="2851"/>
      <c r="CG228" s="2846"/>
      <c r="CH228" s="2846"/>
      <c r="CI228" s="2853"/>
      <c r="CJ228" s="2854"/>
      <c r="CK228" s="2846"/>
      <c r="CL228" s="2846"/>
      <c r="CM228" s="2846"/>
      <c r="CN228" s="2852"/>
      <c r="CO228" s="2854"/>
      <c r="CP228" s="2845"/>
      <c r="CQ228" s="2845"/>
      <c r="CR228" s="2845"/>
      <c r="CS228" s="2852"/>
      <c r="CT228" s="2854"/>
      <c r="CU228" s="2846"/>
      <c r="CV228" s="2846"/>
      <c r="CW228" s="2846"/>
      <c r="CX228" s="2852"/>
      <c r="CY228" s="2854"/>
      <c r="CZ228" s="2846"/>
      <c r="DA228" s="2846"/>
      <c r="DB228" s="2846"/>
      <c r="DC228" s="2852"/>
      <c r="DD228" s="2854"/>
      <c r="DE228" s="2846"/>
      <c r="DF228" s="2846"/>
      <c r="DG228" s="2846"/>
      <c r="DH228" s="2855"/>
      <c r="DI228" s="2854"/>
      <c r="DJ228" s="2846"/>
      <c r="DK228" s="2846"/>
      <c r="DL228" s="2846"/>
      <c r="DM228" s="2855"/>
      <c r="DN228" s="2854"/>
      <c r="DO228" s="2846"/>
      <c r="DP228" s="2846"/>
      <c r="DQ228" s="2846"/>
      <c r="DR228" s="2855"/>
      <c r="DS228" s="2854"/>
      <c r="DT228" s="2846"/>
      <c r="DU228" s="2846"/>
      <c r="DV228" s="2846"/>
      <c r="DW228" s="2855"/>
      <c r="DX228" s="2854"/>
      <c r="DY228" s="2846"/>
      <c r="DZ228" s="2846"/>
      <c r="EA228" s="2846"/>
      <c r="EB228" s="2855"/>
      <c r="EC228" s="2854"/>
      <c r="ED228" s="2846"/>
      <c r="EE228" s="2846"/>
      <c r="EF228" s="2846"/>
      <c r="EG228" s="2855"/>
      <c r="EH228" s="1567"/>
      <c r="EI228" s="1568"/>
      <c r="EJ228" s="1568"/>
      <c r="EK228" s="1568"/>
      <c r="EL228" s="353"/>
      <c r="EM228" s="1857"/>
      <c r="EN228" s="358"/>
      <c r="EO228" s="358"/>
      <c r="EP228" s="358"/>
      <c r="EQ228" s="94"/>
      <c r="ER228" s="2856"/>
      <c r="ES228" s="2857"/>
      <c r="ET228" s="2857"/>
      <c r="EU228" s="2857"/>
      <c r="EV228" s="1867"/>
      <c r="EW228" s="1569"/>
      <c r="EX228" s="1569"/>
      <c r="EY228" s="1569"/>
      <c r="EZ228" s="210"/>
      <c r="FA228" s="1567"/>
      <c r="FB228" s="1569"/>
      <c r="FC228" s="1569"/>
      <c r="FD228" s="220"/>
      <c r="FE228" s="1569"/>
      <c r="FF228" s="1569"/>
      <c r="FG228" s="1569"/>
      <c r="FH228" s="210"/>
      <c r="FI228" s="580"/>
      <c r="FJ228" s="579"/>
      <c r="FK228" s="137"/>
      <c r="FL228" s="137"/>
      <c r="FM228" s="151"/>
      <c r="FN228" s="1569"/>
      <c r="FO228" s="1568"/>
      <c r="FP228" s="1568"/>
      <c r="FQ228" s="1568"/>
      <c r="FR228" s="408"/>
      <c r="FS228" s="2858"/>
      <c r="FT228" s="2859"/>
      <c r="FU228" s="2859"/>
      <c r="FV228" s="2859"/>
      <c r="FW228" s="2860"/>
      <c r="FX228" s="1567"/>
      <c r="FY228" s="1568"/>
      <c r="FZ228" s="1568"/>
      <c r="GA228" s="2859"/>
      <c r="GB228" s="2860"/>
      <c r="GC228" s="1567"/>
      <c r="GD228" s="1568"/>
      <c r="GE228" s="1568"/>
      <c r="GF228" s="358"/>
      <c r="GG228" s="94"/>
      <c r="GH228" s="1857"/>
      <c r="GI228" s="358"/>
      <c r="GJ228" s="358"/>
      <c r="GK228" s="2861"/>
      <c r="GL228" s="2860"/>
      <c r="GM228" s="1857"/>
      <c r="GN228" s="358"/>
      <c r="GO228" s="358"/>
      <c r="GP228" s="2861"/>
      <c r="GQ228" s="2860"/>
      <c r="GR228" s="358"/>
      <c r="GS228" s="358"/>
      <c r="GT228" s="358"/>
      <c r="GU228" s="2861"/>
      <c r="GV228" s="2860"/>
      <c r="GW228" s="358"/>
      <c r="GX228" s="358"/>
      <c r="GY228" s="358"/>
      <c r="GZ228" s="2861"/>
      <c r="HA228" s="2860"/>
      <c r="HB228" s="358"/>
      <c r="HC228" s="358"/>
      <c r="HD228" s="358"/>
      <c r="HE228" s="2861"/>
      <c r="HF228" s="2860"/>
      <c r="HG228" s="358"/>
      <c r="HH228" s="358"/>
      <c r="HI228" s="358"/>
      <c r="HJ228" s="2861"/>
      <c r="HK228" s="2860"/>
      <c r="HL228" s="358"/>
      <c r="HM228" s="358"/>
      <c r="HN228" s="358"/>
      <c r="HO228" s="2861"/>
      <c r="HP228" s="2860"/>
      <c r="HQ228" s="2861"/>
      <c r="HR228" s="2861"/>
      <c r="HS228" s="2861"/>
      <c r="HT228" s="2861"/>
      <c r="HU228" s="2870"/>
      <c r="HV228" s="3812"/>
      <c r="HW228" s="208"/>
      <c r="HX228" s="208"/>
      <c r="HY228" s="208"/>
      <c r="HZ228" s="2737"/>
      <c r="IA228" s="1934"/>
      <c r="IB228" s="1855"/>
      <c r="IC228" s="1855"/>
      <c r="ID228" s="1856"/>
      <c r="IE228" s="2863"/>
      <c r="IF228" s="2863"/>
      <c r="IG228" s="2863"/>
      <c r="IH228" s="2864"/>
      <c r="II228" s="2865"/>
      <c r="IJ228" s="3813"/>
      <c r="IK228" s="3813"/>
      <c r="IL228" s="2864"/>
      <c r="IM228" s="2866"/>
      <c r="IN228" s="3813"/>
      <c r="IO228" s="3813"/>
      <c r="IP228" s="2867"/>
      <c r="IQ228" s="1568"/>
      <c r="IR228" s="2868"/>
      <c r="IS228" s="2015"/>
      <c r="IT228" s="2015"/>
      <c r="IU228" s="2869"/>
      <c r="IV228" s="2870"/>
      <c r="IW228" s="2858"/>
      <c r="IX228" s="2859"/>
      <c r="IY228" s="2859"/>
      <c r="IZ228" s="2859"/>
      <c r="JA228" s="2870"/>
      <c r="JB228" s="2871"/>
      <c r="JC228" s="1568"/>
      <c r="JD228" s="1568"/>
      <c r="JE228" s="2859"/>
      <c r="JF228" s="2870"/>
      <c r="JG228" s="2871"/>
      <c r="JH228" s="1568"/>
      <c r="JI228" s="1568"/>
      <c r="JJ228" s="358"/>
      <c r="JK228" s="158"/>
      <c r="JL228" s="1857"/>
      <c r="JM228" s="358"/>
      <c r="JN228" s="358"/>
      <c r="JO228" s="2861"/>
      <c r="JP228" s="2870"/>
      <c r="JQ228" s="2873"/>
      <c r="JR228" s="1025"/>
      <c r="JS228" s="265"/>
      <c r="JT228" s="2872"/>
      <c r="JU228" s="2870"/>
      <c r="JV228" s="2874"/>
      <c r="JW228" s="358"/>
      <c r="JX228" s="2872"/>
      <c r="JY228" s="2861"/>
      <c r="JZ228" s="2860"/>
      <c r="KA228" s="357"/>
      <c r="KB228" s="358"/>
      <c r="KC228" s="2872"/>
      <c r="KD228" s="2861"/>
      <c r="KE228" s="2870"/>
      <c r="KF228" s="2875"/>
      <c r="KG228" s="358"/>
      <c r="KH228" s="2872"/>
      <c r="KI228" s="2861"/>
      <c r="KJ228" s="2870"/>
      <c r="KK228" s="2875"/>
      <c r="KL228" s="358"/>
      <c r="KM228" s="2872"/>
      <c r="KN228" s="2861"/>
      <c r="KO228" s="2860"/>
      <c r="KP228" s="357"/>
      <c r="KQ228" s="358"/>
      <c r="KR228" s="2872"/>
      <c r="KS228" s="2861"/>
      <c r="KT228" s="2870"/>
      <c r="KU228" s="3814"/>
      <c r="KV228" s="2861"/>
      <c r="KW228" s="2861"/>
      <c r="KX228" s="2861"/>
      <c r="KY228" s="2860"/>
      <c r="KZ228" s="357"/>
      <c r="LA228" s="358"/>
      <c r="LB228" s="358"/>
      <c r="LC228" s="358"/>
      <c r="LD228" s="220"/>
      <c r="LE228" s="1854"/>
      <c r="LF228" s="1855"/>
      <c r="LG228" s="1855"/>
      <c r="LH228" s="1856"/>
      <c r="LI228" s="2866"/>
      <c r="LJ228" s="2863"/>
      <c r="LK228" s="2863"/>
      <c r="LL228" s="2864"/>
      <c r="LM228" s="1934"/>
      <c r="LN228" s="2878"/>
      <c r="LO228" s="2878"/>
      <c r="LP228" s="151"/>
      <c r="LQ228" s="2866"/>
      <c r="LR228" s="3813"/>
      <c r="LS228" s="3813"/>
      <c r="LT228" s="2867"/>
      <c r="LU228" s="1568"/>
      <c r="LV228" s="1567"/>
      <c r="LW228" s="2938"/>
      <c r="LX228" s="2938"/>
      <c r="LY228" s="1568"/>
      <c r="LZ228" s="2939"/>
      <c r="MA228" s="1567"/>
      <c r="MB228" s="2938"/>
      <c r="MC228" s="2938"/>
      <c r="MD228" s="1568"/>
      <c r="ME228" s="2939"/>
      <c r="MF228" s="1569"/>
      <c r="MG228" s="2938"/>
      <c r="MH228" s="2938"/>
      <c r="MI228" s="1568"/>
      <c r="MJ228" s="220"/>
      <c r="MK228" s="2940"/>
      <c r="ML228" s="2938"/>
      <c r="MM228" s="2938"/>
      <c r="MN228" s="1568"/>
      <c r="MO228" s="220"/>
      <c r="MP228" s="2940"/>
      <c r="MQ228" s="2938"/>
      <c r="MR228" s="2938"/>
      <c r="MS228" s="1568"/>
      <c r="MT228" s="220"/>
      <c r="MU228" s="1868"/>
      <c r="MV228" s="2941"/>
      <c r="MW228" s="2941"/>
      <c r="MX228" s="1575"/>
      <c r="MY228" s="83"/>
      <c r="MZ228" s="1868"/>
      <c r="NA228" s="2941"/>
      <c r="NB228" s="2941"/>
      <c r="NC228" s="1575"/>
      <c r="ND228" s="83"/>
      <c r="NE228" s="1868"/>
      <c r="NF228" s="2941"/>
      <c r="NG228" s="2941"/>
      <c r="NH228" s="1575"/>
      <c r="NI228" s="83"/>
      <c r="NJ228" s="1868"/>
      <c r="NK228" s="2941"/>
      <c r="NL228" s="2941"/>
      <c r="NM228" s="1575"/>
      <c r="NN228" s="83"/>
      <c r="NO228" s="1568"/>
      <c r="NP228" s="2938"/>
      <c r="NQ228" s="2938"/>
      <c r="NR228" s="1575"/>
      <c r="NS228" s="83"/>
      <c r="NT228" s="1568"/>
      <c r="NU228" s="2938"/>
      <c r="NV228" s="2938"/>
      <c r="NW228" s="1568"/>
      <c r="NX228" s="2673"/>
      <c r="NY228" s="1868"/>
      <c r="NZ228" s="2941"/>
      <c r="OA228" s="2941"/>
      <c r="OB228" s="2001"/>
      <c r="OC228" s="116"/>
      <c r="OD228" s="190"/>
      <c r="OE228" s="358"/>
      <c r="OF228" s="358"/>
      <c r="OG228" s="358"/>
      <c r="OH228" s="2673"/>
      <c r="OI228" s="3802"/>
      <c r="OJ228" s="96"/>
      <c r="OK228" s="96"/>
      <c r="OL228" s="96"/>
      <c r="OM228" s="114"/>
      <c r="ON228" s="358"/>
      <c r="OO228" s="358"/>
      <c r="OP228" s="358"/>
      <c r="OQ228" s="359"/>
      <c r="OR228" s="169"/>
      <c r="OS228" s="1022"/>
      <c r="OT228" s="1568"/>
      <c r="OU228" s="1568"/>
      <c r="OV228" s="1568"/>
      <c r="OW228" s="2950"/>
      <c r="OX228" s="357"/>
      <c r="OY228" s="358"/>
      <c r="OZ228" s="358"/>
      <c r="PA228" s="359"/>
      <c r="PB228" s="114"/>
      <c r="PC228" s="137"/>
      <c r="PD228" s="1567"/>
      <c r="PE228" s="2938"/>
      <c r="PF228" s="2938"/>
      <c r="PG228" s="1568"/>
      <c r="PH228" s="353"/>
      <c r="PI228" s="1567"/>
      <c r="PJ228" s="2938"/>
      <c r="PK228" s="2938"/>
      <c r="PL228" s="1568"/>
      <c r="PM228" s="2939"/>
      <c r="PN228" s="1569"/>
      <c r="PO228" s="2938"/>
      <c r="PP228" s="2938"/>
      <c r="PQ228" s="1568"/>
      <c r="PR228" s="220"/>
      <c r="PS228" s="2940"/>
      <c r="PT228" s="2938"/>
      <c r="PU228" s="2938"/>
      <c r="PV228" s="1568"/>
      <c r="PW228" s="220"/>
      <c r="PX228" s="2942"/>
      <c r="PY228" s="2943"/>
      <c r="PZ228" s="2943"/>
      <c r="QA228" s="358"/>
      <c r="QB228" s="151"/>
      <c r="QC228" s="1868"/>
      <c r="QD228" s="2941"/>
      <c r="QE228" s="2941"/>
      <c r="QF228" s="1575"/>
      <c r="QG228" s="83"/>
      <c r="QH228" s="405"/>
      <c r="QI228" s="2941"/>
      <c r="QJ228" s="2941"/>
      <c r="QK228" s="2001"/>
      <c r="QL228" s="441"/>
      <c r="QM228" s="405"/>
      <c r="QN228" s="1575"/>
      <c r="QO228" s="1575"/>
      <c r="QP228" s="2001"/>
      <c r="QQ228" s="1576"/>
      <c r="QR228" s="1868"/>
      <c r="QS228" s="2941"/>
      <c r="QT228" s="2941"/>
      <c r="QU228" s="1575"/>
      <c r="QV228" s="222"/>
      <c r="QW228" s="1568"/>
      <c r="QX228" s="2938"/>
      <c r="QY228" s="2938"/>
      <c r="QZ228" s="1575"/>
      <c r="RA228" s="83"/>
      <c r="RB228" s="1568"/>
      <c r="RC228" s="2938"/>
      <c r="RD228" s="2938"/>
      <c r="RE228" s="1568"/>
      <c r="RF228" s="2673"/>
      <c r="RG228" s="1567"/>
      <c r="RH228" s="2938"/>
      <c r="RI228" s="2938"/>
      <c r="RJ228" s="2001"/>
      <c r="RK228" s="801"/>
      <c r="RL228" s="3718"/>
      <c r="RM228" s="1568"/>
      <c r="RN228" s="1568"/>
      <c r="RO228" s="1568"/>
      <c r="RP228" s="2673"/>
      <c r="RQ228" s="3802"/>
      <c r="RR228" s="96"/>
      <c r="RS228" s="96"/>
      <c r="RT228" s="96"/>
      <c r="RU228" s="114"/>
      <c r="RV228" s="358"/>
      <c r="RW228" s="358"/>
      <c r="RX228" s="358"/>
      <c r="RY228" s="359"/>
      <c r="RZ228" s="169"/>
      <c r="SA228" s="607"/>
      <c r="SB228" s="137"/>
      <c r="SC228" s="137"/>
      <c r="SD228" s="137"/>
      <c r="SE228" s="135"/>
      <c r="SF228" s="190"/>
      <c r="SG228" s="358">
        <f t="shared" si="849"/>
        <v>0</v>
      </c>
      <c r="SH228" s="358">
        <f t="shared" si="849"/>
        <v>0</v>
      </c>
      <c r="SI228" s="359">
        <f t="shared" si="849"/>
        <v>0</v>
      </c>
      <c r="SJ228" s="2155">
        <v>0</v>
      </c>
      <c r="SK228" s="1568"/>
      <c r="SL228" s="1567"/>
      <c r="SM228" s="2938"/>
      <c r="SN228" s="2938"/>
      <c r="SO228" s="3534">
        <f t="shared" si="837"/>
        <v>0</v>
      </c>
      <c r="SP228" s="3525">
        <v>0</v>
      </c>
      <c r="SQ228" s="1567"/>
      <c r="SR228" s="2938">
        <v>0</v>
      </c>
      <c r="SS228" s="2938">
        <v>0</v>
      </c>
      <c r="ST228" s="1568">
        <v>0</v>
      </c>
      <c r="SU228" s="2939"/>
      <c r="SV228" s="1858"/>
      <c r="SW228" s="2943"/>
      <c r="SX228" s="2943"/>
      <c r="SY228" s="358"/>
      <c r="SZ228" s="151"/>
      <c r="TA228" s="2942"/>
      <c r="TB228" s="2943"/>
      <c r="TC228" s="2943"/>
      <c r="TD228" s="358">
        <v>0</v>
      </c>
      <c r="TE228" s="151"/>
      <c r="TF228" s="2956"/>
      <c r="TG228" s="2957"/>
      <c r="TH228" s="2957"/>
      <c r="TI228" s="358">
        <v>0</v>
      </c>
      <c r="TJ228" s="201"/>
      <c r="TK228" s="2635"/>
      <c r="TL228" s="2954"/>
      <c r="TM228" s="2954"/>
      <c r="TN228" s="1575"/>
      <c r="TO228" s="375"/>
      <c r="TP228" s="4516"/>
      <c r="TQ228" s="2954"/>
      <c r="TR228" s="2954"/>
      <c r="TS228" s="2428"/>
      <c r="TT228" s="1497"/>
      <c r="TU228" s="4516"/>
      <c r="TV228" s="2150"/>
      <c r="TW228" s="2150"/>
      <c r="TX228" s="2428"/>
      <c r="TY228" s="2036"/>
      <c r="TZ228" s="2635"/>
      <c r="UA228" s="2954"/>
      <c r="UB228" s="2954"/>
      <c r="UC228" s="2150"/>
      <c r="UD228" s="2958"/>
      <c r="UE228" s="2641"/>
      <c r="UF228" s="2951"/>
      <c r="UG228" s="2951"/>
      <c r="UH228" s="2150"/>
      <c r="UI228" s="375"/>
      <c r="UJ228" s="2641"/>
      <c r="UK228" s="2951"/>
      <c r="UL228" s="2951"/>
      <c r="UM228" s="2641"/>
      <c r="UN228" s="2693"/>
      <c r="UO228" s="2883"/>
      <c r="UP228" s="2938"/>
      <c r="UQ228" s="2938"/>
      <c r="UR228" s="2001"/>
      <c r="US228" s="655"/>
      <c r="UT228" s="803"/>
      <c r="UU228" s="358"/>
      <c r="UV228" s="358"/>
      <c r="UW228" s="358"/>
      <c r="UX228" s="220"/>
      <c r="UY228" s="1863"/>
      <c r="UZ228" s="105"/>
      <c r="VA228" s="105"/>
      <c r="VB228" s="105"/>
      <c r="VC228" s="106"/>
      <c r="VD228" s="358"/>
      <c r="VE228" s="358"/>
      <c r="VF228" s="358"/>
      <c r="VG228" s="359"/>
      <c r="VH228" s="169"/>
      <c r="VI228" s="643"/>
      <c r="VJ228" s="644"/>
      <c r="VK228" s="644"/>
      <c r="VL228" s="644"/>
      <c r="VM228" s="74"/>
      <c r="VN228" s="803"/>
      <c r="VO228" s="358">
        <f t="shared" si="846"/>
        <v>0</v>
      </c>
      <c r="VP228" s="358">
        <f t="shared" si="846"/>
        <v>0</v>
      </c>
      <c r="VQ228" s="359">
        <f t="shared" si="846"/>
        <v>0</v>
      </c>
      <c r="VR228" s="2155">
        <v>0</v>
      </c>
    </row>
    <row r="229" spans="1:592" s="1193" customFormat="1" x14ac:dyDescent="0.3">
      <c r="A229" s="1297"/>
      <c r="B229" s="667"/>
      <c r="C229" s="4070"/>
      <c r="D229" s="4071"/>
      <c r="E229" s="4012"/>
      <c r="F229" s="4012"/>
      <c r="G229" s="4013"/>
      <c r="H229" s="4014"/>
      <c r="I229" s="4015"/>
      <c r="J229" s="4015"/>
      <c r="K229" s="4015"/>
      <c r="L229" s="4016"/>
      <c r="M229" s="4014"/>
      <c r="N229" s="4015"/>
      <c r="O229" s="4015"/>
      <c r="P229" s="4015"/>
      <c r="Q229" s="4016"/>
      <c r="R229" s="4014"/>
      <c r="S229" s="4015"/>
      <c r="T229" s="4015"/>
      <c r="U229" s="4015"/>
      <c r="V229" s="4016"/>
      <c r="W229" s="4014"/>
      <c r="X229" s="4015"/>
      <c r="Y229" s="4015"/>
      <c r="Z229" s="4015"/>
      <c r="AA229" s="4017"/>
      <c r="AB229" s="4014"/>
      <c r="AC229" s="4015"/>
      <c r="AD229" s="4015"/>
      <c r="AE229" s="4015"/>
      <c r="AF229" s="4017"/>
      <c r="AG229" s="4015"/>
      <c r="AH229" s="4015"/>
      <c r="AI229" s="4015"/>
      <c r="AJ229" s="4015"/>
      <c r="AK229" s="4016"/>
      <c r="AL229" s="4015"/>
      <c r="AM229" s="4015"/>
      <c r="AN229" s="4015"/>
      <c r="AO229" s="4015"/>
      <c r="AP229" s="4016"/>
      <c r="AQ229" s="4015"/>
      <c r="AR229" s="4015"/>
      <c r="AS229" s="4015"/>
      <c r="AT229" s="4015"/>
      <c r="AU229" s="4016"/>
      <c r="AV229" s="4018"/>
      <c r="AW229" s="4015"/>
      <c r="AX229" s="4015"/>
      <c r="AY229" s="4015"/>
      <c r="AZ229" s="4017"/>
      <c r="BA229" s="4018"/>
      <c r="BB229" s="4015"/>
      <c r="BC229" s="4015"/>
      <c r="BD229" s="4015"/>
      <c r="BE229" s="4017"/>
      <c r="BF229" s="4018"/>
      <c r="BG229" s="4015"/>
      <c r="BH229" s="4015"/>
      <c r="BI229" s="4015"/>
      <c r="BJ229" s="4017"/>
      <c r="BK229" s="4018"/>
      <c r="BL229" s="4015"/>
      <c r="BM229" s="4015"/>
      <c r="BN229" s="4015"/>
      <c r="BO229" s="4017"/>
      <c r="BP229" s="4019"/>
      <c r="BQ229" s="4015"/>
      <c r="BR229" s="4015"/>
      <c r="BS229" s="4015"/>
      <c r="BT229" s="4020"/>
      <c r="BU229" s="4015"/>
      <c r="BV229" s="4015"/>
      <c r="BW229" s="4021"/>
      <c r="BX229" s="4020"/>
      <c r="BY229" s="4015"/>
      <c r="BZ229" s="4015"/>
      <c r="CA229" s="4022"/>
      <c r="CB229" s="4015"/>
      <c r="CC229" s="4015"/>
      <c r="CD229" s="4015"/>
      <c r="CE229" s="4015"/>
      <c r="CF229" s="4020"/>
      <c r="CG229" s="4015"/>
      <c r="CH229" s="4015"/>
      <c r="CI229" s="4022"/>
      <c r="CJ229" s="4023"/>
      <c r="CK229" s="4015"/>
      <c r="CL229" s="4015"/>
      <c r="CM229" s="4015"/>
      <c r="CN229" s="4021"/>
      <c r="CO229" s="4023"/>
      <c r="CP229" s="4014"/>
      <c r="CQ229" s="4014"/>
      <c r="CR229" s="4014"/>
      <c r="CS229" s="4021"/>
      <c r="CT229" s="4023"/>
      <c r="CU229" s="4015"/>
      <c r="CV229" s="4015"/>
      <c r="CW229" s="4015"/>
      <c r="CX229" s="4021"/>
      <c r="CY229" s="4023"/>
      <c r="CZ229" s="4015"/>
      <c r="DA229" s="4015"/>
      <c r="DB229" s="4015"/>
      <c r="DC229" s="4021"/>
      <c r="DD229" s="4023"/>
      <c r="DE229" s="4015"/>
      <c r="DF229" s="4015"/>
      <c r="DG229" s="4015"/>
      <c r="DH229" s="4024"/>
      <c r="DI229" s="4023"/>
      <c r="DJ229" s="4015"/>
      <c r="DK229" s="4015"/>
      <c r="DL229" s="4015"/>
      <c r="DM229" s="4024"/>
      <c r="DN229" s="4023"/>
      <c r="DO229" s="4015"/>
      <c r="DP229" s="4015"/>
      <c r="DQ229" s="4015"/>
      <c r="DR229" s="4024"/>
      <c r="DS229" s="4023"/>
      <c r="DT229" s="4015"/>
      <c r="DU229" s="4015"/>
      <c r="DV229" s="4015"/>
      <c r="DW229" s="4024"/>
      <c r="DX229" s="4023"/>
      <c r="DY229" s="4015"/>
      <c r="DZ229" s="4015"/>
      <c r="EA229" s="4015"/>
      <c r="EB229" s="4024"/>
      <c r="EC229" s="4023"/>
      <c r="ED229" s="4015"/>
      <c r="EE229" s="4015"/>
      <c r="EF229" s="4015"/>
      <c r="EG229" s="4024"/>
      <c r="EH229" s="2883"/>
      <c r="EI229" s="2641"/>
      <c r="EJ229" s="2641"/>
      <c r="EK229" s="2641"/>
      <c r="EL229" s="4025"/>
      <c r="EM229" s="2142"/>
      <c r="EN229" s="1585"/>
      <c r="EO229" s="1585"/>
      <c r="EP229" s="1585"/>
      <c r="EQ229" s="225"/>
      <c r="ER229" s="4026"/>
      <c r="ES229" s="4027"/>
      <c r="ET229" s="4027"/>
      <c r="EU229" s="4027"/>
      <c r="EV229" s="2639"/>
      <c r="EW229" s="2884"/>
      <c r="EX229" s="2884"/>
      <c r="EY229" s="2884"/>
      <c r="EZ229" s="4028"/>
      <c r="FA229" s="2883"/>
      <c r="FB229" s="2884"/>
      <c r="FC229" s="2884"/>
      <c r="FD229" s="1600"/>
      <c r="FE229" s="2884"/>
      <c r="FF229" s="2884"/>
      <c r="FG229" s="2884"/>
      <c r="FH229" s="4028"/>
      <c r="FI229" s="665"/>
      <c r="FJ229" s="3760"/>
      <c r="FK229" s="227"/>
      <c r="FL229" s="227"/>
      <c r="FM229" s="201"/>
      <c r="FN229" s="2884"/>
      <c r="FO229" s="2641"/>
      <c r="FP229" s="2641"/>
      <c r="FQ229" s="2641"/>
      <c r="FR229" s="4029"/>
      <c r="FS229" s="4030"/>
      <c r="FT229" s="4031"/>
      <c r="FU229" s="4031"/>
      <c r="FV229" s="4031"/>
      <c r="FW229" s="4032"/>
      <c r="FX229" s="2883"/>
      <c r="FY229" s="2641"/>
      <c r="FZ229" s="2641"/>
      <c r="GA229" s="4031"/>
      <c r="GB229" s="4032"/>
      <c r="GC229" s="2883"/>
      <c r="GD229" s="2641"/>
      <c r="GE229" s="2641"/>
      <c r="GF229" s="1585"/>
      <c r="GG229" s="225"/>
      <c r="GH229" s="2142"/>
      <c r="GI229" s="1585"/>
      <c r="GJ229" s="1585"/>
      <c r="GK229" s="4033"/>
      <c r="GL229" s="4032"/>
      <c r="GM229" s="2142"/>
      <c r="GN229" s="1585"/>
      <c r="GO229" s="1585"/>
      <c r="GP229" s="4033"/>
      <c r="GQ229" s="4032"/>
      <c r="GR229" s="1585"/>
      <c r="GS229" s="1585"/>
      <c r="GT229" s="1585"/>
      <c r="GU229" s="4033"/>
      <c r="GV229" s="4032"/>
      <c r="GW229" s="1585"/>
      <c r="GX229" s="1585"/>
      <c r="GY229" s="1585"/>
      <c r="GZ229" s="4033"/>
      <c r="HA229" s="4032"/>
      <c r="HB229" s="1585"/>
      <c r="HC229" s="1585"/>
      <c r="HD229" s="1585"/>
      <c r="HE229" s="4033"/>
      <c r="HF229" s="4032"/>
      <c r="HG229" s="1585"/>
      <c r="HH229" s="1585"/>
      <c r="HI229" s="1585"/>
      <c r="HJ229" s="4033"/>
      <c r="HK229" s="4032"/>
      <c r="HL229" s="1585"/>
      <c r="HM229" s="1585"/>
      <c r="HN229" s="1585"/>
      <c r="HO229" s="4033"/>
      <c r="HP229" s="4032"/>
      <c r="HQ229" s="4033"/>
      <c r="HR229" s="4033"/>
      <c r="HS229" s="4033"/>
      <c r="HT229" s="4033"/>
      <c r="HU229" s="4049"/>
      <c r="HV229" s="4037"/>
      <c r="HW229" s="435"/>
      <c r="HX229" s="435"/>
      <c r="HY229" s="435"/>
      <c r="HZ229" s="4038"/>
      <c r="IA229" s="4039"/>
      <c r="IB229" s="2140"/>
      <c r="IC229" s="2140"/>
      <c r="ID229" s="2141"/>
      <c r="IE229" s="4040"/>
      <c r="IF229" s="4040"/>
      <c r="IG229" s="4040"/>
      <c r="IH229" s="4041"/>
      <c r="II229" s="4042"/>
      <c r="IJ229" s="4043"/>
      <c r="IK229" s="4043"/>
      <c r="IL229" s="4041"/>
      <c r="IM229" s="4044"/>
      <c r="IN229" s="4043"/>
      <c r="IO229" s="4043"/>
      <c r="IP229" s="4045"/>
      <c r="IQ229" s="2641"/>
      <c r="IR229" s="4046"/>
      <c r="IS229" s="4047"/>
      <c r="IT229" s="4047"/>
      <c r="IU229" s="4048"/>
      <c r="IV229" s="4049"/>
      <c r="IW229" s="4030"/>
      <c r="IX229" s="4031"/>
      <c r="IY229" s="4031"/>
      <c r="IZ229" s="4031"/>
      <c r="JA229" s="4049"/>
      <c r="JB229" s="4050"/>
      <c r="JC229" s="2641"/>
      <c r="JD229" s="2641"/>
      <c r="JE229" s="4031"/>
      <c r="JF229" s="4049"/>
      <c r="JG229" s="4050"/>
      <c r="JH229" s="2641"/>
      <c r="JI229" s="2641"/>
      <c r="JJ229" s="1585"/>
      <c r="JK229" s="4072"/>
      <c r="JL229" s="2142"/>
      <c r="JM229" s="1585"/>
      <c r="JN229" s="1585"/>
      <c r="JO229" s="4033"/>
      <c r="JP229" s="4049"/>
      <c r="JQ229" s="4051"/>
      <c r="JR229" s="4052"/>
      <c r="JS229" s="1626"/>
      <c r="JT229" s="2885"/>
      <c r="JU229" s="4049"/>
      <c r="JV229" s="4053"/>
      <c r="JW229" s="1585"/>
      <c r="JX229" s="2885"/>
      <c r="JY229" s="4033"/>
      <c r="JZ229" s="4032"/>
      <c r="KA229" s="2633"/>
      <c r="KB229" s="1585"/>
      <c r="KC229" s="2885"/>
      <c r="KD229" s="4033"/>
      <c r="KE229" s="4049"/>
      <c r="KF229" s="2949"/>
      <c r="KG229" s="1585"/>
      <c r="KH229" s="2885"/>
      <c r="KI229" s="4033"/>
      <c r="KJ229" s="4049"/>
      <c r="KK229" s="2949"/>
      <c r="KL229" s="1585"/>
      <c r="KM229" s="2885"/>
      <c r="KN229" s="4033"/>
      <c r="KO229" s="4032"/>
      <c r="KP229" s="2470"/>
      <c r="KQ229" s="455"/>
      <c r="KR229" s="2959"/>
      <c r="KS229" s="4033"/>
      <c r="KT229" s="4049"/>
      <c r="KU229" s="4058"/>
      <c r="KV229" s="4033"/>
      <c r="KW229" s="4033"/>
      <c r="KX229" s="4033"/>
      <c r="KY229" s="4032"/>
      <c r="KZ229" s="2470"/>
      <c r="LA229" s="358">
        <f t="shared" si="854"/>
        <v>0</v>
      </c>
      <c r="LB229" s="358">
        <f t="shared" si="854"/>
        <v>0</v>
      </c>
      <c r="LC229" s="358">
        <f t="shared" si="854"/>
        <v>0</v>
      </c>
      <c r="LD229" s="220"/>
      <c r="LE229" s="2139"/>
      <c r="LF229" s="2140"/>
      <c r="LG229" s="2140"/>
      <c r="LH229" s="2141"/>
      <c r="LI229" s="4044"/>
      <c r="LJ229" s="4040"/>
      <c r="LK229" s="4040"/>
      <c r="LL229" s="4041"/>
      <c r="LM229" s="1934"/>
      <c r="LN229" s="2878"/>
      <c r="LO229" s="2878"/>
      <c r="LP229" s="151"/>
      <c r="LQ229" s="4044"/>
      <c r="LR229" s="4043"/>
      <c r="LS229" s="4043"/>
      <c r="LT229" s="4045"/>
      <c r="LU229" s="2641"/>
      <c r="LV229" s="2883"/>
      <c r="LW229" s="2951"/>
      <c r="LX229" s="2951"/>
      <c r="LY229" s="2641"/>
      <c r="LZ229" s="2952"/>
      <c r="MA229" s="2883"/>
      <c r="MB229" s="2951"/>
      <c r="MC229" s="2951"/>
      <c r="MD229" s="2641"/>
      <c r="ME229" s="2952"/>
      <c r="MF229" s="2884"/>
      <c r="MG229" s="2951"/>
      <c r="MH229" s="2951"/>
      <c r="MI229" s="2641"/>
      <c r="MJ229" s="1600"/>
      <c r="MK229" s="2953"/>
      <c r="ML229" s="2951"/>
      <c r="MM229" s="2951"/>
      <c r="MN229" s="2641"/>
      <c r="MO229" s="1600"/>
      <c r="MP229" s="2953"/>
      <c r="MQ229" s="2951"/>
      <c r="MR229" s="2951"/>
      <c r="MS229" s="2641"/>
      <c r="MT229" s="1600"/>
      <c r="MU229" s="2477"/>
      <c r="MV229" s="2960"/>
      <c r="MW229" s="2960"/>
      <c r="MX229" s="2469"/>
      <c r="MY229" s="2479"/>
      <c r="MZ229" s="2477"/>
      <c r="NA229" s="2960"/>
      <c r="NB229" s="2960"/>
      <c r="NC229" s="2469"/>
      <c r="ND229" s="2479"/>
      <c r="NE229" s="2477"/>
      <c r="NF229" s="2960"/>
      <c r="NG229" s="2960"/>
      <c r="NH229" s="2469"/>
      <c r="NI229" s="2479"/>
      <c r="NJ229" s="2477"/>
      <c r="NK229" s="2960"/>
      <c r="NL229" s="2960"/>
      <c r="NM229" s="2469"/>
      <c r="NN229" s="2479"/>
      <c r="NO229" s="2641"/>
      <c r="NP229" s="2951"/>
      <c r="NQ229" s="2951"/>
      <c r="NR229" s="2469"/>
      <c r="NS229" s="2479"/>
      <c r="NT229" s="2641"/>
      <c r="NU229" s="2951"/>
      <c r="NV229" s="2951"/>
      <c r="NW229" s="2641"/>
      <c r="NX229" s="2693"/>
      <c r="NY229" s="2477"/>
      <c r="NZ229" s="2960"/>
      <c r="OA229" s="2960"/>
      <c r="OB229" s="2961"/>
      <c r="OC229" s="427"/>
      <c r="OD229" s="192"/>
      <c r="OE229" s="455"/>
      <c r="OF229" s="455"/>
      <c r="OG229" s="455"/>
      <c r="OH229" s="2472"/>
      <c r="OI229" s="3802">
        <f t="shared" si="857"/>
        <v>0</v>
      </c>
      <c r="OJ229" s="96">
        <f t="shared" si="858"/>
        <v>0</v>
      </c>
      <c r="OK229" s="96">
        <f t="shared" si="858"/>
        <v>0</v>
      </c>
      <c r="OL229" s="96">
        <f t="shared" si="858"/>
        <v>0</v>
      </c>
      <c r="OM229" s="114"/>
      <c r="ON229" s="358">
        <f t="shared" si="859"/>
        <v>0</v>
      </c>
      <c r="OO229" s="358">
        <f t="shared" si="860"/>
        <v>0</v>
      </c>
      <c r="OP229" s="358">
        <f t="shared" si="860"/>
        <v>0</v>
      </c>
      <c r="OQ229" s="359">
        <f t="shared" si="860"/>
        <v>0</v>
      </c>
      <c r="OR229" s="169"/>
      <c r="OS229" s="2889"/>
      <c r="OT229" s="2641"/>
      <c r="OU229" s="2641"/>
      <c r="OV229" s="2641"/>
      <c r="OW229" s="2955"/>
      <c r="OX229" s="357">
        <f t="shared" si="862"/>
        <v>0</v>
      </c>
      <c r="OY229" s="358">
        <f t="shared" si="863"/>
        <v>0</v>
      </c>
      <c r="OZ229" s="358">
        <f t="shared" si="863"/>
        <v>0</v>
      </c>
      <c r="PA229" s="359">
        <f t="shared" si="863"/>
        <v>0</v>
      </c>
      <c r="PB229" s="114"/>
      <c r="PC229" s="227"/>
      <c r="PD229" s="2883"/>
      <c r="PE229" s="2938">
        <v>0</v>
      </c>
      <c r="PF229" s="2938">
        <v>0</v>
      </c>
      <c r="PG229" s="2641"/>
      <c r="PH229" s="353"/>
      <c r="PI229" s="2883"/>
      <c r="PJ229" s="2951"/>
      <c r="PK229" s="2951"/>
      <c r="PL229" s="2641"/>
      <c r="PM229" s="2952"/>
      <c r="PN229" s="2884"/>
      <c r="PO229" s="2951"/>
      <c r="PP229" s="2951"/>
      <c r="PQ229" s="2641"/>
      <c r="PR229" s="1600"/>
      <c r="PS229" s="2953"/>
      <c r="PT229" s="2951"/>
      <c r="PU229" s="2951"/>
      <c r="PV229" s="2641"/>
      <c r="PW229" s="1600"/>
      <c r="PX229" s="2956"/>
      <c r="PY229" s="2957"/>
      <c r="PZ229" s="2957"/>
      <c r="QA229" s="1585"/>
      <c r="QB229" s="201"/>
      <c r="QC229" s="2477"/>
      <c r="QD229" s="2960"/>
      <c r="QE229" s="2960"/>
      <c r="QF229" s="2469"/>
      <c r="QG229" s="2479"/>
      <c r="QH229" s="2480"/>
      <c r="QI229" s="2960"/>
      <c r="QJ229" s="2960"/>
      <c r="QK229" s="2469"/>
      <c r="QL229" s="2479"/>
      <c r="QM229" s="2480"/>
      <c r="QN229" s="2960"/>
      <c r="QO229" s="2960"/>
      <c r="QP229" s="2469"/>
      <c r="QQ229" s="2479"/>
      <c r="QR229" s="2477"/>
      <c r="QS229" s="2960"/>
      <c r="QT229" s="2960"/>
      <c r="QU229" s="2469"/>
      <c r="QV229" s="2481"/>
      <c r="QW229" s="2641"/>
      <c r="QX229" s="2951"/>
      <c r="QY229" s="2951"/>
      <c r="QZ229" s="2469"/>
      <c r="RA229" s="2479"/>
      <c r="RB229" s="2641"/>
      <c r="RC229" s="2951"/>
      <c r="RD229" s="2951"/>
      <c r="RE229" s="2641"/>
      <c r="RF229" s="2693"/>
      <c r="RG229" s="2883"/>
      <c r="RH229" s="2938"/>
      <c r="RI229" s="2938"/>
      <c r="RJ229" s="2001"/>
      <c r="RK229" s="4073"/>
      <c r="RL229" s="3720">
        <f t="shared" si="864"/>
        <v>0</v>
      </c>
      <c r="RM229" s="456">
        <f t="shared" si="865"/>
        <v>0</v>
      </c>
      <c r="RN229" s="456">
        <f t="shared" si="865"/>
        <v>0</v>
      </c>
      <c r="RO229" s="456">
        <f t="shared" si="865"/>
        <v>0</v>
      </c>
      <c r="RP229" s="2472"/>
      <c r="RQ229" s="3802">
        <f t="shared" si="866"/>
        <v>0</v>
      </c>
      <c r="RR229" s="96">
        <f t="shared" si="867"/>
        <v>0</v>
      </c>
      <c r="RS229" s="96">
        <f t="shared" si="867"/>
        <v>0</v>
      </c>
      <c r="RT229" s="96">
        <f t="shared" si="867"/>
        <v>0</v>
      </c>
      <c r="RU229" s="114"/>
      <c r="RV229" s="358">
        <f t="shared" si="868"/>
        <v>0</v>
      </c>
      <c r="RW229" s="358">
        <f t="shared" si="869"/>
        <v>0</v>
      </c>
      <c r="RX229" s="358">
        <f t="shared" si="869"/>
        <v>0</v>
      </c>
      <c r="RY229" s="359">
        <f t="shared" si="869"/>
        <v>0</v>
      </c>
      <c r="RZ229" s="169"/>
      <c r="SA229" s="2889"/>
      <c r="SB229" s="2641"/>
      <c r="SC229" s="2641"/>
      <c r="SD229" s="2641"/>
      <c r="SE229" s="2955"/>
      <c r="SF229" s="192">
        <f t="shared" si="870"/>
        <v>0</v>
      </c>
      <c r="SG229" s="358">
        <f>QX229+RC229+RH229</f>
        <v>0</v>
      </c>
      <c r="SH229" s="358">
        <f>QY229+RD229+RI229</f>
        <v>0</v>
      </c>
      <c r="SI229" s="359">
        <f>QZ229+RE229+RJ229</f>
        <v>0</v>
      </c>
      <c r="SJ229" s="2155">
        <v>0</v>
      </c>
      <c r="SK229" s="2641"/>
      <c r="SL229" s="2883"/>
      <c r="SM229" s="2938">
        <v>0</v>
      </c>
      <c r="SN229" s="2938">
        <v>0</v>
      </c>
      <c r="SO229" s="3534">
        <f t="shared" si="837"/>
        <v>0</v>
      </c>
      <c r="SP229" s="3525">
        <v>0</v>
      </c>
      <c r="SQ229" s="2883"/>
      <c r="SR229" s="2938">
        <v>0</v>
      </c>
      <c r="SS229" s="2938">
        <v>0</v>
      </c>
      <c r="ST229" s="1568">
        <v>0</v>
      </c>
      <c r="SU229" s="2952"/>
      <c r="SV229" s="2143"/>
      <c r="SW229" s="2957"/>
      <c r="SX229" s="2957"/>
      <c r="SY229" s="1585"/>
      <c r="SZ229" s="201"/>
      <c r="TA229" s="2956"/>
      <c r="TB229" s="2957"/>
      <c r="TC229" s="2957"/>
      <c r="TD229" s="1585"/>
      <c r="TE229" s="201"/>
      <c r="TF229" s="2956"/>
      <c r="TG229" s="2957"/>
      <c r="TH229" s="2957"/>
      <c r="TI229" s="1585"/>
      <c r="TJ229" s="201"/>
      <c r="TK229" s="2477"/>
      <c r="TL229" s="2960"/>
      <c r="TM229" s="2960"/>
      <c r="TN229" s="2469"/>
      <c r="TO229" s="2479"/>
      <c r="TP229" s="4465"/>
      <c r="TQ229" s="2960"/>
      <c r="TR229" s="2960"/>
      <c r="TS229" s="2469"/>
      <c r="TT229" s="2479"/>
      <c r="TU229" s="4465"/>
      <c r="TV229" s="2960"/>
      <c r="TW229" s="2960"/>
      <c r="TX229" s="2469"/>
      <c r="TY229" s="2479"/>
      <c r="TZ229" s="2477"/>
      <c r="UA229" s="2960"/>
      <c r="UB229" s="2960"/>
      <c r="UC229" s="2469"/>
      <c r="UD229" s="2481"/>
      <c r="UE229" s="2641"/>
      <c r="UF229" s="2951"/>
      <c r="UG229" s="2951"/>
      <c r="UH229" s="2469"/>
      <c r="UI229" s="2479"/>
      <c r="UJ229" s="2641"/>
      <c r="UK229" s="2951"/>
      <c r="UL229" s="2951"/>
      <c r="UM229" s="2641"/>
      <c r="UN229" s="2693"/>
      <c r="UO229" s="2883"/>
      <c r="UP229" s="2938"/>
      <c r="UQ229" s="2938"/>
      <c r="UR229" s="2001"/>
      <c r="US229" s="655"/>
      <c r="UT229" s="192"/>
      <c r="UU229" s="455"/>
      <c r="UV229" s="455"/>
      <c r="UW229" s="455"/>
      <c r="UX229" s="220"/>
      <c r="UY229" s="1863">
        <f>(SL229+SQ229+SV229)/3</f>
        <v>0</v>
      </c>
      <c r="UZ229" s="105">
        <f>SM229+SR229+SW229</f>
        <v>0</v>
      </c>
      <c r="VA229" s="105">
        <f>SN229+SS229+SX229</f>
        <v>0</v>
      </c>
      <c r="VB229" s="105">
        <f>SO229+ST229+SY229</f>
        <v>0</v>
      </c>
      <c r="VC229" s="106"/>
      <c r="VD229" s="358">
        <f>(TA229+TF229+TK229)/3</f>
        <v>0</v>
      </c>
      <c r="VE229" s="358">
        <f>TB229+TG229+TL229</f>
        <v>0</v>
      </c>
      <c r="VF229" s="358">
        <f>TC229+TH229+TM229</f>
        <v>0</v>
      </c>
      <c r="VG229" s="359">
        <f>TD229+TI229+TN229</f>
        <v>0</v>
      </c>
      <c r="VH229" s="169"/>
      <c r="VI229" s="2889"/>
      <c r="VJ229" s="2641"/>
      <c r="VK229" s="2641"/>
      <c r="VL229" s="2641"/>
      <c r="VM229" s="2955"/>
      <c r="VN229" s="192">
        <f>(VI229+VD229+UY229+UT229+UO229+UJ229+UE229+TZ229+TU229+TP229+TK229+TF229)/12</f>
        <v>0</v>
      </c>
      <c r="VO229" s="358">
        <f t="shared" si="846"/>
        <v>0</v>
      </c>
      <c r="VP229" s="358">
        <f t="shared" si="846"/>
        <v>0</v>
      </c>
      <c r="VQ229" s="359">
        <f t="shared" si="846"/>
        <v>0</v>
      </c>
      <c r="VR229" s="2155">
        <v>0</v>
      </c>
    </row>
    <row r="230" spans="1:592" s="1193" customFormat="1" ht="16.149999999999999" customHeight="1" x14ac:dyDescent="0.3">
      <c r="A230" s="1297"/>
      <c r="B230" s="4074"/>
      <c r="C230" s="2962" t="s">
        <v>887</v>
      </c>
      <c r="D230" s="4075"/>
      <c r="E230" s="4076"/>
      <c r="F230" s="4076"/>
      <c r="G230" s="2978"/>
      <c r="H230" s="2963"/>
      <c r="I230" s="2964"/>
      <c r="J230" s="2964"/>
      <c r="K230" s="2964"/>
      <c r="L230" s="2965"/>
      <c r="M230" s="2963"/>
      <c r="N230" s="2964"/>
      <c r="O230" s="2964"/>
      <c r="P230" s="2964"/>
      <c r="Q230" s="2965"/>
      <c r="R230" s="2963"/>
      <c r="S230" s="2964"/>
      <c r="T230" s="2964"/>
      <c r="U230" s="2964"/>
      <c r="V230" s="2965"/>
      <c r="W230" s="2963"/>
      <c r="X230" s="2964"/>
      <c r="Y230" s="2964"/>
      <c r="Z230" s="2964"/>
      <c r="AA230" s="2966"/>
      <c r="AB230" s="2963"/>
      <c r="AC230" s="2964"/>
      <c r="AD230" s="2964"/>
      <c r="AE230" s="2964"/>
      <c r="AF230" s="2966"/>
      <c r="AG230" s="2964"/>
      <c r="AH230" s="2964"/>
      <c r="AI230" s="2964"/>
      <c r="AJ230" s="2964"/>
      <c r="AK230" s="2965"/>
      <c r="AL230" s="2964"/>
      <c r="AM230" s="2964"/>
      <c r="AN230" s="2964"/>
      <c r="AO230" s="2964"/>
      <c r="AP230" s="2965"/>
      <c r="AQ230" s="2964"/>
      <c r="AR230" s="2964"/>
      <c r="AS230" s="2964"/>
      <c r="AT230" s="2964"/>
      <c r="AU230" s="2965"/>
      <c r="AV230" s="2967"/>
      <c r="AW230" s="2964"/>
      <c r="AX230" s="2964"/>
      <c r="AY230" s="2964"/>
      <c r="AZ230" s="2966"/>
      <c r="BA230" s="2967"/>
      <c r="BB230" s="2964"/>
      <c r="BC230" s="2964"/>
      <c r="BD230" s="2964"/>
      <c r="BE230" s="2966"/>
      <c r="BF230" s="2967"/>
      <c r="BG230" s="2964"/>
      <c r="BH230" s="2964"/>
      <c r="BI230" s="2964"/>
      <c r="BJ230" s="2966"/>
      <c r="BK230" s="2967"/>
      <c r="BL230" s="2964"/>
      <c r="BM230" s="2964"/>
      <c r="BN230" s="2964"/>
      <c r="BO230" s="2966"/>
      <c r="BP230" s="2968"/>
      <c r="BQ230" s="2964"/>
      <c r="BR230" s="2964"/>
      <c r="BS230" s="2964"/>
      <c r="BT230" s="2969"/>
      <c r="BU230" s="2964"/>
      <c r="BV230" s="2964"/>
      <c r="BW230" s="2970"/>
      <c r="BX230" s="2969"/>
      <c r="BY230" s="2964"/>
      <c r="BZ230" s="2964"/>
      <c r="CA230" s="2971"/>
      <c r="CB230" s="2964"/>
      <c r="CC230" s="2964"/>
      <c r="CD230" s="2964"/>
      <c r="CE230" s="2964"/>
      <c r="CF230" s="2969"/>
      <c r="CG230" s="2964"/>
      <c r="CH230" s="2964"/>
      <c r="CI230" s="2971"/>
      <c r="CJ230" s="2972"/>
      <c r="CK230" s="2964"/>
      <c r="CL230" s="2964"/>
      <c r="CM230" s="2964"/>
      <c r="CN230" s="2970"/>
      <c r="CO230" s="2972"/>
      <c r="CP230" s="2963"/>
      <c r="CQ230" s="2963"/>
      <c r="CR230" s="2963"/>
      <c r="CS230" s="2970"/>
      <c r="CT230" s="2972"/>
      <c r="CU230" s="2964"/>
      <c r="CV230" s="2964"/>
      <c r="CW230" s="2964"/>
      <c r="CX230" s="2970"/>
      <c r="CY230" s="2972"/>
      <c r="CZ230" s="2964"/>
      <c r="DA230" s="2964"/>
      <c r="DB230" s="2964"/>
      <c r="DC230" s="2970"/>
      <c r="DD230" s="2972"/>
      <c r="DE230" s="2964"/>
      <c r="DF230" s="2964"/>
      <c r="DG230" s="2964"/>
      <c r="DH230" s="2973"/>
      <c r="DI230" s="2972"/>
      <c r="DJ230" s="2964"/>
      <c r="DK230" s="2964"/>
      <c r="DL230" s="2964"/>
      <c r="DM230" s="2973"/>
      <c r="DN230" s="2972"/>
      <c r="DO230" s="2964"/>
      <c r="DP230" s="2964"/>
      <c r="DQ230" s="2964"/>
      <c r="DR230" s="2973"/>
      <c r="DS230" s="2972"/>
      <c r="DT230" s="2964"/>
      <c r="DU230" s="2964"/>
      <c r="DV230" s="2964"/>
      <c r="DW230" s="2973"/>
      <c r="DX230" s="2972"/>
      <c r="DY230" s="2964"/>
      <c r="DZ230" s="2964"/>
      <c r="EA230" s="2964"/>
      <c r="EB230" s="2973"/>
      <c r="EC230" s="2972"/>
      <c r="ED230" s="2964"/>
      <c r="EE230" s="2964"/>
      <c r="EF230" s="2964"/>
      <c r="EG230" s="2973"/>
      <c r="EH230" s="2974"/>
      <c r="EI230" s="2975"/>
      <c r="EJ230" s="2975"/>
      <c r="EK230" s="2975"/>
      <c r="EL230" s="100"/>
      <c r="EM230" s="2974"/>
      <c r="EN230" s="2975"/>
      <c r="EO230" s="2975"/>
      <c r="EP230" s="2975"/>
      <c r="EQ230" s="100"/>
      <c r="ER230" s="2976"/>
      <c r="ES230" s="2977"/>
      <c r="ET230" s="2977"/>
      <c r="EU230" s="2977"/>
      <c r="EV230" s="430"/>
      <c r="EW230" s="2978"/>
      <c r="EX230" s="2978"/>
      <c r="EY230" s="2978"/>
      <c r="EZ230" s="2979"/>
      <c r="FA230" s="2974"/>
      <c r="FB230" s="2978"/>
      <c r="FC230" s="2978"/>
      <c r="FD230" s="2980"/>
      <c r="FE230" s="2978"/>
      <c r="FF230" s="2978"/>
      <c r="FG230" s="2978"/>
      <c r="FH230" s="2979"/>
      <c r="FI230" s="4077"/>
      <c r="FJ230" s="4078"/>
      <c r="FK230" s="4079"/>
      <c r="FL230" s="4079"/>
      <c r="FM230" s="2980"/>
      <c r="FN230" s="2978"/>
      <c r="FO230" s="2975"/>
      <c r="FP230" s="2975"/>
      <c r="FQ230" s="2975"/>
      <c r="FR230" s="449"/>
      <c r="FS230" s="4080"/>
      <c r="FT230" s="4081"/>
      <c r="FU230" s="4081"/>
      <c r="FV230" s="4081"/>
      <c r="FW230" s="4082"/>
      <c r="FX230" s="2974"/>
      <c r="FY230" s="2975"/>
      <c r="FZ230" s="2975"/>
      <c r="GA230" s="4081"/>
      <c r="GB230" s="4082"/>
      <c r="GC230" s="2974"/>
      <c r="GD230" s="2975"/>
      <c r="GE230" s="2975"/>
      <c r="GF230" s="2975"/>
      <c r="GG230" s="100"/>
      <c r="GH230" s="2974"/>
      <c r="GI230" s="2975"/>
      <c r="GJ230" s="2975"/>
      <c r="GK230" s="4083">
        <f>GJ230-GI230</f>
        <v>0</v>
      </c>
      <c r="GL230" s="4082" t="e">
        <f>GK230/GJ230</f>
        <v>#DIV/0!</v>
      </c>
      <c r="GM230" s="2974"/>
      <c r="GN230" s="2975"/>
      <c r="GO230" s="2975"/>
      <c r="GP230" s="4083">
        <f>GO230-GN230</f>
        <v>0</v>
      </c>
      <c r="GQ230" s="4082" t="e">
        <f>GP230/GO230</f>
        <v>#DIV/0!</v>
      </c>
      <c r="GR230" s="2975"/>
      <c r="GS230" s="2975"/>
      <c r="GT230" s="2975"/>
      <c r="GU230" s="4083">
        <f>GT230-GS230</f>
        <v>0</v>
      </c>
      <c r="GV230" s="4082" t="e">
        <f>GU230/GT230</f>
        <v>#DIV/0!</v>
      </c>
      <c r="GW230" s="2975"/>
      <c r="GX230" s="2975"/>
      <c r="GY230" s="2975"/>
      <c r="GZ230" s="4083">
        <f>GY230-GX230</f>
        <v>0</v>
      </c>
      <c r="HA230" s="4082" t="e">
        <f>GZ230/GY230</f>
        <v>#DIV/0!</v>
      </c>
      <c r="HB230" s="2975"/>
      <c r="HC230" s="2975"/>
      <c r="HD230" s="2975"/>
      <c r="HE230" s="4083">
        <f>HD230-HC230</f>
        <v>0</v>
      </c>
      <c r="HF230" s="4082" t="e">
        <f>HE230/HD230</f>
        <v>#DIV/0!</v>
      </c>
      <c r="HG230" s="2975"/>
      <c r="HH230" s="2975"/>
      <c r="HI230" s="2975"/>
      <c r="HJ230" s="4083">
        <f>HI230-HH230</f>
        <v>0</v>
      </c>
      <c r="HK230" s="4082" t="e">
        <f>HJ230/HI230</f>
        <v>#DIV/0!</v>
      </c>
      <c r="HL230" s="2975"/>
      <c r="HM230" s="2975"/>
      <c r="HN230" s="2975"/>
      <c r="HO230" s="4083"/>
      <c r="HP230" s="4082"/>
      <c r="HQ230" s="4083"/>
      <c r="HR230" s="4083"/>
      <c r="HS230" s="4083"/>
      <c r="HT230" s="4083"/>
      <c r="HU230" s="4084"/>
      <c r="HV230" s="4085">
        <f>FN230+FS230+FX230+GC230+GH230+GM230+GR230+GW230+HB230+HG230+HL230+HQ230</f>
        <v>0</v>
      </c>
      <c r="HW230" s="4086">
        <f>FO230+FT230+FY230+GD230+GI230+GN230+GS230+GX230+HC230+HH230+HM230+HR230</f>
        <v>0</v>
      </c>
      <c r="HX230" s="4086">
        <f>FP230+FU230+FZ230+GE230+GJ230+GO230+GT230+GY230+HD230+HI230+HN230+HS230</f>
        <v>0</v>
      </c>
      <c r="HY230" s="4086">
        <f>FQ230+FV230+GA230+GF230+GK230+GP230+GU230+GZ230+HE230+HJ230+HO230+HT230</f>
        <v>0</v>
      </c>
      <c r="HZ230" s="2981"/>
      <c r="IA230" s="2984"/>
      <c r="IB230" s="4087"/>
      <c r="IC230" s="4087"/>
      <c r="ID230" s="4088"/>
      <c r="IE230" s="2982"/>
      <c r="IF230" s="2982"/>
      <c r="IG230" s="2982"/>
      <c r="IH230" s="2983"/>
      <c r="II230" s="2984"/>
      <c r="IJ230" s="2985"/>
      <c r="IK230" s="2985"/>
      <c r="IL230" s="2983"/>
      <c r="IM230" s="2986"/>
      <c r="IN230" s="2985"/>
      <c r="IO230" s="2985"/>
      <c r="IP230" s="2987"/>
      <c r="IQ230" s="2975"/>
      <c r="IR230" s="2988">
        <f>SUM(IR212:IR226)</f>
        <v>0</v>
      </c>
      <c r="IS230" s="2989">
        <f>SUM(IS212:IS226)</f>
        <v>58000</v>
      </c>
      <c r="IT230" s="2989">
        <f>SUM(IT212:IT226)</f>
        <v>217500</v>
      </c>
      <c r="IU230" s="2989">
        <f>SUM(IU212:IU226)</f>
        <v>159500</v>
      </c>
      <c r="IV230" s="4084"/>
      <c r="IW230" s="2988">
        <f>SUM(IW212:IW226)</f>
        <v>0</v>
      </c>
      <c r="IX230" s="2989">
        <f>SUM(IX212:IX226)</f>
        <v>472500</v>
      </c>
      <c r="IY230" s="2989">
        <f>SUM(IY212:IY226)</f>
        <v>498488</v>
      </c>
      <c r="IZ230" s="2989">
        <f>SUM(IZ212:IZ226)</f>
        <v>25988</v>
      </c>
      <c r="JA230" s="4084"/>
      <c r="JB230" s="2988">
        <f>SUM(JB212:JB226)</f>
        <v>0</v>
      </c>
      <c r="JC230" s="2989">
        <f>SUM(JC212:JC226)</f>
        <v>87000</v>
      </c>
      <c r="JD230" s="2989">
        <f>SUM(JD212:JD226)</f>
        <v>145000</v>
      </c>
      <c r="JE230" s="2989">
        <f>SUM(JE212:JE226)</f>
        <v>58000</v>
      </c>
      <c r="JF230" s="4084"/>
      <c r="JG230" s="2988">
        <f>SUM(JG212:JG226)</f>
        <v>0</v>
      </c>
      <c r="JH230" s="2989">
        <f>SUM(JH212:JH226)</f>
        <v>0</v>
      </c>
      <c r="JI230" s="2989">
        <f>SUM(JI212:JI226)</f>
        <v>0</v>
      </c>
      <c r="JJ230" s="2989">
        <f>SUM(JJ212:JJ226)</f>
        <v>0</v>
      </c>
      <c r="JK230" s="449"/>
      <c r="JL230" s="2988">
        <f>SUM(JL212:JL226)</f>
        <v>0</v>
      </c>
      <c r="JM230" s="2989">
        <f>SUM(JM212:JM226)</f>
        <v>5130000</v>
      </c>
      <c r="JN230" s="2989">
        <f>SUM(JN212:JN226)</f>
        <v>5807300</v>
      </c>
      <c r="JO230" s="2989">
        <f>SUM(JO212:JO226)</f>
        <v>677300</v>
      </c>
      <c r="JP230" s="2980">
        <f>JO230/JN230</f>
        <v>0.11662907030806055</v>
      </c>
      <c r="JQ230" s="2990">
        <f>HJ230+HO230+HT230+HY230+IC230+IH230+IM230+IR230+IW230+JB230+JG230+JL230</f>
        <v>0</v>
      </c>
      <c r="JR230" s="2975">
        <f>SUM(JR213:JR229)</f>
        <v>3942000</v>
      </c>
      <c r="JS230" s="2975">
        <f>SUM(JS213:JS229)</f>
        <v>4550320</v>
      </c>
      <c r="JT230" s="2975">
        <f>SUM(JT213:JT229)</f>
        <v>608320</v>
      </c>
      <c r="JU230" s="2980">
        <f>JT230/JS230</f>
        <v>0.13368730111288876</v>
      </c>
      <c r="JV230" s="2990">
        <f>HO230+HT230+HY230+IC230+IH230+IM230+IR230+IW230+JB230+JG230+JL230+JQ230</f>
        <v>0</v>
      </c>
      <c r="JW230" s="2975">
        <f>SUM(JW213:JW229)</f>
        <v>540000</v>
      </c>
      <c r="JX230" s="2975">
        <f>SUM(JX213:JX229)</f>
        <v>569700</v>
      </c>
      <c r="JY230" s="2975">
        <f>SUM(JY213:JY229)</f>
        <v>29700</v>
      </c>
      <c r="JZ230" s="2980">
        <f>JY230/JX230</f>
        <v>5.2132701421800945E-2</v>
      </c>
      <c r="KA230" s="2990">
        <f>HT230+HY230+IC230+IH230+IM230+IR230+IW230+JB230+JG230+JL230+JQ230+JV230</f>
        <v>0</v>
      </c>
      <c r="KB230" s="2975">
        <f>SUM(KB213:KB229)</f>
        <v>1315000</v>
      </c>
      <c r="KC230" s="2975">
        <f>SUM(KC213:KC229)</f>
        <v>1679700</v>
      </c>
      <c r="KD230" s="2975">
        <f>SUM(KD213:KD229)</f>
        <v>364700</v>
      </c>
      <c r="KE230" s="2980">
        <f>KD230/KC230</f>
        <v>0.21712210513782224</v>
      </c>
      <c r="KF230" s="2990">
        <f>HY230+IC230+IH230+IM230+IR230+IW230+JB230+JG230+JL230+JQ230+JV230+KA230</f>
        <v>0</v>
      </c>
      <c r="KG230" s="2975">
        <f>SUM(KG213:KG229)</f>
        <v>740000</v>
      </c>
      <c r="KH230" s="2975">
        <f>SUM(KH213:KH229)</f>
        <v>1049700</v>
      </c>
      <c r="KI230" s="2975">
        <f>SUM(KI213:KI229)</f>
        <v>309700</v>
      </c>
      <c r="KJ230" s="2980">
        <f>KI230/KH230</f>
        <v>0.29503667714585119</v>
      </c>
      <c r="KK230" s="2990">
        <f>IC230+IH230+IM230+IR230+IW230+JB230+JG230+JL230+JQ230+JV230+KA230+KF230</f>
        <v>0</v>
      </c>
      <c r="KL230" s="2975">
        <f>SUM(KL213:KL229)</f>
        <v>0</v>
      </c>
      <c r="KM230" s="2975">
        <f>SUM(KM213:KM229)</f>
        <v>0</v>
      </c>
      <c r="KN230" s="2975">
        <f>SUM(KN213:KN229)</f>
        <v>0</v>
      </c>
      <c r="KO230" s="2980" t="e">
        <f>KN230/KM230</f>
        <v>#DIV/0!</v>
      </c>
      <c r="KP230" s="2990">
        <f>IH230+IM230+IR230+IW230+JB230+JG230+JL230+JQ230+JV230+KA230+KF230+KK230</f>
        <v>0</v>
      </c>
      <c r="KQ230" s="2975">
        <f>SUM(KQ213:KQ229)</f>
        <v>800000</v>
      </c>
      <c r="KR230" s="2975">
        <f>SUM(KR213:KR229)</f>
        <v>1020000</v>
      </c>
      <c r="KS230" s="2975">
        <f>SUM(KS213:KS229)</f>
        <v>220000</v>
      </c>
      <c r="KT230" s="2980">
        <f>KS230/KR230</f>
        <v>0.21568627450980393</v>
      </c>
      <c r="KU230" s="2990">
        <f>IM230+IR230+IW230+JB230+JG230+JL230+JQ230+JV230+KA230+KF230+KK230+KP230</f>
        <v>0</v>
      </c>
      <c r="KV230" s="2975">
        <f>SUM(KV213:KV229)</f>
        <v>565000</v>
      </c>
      <c r="KW230" s="2975">
        <f>SUM(KW213:KW229)</f>
        <v>600000</v>
      </c>
      <c r="KX230" s="2975">
        <f>SUM(KX213:KX229)</f>
        <v>35000</v>
      </c>
      <c r="KY230" s="2980">
        <f>KX230/KW230</f>
        <v>5.8333333333333334E-2</v>
      </c>
      <c r="KZ230" s="2990">
        <f>IR230+IW230+JB230+JG230+JL230+JQ230+JV230+KA230+KF230+KK230+KP230+KU230</f>
        <v>0</v>
      </c>
      <c r="LA230" s="2975">
        <f>SUM(LA213:LA229)</f>
        <v>13649500</v>
      </c>
      <c r="LB230" s="2975">
        <f>SUM(LB213:LB229)</f>
        <v>16137708</v>
      </c>
      <c r="LC230" s="2975">
        <f>SUM(LC213:LC229)</f>
        <v>2488208</v>
      </c>
      <c r="LD230" s="2980">
        <f>LC230/LB230</f>
        <v>0.15418595998886583</v>
      </c>
      <c r="LE230" s="4089"/>
      <c r="LF230" s="4090"/>
      <c r="LG230" s="4090"/>
      <c r="LH230" s="4091"/>
      <c r="LI230" s="2991"/>
      <c r="LJ230" s="2992"/>
      <c r="LK230" s="2992"/>
      <c r="LL230" s="2993"/>
      <c r="LM230" s="4092">
        <f>(JV230+KA230+KF230)/3</f>
        <v>0</v>
      </c>
      <c r="LN230" s="4093">
        <f>(JX230+KC230+KH230)</f>
        <v>3299100</v>
      </c>
      <c r="LO230" s="4093">
        <f>(JY230+KD230+KI230)</f>
        <v>704100</v>
      </c>
      <c r="LP230" s="4094"/>
      <c r="LQ230" s="2991"/>
      <c r="LR230" s="2994"/>
      <c r="LS230" s="2994"/>
      <c r="LT230" s="2995"/>
      <c r="LU230" s="2996"/>
      <c r="LV230" s="2990"/>
      <c r="LW230" s="2975">
        <f>SUM(LW213:LW229)</f>
        <v>280000</v>
      </c>
      <c r="LX230" s="2975">
        <f>SUM(LX213:LX229)</f>
        <v>460000</v>
      </c>
      <c r="LY230" s="2975">
        <f>SUM(LY213:LY229)</f>
        <v>180000</v>
      </c>
      <c r="LZ230" s="2980">
        <f>LY230/LX230</f>
        <v>0.39130434782608697</v>
      </c>
      <c r="MA230" s="2990"/>
      <c r="MB230" s="2975">
        <f>SUM(MB213:MB229)</f>
        <v>0</v>
      </c>
      <c r="MC230" s="2975">
        <f>SUM(MC213:MC229)</f>
        <v>0</v>
      </c>
      <c r="MD230" s="2975">
        <f>SUM(MD213:MD229)</f>
        <v>0</v>
      </c>
      <c r="ME230" s="2980"/>
      <c r="MF230" s="2990"/>
      <c r="MG230" s="2975">
        <f>SUM(MG213:MG229)</f>
        <v>0</v>
      </c>
      <c r="MH230" s="2975">
        <f>SUM(MH213:MH229)</f>
        <v>0</v>
      </c>
      <c r="MI230" s="2975">
        <f>SUM(MI213:MI229)</f>
        <v>0</v>
      </c>
      <c r="MJ230" s="2980"/>
      <c r="MK230" s="2990"/>
      <c r="ML230" s="2975">
        <f>SUM(ML213:ML229)</f>
        <v>0</v>
      </c>
      <c r="MM230" s="2975">
        <f>SUM(MM213:MM229)</f>
        <v>0</v>
      </c>
      <c r="MN230" s="2975">
        <f>SUM(MN213:MN229)</f>
        <v>0</v>
      </c>
      <c r="MO230" s="2980"/>
      <c r="MP230" s="2990"/>
      <c r="MQ230" s="2975">
        <f>SUM(MQ213:MQ229)</f>
        <v>0</v>
      </c>
      <c r="MR230" s="2975">
        <f>SUM(MR213:MR229)</f>
        <v>0</v>
      </c>
      <c r="MS230" s="2975">
        <f>SUM(MS213:MS229)</f>
        <v>0</v>
      </c>
      <c r="MT230" s="2980"/>
      <c r="MU230" s="2975">
        <f>SUM(MU213:MU229)</f>
        <v>0</v>
      </c>
      <c r="MV230" s="2975">
        <f>SUM(MV213:MV229)</f>
        <v>765000</v>
      </c>
      <c r="MW230" s="2975">
        <f>SUM(MW213:MW229)</f>
        <v>1200000</v>
      </c>
      <c r="MX230" s="2975">
        <f>SUM(MX213:MX229)</f>
        <v>435000</v>
      </c>
      <c r="MY230" s="2979">
        <f>MX230/MW230</f>
        <v>0.36249999999999999</v>
      </c>
      <c r="MZ230" s="2990">
        <f>SUM(MZ213:MZ229)</f>
        <v>0</v>
      </c>
      <c r="NA230" s="2975">
        <f>SUM(NA213:NA229)</f>
        <v>0</v>
      </c>
      <c r="NB230" s="2975">
        <f>SUM(NB213:NB229)</f>
        <v>0</v>
      </c>
      <c r="NC230" s="2975">
        <f>SUM(NC213:NC229)</f>
        <v>0</v>
      </c>
      <c r="ND230" s="2980"/>
      <c r="NE230" s="2990">
        <f>SUM(NE213:NE229)</f>
        <v>0</v>
      </c>
      <c r="NF230" s="2975">
        <f>SUM(NF213:NF229)</f>
        <v>382000</v>
      </c>
      <c r="NG230" s="2975">
        <f>SUM(NG213:NG229)</f>
        <v>680000</v>
      </c>
      <c r="NH230" s="2975">
        <f>SUM(NH213:NH229)</f>
        <v>298000</v>
      </c>
      <c r="NI230" s="2980"/>
      <c r="NJ230" s="2990">
        <f>SUM(NJ213:NJ229)</f>
        <v>0</v>
      </c>
      <c r="NK230" s="2975">
        <f>SUM(NK213:NK229)</f>
        <v>0</v>
      </c>
      <c r="NL230" s="2975">
        <f>SUM(NL213:NL229)</f>
        <v>0</v>
      </c>
      <c r="NM230" s="2975">
        <f>SUM(NM213:NM229)</f>
        <v>0</v>
      </c>
      <c r="NN230" s="2980"/>
      <c r="NO230" s="2975"/>
      <c r="NP230" s="2997"/>
      <c r="NQ230" s="2997"/>
      <c r="NR230" s="2975">
        <f>SUM(NR213:NR229)</f>
        <v>0</v>
      </c>
      <c r="NS230" s="2980"/>
      <c r="NT230" s="2975"/>
      <c r="NU230" s="2997"/>
      <c r="NV230" s="2997"/>
      <c r="NW230" s="2975"/>
      <c r="NX230" s="2998"/>
      <c r="NY230" s="2990"/>
      <c r="NZ230" s="2997">
        <f>SUM(NZ213:NZ229)</f>
        <v>210000</v>
      </c>
      <c r="OA230" s="2997">
        <f>SUM(OA213:OA229)</f>
        <v>220500</v>
      </c>
      <c r="OB230" s="2997">
        <f>SUM(OB213:OB229)</f>
        <v>10500</v>
      </c>
      <c r="OC230" s="2980">
        <f>OB230/OA230</f>
        <v>4.7619047619047616E-2</v>
      </c>
      <c r="OD230" s="2975"/>
      <c r="OE230" s="2975">
        <f>SUM(OE213:OE229)</f>
        <v>1637000</v>
      </c>
      <c r="OF230" s="2975">
        <f>SUM(OF213:OF229)</f>
        <v>2560500</v>
      </c>
      <c r="OG230" s="2975">
        <f>SUM(OG213:OG229)</f>
        <v>923500</v>
      </c>
      <c r="OH230" s="2980">
        <f>OG230/OF230</f>
        <v>0.36067174380003908</v>
      </c>
      <c r="OI230" s="2990"/>
      <c r="OJ230" s="2975">
        <f>SUM(OJ213:OJ229)</f>
        <v>280000</v>
      </c>
      <c r="OK230" s="2975">
        <f>SUM(OK213:OK229)</f>
        <v>460000</v>
      </c>
      <c r="OL230" s="2975">
        <f>SUM(OL213:OL229)</f>
        <v>180000</v>
      </c>
      <c r="OM230" s="2980">
        <f>OL230/OK230</f>
        <v>0.39130434782608697</v>
      </c>
      <c r="ON230" s="2990">
        <f>MF230+MK230+MP230+MU230+MZ230+NE230+NJ230+NO230+NT230+NY230+OD230+OI230</f>
        <v>0</v>
      </c>
      <c r="OO230" s="2975">
        <f>SUM(OO213:OO229)</f>
        <v>765000</v>
      </c>
      <c r="OP230" s="2975">
        <f>SUM(OP213:OP229)</f>
        <v>1200000</v>
      </c>
      <c r="OQ230" s="2975">
        <f>SUM(OQ213:OQ229)</f>
        <v>435000</v>
      </c>
      <c r="OR230" s="2980">
        <f>OQ230/OP230</f>
        <v>0.36249999999999999</v>
      </c>
      <c r="OS230" s="2990">
        <f>MK230+MP230+MU230+MZ230+NE230+NJ230+NO230+NT230+NY230+OD230+OI230+ON230</f>
        <v>0</v>
      </c>
      <c r="OT230" s="2975">
        <f>SUM(OT213:OT229)</f>
        <v>382000</v>
      </c>
      <c r="OU230" s="2975">
        <f>SUM(OU213:OU229)</f>
        <v>680000</v>
      </c>
      <c r="OV230" s="2975">
        <f>SUM(OV213:OV229)</f>
        <v>298000</v>
      </c>
      <c r="OW230" s="2980">
        <f>OV230/OU230</f>
        <v>0.43823529411764706</v>
      </c>
      <c r="OX230" s="2990">
        <f>MP230+MU230+MZ230+NE230+NJ230+NO230+NT230+NY230+OD230+OI230+ON230+OS230</f>
        <v>0</v>
      </c>
      <c r="OY230" s="2975">
        <f>SUM(OY213:OY229)</f>
        <v>210000</v>
      </c>
      <c r="OZ230" s="2975">
        <f>SUM(OZ213:OZ229)</f>
        <v>220500</v>
      </c>
      <c r="PA230" s="2975">
        <f>SUM(PA213:PA229)</f>
        <v>10500</v>
      </c>
      <c r="PB230" s="2980">
        <f>PA230/OZ230</f>
        <v>4.7619047619047616E-2</v>
      </c>
      <c r="PC230" s="4494"/>
      <c r="PD230" s="2974"/>
      <c r="PE230" s="2975">
        <f>SUM(PE213:PE229)</f>
        <v>0</v>
      </c>
      <c r="PF230" s="2975">
        <f>SUM(PF213:PF229)</f>
        <v>0</v>
      </c>
      <c r="PG230" s="2975">
        <f>SUM(PG213:PG229)</f>
        <v>0</v>
      </c>
      <c r="PH230" s="2980"/>
      <c r="PI230" s="2990"/>
      <c r="PJ230" s="2975">
        <f>SUM(PJ213:PJ229)</f>
        <v>735000</v>
      </c>
      <c r="PK230" s="2975">
        <f>SUM(PK213:PK229)</f>
        <v>771750</v>
      </c>
      <c r="PL230" s="2975">
        <f>SUM(PL213:PL229)</f>
        <v>36750</v>
      </c>
      <c r="PM230" s="2980"/>
      <c r="PN230" s="2974"/>
      <c r="PO230" s="2975">
        <f>SUM(PO213:PO229)</f>
        <v>0</v>
      </c>
      <c r="PP230" s="2975">
        <f>SUM(PP213:PP229)</f>
        <v>0</v>
      </c>
      <c r="PQ230" s="2975">
        <f>SUM(PQ213:PQ229)</f>
        <v>0</v>
      </c>
      <c r="PR230" s="2980"/>
      <c r="PS230" s="2990"/>
      <c r="PT230" s="2975">
        <f>SUM(PT213:PT229)</f>
        <v>0</v>
      </c>
      <c r="PU230" s="2975">
        <f>SUM(PU213:PU229)</f>
        <v>0</v>
      </c>
      <c r="PV230" s="2975">
        <f>SUM(PV213:PV229)</f>
        <v>0</v>
      </c>
      <c r="PW230" s="2980"/>
      <c r="PX230" s="2990"/>
      <c r="PY230" s="2975">
        <f>SUM(PY213:PY229)</f>
        <v>0</v>
      </c>
      <c r="PZ230" s="2975">
        <f>SUM(PZ213:PZ229)</f>
        <v>0</v>
      </c>
      <c r="QA230" s="2975">
        <f>SUM(QA213:QA229)</f>
        <v>0</v>
      </c>
      <c r="QB230" s="2980"/>
      <c r="QC230" s="2975">
        <f>SUM(QC213:QC229)</f>
        <v>0</v>
      </c>
      <c r="QD230" s="2975">
        <f>SUM(QD213:QD229)</f>
        <v>0</v>
      </c>
      <c r="QE230" s="2975">
        <f>SUM(QE213:QE229)</f>
        <v>0</v>
      </c>
      <c r="QF230" s="2975">
        <f>SUM(QF213:QF229)</f>
        <v>0</v>
      </c>
      <c r="QG230" s="2979"/>
      <c r="QH230" s="2974">
        <f>SUM(QH213:QH229)</f>
        <v>0</v>
      </c>
      <c r="QI230" s="2975">
        <f>SUM(QI213:QI229)</f>
        <v>698000</v>
      </c>
      <c r="QJ230" s="2975">
        <f>SUM(QJ213:QJ229)</f>
        <v>739880</v>
      </c>
      <c r="QK230" s="2975">
        <f>SUM(QK213:QK229)</f>
        <v>41880</v>
      </c>
      <c r="QL230" s="2980"/>
      <c r="QM230" s="2974">
        <f>SUM(QM213:QM229)</f>
        <v>2</v>
      </c>
      <c r="QN230" s="2975">
        <f>SUM(QN213:QN229)</f>
        <v>850000</v>
      </c>
      <c r="QO230" s="2975">
        <f>SUM(QO213:QO229)</f>
        <v>1200000</v>
      </c>
      <c r="QP230" s="2975">
        <f>SUM(QP213:QP229)</f>
        <v>350000</v>
      </c>
      <c r="QQ230" s="2980">
        <f>QP230/QO230</f>
        <v>0.29166666666666669</v>
      </c>
      <c r="QR230" s="2990">
        <f>SUM(QR213:QR229)</f>
        <v>0</v>
      </c>
      <c r="QS230" s="2975">
        <f>SUM(QS213:QS229)</f>
        <v>0</v>
      </c>
      <c r="QT230" s="2975">
        <f>SUM(QT213:QT229)</f>
        <v>0</v>
      </c>
      <c r="QU230" s="2975">
        <f>SUM(QU213:QU229)</f>
        <v>0</v>
      </c>
      <c r="QV230" s="100"/>
      <c r="QW230" s="2975"/>
      <c r="QX230" s="2997"/>
      <c r="QY230" s="2997"/>
      <c r="QZ230" s="2975">
        <f>SUM(QZ213:QZ229)</f>
        <v>0</v>
      </c>
      <c r="RA230" s="2980"/>
      <c r="RB230" s="2975"/>
      <c r="RC230" s="2997"/>
      <c r="RD230" s="2997"/>
      <c r="RE230" s="2975"/>
      <c r="RF230" s="2998"/>
      <c r="RG230" s="2974"/>
      <c r="RH230" s="2997">
        <f>SUM(RH213:RH229)</f>
        <v>0</v>
      </c>
      <c r="RI230" s="2997">
        <f>SUM(RI213:RI229)</f>
        <v>0</v>
      </c>
      <c r="RJ230" s="2997">
        <f>SUM(RJ213:RJ229)</f>
        <v>0</v>
      </c>
      <c r="RK230" s="3542">
        <v>0</v>
      </c>
      <c r="RL230" s="2990"/>
      <c r="RM230" s="2975">
        <f>SUM(RM213:RM229)</f>
        <v>2283000</v>
      </c>
      <c r="RN230" s="2975">
        <f>SUM(RN213:RN229)</f>
        <v>2711630</v>
      </c>
      <c r="RO230" s="2975">
        <f>SUM(RO213:RO229)</f>
        <v>428630</v>
      </c>
      <c r="RP230" s="2980">
        <f>RO230/RN230</f>
        <v>0.15807097575996726</v>
      </c>
      <c r="RQ230" s="2990"/>
      <c r="RR230" s="2975">
        <f>SUM(RR213:RR229)</f>
        <v>735000</v>
      </c>
      <c r="RS230" s="2975">
        <f>SUM(RS213:RS229)</f>
        <v>771750</v>
      </c>
      <c r="RT230" s="2975">
        <f>SUM(RT213:RT229)</f>
        <v>36750</v>
      </c>
      <c r="RU230" s="2980">
        <f>RT230/RS230</f>
        <v>4.7619047619047616E-2</v>
      </c>
      <c r="RV230" s="2990"/>
      <c r="RW230" s="2975">
        <f>SUM(RW213:RW229)</f>
        <v>0</v>
      </c>
      <c r="RX230" s="2975">
        <f>SUM(RX213:RX229)</f>
        <v>0</v>
      </c>
      <c r="RY230" s="2975">
        <f>SUM(RY213:RY229)</f>
        <v>0</v>
      </c>
      <c r="RZ230" s="2980"/>
      <c r="SA230" s="2990"/>
      <c r="SB230" s="2975">
        <f>SUM(SB213:SB229)</f>
        <v>1548000</v>
      </c>
      <c r="SC230" s="2975">
        <f>SUM(SC213:SC229)</f>
        <v>1939880</v>
      </c>
      <c r="SD230" s="2975">
        <f>SUM(SD213:SD229)</f>
        <v>391880</v>
      </c>
      <c r="SE230" s="2980">
        <f>SD230/SC230</f>
        <v>0.20201249561828566</v>
      </c>
      <c r="SF230" s="2990"/>
      <c r="SG230" s="2975">
        <f>SUM(SG213:SG229)</f>
        <v>0</v>
      </c>
      <c r="SH230" s="2975">
        <f>SUM(SH213:SH229)</f>
        <v>0</v>
      </c>
      <c r="SI230" s="2975">
        <f>SUM(SI213:SI229)</f>
        <v>0</v>
      </c>
      <c r="SJ230" s="2980">
        <v>0</v>
      </c>
      <c r="SL230" s="2974"/>
      <c r="SM230" s="2975">
        <f>SUM(SM213:SM229)</f>
        <v>0</v>
      </c>
      <c r="SN230" s="2975">
        <f>SUM(SN213:SN229)</f>
        <v>0</v>
      </c>
      <c r="SO230" s="2975">
        <f>SUM(SO213:SO229)</f>
        <v>0</v>
      </c>
      <c r="SP230" s="2980"/>
      <c r="SQ230" s="2990"/>
      <c r="SR230" s="2975">
        <f>SUM(SR213:SR229)</f>
        <v>0</v>
      </c>
      <c r="SS230" s="2975">
        <f>SUM(SS213:SS229)</f>
        <v>0</v>
      </c>
      <c r="ST230" s="2975">
        <f>SUM(ST213:ST229)</f>
        <v>0</v>
      </c>
      <c r="SU230" s="2980"/>
      <c r="SV230" s="2974"/>
      <c r="SW230" s="2975">
        <f>SUM(SW213:SW229)</f>
        <v>12855982</v>
      </c>
      <c r="SX230" s="2975">
        <f>SUM(SX213:SX229)</f>
        <v>13921271</v>
      </c>
      <c r="SY230" s="2975">
        <f>SUM(SY213:SY229)</f>
        <v>1065289</v>
      </c>
      <c r="SZ230" s="2980">
        <f>SY230/SX230</f>
        <v>7.6522395117514769E-2</v>
      </c>
      <c r="TA230" s="4131"/>
      <c r="TB230" s="4132">
        <f>SUM(TB213:TB229)</f>
        <v>0</v>
      </c>
      <c r="TC230" s="4132">
        <f>SUM(TC213:TC229)</f>
        <v>0</v>
      </c>
      <c r="TD230" s="4132">
        <f>SUM(TD213:TD229)</f>
        <v>0</v>
      </c>
      <c r="TE230" s="4133"/>
      <c r="TF230" s="2990"/>
      <c r="TG230" s="2975">
        <f>SUM(TG213:TG229)</f>
        <v>0</v>
      </c>
      <c r="TH230" s="2975">
        <f>SUM(TH213:TH229)</f>
        <v>0</v>
      </c>
      <c r="TI230" s="2975">
        <f>SUM(TI213:TI229)</f>
        <v>0</v>
      </c>
      <c r="TJ230" s="2980"/>
      <c r="TK230" s="2975">
        <f>SUM(TK213:TK229)</f>
        <v>0</v>
      </c>
      <c r="TL230" s="2975">
        <f>SUM(TL213:TL229)</f>
        <v>0</v>
      </c>
      <c r="TM230" s="2975">
        <f>SUM(TM213:TM229)</f>
        <v>0</v>
      </c>
      <c r="TN230" s="2975">
        <f>SUM(TN213:TN229)</f>
        <v>0</v>
      </c>
      <c r="TO230" s="2979"/>
      <c r="TP230" s="4480"/>
      <c r="TQ230" s="2975">
        <f>SUM(TQ213:TQ229)</f>
        <v>0</v>
      </c>
      <c r="TR230" s="2975">
        <f>SUM(TR213:TR229)</f>
        <v>0</v>
      </c>
      <c r="TS230" s="2975">
        <f>SUM(TS213:TS229)</f>
        <v>0</v>
      </c>
      <c r="TT230" s="2980"/>
      <c r="TU230" s="5267">
        <f>SUM(TU213:TU229)</f>
        <v>0</v>
      </c>
      <c r="TV230" s="2975">
        <f>SUM(TV213:TV229)</f>
        <v>0</v>
      </c>
      <c r="TW230" s="2975">
        <f>SUM(TW213:TW229)</f>
        <v>0</v>
      </c>
      <c r="TX230" s="2975">
        <f>SUM(TX213:TX229)</f>
        <v>0</v>
      </c>
      <c r="TY230" s="3542">
        <v>0</v>
      </c>
      <c r="TZ230" s="2990">
        <f>SUM(TZ213:TZ229)</f>
        <v>0</v>
      </c>
      <c r="UA230" s="2975">
        <f>SUM(UA213:UA229)</f>
        <v>0</v>
      </c>
      <c r="UB230" s="2975">
        <f>SUM(UB213:UB229)</f>
        <v>0</v>
      </c>
      <c r="UC230" s="2975">
        <f>SUM(UC213:UC229)</f>
        <v>0</v>
      </c>
      <c r="UD230" s="100"/>
      <c r="UE230" s="2975"/>
      <c r="UF230" s="2997"/>
      <c r="UG230" s="2997"/>
      <c r="UH230" s="2975">
        <f>SUM(UH213:UH229)</f>
        <v>0</v>
      </c>
      <c r="UI230" s="2980"/>
      <c r="UJ230" s="2975"/>
      <c r="UK230" s="2997"/>
      <c r="UL230" s="2997"/>
      <c r="UM230" s="2975"/>
      <c r="UN230" s="2998"/>
      <c r="UO230" s="2974"/>
      <c r="UP230" s="2997">
        <f>SUM(UP213:UP229)</f>
        <v>0</v>
      </c>
      <c r="UQ230" s="2997">
        <f>SUM(UQ213:UQ229)</f>
        <v>0</v>
      </c>
      <c r="UR230" s="2997">
        <f>SUM(UR213:UR229)</f>
        <v>0</v>
      </c>
      <c r="US230" s="2980">
        <v>0</v>
      </c>
      <c r="UT230" s="2990"/>
      <c r="UU230" s="2975">
        <f>SUM(UU213:UU229)</f>
        <v>12855982</v>
      </c>
      <c r="UV230" s="2975">
        <f>SUM(UV213:UV229)</f>
        <v>13921271</v>
      </c>
      <c r="UW230" s="2975">
        <f>SUM(UW213:UW229)</f>
        <v>1065289</v>
      </c>
      <c r="UX230" s="2980">
        <f>UW230/UV230</f>
        <v>7.6522395117514769E-2</v>
      </c>
      <c r="UY230" s="2990"/>
      <c r="UZ230" s="2975">
        <f>SUM(UZ213:UZ229)</f>
        <v>12855982</v>
      </c>
      <c r="VA230" s="2975">
        <f>SUM(VA213:VA229)</f>
        <v>13921271</v>
      </c>
      <c r="VB230" s="2975">
        <f>SUM(VB213:VB229)</f>
        <v>1065289</v>
      </c>
      <c r="VC230" s="3542">
        <v>0</v>
      </c>
      <c r="VD230" s="2990"/>
      <c r="VE230" s="2975">
        <f>SUM(VE213:VE229)</f>
        <v>0</v>
      </c>
      <c r="VF230" s="2975">
        <f>SUM(VF213:VF229)</f>
        <v>0</v>
      </c>
      <c r="VG230" s="2975">
        <f>SUM(VG213:VG229)</f>
        <v>0</v>
      </c>
      <c r="VH230" s="2980"/>
      <c r="VI230" s="2990"/>
      <c r="VJ230" s="2975">
        <f>SUM(VJ213:VJ229)</f>
        <v>0</v>
      </c>
      <c r="VK230" s="2975">
        <f>SUM(VK213:VK229)</f>
        <v>0</v>
      </c>
      <c r="VL230" s="2975">
        <f>SUM(VL213:VL229)</f>
        <v>0</v>
      </c>
      <c r="VM230" s="2980" t="e">
        <f>VL230/VK230</f>
        <v>#DIV/0!</v>
      </c>
      <c r="VN230" s="2990"/>
      <c r="VO230" s="2975">
        <f>SUM(VO213:VO229)</f>
        <v>0</v>
      </c>
      <c r="VP230" s="2975">
        <f>SUM(VP213:VP229)</f>
        <v>0</v>
      </c>
      <c r="VQ230" s="2975">
        <f>SUM(VQ213:VQ229)</f>
        <v>0</v>
      </c>
      <c r="VR230" s="2980">
        <v>0</v>
      </c>
    </row>
    <row r="231" spans="1:592" ht="14.55" thickBot="1" x14ac:dyDescent="0.35">
      <c r="B231" s="2999"/>
      <c r="C231" s="3000"/>
      <c r="D231" s="3001"/>
      <c r="E231" s="3002"/>
      <c r="F231" s="3002"/>
      <c r="G231" s="3003"/>
      <c r="H231" s="3004"/>
      <c r="I231" s="3005"/>
      <c r="J231" s="3005"/>
      <c r="K231" s="3005"/>
      <c r="L231" s="3006"/>
      <c r="M231" s="3007"/>
      <c r="N231" s="3008"/>
      <c r="O231" s="3008"/>
      <c r="P231" s="3008"/>
      <c r="Q231" s="3009"/>
      <c r="R231" s="3009"/>
      <c r="S231" s="3005"/>
      <c r="T231" s="3005"/>
      <c r="U231" s="3005"/>
      <c r="V231" s="3006"/>
      <c r="W231" s="3005"/>
      <c r="X231" s="3010"/>
      <c r="Y231" s="3010"/>
      <c r="Z231" s="3005"/>
      <c r="AA231" s="3006"/>
      <c r="AB231" s="3010"/>
      <c r="AC231" s="3005"/>
      <c r="AD231" s="3011"/>
      <c r="AE231" s="3005"/>
      <c r="AF231" s="3006"/>
      <c r="AG231" s="1726"/>
      <c r="AH231" s="3005"/>
      <c r="AI231" s="3005"/>
      <c r="AJ231" s="3012"/>
      <c r="AK231" s="3006"/>
      <c r="AL231" s="3013"/>
      <c r="AM231" s="3005"/>
      <c r="AN231" s="3005"/>
      <c r="AO231" s="3010"/>
      <c r="AP231" s="3006"/>
      <c r="AQ231" s="3014"/>
      <c r="AR231" s="3011"/>
      <c r="AS231" s="3011"/>
      <c r="AT231" s="3015"/>
      <c r="AU231" s="3006"/>
      <c r="AV231" s="3016"/>
      <c r="AW231" s="3010"/>
      <c r="AX231" s="3010"/>
      <c r="AY231" s="3010"/>
      <c r="AZ231" s="3006"/>
      <c r="BA231" s="3017"/>
      <c r="BB231" s="3010"/>
      <c r="BC231" s="3010"/>
      <c r="BD231" s="3010"/>
      <c r="BE231" s="3009"/>
      <c r="BF231" s="3016"/>
      <c r="BG231" s="3010"/>
      <c r="BH231" s="3005"/>
      <c r="BI231" s="3010"/>
      <c r="BJ231" s="3009"/>
      <c r="BK231" s="3016"/>
      <c r="BL231" s="3010"/>
      <c r="BM231" s="3005"/>
      <c r="BN231" s="3010"/>
      <c r="BO231" s="3018"/>
      <c r="BP231" s="3019"/>
      <c r="BQ231" s="3020"/>
      <c r="BR231" s="3012"/>
      <c r="BS231" s="3021"/>
      <c r="BT231" s="3022"/>
      <c r="BU231" s="3012"/>
      <c r="BV231" s="3012"/>
      <c r="BW231" s="3023"/>
      <c r="BX231" s="3024"/>
      <c r="BY231" s="3012"/>
      <c r="BZ231" s="3012"/>
      <c r="CA231" s="3025"/>
      <c r="CB231" s="3026"/>
      <c r="CC231" s="3012"/>
      <c r="CD231" s="3012"/>
      <c r="CE231" s="3027"/>
      <c r="CF231" s="3024"/>
      <c r="CG231" s="3005"/>
      <c r="CH231" s="3005"/>
      <c r="CI231" s="3025"/>
      <c r="CJ231" s="1725"/>
      <c r="CK231" s="3005"/>
      <c r="CL231" s="3005"/>
      <c r="CM231" s="3005"/>
      <c r="CN231" s="3023"/>
      <c r="CO231" s="1725"/>
      <c r="CP231" s="3005"/>
      <c r="CQ231" s="3005"/>
      <c r="CR231" s="3005"/>
      <c r="CS231" s="3025"/>
      <c r="CT231" s="1725"/>
      <c r="CU231" s="3005"/>
      <c r="CV231" s="3005"/>
      <c r="CW231" s="3005"/>
      <c r="CX231" s="3025"/>
      <c r="CY231" s="1725"/>
      <c r="CZ231" s="3005"/>
      <c r="DA231" s="3005"/>
      <c r="DB231" s="3005"/>
      <c r="DC231" s="3025"/>
      <c r="DD231" s="3028"/>
      <c r="DE231" s="3005"/>
      <c r="DF231" s="3029"/>
      <c r="DG231" s="3030"/>
      <c r="DH231" s="3031"/>
      <c r="DI231" s="1725"/>
      <c r="DJ231" s="3005"/>
      <c r="DK231" s="3032"/>
      <c r="DL231" s="3005"/>
      <c r="DM231" s="3031"/>
      <c r="DN231" s="1725"/>
      <c r="DO231" s="3005"/>
      <c r="DP231" s="3032"/>
      <c r="DQ231" s="3005"/>
      <c r="DR231" s="3031"/>
      <c r="DS231" s="1725"/>
      <c r="DT231" s="3029"/>
      <c r="DU231" s="3029"/>
      <c r="DV231" s="3032"/>
      <c r="DW231" s="3025"/>
      <c r="DX231" s="1725"/>
      <c r="DY231" s="3005"/>
      <c r="DZ231" s="3005"/>
      <c r="EA231" s="3005"/>
      <c r="EB231" s="3033"/>
      <c r="EC231" s="1725"/>
      <c r="ED231" s="3005"/>
      <c r="EE231" s="3005"/>
      <c r="EF231" s="3029"/>
      <c r="EG231" s="3031"/>
      <c r="EH231" s="3028"/>
      <c r="EI231" s="3005"/>
      <c r="EJ231" s="3005"/>
      <c r="EK231" s="3005"/>
      <c r="EL231" s="3025"/>
      <c r="EM231" s="1725"/>
      <c r="EN231" s="3005"/>
      <c r="EO231" s="3005"/>
      <c r="EP231" s="3005"/>
      <c r="EQ231" s="3025"/>
      <c r="ER231" s="3034"/>
      <c r="ES231" s="3035"/>
      <c r="ET231" s="3035"/>
      <c r="EU231" s="3035"/>
      <c r="EV231" s="3036"/>
      <c r="EW231" s="3037"/>
      <c r="EX231" s="3005"/>
      <c r="EY231" s="3005"/>
      <c r="EZ231" s="3027"/>
      <c r="FA231" s="3038"/>
      <c r="FB231" s="3012"/>
      <c r="FC231" s="3012"/>
      <c r="FD231" s="3023"/>
      <c r="FE231" s="3037"/>
      <c r="FF231" s="3012"/>
      <c r="FG231" s="3012"/>
      <c r="FH231" s="3027"/>
      <c r="FI231" s="3039"/>
      <c r="FJ231" s="3037"/>
      <c r="FK231" s="3012"/>
      <c r="FL231" s="3012"/>
      <c r="FM231" s="3023"/>
      <c r="FN231" s="2063"/>
      <c r="FO231" s="2064"/>
      <c r="FP231" s="2064"/>
      <c r="FQ231" s="3040"/>
      <c r="FR231" s="2065"/>
      <c r="FS231" s="1725"/>
      <c r="FT231" s="3005"/>
      <c r="FU231" s="3005"/>
      <c r="FV231" s="3005"/>
      <c r="FW231" s="3025"/>
      <c r="FX231" s="2066"/>
      <c r="FY231" s="3041"/>
      <c r="FZ231" s="3041"/>
      <c r="GA231" s="3005"/>
      <c r="GB231" s="3025"/>
      <c r="GC231" s="1141"/>
      <c r="GD231" s="1142"/>
      <c r="GE231" s="1142"/>
      <c r="GF231" s="991"/>
      <c r="GG231" s="3042"/>
      <c r="GH231" s="1141"/>
      <c r="GI231" s="1142"/>
      <c r="GJ231" s="1142"/>
      <c r="GK231" s="991"/>
      <c r="GL231" s="3042"/>
      <c r="GM231" s="1141"/>
      <c r="GN231" s="1142"/>
      <c r="GO231" s="1142"/>
      <c r="GP231" s="991"/>
      <c r="GQ231" s="3042"/>
      <c r="GR231" s="1141"/>
      <c r="GS231" s="1142"/>
      <c r="GT231" s="1142"/>
      <c r="GU231" s="991"/>
      <c r="GV231" s="3042"/>
      <c r="GW231" s="1141"/>
      <c r="GX231" s="1142"/>
      <c r="GY231" s="1142"/>
      <c r="GZ231" s="991"/>
      <c r="HA231" s="3042"/>
      <c r="HB231" s="1141"/>
      <c r="HC231" s="1142"/>
      <c r="HD231" s="1142"/>
      <c r="HE231" s="991"/>
      <c r="HF231" s="3042"/>
      <c r="HG231" s="1141"/>
      <c r="HH231" s="1142"/>
      <c r="HI231" s="1142"/>
      <c r="HJ231" s="991"/>
      <c r="HK231" s="3042"/>
      <c r="HL231" s="1141"/>
      <c r="HM231" s="1142"/>
      <c r="HN231" s="1142"/>
      <c r="HO231" s="991"/>
      <c r="HP231" s="3042"/>
      <c r="HQ231" s="1141"/>
      <c r="HR231" s="1142"/>
      <c r="HS231" s="1142"/>
      <c r="HT231" s="991"/>
      <c r="HU231" s="991"/>
      <c r="HV231" s="2802"/>
      <c r="HW231" s="1066"/>
      <c r="HX231" s="1066"/>
      <c r="HY231" s="1066"/>
      <c r="HZ231" s="3043"/>
      <c r="IA231" s="1859"/>
      <c r="IB231" s="1038"/>
      <c r="IC231" s="1038"/>
      <c r="ID231" s="3044"/>
      <c r="IE231" s="3045"/>
      <c r="IF231" s="1038"/>
      <c r="IG231" s="1038"/>
      <c r="IH231" s="3044"/>
      <c r="II231" s="1859"/>
      <c r="IJ231" s="1038"/>
      <c r="IK231" s="1038"/>
      <c r="IL231" s="3044"/>
      <c r="IM231" s="3046"/>
      <c r="IN231" s="1128"/>
      <c r="IO231" s="1128"/>
      <c r="IP231" s="1706"/>
      <c r="IQ231" s="69"/>
      <c r="IR231" s="2076"/>
      <c r="IS231" s="2064"/>
      <c r="IT231" s="2064"/>
      <c r="IU231" s="3040"/>
      <c r="IV231" s="3047"/>
      <c r="IW231" s="1725"/>
      <c r="IX231" s="3005"/>
      <c r="IY231" s="3005"/>
      <c r="IZ231" s="3005"/>
      <c r="JA231" s="3027"/>
      <c r="JB231" s="3048"/>
      <c r="JC231" s="3041"/>
      <c r="JD231" s="3041"/>
      <c r="JE231" s="3005"/>
      <c r="JF231" s="3027"/>
      <c r="JG231" s="2077"/>
      <c r="JH231" s="1142"/>
      <c r="JI231" s="1142"/>
      <c r="JJ231" s="991"/>
      <c r="JK231" s="991"/>
      <c r="JL231" s="2067"/>
      <c r="JM231" s="1142"/>
      <c r="JN231" s="1142"/>
      <c r="JO231" s="991"/>
      <c r="JP231" s="991"/>
      <c r="JQ231" s="3049"/>
      <c r="JR231" s="949"/>
      <c r="JS231" s="946"/>
      <c r="JT231" s="991"/>
      <c r="JU231" s="991"/>
      <c r="JV231" s="3050"/>
      <c r="JW231" s="1142"/>
      <c r="JX231" s="1142"/>
      <c r="JY231" s="991"/>
      <c r="JZ231" s="3042"/>
      <c r="KA231" s="1141"/>
      <c r="KB231" s="1142"/>
      <c r="KC231" s="1142"/>
      <c r="KD231" s="991"/>
      <c r="KE231" s="991"/>
      <c r="KF231" s="1922"/>
      <c r="KG231" s="1142"/>
      <c r="KH231" s="2511"/>
      <c r="KI231" s="2621"/>
      <c r="KJ231" s="3051"/>
      <c r="KK231" s="2077"/>
      <c r="KL231" s="1142"/>
      <c r="KM231" s="1142"/>
      <c r="KN231" s="991"/>
      <c r="KO231" s="3042"/>
      <c r="KP231" s="1141"/>
      <c r="KQ231" s="1142"/>
      <c r="KR231" s="1142"/>
      <c r="KS231" s="991"/>
      <c r="KT231" s="991"/>
      <c r="KU231" s="1141"/>
      <c r="KV231" s="1142"/>
      <c r="KW231" s="1142"/>
      <c r="KX231" s="991"/>
      <c r="KY231" s="3042"/>
      <c r="KZ231" s="1698"/>
      <c r="LA231" s="1089"/>
      <c r="LB231" s="1089"/>
      <c r="LC231" s="1089"/>
      <c r="LD231" s="2075"/>
      <c r="LE231" s="1854"/>
      <c r="LF231" s="1014"/>
      <c r="LG231" s="1014"/>
      <c r="LH231" s="3052"/>
      <c r="LI231" s="3053"/>
      <c r="LJ231" s="1014"/>
      <c r="LK231" s="1014"/>
      <c r="LL231" s="3052"/>
      <c r="LM231" s="1934"/>
      <c r="LN231" s="1014"/>
      <c r="LO231" s="1014"/>
      <c r="LP231" s="3052"/>
      <c r="LQ231" s="3046"/>
      <c r="LR231" s="1128"/>
      <c r="LS231" s="1128"/>
      <c r="LT231" s="1706"/>
      <c r="LV231" s="1708"/>
      <c r="LW231" s="234"/>
      <c r="LX231" s="234"/>
      <c r="LY231" s="69"/>
      <c r="LZ231" s="629"/>
      <c r="MA231" s="1708"/>
      <c r="MB231" s="234"/>
      <c r="MC231" s="234"/>
      <c r="MD231" s="69"/>
      <c r="ME231" s="629"/>
      <c r="MF231" s="2616"/>
      <c r="MG231" s="234"/>
      <c r="MH231" s="234"/>
      <c r="MI231" s="69"/>
      <c r="MJ231" s="3054"/>
      <c r="MK231" s="3055"/>
      <c r="ML231" s="234"/>
      <c r="MM231" s="234"/>
      <c r="MN231" s="69"/>
      <c r="MO231" s="3054"/>
      <c r="MP231" s="3055"/>
      <c r="MQ231" s="234"/>
      <c r="MR231" s="234"/>
      <c r="MS231" s="69"/>
      <c r="MT231" s="3054"/>
      <c r="MU231" s="453"/>
      <c r="MV231" s="234"/>
      <c r="MW231" s="234"/>
      <c r="MX231" s="453"/>
      <c r="MY231" s="3056"/>
      <c r="MZ231" s="1134"/>
      <c r="NA231" s="234"/>
      <c r="NB231" s="234"/>
      <c r="NC231" s="453"/>
      <c r="ND231" s="3056"/>
      <c r="NE231" s="1134"/>
      <c r="NF231" s="234"/>
      <c r="NG231" s="234"/>
      <c r="NH231" s="453"/>
      <c r="NI231" s="3057"/>
      <c r="NJ231" s="1134"/>
      <c r="NK231" s="234"/>
      <c r="NL231" s="234"/>
      <c r="NM231" s="453"/>
      <c r="NN231" s="3057"/>
      <c r="NO231" s="453"/>
      <c r="NP231" s="234"/>
      <c r="NQ231" s="234"/>
      <c r="NR231" s="453"/>
      <c r="NS231" s="3057"/>
      <c r="NT231" s="453"/>
      <c r="NU231" s="234"/>
      <c r="NV231" s="234"/>
      <c r="NW231" s="67"/>
      <c r="NX231" s="3058"/>
      <c r="NY231" s="1134"/>
      <c r="NZ231" s="234"/>
      <c r="OA231" s="234"/>
      <c r="OB231" s="67"/>
      <c r="OC231" s="3059"/>
      <c r="OD231" s="453"/>
      <c r="OE231" s="234"/>
      <c r="OF231" s="234"/>
      <c r="OG231" s="823"/>
      <c r="OH231" s="3059"/>
      <c r="OI231" s="1134"/>
      <c r="OJ231" s="453"/>
      <c r="OK231" s="234"/>
      <c r="OL231" s="234"/>
      <c r="OM231" s="3060"/>
      <c r="ON231" s="3061"/>
      <c r="OO231" s="3062"/>
      <c r="OP231" s="3063"/>
      <c r="OQ231" s="3064"/>
      <c r="OR231" s="3065"/>
      <c r="OS231" s="72"/>
      <c r="OT231" s="69"/>
      <c r="OU231" s="69"/>
      <c r="OV231" s="453"/>
      <c r="OW231" s="3066"/>
      <c r="OX231" s="3067"/>
      <c r="OY231" s="3064"/>
      <c r="OZ231" s="3068"/>
      <c r="PA231" s="3068"/>
      <c r="PB231" s="3069"/>
      <c r="PC231" s="79"/>
      <c r="PD231" s="1708"/>
      <c r="PE231" s="234"/>
      <c r="PF231" s="234"/>
      <c r="PG231" s="69"/>
      <c r="PH231" s="629"/>
      <c r="PI231" s="1708"/>
      <c r="PJ231" s="234"/>
      <c r="PK231" s="234"/>
      <c r="PL231" s="69"/>
      <c r="PM231" s="629"/>
      <c r="PN231" s="2616"/>
      <c r="PO231" s="234"/>
      <c r="PP231" s="234"/>
      <c r="PQ231" s="69"/>
      <c r="PR231" s="3054"/>
      <c r="PS231" s="3055"/>
      <c r="PT231" s="234"/>
      <c r="PU231" s="234"/>
      <c r="PV231" s="67"/>
      <c r="PW231" s="3070"/>
      <c r="PX231" s="2199"/>
      <c r="PY231" s="3071"/>
      <c r="PZ231" s="3071"/>
      <c r="QA231" s="69"/>
      <c r="QB231" s="3054"/>
      <c r="QC231" s="453"/>
      <c r="QD231" s="234"/>
      <c r="QE231" s="234"/>
      <c r="QF231" s="453"/>
      <c r="QG231" s="3056"/>
      <c r="QH231" s="1708"/>
      <c r="QI231" s="234"/>
      <c r="QJ231" s="234"/>
      <c r="QK231" s="453"/>
      <c r="QL231" s="3056"/>
      <c r="QM231" s="1708"/>
      <c r="QN231" s="234"/>
      <c r="QO231" s="234"/>
      <c r="QP231" s="453"/>
      <c r="QQ231" s="3057"/>
      <c r="QR231" s="1134"/>
      <c r="QS231" s="234"/>
      <c r="QT231" s="234"/>
      <c r="QU231" s="453"/>
      <c r="QV231" s="3072"/>
      <c r="QW231" s="453"/>
      <c r="QX231" s="234"/>
      <c r="QY231" s="234"/>
      <c r="QZ231" s="453"/>
      <c r="RA231" s="3057"/>
      <c r="RB231" s="453"/>
      <c r="RC231" s="234"/>
      <c r="RD231" s="234"/>
      <c r="RE231" s="67"/>
      <c r="RF231" s="3058"/>
      <c r="RG231" s="1708"/>
      <c r="RH231" s="234"/>
      <c r="RI231" s="234"/>
      <c r="RJ231" s="67"/>
      <c r="RK231" s="3059"/>
      <c r="RL231" s="1134"/>
      <c r="RM231" s="234"/>
      <c r="RN231" s="234"/>
      <c r="RO231" s="453"/>
      <c r="RP231" s="3058"/>
      <c r="RQ231" s="1134"/>
      <c r="RR231" s="453"/>
      <c r="RS231" s="234"/>
      <c r="RT231" s="234"/>
      <c r="RU231" s="3060"/>
      <c r="RV231" s="3061"/>
      <c r="RW231" s="3062"/>
      <c r="RX231" s="3063"/>
      <c r="RY231" s="3064"/>
      <c r="RZ231" s="3065"/>
      <c r="SA231" s="72"/>
      <c r="SB231" s="69"/>
      <c r="SC231" s="69"/>
      <c r="SD231" s="453"/>
      <c r="SE231" s="3066"/>
      <c r="SF231" s="3067"/>
      <c r="SG231" s="3064"/>
      <c r="SH231" s="3068"/>
      <c r="SI231" s="3068"/>
      <c r="SJ231" s="3069"/>
      <c r="SL231" s="1708"/>
      <c r="SM231" s="234"/>
      <c r="SN231" s="234"/>
      <c r="SO231" s="67"/>
      <c r="SP231" s="3522"/>
      <c r="SQ231" s="1708"/>
      <c r="SR231" s="234"/>
      <c r="SS231" s="234"/>
      <c r="ST231" s="67"/>
      <c r="SU231" s="3522"/>
      <c r="SV231" s="1693"/>
      <c r="SW231" s="3071"/>
      <c r="SX231" s="3071"/>
      <c r="SY231" s="69"/>
      <c r="SZ231" s="3054"/>
      <c r="TA231" s="2199"/>
      <c r="TB231" s="3071"/>
      <c r="TC231" s="3071"/>
      <c r="TD231" s="69"/>
      <c r="TE231" s="3054"/>
      <c r="TF231" s="2199"/>
      <c r="TG231" s="3071"/>
      <c r="TH231" s="3071"/>
      <c r="TI231" s="69"/>
      <c r="TJ231" s="3054"/>
      <c r="TK231" s="453"/>
      <c r="TL231" s="234"/>
      <c r="TM231" s="234"/>
      <c r="TN231" s="453"/>
      <c r="TO231" s="3056"/>
      <c r="TP231" s="4433"/>
      <c r="TQ231" s="234"/>
      <c r="TR231" s="234"/>
      <c r="TS231" s="453"/>
      <c r="TT231" s="3056"/>
      <c r="TU231" s="4433"/>
      <c r="TV231" s="234"/>
      <c r="TW231" s="234"/>
      <c r="TX231" s="453"/>
      <c r="TY231" s="3057"/>
      <c r="TZ231" s="1134"/>
      <c r="UA231" s="234"/>
      <c r="UB231" s="234"/>
      <c r="UC231" s="453"/>
      <c r="UD231" s="3072"/>
      <c r="UE231" s="453"/>
      <c r="UF231" s="234"/>
      <c r="UG231" s="234"/>
      <c r="UH231" s="453"/>
      <c r="UI231" s="3057"/>
      <c r="UJ231" s="453"/>
      <c r="UK231" s="234"/>
      <c r="UL231" s="234"/>
      <c r="UM231" s="67"/>
      <c r="UN231" s="3058"/>
      <c r="UO231" s="1708"/>
      <c r="UP231" s="234"/>
      <c r="UQ231" s="234"/>
      <c r="UR231" s="67"/>
      <c r="US231" s="3059"/>
      <c r="UT231" s="1134"/>
      <c r="UU231" s="234"/>
      <c r="UV231" s="234"/>
      <c r="UW231" s="823"/>
      <c r="UX231" s="3059"/>
      <c r="UY231" s="1134"/>
      <c r="UZ231" s="453"/>
      <c r="VA231" s="234"/>
      <c r="VB231" s="234"/>
      <c r="VC231" s="3060"/>
      <c r="VD231" s="3061"/>
      <c r="VE231" s="3062"/>
      <c r="VF231" s="3063"/>
      <c r="VG231" s="3064"/>
      <c r="VH231" s="3065"/>
      <c r="VI231" s="72"/>
      <c r="VJ231" s="69"/>
      <c r="VK231" s="69"/>
      <c r="VL231" s="453"/>
      <c r="VM231" s="3066"/>
      <c r="VN231" s="3067"/>
      <c r="VO231" s="3064"/>
      <c r="VP231" s="3068"/>
      <c r="VQ231" s="3068"/>
      <c r="VR231" s="3069"/>
    </row>
    <row r="232" spans="1:592" s="3074" customFormat="1" ht="19.350000000000001" customHeight="1" thickBot="1" x14ac:dyDescent="0.35">
      <c r="A232" s="3073"/>
      <c r="B232" s="5268"/>
      <c r="C232" s="5269" t="s">
        <v>120</v>
      </c>
      <c r="D232" s="6492"/>
      <c r="E232" s="5270"/>
      <c r="F232" s="6665"/>
      <c r="G232" s="6666"/>
      <c r="H232" s="6492"/>
      <c r="I232" s="5271">
        <f t="shared" ref="I232:AN232" si="872">SUM(I42:I207)</f>
        <v>154339</v>
      </c>
      <c r="J232" s="5271">
        <f t="shared" si="872"/>
        <v>205040</v>
      </c>
      <c r="K232" s="5271">
        <f t="shared" si="872"/>
        <v>50701</v>
      </c>
      <c r="L232" s="5271">
        <f t="shared" si="872"/>
        <v>0.24727370269215762</v>
      </c>
      <c r="M232" s="5271">
        <f t="shared" si="872"/>
        <v>23</v>
      </c>
      <c r="N232" s="5271">
        <f t="shared" si="872"/>
        <v>488930</v>
      </c>
      <c r="O232" s="5271">
        <f t="shared" si="872"/>
        <v>547141</v>
      </c>
      <c r="P232" s="5271">
        <f t="shared" si="872"/>
        <v>58211</v>
      </c>
      <c r="Q232" s="5271">
        <f t="shared" si="872"/>
        <v>0.27075837486520532</v>
      </c>
      <c r="R232" s="5271">
        <f t="shared" si="872"/>
        <v>28</v>
      </c>
      <c r="S232" s="5271">
        <f t="shared" si="872"/>
        <v>484120</v>
      </c>
      <c r="T232" s="5271">
        <f t="shared" si="872"/>
        <v>646995</v>
      </c>
      <c r="U232" s="5271">
        <f t="shared" si="872"/>
        <v>162875</v>
      </c>
      <c r="V232" s="5271">
        <f t="shared" si="872"/>
        <v>0.51571195793706182</v>
      </c>
      <c r="W232" s="5271">
        <f t="shared" si="872"/>
        <v>89</v>
      </c>
      <c r="X232" s="5271">
        <f t="shared" si="872"/>
        <v>1777141</v>
      </c>
      <c r="Y232" s="5271">
        <f t="shared" si="872"/>
        <v>2017985</v>
      </c>
      <c r="Z232" s="5271">
        <f t="shared" si="872"/>
        <v>240844</v>
      </c>
      <c r="AA232" s="5271">
        <f t="shared" si="872"/>
        <v>0.55246797687712901</v>
      </c>
      <c r="AB232" s="5271">
        <f t="shared" si="872"/>
        <v>77</v>
      </c>
      <c r="AC232" s="5271">
        <f t="shared" si="872"/>
        <v>1714654</v>
      </c>
      <c r="AD232" s="5271">
        <f t="shared" si="872"/>
        <v>2054526</v>
      </c>
      <c r="AE232" s="5271">
        <f t="shared" si="872"/>
        <v>339872</v>
      </c>
      <c r="AF232" s="5271">
        <f t="shared" si="872"/>
        <v>1.2308385260207377</v>
      </c>
      <c r="AG232" s="5271">
        <f t="shared" si="872"/>
        <v>160</v>
      </c>
      <c r="AH232" s="5271">
        <f t="shared" si="872"/>
        <v>3078459</v>
      </c>
      <c r="AI232" s="5271">
        <f t="shared" si="872"/>
        <v>3735416.8</v>
      </c>
      <c r="AJ232" s="5271">
        <f t="shared" si="872"/>
        <v>656957.80000000005</v>
      </c>
      <c r="AK232" s="5271">
        <f t="shared" si="872"/>
        <v>1.3081801583897639</v>
      </c>
      <c r="AL232" s="5271">
        <f t="shared" si="872"/>
        <v>161</v>
      </c>
      <c r="AM232" s="5271">
        <f t="shared" si="872"/>
        <v>3144566</v>
      </c>
      <c r="AN232" s="5271">
        <f t="shared" si="872"/>
        <v>3753720.3200000003</v>
      </c>
      <c r="AO232" s="5271">
        <f t="shared" ref="AO232:BN232" si="873">SUM(AO42:AO207)</f>
        <v>609154.32000000007</v>
      </c>
      <c r="AP232" s="5271">
        <f t="shared" si="873"/>
        <v>1.2232375340646082</v>
      </c>
      <c r="AQ232" s="5271">
        <f t="shared" si="873"/>
        <v>166</v>
      </c>
      <c r="AR232" s="5271">
        <f t="shared" si="873"/>
        <v>3337626</v>
      </c>
      <c r="AS232" s="5271">
        <f t="shared" si="873"/>
        <v>3783440.3200000003</v>
      </c>
      <c r="AT232" s="5271">
        <f t="shared" si="873"/>
        <v>445814.32</v>
      </c>
      <c r="AU232" s="5271">
        <f t="shared" si="873"/>
        <v>0.97063942600290154</v>
      </c>
      <c r="AV232" s="5271">
        <f t="shared" si="873"/>
        <v>172</v>
      </c>
      <c r="AW232" s="5271">
        <f t="shared" si="873"/>
        <v>3539845</v>
      </c>
      <c r="AX232" s="5271">
        <f t="shared" si="873"/>
        <v>3838434.8</v>
      </c>
      <c r="AY232" s="5271">
        <f t="shared" si="873"/>
        <v>298589.8</v>
      </c>
      <c r="AZ232" s="5271">
        <f t="shared" si="873"/>
        <v>1.4062176478928436</v>
      </c>
      <c r="BA232" s="5271">
        <f t="shared" si="873"/>
        <v>179</v>
      </c>
      <c r="BB232" s="5271">
        <f t="shared" si="873"/>
        <v>3707623</v>
      </c>
      <c r="BC232" s="5271">
        <f t="shared" si="873"/>
        <v>3956631</v>
      </c>
      <c r="BD232" s="5271">
        <f t="shared" si="873"/>
        <v>249008</v>
      </c>
      <c r="BE232" s="5271">
        <f t="shared" si="873"/>
        <v>1.3939333295019007</v>
      </c>
      <c r="BF232" s="5271">
        <f t="shared" si="873"/>
        <v>174</v>
      </c>
      <c r="BG232" s="5271">
        <f t="shared" si="873"/>
        <v>3655619</v>
      </c>
      <c r="BH232" s="5271">
        <f t="shared" si="873"/>
        <v>4027113.8</v>
      </c>
      <c r="BI232" s="5271">
        <f t="shared" si="873"/>
        <v>371494.8</v>
      </c>
      <c r="BJ232" s="5271">
        <f t="shared" si="873"/>
        <v>1.3334492135157576</v>
      </c>
      <c r="BK232" s="5271">
        <f t="shared" si="873"/>
        <v>165</v>
      </c>
      <c r="BL232" s="5271">
        <f t="shared" si="873"/>
        <v>3420518</v>
      </c>
      <c r="BM232" s="5271">
        <f t="shared" si="873"/>
        <v>4027687</v>
      </c>
      <c r="BN232" s="5271">
        <f t="shared" si="873"/>
        <v>607169</v>
      </c>
      <c r="BO232" s="5272"/>
      <c r="BP232" s="5271">
        <f t="shared" ref="BP232:BW232" si="874">SUM(BP42:BP207)</f>
        <v>116.66666666666669</v>
      </c>
      <c r="BQ232" s="5271">
        <f t="shared" si="874"/>
        <v>28503440</v>
      </c>
      <c r="BR232" s="5271">
        <f t="shared" si="874"/>
        <v>32594131.039999999</v>
      </c>
      <c r="BS232" s="5271">
        <f t="shared" si="874"/>
        <v>4090691.04</v>
      </c>
      <c r="BT232" s="5271">
        <f t="shared" si="874"/>
        <v>57</v>
      </c>
      <c r="BU232" s="5271">
        <f t="shared" si="874"/>
        <v>1399176</v>
      </c>
      <c r="BV232" s="5271">
        <f t="shared" si="874"/>
        <v>271787</v>
      </c>
      <c r="BW232" s="5271">
        <f t="shared" si="874"/>
        <v>0.40214606274828157</v>
      </c>
      <c r="BX232" s="5273"/>
      <c r="BY232" s="5271"/>
      <c r="BZ232" s="5271"/>
      <c r="CA232" s="5274"/>
      <c r="CB232" s="5271"/>
      <c r="CC232" s="5271"/>
      <c r="CD232" s="5271"/>
      <c r="CE232" s="5271"/>
      <c r="CF232" s="5273"/>
      <c r="CG232" s="5271"/>
      <c r="CH232" s="5271"/>
      <c r="CI232" s="5274"/>
      <c r="CJ232" s="5275">
        <f>SUM(CJ42:CJ231)</f>
        <v>163</v>
      </c>
      <c r="CK232" s="5276">
        <f>SUM(CK42:CK207)</f>
        <v>3292823</v>
      </c>
      <c r="CL232" s="5276">
        <f>SUM(CL42:CL207)</f>
        <v>3975876.99</v>
      </c>
      <c r="CM232" s="5276">
        <f>SUM(CM42:CM207)</f>
        <v>683053.99</v>
      </c>
      <c r="CN232" s="5277">
        <f>CM232/CK232</f>
        <v>0.20743720206035976</v>
      </c>
      <c r="CO232" s="5275">
        <f>SUM(CO42:CO231)</f>
        <v>175</v>
      </c>
      <c r="CP232" s="5276">
        <f>SUM(CP42:CP207)</f>
        <v>3550203</v>
      </c>
      <c r="CQ232" s="5276">
        <f>SUM(CQ42:CQ207)</f>
        <v>4151902.96</v>
      </c>
      <c r="CR232" s="5276">
        <f>SUM(CR42:CR207)</f>
        <v>601699.96</v>
      </c>
      <c r="CS232" s="5277">
        <f>CR232/CP232</f>
        <v>0.16948325490119859</v>
      </c>
      <c r="CT232" s="5275">
        <f>SUM(CT42:CT231)</f>
        <v>199</v>
      </c>
      <c r="CU232" s="5276">
        <f>SUM(CU42:CU207)</f>
        <v>3893472</v>
      </c>
      <c r="CV232" s="5276">
        <f>SUM(CV42:CV207)</f>
        <v>4662436</v>
      </c>
      <c r="CW232" s="5276">
        <f>SUM(CW42:CW207)</f>
        <v>768964</v>
      </c>
      <c r="CX232" s="5277">
        <f>CW232/CU232</f>
        <v>0.19750084243574886</v>
      </c>
      <c r="CY232" s="5275">
        <f>SUM(CY42:CY231)</f>
        <v>201</v>
      </c>
      <c r="CZ232" s="5276">
        <f>SUM(CZ42:CZ207)</f>
        <v>4363786</v>
      </c>
      <c r="DA232" s="5276">
        <f>SUM(DA42:DA207)</f>
        <v>5073775.9000000004</v>
      </c>
      <c r="DB232" s="5276">
        <f>SUM(DB42:DB207)</f>
        <v>709989.9</v>
      </c>
      <c r="DC232" s="5277">
        <f>DB232/CZ232</f>
        <v>0.16270043948076282</v>
      </c>
      <c r="DD232" s="5275">
        <f>SUM(DD42:DD231)</f>
        <v>205</v>
      </c>
      <c r="DE232" s="5276">
        <f>SUM(DE42:DE207)</f>
        <v>4520518</v>
      </c>
      <c r="DF232" s="5276">
        <f>SUM(DF42:DF207)</f>
        <v>5143724</v>
      </c>
      <c r="DG232" s="5276">
        <f>SUM(DG42:DG207)</f>
        <v>623206</v>
      </c>
      <c r="DH232" s="5277">
        <f>DG232/DE232</f>
        <v>0.13786163444100874</v>
      </c>
      <c r="DI232" s="5275">
        <f>SUM(DI42:DI231)</f>
        <v>205</v>
      </c>
      <c r="DJ232" s="5276">
        <f>SUM(DJ42:DJ207)</f>
        <v>4671921</v>
      </c>
      <c r="DK232" s="5276">
        <f>SUM(DK42:DK207)</f>
        <v>5272738.62</v>
      </c>
      <c r="DL232" s="5276">
        <f>SUM(DL42:DL207)</f>
        <v>600817.62</v>
      </c>
      <c r="DM232" s="5277">
        <f>DL232/DJ232</f>
        <v>0.12860183637522982</v>
      </c>
      <c r="DN232" s="5275">
        <f>SUM(DN42:DN231)</f>
        <v>225</v>
      </c>
      <c r="DO232" s="5276">
        <f>SUM(DO42:DO207)</f>
        <v>5197912</v>
      </c>
      <c r="DP232" s="5276">
        <f>SUM(DP42:DP207)</f>
        <v>6047656.5499999998</v>
      </c>
      <c r="DQ232" s="5276">
        <f>SUM(DQ42:DQ207)</f>
        <v>849744.55</v>
      </c>
      <c r="DR232" s="5277">
        <f>DQ232/DO232</f>
        <v>0.16347805618871578</v>
      </c>
      <c r="DS232" s="5275">
        <f>SUM(DS42:DS231)</f>
        <v>234</v>
      </c>
      <c r="DT232" s="5276">
        <f>SUM(DT42:DT207)</f>
        <v>5474329</v>
      </c>
      <c r="DU232" s="5276">
        <f>SUM(DU42:DU207)</f>
        <v>6371218.2800000003</v>
      </c>
      <c r="DV232" s="5276">
        <f>SUM(DV42:DV207)</f>
        <v>896889.28</v>
      </c>
      <c r="DW232" s="5277">
        <f>DV232/DT232</f>
        <v>0.16383547280406421</v>
      </c>
      <c r="DX232" s="5275">
        <f>SUM(DX42:DX231)</f>
        <v>243</v>
      </c>
      <c r="DY232" s="5276">
        <f>SUM(DY42:DY207)</f>
        <v>5476464</v>
      </c>
      <c r="DZ232" s="5276">
        <f>SUM(DZ42:DZ207)</f>
        <v>6529029.7999999998</v>
      </c>
      <c r="EA232" s="5276">
        <f>SUM(EA42:EA207)</f>
        <v>1052565.8</v>
      </c>
      <c r="EB232" s="5277">
        <f>EA232/DY232</f>
        <v>0.19219806795041472</v>
      </c>
      <c r="EC232" s="5275">
        <f>SUM(EC42:EC231)</f>
        <v>233</v>
      </c>
      <c r="ED232" s="5276">
        <f>SUM(ED42:ED207)</f>
        <v>5843786</v>
      </c>
      <c r="EE232" s="5276">
        <f>SUM(EE42:EE207)</f>
        <v>6881536</v>
      </c>
      <c r="EF232" s="5276">
        <f>SUM(EF42:EF207)</f>
        <v>1037750</v>
      </c>
      <c r="EG232" s="5277">
        <f>EF232/ED232</f>
        <v>0.17758179372071461</v>
      </c>
      <c r="EH232" s="5275">
        <f>SUM(EH42:EH231)</f>
        <v>239</v>
      </c>
      <c r="EI232" s="5276">
        <f>SUM(EI42:EI207)</f>
        <v>6270005</v>
      </c>
      <c r="EJ232" s="5276">
        <f>SUM(EJ42:EJ207)</f>
        <v>7263522.3219999997</v>
      </c>
      <c r="EK232" s="5276">
        <f>SUM(EK42:EK207)</f>
        <v>993517.32199999993</v>
      </c>
      <c r="EL232" s="5277">
        <f>EK232/EI232</f>
        <v>0.15845558687752243</v>
      </c>
      <c r="EM232" s="5275">
        <f>SUM(EM42:EM231)</f>
        <v>237</v>
      </c>
      <c r="EN232" s="5276">
        <f>SUM(EN42:EN207)</f>
        <v>6044084</v>
      </c>
      <c r="EO232" s="5276">
        <f>SUM(EO42:EO207)</f>
        <v>7439080.8100000005</v>
      </c>
      <c r="EP232" s="5276">
        <f>SUM(EP42:EP207)</f>
        <v>1394996.81</v>
      </c>
      <c r="EQ232" s="5277">
        <f>EP232/EN232</f>
        <v>0.23080367678543184</v>
      </c>
      <c r="ER232" s="5278">
        <f>ER211+ER167+ER230</f>
        <v>389.66666666666663</v>
      </c>
      <c r="ES232" s="5271">
        <f>ES211+ES167+ES230</f>
        <v>112840089.29930848</v>
      </c>
      <c r="ET232" s="5271">
        <f>ET211+ET167+ET230</f>
        <v>132061548.81200001</v>
      </c>
      <c r="EU232" s="5271">
        <f>EU211+EU167+EU230</f>
        <v>19221459.512691524</v>
      </c>
      <c r="EV232" s="5279">
        <f>EU232/ET232</f>
        <v>0.1455492509788355</v>
      </c>
      <c r="EW232" s="5276">
        <f>SUM(EW42:EW207)</f>
        <v>179.00000000000003</v>
      </c>
      <c r="EX232" s="5276">
        <f>SUM(EX42:EX207)</f>
        <v>12790215.950000001</v>
      </c>
      <c r="EY232" s="5276">
        <f>SUM(EY42:EY207)</f>
        <v>2053717.95</v>
      </c>
      <c r="EZ232" s="5277">
        <f>EY232/EX232</f>
        <v>0.16056945074488752</v>
      </c>
      <c r="FA232" s="5276">
        <f>SUM(FA42:FA207)</f>
        <v>203.66666666666666</v>
      </c>
      <c r="FB232" s="5276">
        <f>SUM(FB42:FB207)</f>
        <v>15490238.52</v>
      </c>
      <c r="FC232" s="5276">
        <f>SUM(FC42:FC207)</f>
        <v>1934013.52</v>
      </c>
      <c r="FD232" s="5277">
        <f>FC232/FB232</f>
        <v>0.12485369528060695</v>
      </c>
      <c r="FE232" s="5276">
        <f>SUM(FE42:FE207)</f>
        <v>233.99999999999997</v>
      </c>
      <c r="FF232" s="5276">
        <f>SUM(FF42:FF207)</f>
        <v>18947904.630000003</v>
      </c>
      <c r="FG232" s="5276">
        <f>SUM(FG42:FG207)</f>
        <v>2799199.63</v>
      </c>
      <c r="FH232" s="5277">
        <f>FG232/FF232</f>
        <v>0.14773135524273534</v>
      </c>
      <c r="FI232" s="5276">
        <f>SUM(FI42:FI207)</f>
        <v>238.99999999999997</v>
      </c>
      <c r="FJ232" s="5276"/>
      <c r="FK232" s="5276">
        <f>SUM(FK42:FK207)</f>
        <v>21584139.131999999</v>
      </c>
      <c r="FL232" s="5276">
        <f>SUM(FL42:FL207)</f>
        <v>3426264.1319999998</v>
      </c>
      <c r="FM232" s="5277">
        <f>FL232/FK232</f>
        <v>0.15873990206634292</v>
      </c>
      <c r="FN232" s="5276">
        <f>SUM(FN42:FN207)</f>
        <v>220</v>
      </c>
      <c r="FO232" s="5276">
        <f>SUM(FO42:FO207)</f>
        <v>5967056.7599999998</v>
      </c>
      <c r="FP232" s="5276">
        <f>SUM(FP42:FP207)</f>
        <v>7329991.9100000001</v>
      </c>
      <c r="FQ232" s="5276">
        <f>SUM(FQ42:FQ207)</f>
        <v>1362935.15</v>
      </c>
      <c r="FR232" s="5280">
        <f>FQ232/FP232</f>
        <v>0.18593951626885219</v>
      </c>
      <c r="FS232" s="5276">
        <f>SUM(FS42:FS207)</f>
        <v>222</v>
      </c>
      <c r="FT232" s="5276">
        <f>SUM(FT42:FT207)</f>
        <v>6033984.2583870962</v>
      </c>
      <c r="FU232" s="5276">
        <f>SUM(FU42:FU207)</f>
        <v>7568749.0999999996</v>
      </c>
      <c r="FV232" s="5276">
        <f>SUM(FV42:FV207)</f>
        <v>1534764.8416129034</v>
      </c>
      <c r="FW232" s="5280">
        <f>FV232/FU232</f>
        <v>0.20277655149288851</v>
      </c>
      <c r="FX232" s="5276">
        <f>SUM(FX42:FX207)</f>
        <v>220</v>
      </c>
      <c r="FY232" s="5276">
        <f>SUM(FY42:FY207)</f>
        <v>5950836</v>
      </c>
      <c r="FZ232" s="5276">
        <f>SUM(FZ42:FZ207)</f>
        <v>7638765.1899999995</v>
      </c>
      <c r="GA232" s="5276">
        <f>SUM(GA42:GA207)</f>
        <v>1687929.19</v>
      </c>
      <c r="GB232" s="5280">
        <f>GA232/FZ232</f>
        <v>0.22096885399877045</v>
      </c>
      <c r="GC232" s="5276">
        <f>SUM(GC42:GC207)</f>
        <v>223</v>
      </c>
      <c r="GD232" s="5276">
        <f>SUM(GD42:GD207)</f>
        <v>6223252.0999999996</v>
      </c>
      <c r="GE232" s="5276">
        <f>SUM(GE42:GE207)</f>
        <v>7822287.7000000002</v>
      </c>
      <c r="GF232" s="5276">
        <f>SUM(GF42:GF207)</f>
        <v>1599035.6</v>
      </c>
      <c r="GG232" s="5280">
        <f>GF232/GE232</f>
        <v>0.20442045362253808</v>
      </c>
      <c r="GH232" s="5276">
        <f>SUM(GH42:GH207)</f>
        <v>241</v>
      </c>
      <c r="GI232" s="5276">
        <f>SUM(GI42:GI207)</f>
        <v>6992280</v>
      </c>
      <c r="GJ232" s="5276">
        <f>SUM(GJ42:GJ207)</f>
        <v>8732584.4000000004</v>
      </c>
      <c r="GK232" s="5276">
        <f>SUM(GK42:GK207)</f>
        <v>1740304.4</v>
      </c>
      <c r="GL232" s="5280">
        <f>GK232/GJ232</f>
        <v>0.19928858632044827</v>
      </c>
      <c r="GM232" s="5276">
        <f>SUM(GM42:GM207)</f>
        <v>247</v>
      </c>
      <c r="GN232" s="5276">
        <f>SUM(GN42:GN207)</f>
        <v>6989162</v>
      </c>
      <c r="GO232" s="5276">
        <f>SUM(GO42:GO207)</f>
        <v>8785765.5800000001</v>
      </c>
      <c r="GP232" s="5276">
        <f>SUM(GP42:GP207)</f>
        <v>1796603.58</v>
      </c>
      <c r="GQ232" s="5280">
        <f>GP232/GO232</f>
        <v>0.20449027049956869</v>
      </c>
      <c r="GR232" s="5276">
        <f>SUM(GR42:GR207)</f>
        <v>252</v>
      </c>
      <c r="GS232" s="5276">
        <f>SUM(GS42:GS207)</f>
        <v>7158449.0967741897</v>
      </c>
      <c r="GT232" s="5276">
        <f>SUM(GT42:GT207)</f>
        <v>8935819.7800000012</v>
      </c>
      <c r="GU232" s="5276">
        <f>SUM(GU42:GU207)</f>
        <v>1777370.6832258101</v>
      </c>
      <c r="GV232" s="5280">
        <f>GU232/GT232</f>
        <v>0.19890404316388416</v>
      </c>
      <c r="GW232" s="5276">
        <f>SUM(GW42:GW207)</f>
        <v>261</v>
      </c>
      <c r="GX232" s="5276">
        <f>SUM(GX42:GX207)</f>
        <v>7375393.5333333332</v>
      </c>
      <c r="GY232" s="5276">
        <f>SUM(GY42:GY207)</f>
        <v>9199991.4560000002</v>
      </c>
      <c r="GZ232" s="5276">
        <f>SUM(GZ42:GZ207)</f>
        <v>1824597.922666667</v>
      </c>
      <c r="HA232" s="5280">
        <f>GZ232/GY232</f>
        <v>0.19832604534395634</v>
      </c>
      <c r="HB232" s="5276">
        <f>SUM(HB42:HB207)</f>
        <v>274</v>
      </c>
      <c r="HC232" s="5276">
        <f>SUM(HC42:HC207)</f>
        <v>7796441.8033298599</v>
      </c>
      <c r="HD232" s="5276">
        <f>SUM(HD42:HD207)</f>
        <v>9728252.9800000004</v>
      </c>
      <c r="HE232" s="5276">
        <f>SUM(HE42:HE207)</f>
        <v>1931811.1766701399</v>
      </c>
      <c r="HF232" s="5280">
        <f>HE232/HD232</f>
        <v>0.19857739931739932</v>
      </c>
      <c r="HG232" s="5276">
        <f>SUM(HG42:HG207)</f>
        <v>273</v>
      </c>
      <c r="HH232" s="5276">
        <f>SUM(HH42:HH207)</f>
        <v>7919247.3200000003</v>
      </c>
      <c r="HI232" s="5276">
        <f>SUM(HI42:HI207)</f>
        <v>10018720.91</v>
      </c>
      <c r="HJ232" s="5276">
        <f>SUM(HJ42:HJ207)</f>
        <v>2099473.59</v>
      </c>
      <c r="HK232" s="5280">
        <f>HJ232/HI232</f>
        <v>0.20955505287151469</v>
      </c>
      <c r="HL232" s="5276">
        <f>SUM(HL42:HL207)</f>
        <v>276</v>
      </c>
      <c r="HM232" s="5276">
        <f>SUM(HM42:HM173)</f>
        <v>7552204.1428571437</v>
      </c>
      <c r="HN232" s="5276">
        <f>SUM(HN42:HN173)</f>
        <v>8983957.8499999996</v>
      </c>
      <c r="HO232" s="5276">
        <f>SUM(HO42:HO173)</f>
        <v>1431753.7071428569</v>
      </c>
      <c r="HP232" s="5280">
        <f>HO232/HN232</f>
        <v>0.15936781216564333</v>
      </c>
      <c r="HQ232" s="5275">
        <f>HQ211+HQ167</f>
        <v>282</v>
      </c>
      <c r="HR232" s="5271">
        <f>HR211+HR167</f>
        <v>7823245.0503225811</v>
      </c>
      <c r="HS232" s="5271">
        <f>HS211+HS167</f>
        <v>9828022.8080000021</v>
      </c>
      <c r="HT232" s="5271">
        <f>HT211+HT167</f>
        <v>2004777.7576774193</v>
      </c>
      <c r="HU232" s="5281">
        <f>HT232/HS232</f>
        <v>0.20398586743668645</v>
      </c>
      <c r="HV232" s="5278">
        <f>HV211+HV167+HV230</f>
        <v>315.75</v>
      </c>
      <c r="HW232" s="5271">
        <f>HW211+HW167+HW230</f>
        <v>107146323.03357564</v>
      </c>
      <c r="HX232" s="5271">
        <f>HX211+HX167+HX230</f>
        <v>133189171.204</v>
      </c>
      <c r="HY232" s="5271">
        <f>HY211+HY167+HY230</f>
        <v>26042848.170424365</v>
      </c>
      <c r="HZ232" s="5279">
        <f>HY232/HX232</f>
        <v>0.19553277443656195</v>
      </c>
      <c r="IA232" s="5276">
        <f>SUM(IA42:IA207)</f>
        <v>220.66666666666663</v>
      </c>
      <c r="IB232" s="5276">
        <f>SUM(IB42:IB173)</f>
        <v>19479877.199999999</v>
      </c>
      <c r="IC232" s="5276">
        <f>SUM(IC42:IC173)</f>
        <v>3771450.1816129033</v>
      </c>
      <c r="ID232" s="5280">
        <f>IC232/IB232</f>
        <v>0.19360749263927102</v>
      </c>
      <c r="IE232" s="5276">
        <f>SUM(IE42:IE207)</f>
        <v>236.99999999999997</v>
      </c>
      <c r="IF232" s="5276">
        <f>SUM(IF42:IF173)</f>
        <v>21242949.379999999</v>
      </c>
      <c r="IG232" s="5276">
        <f>SUM(IG42:IG173)</f>
        <v>4184982.2800000003</v>
      </c>
      <c r="IH232" s="5280">
        <f>IG232/IF232</f>
        <v>0.19700570787689747</v>
      </c>
      <c r="II232" s="5276">
        <f>SUM(II42:II207)</f>
        <v>262.00000000000006</v>
      </c>
      <c r="IJ232" s="5276">
        <f>SUM(IJ42:IJ173)</f>
        <v>24293360.596000001</v>
      </c>
      <c r="IK232" s="5276">
        <f>SUM(IK42:IK173)</f>
        <v>4760808.1625626162</v>
      </c>
      <c r="IL232" s="5280">
        <f>IK232/IJ232</f>
        <v>0.19597157600939338</v>
      </c>
      <c r="IM232" s="5276">
        <f>SUM(IM42:IM207)</f>
        <v>274.33333333333337</v>
      </c>
      <c r="IN232" s="5276">
        <f>SUM(IN42:IN173)</f>
        <v>26194589.210000001</v>
      </c>
      <c r="IO232" s="5276">
        <f>SUM(IO42:IO173)</f>
        <v>4947552.6968202759</v>
      </c>
      <c r="IP232" s="5280">
        <f>IO232/IN232</f>
        <v>0.18887689580302738</v>
      </c>
      <c r="IQ232" s="5282"/>
      <c r="IR232" s="5278">
        <f>IR211+IR167+IR230</f>
        <v>276</v>
      </c>
      <c r="IS232" s="5271">
        <f>IS211+IS167+IS230</f>
        <v>7607622</v>
      </c>
      <c r="IT232" s="5271">
        <f>IT211+IT167+IT230</f>
        <v>10305164.761</v>
      </c>
      <c r="IU232" s="5271">
        <f>IU211+IU167+IU230</f>
        <v>2697542.7610000004</v>
      </c>
      <c r="IV232" s="5280">
        <f>IU232/IT232</f>
        <v>0.26176609724949551</v>
      </c>
      <c r="IW232" s="5278">
        <f>IW211+IW167+IW230</f>
        <v>306</v>
      </c>
      <c r="IX232" s="5271">
        <f>IX211+IX167+IX230</f>
        <v>9904979.0899999999</v>
      </c>
      <c r="IY232" s="5271">
        <f>IY211+IY167+IY230</f>
        <v>12903846.173333332</v>
      </c>
      <c r="IZ232" s="5271">
        <f>IZ211+IZ167+IZ230</f>
        <v>2998867.083333333</v>
      </c>
      <c r="JA232" s="5280">
        <f>IZ232/IY232</f>
        <v>0.23240102548112315</v>
      </c>
      <c r="JB232" s="5278">
        <f>JB211+JB167+JB230</f>
        <v>260</v>
      </c>
      <c r="JC232" s="5271">
        <f>JC211+JC167+JC230</f>
        <v>7605374</v>
      </c>
      <c r="JD232" s="5271">
        <f>JD211+JD167+JD230</f>
        <v>9908955.0666666664</v>
      </c>
      <c r="JE232" s="5271">
        <f>JE211+JE167+JE230</f>
        <v>2303581.0666666669</v>
      </c>
      <c r="JF232" s="5280">
        <f>JE232/JD232</f>
        <v>0.2324746707567403</v>
      </c>
      <c r="JG232" s="5278">
        <f>JG211+JG167+JG230</f>
        <v>245</v>
      </c>
      <c r="JH232" s="5271">
        <f>JH211+JH167+JH230</f>
        <v>7522826.7419354841</v>
      </c>
      <c r="JI232" s="5271">
        <f>JI211+JI167+JI230</f>
        <v>9506813.4499999993</v>
      </c>
      <c r="JJ232" s="5271">
        <f>JJ211+JJ167+JJ230</f>
        <v>1983986.7080645161</v>
      </c>
      <c r="JK232" s="5280">
        <f>JJ232/JI232</f>
        <v>0.20869103180566947</v>
      </c>
      <c r="JL232" s="5278">
        <f>JL211+JL167+JL230</f>
        <v>282</v>
      </c>
      <c r="JM232" s="5271">
        <f>JM211+JM167+JM230</f>
        <v>15010820.870967744</v>
      </c>
      <c r="JN232" s="5271">
        <f>JN211+JN167+JN230</f>
        <v>18784268.461999997</v>
      </c>
      <c r="JO232" s="5271">
        <f>JO211+JO167+JO230</f>
        <v>3773447.5910322559</v>
      </c>
      <c r="JP232" s="5280">
        <f>JO232/JN232</f>
        <v>0.20088339339196654</v>
      </c>
      <c r="JQ232" s="5278">
        <f>JQ211+JQ167+JQ230</f>
        <v>238</v>
      </c>
      <c r="JR232" s="5271">
        <f>JR211+JR167+JR230</f>
        <v>12505104</v>
      </c>
      <c r="JS232" s="5271">
        <f>JS211+JS167+JS230</f>
        <v>16990224.329999998</v>
      </c>
      <c r="JT232" s="5271">
        <f>JT211+JT167+JT230</f>
        <v>4485120.33</v>
      </c>
      <c r="JU232" s="5280">
        <f>JT232/JS232</f>
        <v>0.26398240793563438</v>
      </c>
      <c r="JV232" s="5275">
        <f>JV211+JV167+JV230</f>
        <v>243</v>
      </c>
      <c r="JW232" s="5271">
        <f>JW211+JW167+JW230</f>
        <v>7351260.7741935533</v>
      </c>
      <c r="JX232" s="5271">
        <f>JX211+JX167+JX230</f>
        <v>9913877.3300000001</v>
      </c>
      <c r="JY232" s="5271">
        <f>JY211+JY167+JY230</f>
        <v>2562616.5558064468</v>
      </c>
      <c r="JZ232" s="5280">
        <f>JY232/JX232</f>
        <v>0.25848782171752438</v>
      </c>
      <c r="KA232" s="5275">
        <f>KA211+KA167+KA230</f>
        <v>255</v>
      </c>
      <c r="KB232" s="5271">
        <f>KB211+KB167+KB230</f>
        <v>11849445.366666667</v>
      </c>
      <c r="KC232" s="5271">
        <f>KC211+KC167+KC230</f>
        <v>15867778.4</v>
      </c>
      <c r="KD232" s="5271">
        <f>KD211+KD167+KD230</f>
        <v>4018333.0333333332</v>
      </c>
      <c r="KE232" s="5280">
        <f>KD232/KC232</f>
        <v>0.25323853989121331</v>
      </c>
      <c r="KF232" s="5275">
        <f>KF211+KF167+KF230</f>
        <v>224</v>
      </c>
      <c r="KG232" s="5271">
        <f>KG211+KG167+KG230</f>
        <v>7613305.2903225794</v>
      </c>
      <c r="KH232" s="5271">
        <f>KH211+KH167+KH230</f>
        <v>10629334.43</v>
      </c>
      <c r="KI232" s="5271">
        <f>KI211+KI167+KI230</f>
        <v>3016029.1396774212</v>
      </c>
      <c r="KJ232" s="5280">
        <f>KI232/KH232</f>
        <v>0.2837458130177038</v>
      </c>
      <c r="KK232" s="5275">
        <f>KK211+KK167+KK230</f>
        <v>199</v>
      </c>
      <c r="KL232" s="5271">
        <f>KL211+KL167+KL230</f>
        <v>5986170.9032258065</v>
      </c>
      <c r="KM232" s="5271">
        <f>KM211+KM167+KM230</f>
        <v>8177817.3300000001</v>
      </c>
      <c r="KN232" s="5271">
        <f>KN211+KN167+KN230</f>
        <v>2191646.4267741935</v>
      </c>
      <c r="KO232" s="5280">
        <f>KN232/KM232</f>
        <v>0.26799894621444098</v>
      </c>
      <c r="KP232" s="5275">
        <f>KP211+KP167</f>
        <v>225</v>
      </c>
      <c r="KQ232" s="5271">
        <f>KQ211+KQ167</f>
        <v>9030021.25</v>
      </c>
      <c r="KR232" s="5271">
        <f>KR211+KR167</f>
        <v>11951353.83</v>
      </c>
      <c r="KS232" s="5271">
        <f>KS211+KS167</f>
        <v>2921332.58</v>
      </c>
      <c r="KT232" s="5280">
        <f>KS232/KR232</f>
        <v>0.24443528503582093</v>
      </c>
      <c r="KU232" s="5275">
        <f>KU211+KU167</f>
        <v>262</v>
      </c>
      <c r="KV232" s="5271">
        <f>KV211+KV167+KV230</f>
        <v>7872582.5806451607</v>
      </c>
      <c r="KW232" s="5271">
        <f>KW211+KW167+KW230</f>
        <v>10366666.940000001</v>
      </c>
      <c r="KX232" s="5271">
        <f>KX211+KX167+KX230</f>
        <v>2494084.3593548387</v>
      </c>
      <c r="KY232" s="5281">
        <f>KX232/KW232</f>
        <v>0.24058690934994373</v>
      </c>
      <c r="KZ232" s="5275">
        <f>KZ211+KZ167</f>
        <v>272</v>
      </c>
      <c r="LA232" s="5271">
        <f>LA211+LA167+LA230</f>
        <v>112107975.867957</v>
      </c>
      <c r="LB232" s="5271">
        <f>LB211+LB167+LB230</f>
        <v>148787933.83633333</v>
      </c>
      <c r="LC232" s="5271">
        <f>LC211+LC167+LC230</f>
        <v>36679957.968376338</v>
      </c>
      <c r="LD232" s="5281">
        <f>LC232/LB232</f>
        <v>0.24652508454566133</v>
      </c>
      <c r="LE232" s="6492">
        <f>LE211+LE167</f>
        <v>276.33333333333337</v>
      </c>
      <c r="LF232" s="5271">
        <f>LF211+LF167</f>
        <v>31000726.000999998</v>
      </c>
      <c r="LG232" s="5271">
        <f>LG211+LG167</f>
        <v>7488427.9110000003</v>
      </c>
      <c r="LH232" s="5281">
        <f>LG232/LF232</f>
        <v>0.2415565335714539</v>
      </c>
      <c r="LI232" s="5278">
        <f>LI211+LI167</f>
        <v>249.99999999999997</v>
      </c>
      <c r="LJ232" s="5271">
        <f>LJ211+LJ167</f>
        <v>33553230.241999999</v>
      </c>
      <c r="LK232" s="5271">
        <f>LK211+LK167</f>
        <v>8589577.6290967725</v>
      </c>
      <c r="LL232" s="5281">
        <f>LK232/LJ232</f>
        <v>0.25599853030975345</v>
      </c>
      <c r="LM232" s="5278">
        <f>LM211+LM167</f>
        <v>238.99999999999997</v>
      </c>
      <c r="LN232" s="5271">
        <f>LN211+LN167</f>
        <v>32836090.160000004</v>
      </c>
      <c r="LO232" s="5271">
        <f>LO211+LO167</f>
        <v>8742576.7288172022</v>
      </c>
      <c r="LP232" s="5281">
        <f>LO232/LN232</f>
        <v>0.26624901704853893</v>
      </c>
      <c r="LQ232" s="5278">
        <f>LQ211+LQ167</f>
        <v>242.33333333333334</v>
      </c>
      <c r="LR232" s="5271">
        <f>LR211+LR167</f>
        <v>29895838.100000001</v>
      </c>
      <c r="LS232" s="5271">
        <f>LS211+LS167</f>
        <v>7572063.3661290323</v>
      </c>
      <c r="LT232" s="5281">
        <f>LS232/LR232</f>
        <v>0.2532815216887675</v>
      </c>
      <c r="LU232" s="5283"/>
      <c r="LV232" s="5275">
        <f>LV211+LV167</f>
        <v>246</v>
      </c>
      <c r="LW232" s="5271">
        <f>LW211+LW167+LW230</f>
        <v>8659890</v>
      </c>
      <c r="LX232" s="5271">
        <f>LX211+LX167+LX230</f>
        <v>10993888.33</v>
      </c>
      <c r="LY232" s="5271">
        <f>LY211+LY167+LY230</f>
        <v>2333998.33</v>
      </c>
      <c r="LZ232" s="5284">
        <f>LY232/LX232</f>
        <v>0.21229962138427505</v>
      </c>
      <c r="MA232" s="5275">
        <f>MA211+MA167</f>
        <v>256</v>
      </c>
      <c r="MB232" s="5271">
        <f>MB211+MB167</f>
        <v>9024286.8709677458</v>
      </c>
      <c r="MC232" s="5271">
        <f>MC211+MC167</f>
        <v>12034189.710000001</v>
      </c>
      <c r="MD232" s="5271">
        <f>MD211+MD167</f>
        <v>3009902.8390322537</v>
      </c>
      <c r="ME232" s="5285">
        <f>MD232/MC232</f>
        <v>0.25011263006192491</v>
      </c>
      <c r="MF232" s="5275">
        <f>MF211+MF167</f>
        <v>276</v>
      </c>
      <c r="MG232" s="5271">
        <f>MG211+MG167</f>
        <v>9727654.5</v>
      </c>
      <c r="MH232" s="5271">
        <f>MH211+MH167</f>
        <v>12189128.59</v>
      </c>
      <c r="MI232" s="5271">
        <f>MI211+MI167</f>
        <v>2461474.09</v>
      </c>
      <c r="MJ232" s="5286">
        <f>MI232/MH232</f>
        <v>0.201940119986871</v>
      </c>
      <c r="MK232" s="5287">
        <f>MK211+MK167</f>
        <v>239</v>
      </c>
      <c r="ML232" s="5271">
        <f>ML211+ML167</f>
        <v>10565158.548387097</v>
      </c>
      <c r="MM232" s="5271">
        <f>MM211+MM167</f>
        <v>13135890.125483871</v>
      </c>
      <c r="MN232" s="5271">
        <f>MN211+MN167</f>
        <v>2570731.5770967742</v>
      </c>
      <c r="MO232" s="5286">
        <f>MN232/MM232</f>
        <v>0.19570288366751085</v>
      </c>
      <c r="MP232" s="5288">
        <f>MP211+MP167</f>
        <v>230</v>
      </c>
      <c r="MQ232" s="5271">
        <f>MQ211+MQ167</f>
        <v>11611751</v>
      </c>
      <c r="MR232" s="5271">
        <f>MR211+MR167</f>
        <v>14458496.273333333</v>
      </c>
      <c r="MS232" s="5271">
        <f>MS211+MS167</f>
        <v>2846745.2733333334</v>
      </c>
      <c r="MT232" s="5289">
        <f>MS232/MR232</f>
        <v>0.19689082595565319</v>
      </c>
      <c r="MU232" s="5271">
        <f>MU211+MU167+MU230</f>
        <v>266</v>
      </c>
      <c r="MV232" s="5271">
        <f>MV211+MV167+MV230</f>
        <v>12577303</v>
      </c>
      <c r="MW232" s="5271">
        <f>MW211+MW167+MW230</f>
        <v>15818491.083333332</v>
      </c>
      <c r="MX232" s="5271">
        <f>MX211+MX167+MX230</f>
        <v>3241188.0833333335</v>
      </c>
      <c r="MY232" s="5290">
        <f>MX232/MW232</f>
        <v>0.20489868889886165</v>
      </c>
      <c r="MZ232" s="5273">
        <f>MZ211+MZ167+MZ230</f>
        <v>229</v>
      </c>
      <c r="NA232" s="5271">
        <f>NA211+NA167+NA230</f>
        <v>9298776</v>
      </c>
      <c r="NB232" s="5271">
        <f>NB211+NB167+NB230</f>
        <v>12713655.67</v>
      </c>
      <c r="NC232" s="5271">
        <f>NC211+NC167+NC230</f>
        <v>3414879.67</v>
      </c>
      <c r="ND232" s="5290">
        <f>NC232/NB232</f>
        <v>0.26859935164501747</v>
      </c>
      <c r="NE232" s="5273">
        <f>NE211+NE167+NE230</f>
        <v>286</v>
      </c>
      <c r="NF232" s="5271">
        <f>NF211+NF167+NF230</f>
        <v>11705461</v>
      </c>
      <c r="NG232" s="5271">
        <f>NG211+NG167+NG230</f>
        <v>15839693.67</v>
      </c>
      <c r="NH232" s="5271">
        <f>NH211+NH167+NH230</f>
        <v>4134232.67</v>
      </c>
      <c r="NI232" s="5289">
        <f>NH232/NG232</f>
        <v>0.26100458481909516</v>
      </c>
      <c r="NJ232" s="5273">
        <f>NJ211+NJ167+NJ230</f>
        <v>313</v>
      </c>
      <c r="NK232" s="5271">
        <f>NK211+NK167+NK230</f>
        <v>10888226.741935484</v>
      </c>
      <c r="NL232" s="5271">
        <f>NL211+NL167+NL230</f>
        <v>13877371.24</v>
      </c>
      <c r="NM232" s="5271">
        <f>NM211+NM167+NM230</f>
        <v>2989144.4980645161</v>
      </c>
      <c r="NN232" s="5289">
        <f>NM232/NL232</f>
        <v>0.21539702630773724</v>
      </c>
      <c r="NO232" s="5278">
        <f>NO211+NO167</f>
        <v>317</v>
      </c>
      <c r="NP232" s="5271">
        <f>NP211+NP167</f>
        <v>11586042</v>
      </c>
      <c r="NQ232" s="5271">
        <f>NQ211+NQ167</f>
        <v>15111316.66</v>
      </c>
      <c r="NR232" s="5271">
        <f>NR211+NR167+NR230</f>
        <v>3525274.66</v>
      </c>
      <c r="NS232" s="5290">
        <f>NR232/NQ232</f>
        <v>0.23328706156568624</v>
      </c>
      <c r="NT232" s="5291">
        <f>NT211+NT167</f>
        <v>323</v>
      </c>
      <c r="NU232" s="5292">
        <f>NU211+NU167</f>
        <v>11720222.571428571</v>
      </c>
      <c r="NV232" s="5292">
        <f>NV211+NV167</f>
        <v>15445971.23</v>
      </c>
      <c r="NW232" s="5292">
        <f>NW211+NW167</f>
        <v>3725748.6585714286</v>
      </c>
      <c r="NX232" s="5293">
        <f>NW232/NV232</f>
        <v>0.24121167928469775</v>
      </c>
      <c r="NY232" s="5291">
        <f>NY211+NY167</f>
        <v>327</v>
      </c>
      <c r="NZ232" s="5292">
        <f>NZ211+NZ167+NZ230</f>
        <v>12287533.290322581</v>
      </c>
      <c r="OA232" s="5292">
        <f>OA211+OA167+OA230</f>
        <v>16452343.960000001</v>
      </c>
      <c r="OB232" s="5292">
        <f>OB211+OB167+OB230</f>
        <v>4164810.6696774177</v>
      </c>
      <c r="OC232" s="5293">
        <f>OB232/OA232</f>
        <v>0.25314390945163645</v>
      </c>
      <c r="OD232" s="5271">
        <f>OD211+OD167+OD230</f>
        <v>327</v>
      </c>
      <c r="OE232" s="5271">
        <f>OE211+OE167+OE230</f>
        <v>135478174.91551459</v>
      </c>
      <c r="OF232" s="5271">
        <f>OF211+OF167+OF230</f>
        <v>174856126.14215055</v>
      </c>
      <c r="OG232" s="5271">
        <f>OG211+OG167+OG230</f>
        <v>39359509.22663594</v>
      </c>
      <c r="OH232" s="5290">
        <f>OG232/OF232</f>
        <v>0.22509654133958304</v>
      </c>
      <c r="OI232" s="5271">
        <f>OI211+OI167+OI230</f>
        <v>259.33333333333337</v>
      </c>
      <c r="OJ232" s="5271">
        <f>OJ211+OJ167+OJ230</f>
        <v>27253352.370967746</v>
      </c>
      <c r="OK232" s="5271">
        <f>OK211+OK167+OK230</f>
        <v>35217206.630000003</v>
      </c>
      <c r="OL232" s="5271">
        <f>OL211+OL167+OL230</f>
        <v>7805375.2590322541</v>
      </c>
      <c r="OM232" s="5290">
        <f>OL232/OK232</f>
        <v>0.22163527451331688</v>
      </c>
      <c r="ON232" s="5275">
        <f>ON211+ON167</f>
        <v>250.66666666666669</v>
      </c>
      <c r="OO232" s="5271">
        <f>OO211+OO167</f>
        <v>33865360.548387095</v>
      </c>
      <c r="OP232" s="5271">
        <f>OP211+OP167</f>
        <v>42044328.48215054</v>
      </c>
      <c r="OQ232" s="5271">
        <f>OQ211+OQ167</f>
        <v>8178967.9337634407</v>
      </c>
      <c r="OR232" s="5294">
        <f>OQ232/OP232</f>
        <v>0.19453201487653043</v>
      </c>
      <c r="OS232" s="5275">
        <f>OS211+OS167</f>
        <v>246.33333333333334</v>
      </c>
      <c r="OT232" s="5271">
        <f>OT211+OT167</f>
        <v>31322963.741935484</v>
      </c>
      <c r="OU232" s="5271">
        <f>OU211+OU167</f>
        <v>41659053.579999998</v>
      </c>
      <c r="OV232" s="5271">
        <f>OV211+OV167</f>
        <v>10336089.838064516</v>
      </c>
      <c r="OW232" s="5294">
        <f>OV232/OU232</f>
        <v>0.24811148957610371</v>
      </c>
      <c r="OX232" s="5275">
        <f>OX211+OX167</f>
        <v>275</v>
      </c>
      <c r="OY232" s="5271">
        <f>OY211+OY167+OY230</f>
        <v>35593797.861751154</v>
      </c>
      <c r="OZ232" s="5271">
        <f>OZ211+OZ167+OZ230</f>
        <v>47009631.849999994</v>
      </c>
      <c r="PA232" s="5271">
        <f>PA211+PA167+PA230</f>
        <v>11415833.988248847</v>
      </c>
      <c r="PB232" s="5295">
        <f>PA232/OZ232</f>
        <v>0.24284031886645904</v>
      </c>
      <c r="PC232" s="5296"/>
      <c r="PD232" s="5275">
        <f>PD211+PD167</f>
        <v>295</v>
      </c>
      <c r="PE232" s="5271">
        <f>PE211+PE167+PE230</f>
        <v>13013884.800000001</v>
      </c>
      <c r="PF232" s="5271">
        <f>PF211+PF167+PF230</f>
        <v>17001824.740000002</v>
      </c>
      <c r="PG232" s="5271">
        <f>PG211+PG167+PG230</f>
        <v>3987939.94</v>
      </c>
      <c r="PH232" s="5284">
        <f>PG232/PF232</f>
        <v>0.23455952528540178</v>
      </c>
      <c r="PI232" s="5275">
        <f>PI211+PI167</f>
        <v>420</v>
      </c>
      <c r="PJ232" s="5271">
        <f>PJ211+PJ167+PJ230</f>
        <v>16102580</v>
      </c>
      <c r="PK232" s="5271">
        <f>PK211+PK167+PK230</f>
        <v>18254611.404959999</v>
      </c>
      <c r="PL232" s="5271">
        <f>PL211+PL167+PL230</f>
        <v>2152031.40496</v>
      </c>
      <c r="PM232" s="5284">
        <f>PL232/PK232</f>
        <v>0.11788974069178307</v>
      </c>
      <c r="PN232" s="5275">
        <f>PN211+PN167</f>
        <v>451</v>
      </c>
      <c r="PO232" s="5271">
        <f>PO211+PO167</f>
        <v>18659048.666666668</v>
      </c>
      <c r="PP232" s="5271">
        <f>PP211+PP167</f>
        <v>22225903.030000001</v>
      </c>
      <c r="PQ232" s="5271">
        <f>PQ211+PQ167</f>
        <v>3566854.3633333333</v>
      </c>
      <c r="PR232" s="5286">
        <f>PQ232/PP232</f>
        <v>0.16048186471968662</v>
      </c>
      <c r="PS232" s="5287">
        <f>PS211+PS167</f>
        <v>437</v>
      </c>
      <c r="PT232" s="5271">
        <f>PT211+PT167</f>
        <v>19926361.774193548</v>
      </c>
      <c r="PU232" s="5271">
        <f>PU211+PU167</f>
        <v>24775826.903225806</v>
      </c>
      <c r="PV232" s="5271">
        <f>PV211+PV167</f>
        <v>4849465.1290322579</v>
      </c>
      <c r="PW232" s="5286">
        <f>PV232/PU232</f>
        <v>0.19573373465895741</v>
      </c>
      <c r="PX232" s="5288">
        <f>PX211+PX167</f>
        <v>475</v>
      </c>
      <c r="PY232" s="5271">
        <f>PY211+PY167</f>
        <v>20061468.612903226</v>
      </c>
      <c r="PZ232" s="5271">
        <f>PZ211+PZ167</f>
        <v>25618422.189999998</v>
      </c>
      <c r="QA232" s="5271">
        <f>QA211+QA167</f>
        <v>5556953.5770967742</v>
      </c>
      <c r="QB232" s="5289">
        <f>QA232/PZ232</f>
        <v>0.21691240529504188</v>
      </c>
      <c r="QC232" s="5271">
        <f>QC211+QC167+QC230</f>
        <v>476</v>
      </c>
      <c r="QD232" s="5271">
        <f>QD211+QD167+QD230</f>
        <v>20857253</v>
      </c>
      <c r="QE232" s="5271">
        <f>QE211+QE167+QE230</f>
        <v>26242347.396666665</v>
      </c>
      <c r="QF232" s="5271">
        <f>QF211+QF167+QF230</f>
        <v>5385094.3966666665</v>
      </c>
      <c r="QG232" s="5290">
        <f>QF232/QE232</f>
        <v>0.20520627652961745</v>
      </c>
      <c r="QH232" s="5275">
        <f>QH211+QH167+QH230</f>
        <v>481</v>
      </c>
      <c r="QI232" s="5271">
        <f>QI211+QI167+QI230</f>
        <v>21680005</v>
      </c>
      <c r="QJ232" s="5271">
        <f>QJ211+QJ167+QJ230</f>
        <v>27383775.699999999</v>
      </c>
      <c r="QK232" s="5271">
        <f>QK211+QK167+QK230</f>
        <v>5703770.7000000002</v>
      </c>
      <c r="QL232" s="5290">
        <f>QK232/QJ232</f>
        <v>0.20829014824277867</v>
      </c>
      <c r="QM232" s="5275">
        <f>QM211+QM167+QM230</f>
        <v>473</v>
      </c>
      <c r="QN232" s="5271">
        <f>QN211+QN167+QN230</f>
        <v>21539139</v>
      </c>
      <c r="QO232" s="5271">
        <f>QO211+QO167+QO230</f>
        <v>26668788.658</v>
      </c>
      <c r="QP232" s="5271">
        <f>QP211+QP167+QP230</f>
        <v>5129649.6579999998</v>
      </c>
      <c r="QQ232" s="5289">
        <f>QP232/QO232</f>
        <v>0.1923465562602982</v>
      </c>
      <c r="QR232" s="5273">
        <f>QR211+QR167+QR230</f>
        <v>479</v>
      </c>
      <c r="QS232" s="5271">
        <f>QS211+QS167+QS230</f>
        <v>21214397</v>
      </c>
      <c r="QT232" s="5271">
        <f>QT211+QT167+QT230</f>
        <v>26435003.656666666</v>
      </c>
      <c r="QU232" s="5271">
        <f>QU211+QU167+QU230</f>
        <v>5220606.6566666663</v>
      </c>
      <c r="QV232" s="5297">
        <f>QU232/QT232</f>
        <v>0.19748840304586365</v>
      </c>
      <c r="QW232" s="5275">
        <f>QW211+QW167</f>
        <v>508</v>
      </c>
      <c r="QX232" s="5271">
        <f>QX211+QX167</f>
        <v>22007447.580645163</v>
      </c>
      <c r="QY232" s="5271">
        <f>QY211+QY167</f>
        <v>26674055.359999999</v>
      </c>
      <c r="QZ232" s="5271">
        <f>QZ211+QZ167+QZ230</f>
        <v>4666607.7793548387</v>
      </c>
      <c r="RA232" s="5290">
        <f>QZ232/QY232</f>
        <v>0.1749493174687195</v>
      </c>
      <c r="RB232" s="5291">
        <f>RB211+RB167</f>
        <v>507</v>
      </c>
      <c r="RC232" s="5292">
        <f>RC211+RC167</f>
        <v>21851624</v>
      </c>
      <c r="RD232" s="5292">
        <f>RD211+RD167</f>
        <v>26771601.350000001</v>
      </c>
      <c r="RE232" s="5292">
        <f>RE211+RE167</f>
        <v>4919977.3499999996</v>
      </c>
      <c r="RF232" s="5293">
        <f>RE232/RD232</f>
        <v>0.18377598282890908</v>
      </c>
      <c r="RG232" s="5291">
        <f>RG211+RG167</f>
        <v>550</v>
      </c>
      <c r="RH232" s="5292">
        <f>RH211+RH167+RH230</f>
        <v>24725502.64516129</v>
      </c>
      <c r="RI232" s="5292">
        <f>RI211+RI167+RI230</f>
        <v>30563210.350000001</v>
      </c>
      <c r="RJ232" s="5292">
        <f>RJ211+RJ167+RJ230</f>
        <v>5837707.7048387099</v>
      </c>
      <c r="RK232" s="5293">
        <f>RJ232/RI232</f>
        <v>0.19100440163147683</v>
      </c>
      <c r="RL232" s="6150">
        <f>RL211+RL167+RL230</f>
        <v>515</v>
      </c>
      <c r="RM232" s="6151">
        <f>RM211+RM167+RM230</f>
        <v>241638712.07956988</v>
      </c>
      <c r="RN232" s="6151">
        <f>RN211+RN167+RN230</f>
        <v>298615370.73951912</v>
      </c>
      <c r="RO232" s="6151">
        <f>RO211+RO167+RO230</f>
        <v>56976658.659949243</v>
      </c>
      <c r="RP232" s="6152">
        <f>RO232/RN232</f>
        <v>0.19080283281750332</v>
      </c>
      <c r="RQ232" s="5273">
        <f>RQ211+RQ167+RQ230</f>
        <v>396</v>
      </c>
      <c r="RR232" s="5271">
        <f>RR211+RR167+RR230</f>
        <v>47775513.466666669</v>
      </c>
      <c r="RS232" s="5271">
        <f>RS211+RS167+RS230</f>
        <v>57482339.174960002</v>
      </c>
      <c r="RT232" s="5271">
        <f>RT211+RT167+RT230</f>
        <v>9706825.7082933336</v>
      </c>
      <c r="RU232" s="5290">
        <f>RT232/RS232</f>
        <v>0.16886622652478525</v>
      </c>
      <c r="RV232" s="5273">
        <f>RV211+RV167+RV230</f>
        <v>476</v>
      </c>
      <c r="RW232" s="5271">
        <f>RW211+RW167</f>
        <v>60845083.387096778</v>
      </c>
      <c r="RX232" s="5271">
        <f>RX211+RX167</f>
        <v>76636596.489892483</v>
      </c>
      <c r="RY232" s="5271">
        <f>RY211+RY167</f>
        <v>15791513.102795698</v>
      </c>
      <c r="RZ232" s="5294">
        <f>RY232/RX232</f>
        <v>0.20605707750706836</v>
      </c>
      <c r="SA232" s="5275">
        <f>SA211+SA167</f>
        <v>479</v>
      </c>
      <c r="SB232" s="5271">
        <f>SB211+SB167+SB230</f>
        <v>64433541</v>
      </c>
      <c r="SC232" s="5271">
        <f>SC211+SC167+SC230</f>
        <v>80487568.014666662</v>
      </c>
      <c r="SD232" s="5271">
        <f>SD211+SD167+SD230</f>
        <v>16054027.014666667</v>
      </c>
      <c r="SE232" s="5294">
        <f>SD232/SC232</f>
        <v>0.1994597104951818</v>
      </c>
      <c r="SF232" s="5275">
        <f>SF211+SF167</f>
        <v>486</v>
      </c>
      <c r="SG232" s="5271">
        <f>SG211+SG167+SG230</f>
        <v>68584574.225806445</v>
      </c>
      <c r="SH232" s="5271">
        <f>SH211+SH167+SH230</f>
        <v>84008867.060000002</v>
      </c>
      <c r="SI232" s="5271">
        <f>SI211+SI167+SI230</f>
        <v>15424292.834193548</v>
      </c>
      <c r="SJ232" s="5295">
        <f>SI232/SH232</f>
        <v>0.18360315254790138</v>
      </c>
      <c r="SL232" s="5275">
        <f>SL211+SL167</f>
        <v>528</v>
      </c>
      <c r="SM232" s="5271">
        <f>SM211+SM167+SM230</f>
        <v>27846341</v>
      </c>
      <c r="SN232" s="5271">
        <f>SN211+SN167+SN230</f>
        <v>36271722.159999996</v>
      </c>
      <c r="SO232" s="5271">
        <f>SO211+SO167+SO230</f>
        <v>8425381.1600000001</v>
      </c>
      <c r="SP232" s="5284">
        <f>SO232/SN232</f>
        <v>0.23228511518792469</v>
      </c>
      <c r="SQ232" s="5275">
        <f>SQ211+SQ167</f>
        <v>600</v>
      </c>
      <c r="SR232" s="5271">
        <f>SR211+SR167+SR230</f>
        <v>28368153.64516129</v>
      </c>
      <c r="SS232" s="5271">
        <f>SS211+SS167+SS230</f>
        <v>36025890.241290323</v>
      </c>
      <c r="ST232" s="5271">
        <f>ST211+ST167+ST230</f>
        <v>7657736.5961290319</v>
      </c>
      <c r="SU232" s="5284">
        <f>ST232/SS232</f>
        <v>0.2125620364920858</v>
      </c>
      <c r="SV232" s="5275">
        <f>SV211+SV167</f>
        <v>650</v>
      </c>
      <c r="SW232" s="5271">
        <f>SW211+SW167+SW230</f>
        <v>43696662</v>
      </c>
      <c r="SX232" s="5271">
        <f>SX211+SX167+SX230</f>
        <v>49814294.993333332</v>
      </c>
      <c r="SY232" s="5271">
        <f>SY211+SY167+SY230</f>
        <v>6117632.9933333341</v>
      </c>
      <c r="SZ232" s="5286">
        <f>SY232/SX232</f>
        <v>0.12280878398764972</v>
      </c>
      <c r="TA232" s="5287">
        <f>TA211+TA167</f>
        <v>573</v>
      </c>
      <c r="TB232" s="5271">
        <f>TB211+TB167</f>
        <v>27930001.483870968</v>
      </c>
      <c r="TC232" s="5271">
        <f>TC211+TC167</f>
        <v>31301211.340201613</v>
      </c>
      <c r="TD232" s="5271">
        <f>TD211+TD167</f>
        <v>3371209.8563306453</v>
      </c>
      <c r="TE232" s="5286">
        <f>TD232/TC232</f>
        <v>0.10770221700656174</v>
      </c>
      <c r="TF232" s="5288">
        <f>TF211+TF167</f>
        <v>587</v>
      </c>
      <c r="TG232" s="5271">
        <f>TG211+TG167</f>
        <v>28843343.64516129</v>
      </c>
      <c r="TH232" s="5271">
        <f>TH211+TH167</f>
        <v>31844936.153333332</v>
      </c>
      <c r="TI232" s="5271">
        <f>TI211+TI167</f>
        <v>3001592.5081720427</v>
      </c>
      <c r="TJ232" s="5289">
        <f>TI232/TH232</f>
        <v>9.4256508906765527E-2</v>
      </c>
      <c r="TK232" s="5271">
        <f>TK211+TK167+TK230</f>
        <v>621</v>
      </c>
      <c r="TL232" s="5271">
        <f>TL211+TL167+TL230</f>
        <v>30652466.93333333</v>
      </c>
      <c r="TM232" s="5271">
        <f>TM211+TM167+TM230</f>
        <v>32869460.460000001</v>
      </c>
      <c r="TN232" s="5271">
        <f>TN211+TN167+TN230</f>
        <v>2216993.5266666696</v>
      </c>
      <c r="TO232" s="5290">
        <f>TN232/TM232</f>
        <v>6.7448430720808666E-2</v>
      </c>
      <c r="TP232" s="5298">
        <f>TP211+TP167+TP230</f>
        <v>617</v>
      </c>
      <c r="TQ232" s="5271">
        <f>TQ211+TQ167+TQ230</f>
        <v>30989820.903225806</v>
      </c>
      <c r="TR232" s="5271">
        <f>TR211+TR167+TR230</f>
        <v>33776424.948680639</v>
      </c>
      <c r="TS232" s="5271">
        <f>TS211+TS167+TS230</f>
        <v>2786604.0454548383</v>
      </c>
      <c r="TT232" s="5290">
        <f>TS232/TR232</f>
        <v>8.250145033669963E-2</v>
      </c>
      <c r="TU232" s="5298">
        <f>TU211+TU167+TU230</f>
        <v>645</v>
      </c>
      <c r="TV232" s="5271">
        <f>TV211+TV167+TV230</f>
        <v>32088041</v>
      </c>
      <c r="TW232" s="5271">
        <f>TW211+TW167+TW230</f>
        <v>34884421.785999998</v>
      </c>
      <c r="TX232" s="5271">
        <f>TX211+TX167+TX230</f>
        <v>2796380.7859999998</v>
      </c>
      <c r="TY232" s="5289">
        <f>TX232/TW232</f>
        <v>8.016130532862259E-2</v>
      </c>
      <c r="TZ232" s="5273">
        <f>TZ211+TZ167+TZ230</f>
        <v>639</v>
      </c>
      <c r="UA232" s="5271">
        <f>UA211+UA167+UA230</f>
        <v>32298564.258064516</v>
      </c>
      <c r="UB232" s="5271">
        <f>UB211+UB167+UB230</f>
        <v>34932712.625230968</v>
      </c>
      <c r="UC232" s="5271">
        <f>UC211+UC167+UC230</f>
        <v>2634148.3671664512</v>
      </c>
      <c r="UD232" s="5297">
        <f>UC232/UB232</f>
        <v>7.5406350357798316E-2</v>
      </c>
      <c r="UE232" s="5275">
        <f>UE211+UE167</f>
        <v>633</v>
      </c>
      <c r="UF232" s="5271">
        <f>UF211+UF167</f>
        <v>32762297</v>
      </c>
      <c r="UG232" s="5271">
        <f>UG211+UG167</f>
        <v>35772908.071000002</v>
      </c>
      <c r="UH232" s="5271">
        <f>UH211+UH167+UH230</f>
        <v>3010611.0710000005</v>
      </c>
      <c r="UI232" s="5290">
        <f>UH232/UG232</f>
        <v>8.4158969268719033E-2</v>
      </c>
      <c r="UJ232" s="5291">
        <f>UJ211+UJ167</f>
        <v>0</v>
      </c>
      <c r="UK232" s="5292">
        <f>UK211+UK167</f>
        <v>0</v>
      </c>
      <c r="UL232" s="5292">
        <f>UL211+UL167</f>
        <v>0</v>
      </c>
      <c r="UM232" s="5292">
        <f>UM211+UM167</f>
        <v>0</v>
      </c>
      <c r="UN232" s="5293" t="e">
        <f>UM232/UL232</f>
        <v>#DIV/0!</v>
      </c>
      <c r="UO232" s="5291">
        <f>UO211+UO167</f>
        <v>0</v>
      </c>
      <c r="UP232" s="5292">
        <f>UP211+UP167+UP230</f>
        <v>0</v>
      </c>
      <c r="UQ232" s="5292">
        <f>UQ211+UQ167+UQ230</f>
        <v>0</v>
      </c>
      <c r="UR232" s="5292">
        <f>UR211+UR167+UR230</f>
        <v>0</v>
      </c>
      <c r="US232" s="5293" t="e">
        <f>UR232/UQ232</f>
        <v>#DIV/0!</v>
      </c>
      <c r="UT232" s="5273">
        <f>UT211+UT167+UT230</f>
        <v>0</v>
      </c>
      <c r="UU232" s="5271">
        <f>UU211+UU167+UU230</f>
        <v>315475691.86881721</v>
      </c>
      <c r="UV232" s="5271">
        <f>UV211+UV167+UV230</f>
        <v>357493982.77907026</v>
      </c>
      <c r="UW232" s="5271">
        <f>UW211+UW167+UW230</f>
        <v>42018290.910253011</v>
      </c>
      <c r="UX232" s="5286">
        <f>UW232/UV232</f>
        <v>0.11753565915603154</v>
      </c>
      <c r="UY232" s="4630">
        <f>UY211+UY167+UY230</f>
        <v>595.66666666666663</v>
      </c>
      <c r="UZ232" s="4629">
        <f>UZ211+UZ167+UZ230</f>
        <v>98054889.645161286</v>
      </c>
      <c r="VA232" s="4629">
        <f>VA211+VA167+VA230</f>
        <v>122111907.39462365</v>
      </c>
      <c r="VB232" s="4629">
        <f>VB211+VB167+VB230</f>
        <v>24057017.749462366</v>
      </c>
      <c r="VC232" s="4632">
        <f>VB232/VA232</f>
        <v>0.1970079598520918</v>
      </c>
      <c r="VD232" s="4630">
        <f>VD211+VD167+VD230</f>
        <v>0</v>
      </c>
      <c r="VE232" s="4629">
        <f>VE211+VE167</f>
        <v>84292104.062365592</v>
      </c>
      <c r="VF232" s="4629">
        <f>VF211+VF167</f>
        <v>95797539.953534946</v>
      </c>
      <c r="VG232" s="4629">
        <f>VG211+VG167</f>
        <v>11505435.891169358</v>
      </c>
      <c r="VH232" s="4633">
        <f>VG232/VF232</f>
        <v>0.12010157981874989</v>
      </c>
      <c r="VI232" s="4631">
        <f>VI211+VI167</f>
        <v>0</v>
      </c>
      <c r="VJ232" s="4629">
        <f>VJ211+VJ167+VJ230</f>
        <v>94586609.161290318</v>
      </c>
      <c r="VK232" s="4629">
        <f>VK211+VK167+VK230</f>
        <v>102727899.35991162</v>
      </c>
      <c r="VL232" s="4629">
        <f>VL211+VL167+VL230</f>
        <v>7962718.1986212898</v>
      </c>
      <c r="VM232" s="4633">
        <f>VL232/VK232</f>
        <v>7.7512713179538145E-2</v>
      </c>
      <c r="VN232" s="4631">
        <f>VN211+VN167</f>
        <v>152</v>
      </c>
      <c r="VO232" s="4629">
        <f>VO211+VO167+VO230</f>
        <v>26159271</v>
      </c>
      <c r="VP232" s="4629">
        <f>VP211+VP167+VP230</f>
        <v>30201023.070999999</v>
      </c>
      <c r="VQ232" s="4629">
        <f>VQ211+VQ167+VQ230</f>
        <v>4041752.071</v>
      </c>
      <c r="VR232" s="4634">
        <f>VQ232/VP232</f>
        <v>0.13382831639505025</v>
      </c>
      <c r="VT232" s="6511">
        <f>UC232*3</f>
        <v>7902445.1014993535</v>
      </c>
    </row>
    <row r="233" spans="1:592" s="1193" customFormat="1" ht="15.6" customHeight="1" x14ac:dyDescent="0.3">
      <c r="A233" s="1297"/>
      <c r="B233" s="5299"/>
      <c r="C233" s="3075"/>
      <c r="D233" s="2606"/>
      <c r="E233" s="3076"/>
      <c r="F233" s="3076"/>
      <c r="G233" s="3077"/>
      <c r="H233" s="2606"/>
      <c r="I233" s="1700"/>
      <c r="J233" s="1700"/>
      <c r="K233" s="1700"/>
      <c r="L233" s="2607"/>
      <c r="M233" s="2606"/>
      <c r="N233" s="1700"/>
      <c r="O233" s="1700"/>
      <c r="P233" s="1700"/>
      <c r="Q233" s="2607"/>
      <c r="R233" s="2606"/>
      <c r="S233" s="1700"/>
      <c r="T233" s="1700"/>
      <c r="U233" s="1700"/>
      <c r="V233" s="2607"/>
      <c r="W233" s="2606"/>
      <c r="X233" s="1700"/>
      <c r="Y233" s="1700"/>
      <c r="Z233" s="1700"/>
      <c r="AA233" s="2608"/>
      <c r="AB233" s="2606"/>
      <c r="AC233" s="1700"/>
      <c r="AD233" s="1700"/>
      <c r="AE233" s="1700"/>
      <c r="AF233" s="2608"/>
      <c r="AG233" s="1700"/>
      <c r="AH233" s="1700"/>
      <c r="AI233" s="1700"/>
      <c r="AJ233" s="1700"/>
      <c r="AK233" s="2607"/>
      <c r="AL233" s="1700"/>
      <c r="AM233" s="1700"/>
      <c r="AN233" s="1700"/>
      <c r="AO233" s="1700"/>
      <c r="AP233" s="2607"/>
      <c r="AQ233" s="1700"/>
      <c r="AR233" s="1700"/>
      <c r="AS233" s="1700"/>
      <c r="AT233" s="1700"/>
      <c r="AU233" s="2607"/>
      <c r="AV233" s="2609"/>
      <c r="AW233" s="1700"/>
      <c r="AX233" s="1700"/>
      <c r="AY233" s="1700"/>
      <c r="AZ233" s="2608"/>
      <c r="BA233" s="2609"/>
      <c r="BB233" s="1700"/>
      <c r="BC233" s="1700"/>
      <c r="BD233" s="1700"/>
      <c r="BE233" s="2608"/>
      <c r="BF233" s="2609"/>
      <c r="BG233" s="1700"/>
      <c r="BH233" s="1700"/>
      <c r="BI233" s="1700"/>
      <c r="BJ233" s="2608"/>
      <c r="BK233" s="2609"/>
      <c r="BL233" s="1700"/>
      <c r="BM233" s="1700"/>
      <c r="BN233" s="1700"/>
      <c r="BO233" s="2608"/>
      <c r="BP233" s="1700"/>
      <c r="BQ233" s="1700"/>
      <c r="BR233" s="1700"/>
      <c r="BS233" s="1700"/>
      <c r="BT233" s="1700"/>
      <c r="BU233" s="1700"/>
      <c r="BV233" s="1700"/>
      <c r="BW233" s="2607"/>
      <c r="BX233" s="1700"/>
      <c r="BY233" s="1700"/>
      <c r="BZ233" s="1700"/>
      <c r="CA233" s="1700"/>
      <c r="CB233" s="1700"/>
      <c r="CC233" s="1700"/>
      <c r="CD233" s="1700"/>
      <c r="CE233" s="1700"/>
      <c r="CF233" s="1700"/>
      <c r="CG233" s="1700"/>
      <c r="CH233" s="1700"/>
      <c r="CI233" s="1700"/>
      <c r="CJ233" s="2606"/>
      <c r="CK233" s="1700"/>
      <c r="CL233" s="1700"/>
      <c r="CM233" s="1700"/>
      <c r="CN233" s="2607"/>
      <c r="CO233" s="2606"/>
      <c r="CP233" s="2606"/>
      <c r="CQ233" s="2606"/>
      <c r="CR233" s="2606"/>
      <c r="CS233" s="2607"/>
      <c r="CT233" s="2606"/>
      <c r="CU233" s="1700"/>
      <c r="CV233" s="1700"/>
      <c r="CW233" s="1700"/>
      <c r="CX233" s="2607"/>
      <c r="CY233" s="2606"/>
      <c r="CZ233" s="1700"/>
      <c r="DA233" s="1700"/>
      <c r="DB233" s="1700"/>
      <c r="DC233" s="2607"/>
      <c r="DD233" s="2606"/>
      <c r="DE233" s="1700"/>
      <c r="DF233" s="1700"/>
      <c r="DG233" s="1700"/>
      <c r="DH233" s="2608"/>
      <c r="DI233" s="2606"/>
      <c r="DJ233" s="1700"/>
      <c r="DK233" s="1700"/>
      <c r="DL233" s="1700"/>
      <c r="DM233" s="2608"/>
      <c r="DN233" s="2606"/>
      <c r="DO233" s="1700"/>
      <c r="DP233" s="1700"/>
      <c r="DQ233" s="1700"/>
      <c r="DR233" s="2608"/>
      <c r="DS233" s="2606"/>
      <c r="DT233" s="1700"/>
      <c r="DU233" s="1700"/>
      <c r="DV233" s="1700"/>
      <c r="DW233" s="2608"/>
      <c r="DX233" s="2606"/>
      <c r="DY233" s="1700"/>
      <c r="DZ233" s="1700"/>
      <c r="EA233" s="1700"/>
      <c r="EB233" s="2608"/>
      <c r="EC233" s="2606"/>
      <c r="ED233" s="1700"/>
      <c r="EE233" s="1700"/>
      <c r="EF233" s="1700"/>
      <c r="EG233" s="2608"/>
      <c r="EH233" s="2606"/>
      <c r="EI233" s="1700"/>
      <c r="EJ233" s="1700"/>
      <c r="EK233" s="1700"/>
      <c r="EL233" s="2608"/>
      <c r="EM233" s="1693"/>
      <c r="EN233" s="823"/>
      <c r="EO233" s="823"/>
      <c r="EP233" s="823"/>
      <c r="EQ233" s="823"/>
      <c r="ER233" s="1700"/>
      <c r="ES233" s="1700"/>
      <c r="ET233" s="1700"/>
      <c r="EU233" s="1700"/>
      <c r="EV233" s="1700"/>
      <c r="EW233" s="2616"/>
      <c r="EX233" s="2616"/>
      <c r="EY233" s="2616"/>
      <c r="EZ233" s="236"/>
      <c r="FA233" s="2616"/>
      <c r="FB233" s="2616"/>
      <c r="FC233" s="2616"/>
      <c r="FD233" s="236"/>
      <c r="FE233" s="2616"/>
      <c r="FF233" s="2616"/>
      <c r="FG233" s="2616"/>
      <c r="FH233" s="236"/>
      <c r="FI233" s="453"/>
      <c r="FJ233" s="453"/>
      <c r="FK233" s="453"/>
      <c r="FL233" s="453"/>
      <c r="FM233" s="453"/>
      <c r="FN233" s="2616"/>
      <c r="FO233" s="453"/>
      <c r="FP233" s="453"/>
      <c r="FQ233" s="453"/>
      <c r="FR233" s="423"/>
      <c r="FS233" s="2616"/>
      <c r="FT233" s="453"/>
      <c r="FU233" s="453"/>
      <c r="FV233" s="453"/>
      <c r="FW233" s="453"/>
      <c r="FX233" s="2616"/>
      <c r="FY233" s="453"/>
      <c r="FZ233" s="453"/>
      <c r="GA233" s="453"/>
      <c r="GB233" s="453"/>
      <c r="GC233" s="453"/>
      <c r="GD233" s="453"/>
      <c r="GE233" s="453"/>
      <c r="GF233" s="3078"/>
      <c r="GG233" s="453"/>
      <c r="GH233" s="3079"/>
      <c r="GI233" s="3080"/>
      <c r="GJ233" s="3080"/>
      <c r="GK233" s="3080"/>
      <c r="GL233" s="3081"/>
      <c r="GM233" s="823"/>
      <c r="GN233" s="823"/>
      <c r="GO233" s="823"/>
      <c r="GP233" s="823"/>
      <c r="GQ233" s="823"/>
      <c r="GR233" s="823"/>
      <c r="GS233" s="823"/>
      <c r="GT233" s="823"/>
      <c r="GU233" s="823"/>
      <c r="GV233" s="823"/>
      <c r="GW233" s="823"/>
      <c r="GX233" s="823"/>
      <c r="GY233" s="823"/>
      <c r="GZ233" s="823"/>
      <c r="HA233" s="823"/>
      <c r="HB233" s="823"/>
      <c r="HC233" s="823"/>
      <c r="HD233" s="823"/>
      <c r="HE233" s="823"/>
      <c r="HF233" s="823"/>
      <c r="HG233" s="823"/>
      <c r="HH233" s="823"/>
      <c r="HI233" s="823"/>
      <c r="HJ233" s="823"/>
      <c r="HK233" s="823"/>
      <c r="HL233" s="823"/>
      <c r="HM233" s="823"/>
      <c r="HN233" s="823"/>
      <c r="HO233" s="823"/>
      <c r="HP233" s="823"/>
      <c r="HQ233" s="823"/>
      <c r="HR233" s="823"/>
      <c r="HS233" s="823"/>
      <c r="HT233" s="823"/>
      <c r="HU233" s="823"/>
      <c r="HV233" s="453"/>
      <c r="HW233" s="453"/>
      <c r="HX233" s="453"/>
      <c r="HY233" s="453"/>
      <c r="HZ233" s="453"/>
      <c r="IA233" s="1708"/>
      <c r="IB233" s="453"/>
      <c r="IC233" s="453"/>
      <c r="ID233" s="453"/>
      <c r="IE233" s="453"/>
      <c r="IF233" s="453"/>
      <c r="IG233" s="453"/>
      <c r="IH233" s="1929"/>
      <c r="II233" s="2616"/>
      <c r="IJ233" s="453"/>
      <c r="IK233" s="453"/>
      <c r="IL233" s="453"/>
      <c r="IM233" s="453"/>
      <c r="IN233" s="453"/>
      <c r="IO233" s="453"/>
      <c r="IP233" s="2616"/>
      <c r="IQ233" s="453"/>
      <c r="IR233" s="3082"/>
      <c r="IS233" s="453"/>
      <c r="IT233" s="453"/>
      <c r="IU233" s="453"/>
      <c r="IV233" s="423"/>
      <c r="IW233" s="2616"/>
      <c r="IX233" s="453"/>
      <c r="IY233" s="453"/>
      <c r="IZ233" s="453"/>
      <c r="JA233" s="453"/>
      <c r="JB233" s="3083"/>
      <c r="JC233" s="3084"/>
      <c r="JD233" s="3084"/>
      <c r="JE233" s="3084"/>
      <c r="JF233" s="3084"/>
      <c r="JG233" s="3083"/>
      <c r="JH233" s="3084"/>
      <c r="JI233" s="3084"/>
      <c r="JJ233" s="3085"/>
      <c r="JK233" s="3084"/>
      <c r="JL233" s="3086"/>
      <c r="JM233" s="3087"/>
      <c r="JN233" s="3087"/>
      <c r="JO233" s="3087"/>
      <c r="JP233" s="3088"/>
      <c r="JQ233" s="3089"/>
      <c r="JR233" s="1640"/>
      <c r="JS233" s="1640"/>
      <c r="JT233" s="1640"/>
      <c r="JU233" s="3090"/>
      <c r="JV233" s="3091"/>
      <c r="JW233" s="1640"/>
      <c r="JX233" s="1640"/>
      <c r="JY233" s="1640"/>
      <c r="JZ233" s="1640"/>
      <c r="KA233" s="1640"/>
      <c r="KB233" s="1640"/>
      <c r="KC233" s="1640"/>
      <c r="KD233" s="1640"/>
      <c r="KE233" s="1640"/>
      <c r="KF233" s="3092"/>
      <c r="KG233" s="1640"/>
      <c r="KH233" s="1640"/>
      <c r="KI233" s="1640"/>
      <c r="KJ233" s="1640"/>
      <c r="KK233" s="3093"/>
      <c r="KL233" s="3094"/>
      <c r="KM233" s="3094"/>
      <c r="KN233" s="3094"/>
      <c r="KO233" s="3094"/>
      <c r="KP233" s="1640"/>
      <c r="KQ233" s="1640"/>
      <c r="KR233" s="1640"/>
      <c r="KS233" s="1640"/>
      <c r="KT233" s="1640"/>
      <c r="KU233" s="1641"/>
      <c r="KV233" s="3095">
        <f>KV232-KV230</f>
        <v>7307582.5806451607</v>
      </c>
      <c r="KW233" s="3095">
        <f>KW232-KW230</f>
        <v>9766666.9400000013</v>
      </c>
      <c r="KX233" s="3095">
        <f>KX232-KX230</f>
        <v>2459084.3593548387</v>
      </c>
      <c r="KY233" s="3090"/>
      <c r="KZ233" s="3096"/>
      <c r="LA233" s="3095">
        <f>LA232-LA230</f>
        <v>98458475.867956996</v>
      </c>
      <c r="LB233" s="3095">
        <f>LB232-LB230</f>
        <v>132650225.83633333</v>
      </c>
      <c r="LC233" s="3095">
        <f>LC232-LC230</f>
        <v>34191749.968376338</v>
      </c>
      <c r="LD233" s="3097">
        <f>LC233/LB233</f>
        <v>0.25775870152353036</v>
      </c>
      <c r="LE233" s="3098"/>
      <c r="LF233" s="3084"/>
      <c r="LG233" s="3084"/>
      <c r="LH233" s="3084"/>
      <c r="LI233" s="1134"/>
      <c r="LJ233" s="453"/>
      <c r="LK233" s="453"/>
      <c r="LL233" s="1929"/>
      <c r="LM233" s="2616"/>
      <c r="LN233" s="453"/>
      <c r="LO233" s="453"/>
      <c r="LP233" s="453"/>
      <c r="LQ233" s="453"/>
      <c r="LR233" s="453"/>
      <c r="LS233" s="453"/>
      <c r="LT233" s="3099"/>
      <c r="LV233" s="1708"/>
      <c r="LW233" s="453"/>
      <c r="LX233" s="453"/>
      <c r="LY233" s="453"/>
      <c r="LZ233" s="2616"/>
      <c r="MF233" s="1297"/>
      <c r="MJ233" s="64"/>
      <c r="MK233" s="1930"/>
      <c r="MN233" s="3100"/>
      <c r="MP233" s="1930"/>
      <c r="MT233" s="64"/>
      <c r="NT233" s="3087"/>
      <c r="NU233" s="3087"/>
      <c r="NV233" s="3087"/>
      <c r="NW233" s="3087"/>
      <c r="NX233" s="3087"/>
      <c r="NY233" s="453"/>
      <c r="NZ233" s="453"/>
      <c r="OA233" s="453"/>
      <c r="OB233" s="453"/>
      <c r="OC233" s="3101" t="s">
        <v>372</v>
      </c>
      <c r="OE233" s="3102">
        <f>OE232-OE230</f>
        <v>133841174.91551459</v>
      </c>
      <c r="OF233" s="3102">
        <f>OF232-OF230</f>
        <v>172295626.14215055</v>
      </c>
      <c r="OG233" s="3102">
        <f>OG232-OG230</f>
        <v>38436009.22663594</v>
      </c>
      <c r="OH233" s="64">
        <f>OG233/OF233</f>
        <v>0.22308174668882624</v>
      </c>
      <c r="OM233" s="64"/>
      <c r="OR233" s="64"/>
      <c r="OW233" s="64"/>
      <c r="PD233" s="1708"/>
      <c r="PE233" s="453"/>
      <c r="PF233" s="453"/>
      <c r="PG233" s="453"/>
      <c r="PH233" s="2616"/>
      <c r="PN233" s="1297"/>
      <c r="PR233" s="64"/>
      <c r="PS233" s="1930"/>
      <c r="PV233" s="3100"/>
      <c r="PX233" s="1932"/>
      <c r="PY233" s="1221"/>
      <c r="PZ233" s="1221"/>
      <c r="QA233" s="1221"/>
      <c r="QB233" s="68"/>
      <c r="QH233" s="1297"/>
      <c r="QM233" s="1297"/>
      <c r="QV233" s="1297"/>
      <c r="RB233" s="3087"/>
      <c r="RC233" s="3087"/>
      <c r="RD233" s="3087"/>
      <c r="RE233" s="3087"/>
      <c r="RF233" s="3087"/>
      <c r="RG233" s="2616"/>
      <c r="RH233" s="453"/>
      <c r="RI233" s="453"/>
      <c r="RJ233" s="453"/>
      <c r="RK233" s="3103"/>
      <c r="RM233" s="1193">
        <f>RM232-RM230</f>
        <v>239355712.07956988</v>
      </c>
      <c r="RN233" s="1193">
        <f>RN232-RN230</f>
        <v>295903740.73951912</v>
      </c>
      <c r="RO233" s="1193">
        <f>RO232-RO230</f>
        <v>56548028.659949243</v>
      </c>
      <c r="RQ233" s="3104"/>
      <c r="RU233" s="64"/>
      <c r="RZ233" s="64"/>
      <c r="SE233" s="64"/>
      <c r="SL233" s="1708"/>
      <c r="SM233" s="453"/>
      <c r="SN233" s="453"/>
      <c r="SO233" s="453"/>
      <c r="SP233" s="2616"/>
      <c r="SV233" s="1295"/>
      <c r="SW233" s="1221"/>
      <c r="SX233" s="1221"/>
      <c r="SY233" s="1221"/>
      <c r="SZ233" s="68"/>
      <c r="TA233" s="1932"/>
      <c r="TB233" s="1221"/>
      <c r="TC233" s="1221"/>
      <c r="TD233" s="4134"/>
      <c r="TE233" s="1221"/>
      <c r="TF233" s="1932"/>
      <c r="TG233" s="1221"/>
      <c r="TH233" s="1221"/>
      <c r="TI233" s="1221"/>
      <c r="TJ233" s="68"/>
      <c r="TP233" s="4635"/>
      <c r="TU233" s="4635"/>
      <c r="UD233" s="1297"/>
      <c r="UJ233" s="3087"/>
      <c r="UK233" s="3087"/>
      <c r="UL233" s="3087"/>
      <c r="UM233" s="3087"/>
      <c r="UN233" s="3087"/>
      <c r="UO233" s="2616"/>
      <c r="UP233" s="453"/>
      <c r="UQ233" s="453"/>
      <c r="UR233" s="453"/>
      <c r="US233" s="3103"/>
      <c r="UU233" s="1193">
        <f>UU232-UU230</f>
        <v>302619709.86881721</v>
      </c>
      <c r="UV233" s="1193">
        <f>UV232-UV230</f>
        <v>343572711.77907026</v>
      </c>
      <c r="UW233" s="1193">
        <f>UW232-UW230</f>
        <v>40953001.910253011</v>
      </c>
      <c r="UY233" s="3104"/>
      <c r="VC233" s="64"/>
      <c r="VH233" s="64"/>
      <c r="VM233" s="64"/>
    </row>
    <row r="234" spans="1:592" s="453" customFormat="1" x14ac:dyDescent="0.3">
      <c r="A234" s="2616"/>
      <c r="B234" s="3105"/>
      <c r="C234" s="3106" t="s">
        <v>121</v>
      </c>
      <c r="D234" s="3107"/>
      <c r="E234" s="3108"/>
      <c r="F234" s="3108"/>
      <c r="G234" s="3109"/>
      <c r="H234" s="3110"/>
      <c r="I234" s="3111"/>
      <c r="J234" s="3111"/>
      <c r="K234" s="3111"/>
      <c r="L234" s="3112"/>
      <c r="M234" s="3113"/>
      <c r="N234" s="3111"/>
      <c r="O234" s="3114"/>
      <c r="P234" s="3115"/>
      <c r="Q234" s="3112"/>
      <c r="R234" s="3113"/>
      <c r="S234" s="3111"/>
      <c r="T234" s="3111"/>
      <c r="U234" s="3111"/>
      <c r="V234" s="3112"/>
      <c r="W234" s="3113"/>
      <c r="X234" s="3111"/>
      <c r="Y234" s="3111"/>
      <c r="Z234" s="3111"/>
      <c r="AA234" s="3116"/>
      <c r="AB234" s="3113"/>
      <c r="AC234" s="3111"/>
      <c r="AD234" s="3111"/>
      <c r="AE234" s="3111"/>
      <c r="AF234" s="3116"/>
      <c r="AG234" s="3111"/>
      <c r="AH234" s="3111"/>
      <c r="AI234" s="3111"/>
      <c r="AJ234" s="3111"/>
      <c r="AK234" s="3112"/>
      <c r="AL234" s="3117"/>
      <c r="AM234" s="3117"/>
      <c r="AN234" s="3117"/>
      <c r="AO234" s="3117"/>
      <c r="AP234" s="3118"/>
      <c r="AQ234" s="3111"/>
      <c r="AR234" s="3111"/>
      <c r="AS234" s="3111"/>
      <c r="AT234" s="3111"/>
      <c r="AU234" s="3112"/>
      <c r="AV234" s="3119"/>
      <c r="AW234" s="3111"/>
      <c r="AX234" s="3111"/>
      <c r="AY234" s="3111"/>
      <c r="AZ234" s="3116"/>
      <c r="BA234" s="3119"/>
      <c r="BB234" s="3111"/>
      <c r="BC234" s="3111"/>
      <c r="BD234" s="3111"/>
      <c r="BE234" s="3116"/>
      <c r="BF234" s="3120"/>
      <c r="BG234" s="3117"/>
      <c r="BH234" s="3117"/>
      <c r="BI234" s="3117"/>
      <c r="BJ234" s="3121"/>
      <c r="BK234" s="3119"/>
      <c r="BL234" s="3111"/>
      <c r="BM234" s="3111"/>
      <c r="BN234" s="3111"/>
      <c r="BO234" s="3116"/>
      <c r="BP234" s="3111"/>
      <c r="BQ234" s="3111"/>
      <c r="BR234" s="3111"/>
      <c r="BS234" s="3111"/>
      <c r="BT234" s="3111"/>
      <c r="BU234" s="3111"/>
      <c r="BV234" s="3111"/>
      <c r="BW234" s="3112"/>
      <c r="BX234" s="3111"/>
      <c r="BY234" s="3111"/>
      <c r="BZ234" s="3111"/>
      <c r="CA234" s="3111"/>
      <c r="CB234" s="3111"/>
      <c r="CC234" s="3111"/>
      <c r="CD234" s="3111"/>
      <c r="CE234" s="3111"/>
      <c r="CF234" s="3111"/>
      <c r="CG234" s="3111"/>
      <c r="CH234" s="3111"/>
      <c r="CI234" s="3111"/>
      <c r="CJ234" s="3113"/>
      <c r="CK234" s="3111"/>
      <c r="CL234" s="3111"/>
      <c r="CM234" s="3122"/>
      <c r="CN234" s="3111"/>
      <c r="CO234" s="3113"/>
      <c r="CP234" s="3111"/>
      <c r="CQ234" s="3111"/>
      <c r="CR234" s="3111"/>
      <c r="CS234" s="3111"/>
      <c r="CT234" s="3113"/>
      <c r="CU234" s="3111"/>
      <c r="CV234" s="3111"/>
      <c r="CW234" s="3111"/>
      <c r="CX234" s="3111"/>
      <c r="CY234" s="3113"/>
      <c r="CZ234" s="3111"/>
      <c r="DA234" s="3111"/>
      <c r="DB234" s="3111"/>
      <c r="DC234" s="3111"/>
      <c r="DD234" s="3111"/>
      <c r="DE234" s="3111"/>
      <c r="DF234" s="3111"/>
      <c r="DG234" s="3111"/>
      <c r="DH234" s="3113"/>
      <c r="DI234" s="3113"/>
      <c r="DJ234" s="3111"/>
      <c r="DK234" s="3111"/>
      <c r="DL234" s="3111"/>
      <c r="DM234" s="3113"/>
      <c r="DN234" s="3113"/>
      <c r="DO234" s="3111"/>
      <c r="DP234" s="3111"/>
      <c r="DQ234" s="3111"/>
      <c r="DR234" s="3113"/>
      <c r="DS234" s="3113"/>
      <c r="DT234" s="3111"/>
      <c r="DU234" s="3111"/>
      <c r="DV234" s="3111"/>
      <c r="DW234" s="3111"/>
      <c r="DX234" s="3113"/>
      <c r="DY234" s="3111"/>
      <c r="DZ234" s="3111"/>
      <c r="EA234" s="3111"/>
      <c r="EB234" s="3116"/>
      <c r="EC234" s="3113"/>
      <c r="ED234" s="3111"/>
      <c r="EE234" s="3111"/>
      <c r="EF234" s="3111"/>
      <c r="EG234" s="3113"/>
      <c r="EH234" s="3111"/>
      <c r="EI234" s="3111"/>
      <c r="EJ234" s="3111"/>
      <c r="EK234" s="3111"/>
      <c r="EL234" s="3111"/>
      <c r="EM234" s="3123"/>
      <c r="EN234" s="3124"/>
      <c r="EO234" s="3124"/>
      <c r="EP234" s="3124"/>
      <c r="EQ234" s="3124"/>
      <c r="ER234" s="3111"/>
      <c r="ES234" s="3111"/>
      <c r="ET234" s="3111"/>
      <c r="EU234" s="3111"/>
      <c r="EV234" s="3111"/>
      <c r="EW234" s="3113"/>
      <c r="EX234" s="3111"/>
      <c r="EY234" s="3111"/>
      <c r="EZ234" s="3111"/>
      <c r="FA234" s="3111"/>
      <c r="FB234" s="3111"/>
      <c r="FC234" s="3111"/>
      <c r="FD234" s="3111"/>
      <c r="FE234" s="3111"/>
      <c r="FF234" s="3111"/>
      <c r="FG234" s="3111"/>
      <c r="FH234" s="3111"/>
      <c r="FI234" s="3111"/>
      <c r="FJ234" s="3111"/>
      <c r="FK234" s="3111"/>
      <c r="FL234" s="3111"/>
      <c r="FM234" s="3111"/>
      <c r="FN234" s="3113"/>
      <c r="FO234" s="3111"/>
      <c r="FP234" s="3111"/>
      <c r="FQ234" s="3111"/>
      <c r="FR234" s="3125"/>
      <c r="FS234" s="3110"/>
      <c r="FT234" s="3111"/>
      <c r="FU234" s="3111"/>
      <c r="FV234" s="3111"/>
      <c r="FW234" s="3126"/>
      <c r="FX234" s="3127"/>
      <c r="FY234" s="3128"/>
      <c r="FZ234" s="3128"/>
      <c r="GA234" s="3128"/>
      <c r="GB234" s="3129"/>
      <c r="GC234" s="3130"/>
      <c r="GD234" s="2524"/>
      <c r="GE234" s="2524"/>
      <c r="GF234" s="2524"/>
      <c r="GG234" s="3131"/>
      <c r="GH234" s="3132"/>
      <c r="GI234" s="2539"/>
      <c r="GJ234" s="2539"/>
      <c r="GK234" s="2539"/>
      <c r="GL234" s="3133"/>
      <c r="GM234" s="3134"/>
      <c r="GN234" s="2539"/>
      <c r="GO234" s="2539"/>
      <c r="GP234" s="2539"/>
      <c r="GQ234" s="1210"/>
      <c r="GR234" s="3135"/>
      <c r="GS234" s="1303"/>
      <c r="GT234" s="1303"/>
      <c r="GU234" s="1303"/>
      <c r="GV234" s="3136"/>
      <c r="GW234" s="3135"/>
      <c r="GX234" s="1303"/>
      <c r="GY234" s="1303"/>
      <c r="GZ234" s="1303"/>
      <c r="HA234" s="3136"/>
      <c r="HB234" s="3135"/>
      <c r="HC234" s="1303"/>
      <c r="HD234" s="1303"/>
      <c r="HE234" s="1303"/>
      <c r="HF234" s="3136"/>
      <c r="HG234" s="3135"/>
      <c r="HH234" s="1303"/>
      <c r="HI234" s="1303"/>
      <c r="HJ234" s="1303"/>
      <c r="HK234" s="3136"/>
      <c r="HL234" s="3135"/>
      <c r="HM234" s="1303"/>
      <c r="HN234" s="1303"/>
      <c r="HO234" s="1303"/>
      <c r="HP234" s="3136"/>
      <c r="HQ234" s="2531"/>
      <c r="HR234" s="2532"/>
      <c r="HS234" s="2532"/>
      <c r="HT234" s="2532"/>
      <c r="HU234" s="2533"/>
      <c r="HV234" s="2529"/>
      <c r="HW234" s="2530"/>
      <c r="HX234" s="2530"/>
      <c r="HY234" s="2530"/>
      <c r="HZ234" s="2534"/>
      <c r="IA234" s="3105"/>
      <c r="IB234" s="3137"/>
      <c r="IC234" s="3137"/>
      <c r="ID234" s="3137"/>
      <c r="IE234" s="3130"/>
      <c r="IF234" s="3138"/>
      <c r="IG234" s="2524"/>
      <c r="IH234" s="3139"/>
      <c r="II234" s="3130"/>
      <c r="IJ234" s="3138"/>
      <c r="IK234" s="2524"/>
      <c r="IL234" s="3139"/>
      <c r="IM234" s="3130"/>
      <c r="IN234" s="3138"/>
      <c r="IO234" s="2524"/>
      <c r="IP234" s="3139"/>
      <c r="IR234" s="3140"/>
      <c r="IS234" s="3137"/>
      <c r="IT234" s="3137"/>
      <c r="IU234" s="3137"/>
      <c r="IV234" s="3141"/>
      <c r="IW234" s="3105"/>
      <c r="IX234" s="3137"/>
      <c r="IY234" s="3137"/>
      <c r="IZ234" s="3137"/>
      <c r="JA234" s="3142"/>
      <c r="JB234" s="3143"/>
      <c r="JC234" s="3137"/>
      <c r="JD234" s="3137"/>
      <c r="JE234" s="3137"/>
      <c r="JF234" s="3144"/>
      <c r="JG234" s="3145"/>
      <c r="JH234" s="2671"/>
      <c r="JI234" s="2671"/>
      <c r="JJ234" s="2671"/>
      <c r="JK234" s="1207"/>
      <c r="JL234" s="2176"/>
      <c r="JM234" s="946"/>
      <c r="JN234" s="946"/>
      <c r="JO234" s="946"/>
      <c r="JP234" s="3146"/>
      <c r="JQ234" s="3147"/>
      <c r="JR234" s="946"/>
      <c r="JS234" s="946"/>
      <c r="JT234" s="946"/>
      <c r="JU234" s="3146"/>
      <c r="JV234" s="3148"/>
      <c r="JW234" s="1074"/>
      <c r="JX234" s="1074"/>
      <c r="JY234" s="1074"/>
      <c r="JZ234" s="3149"/>
      <c r="KA234" s="1062"/>
      <c r="KB234" s="1074"/>
      <c r="KC234" s="1074"/>
      <c r="KD234" s="1074"/>
      <c r="KE234" s="3149"/>
      <c r="KF234" s="3150"/>
      <c r="KG234" s="1074"/>
      <c r="KH234" s="1074"/>
      <c r="KI234" s="1074"/>
      <c r="KJ234" s="3149"/>
      <c r="KK234" s="3151"/>
      <c r="KL234" s="3152"/>
      <c r="KM234" s="3152"/>
      <c r="KN234" s="3152"/>
      <c r="KO234" s="3153"/>
      <c r="KP234" s="1062"/>
      <c r="KQ234" s="1074"/>
      <c r="KR234" s="1074"/>
      <c r="KS234" s="1074"/>
      <c r="KT234" s="3149"/>
      <c r="KU234" s="1698"/>
      <c r="KV234" s="2532"/>
      <c r="KW234" s="2532"/>
      <c r="KX234" s="2532"/>
      <c r="KY234" s="3154"/>
      <c r="KZ234" s="1047"/>
      <c r="LA234" s="2056"/>
      <c r="LB234" s="2056"/>
      <c r="LC234" s="2056"/>
      <c r="LD234" s="1064"/>
      <c r="LE234" s="3107"/>
      <c r="LF234" s="3137"/>
      <c r="LG234" s="3137"/>
      <c r="LH234" s="3142"/>
      <c r="LI234" s="3155"/>
      <c r="LJ234" s="3138"/>
      <c r="LK234" s="2524"/>
      <c r="LL234" s="3139"/>
      <c r="LM234" s="3156"/>
      <c r="LN234" s="3138"/>
      <c r="LO234" s="2524"/>
      <c r="LP234" s="3139"/>
      <c r="LQ234" s="3130"/>
      <c r="LR234" s="3138"/>
      <c r="LS234" s="2524"/>
      <c r="LT234" s="3139"/>
      <c r="LV234" s="3157"/>
      <c r="LW234" s="3158"/>
      <c r="LX234" s="3158"/>
      <c r="LY234" s="3159"/>
      <c r="LZ234" s="3160"/>
      <c r="MA234" s="2529"/>
      <c r="MB234" s="2530"/>
      <c r="MC234" s="2530"/>
      <c r="MD234" s="3161"/>
      <c r="ME234" s="3162"/>
      <c r="MF234" s="2543"/>
      <c r="MG234" s="2530"/>
      <c r="MH234" s="2530"/>
      <c r="MI234" s="2721"/>
      <c r="MJ234" s="2528"/>
      <c r="MK234" s="3163"/>
      <c r="ML234" s="2530"/>
      <c r="MM234" s="2530"/>
      <c r="MN234" s="2721"/>
      <c r="MO234" s="2528"/>
      <c r="MP234" s="3163"/>
      <c r="MQ234" s="2530"/>
      <c r="MR234" s="2530"/>
      <c r="MS234" s="2721"/>
      <c r="MT234" s="86"/>
      <c r="MU234" s="2540"/>
      <c r="MV234" s="2527"/>
      <c r="MW234" s="2527"/>
      <c r="MX234" s="2527"/>
      <c r="MY234" s="86"/>
      <c r="MZ234" s="2540"/>
      <c r="NA234" s="2527"/>
      <c r="NB234" s="2527"/>
      <c r="NC234" s="2527"/>
      <c r="ND234" s="86"/>
      <c r="NE234" s="2540"/>
      <c r="NF234" s="2527"/>
      <c r="NG234" s="2527"/>
      <c r="NH234" s="2527"/>
      <c r="NI234" s="86"/>
      <c r="NJ234" s="2543"/>
      <c r="NK234" s="2530"/>
      <c r="NL234" s="2721"/>
      <c r="NM234" s="2527"/>
      <c r="NN234" s="86"/>
      <c r="NO234" s="2529"/>
      <c r="NP234" s="2530"/>
      <c r="NQ234" s="2721"/>
      <c r="NR234" s="2527"/>
      <c r="NS234" s="86"/>
      <c r="NT234" s="1092"/>
      <c r="NU234" s="1066"/>
      <c r="NV234" s="1066"/>
      <c r="NW234" s="1066"/>
      <c r="NX234" s="3164"/>
      <c r="NY234" s="2526"/>
      <c r="NZ234" s="2527"/>
      <c r="OA234" s="2527"/>
      <c r="OB234" s="2527"/>
      <c r="OC234" s="2528"/>
      <c r="OD234" s="3165"/>
      <c r="OE234" s="2671"/>
      <c r="OF234" s="2671"/>
      <c r="OG234" s="2671"/>
      <c r="OH234" s="2525"/>
      <c r="OI234" s="3165"/>
      <c r="OJ234" s="2671"/>
      <c r="OK234" s="2671"/>
      <c r="OL234" s="2671"/>
      <c r="OM234" s="2525"/>
      <c r="ON234" s="3165"/>
      <c r="OO234" s="2671"/>
      <c r="OP234" s="2671"/>
      <c r="OQ234" s="2671"/>
      <c r="OR234" s="2525"/>
      <c r="OS234" s="2529"/>
      <c r="OT234" s="2530"/>
      <c r="OU234" s="2530"/>
      <c r="OV234" s="2530"/>
      <c r="OW234" s="219"/>
      <c r="OX234" s="2529"/>
      <c r="OY234" s="2530"/>
      <c r="OZ234" s="2530"/>
      <c r="PA234" s="2530"/>
      <c r="PB234" s="219"/>
      <c r="PD234" s="3157"/>
      <c r="PE234" s="3158"/>
      <c r="PF234" s="3158"/>
      <c r="PG234" s="3158"/>
      <c r="PH234" s="3166"/>
      <c r="PI234" s="2529"/>
      <c r="PJ234" s="2530"/>
      <c r="PK234" s="2530"/>
      <c r="PL234" s="3161"/>
      <c r="PM234" s="3162"/>
      <c r="PN234" s="2543"/>
      <c r="PO234" s="2530"/>
      <c r="PP234" s="2530"/>
      <c r="PQ234" s="2721"/>
      <c r="PR234" s="2528"/>
      <c r="PS234" s="3163"/>
      <c r="PT234" s="2530"/>
      <c r="PU234" s="2530"/>
      <c r="PV234" s="2721"/>
      <c r="PW234" s="2528"/>
      <c r="PX234" s="3167"/>
      <c r="PY234" s="2532"/>
      <c r="PZ234" s="2532"/>
      <c r="QA234" s="3168"/>
      <c r="QB234" s="126"/>
      <c r="QC234" s="2540"/>
      <c r="QD234" s="2527"/>
      <c r="QE234" s="2527"/>
      <c r="QF234" s="2527"/>
      <c r="QG234" s="86"/>
      <c r="QH234" s="2540"/>
      <c r="QI234" s="2527"/>
      <c r="QJ234" s="2527"/>
      <c r="QK234" s="2527"/>
      <c r="QL234" s="86"/>
      <c r="QM234" s="2540"/>
      <c r="QN234" s="2527"/>
      <c r="QO234" s="2527"/>
      <c r="QP234" s="2527"/>
      <c r="QQ234" s="86"/>
      <c r="QR234" s="2543"/>
      <c r="QS234" s="2530"/>
      <c r="QT234" s="2721"/>
      <c r="QU234" s="2527"/>
      <c r="QV234" s="218"/>
      <c r="QW234" s="2529"/>
      <c r="QX234" s="2530"/>
      <c r="QY234" s="2721"/>
      <c r="QZ234" s="2527"/>
      <c r="RA234" s="86"/>
      <c r="RB234" s="1092"/>
      <c r="RC234" s="1066"/>
      <c r="RD234" s="1066"/>
      <c r="RE234" s="1066"/>
      <c r="RF234" s="3164"/>
      <c r="RG234" s="2540"/>
      <c r="RH234" s="2527"/>
      <c r="RI234" s="2527"/>
      <c r="RJ234" s="2527"/>
      <c r="RK234" s="2528"/>
      <c r="RL234" s="3165"/>
      <c r="RM234" s="2671"/>
      <c r="RN234" s="2671"/>
      <c r="RO234" s="2671"/>
      <c r="RP234" s="2525"/>
      <c r="RQ234" s="3165"/>
      <c r="RR234" s="2671"/>
      <c r="RS234" s="2671"/>
      <c r="RT234" s="2671"/>
      <c r="RU234" s="2525"/>
      <c r="RV234" s="3165"/>
      <c r="RW234" s="2671"/>
      <c r="RX234" s="2671"/>
      <c r="RY234" s="2671"/>
      <c r="RZ234" s="2525"/>
      <c r="SA234" s="2529"/>
      <c r="SB234" s="2530"/>
      <c r="SC234" s="2530"/>
      <c r="SD234" s="2530"/>
      <c r="SE234" s="219"/>
      <c r="SF234" s="2529"/>
      <c r="SG234" s="2530"/>
      <c r="SH234" s="2530"/>
      <c r="SI234" s="2530"/>
      <c r="SJ234" s="219"/>
      <c r="SL234" s="3157"/>
      <c r="SM234" s="3158"/>
      <c r="SN234" s="3158"/>
      <c r="SO234" s="3158"/>
      <c r="SP234" s="3166"/>
      <c r="SQ234" s="2529"/>
      <c r="SR234" s="2530"/>
      <c r="SS234" s="2530"/>
      <c r="ST234" s="3161"/>
      <c r="SU234" s="3162"/>
      <c r="SV234" s="4095"/>
      <c r="SW234" s="2532"/>
      <c r="SX234" s="2532"/>
      <c r="SY234" s="3168"/>
      <c r="SZ234" s="960"/>
      <c r="TA234" s="3167"/>
      <c r="TB234" s="2532"/>
      <c r="TC234" s="2532"/>
      <c r="TD234" s="3168"/>
      <c r="TE234" s="960"/>
      <c r="TF234" s="3167"/>
      <c r="TG234" s="2532"/>
      <c r="TH234" s="2532"/>
      <c r="TI234" s="3168"/>
      <c r="TJ234" s="126"/>
      <c r="TK234" s="2540"/>
      <c r="TL234" s="2527"/>
      <c r="TM234" s="2527"/>
      <c r="TN234" s="2527"/>
      <c r="TO234" s="86"/>
      <c r="TP234" s="4503"/>
      <c r="TQ234" s="2527"/>
      <c r="TR234" s="2527"/>
      <c r="TS234" s="2527"/>
      <c r="TT234" s="86"/>
      <c r="TU234" s="4503"/>
      <c r="TV234" s="2527"/>
      <c r="TW234" s="2527"/>
      <c r="TX234" s="2527"/>
      <c r="TY234" s="86"/>
      <c r="TZ234" s="2543"/>
      <c r="UA234" s="2530"/>
      <c r="UB234" s="2721"/>
      <c r="UC234" s="2527"/>
      <c r="UD234" s="218"/>
      <c r="UE234" s="2529"/>
      <c r="UF234" s="2530"/>
      <c r="UG234" s="2721"/>
      <c r="UH234" s="2527"/>
      <c r="UI234" s="86"/>
      <c r="UJ234" s="1092"/>
      <c r="UK234" s="1066"/>
      <c r="UL234" s="1066"/>
      <c r="UM234" s="1066"/>
      <c r="UN234" s="3164"/>
      <c r="UO234" s="2540"/>
      <c r="UP234" s="2527"/>
      <c r="UQ234" s="2527"/>
      <c r="UR234" s="2527"/>
      <c r="US234" s="2528"/>
      <c r="UT234" s="2526"/>
      <c r="UU234" s="2527"/>
      <c r="UV234" s="2527"/>
      <c r="UW234" s="2527"/>
      <c r="UX234" s="86"/>
      <c r="UY234" s="3165"/>
      <c r="UZ234" s="2671"/>
      <c r="VA234" s="2671"/>
      <c r="VB234" s="2671"/>
      <c r="VC234" s="2525"/>
      <c r="VD234" s="3165"/>
      <c r="VE234" s="2671"/>
      <c r="VF234" s="2671"/>
      <c r="VG234" s="2671"/>
      <c r="VH234" s="2525"/>
      <c r="VI234" s="2529"/>
      <c r="VJ234" s="2530"/>
      <c r="VK234" s="2530"/>
      <c r="VL234" s="2530"/>
      <c r="VM234" s="219"/>
      <c r="VN234" s="2529"/>
      <c r="VO234" s="2530"/>
      <c r="VP234" s="2530"/>
      <c r="VQ234" s="2530"/>
      <c r="VR234" s="219"/>
    </row>
    <row r="235" spans="1:592" s="453" customFormat="1" x14ac:dyDescent="0.3">
      <c r="A235" s="2616"/>
      <c r="B235" s="3169"/>
      <c r="C235" s="3170" t="s">
        <v>21</v>
      </c>
      <c r="D235" s="3171"/>
      <c r="E235" s="3172"/>
      <c r="F235" s="3172"/>
      <c r="G235" s="3173"/>
      <c r="H235" s="3174"/>
      <c r="I235" s="3175"/>
      <c r="J235" s="3175"/>
      <c r="K235" s="3175"/>
      <c r="L235" s="3176"/>
      <c r="M235" s="3177"/>
      <c r="N235" s="3175"/>
      <c r="O235" s="3178"/>
      <c r="P235" s="3179"/>
      <c r="Q235" s="3176"/>
      <c r="R235" s="3177"/>
      <c r="S235" s="3175"/>
      <c r="T235" s="3175"/>
      <c r="U235" s="3175"/>
      <c r="V235" s="3176"/>
      <c r="W235" s="3177"/>
      <c r="X235" s="3175"/>
      <c r="Y235" s="3175"/>
      <c r="Z235" s="3175"/>
      <c r="AA235" s="3180"/>
      <c r="AB235" s="3177"/>
      <c r="AC235" s="3175"/>
      <c r="AD235" s="3175"/>
      <c r="AE235" s="3175"/>
      <c r="AF235" s="3180"/>
      <c r="AG235" s="3175"/>
      <c r="AH235" s="3175"/>
      <c r="AI235" s="3175"/>
      <c r="AJ235" s="3175"/>
      <c r="AK235" s="3176"/>
      <c r="AL235" s="3181"/>
      <c r="AM235" s="3181"/>
      <c r="AN235" s="3181"/>
      <c r="AO235" s="3181"/>
      <c r="AP235" s="3182"/>
      <c r="AQ235" s="3175"/>
      <c r="AR235" s="3175"/>
      <c r="AS235" s="3183"/>
      <c r="AT235" s="3175"/>
      <c r="AU235" s="3176"/>
      <c r="AV235" s="3184"/>
      <c r="AW235" s="3175"/>
      <c r="AX235" s="3183"/>
      <c r="AY235" s="3175"/>
      <c r="AZ235" s="3180"/>
      <c r="BA235" s="3184"/>
      <c r="BB235" s="3175"/>
      <c r="BC235" s="3175"/>
      <c r="BD235" s="3175"/>
      <c r="BE235" s="3180"/>
      <c r="BF235" s="3185"/>
      <c r="BG235" s="3181"/>
      <c r="BH235" s="3181"/>
      <c r="BI235" s="3175"/>
      <c r="BJ235" s="3186"/>
      <c r="BK235" s="3184"/>
      <c r="BL235" s="3175"/>
      <c r="BM235" s="3175"/>
      <c r="BN235" s="3175"/>
      <c r="BO235" s="3180"/>
      <c r="BP235" s="3175"/>
      <c r="BQ235" s="3175"/>
      <c r="BR235" s="3175"/>
      <c r="BS235" s="3175"/>
      <c r="BT235" s="3175"/>
      <c r="BU235" s="3175"/>
      <c r="BV235" s="3175"/>
      <c r="BW235" s="3176"/>
      <c r="BX235" s="3175"/>
      <c r="BY235" s="3175"/>
      <c r="BZ235" s="3175"/>
      <c r="CA235" s="3175"/>
      <c r="CB235" s="3175"/>
      <c r="CC235" s="3175"/>
      <c r="CD235" s="3175"/>
      <c r="CE235" s="3175"/>
      <c r="CF235" s="3175"/>
      <c r="CG235" s="3175"/>
      <c r="CH235" s="3175"/>
      <c r="CI235" s="3175"/>
      <c r="CJ235" s="3177"/>
      <c r="CK235" s="3175"/>
      <c r="CL235" s="3175"/>
      <c r="CM235" s="3175"/>
      <c r="CN235" s="3175"/>
      <c r="CO235" s="3177"/>
      <c r="CP235" s="3175"/>
      <c r="CQ235" s="3175"/>
      <c r="CR235" s="3175"/>
      <c r="CS235" s="3175"/>
      <c r="CT235" s="3177"/>
      <c r="CU235" s="3175"/>
      <c r="CV235" s="3175"/>
      <c r="CW235" s="3175"/>
      <c r="CX235" s="3175"/>
      <c r="CY235" s="3177"/>
      <c r="CZ235" s="3175"/>
      <c r="DA235" s="3175"/>
      <c r="DB235" s="3175"/>
      <c r="DC235" s="3175"/>
      <c r="DD235" s="3175"/>
      <c r="DE235" s="3175"/>
      <c r="DF235" s="3175"/>
      <c r="DG235" s="3175"/>
      <c r="DH235" s="3177"/>
      <c r="DI235" s="3177"/>
      <c r="DJ235" s="3175"/>
      <c r="DK235" s="3175"/>
      <c r="DL235" s="3175"/>
      <c r="DM235" s="3177"/>
      <c r="DN235" s="3177"/>
      <c r="DO235" s="3175"/>
      <c r="DP235" s="3175"/>
      <c r="DQ235" s="3175"/>
      <c r="DR235" s="3177"/>
      <c r="DS235" s="3177"/>
      <c r="DT235" s="3175"/>
      <c r="DU235" s="3175"/>
      <c r="DV235" s="3175"/>
      <c r="DW235" s="3175"/>
      <c r="DX235" s="3177"/>
      <c r="DY235" s="3175"/>
      <c r="DZ235" s="3175"/>
      <c r="EA235" s="3175"/>
      <c r="EB235" s="3180"/>
      <c r="EC235" s="3177"/>
      <c r="ED235" s="3175"/>
      <c r="EE235" s="3175"/>
      <c r="EF235" s="3175"/>
      <c r="EG235" s="3177"/>
      <c r="EH235" s="3175"/>
      <c r="EI235" s="3175"/>
      <c r="EJ235" s="3175"/>
      <c r="EK235" s="3175"/>
      <c r="EL235" s="3175"/>
      <c r="EM235" s="3177"/>
      <c r="EN235" s="3175"/>
      <c r="EO235" s="3175"/>
      <c r="EP235" s="3175"/>
      <c r="EQ235" s="3175"/>
      <c r="ER235" s="3175"/>
      <c r="ES235" s="3175"/>
      <c r="ET235" s="3175"/>
      <c r="EU235" s="2722">
        <v>8436101</v>
      </c>
      <c r="EV235" s="3175"/>
      <c r="EW235" s="3177"/>
      <c r="EX235" s="3175"/>
      <c r="EY235" s="3175"/>
      <c r="EZ235" s="3175"/>
      <c r="FA235" s="3175"/>
      <c r="FB235" s="3175"/>
      <c r="FC235" s="3175"/>
      <c r="FD235" s="3175"/>
      <c r="FE235" s="3175"/>
      <c r="FF235" s="3175"/>
      <c r="FG235" s="3175"/>
      <c r="FH235" s="3175"/>
      <c r="FI235" s="3175"/>
      <c r="FJ235" s="3175"/>
      <c r="FK235" s="3175"/>
      <c r="FL235" s="3175"/>
      <c r="FM235" s="3175"/>
      <c r="FN235" s="3177"/>
      <c r="FO235" s="3175"/>
      <c r="FP235" s="3175"/>
      <c r="FQ235" s="3175">
        <v>395354</v>
      </c>
      <c r="FR235" s="3187"/>
      <c r="FS235" s="3174"/>
      <c r="FT235" s="3175"/>
      <c r="FU235" s="3175"/>
      <c r="FV235" s="3175">
        <v>311420</v>
      </c>
      <c r="FW235" s="3188"/>
      <c r="FX235" s="3189"/>
      <c r="FY235" s="3175"/>
      <c r="FZ235" s="3175"/>
      <c r="GA235" s="3175">
        <f>336882+(513515*10%)</f>
        <v>388233.5</v>
      </c>
      <c r="GB235" s="3190"/>
      <c r="GC235" s="3191"/>
      <c r="GD235" s="1936"/>
      <c r="GE235" s="1936"/>
      <c r="GF235" s="1936">
        <f>182347+315000+(813355*10%)</f>
        <v>578682.5</v>
      </c>
      <c r="GG235" s="2730"/>
      <c r="GH235" s="968"/>
      <c r="GI235" s="1936"/>
      <c r="GJ235" s="1936"/>
      <c r="GK235" s="1936">
        <f>462367+(824342*10%)</f>
        <v>544801.19999999995</v>
      </c>
      <c r="GL235" s="3192"/>
      <c r="GM235" s="2186"/>
      <c r="GN235" s="1936"/>
      <c r="GO235" s="1936"/>
      <c r="GP235" s="1936">
        <f>463367+(838871*15%)</f>
        <v>589197.65</v>
      </c>
      <c r="GQ235" s="2730"/>
      <c r="GR235" s="3193"/>
      <c r="GS235" s="2015"/>
      <c r="GT235" s="2015"/>
      <c r="GU235" s="2015">
        <f>467732+(846909*15%)+50000</f>
        <v>644768.35</v>
      </c>
      <c r="GV235" s="3194"/>
      <c r="GW235" s="3193"/>
      <c r="GX235" s="2015"/>
      <c r="GY235" s="2015"/>
      <c r="GZ235" s="2015">
        <f>466593+(815966*15%)</f>
        <v>588987.9</v>
      </c>
      <c r="HA235" s="3194"/>
      <c r="HB235" s="3193"/>
      <c r="HC235" s="2015"/>
      <c r="HD235" s="2015"/>
      <c r="HE235" s="2015">
        <f>485000+(808544*15%)</f>
        <v>606281.6</v>
      </c>
      <c r="HF235" s="3194"/>
      <c r="HG235" s="3193"/>
      <c r="HH235" s="2015"/>
      <c r="HI235" s="2015"/>
      <c r="HJ235" s="2015">
        <f>485881+(803215*15%)</f>
        <v>606363.25</v>
      </c>
      <c r="HK235" s="3194"/>
      <c r="HL235" s="3193"/>
      <c r="HM235" s="2015"/>
      <c r="HN235" s="2015"/>
      <c r="HO235" s="2015">
        <f>484523+(786874*15%)</f>
        <v>602554.1</v>
      </c>
      <c r="HP235" s="3194"/>
      <c r="HQ235" s="1022"/>
      <c r="HR235" s="1568"/>
      <c r="HS235" s="1568"/>
      <c r="HT235" s="1568">
        <f>574141+(797194*15%)</f>
        <v>693720.1</v>
      </c>
      <c r="HU235" s="2673"/>
      <c r="HV235" s="1022"/>
      <c r="HW235" s="1568"/>
      <c r="HX235" s="1568"/>
      <c r="HY235" s="1568">
        <f t="shared" ref="HY235:HY258" si="875">FQ235+FV235+GA235+GF235+GK235+GP235+GU235+GZ235+HE235+HJ235+HO235+HT235</f>
        <v>6550364.1499999994</v>
      </c>
      <c r="HZ235" s="2673"/>
      <c r="IA235" s="3195"/>
      <c r="IB235" s="3196"/>
      <c r="IC235" s="3197">
        <f>FQ235+FV235+GA235</f>
        <v>1095007.5</v>
      </c>
      <c r="ID235" s="3196"/>
      <c r="IE235" s="3191"/>
      <c r="IF235" s="1936"/>
      <c r="IG235" s="3198">
        <f>(GF235+GK235+GP235)</f>
        <v>1712681.35</v>
      </c>
      <c r="IH235" s="3192"/>
      <c r="II235" s="3191"/>
      <c r="IJ235" s="1936"/>
      <c r="IK235" s="3199">
        <f>(GU235+GZ235+HE235)</f>
        <v>1840037.85</v>
      </c>
      <c r="IL235" s="3192"/>
      <c r="IM235" s="3191"/>
      <c r="IN235" s="1936"/>
      <c r="IO235" s="1727">
        <f>(HJ235+HO235+HT235)</f>
        <v>1902637.4500000002</v>
      </c>
      <c r="IP235" s="3192"/>
      <c r="IR235" s="3200"/>
      <c r="IS235" s="3196"/>
      <c r="IT235" s="3196"/>
      <c r="IU235" s="3196">
        <f>587668</f>
        <v>587668</v>
      </c>
      <c r="IV235" s="3201"/>
      <c r="IW235" s="3195"/>
      <c r="IX235" s="3196"/>
      <c r="IY235" s="3196"/>
      <c r="IZ235" s="3196">
        <f>645194</f>
        <v>645194</v>
      </c>
      <c r="JA235" s="3202"/>
      <c r="JB235" s="3203"/>
      <c r="JC235" s="3196"/>
      <c r="JD235" s="3196"/>
      <c r="JE235" s="3196">
        <f>639604</f>
        <v>639604</v>
      </c>
      <c r="JF235" s="3204"/>
      <c r="JG235" s="3205"/>
      <c r="JH235" s="2186"/>
      <c r="JI235" s="2186"/>
      <c r="JJ235" s="2186">
        <f>731053</f>
        <v>731053</v>
      </c>
      <c r="JK235" s="976"/>
      <c r="JL235" s="2185"/>
      <c r="JM235" s="1936"/>
      <c r="JN235" s="1936"/>
      <c r="JO235" s="2186">
        <f>756104</f>
        <v>756104</v>
      </c>
      <c r="JP235" s="3192"/>
      <c r="JQ235" s="3206"/>
      <c r="JR235" s="1936"/>
      <c r="JS235" s="1936"/>
      <c r="JT235" s="2897">
        <f>825443+100000</f>
        <v>925443</v>
      </c>
      <c r="JU235" s="3192"/>
      <c r="JV235" s="3207"/>
      <c r="JW235" s="2015"/>
      <c r="JX235" s="2015"/>
      <c r="JY235" s="3208">
        <f>854099</f>
        <v>854099</v>
      </c>
      <c r="JZ235" s="3194"/>
      <c r="KA235" s="3193"/>
      <c r="KB235" s="2015"/>
      <c r="KC235" s="2015"/>
      <c r="KD235" s="2015">
        <f>825849</f>
        <v>825849</v>
      </c>
      <c r="KE235" s="3194"/>
      <c r="KF235" s="3209"/>
      <c r="KG235" s="2015"/>
      <c r="KH235" s="2015"/>
      <c r="KI235" s="2015">
        <f>848954</f>
        <v>848954</v>
      </c>
      <c r="KJ235" s="3194"/>
      <c r="KK235" s="3210"/>
      <c r="KL235" s="3211"/>
      <c r="KM235" s="3211"/>
      <c r="KN235" s="2015">
        <f>916004</f>
        <v>916004</v>
      </c>
      <c r="KO235" s="3212"/>
      <c r="KP235" s="3193"/>
      <c r="KQ235" s="2015"/>
      <c r="KR235" s="2015"/>
      <c r="KS235" s="2015">
        <f>853762</f>
        <v>853762</v>
      </c>
      <c r="KT235" s="3194"/>
      <c r="KU235" s="1022"/>
      <c r="KV235" s="1568"/>
      <c r="KW235" s="1568"/>
      <c r="KX235" s="1568">
        <f>755131</f>
        <v>755131</v>
      </c>
      <c r="KY235" s="2673"/>
      <c r="KZ235" s="1022"/>
      <c r="LA235" s="1568"/>
      <c r="LB235" s="1568"/>
      <c r="LC235" s="1873">
        <f>IU235+IZ235+JE235+JJ235+JO235+JT235+JY235+KD235+KI235+KN235+KS235+KX235</f>
        <v>9338865</v>
      </c>
      <c r="LD235" s="2673"/>
      <c r="LE235" s="3171"/>
      <c r="LF235" s="3196"/>
      <c r="LG235" s="3213">
        <f>IU235+IZ235+JE235</f>
        <v>1872466</v>
      </c>
      <c r="LH235" s="3202"/>
      <c r="LI235" s="3214"/>
      <c r="LJ235" s="1936"/>
      <c r="LK235" s="3198">
        <f>(JJ235+JO235+JT235)</f>
        <v>2412600</v>
      </c>
      <c r="LL235" s="3192"/>
      <c r="LM235" s="3215"/>
      <c r="LN235" s="1936"/>
      <c r="LO235" s="3199">
        <f>(JY235+KD235+KI235)</f>
        <v>2528902</v>
      </c>
      <c r="LP235" s="3192"/>
      <c r="LQ235" s="3191"/>
      <c r="LR235" s="1936"/>
      <c r="LS235" s="3199">
        <f>(KN235+KS235+KX235)</f>
        <v>2524897</v>
      </c>
      <c r="LT235" s="3192"/>
      <c r="LV235" s="1567"/>
      <c r="LW235" s="2938"/>
      <c r="LX235" s="2938"/>
      <c r="LY235" s="3216">
        <f>810816</f>
        <v>810816</v>
      </c>
      <c r="LZ235" s="3217"/>
      <c r="MA235" s="1022"/>
      <c r="MB235" s="1568"/>
      <c r="MC235" s="1568"/>
      <c r="MD235" s="3218">
        <f>816813</f>
        <v>816813</v>
      </c>
      <c r="ME235" s="3194"/>
      <c r="MF235" s="1567"/>
      <c r="MG235" s="1568"/>
      <c r="MH235" s="1568"/>
      <c r="MI235" s="1871">
        <f>962500</f>
        <v>962500</v>
      </c>
      <c r="MJ235" s="2674"/>
      <c r="MK235" s="3219"/>
      <c r="ML235" s="1568"/>
      <c r="MM235" s="1568"/>
      <c r="MN235" s="1871">
        <f>944521</f>
        <v>944521</v>
      </c>
      <c r="MO235" s="2674"/>
      <c r="MP235" s="3219"/>
      <c r="MQ235" s="1568"/>
      <c r="MR235" s="1568"/>
      <c r="MS235" s="1871">
        <v>894271</v>
      </c>
      <c r="MT235" s="83"/>
      <c r="MU235" s="405"/>
      <c r="MV235" s="1575"/>
      <c r="MW235" s="1575"/>
      <c r="MX235" s="1871">
        <v>1037957</v>
      </c>
      <c r="MY235" s="83"/>
      <c r="MZ235" s="405"/>
      <c r="NA235" s="1575"/>
      <c r="NB235" s="1575"/>
      <c r="NC235" s="1871">
        <v>1061806</v>
      </c>
      <c r="ND235" s="83"/>
      <c r="NE235" s="405"/>
      <c r="NF235" s="1575"/>
      <c r="NG235" s="1575"/>
      <c r="NH235" s="1871">
        <v>1022927</v>
      </c>
      <c r="NI235" s="83"/>
      <c r="NJ235" s="1567"/>
      <c r="NK235" s="1568"/>
      <c r="NL235" s="1871"/>
      <c r="NM235" s="1871">
        <v>945858</v>
      </c>
      <c r="NN235" s="83"/>
      <c r="NO235" s="1022"/>
      <c r="NP235" s="1568"/>
      <c r="NQ235" s="1871"/>
      <c r="NR235" s="1871">
        <v>968101</v>
      </c>
      <c r="NS235" s="83"/>
      <c r="NT235" s="209"/>
      <c r="NU235" s="208"/>
      <c r="NV235" s="208"/>
      <c r="NW235" s="1871">
        <v>915750</v>
      </c>
      <c r="NX235" s="114"/>
      <c r="NY235" s="1868"/>
      <c r="NZ235" s="1575"/>
      <c r="OA235" s="1575"/>
      <c r="OB235" s="1871">
        <v>915169</v>
      </c>
      <c r="OC235" s="83"/>
      <c r="OD235" s="1004"/>
      <c r="OE235" s="2786"/>
      <c r="OF235" s="2786"/>
      <c r="OG235" s="2786">
        <f t="shared" ref="OG235:OG260" si="876">OB235+NW235+NR235+NM235+NH235+NC235+MX235+MS235+MN235+MI235+MD235+LY235</f>
        <v>11296489</v>
      </c>
      <c r="OH235" s="2059"/>
      <c r="OI235" s="968"/>
      <c r="OJ235" s="2186"/>
      <c r="OK235" s="2186"/>
      <c r="OL235" s="778">
        <f>LY235+MD235+MI235</f>
        <v>2590129</v>
      </c>
      <c r="OM235" s="1869"/>
      <c r="ON235" s="968"/>
      <c r="OO235" s="2186"/>
      <c r="OP235" s="2186"/>
      <c r="OQ235" s="359">
        <f>MN235+MS235+MX235</f>
        <v>2876749</v>
      </c>
      <c r="OR235" s="1869"/>
      <c r="OS235" s="1022"/>
      <c r="OT235" s="1568"/>
      <c r="OU235" s="1568"/>
      <c r="OV235" s="137">
        <f>NM235+NH235+NC235</f>
        <v>3030591</v>
      </c>
      <c r="OW235" s="220"/>
      <c r="OX235" s="1022"/>
      <c r="OY235" s="1568"/>
      <c r="OZ235" s="1568"/>
      <c r="PA235" s="358">
        <f>NR235+NW235+OB235</f>
        <v>2799020</v>
      </c>
      <c r="PB235" s="220"/>
      <c r="PC235" s="79"/>
      <c r="PD235" s="1567"/>
      <c r="PE235" s="2938"/>
      <c r="PF235" s="2938"/>
      <c r="PG235" s="3220">
        <v>914982</v>
      </c>
      <c r="PH235" s="2944"/>
      <c r="PI235" s="1022"/>
      <c r="PJ235" s="1568"/>
      <c r="PK235" s="1568"/>
      <c r="PL235" s="3218">
        <v>956250</v>
      </c>
      <c r="PM235" s="3194"/>
      <c r="PN235" s="1567"/>
      <c r="PO235" s="1568"/>
      <c r="PP235" s="1568"/>
      <c r="PQ235" s="1871">
        <f>'[10]7. Salaries - Internal Staff'!EF10</f>
        <v>924612</v>
      </c>
      <c r="PR235" s="2674"/>
      <c r="PS235" s="3219"/>
      <c r="PT235" s="1568"/>
      <c r="PU235" s="1568"/>
      <c r="PV235" s="1871">
        <v>972606</v>
      </c>
      <c r="PW235" s="2674"/>
      <c r="PX235" s="3221"/>
      <c r="PY235" s="358"/>
      <c r="PZ235" s="358"/>
      <c r="QA235" s="1871">
        <v>957750</v>
      </c>
      <c r="QB235" s="114"/>
      <c r="QC235" s="405"/>
      <c r="QD235" s="1575"/>
      <c r="QE235" s="1575"/>
      <c r="QF235" s="1871">
        <v>943574</v>
      </c>
      <c r="QG235" s="83"/>
      <c r="QH235" s="405"/>
      <c r="QI235" s="1575"/>
      <c r="QJ235" s="1575"/>
      <c r="QK235" s="1871">
        <v>1217882</v>
      </c>
      <c r="QL235" s="83"/>
      <c r="QM235" s="405"/>
      <c r="QN235" s="1575"/>
      <c r="QO235" s="1575"/>
      <c r="QP235" s="1871">
        <v>1329102</v>
      </c>
      <c r="QQ235" s="83"/>
      <c r="QR235" s="1567"/>
      <c r="QS235" s="1568"/>
      <c r="QT235" s="1871"/>
      <c r="QU235" s="1871">
        <v>1274169</v>
      </c>
      <c r="QV235" s="222"/>
      <c r="QW235" s="1022"/>
      <c r="QX235" s="1568"/>
      <c r="QY235" s="1871"/>
      <c r="QZ235" s="1871">
        <v>1329773</v>
      </c>
      <c r="RA235" s="83"/>
      <c r="RB235" s="209"/>
      <c r="RC235" s="208"/>
      <c r="RD235" s="208"/>
      <c r="RE235" s="1871">
        <v>1326481</v>
      </c>
      <c r="RF235" s="114"/>
      <c r="RG235" s="405"/>
      <c r="RH235" s="1575"/>
      <c r="RI235" s="1575"/>
      <c r="RJ235" s="1871">
        <v>1446775</v>
      </c>
      <c r="RK235" s="83"/>
      <c r="RL235" s="1004"/>
      <c r="RM235" s="2786"/>
      <c r="RN235" s="2786"/>
      <c r="RO235" s="1568">
        <f t="shared" ref="RO235:RO260" si="877">RJ235+RE235+QZ235+QU235+QP235+QK235+QF235+QA235+PV235+PQ235+PL235+PG235</f>
        <v>13593956</v>
      </c>
      <c r="RP235" s="2059"/>
      <c r="RQ235" s="968"/>
      <c r="RR235" s="2186"/>
      <c r="RS235" s="2186"/>
      <c r="RT235" s="3222">
        <f>PG235+PL235+PQ235</f>
        <v>2795844</v>
      </c>
      <c r="RU235" s="1869"/>
      <c r="RV235" s="968"/>
      <c r="RW235" s="2186"/>
      <c r="RX235" s="2186"/>
      <c r="RY235" s="3223">
        <f t="shared" ref="RY235:RY260" si="878">QP235+QK235+QF235</f>
        <v>3490558</v>
      </c>
      <c r="RZ235" s="1869"/>
      <c r="SA235" s="1022"/>
      <c r="SB235" s="1568"/>
      <c r="SC235" s="1568"/>
      <c r="SD235" s="3223">
        <f>QU235+QP235+QK235</f>
        <v>3821153</v>
      </c>
      <c r="SE235" s="220"/>
      <c r="SF235" s="1022"/>
      <c r="SG235" s="1568"/>
      <c r="SH235" s="1568"/>
      <c r="SI235" s="358">
        <f>QZ235+RE235+RJ235</f>
        <v>4103029</v>
      </c>
      <c r="SJ235" s="220"/>
      <c r="SL235" s="1567"/>
      <c r="SM235" s="2938"/>
      <c r="SN235" s="2938"/>
      <c r="SO235" s="3220">
        <v>1637795</v>
      </c>
      <c r="SP235" s="2944"/>
      <c r="SQ235" s="1022"/>
      <c r="SR235" s="1568"/>
      <c r="SS235" s="1568"/>
      <c r="ST235" s="3218">
        <f>'[10]7. Salaries - Internal Staff'!FC10</f>
        <v>2080706</v>
      </c>
      <c r="SU235" s="3194"/>
      <c r="SV235" s="1857"/>
      <c r="SW235" s="358"/>
      <c r="SX235" s="358"/>
      <c r="SY235" s="1871">
        <v>1679291</v>
      </c>
      <c r="SZ235" s="2563"/>
      <c r="TA235" s="3221"/>
      <c r="TB235" s="358"/>
      <c r="TC235" s="358"/>
      <c r="TD235" s="1871">
        <v>1703710</v>
      </c>
      <c r="TE235" s="2563"/>
      <c r="TF235" s="3221"/>
      <c r="TG235" s="358"/>
      <c r="TH235" s="358"/>
      <c r="TI235" s="1871">
        <f>'[10]7. Salaries - Internal Staff'!FI10</f>
        <v>1678573</v>
      </c>
      <c r="TJ235" s="114"/>
      <c r="TK235" s="405"/>
      <c r="TL235" s="1575"/>
      <c r="TM235" s="1575"/>
      <c r="TN235" s="1871">
        <v>1546579</v>
      </c>
      <c r="TO235" s="83"/>
      <c r="TP235" s="4506"/>
      <c r="TQ235" s="1575"/>
      <c r="TR235" s="1575"/>
      <c r="TS235" s="1871">
        <v>1539291</v>
      </c>
      <c r="TT235" s="83"/>
      <c r="TU235" s="4506"/>
      <c r="TV235" s="1575"/>
      <c r="TW235" s="1575"/>
      <c r="TX235" s="1871">
        <v>1482499</v>
      </c>
      <c r="TY235" s="83"/>
      <c r="TZ235" s="1567"/>
      <c r="UA235" s="1568"/>
      <c r="UB235" s="1871"/>
      <c r="UC235" s="1871">
        <v>1400882</v>
      </c>
      <c r="UD235" s="222"/>
      <c r="UE235" s="1022"/>
      <c r="UF235" s="1568"/>
      <c r="UG235" s="1871"/>
      <c r="UH235" s="1871">
        <f>'[10]7. Salaries - Internal Staff'!FS10</f>
        <v>1363783</v>
      </c>
      <c r="UI235" s="83"/>
      <c r="UJ235" s="209"/>
      <c r="UK235" s="208"/>
      <c r="UL235" s="208"/>
      <c r="UM235" s="1871">
        <v>0</v>
      </c>
      <c r="UN235" s="114"/>
      <c r="UO235" s="405"/>
      <c r="UP235" s="1575"/>
      <c r="UQ235" s="1575"/>
      <c r="UR235" s="1871">
        <v>0</v>
      </c>
      <c r="US235" s="83"/>
      <c r="UT235" s="1868"/>
      <c r="UU235" s="1575"/>
      <c r="UV235" s="1575"/>
      <c r="UW235" s="1575">
        <f>UR235+UM235+UH235+UC235+TX235+TS235+TN235+TI235+TD235+SY235+ST235+SO235</f>
        <v>16113109</v>
      </c>
      <c r="UX235" s="83"/>
      <c r="UY235" s="968"/>
      <c r="UZ235" s="2186"/>
      <c r="VA235" s="2186"/>
      <c r="VB235" s="3222">
        <f>SO235+ST235+SY235</f>
        <v>5397792</v>
      </c>
      <c r="VC235" s="1869"/>
      <c r="VD235" s="968"/>
      <c r="VE235" s="2186"/>
      <c r="VF235" s="2186"/>
      <c r="VG235" s="1871">
        <f>TD235+TI235+TN235</f>
        <v>4928862</v>
      </c>
      <c r="VH235" s="1869"/>
      <c r="VI235" s="1022"/>
      <c r="VJ235" s="1568"/>
      <c r="VK235" s="1568"/>
      <c r="VL235" s="3223">
        <f>UC235+TX235+TS235</f>
        <v>4422672</v>
      </c>
      <c r="VM235" s="220"/>
      <c r="VN235" s="1022"/>
      <c r="VO235" s="1568"/>
      <c r="VP235" s="1568"/>
      <c r="VQ235" s="358">
        <f>UH235+UM235+UR235</f>
        <v>1363783</v>
      </c>
      <c r="VR235" s="220"/>
    </row>
    <row r="236" spans="1:592" s="453" customFormat="1" x14ac:dyDescent="0.3">
      <c r="A236" s="2616"/>
      <c r="B236" s="3169"/>
      <c r="C236" s="3224" t="s">
        <v>952</v>
      </c>
      <c r="D236" s="3171"/>
      <c r="E236" s="3172"/>
      <c r="F236" s="3172"/>
      <c r="G236" s="3173"/>
      <c r="H236" s="3174"/>
      <c r="I236" s="3175"/>
      <c r="J236" s="3175"/>
      <c r="K236" s="3175"/>
      <c r="L236" s="3176"/>
      <c r="M236" s="3177"/>
      <c r="N236" s="3175"/>
      <c r="O236" s="3178"/>
      <c r="P236" s="3179"/>
      <c r="Q236" s="3176"/>
      <c r="R236" s="3177"/>
      <c r="S236" s="3175"/>
      <c r="T236" s="3175"/>
      <c r="U236" s="3175"/>
      <c r="V236" s="3176"/>
      <c r="W236" s="3177"/>
      <c r="X236" s="3175"/>
      <c r="Y236" s="3175"/>
      <c r="Z236" s="3175"/>
      <c r="AA236" s="3180"/>
      <c r="AB236" s="3177"/>
      <c r="AC236" s="3175"/>
      <c r="AD236" s="3175"/>
      <c r="AE236" s="3175"/>
      <c r="AF236" s="3180"/>
      <c r="AG236" s="3175"/>
      <c r="AH236" s="3175"/>
      <c r="AI236" s="3175"/>
      <c r="AJ236" s="3175"/>
      <c r="AK236" s="3176"/>
      <c r="AL236" s="3181"/>
      <c r="AM236" s="3181"/>
      <c r="AN236" s="3181"/>
      <c r="AO236" s="3181"/>
      <c r="AP236" s="3182"/>
      <c r="AQ236" s="3175"/>
      <c r="AR236" s="3175"/>
      <c r="AS236" s="3183"/>
      <c r="AT236" s="3175"/>
      <c r="AU236" s="3176"/>
      <c r="AV236" s="3184"/>
      <c r="AW236" s="3175"/>
      <c r="AX236" s="3183"/>
      <c r="AY236" s="3175"/>
      <c r="AZ236" s="3180"/>
      <c r="BA236" s="3184"/>
      <c r="BB236" s="3175"/>
      <c r="BC236" s="3175"/>
      <c r="BD236" s="3175"/>
      <c r="BE236" s="3180"/>
      <c r="BF236" s="3185"/>
      <c r="BG236" s="3181"/>
      <c r="BH236" s="3181"/>
      <c r="BI236" s="3175"/>
      <c r="BJ236" s="3186"/>
      <c r="BK236" s="3184"/>
      <c r="BL236" s="3175"/>
      <c r="BM236" s="3175"/>
      <c r="BN236" s="3175"/>
      <c r="BO236" s="3180"/>
      <c r="BP236" s="3175"/>
      <c r="BQ236" s="3175"/>
      <c r="BR236" s="3175"/>
      <c r="BS236" s="3175"/>
      <c r="BT236" s="3175"/>
      <c r="BU236" s="3175"/>
      <c r="BV236" s="3175"/>
      <c r="BW236" s="3176"/>
      <c r="BX236" s="3175"/>
      <c r="BY236" s="3175"/>
      <c r="BZ236" s="3175"/>
      <c r="CA236" s="3175"/>
      <c r="CB236" s="3175"/>
      <c r="CC236" s="3175"/>
      <c r="CD236" s="3175"/>
      <c r="CE236" s="3175"/>
      <c r="CF236" s="3175"/>
      <c r="CG236" s="3175"/>
      <c r="CH236" s="3175"/>
      <c r="CI236" s="3175"/>
      <c r="CJ236" s="3177"/>
      <c r="CK236" s="3175"/>
      <c r="CL236" s="3175"/>
      <c r="CM236" s="3175"/>
      <c r="CN236" s="3175"/>
      <c r="CO236" s="3177"/>
      <c r="CP236" s="3175"/>
      <c r="CQ236" s="3175"/>
      <c r="CR236" s="3175"/>
      <c r="CS236" s="3175"/>
      <c r="CT236" s="3177"/>
      <c r="CU236" s="3175"/>
      <c r="CV236" s="3175"/>
      <c r="CW236" s="3175"/>
      <c r="CX236" s="3175"/>
      <c r="CY236" s="3177"/>
      <c r="CZ236" s="3175"/>
      <c r="DA236" s="3175"/>
      <c r="DB236" s="3175"/>
      <c r="DC236" s="3175"/>
      <c r="DD236" s="3175"/>
      <c r="DE236" s="3175"/>
      <c r="DF236" s="3175"/>
      <c r="DG236" s="3175"/>
      <c r="DH236" s="3177"/>
      <c r="DI236" s="3177"/>
      <c r="DJ236" s="3175"/>
      <c r="DK236" s="3175"/>
      <c r="DL236" s="3175"/>
      <c r="DM236" s="3177"/>
      <c r="DN236" s="3177"/>
      <c r="DO236" s="3175"/>
      <c r="DP236" s="3175"/>
      <c r="DQ236" s="3175"/>
      <c r="DR236" s="3177"/>
      <c r="DS236" s="3177"/>
      <c r="DT236" s="3175"/>
      <c r="DU236" s="3175"/>
      <c r="DV236" s="3175"/>
      <c r="DW236" s="3175"/>
      <c r="DX236" s="3177"/>
      <c r="DY236" s="3175"/>
      <c r="DZ236" s="3175"/>
      <c r="EA236" s="3175"/>
      <c r="EB236" s="3180"/>
      <c r="EC236" s="3177"/>
      <c r="ED236" s="3175"/>
      <c r="EE236" s="3175"/>
      <c r="EF236" s="3175"/>
      <c r="EG236" s="3177"/>
      <c r="EH236" s="3175"/>
      <c r="EI236" s="3175"/>
      <c r="EJ236" s="3175"/>
      <c r="EK236" s="3175"/>
      <c r="EL236" s="3175"/>
      <c r="EM236" s="3177"/>
      <c r="EN236" s="3175"/>
      <c r="EO236" s="3175"/>
      <c r="EP236" s="3175"/>
      <c r="EQ236" s="3175"/>
      <c r="ER236" s="3175"/>
      <c r="ES236" s="3175"/>
      <c r="ET236" s="3175"/>
      <c r="EU236" s="3175"/>
      <c r="EV236" s="3175"/>
      <c r="EW236" s="3177"/>
      <c r="EX236" s="3175"/>
      <c r="EY236" s="3175"/>
      <c r="EZ236" s="3175"/>
      <c r="FA236" s="3175"/>
      <c r="FB236" s="3175"/>
      <c r="FC236" s="3175"/>
      <c r="FD236" s="3175"/>
      <c r="FE236" s="3175"/>
      <c r="FF236" s="3175"/>
      <c r="FG236" s="3175"/>
      <c r="FH236" s="3175"/>
      <c r="FI236" s="3175"/>
      <c r="FJ236" s="3175"/>
      <c r="FK236" s="3175"/>
      <c r="FL236" s="3175"/>
      <c r="FM236" s="3175"/>
      <c r="FN236" s="3177"/>
      <c r="FO236" s="3175"/>
      <c r="FP236" s="3175"/>
      <c r="FQ236" s="3175"/>
      <c r="FR236" s="3187"/>
      <c r="FS236" s="3174"/>
      <c r="FT236" s="3175"/>
      <c r="FU236" s="3175"/>
      <c r="FV236" s="3175"/>
      <c r="FW236" s="3188"/>
      <c r="FX236" s="3189"/>
      <c r="FY236" s="3175"/>
      <c r="FZ236" s="3175"/>
      <c r="GA236" s="3175"/>
      <c r="GB236" s="3190"/>
      <c r="GC236" s="3191"/>
      <c r="GD236" s="1936"/>
      <c r="GE236" s="1936"/>
      <c r="GG236" s="2730"/>
      <c r="GH236" s="968"/>
      <c r="GI236" s="1936"/>
      <c r="GJ236" s="1936"/>
      <c r="GL236" s="3192"/>
      <c r="GM236" s="2186"/>
      <c r="GN236" s="1936"/>
      <c r="GO236" s="1936"/>
      <c r="GQ236" s="2730"/>
      <c r="GR236" s="3193"/>
      <c r="GS236" s="2015"/>
      <c r="GT236" s="2015"/>
      <c r="GU236" s="1568"/>
      <c r="GV236" s="3194"/>
      <c r="GW236" s="3193"/>
      <c r="GX236" s="2015"/>
      <c r="GY236" s="2015"/>
      <c r="GZ236" s="1568"/>
      <c r="HA236" s="3194"/>
      <c r="HB236" s="3193"/>
      <c r="HC236" s="2015"/>
      <c r="HD236" s="2015"/>
      <c r="HE236" s="1568"/>
      <c r="HF236" s="3194"/>
      <c r="HG236" s="3193"/>
      <c r="HH236" s="2015"/>
      <c r="HI236" s="2015"/>
      <c r="HJ236" s="1568"/>
      <c r="HK236" s="3194"/>
      <c r="HL236" s="3193"/>
      <c r="HM236" s="2015"/>
      <c r="HN236" s="2015"/>
      <c r="HO236" s="1568"/>
      <c r="HP236" s="3194"/>
      <c r="HQ236" s="1022"/>
      <c r="HR236" s="1568"/>
      <c r="HS236" s="1568"/>
      <c r="HT236" s="1568"/>
      <c r="HU236" s="2673"/>
      <c r="HV236" s="1022"/>
      <c r="HW236" s="1568"/>
      <c r="HX236" s="1568"/>
      <c r="HY236" s="1568">
        <f t="shared" si="875"/>
        <v>0</v>
      </c>
      <c r="HZ236" s="2673"/>
      <c r="IA236" s="3195"/>
      <c r="IB236" s="3196"/>
      <c r="IC236" s="3197"/>
      <c r="ID236" s="3196"/>
      <c r="IE236" s="3191"/>
      <c r="IF236" s="1936"/>
      <c r="IG236" s="3198"/>
      <c r="IH236" s="3192"/>
      <c r="II236" s="3191"/>
      <c r="IJ236" s="1936"/>
      <c r="IK236" s="3199"/>
      <c r="IL236" s="3192"/>
      <c r="IM236" s="3191"/>
      <c r="IN236" s="1936"/>
      <c r="IO236" s="1727"/>
      <c r="IP236" s="3192"/>
      <c r="IR236" s="3200"/>
      <c r="IS236" s="3196"/>
      <c r="IT236" s="3196"/>
      <c r="IU236" s="3196">
        <v>0</v>
      </c>
      <c r="IV236" s="3201"/>
      <c r="IW236" s="3195"/>
      <c r="IX236" s="3196"/>
      <c r="IY236" s="3196"/>
      <c r="IZ236" s="3196">
        <v>0</v>
      </c>
      <c r="JA236" s="3202"/>
      <c r="JB236" s="3203"/>
      <c r="JC236" s="3196"/>
      <c r="JD236" s="3196"/>
      <c r="JE236" s="3196"/>
      <c r="JF236" s="3204"/>
      <c r="JG236" s="3205"/>
      <c r="JH236" s="2186"/>
      <c r="JI236" s="2186"/>
      <c r="JK236" s="976"/>
      <c r="JL236" s="2185"/>
      <c r="JM236" s="1936"/>
      <c r="JN236" s="1936"/>
      <c r="JP236" s="3192"/>
      <c r="JQ236" s="3206"/>
      <c r="JR236" s="1936"/>
      <c r="JS236" s="1936"/>
      <c r="JT236" s="1914"/>
      <c r="JU236" s="3192"/>
      <c r="JV236" s="3207"/>
      <c r="JW236" s="2015"/>
      <c r="JX236" s="2015"/>
      <c r="JY236" s="1914">
        <v>0</v>
      </c>
      <c r="JZ236" s="3194"/>
      <c r="KA236" s="3193"/>
      <c r="KB236" s="2015"/>
      <c r="KC236" s="2015"/>
      <c r="KD236" s="453">
        <v>0</v>
      </c>
      <c r="KE236" s="3194"/>
      <c r="KF236" s="3209"/>
      <c r="KG236" s="2015"/>
      <c r="KH236" s="2015"/>
      <c r="KI236" s="453">
        <v>0</v>
      </c>
      <c r="KJ236" s="3194"/>
      <c r="KK236" s="3210"/>
      <c r="KL236" s="3211"/>
      <c r="KM236" s="3211"/>
      <c r="KN236" s="1568"/>
      <c r="KO236" s="3212"/>
      <c r="KP236" s="3193"/>
      <c r="KQ236" s="2015"/>
      <c r="KR236" s="2015"/>
      <c r="KS236" s="1568"/>
      <c r="KT236" s="3194"/>
      <c r="KU236" s="1022"/>
      <c r="KV236" s="1568"/>
      <c r="KW236" s="1568"/>
      <c r="KX236" s="1568">
        <v>63210</v>
      </c>
      <c r="KY236" s="2673"/>
      <c r="KZ236" s="1022"/>
      <c r="LA236" s="1568"/>
      <c r="LB236" s="1568"/>
      <c r="LC236" s="1873">
        <f>IU236+IZ236+JE236+JJ236+JO236+JT236+JY236+KD236+KI236+KN236+KS236+KX236</f>
        <v>63210</v>
      </c>
      <c r="LD236" s="2673"/>
      <c r="LE236" s="3171"/>
      <c r="LF236" s="3196"/>
      <c r="LG236" s="3213">
        <f>IU236+IZ236+JE236</f>
        <v>0</v>
      </c>
      <c r="LH236" s="3202"/>
      <c r="LI236" s="3214"/>
      <c r="LJ236" s="1936"/>
      <c r="LK236" s="2733">
        <f>(JJ236+JO236+JT236)</f>
        <v>0</v>
      </c>
      <c r="LL236" s="3192"/>
      <c r="LM236" s="3215"/>
      <c r="LN236" s="1936"/>
      <c r="LO236" s="1727">
        <f>(JY236+KD236+KI236)</f>
        <v>0</v>
      </c>
      <c r="LP236" s="3192"/>
      <c r="LQ236" s="3191"/>
      <c r="LR236" s="1936"/>
      <c r="LS236" s="3199">
        <f>(KN236+KS236+KX236)</f>
        <v>63210</v>
      </c>
      <c r="LT236" s="3192"/>
      <c r="LV236" s="1567"/>
      <c r="LW236" s="2938"/>
      <c r="LX236" s="2938"/>
      <c r="LY236" s="1310">
        <v>178767.9</v>
      </c>
      <c r="LZ236" s="3217"/>
      <c r="MA236" s="1022"/>
      <c r="MB236" s="1568"/>
      <c r="MC236" s="1568"/>
      <c r="MD236" s="1568">
        <v>174243.6</v>
      </c>
      <c r="ME236" s="3194"/>
      <c r="MF236" s="1567"/>
      <c r="MG236" s="1568"/>
      <c r="MH236" s="1568"/>
      <c r="MI236" s="3225">
        <f>113121+72501</f>
        <v>185622</v>
      </c>
      <c r="MJ236" s="2674"/>
      <c r="MK236" s="3219"/>
      <c r="ML236" s="1568"/>
      <c r="MM236" s="1568"/>
      <c r="MN236" s="3225">
        <f>284921+17000</f>
        <v>301921</v>
      </c>
      <c r="MO236" s="2674"/>
      <c r="MP236" s="3219"/>
      <c r="MQ236" s="1568"/>
      <c r="MR236" s="1568"/>
      <c r="MS236" s="358">
        <v>129639</v>
      </c>
      <c r="MT236" s="83"/>
      <c r="MU236" s="405"/>
      <c r="MV236" s="1575"/>
      <c r="MW236" s="1575"/>
      <c r="MX236" s="3226">
        <v>0</v>
      </c>
      <c r="MY236" s="83"/>
      <c r="MZ236" s="405"/>
      <c r="NA236" s="1575"/>
      <c r="NB236" s="1575"/>
      <c r="NC236" s="3226">
        <v>0</v>
      </c>
      <c r="ND236" s="83"/>
      <c r="NE236" s="405"/>
      <c r="NF236" s="1575"/>
      <c r="NG236" s="1575"/>
      <c r="NH236" s="3226">
        <v>0</v>
      </c>
      <c r="NI236" s="83"/>
      <c r="NJ236" s="1567"/>
      <c r="NK236" s="1568"/>
      <c r="NL236" s="1871"/>
      <c r="NM236" s="3226">
        <v>0</v>
      </c>
      <c r="NN236" s="83"/>
      <c r="NO236" s="1022"/>
      <c r="NP236" s="1568"/>
      <c r="NQ236" s="1871"/>
      <c r="NR236" s="3226">
        <v>0</v>
      </c>
      <c r="NS236" s="83"/>
      <c r="NT236" s="209"/>
      <c r="NU236" s="208"/>
      <c r="NV236" s="208"/>
      <c r="NW236" s="3225">
        <v>0</v>
      </c>
      <c r="NX236" s="114"/>
      <c r="NY236" s="1868"/>
      <c r="NZ236" s="1575"/>
      <c r="OA236" s="1575"/>
      <c r="OB236" s="3226">
        <v>0</v>
      </c>
      <c r="OC236" s="83"/>
      <c r="OD236" s="1022"/>
      <c r="OE236" s="1568"/>
      <c r="OF236" s="1568"/>
      <c r="OG236" s="1568">
        <f t="shared" si="876"/>
        <v>970193.5</v>
      </c>
      <c r="OH236" s="1872"/>
      <c r="OI236" s="968"/>
      <c r="OJ236" s="2186"/>
      <c r="OK236" s="2186"/>
      <c r="OL236" s="778"/>
      <c r="OM236" s="1869"/>
      <c r="ON236" s="968"/>
      <c r="OO236" s="2186"/>
      <c r="OP236" s="2186"/>
      <c r="OQ236" s="778"/>
      <c r="OR236" s="1869"/>
      <c r="OS236" s="1022"/>
      <c r="OT236" s="1568"/>
      <c r="OU236" s="1568"/>
      <c r="OV236" s="1568"/>
      <c r="OW236" s="220"/>
      <c r="OX236" s="1022"/>
      <c r="OY236" s="1568"/>
      <c r="OZ236" s="1568"/>
      <c r="PA236" s="358">
        <f>NR236+NW236+OB236</f>
        <v>0</v>
      </c>
      <c r="PB236" s="220"/>
      <c r="PC236" s="79"/>
      <c r="PD236" s="1567"/>
      <c r="PE236" s="2938"/>
      <c r="PF236" s="2938"/>
      <c r="PG236" s="1310">
        <v>0</v>
      </c>
      <c r="PH236" s="2944"/>
      <c r="PI236" s="1022"/>
      <c r="PJ236" s="1568"/>
      <c r="PK236" s="1568"/>
      <c r="PL236" s="1568">
        <v>0</v>
      </c>
      <c r="PM236" s="3194"/>
      <c r="PN236" s="1567"/>
      <c r="PO236" s="1568"/>
      <c r="PP236" s="1568"/>
      <c r="PQ236" s="3225">
        <v>0</v>
      </c>
      <c r="PR236" s="2674"/>
      <c r="PS236" s="3219"/>
      <c r="PT236" s="1568"/>
      <c r="PU236" s="1568"/>
      <c r="PV236" s="3225">
        <v>0</v>
      </c>
      <c r="PW236" s="2674"/>
      <c r="PX236" s="3221"/>
      <c r="PY236" s="358"/>
      <c r="PZ236" s="358"/>
      <c r="QA236" s="358">
        <v>0</v>
      </c>
      <c r="QB236" s="114"/>
      <c r="QC236" s="405"/>
      <c r="QD236" s="1575"/>
      <c r="QE236" s="1575"/>
      <c r="QF236" s="3226">
        <v>0</v>
      </c>
      <c r="QG236" s="83"/>
      <c r="QH236" s="405"/>
      <c r="QI236" s="1575"/>
      <c r="QJ236" s="1575"/>
      <c r="QK236" s="3226">
        <v>0</v>
      </c>
      <c r="QL236" s="83"/>
      <c r="QM236" s="405"/>
      <c r="QN236" s="1575"/>
      <c r="QO236" s="1575"/>
      <c r="QP236" s="3226">
        <v>0</v>
      </c>
      <c r="QQ236" s="83"/>
      <c r="QR236" s="1567"/>
      <c r="QS236" s="1568"/>
      <c r="QT236" s="1871"/>
      <c r="QU236" s="3226">
        <v>0</v>
      </c>
      <c r="QV236" s="222"/>
      <c r="QW236" s="1022"/>
      <c r="QX236" s="1568"/>
      <c r="QY236" s="1871"/>
      <c r="QZ236" s="3226">
        <v>0</v>
      </c>
      <c r="RA236" s="83"/>
      <c r="RB236" s="209"/>
      <c r="RC236" s="208"/>
      <c r="RD236" s="208"/>
      <c r="RE236" s="3225">
        <v>0</v>
      </c>
      <c r="RF236" s="114"/>
      <c r="RG236" s="405"/>
      <c r="RH236" s="1575"/>
      <c r="RI236" s="1575"/>
      <c r="RJ236" s="3226">
        <v>0</v>
      </c>
      <c r="RK236" s="83"/>
      <c r="RL236" s="1022"/>
      <c r="RM236" s="1568"/>
      <c r="RN236" s="1568"/>
      <c r="RO236" s="1568">
        <f t="shared" si="877"/>
        <v>0</v>
      </c>
      <c r="RP236" s="1872"/>
      <c r="RQ236" s="968"/>
      <c r="RR236" s="2186"/>
      <c r="RS236" s="2186"/>
      <c r="RT236" s="3222">
        <f>PG236+PL236+PQ236</f>
        <v>0</v>
      </c>
      <c r="RU236" s="1869"/>
      <c r="RV236" s="968"/>
      <c r="RW236" s="2186"/>
      <c r="RX236" s="2186"/>
      <c r="RY236" s="3223">
        <f t="shared" si="878"/>
        <v>0</v>
      </c>
      <c r="RZ236" s="1869"/>
      <c r="SA236" s="1022"/>
      <c r="SB236" s="1568"/>
      <c r="SC236" s="1568"/>
      <c r="SD236" s="3223">
        <f t="shared" ref="SD236:SD260" si="879">QU236+QP236+QK236</f>
        <v>0</v>
      </c>
      <c r="SE236" s="220"/>
      <c r="SF236" s="1022"/>
      <c r="SG236" s="1568"/>
      <c r="SH236" s="1568"/>
      <c r="SI236" s="358">
        <f>QZ236+RE236+RJ236</f>
        <v>0</v>
      </c>
      <c r="SJ236" s="220"/>
      <c r="SL236" s="1567"/>
      <c r="SM236" s="2938"/>
      <c r="SN236" s="2938"/>
      <c r="SO236" s="137">
        <v>95000</v>
      </c>
      <c r="SP236" s="2944"/>
      <c r="SQ236" s="1022"/>
      <c r="SR236" s="1568"/>
      <c r="SS236" s="1568"/>
      <c r="ST236" s="358">
        <f>'[10]7. Salaries - Internal Staff'!FC11</f>
        <v>58878</v>
      </c>
      <c r="SU236" s="3194"/>
      <c r="SV236" s="1857"/>
      <c r="SW236" s="358"/>
      <c r="SX236" s="358"/>
      <c r="SY236" s="3225">
        <v>0</v>
      </c>
      <c r="SZ236" s="2563"/>
      <c r="TA236" s="3221"/>
      <c r="TB236" s="358"/>
      <c r="TC236" s="358"/>
      <c r="TD236" s="3225">
        <v>0</v>
      </c>
      <c r="TE236" s="2563"/>
      <c r="TF236" s="3221"/>
      <c r="TG236" s="358"/>
      <c r="TH236" s="358"/>
      <c r="TI236" s="358">
        <v>0</v>
      </c>
      <c r="TJ236" s="114"/>
      <c r="TK236" s="405"/>
      <c r="TL236" s="1575"/>
      <c r="TM236" s="1575"/>
      <c r="TN236" s="3226">
        <v>0</v>
      </c>
      <c r="TO236" s="83"/>
      <c r="TP236" s="4506"/>
      <c r="TQ236" s="1575"/>
      <c r="TR236" s="1575"/>
      <c r="TS236" s="3226">
        <v>0</v>
      </c>
      <c r="TT236" s="83"/>
      <c r="TU236" s="4506"/>
      <c r="TV236" s="1575"/>
      <c r="TW236" s="1575"/>
      <c r="TX236" s="3226">
        <v>0</v>
      </c>
      <c r="TY236" s="83"/>
      <c r="TZ236" s="1567"/>
      <c r="UA236" s="1568"/>
      <c r="UB236" s="1871"/>
      <c r="UC236" s="3226">
        <v>0</v>
      </c>
      <c r="UD236" s="222"/>
      <c r="UE236" s="1022"/>
      <c r="UF236" s="1568"/>
      <c r="UG236" s="1871"/>
      <c r="UH236" s="3226">
        <v>0</v>
      </c>
      <c r="UI236" s="83"/>
      <c r="UJ236" s="209"/>
      <c r="UK236" s="208"/>
      <c r="UL236" s="208"/>
      <c r="UM236" s="3225">
        <v>0</v>
      </c>
      <c r="UN236" s="114"/>
      <c r="UO236" s="405"/>
      <c r="UP236" s="1575"/>
      <c r="UQ236" s="1575"/>
      <c r="UR236" s="3226">
        <v>0</v>
      </c>
      <c r="US236" s="83"/>
      <c r="UT236" s="1868"/>
      <c r="UU236" s="1575"/>
      <c r="UV236" s="1575"/>
      <c r="UW236" s="208">
        <f>UR236+UM236+UH236+UC236+TX236+TS236+TN236+TI236+TD236+SY236+ST236+SO236</f>
        <v>153878</v>
      </c>
      <c r="UX236" s="83"/>
      <c r="UY236" s="968"/>
      <c r="UZ236" s="2186"/>
      <c r="VA236" s="2186"/>
      <c r="VB236" s="3222">
        <f>SO236+ST236+SY236</f>
        <v>153878</v>
      </c>
      <c r="VC236" s="1869"/>
      <c r="VD236" s="968"/>
      <c r="VE236" s="2186"/>
      <c r="VF236" s="2186"/>
      <c r="VG236" s="3227"/>
      <c r="VH236" s="1869"/>
      <c r="VI236" s="1022"/>
      <c r="VJ236" s="1568"/>
      <c r="VK236" s="1568"/>
      <c r="VL236" s="3223">
        <f>UC236+TX236+TS236</f>
        <v>0</v>
      </c>
      <c r="VM236" s="220"/>
      <c r="VN236" s="1022"/>
      <c r="VO236" s="1568"/>
      <c r="VP236" s="1568"/>
      <c r="VQ236" s="358">
        <f>UH236+UM236+UR236</f>
        <v>0</v>
      </c>
      <c r="VR236" s="220"/>
    </row>
    <row r="237" spans="1:592" s="453" customFormat="1" x14ac:dyDescent="0.3">
      <c r="A237" s="2616"/>
      <c r="B237" s="3169"/>
      <c r="C237" s="3170" t="s">
        <v>122</v>
      </c>
      <c r="D237" s="3171"/>
      <c r="E237" s="3172"/>
      <c r="F237" s="3172"/>
      <c r="G237" s="3173"/>
      <c r="H237" s="3174"/>
      <c r="I237" s="3175"/>
      <c r="J237" s="3175"/>
      <c r="K237" s="3175"/>
      <c r="L237" s="3176"/>
      <c r="M237" s="3177"/>
      <c r="N237" s="3175"/>
      <c r="O237" s="3178"/>
      <c r="P237" s="3179"/>
      <c r="Q237" s="3176"/>
      <c r="R237" s="3177"/>
      <c r="S237" s="3175"/>
      <c r="T237" s="3175"/>
      <c r="U237" s="3175"/>
      <c r="V237" s="3176"/>
      <c r="W237" s="3177"/>
      <c r="X237" s="3175"/>
      <c r="Y237" s="3175"/>
      <c r="Z237" s="3175"/>
      <c r="AA237" s="3180"/>
      <c r="AB237" s="3177"/>
      <c r="AC237" s="3175"/>
      <c r="AD237" s="3175"/>
      <c r="AE237" s="3175"/>
      <c r="AF237" s="3180"/>
      <c r="AG237" s="3175"/>
      <c r="AH237" s="3175"/>
      <c r="AI237" s="3175"/>
      <c r="AJ237" s="3175"/>
      <c r="AK237" s="3176"/>
      <c r="AL237" s="3181"/>
      <c r="AM237" s="3181"/>
      <c r="AN237" s="3181"/>
      <c r="AO237" s="3175"/>
      <c r="AP237" s="3182"/>
      <c r="AQ237" s="3175"/>
      <c r="AR237" s="3175"/>
      <c r="AS237" s="3175"/>
      <c r="AT237" s="3175"/>
      <c r="AU237" s="3176"/>
      <c r="AV237" s="3184"/>
      <c r="AW237" s="3175"/>
      <c r="AX237" s="3175"/>
      <c r="AY237" s="3175"/>
      <c r="AZ237" s="3180"/>
      <c r="BA237" s="3184"/>
      <c r="BB237" s="3175"/>
      <c r="BC237" s="3175"/>
      <c r="BD237" s="3175"/>
      <c r="BE237" s="3180"/>
      <c r="BF237" s="3185"/>
      <c r="BG237" s="3181"/>
      <c r="BH237" s="3175"/>
      <c r="BI237" s="3175"/>
      <c r="BJ237" s="3186"/>
      <c r="BK237" s="3184"/>
      <c r="BL237" s="3175"/>
      <c r="BM237" s="3175"/>
      <c r="BN237" s="3175"/>
      <c r="BO237" s="3180"/>
      <c r="BP237" s="3175"/>
      <c r="BQ237" s="3175"/>
      <c r="BR237" s="3175"/>
      <c r="BS237" s="3175"/>
      <c r="BT237" s="3175"/>
      <c r="BU237" s="3175"/>
      <c r="BV237" s="3175"/>
      <c r="BW237" s="3176"/>
      <c r="BX237" s="3175"/>
      <c r="BY237" s="3175"/>
      <c r="BZ237" s="3175"/>
      <c r="CA237" s="3175"/>
      <c r="CB237" s="3175"/>
      <c r="CC237" s="3175"/>
      <c r="CD237" s="3175"/>
      <c r="CE237" s="3175"/>
      <c r="CF237" s="3175"/>
      <c r="CG237" s="3175"/>
      <c r="CH237" s="3175"/>
      <c r="CI237" s="3175"/>
      <c r="CJ237" s="3177"/>
      <c r="CK237" s="3175"/>
      <c r="CL237" s="3175"/>
      <c r="CM237" s="3175"/>
      <c r="CN237" s="3175"/>
      <c r="CO237" s="3177"/>
      <c r="CP237" s="3175"/>
      <c r="CQ237" s="3175"/>
      <c r="CR237" s="3175"/>
      <c r="CS237" s="3175"/>
      <c r="CT237" s="3177"/>
      <c r="CU237" s="3175"/>
      <c r="CV237" s="3175"/>
      <c r="CW237" s="3175"/>
      <c r="CX237" s="3175"/>
      <c r="CY237" s="3177"/>
      <c r="CZ237" s="3175"/>
      <c r="DA237" s="3175"/>
      <c r="DB237" s="3175"/>
      <c r="DC237" s="3175"/>
      <c r="DD237" s="3175"/>
      <c r="DE237" s="3175"/>
      <c r="DF237" s="3175"/>
      <c r="DG237" s="3175"/>
      <c r="DH237" s="3177"/>
      <c r="DI237" s="3177"/>
      <c r="DJ237" s="3175"/>
      <c r="DK237" s="3175"/>
      <c r="DL237" s="3175"/>
      <c r="DM237" s="3177"/>
      <c r="DN237" s="3177"/>
      <c r="DO237" s="3175"/>
      <c r="DP237" s="3175"/>
      <c r="DQ237" s="3175"/>
      <c r="DR237" s="3177"/>
      <c r="DS237" s="3177"/>
      <c r="DT237" s="3175"/>
      <c r="DU237" s="3175"/>
      <c r="DV237" s="3175"/>
      <c r="DW237" s="3175"/>
      <c r="DX237" s="3177"/>
      <c r="DY237" s="3175"/>
      <c r="DZ237" s="3175"/>
      <c r="EA237" s="3175"/>
      <c r="EB237" s="3180"/>
      <c r="EC237" s="3177"/>
      <c r="ED237" s="3175"/>
      <c r="EE237" s="3175"/>
      <c r="EF237" s="3175"/>
      <c r="EG237" s="3177"/>
      <c r="EH237" s="3175"/>
      <c r="EI237" s="3175"/>
      <c r="EJ237" s="3175"/>
      <c r="EK237" s="3175"/>
      <c r="EL237" s="3175"/>
      <c r="EM237" s="3228"/>
      <c r="EN237" s="1719"/>
      <c r="EO237" s="1719"/>
      <c r="EP237" s="1719"/>
      <c r="EQ237" s="1719"/>
      <c r="ER237" s="3175"/>
      <c r="ES237" s="3175"/>
      <c r="ET237" s="3175"/>
      <c r="EU237" s="3175">
        <f>1857186+800000</f>
        <v>2657186</v>
      </c>
      <c r="EV237" s="3175"/>
      <c r="EW237" s="3177"/>
      <c r="EX237" s="3175"/>
      <c r="EY237" s="3175"/>
      <c r="EZ237" s="3175"/>
      <c r="FA237" s="3175"/>
      <c r="FB237" s="3175"/>
      <c r="FC237" s="3175"/>
      <c r="FD237" s="3175"/>
      <c r="FE237" s="3175"/>
      <c r="FF237" s="3175"/>
      <c r="FG237" s="3175"/>
      <c r="FH237" s="3175"/>
      <c r="FI237" s="3175"/>
      <c r="FJ237" s="3175"/>
      <c r="FK237" s="3175"/>
      <c r="FL237" s="3175"/>
      <c r="FM237" s="3175"/>
      <c r="FN237" s="3177"/>
      <c r="FO237" s="3175"/>
      <c r="FP237" s="3175"/>
      <c r="FQ237" s="1719">
        <f>(2150000+5575132)*15%</f>
        <v>1158769.8</v>
      </c>
      <c r="FR237" s="3187"/>
      <c r="FS237" s="3174"/>
      <c r="FT237" s="3175"/>
      <c r="FU237" s="3175"/>
      <c r="FV237" s="3175">
        <f>SUM(FV239:FV258)</f>
        <v>243840.39999999997</v>
      </c>
      <c r="FW237" s="3188"/>
      <c r="FX237" s="3189"/>
      <c r="FY237" s="3175"/>
      <c r="FZ237" s="3175"/>
      <c r="GA237" s="3175">
        <f>SUM(GA239:GA258)</f>
        <v>151601.29999999999</v>
      </c>
      <c r="GB237" s="3190"/>
      <c r="GC237" s="3191"/>
      <c r="GD237" s="1936"/>
      <c r="GE237" s="1936"/>
      <c r="GF237" s="3175">
        <f>SUM(GF239:GF258)</f>
        <v>558645.30000000005</v>
      </c>
      <c r="GG237" s="2730"/>
      <c r="GH237" s="1149"/>
      <c r="GI237" s="264"/>
      <c r="GJ237" s="264"/>
      <c r="GK237" s="1719">
        <f>SUM(GK239:GK258)</f>
        <v>128912.7</v>
      </c>
      <c r="GL237" s="1222"/>
      <c r="GM237" s="1096"/>
      <c r="GN237" s="264"/>
      <c r="GO237" s="264"/>
      <c r="GP237" s="1719">
        <f>SUM(GP239:GP258)</f>
        <v>107403.79999999999</v>
      </c>
      <c r="GQ237" s="972"/>
      <c r="GR237" s="1083"/>
      <c r="GS237" s="265"/>
      <c r="GT237" s="265"/>
      <c r="GU237" s="1016">
        <f>SUM(GU239:GU258)</f>
        <v>105903.79999999999</v>
      </c>
      <c r="GV237" s="3229"/>
      <c r="GW237" s="1083"/>
      <c r="GX237" s="265"/>
      <c r="GY237" s="265"/>
      <c r="GZ237" s="1016">
        <f>SUM(GZ239:GZ258)</f>
        <v>95853.799999999988</v>
      </c>
      <c r="HA237" s="3229"/>
      <c r="HB237" s="1083"/>
      <c r="HC237" s="265"/>
      <c r="HD237" s="265"/>
      <c r="HE237" s="1016">
        <f>SUM(HE239:HE258)</f>
        <v>88457.799999999988</v>
      </c>
      <c r="HF237" s="3229"/>
      <c r="HG237" s="1083"/>
      <c r="HH237" s="265"/>
      <c r="HI237" s="265"/>
      <c r="HJ237" s="1016">
        <f>SUM(HJ239:HJ258)</f>
        <v>72457.8</v>
      </c>
      <c r="HK237" s="3229"/>
      <c r="HL237" s="1083"/>
      <c r="HM237" s="265"/>
      <c r="HN237" s="265"/>
      <c r="HO237" s="1016">
        <f>SUM(HO239:HO258)</f>
        <v>79277.799999999988</v>
      </c>
      <c r="HP237" s="3229"/>
      <c r="HQ237" s="357"/>
      <c r="HR237" s="358"/>
      <c r="HS237" s="358"/>
      <c r="HT237" s="358">
        <f>SUM(HT239:HT258)</f>
        <v>713534.85</v>
      </c>
      <c r="HU237" s="2773"/>
      <c r="HV237" s="1022"/>
      <c r="HW237" s="1568"/>
      <c r="HX237" s="1568"/>
      <c r="HY237" s="1568">
        <f t="shared" si="875"/>
        <v>3504659.149999999</v>
      </c>
      <c r="HZ237" s="2673"/>
      <c r="IA237" s="3195"/>
      <c r="IB237" s="3196"/>
      <c r="IC237" s="3197">
        <f>FQ237+FV237+GA237</f>
        <v>1554211.5</v>
      </c>
      <c r="ID237" s="3196"/>
      <c r="IE237" s="3191"/>
      <c r="IF237" s="1936"/>
      <c r="IG237" s="2733">
        <f>(GF237+GK237+GP237)</f>
        <v>794961.8</v>
      </c>
      <c r="IH237" s="3192"/>
      <c r="II237" s="3191"/>
      <c r="IJ237" s="1936"/>
      <c r="IK237" s="1727">
        <f>(GU237+GZ237+HE237)</f>
        <v>290215.39999999997</v>
      </c>
      <c r="IL237" s="3192"/>
      <c r="IM237" s="3191"/>
      <c r="IN237" s="1936"/>
      <c r="IO237" s="1727">
        <f>(HJ237+HO237+HT237)</f>
        <v>865270.45</v>
      </c>
      <c r="IP237" s="3192"/>
      <c r="IR237" s="3200"/>
      <c r="IS237" s="3196"/>
      <c r="IT237" s="3196"/>
      <c r="IU237" s="1568">
        <f>SUM(IU238:IU260)</f>
        <v>776314.14999999991</v>
      </c>
      <c r="IV237" s="3201"/>
      <c r="IW237" s="3195"/>
      <c r="IX237" s="3196"/>
      <c r="IY237" s="1568"/>
      <c r="IZ237" s="1568">
        <f>SUM(IZ238:IZ260)</f>
        <v>711645.5</v>
      </c>
      <c r="JA237" s="3202"/>
      <c r="JB237" s="3203"/>
      <c r="JC237" s="3196"/>
      <c r="JD237" s="3196"/>
      <c r="JE237" s="1568">
        <f>SUM(JE238:JE260)</f>
        <v>685384.85</v>
      </c>
      <c r="JF237" s="3204"/>
      <c r="JG237" s="3205"/>
      <c r="JH237" s="2186"/>
      <c r="JI237" s="2186"/>
      <c r="JJ237" s="1568">
        <f>SUM(JJ238:JJ260)</f>
        <v>680825.9</v>
      </c>
      <c r="JK237" s="976"/>
      <c r="JL237" s="2011"/>
      <c r="JM237" s="264"/>
      <c r="JN237" s="264"/>
      <c r="JO237" s="1568">
        <f>SUM(JO238:JO260)</f>
        <v>647910.1</v>
      </c>
      <c r="JP237" s="1222"/>
      <c r="JQ237" s="3230"/>
      <c r="JR237" s="264"/>
      <c r="JS237" s="264"/>
      <c r="JT237" s="1568">
        <f>SUM(JT238:JT260)</f>
        <v>843250.05</v>
      </c>
      <c r="JU237" s="1222"/>
      <c r="JV237" s="3231"/>
      <c r="JW237" s="265"/>
      <c r="JX237" s="265"/>
      <c r="JY237" s="1568">
        <f>SUM(JY238:JY260)</f>
        <v>645910.75</v>
      </c>
      <c r="JZ237" s="3229"/>
      <c r="KA237" s="1083"/>
      <c r="KB237" s="265"/>
      <c r="KC237" s="265"/>
      <c r="KD237" s="1568">
        <f>SUM(KD238:KD260)</f>
        <v>650181.1</v>
      </c>
      <c r="KE237" s="3229"/>
      <c r="KF237" s="2876"/>
      <c r="KG237" s="265"/>
      <c r="KH237" s="265"/>
      <c r="KI237" s="1568">
        <f>SUM(KI238:KI260)</f>
        <v>650840.25</v>
      </c>
      <c r="KJ237" s="3229"/>
      <c r="KK237" s="3210"/>
      <c r="KL237" s="3211"/>
      <c r="KM237" s="3211"/>
      <c r="KN237" s="1568">
        <f>SUM(KN238:KN260)</f>
        <v>647704.69999999995</v>
      </c>
      <c r="KO237" s="3212"/>
      <c r="KP237" s="1083"/>
      <c r="KQ237" s="265"/>
      <c r="KR237" s="265"/>
      <c r="KS237" s="1568">
        <f>SUM(KS238:KS260)</f>
        <v>653164.15</v>
      </c>
      <c r="KT237" s="3229"/>
      <c r="KU237" s="357"/>
      <c r="KV237" s="358"/>
      <c r="KW237" s="358"/>
      <c r="KX237" s="1568">
        <f>SUM(KX238:KX260)</f>
        <v>3770282.3</v>
      </c>
      <c r="KY237" s="2773"/>
      <c r="KZ237" s="1022"/>
      <c r="LA237" s="1568"/>
      <c r="LB237" s="1568"/>
      <c r="LC237" s="1568">
        <f>SUM(LC238:LC260)</f>
        <v>11363413.799999999</v>
      </c>
      <c r="LD237" s="2673"/>
      <c r="LE237" s="3171"/>
      <c r="LF237" s="3196"/>
      <c r="LG237" s="3213">
        <f>IU237+IZ237+JE237</f>
        <v>2173344.5</v>
      </c>
      <c r="LH237" s="3202"/>
      <c r="LI237" s="3214"/>
      <c r="LJ237" s="1936"/>
      <c r="LK237" s="2733">
        <f>(JJ237+JO237+JT237)</f>
        <v>2171986.0499999998</v>
      </c>
      <c r="LL237" s="3192"/>
      <c r="LM237" s="3215"/>
      <c r="LN237" s="1936"/>
      <c r="LO237" s="1727">
        <f>(JY237+KD237+KI237)</f>
        <v>1946932.1</v>
      </c>
      <c r="LP237" s="3192"/>
      <c r="LQ237" s="3191"/>
      <c r="LR237" s="1936"/>
      <c r="LS237" s="3199">
        <f>(KN237+KS237+KX237)</f>
        <v>5071151.1500000004</v>
      </c>
      <c r="LT237" s="3192"/>
      <c r="LV237" s="1567"/>
      <c r="LW237" s="1568"/>
      <c r="LX237" s="1568"/>
      <c r="LY237" s="1568">
        <f>SUM(LY238:LY260)</f>
        <v>803309.8</v>
      </c>
      <c r="LZ237" s="3217"/>
      <c r="MA237" s="1022"/>
      <c r="MB237" s="1568"/>
      <c r="MC237" s="1568"/>
      <c r="MD237" s="1568">
        <f>SUM(MD238:MD260)</f>
        <v>887361</v>
      </c>
      <c r="ME237" s="3194"/>
      <c r="MF237" s="1567"/>
      <c r="MG237" s="1568"/>
      <c r="MH237" s="1568"/>
      <c r="MI237" s="1568">
        <f>SUM(MI238:MI260)</f>
        <v>814136.15</v>
      </c>
      <c r="MJ237" s="2674"/>
      <c r="MK237" s="3219"/>
      <c r="ML237" s="1568"/>
      <c r="MM237" s="1568"/>
      <c r="MN237" s="1568">
        <f>SUM(MN238:MN260)</f>
        <v>861875.15</v>
      </c>
      <c r="MO237" s="2674"/>
      <c r="MP237" s="3219"/>
      <c r="MQ237" s="1568"/>
      <c r="MR237" s="1568"/>
      <c r="MS237" s="1568">
        <f>SUM(MS238:MS260)</f>
        <v>873485.3</v>
      </c>
      <c r="MT237" s="83"/>
      <c r="MU237" s="405"/>
      <c r="MV237" s="1575"/>
      <c r="MW237" s="1575"/>
      <c r="MX237" s="1568">
        <f>SUM(MX238:MX260)</f>
        <v>894209.6</v>
      </c>
      <c r="MY237" s="83"/>
      <c r="MZ237" s="405"/>
      <c r="NA237" s="1575"/>
      <c r="NB237" s="1575"/>
      <c r="NC237" s="1568">
        <f>SUM(NC238:NC260)</f>
        <v>872693.6</v>
      </c>
      <c r="ND237" s="83"/>
      <c r="NE237" s="405"/>
      <c r="NF237" s="1575"/>
      <c r="NG237" s="1575"/>
      <c r="NH237" s="1568">
        <f>SUM(NH238:NH260)</f>
        <v>895296.35</v>
      </c>
      <c r="NI237" s="83"/>
      <c r="NJ237" s="1567"/>
      <c r="NK237" s="1568"/>
      <c r="NL237" s="1871"/>
      <c r="NM237" s="1568">
        <f>SUM(NM238:NM260)</f>
        <v>976985.1</v>
      </c>
      <c r="NN237" s="83"/>
      <c r="NO237" s="1022"/>
      <c r="NP237" s="1568"/>
      <c r="NQ237" s="1871"/>
      <c r="NR237" s="1568">
        <f>SUM(NR238:NR260)</f>
        <v>997026.1</v>
      </c>
      <c r="NS237" s="83"/>
      <c r="NT237" s="209"/>
      <c r="NU237" s="208"/>
      <c r="NV237" s="208"/>
      <c r="NW237" s="1568">
        <f>SUM(NW238:NW260)</f>
        <v>1064366.2</v>
      </c>
      <c r="NX237" s="114"/>
      <c r="NY237" s="1868"/>
      <c r="NZ237" s="1575"/>
      <c r="OA237" s="1575"/>
      <c r="OB237" s="1568">
        <f>SUM(OB238:OB260)</f>
        <v>3819607.63</v>
      </c>
      <c r="OC237" s="83"/>
      <c r="OD237" s="1022"/>
      <c r="OE237" s="1568"/>
      <c r="OF237" s="1568"/>
      <c r="OG237" s="1568">
        <f t="shared" si="876"/>
        <v>13760351.98</v>
      </c>
      <c r="OH237" s="1872"/>
      <c r="OI237" s="968"/>
      <c r="OJ237" s="2186"/>
      <c r="OK237" s="2186"/>
      <c r="OL237" s="778">
        <f>KX237+MD237+MI237</f>
        <v>5471779.4500000002</v>
      </c>
      <c r="OM237" s="1869"/>
      <c r="ON237" s="968"/>
      <c r="OO237" s="2186"/>
      <c r="OP237" s="2186"/>
      <c r="OQ237" s="359">
        <f>MN237+MS237+MX237</f>
        <v>2629570.0500000003</v>
      </c>
      <c r="OR237" s="1869"/>
      <c r="OS237" s="1022"/>
      <c r="OT237" s="1568"/>
      <c r="OU237" s="1568"/>
      <c r="OV237" s="137">
        <f>NM237+NH237+NC237</f>
        <v>2744975.05</v>
      </c>
      <c r="OW237" s="220"/>
      <c r="OX237" s="1022"/>
      <c r="OY237" s="1568"/>
      <c r="OZ237" s="1568"/>
      <c r="PA237" s="358">
        <f>NR237+NW237+OB237</f>
        <v>5880999.9299999997</v>
      </c>
      <c r="PB237" s="220"/>
      <c r="PD237" s="1567"/>
      <c r="PE237" s="1568"/>
      <c r="PF237" s="1568"/>
      <c r="PG237" s="1568">
        <f>SUM(PG238:PG260)</f>
        <v>1157828.5</v>
      </c>
      <c r="PH237" s="2944"/>
      <c r="PI237" s="1022"/>
      <c r="PJ237" s="1568"/>
      <c r="PK237" s="1568"/>
      <c r="PL237" s="1568">
        <f>SUM(PL238:PL260)</f>
        <v>1089172.1499999999</v>
      </c>
      <c r="PM237" s="3194"/>
      <c r="PN237" s="1567"/>
      <c r="PO237" s="1568"/>
      <c r="PP237" s="1568"/>
      <c r="PQ237" s="1568">
        <f>SUM(PQ238:PQ260)</f>
        <v>1110966.0499999998</v>
      </c>
      <c r="PR237" s="2674"/>
      <c r="PS237" s="3219"/>
      <c r="PT237" s="1568"/>
      <c r="PU237" s="1568"/>
      <c r="PV237" s="1568">
        <f>SUM(PV238:PV260)</f>
        <v>2097266</v>
      </c>
      <c r="PW237" s="2674"/>
      <c r="PX237" s="3221"/>
      <c r="PY237" s="358"/>
      <c r="PZ237" s="358"/>
      <c r="QA237" s="1568">
        <f>SUM(QA238:QA260)</f>
        <v>1265375.25</v>
      </c>
      <c r="QB237" s="114"/>
      <c r="QC237" s="405"/>
      <c r="QD237" s="1575"/>
      <c r="QE237" s="1575"/>
      <c r="QF237" s="1568">
        <f>SUM(QF238:QF260)</f>
        <v>1294296.2999999998</v>
      </c>
      <c r="QG237" s="83"/>
      <c r="QH237" s="405"/>
      <c r="QI237" s="1575"/>
      <c r="QJ237" s="1575"/>
      <c r="QK237" s="1568">
        <f>SUM(QK238:QK260)</f>
        <v>1601866.5</v>
      </c>
      <c r="QL237" s="83"/>
      <c r="QM237" s="405"/>
      <c r="QN237" s="1575"/>
      <c r="QO237" s="1575"/>
      <c r="QP237" s="1568">
        <f>SUM(QP238:QP260)</f>
        <v>1391156.45</v>
      </c>
      <c r="QQ237" s="83"/>
      <c r="QR237" s="1567"/>
      <c r="QS237" s="1568"/>
      <c r="QT237" s="1871"/>
      <c r="QU237" s="1568">
        <f>SUM(QU238:QU260)</f>
        <v>1695628.25</v>
      </c>
      <c r="QV237" s="222"/>
      <c r="QW237" s="1022"/>
      <c r="QX237" s="1568"/>
      <c r="QY237" s="1871"/>
      <c r="QZ237" s="1568">
        <f>SUM(QZ238:QZ260)</f>
        <v>2152675</v>
      </c>
      <c r="RA237" s="83"/>
      <c r="RB237" s="209"/>
      <c r="RC237" s="208"/>
      <c r="RD237" s="208"/>
      <c r="RE237" s="1568">
        <f>SUM(RE238:RE260)</f>
        <v>1741008.2000000002</v>
      </c>
      <c r="RF237" s="114"/>
      <c r="RG237" s="405"/>
      <c r="RH237" s="1575"/>
      <c r="RI237" s="1575"/>
      <c r="RJ237" s="1568">
        <f>SUM(RJ238:RJ260)</f>
        <v>5000181.3000000007</v>
      </c>
      <c r="RK237" s="83"/>
      <c r="RL237" s="1022"/>
      <c r="RM237" s="1568"/>
      <c r="RN237" s="1568"/>
      <c r="RO237" s="1568">
        <f>SUM(RO238:RO260)</f>
        <v>21597419.950000003</v>
      </c>
      <c r="RP237" s="1872"/>
      <c r="RQ237" s="968"/>
      <c r="RR237" s="2186"/>
      <c r="RS237" s="2186"/>
      <c r="RT237" s="3227">
        <f>OF237+PL237+PQ237</f>
        <v>2200138.1999999997</v>
      </c>
      <c r="RU237" s="1869"/>
      <c r="RV237" s="968"/>
      <c r="RW237" s="2186"/>
      <c r="RX237" s="2186"/>
      <c r="RY237" s="3223">
        <f t="shared" si="878"/>
        <v>4287319.25</v>
      </c>
      <c r="RZ237" s="1869"/>
      <c r="SA237" s="1022"/>
      <c r="SB237" s="1568"/>
      <c r="SC237" s="1568"/>
      <c r="SD237" s="3223">
        <f t="shared" si="879"/>
        <v>4688651.2</v>
      </c>
      <c r="SE237" s="220"/>
      <c r="SF237" s="1022"/>
      <c r="SG237" s="1568"/>
      <c r="SH237" s="1568"/>
      <c r="SI237" s="358">
        <f>QZ237+RE237+RJ237</f>
        <v>8893864.5</v>
      </c>
      <c r="SJ237" s="220"/>
      <c r="SL237" s="1567"/>
      <c r="SM237" s="1568"/>
      <c r="SN237" s="1568"/>
      <c r="SO237" s="1568">
        <f>SUM(SO238:SO260)</f>
        <v>3280492</v>
      </c>
      <c r="SP237" s="2944"/>
      <c r="SQ237" s="1022"/>
      <c r="SR237" s="1568"/>
      <c r="SS237" s="1568"/>
      <c r="ST237" s="1568">
        <f>SUM(ST238:ST260)</f>
        <v>3190484.25</v>
      </c>
      <c r="SU237" s="3194"/>
      <c r="SV237" s="1857"/>
      <c r="SW237" s="358"/>
      <c r="SX237" s="358"/>
      <c r="SY237" s="1568">
        <f>SUM(SY238:SY260)</f>
        <v>2833789.5</v>
      </c>
      <c r="SZ237" s="2563"/>
      <c r="TA237" s="3221"/>
      <c r="TB237" s="358"/>
      <c r="TC237" s="358"/>
      <c r="TD237" s="1568">
        <f>SUM(TD238:TD260)</f>
        <v>3023318.25</v>
      </c>
      <c r="TE237" s="2563"/>
      <c r="TF237" s="3221"/>
      <c r="TG237" s="358"/>
      <c r="TH237" s="358"/>
      <c r="TI237" s="1568">
        <f>SUM(TI238:TI260)</f>
        <v>3019429.5</v>
      </c>
      <c r="TJ237" s="114"/>
      <c r="TK237" s="405"/>
      <c r="TL237" s="1575"/>
      <c r="TM237" s="1575"/>
      <c r="TN237" s="1568">
        <f>SUM(TN238:TN260)</f>
        <v>2707927.25</v>
      </c>
      <c r="TO237" s="83"/>
      <c r="TP237" s="4506"/>
      <c r="TQ237" s="1575"/>
      <c r="TR237" s="1575"/>
      <c r="TS237" s="1568">
        <f>SUM(TS238:TS260)</f>
        <v>3149362.5</v>
      </c>
      <c r="TT237" s="83"/>
      <c r="TU237" s="4506"/>
      <c r="TV237" s="1575"/>
      <c r="TW237" s="1575"/>
      <c r="TX237" s="1568">
        <f>SUM(TX238:TX260)</f>
        <v>2956725</v>
      </c>
      <c r="TY237" s="83"/>
      <c r="TZ237" s="1567"/>
      <c r="UA237" s="1568"/>
      <c r="UB237" s="1871"/>
      <c r="UC237" s="1568">
        <f>SUM(UC238:UC260)</f>
        <v>3127124.3</v>
      </c>
      <c r="UD237" s="222"/>
      <c r="UE237" s="1022"/>
      <c r="UF237" s="1568"/>
      <c r="UG237" s="1871"/>
      <c r="UH237" s="1568">
        <f>SUM(UH238:UH260)</f>
        <v>2686128.5</v>
      </c>
      <c r="UI237" s="83"/>
      <c r="UJ237" s="209"/>
      <c r="UK237" s="208"/>
      <c r="UL237" s="208"/>
      <c r="UM237" s="1568">
        <f>SUM(UM238:UM260)</f>
        <v>0</v>
      </c>
      <c r="UN237" s="114"/>
      <c r="UO237" s="405"/>
      <c r="UP237" s="1575"/>
      <c r="UQ237" s="1575"/>
      <c r="UR237" s="1568">
        <f>SUM(UR238:UR260)</f>
        <v>0</v>
      </c>
      <c r="US237" s="83"/>
      <c r="UT237" s="1868"/>
      <c r="UU237" s="1575"/>
      <c r="UV237" s="1575"/>
      <c r="UW237" s="1575">
        <f>SUM(UW238:UW260)</f>
        <v>29974781.050000001</v>
      </c>
      <c r="UX237" s="83"/>
      <c r="UY237" s="968"/>
      <c r="UZ237" s="2186"/>
      <c r="VA237" s="2186"/>
      <c r="VB237" s="3222">
        <f>SO237+ST237+SY237</f>
        <v>9304765.75</v>
      </c>
      <c r="VC237" s="1869"/>
      <c r="VD237" s="968"/>
      <c r="VE237" s="2186"/>
      <c r="VF237" s="2186"/>
      <c r="VG237" s="1871">
        <v>0</v>
      </c>
      <c r="VH237" s="1869"/>
      <c r="VI237" s="1022"/>
      <c r="VJ237" s="1568"/>
      <c r="VK237" s="1568"/>
      <c r="VL237" s="3223">
        <f>UC237+TX237+TS237</f>
        <v>9233211.8000000007</v>
      </c>
      <c r="VM237" s="220"/>
      <c r="VN237" s="1022"/>
      <c r="VO237" s="1568"/>
      <c r="VP237" s="1568"/>
      <c r="VQ237" s="358">
        <f>UH237+UM237+UR237</f>
        <v>2686128.5</v>
      </c>
      <c r="VR237" s="220"/>
    </row>
    <row r="238" spans="1:592" s="453" customFormat="1" ht="13.45" x14ac:dyDescent="0.3">
      <c r="A238" s="2616"/>
      <c r="B238" s="3169"/>
      <c r="C238" s="3232" t="s">
        <v>888</v>
      </c>
      <c r="D238" s="3171"/>
      <c r="E238" s="3172"/>
      <c r="F238" s="3172"/>
      <c r="G238" s="3173"/>
      <c r="H238" s="3174"/>
      <c r="I238" s="3175"/>
      <c r="J238" s="3175"/>
      <c r="K238" s="3175"/>
      <c r="L238" s="3176"/>
      <c r="M238" s="3177"/>
      <c r="N238" s="3175"/>
      <c r="O238" s="3178"/>
      <c r="P238" s="3179"/>
      <c r="Q238" s="3176"/>
      <c r="R238" s="3177"/>
      <c r="S238" s="3175"/>
      <c r="T238" s="3175"/>
      <c r="U238" s="3175"/>
      <c r="V238" s="3176"/>
      <c r="W238" s="3177"/>
      <c r="X238" s="3175"/>
      <c r="Y238" s="3175"/>
      <c r="Z238" s="3175"/>
      <c r="AA238" s="3180"/>
      <c r="AB238" s="3177"/>
      <c r="AC238" s="3175"/>
      <c r="AD238" s="3175"/>
      <c r="AE238" s="3175"/>
      <c r="AF238" s="3180"/>
      <c r="AG238" s="3175"/>
      <c r="AH238" s="3175"/>
      <c r="AI238" s="3175"/>
      <c r="AJ238" s="3175"/>
      <c r="AK238" s="3176"/>
      <c r="AL238" s="3181"/>
      <c r="AM238" s="3181"/>
      <c r="AN238" s="3181"/>
      <c r="AO238" s="3175"/>
      <c r="AP238" s="3182"/>
      <c r="AQ238" s="3175"/>
      <c r="AR238" s="3175"/>
      <c r="AS238" s="3175"/>
      <c r="AT238" s="3175"/>
      <c r="AU238" s="3176"/>
      <c r="AV238" s="3184"/>
      <c r="AW238" s="3175"/>
      <c r="AX238" s="3175"/>
      <c r="AY238" s="3175"/>
      <c r="AZ238" s="3180"/>
      <c r="BA238" s="3184"/>
      <c r="BB238" s="3175"/>
      <c r="BC238" s="3175"/>
      <c r="BD238" s="3175"/>
      <c r="BE238" s="3180"/>
      <c r="BF238" s="3185"/>
      <c r="BG238" s="3181"/>
      <c r="BH238" s="3175"/>
      <c r="BI238" s="3175"/>
      <c r="BJ238" s="3186"/>
      <c r="BK238" s="3184"/>
      <c r="BL238" s="3175"/>
      <c r="BM238" s="3175"/>
      <c r="BN238" s="3175"/>
      <c r="BO238" s="3180"/>
      <c r="BP238" s="3175"/>
      <c r="BQ238" s="3175"/>
      <c r="BR238" s="3175"/>
      <c r="BS238" s="3175"/>
      <c r="BT238" s="3175"/>
      <c r="BU238" s="3175"/>
      <c r="BV238" s="3175"/>
      <c r="BW238" s="3176"/>
      <c r="BX238" s="3175"/>
      <c r="BY238" s="3175"/>
      <c r="BZ238" s="3175"/>
      <c r="CA238" s="3175"/>
      <c r="CB238" s="3175"/>
      <c r="CC238" s="3175"/>
      <c r="CD238" s="3175"/>
      <c r="CE238" s="3175"/>
      <c r="CF238" s="3175"/>
      <c r="CG238" s="3175"/>
      <c r="CH238" s="3175"/>
      <c r="CI238" s="3175"/>
      <c r="CJ238" s="3177"/>
      <c r="CK238" s="3175"/>
      <c r="CL238" s="3175"/>
      <c r="CM238" s="3175"/>
      <c r="CN238" s="3175"/>
      <c r="CO238" s="3177"/>
      <c r="CP238" s="3175"/>
      <c r="CQ238" s="3175"/>
      <c r="CR238" s="3175"/>
      <c r="CS238" s="3175"/>
      <c r="CT238" s="3177"/>
      <c r="CU238" s="3175"/>
      <c r="CV238" s="3175"/>
      <c r="CW238" s="3175"/>
      <c r="CX238" s="3175"/>
      <c r="CY238" s="3177"/>
      <c r="CZ238" s="3175"/>
      <c r="DA238" s="3175"/>
      <c r="DB238" s="3175"/>
      <c r="DC238" s="3175"/>
      <c r="DD238" s="3175"/>
      <c r="DE238" s="3175"/>
      <c r="DF238" s="3175"/>
      <c r="DG238" s="3175"/>
      <c r="DH238" s="3177"/>
      <c r="DI238" s="3177"/>
      <c r="DJ238" s="3175"/>
      <c r="DK238" s="3175"/>
      <c r="DL238" s="3175"/>
      <c r="DM238" s="3177"/>
      <c r="DN238" s="3177"/>
      <c r="DO238" s="3175"/>
      <c r="DP238" s="3175"/>
      <c r="DQ238" s="3175"/>
      <c r="DR238" s="3177"/>
      <c r="DS238" s="3177"/>
      <c r="DT238" s="3175"/>
      <c r="DU238" s="3175"/>
      <c r="DV238" s="3175"/>
      <c r="DW238" s="3175"/>
      <c r="DX238" s="3177"/>
      <c r="DY238" s="3175"/>
      <c r="DZ238" s="3175"/>
      <c r="EA238" s="3175"/>
      <c r="EB238" s="3180"/>
      <c r="EC238" s="3177"/>
      <c r="ED238" s="3175"/>
      <c r="EE238" s="3175"/>
      <c r="EF238" s="3175"/>
      <c r="EG238" s="3177"/>
      <c r="EH238" s="3175"/>
      <c r="EI238" s="3175"/>
      <c r="EJ238" s="3175"/>
      <c r="EK238" s="3175"/>
      <c r="EL238" s="3175"/>
      <c r="EM238" s="3228"/>
      <c r="EN238" s="1719"/>
      <c r="EO238" s="1719"/>
      <c r="EP238" s="1719"/>
      <c r="EQ238" s="1719"/>
      <c r="ER238" s="3175"/>
      <c r="ES238" s="3175"/>
      <c r="ET238" s="3175"/>
      <c r="EU238" s="3175">
        <v>1857186</v>
      </c>
      <c r="EV238" s="3175"/>
      <c r="EW238" s="3177"/>
      <c r="EX238" s="3175"/>
      <c r="EY238" s="3175"/>
      <c r="EZ238" s="3175"/>
      <c r="FA238" s="3175"/>
      <c r="FB238" s="3175"/>
      <c r="FC238" s="3175"/>
      <c r="FD238" s="3175"/>
      <c r="FE238" s="3175"/>
      <c r="FF238" s="3175"/>
      <c r="FG238" s="3175"/>
      <c r="FH238" s="3175"/>
      <c r="FI238" s="3175"/>
      <c r="FJ238" s="3175"/>
      <c r="FK238" s="3175"/>
      <c r="FL238" s="3175"/>
      <c r="FM238" s="3175"/>
      <c r="FN238" s="3177"/>
      <c r="FO238" s="3175"/>
      <c r="FP238" s="3175"/>
      <c r="FQ238" s="1719"/>
      <c r="FR238" s="3187"/>
      <c r="FS238" s="3174"/>
      <c r="FT238" s="3175"/>
      <c r="FU238" s="3175"/>
      <c r="FV238" s="3175"/>
      <c r="FW238" s="3188"/>
      <c r="FX238" s="3189"/>
      <c r="FY238" s="3175"/>
      <c r="FZ238" s="3175"/>
      <c r="GA238" s="3175"/>
      <c r="GB238" s="3190"/>
      <c r="GC238" s="3191"/>
      <c r="GD238" s="1936"/>
      <c r="GE238" s="1936"/>
      <c r="GG238" s="2730"/>
      <c r="GH238" s="1149"/>
      <c r="GI238" s="264"/>
      <c r="GJ238" s="264"/>
      <c r="GK238" s="823"/>
      <c r="GL238" s="1222"/>
      <c r="GM238" s="1096"/>
      <c r="GN238" s="264"/>
      <c r="GO238" s="264"/>
      <c r="GP238" s="823"/>
      <c r="GQ238" s="972"/>
      <c r="GR238" s="1083"/>
      <c r="GS238" s="265"/>
      <c r="GT238" s="265"/>
      <c r="GU238" s="358"/>
      <c r="GV238" s="3229"/>
      <c r="GW238" s="1083"/>
      <c r="GX238" s="265"/>
      <c r="GY238" s="265"/>
      <c r="GZ238" s="358"/>
      <c r="HA238" s="3229"/>
      <c r="HB238" s="1083"/>
      <c r="HC238" s="265"/>
      <c r="HD238" s="265"/>
      <c r="HE238" s="358"/>
      <c r="HF238" s="3229"/>
      <c r="HG238" s="1083"/>
      <c r="HH238" s="265"/>
      <c r="HI238" s="265"/>
      <c r="HJ238" s="358"/>
      <c r="HK238" s="3229"/>
      <c r="HL238" s="1083"/>
      <c r="HM238" s="265"/>
      <c r="HN238" s="265"/>
      <c r="HO238" s="358"/>
      <c r="HP238" s="3229"/>
      <c r="HQ238" s="357"/>
      <c r="HR238" s="358"/>
      <c r="HS238" s="358"/>
      <c r="HT238" s="358"/>
      <c r="HU238" s="2773"/>
      <c r="HV238" s="1022"/>
      <c r="HW238" s="1568"/>
      <c r="HX238" s="1568"/>
      <c r="HY238" s="1568">
        <f t="shared" si="875"/>
        <v>0</v>
      </c>
      <c r="HZ238" s="2673"/>
      <c r="IA238" s="3195"/>
      <c r="IB238" s="3196"/>
      <c r="IC238" s="3213"/>
      <c r="ID238" s="3196"/>
      <c r="IE238" s="3191"/>
      <c r="IF238" s="1936"/>
      <c r="IG238" s="2733"/>
      <c r="IH238" s="3192"/>
      <c r="II238" s="3191"/>
      <c r="IJ238" s="1936"/>
      <c r="IK238" s="644"/>
      <c r="IL238" s="3192"/>
      <c r="IM238" s="3191"/>
      <c r="IN238" s="1936"/>
      <c r="IO238" s="644"/>
      <c r="IP238" s="3192"/>
      <c r="IR238" s="3200"/>
      <c r="IS238" s="3196"/>
      <c r="IT238" s="3196"/>
      <c r="IU238" s="3196">
        <f>939762*15%</f>
        <v>140964.29999999999</v>
      </c>
      <c r="IV238" s="3201"/>
      <c r="IW238" s="3195"/>
      <c r="IX238" s="3196"/>
      <c r="IY238" s="3196"/>
      <c r="IZ238" s="3196">
        <f>1013753*15%</f>
        <v>152062.94999999998</v>
      </c>
      <c r="JA238" s="3202"/>
      <c r="JB238" s="3203"/>
      <c r="JC238" s="3196"/>
      <c r="JD238" s="3196"/>
      <c r="JE238" s="3196">
        <f>1008682*15%</f>
        <v>151302.29999999999</v>
      </c>
      <c r="JF238" s="3204"/>
      <c r="JG238" s="3205"/>
      <c r="JH238" s="2186"/>
      <c r="JI238" s="2186"/>
      <c r="JJ238" s="2186">
        <f>978289*15%</f>
        <v>146743.35</v>
      </c>
      <c r="JK238" s="976"/>
      <c r="JL238" s="2011"/>
      <c r="JM238" s="264"/>
      <c r="JN238" s="264"/>
      <c r="JO238" s="2186">
        <f>1009037*15%</f>
        <v>151355.54999999999</v>
      </c>
      <c r="JP238" s="1222"/>
      <c r="JQ238" s="3230"/>
      <c r="JR238" s="264"/>
      <c r="JS238" s="264"/>
      <c r="JT238" s="2897">
        <f>973950*15%</f>
        <v>146092.5</v>
      </c>
      <c r="JU238" s="1222"/>
      <c r="JV238" s="3231"/>
      <c r="JW238" s="265"/>
      <c r="JX238" s="265"/>
      <c r="JY238" s="3208">
        <f>972688*15%</f>
        <v>145903.19999999998</v>
      </c>
      <c r="JZ238" s="3229"/>
      <c r="KA238" s="1083"/>
      <c r="KB238" s="265"/>
      <c r="KC238" s="265"/>
      <c r="KD238" s="2015">
        <f>1009157*15%</f>
        <v>151373.54999999999</v>
      </c>
      <c r="KE238" s="3229"/>
      <c r="KF238" s="2876"/>
      <c r="KG238" s="265"/>
      <c r="KH238" s="265"/>
      <c r="KI238" s="2015">
        <f>1016935*15%</f>
        <v>152540.25</v>
      </c>
      <c r="KJ238" s="3229"/>
      <c r="KK238" s="3210"/>
      <c r="KL238" s="3211"/>
      <c r="KM238" s="3211"/>
      <c r="KN238" s="2015">
        <f>1022668*15%</f>
        <v>153400.19999999998</v>
      </c>
      <c r="KO238" s="3212"/>
      <c r="KP238" s="1083"/>
      <c r="KQ238" s="265"/>
      <c r="KR238" s="265"/>
      <c r="KS238" s="265">
        <f>(1035711*15%)</f>
        <v>155356.65</v>
      </c>
      <c r="KT238" s="3229"/>
      <c r="KU238" s="357"/>
      <c r="KV238" s="358"/>
      <c r="KW238" s="358"/>
      <c r="KX238" s="358">
        <f>(1001152*15%)</f>
        <v>150172.79999999999</v>
      </c>
      <c r="KY238" s="2773"/>
      <c r="KZ238" s="1022"/>
      <c r="LA238" s="1568"/>
      <c r="LB238" s="1568"/>
      <c r="LC238" s="358">
        <f t="shared" ref="LC238:LC245" si="880">IU238+IZ238+JE238+JJ238+JO238+JT238+JY238+KD238+KI238+KN238+KS238+KX238</f>
        <v>1797267.5999999999</v>
      </c>
      <c r="LD238" s="2673"/>
      <c r="LE238" s="3171"/>
      <c r="LF238" s="3196"/>
      <c r="LG238" s="3213"/>
      <c r="LH238" s="3202"/>
      <c r="LI238" s="3214"/>
      <c r="LJ238" s="1936"/>
      <c r="LK238" s="2733"/>
      <c r="LL238" s="3192"/>
      <c r="LM238" s="3215"/>
      <c r="LN238" s="1936"/>
      <c r="LO238" s="644"/>
      <c r="LP238" s="3192"/>
      <c r="LQ238" s="3191"/>
      <c r="LR238" s="1936"/>
      <c r="LS238" s="644"/>
      <c r="LT238" s="3192"/>
      <c r="LV238" s="1567"/>
      <c r="LW238" s="1568"/>
      <c r="LX238" s="1568"/>
      <c r="LY238" s="3233">
        <v>165500</v>
      </c>
      <c r="LZ238" s="3217"/>
      <c r="MA238" s="1022"/>
      <c r="MB238" s="1568"/>
      <c r="MC238" s="1568"/>
      <c r="MD238" s="3234">
        <v>169000</v>
      </c>
      <c r="ME238" s="3194"/>
      <c r="MF238" s="1567"/>
      <c r="MG238" s="1568"/>
      <c r="MH238" s="1568"/>
      <c r="MI238" s="359">
        <f>(1224581*15%)</f>
        <v>183687.15</v>
      </c>
      <c r="MJ238" s="2674"/>
      <c r="MK238" s="3219"/>
      <c r="ML238" s="1568"/>
      <c r="MM238" s="1568"/>
      <c r="MN238" s="1871">
        <f>(1186841*15%)</f>
        <v>178026.15</v>
      </c>
      <c r="MO238" s="2674"/>
      <c r="MP238" s="3219"/>
      <c r="MQ238" s="1568"/>
      <c r="MR238" s="1568"/>
      <c r="MS238" s="359">
        <f>1371302*15%</f>
        <v>205695.3</v>
      </c>
      <c r="MT238" s="83"/>
      <c r="MU238" s="405"/>
      <c r="MV238" s="1575"/>
      <c r="MW238" s="1575"/>
      <c r="MX238" s="208">
        <f>1262206*15%</f>
        <v>189330.9</v>
      </c>
      <c r="MY238" s="83"/>
      <c r="MZ238" s="405"/>
      <c r="NA238" s="1575"/>
      <c r="NB238" s="1575"/>
      <c r="NC238" s="208">
        <f>1255694*15%</f>
        <v>188354.1</v>
      </c>
      <c r="ND238" s="83"/>
      <c r="NE238" s="405"/>
      <c r="NF238" s="1575"/>
      <c r="NG238" s="1575"/>
      <c r="NH238" s="208">
        <f>1241910*15%</f>
        <v>186286.5</v>
      </c>
      <c r="NI238" s="83"/>
      <c r="NJ238" s="1567"/>
      <c r="NK238" s="1568"/>
      <c r="NL238" s="1871"/>
      <c r="NM238" s="208">
        <f>1225934*15%</f>
        <v>183890.1</v>
      </c>
      <c r="NN238" s="83"/>
      <c r="NO238" s="1022"/>
      <c r="NP238" s="1568"/>
      <c r="NQ238" s="1871"/>
      <c r="NR238" s="208">
        <f>1225294*15%</f>
        <v>183794.1</v>
      </c>
      <c r="NS238" s="83"/>
      <c r="NT238" s="209"/>
      <c r="NU238" s="208"/>
      <c r="NV238" s="208"/>
      <c r="NW238" s="208">
        <f>1218532*15%</f>
        <v>182779.8</v>
      </c>
      <c r="NX238" s="114"/>
      <c r="NY238" s="1868"/>
      <c r="NZ238" s="1575"/>
      <c r="OA238" s="1575"/>
      <c r="OB238" s="208">
        <f>1212228*15%</f>
        <v>181834.19999999998</v>
      </c>
      <c r="OC238" s="83"/>
      <c r="OD238" s="1022"/>
      <c r="OE238" s="1568"/>
      <c r="OF238" s="1568"/>
      <c r="OG238" s="358">
        <f t="shared" si="876"/>
        <v>2198178.2999999998</v>
      </c>
      <c r="OH238" s="1872"/>
      <c r="OI238" s="968"/>
      <c r="OJ238" s="2186"/>
      <c r="OK238" s="2186"/>
      <c r="OL238" s="778"/>
      <c r="OM238" s="1869"/>
      <c r="ON238" s="968"/>
      <c r="OO238" s="2186"/>
      <c r="OP238" s="2186"/>
      <c r="OQ238" s="778"/>
      <c r="OR238" s="1869"/>
      <c r="OS238" s="1022"/>
      <c r="OT238" s="1568"/>
      <c r="OU238" s="1568"/>
      <c r="OV238" s="1568"/>
      <c r="OW238" s="220"/>
      <c r="OX238" s="1022"/>
      <c r="OY238" s="1568"/>
      <c r="OZ238" s="1568"/>
      <c r="PA238" s="1568"/>
      <c r="PB238" s="220"/>
      <c r="PD238" s="1567"/>
      <c r="PE238" s="1568"/>
      <c r="PF238" s="1568"/>
      <c r="PG238" s="137">
        <f>(1218100*15%)</f>
        <v>182715</v>
      </c>
      <c r="PH238" s="2944"/>
      <c r="PI238" s="1022"/>
      <c r="PJ238" s="1568"/>
      <c r="PK238" s="1568"/>
      <c r="PL238" s="3234">
        <f>(1213932*15%)</f>
        <v>182089.8</v>
      </c>
      <c r="PM238" s="3194"/>
      <c r="PN238" s="1567"/>
      <c r="PO238" s="1568"/>
      <c r="PP238" s="1568"/>
      <c r="PQ238" s="359">
        <f>(1534223*15%)</f>
        <v>230133.44999999998</v>
      </c>
      <c r="PR238" s="2674"/>
      <c r="PS238" s="3219"/>
      <c r="PT238" s="1568"/>
      <c r="PU238" s="1568"/>
      <c r="PV238" s="359">
        <f>(1366085*15%)</f>
        <v>204912.75</v>
      </c>
      <c r="PW238" s="2674"/>
      <c r="PX238" s="3221"/>
      <c r="PY238" s="358"/>
      <c r="PZ238" s="358"/>
      <c r="QA238" s="358">
        <f>1297235*15%</f>
        <v>194585.25</v>
      </c>
      <c r="QB238" s="114"/>
      <c r="QC238" s="405"/>
      <c r="QD238" s="1575"/>
      <c r="QE238" s="1575"/>
      <c r="QF238" s="208">
        <f>1442788*15%</f>
        <v>216418.19999999998</v>
      </c>
      <c r="QG238" s="83"/>
      <c r="QH238" s="405"/>
      <c r="QI238" s="1575"/>
      <c r="QJ238" s="1575"/>
      <c r="QK238" s="208">
        <f>1409994*15%</f>
        <v>211499.1</v>
      </c>
      <c r="QL238" s="83"/>
      <c r="QM238" s="405"/>
      <c r="QN238" s="1575"/>
      <c r="QO238" s="1575"/>
      <c r="QP238" s="208">
        <f>1492399*15%</f>
        <v>223859.85</v>
      </c>
      <c r="QQ238" s="83"/>
      <c r="QR238" s="1567"/>
      <c r="QS238" s="1568"/>
      <c r="QT238" s="1871"/>
      <c r="QU238" s="208">
        <f>1461243*15%</f>
        <v>219186.44999999998</v>
      </c>
      <c r="QV238" s="222"/>
      <c r="QW238" s="1022"/>
      <c r="QX238" s="1568"/>
      <c r="QY238" s="1871"/>
      <c r="QZ238" s="208">
        <f>1417345*20%</f>
        <v>283469</v>
      </c>
      <c r="RA238" s="83"/>
      <c r="RB238" s="209"/>
      <c r="RC238" s="208"/>
      <c r="RD238" s="208"/>
      <c r="RE238" s="1575">
        <f>1645519*20%</f>
        <v>329103.80000000005</v>
      </c>
      <c r="RF238" s="114"/>
      <c r="RG238" s="405"/>
      <c r="RH238" s="1575"/>
      <c r="RI238" s="1575"/>
      <c r="RJ238" s="1575">
        <f>1640969*20%</f>
        <v>328193.80000000005</v>
      </c>
      <c r="RK238" s="114"/>
      <c r="RL238" s="1022"/>
      <c r="RM238" s="1568"/>
      <c r="RN238" s="1568"/>
      <c r="RO238" s="1568">
        <f t="shared" si="877"/>
        <v>2806166.45</v>
      </c>
      <c r="RP238" s="1872"/>
      <c r="RQ238" s="968"/>
      <c r="RR238" s="2186"/>
      <c r="RS238" s="2186"/>
      <c r="RT238" s="3227">
        <f t="shared" ref="RT238:RT260" si="881">OF238+PL238+PQ238</f>
        <v>412223.25</v>
      </c>
      <c r="RU238" s="1869"/>
      <c r="RV238" s="968"/>
      <c r="RW238" s="2186"/>
      <c r="RX238" s="2186"/>
      <c r="RY238" s="3223">
        <f t="shared" si="878"/>
        <v>651777.15</v>
      </c>
      <c r="RZ238" s="1869"/>
      <c r="SA238" s="1022"/>
      <c r="SB238" s="1568"/>
      <c r="SC238" s="1568"/>
      <c r="SD238" s="3223">
        <f t="shared" si="879"/>
        <v>654545.4</v>
      </c>
      <c r="SE238" s="220"/>
      <c r="SF238" s="1022"/>
      <c r="SG238" s="1568"/>
      <c r="SH238" s="1568"/>
      <c r="SI238" s="358">
        <f t="shared" ref="SI238:SI260" si="882">QZ238+RE238+RJ238</f>
        <v>940766.60000000009</v>
      </c>
      <c r="SJ238" s="220"/>
      <c r="SL238" s="1567"/>
      <c r="SM238" s="1568"/>
      <c r="SN238" s="1568"/>
      <c r="SO238" s="359">
        <f>1509691*25%</f>
        <v>377422.75</v>
      </c>
      <c r="SP238" s="2944"/>
      <c r="SQ238" s="1022"/>
      <c r="SR238" s="1568"/>
      <c r="SS238" s="1568"/>
      <c r="ST238" s="359">
        <f>1726251*25%</f>
        <v>431562.75</v>
      </c>
      <c r="SU238" s="3194"/>
      <c r="SV238" s="1857"/>
      <c r="SW238" s="358"/>
      <c r="SX238" s="358"/>
      <c r="SY238" s="359">
        <f>1677721*25%</f>
        <v>419430.25</v>
      </c>
      <c r="SZ238" s="2563"/>
      <c r="TA238" s="3221"/>
      <c r="TB238" s="358"/>
      <c r="TC238" s="358"/>
      <c r="TD238" s="359">
        <f>1603955*25%</f>
        <v>400988.75</v>
      </c>
      <c r="TE238" s="2563"/>
      <c r="TF238" s="3221"/>
      <c r="TG238" s="358"/>
      <c r="TH238" s="358"/>
      <c r="TI238" s="359">
        <f>1603955*25%</f>
        <v>400988.75</v>
      </c>
      <c r="TJ238" s="114"/>
      <c r="TK238" s="405"/>
      <c r="TL238" s="1575"/>
      <c r="TM238" s="1575"/>
      <c r="TN238" s="359">
        <f>1605195*25%</f>
        <v>401298.75</v>
      </c>
      <c r="TO238" s="83"/>
      <c r="TP238" s="4506"/>
      <c r="TQ238" s="1575"/>
      <c r="TR238" s="1575"/>
      <c r="TS238" s="359">
        <f>1632100*25%</f>
        <v>408025</v>
      </c>
      <c r="TT238" s="83"/>
      <c r="TU238" s="4506"/>
      <c r="TV238" s="1575"/>
      <c r="TW238" s="1575"/>
      <c r="TX238" s="1871">
        <f>1706550*25%</f>
        <v>426637.5</v>
      </c>
      <c r="TY238" s="83"/>
      <c r="TZ238" s="1567"/>
      <c r="UA238" s="1568"/>
      <c r="UB238" s="1871"/>
      <c r="UC238" s="1871">
        <f>1655572*25%</f>
        <v>413893</v>
      </c>
      <c r="UD238" s="222"/>
      <c r="UE238" s="1022"/>
      <c r="UF238" s="1568"/>
      <c r="UG238" s="1871"/>
      <c r="UH238" s="1871">
        <f>1655572*25%</f>
        <v>413893</v>
      </c>
      <c r="UI238" s="83"/>
      <c r="UJ238" s="209"/>
      <c r="UK238" s="208"/>
      <c r="UL238" s="208"/>
      <c r="UM238" s="1575">
        <v>0</v>
      </c>
      <c r="UN238" s="114"/>
      <c r="UO238" s="405"/>
      <c r="UP238" s="1575"/>
      <c r="UQ238" s="1575"/>
      <c r="UR238" s="1575">
        <v>0</v>
      </c>
      <c r="US238" s="114"/>
      <c r="UT238" s="1868"/>
      <c r="UU238" s="1575"/>
      <c r="UV238" s="1575"/>
      <c r="UW238" s="208">
        <f t="shared" ref="UW238:UW258" si="883">UR238+UM238+UH238+UC238+TX238+TS238+TN238+TI238+TD238+SY238+ST238+SO238</f>
        <v>4094140.5</v>
      </c>
      <c r="UX238" s="83"/>
      <c r="UY238" s="968"/>
      <c r="UZ238" s="2186"/>
      <c r="VA238" s="2186"/>
      <c r="VB238" s="3222">
        <f t="shared" ref="VB238:VB260" si="884">SO238+ST238+SY238</f>
        <v>1228415.75</v>
      </c>
      <c r="VC238" s="1869"/>
      <c r="VD238" s="968"/>
      <c r="VE238" s="2186"/>
      <c r="VF238" s="2186"/>
      <c r="VG238" s="778"/>
      <c r="VH238" s="1869"/>
      <c r="VI238" s="1022"/>
      <c r="VJ238" s="1568"/>
      <c r="VK238" s="1568"/>
      <c r="VL238" s="1568"/>
      <c r="VM238" s="220"/>
      <c r="VN238" s="1022"/>
      <c r="VO238" s="1568"/>
      <c r="VP238" s="1568"/>
      <c r="VQ238" s="1568"/>
      <c r="VR238" s="220"/>
    </row>
    <row r="239" spans="1:592" s="453" customFormat="1" ht="13.45" x14ac:dyDescent="0.3">
      <c r="A239" s="2616"/>
      <c r="B239" s="3169"/>
      <c r="C239" s="3232" t="s">
        <v>993</v>
      </c>
      <c r="D239" s="3171"/>
      <c r="E239" s="3172"/>
      <c r="F239" s="3172"/>
      <c r="G239" s="3173"/>
      <c r="H239" s="3174"/>
      <c r="I239" s="3175"/>
      <c r="J239" s="3175"/>
      <c r="K239" s="3175"/>
      <c r="L239" s="3176"/>
      <c r="M239" s="3177"/>
      <c r="N239" s="3175"/>
      <c r="O239" s="3178"/>
      <c r="P239" s="3179"/>
      <c r="Q239" s="3176"/>
      <c r="R239" s="3177"/>
      <c r="S239" s="3175"/>
      <c r="T239" s="3175"/>
      <c r="U239" s="3175"/>
      <c r="V239" s="3176"/>
      <c r="W239" s="3177"/>
      <c r="X239" s="3175"/>
      <c r="Y239" s="3175"/>
      <c r="Z239" s="3175"/>
      <c r="AA239" s="3180"/>
      <c r="AB239" s="3177"/>
      <c r="AC239" s="3175"/>
      <c r="AD239" s="3175"/>
      <c r="AE239" s="3175"/>
      <c r="AF239" s="3180"/>
      <c r="AG239" s="3175"/>
      <c r="AH239" s="3175"/>
      <c r="AI239" s="3175"/>
      <c r="AJ239" s="3175"/>
      <c r="AK239" s="3176"/>
      <c r="AL239" s="3181"/>
      <c r="AM239" s="3181"/>
      <c r="AN239" s="3181"/>
      <c r="AO239" s="3175"/>
      <c r="AP239" s="3182"/>
      <c r="AQ239" s="3175"/>
      <c r="AR239" s="3175"/>
      <c r="AS239" s="3175"/>
      <c r="AT239" s="3175"/>
      <c r="AU239" s="3176"/>
      <c r="AV239" s="3184"/>
      <c r="AW239" s="3175"/>
      <c r="AX239" s="3175"/>
      <c r="AY239" s="3175"/>
      <c r="AZ239" s="3180"/>
      <c r="BA239" s="3184"/>
      <c r="BB239" s="3175"/>
      <c r="BC239" s="3175"/>
      <c r="BD239" s="3175"/>
      <c r="BE239" s="3180"/>
      <c r="BF239" s="3185"/>
      <c r="BG239" s="3181"/>
      <c r="BH239" s="3175"/>
      <c r="BI239" s="3175"/>
      <c r="BJ239" s="3186"/>
      <c r="BK239" s="3184"/>
      <c r="BL239" s="3175"/>
      <c r="BM239" s="3175"/>
      <c r="BN239" s="3175"/>
      <c r="BO239" s="3180"/>
      <c r="BP239" s="3175"/>
      <c r="BQ239" s="3175"/>
      <c r="BR239" s="3175"/>
      <c r="BS239" s="3175"/>
      <c r="BT239" s="3175"/>
      <c r="BU239" s="3175"/>
      <c r="BV239" s="3175"/>
      <c r="BW239" s="3176"/>
      <c r="BX239" s="3175"/>
      <c r="BY239" s="3175"/>
      <c r="BZ239" s="3175"/>
      <c r="CA239" s="3175"/>
      <c r="CB239" s="3175"/>
      <c r="CC239" s="3175"/>
      <c r="CD239" s="3175"/>
      <c r="CE239" s="3175"/>
      <c r="CF239" s="3175"/>
      <c r="CG239" s="3175"/>
      <c r="CH239" s="3175"/>
      <c r="CI239" s="3175"/>
      <c r="CJ239" s="3177"/>
      <c r="CK239" s="3175"/>
      <c r="CL239" s="3175"/>
      <c r="CM239" s="3175"/>
      <c r="CN239" s="3175"/>
      <c r="CO239" s="3177"/>
      <c r="CP239" s="3175"/>
      <c r="CQ239" s="3175"/>
      <c r="CR239" s="3175"/>
      <c r="CS239" s="3175"/>
      <c r="CT239" s="3177"/>
      <c r="CU239" s="3175"/>
      <c r="CV239" s="3175"/>
      <c r="CW239" s="3175"/>
      <c r="CX239" s="3175"/>
      <c r="CY239" s="3177"/>
      <c r="CZ239" s="3175"/>
      <c r="DA239" s="3175"/>
      <c r="DB239" s="3175"/>
      <c r="DC239" s="3175"/>
      <c r="DD239" s="3175"/>
      <c r="DE239" s="3175"/>
      <c r="DF239" s="3175"/>
      <c r="DG239" s="3175"/>
      <c r="DH239" s="3177"/>
      <c r="DI239" s="3177"/>
      <c r="DJ239" s="3175"/>
      <c r="DK239" s="3175"/>
      <c r="DL239" s="3175"/>
      <c r="DM239" s="3177"/>
      <c r="DN239" s="3177"/>
      <c r="DO239" s="3175"/>
      <c r="DP239" s="3175"/>
      <c r="DQ239" s="3175"/>
      <c r="DR239" s="3177"/>
      <c r="DS239" s="3177"/>
      <c r="DT239" s="3175"/>
      <c r="DU239" s="3175"/>
      <c r="DV239" s="3175"/>
      <c r="DW239" s="3175"/>
      <c r="DX239" s="3177"/>
      <c r="DY239" s="3175"/>
      <c r="DZ239" s="3175"/>
      <c r="EA239" s="3175"/>
      <c r="EB239" s="3180"/>
      <c r="EC239" s="3177"/>
      <c r="ED239" s="3175"/>
      <c r="EE239" s="3175"/>
      <c r="EF239" s="3175"/>
      <c r="EG239" s="3177"/>
      <c r="EH239" s="3175"/>
      <c r="EI239" s="3175"/>
      <c r="EJ239" s="3175"/>
      <c r="EK239" s="3175"/>
      <c r="EL239" s="3175"/>
      <c r="EM239" s="3228"/>
      <c r="EN239" s="1719"/>
      <c r="EO239" s="1719"/>
      <c r="EP239" s="1719"/>
      <c r="EQ239" s="1719"/>
      <c r="ER239" s="3175"/>
      <c r="ES239" s="3175"/>
      <c r="ET239" s="3175"/>
      <c r="EU239" s="3175"/>
      <c r="EV239" s="3175"/>
      <c r="EW239" s="3177"/>
      <c r="EX239" s="3175"/>
      <c r="EY239" s="3175"/>
      <c r="EZ239" s="3175"/>
      <c r="FA239" s="3175"/>
      <c r="FB239" s="3175"/>
      <c r="FC239" s="3175"/>
      <c r="FD239" s="3175"/>
      <c r="FE239" s="3175"/>
      <c r="FF239" s="3175"/>
      <c r="FG239" s="3175"/>
      <c r="FH239" s="3175"/>
      <c r="FI239" s="3175"/>
      <c r="FJ239" s="3175"/>
      <c r="FK239" s="3175"/>
      <c r="FL239" s="3175"/>
      <c r="FM239" s="3175"/>
      <c r="FN239" s="3177"/>
      <c r="FO239" s="3175"/>
      <c r="FP239" s="3175"/>
      <c r="FQ239" s="1719">
        <v>0</v>
      </c>
      <c r="FR239" s="3187"/>
      <c r="FS239" s="3174"/>
      <c r="FT239" s="3175"/>
      <c r="FU239" s="3175"/>
      <c r="FV239" s="3235">
        <f>+(356999*10%)+16000</f>
        <v>51699.9</v>
      </c>
      <c r="FW239" s="3236"/>
      <c r="FX239" s="3237"/>
      <c r="FY239" s="1719"/>
      <c r="FZ239" s="1719"/>
      <c r="GA239" s="1719">
        <f>16000</f>
        <v>16000</v>
      </c>
      <c r="GB239" s="3190" t="s">
        <v>889</v>
      </c>
      <c r="GC239" s="3191"/>
      <c r="GD239" s="1936"/>
      <c r="GE239" s="1936"/>
      <c r="GF239" s="264">
        <f>11000+(151251*10%)</f>
        <v>26125.1</v>
      </c>
      <c r="GG239" s="2730"/>
      <c r="GH239" s="1149"/>
      <c r="GI239" s="264"/>
      <c r="GJ239" s="264"/>
      <c r="GK239" s="3238">
        <f>11000</f>
        <v>11000</v>
      </c>
      <c r="GL239" s="1222"/>
      <c r="GM239" s="1096"/>
      <c r="GN239" s="264"/>
      <c r="GO239" s="264"/>
      <c r="GP239" s="3238">
        <v>11000</v>
      </c>
      <c r="GQ239" s="972"/>
      <c r="GR239" s="1083"/>
      <c r="GS239" s="265"/>
      <c r="GT239" s="265"/>
      <c r="GU239" s="265">
        <v>11000</v>
      </c>
      <c r="GV239" s="3229"/>
      <c r="GW239" s="1083"/>
      <c r="GX239" s="265"/>
      <c r="GY239" s="265"/>
      <c r="GZ239" s="265">
        <v>11000</v>
      </c>
      <c r="HA239" s="3229"/>
      <c r="HB239" s="1083"/>
      <c r="HC239" s="265"/>
      <c r="HD239" s="265"/>
      <c r="HE239" s="265">
        <v>16000</v>
      </c>
      <c r="HF239" s="3229"/>
      <c r="HG239" s="1083"/>
      <c r="HH239" s="265"/>
      <c r="HI239" s="265"/>
      <c r="HJ239" s="265">
        <v>0</v>
      </c>
      <c r="HK239" s="3229"/>
      <c r="HL239" s="1083"/>
      <c r="HM239" s="265"/>
      <c r="HN239" s="265"/>
      <c r="HO239" s="265">
        <v>0</v>
      </c>
      <c r="HP239" s="3229"/>
      <c r="HQ239" s="357"/>
      <c r="HR239" s="358"/>
      <c r="HS239" s="358"/>
      <c r="HT239" s="358">
        <v>0</v>
      </c>
      <c r="HU239" s="2773"/>
      <c r="HV239" s="1022"/>
      <c r="HW239" s="1568"/>
      <c r="HX239" s="1568"/>
      <c r="HY239" s="1568">
        <f t="shared" si="875"/>
        <v>153825</v>
      </c>
      <c r="HZ239" s="2673"/>
      <c r="IA239" s="3195"/>
      <c r="IB239" s="3196"/>
      <c r="IC239" s="3196">
        <v>0</v>
      </c>
      <c r="ID239" s="3196"/>
      <c r="IE239" s="3191"/>
      <c r="IF239" s="1936"/>
      <c r="IG239" s="2733">
        <v>0</v>
      </c>
      <c r="IH239" s="3192"/>
      <c r="II239" s="3191"/>
      <c r="IJ239" s="1936"/>
      <c r="IK239" s="2733">
        <v>0</v>
      </c>
      <c r="IL239" s="3192"/>
      <c r="IM239" s="3191"/>
      <c r="IN239" s="1936"/>
      <c r="IO239" s="2733">
        <v>0</v>
      </c>
      <c r="IP239" s="3192"/>
      <c r="IR239" s="3200"/>
      <c r="IS239" s="3196"/>
      <c r="IT239" s="3196"/>
      <c r="IU239" s="1756">
        <f>16000+(166374*15%)</f>
        <v>40956.1</v>
      </c>
      <c r="IV239" s="3201"/>
      <c r="IW239" s="3195"/>
      <c r="IX239" s="3196"/>
      <c r="IY239" s="3196"/>
      <c r="IZ239" s="1756">
        <v>16000</v>
      </c>
      <c r="JA239" s="3239"/>
      <c r="JB239" s="3240"/>
      <c r="JC239" s="1756"/>
      <c r="JD239" s="1756"/>
      <c r="JE239" s="1756">
        <v>16000</v>
      </c>
      <c r="JF239" s="3204"/>
      <c r="JG239" s="3205"/>
      <c r="JH239" s="2186"/>
      <c r="JI239" s="2186"/>
      <c r="JJ239" s="1096">
        <v>16000</v>
      </c>
      <c r="JK239" s="976"/>
      <c r="JL239" s="2011"/>
      <c r="JM239" s="264"/>
      <c r="JN239" s="264"/>
      <c r="JO239" s="1096">
        <v>16000</v>
      </c>
      <c r="JP239" s="1222"/>
      <c r="JQ239" s="3230"/>
      <c r="JR239" s="264"/>
      <c r="JS239" s="264"/>
      <c r="JT239" s="1096">
        <v>16000</v>
      </c>
      <c r="JU239" s="1222"/>
      <c r="JV239" s="3231"/>
      <c r="JW239" s="265"/>
      <c r="JX239" s="265"/>
      <c r="JY239" s="1096">
        <v>16000</v>
      </c>
      <c r="JZ239" s="3229"/>
      <c r="KA239" s="1083"/>
      <c r="KB239" s="265"/>
      <c r="KC239" s="265"/>
      <c r="KD239" s="265">
        <v>16000</v>
      </c>
      <c r="KE239" s="3229"/>
      <c r="KF239" s="2876"/>
      <c r="KG239" s="265"/>
      <c r="KH239" s="265"/>
      <c r="KI239" s="265">
        <v>16000</v>
      </c>
      <c r="KJ239" s="3229"/>
      <c r="KK239" s="3210"/>
      <c r="KL239" s="3211"/>
      <c r="KM239" s="3211"/>
      <c r="KN239" s="265">
        <v>14000</v>
      </c>
      <c r="KO239" s="3212"/>
      <c r="KP239" s="1083"/>
      <c r="KQ239" s="265"/>
      <c r="KR239" s="265"/>
      <c r="KS239" s="265">
        <v>14000</v>
      </c>
      <c r="KT239" s="3229"/>
      <c r="KU239" s="357"/>
      <c r="KV239" s="358"/>
      <c r="KW239" s="358"/>
      <c r="KX239" s="358">
        <v>14000</v>
      </c>
      <c r="KY239" s="2773"/>
      <c r="KZ239" s="1022"/>
      <c r="LA239" s="1568"/>
      <c r="LB239" s="1568"/>
      <c r="LC239" s="358">
        <f t="shared" si="880"/>
        <v>210956.1</v>
      </c>
      <c r="LD239" s="2673"/>
      <c r="LE239" s="3171"/>
      <c r="LF239" s="3196"/>
      <c r="LG239" s="3196">
        <v>0</v>
      </c>
      <c r="LH239" s="3202"/>
      <c r="LI239" s="3214"/>
      <c r="LJ239" s="1936"/>
      <c r="LK239" s="2733">
        <v>0</v>
      </c>
      <c r="LL239" s="3192"/>
      <c r="LM239" s="3215"/>
      <c r="LN239" s="1936"/>
      <c r="LO239" s="2733">
        <v>0</v>
      </c>
      <c r="LP239" s="3192"/>
      <c r="LQ239" s="3191"/>
      <c r="LR239" s="1936"/>
      <c r="LS239" s="2733">
        <v>0</v>
      </c>
      <c r="LT239" s="3192"/>
      <c r="LV239" s="1567"/>
      <c r="LW239" s="1568"/>
      <c r="LX239" s="1568"/>
      <c r="LY239" s="3234">
        <v>14000</v>
      </c>
      <c r="LZ239" s="3217"/>
      <c r="MA239" s="1022"/>
      <c r="MB239" s="1568"/>
      <c r="MC239" s="1568"/>
      <c r="MD239" s="3234">
        <v>14000</v>
      </c>
      <c r="ME239" s="3194"/>
      <c r="MF239" s="1567"/>
      <c r="MG239" s="1568"/>
      <c r="MH239" s="1568"/>
      <c r="MI239" s="3234">
        <v>14000</v>
      </c>
      <c r="MJ239" s="2674"/>
      <c r="MK239" s="3219"/>
      <c r="ML239" s="1568"/>
      <c r="MM239" s="1568"/>
      <c r="MN239" s="3234">
        <f>14000+16000</f>
        <v>30000</v>
      </c>
      <c r="MO239" s="2674"/>
      <c r="MP239" s="3219"/>
      <c r="MQ239" s="1568"/>
      <c r="MR239" s="1568"/>
      <c r="MS239" s="359">
        <v>30000</v>
      </c>
      <c r="MT239" s="83"/>
      <c r="MU239" s="405"/>
      <c r="MV239" s="1575"/>
      <c r="MW239" s="1575"/>
      <c r="MX239" s="208">
        <v>29000</v>
      </c>
      <c r="MY239" s="83"/>
      <c r="MZ239" s="405"/>
      <c r="NA239" s="1575"/>
      <c r="NB239" s="1575"/>
      <c r="NC239" s="208">
        <v>29000</v>
      </c>
      <c r="ND239" s="83"/>
      <c r="NE239" s="405"/>
      <c r="NF239" s="1575"/>
      <c r="NG239" s="1575"/>
      <c r="NH239" s="208">
        <v>29000</v>
      </c>
      <c r="NI239" s="83"/>
      <c r="NJ239" s="1567"/>
      <c r="NK239" s="1568"/>
      <c r="NL239" s="1871"/>
      <c r="NM239" s="208">
        <v>29000</v>
      </c>
      <c r="NN239" s="83"/>
      <c r="NO239" s="1022"/>
      <c r="NP239" s="1568"/>
      <c r="NQ239" s="1871"/>
      <c r="NR239" s="208">
        <v>39137</v>
      </c>
      <c r="NS239" s="83"/>
      <c r="NT239" s="209"/>
      <c r="NU239" s="208"/>
      <c r="NV239" s="208"/>
      <c r="NW239" s="208">
        <f>(391374)*10%+16000</f>
        <v>55137.4</v>
      </c>
      <c r="NX239" s="114"/>
      <c r="NY239" s="1868"/>
      <c r="NZ239" s="1575"/>
      <c r="OA239" s="1575"/>
      <c r="OB239" s="208">
        <f>(391374)*10%+16000</f>
        <v>55137.4</v>
      </c>
      <c r="OC239" s="83"/>
      <c r="OD239" s="1022"/>
      <c r="OE239" s="1568"/>
      <c r="OF239" s="1568"/>
      <c r="OG239" s="358">
        <f t="shared" si="876"/>
        <v>367411.8</v>
      </c>
      <c r="OH239" s="1872"/>
      <c r="OI239" s="968"/>
      <c r="OJ239" s="2186"/>
      <c r="OK239" s="2186"/>
      <c r="OL239" s="2186"/>
      <c r="OM239" s="1869"/>
      <c r="ON239" s="968"/>
      <c r="OO239" s="2186"/>
      <c r="OP239" s="2186"/>
      <c r="OQ239" s="2186"/>
      <c r="OR239" s="1869"/>
      <c r="OS239" s="1022"/>
      <c r="OT239" s="1568"/>
      <c r="OU239" s="1568"/>
      <c r="OV239" s="1568"/>
      <c r="OW239" s="220"/>
      <c r="OX239" s="1022"/>
      <c r="OY239" s="1568"/>
      <c r="OZ239" s="1568"/>
      <c r="PA239" s="1568"/>
      <c r="PB239" s="220"/>
      <c r="PD239" s="1567"/>
      <c r="PE239" s="1568"/>
      <c r="PF239" s="1568"/>
      <c r="PG239" s="208">
        <f>(391374)*10%+16000</f>
        <v>55137.4</v>
      </c>
      <c r="PH239" s="2944"/>
      <c r="PI239" s="1022"/>
      <c r="PJ239" s="1568"/>
      <c r="PK239" s="1568"/>
      <c r="PL239" s="3234">
        <f>(391374)*10%+16000</f>
        <v>55137.4</v>
      </c>
      <c r="PM239" s="3194"/>
      <c r="PN239" s="1567"/>
      <c r="PO239" s="1568"/>
      <c r="PP239" s="1568"/>
      <c r="PQ239" s="3234">
        <v>14000</v>
      </c>
      <c r="PR239" s="2674"/>
      <c r="PS239" s="3219"/>
      <c r="PT239" s="1568"/>
      <c r="PU239" s="1568"/>
      <c r="PV239" s="3234">
        <f>15000+17000+2000</f>
        <v>34000</v>
      </c>
      <c r="PW239" s="2674"/>
      <c r="PX239" s="3221"/>
      <c r="PY239" s="358"/>
      <c r="PZ239" s="358"/>
      <c r="QA239" s="359">
        <f>17000+15000</f>
        <v>32000</v>
      </c>
      <c r="QB239" s="114"/>
      <c r="QC239" s="405"/>
      <c r="QD239" s="1575"/>
      <c r="QE239" s="1575"/>
      <c r="QF239" s="359">
        <f>17000+15000</f>
        <v>32000</v>
      </c>
      <c r="QG239" s="83"/>
      <c r="QH239" s="405"/>
      <c r="QI239" s="1575"/>
      <c r="QJ239" s="1575"/>
      <c r="QK239" s="359">
        <f>17000+15000+60000</f>
        <v>92000</v>
      </c>
      <c r="QL239" s="83"/>
      <c r="QM239" s="405"/>
      <c r="QN239" s="1575"/>
      <c r="QO239" s="1575"/>
      <c r="QP239" s="359">
        <f>17000+15000</f>
        <v>32000</v>
      </c>
      <c r="QQ239" s="83"/>
      <c r="QR239" s="1567"/>
      <c r="QS239" s="1568"/>
      <c r="QT239" s="1871"/>
      <c r="QU239" s="359">
        <f>17000+15000</f>
        <v>32000</v>
      </c>
      <c r="QV239" s="222"/>
      <c r="QW239" s="1022"/>
      <c r="QX239" s="1568"/>
      <c r="QY239" s="1871"/>
      <c r="QZ239" s="359">
        <f>17000+15000</f>
        <v>32000</v>
      </c>
      <c r="RA239" s="83"/>
      <c r="RB239" s="209"/>
      <c r="RC239" s="208"/>
      <c r="RD239" s="208"/>
      <c r="RE239" s="359">
        <f>17000+15000</f>
        <v>32000</v>
      </c>
      <c r="RF239" s="114"/>
      <c r="RG239" s="405"/>
      <c r="RH239" s="1575"/>
      <c r="RI239" s="1575"/>
      <c r="RJ239" s="1871">
        <f>17000+15000</f>
        <v>32000</v>
      </c>
      <c r="RK239" s="114"/>
      <c r="RL239" s="1022"/>
      <c r="RM239" s="1568"/>
      <c r="RN239" s="1568"/>
      <c r="RO239" s="1568">
        <f t="shared" si="877"/>
        <v>474274.80000000005</v>
      </c>
      <c r="RP239" s="1872"/>
      <c r="RQ239" s="968"/>
      <c r="RR239" s="2186"/>
      <c r="RS239" s="2186"/>
      <c r="RT239" s="3227">
        <f t="shared" si="881"/>
        <v>69137.399999999994</v>
      </c>
      <c r="RU239" s="1869"/>
      <c r="RV239" s="968"/>
      <c r="RW239" s="2186"/>
      <c r="RX239" s="2186"/>
      <c r="RY239" s="3223">
        <f t="shared" si="878"/>
        <v>156000</v>
      </c>
      <c r="RZ239" s="1869"/>
      <c r="SA239" s="1022"/>
      <c r="SB239" s="1568"/>
      <c r="SC239" s="1568"/>
      <c r="SD239" s="3223">
        <f t="shared" si="879"/>
        <v>156000</v>
      </c>
      <c r="SE239" s="220"/>
      <c r="SF239" s="1022"/>
      <c r="SG239" s="1568"/>
      <c r="SH239" s="1568"/>
      <c r="SI239" s="358">
        <f t="shared" si="882"/>
        <v>96000</v>
      </c>
      <c r="SJ239" s="220"/>
      <c r="SL239" s="1567"/>
      <c r="SM239" s="1568"/>
      <c r="SN239" s="1568"/>
      <c r="SO239" s="359">
        <f>17000+15000+(433011*25%)</f>
        <v>140252.75</v>
      </c>
      <c r="SP239" s="2944"/>
      <c r="SQ239" s="1022"/>
      <c r="SR239" s="1568"/>
      <c r="SS239" s="1568"/>
      <c r="ST239" s="359">
        <f>17000+15000+(433011*25%)</f>
        <v>140252.75</v>
      </c>
      <c r="SU239" s="3194"/>
      <c r="SV239" s="1857"/>
      <c r="SW239" s="358"/>
      <c r="SX239" s="358"/>
      <c r="SY239" s="359">
        <f>17000+15000+(433011*25%)</f>
        <v>140252.75</v>
      </c>
      <c r="SZ239" s="2563"/>
      <c r="TA239" s="3221"/>
      <c r="TB239" s="358"/>
      <c r="TC239" s="358"/>
      <c r="TD239" s="359">
        <f>17000+18000+24000+(433011*25%)</f>
        <v>167252.75</v>
      </c>
      <c r="TE239" s="2563"/>
      <c r="TF239" s="3221"/>
      <c r="TG239" s="358"/>
      <c r="TH239" s="358"/>
      <c r="TI239" s="359">
        <f>17000+18000+24000+(433011*25%)</f>
        <v>167252.75</v>
      </c>
      <c r="TJ239" s="114"/>
      <c r="TK239" s="405"/>
      <c r="TL239" s="1575"/>
      <c r="TM239" s="1575"/>
      <c r="TN239" s="359">
        <f>17000+18000+24000+(433011*25%)</f>
        <v>167252.75</v>
      </c>
      <c r="TO239" s="83"/>
      <c r="TP239" s="4506"/>
      <c r="TQ239" s="1575"/>
      <c r="TR239" s="1575"/>
      <c r="TS239" s="359">
        <f>17000+18000+24000+(433011*25%)</f>
        <v>167252.75</v>
      </c>
      <c r="TT239" s="83"/>
      <c r="TU239" s="4506"/>
      <c r="TV239" s="1575"/>
      <c r="TW239" s="1575"/>
      <c r="TX239" s="1871">
        <f>17000+18000+24000+13000+(433011*25%)</f>
        <v>180252.75</v>
      </c>
      <c r="TY239" s="83"/>
      <c r="TZ239" s="1567"/>
      <c r="UA239" s="1568"/>
      <c r="UB239" s="1871"/>
      <c r="UC239" s="1871">
        <f>17000+18000+24000+13000+(433011*25%)</f>
        <v>180252.75</v>
      </c>
      <c r="UD239" s="222"/>
      <c r="UE239" s="1022"/>
      <c r="UF239" s="1568"/>
      <c r="UG239" s="1871"/>
      <c r="UH239" s="2431">
        <f>17000+18000+12000+10000+(445511*25%)-102000</f>
        <v>66377.75</v>
      </c>
      <c r="UI239" s="83"/>
      <c r="UJ239" s="209"/>
      <c r="UK239" s="208"/>
      <c r="UL239" s="208"/>
      <c r="UM239" s="359">
        <v>0</v>
      </c>
      <c r="UN239" s="114"/>
      <c r="UO239" s="405"/>
      <c r="UP239" s="1575"/>
      <c r="UQ239" s="1575"/>
      <c r="UR239" s="1575">
        <v>0</v>
      </c>
      <c r="US239" s="114"/>
      <c r="UT239" s="1868"/>
      <c r="UU239" s="1575"/>
      <c r="UV239" s="1575"/>
      <c r="UW239" s="208">
        <f t="shared" si="883"/>
        <v>1516652.5</v>
      </c>
      <c r="UX239" s="83"/>
      <c r="UY239" s="968"/>
      <c r="UZ239" s="2186"/>
      <c r="VA239" s="2186"/>
      <c r="VB239" s="3222">
        <f t="shared" si="884"/>
        <v>420758.25</v>
      </c>
      <c r="VC239" s="1869"/>
      <c r="VD239" s="968"/>
      <c r="VE239" s="2186"/>
      <c r="VF239" s="2186"/>
      <c r="VG239" s="2186"/>
      <c r="VH239" s="1869"/>
      <c r="VI239" s="1022"/>
      <c r="VJ239" s="1568"/>
      <c r="VK239" s="1568"/>
      <c r="VL239" s="1568"/>
      <c r="VM239" s="220"/>
      <c r="VN239" s="1022"/>
      <c r="VO239" s="1568"/>
      <c r="VP239" s="1568"/>
      <c r="VQ239" s="1568"/>
      <c r="VR239" s="220"/>
    </row>
    <row r="240" spans="1:592" s="453" customFormat="1" ht="13.45" x14ac:dyDescent="0.3">
      <c r="A240" s="2616"/>
      <c r="B240" s="3169"/>
      <c r="C240" s="3232" t="s">
        <v>890</v>
      </c>
      <c r="D240" s="3171"/>
      <c r="E240" s="3172"/>
      <c r="F240" s="3172"/>
      <c r="G240" s="3173"/>
      <c r="H240" s="3174"/>
      <c r="I240" s="3175"/>
      <c r="J240" s="3175"/>
      <c r="K240" s="3175"/>
      <c r="L240" s="3176"/>
      <c r="M240" s="3177"/>
      <c r="N240" s="3175"/>
      <c r="O240" s="3178"/>
      <c r="P240" s="3179"/>
      <c r="Q240" s="3176"/>
      <c r="R240" s="3177"/>
      <c r="S240" s="3175"/>
      <c r="T240" s="3175"/>
      <c r="U240" s="3175"/>
      <c r="V240" s="3176"/>
      <c r="W240" s="3177"/>
      <c r="X240" s="3175"/>
      <c r="Y240" s="3175"/>
      <c r="Z240" s="3175"/>
      <c r="AA240" s="3180"/>
      <c r="AB240" s="3177"/>
      <c r="AC240" s="3175"/>
      <c r="AD240" s="3175"/>
      <c r="AE240" s="3175"/>
      <c r="AF240" s="3180"/>
      <c r="AG240" s="3175"/>
      <c r="AH240" s="3175"/>
      <c r="AI240" s="3175"/>
      <c r="AJ240" s="3175"/>
      <c r="AK240" s="3176"/>
      <c r="AL240" s="3181"/>
      <c r="AM240" s="3181"/>
      <c r="AN240" s="3181"/>
      <c r="AO240" s="3175"/>
      <c r="AP240" s="3182"/>
      <c r="AQ240" s="3175"/>
      <c r="AR240" s="3175"/>
      <c r="AS240" s="3175"/>
      <c r="AT240" s="3175"/>
      <c r="AU240" s="3176"/>
      <c r="AV240" s="3184"/>
      <c r="AW240" s="3175"/>
      <c r="AX240" s="3175"/>
      <c r="AY240" s="3175"/>
      <c r="AZ240" s="3180"/>
      <c r="BA240" s="3184"/>
      <c r="BB240" s="3175"/>
      <c r="BC240" s="3175"/>
      <c r="BD240" s="3175"/>
      <c r="BE240" s="3180"/>
      <c r="BF240" s="3185"/>
      <c r="BG240" s="3181"/>
      <c r="BH240" s="3175"/>
      <c r="BI240" s="3175"/>
      <c r="BJ240" s="3186"/>
      <c r="BK240" s="3184"/>
      <c r="BL240" s="3175"/>
      <c r="BM240" s="3175"/>
      <c r="BN240" s="3175"/>
      <c r="BO240" s="3180"/>
      <c r="BP240" s="3175"/>
      <c r="BQ240" s="3175"/>
      <c r="BR240" s="3175"/>
      <c r="BS240" s="3175"/>
      <c r="BT240" s="3175"/>
      <c r="BU240" s="3175"/>
      <c r="BV240" s="3175"/>
      <c r="BW240" s="3176"/>
      <c r="BX240" s="3175"/>
      <c r="BY240" s="3175"/>
      <c r="BZ240" s="3175"/>
      <c r="CA240" s="3175"/>
      <c r="CB240" s="3175"/>
      <c r="CC240" s="3175"/>
      <c r="CD240" s="3175"/>
      <c r="CE240" s="3175"/>
      <c r="CF240" s="3175"/>
      <c r="CG240" s="3175"/>
      <c r="CH240" s="3175"/>
      <c r="CI240" s="3175"/>
      <c r="CJ240" s="3177"/>
      <c r="CK240" s="3175"/>
      <c r="CL240" s="3175"/>
      <c r="CM240" s="3175"/>
      <c r="CN240" s="3175"/>
      <c r="CO240" s="3177"/>
      <c r="CP240" s="3175"/>
      <c r="CQ240" s="3175"/>
      <c r="CR240" s="3175"/>
      <c r="CS240" s="3175"/>
      <c r="CT240" s="3177"/>
      <c r="CU240" s="3175"/>
      <c r="CV240" s="3175"/>
      <c r="CW240" s="3175"/>
      <c r="CX240" s="3175"/>
      <c r="CY240" s="3177"/>
      <c r="CZ240" s="3175"/>
      <c r="DA240" s="3175"/>
      <c r="DB240" s="3175"/>
      <c r="DC240" s="3175"/>
      <c r="DD240" s="3175"/>
      <c r="DE240" s="3175"/>
      <c r="DF240" s="3175"/>
      <c r="DG240" s="3175"/>
      <c r="DH240" s="3177"/>
      <c r="DI240" s="3177"/>
      <c r="DJ240" s="3175"/>
      <c r="DK240" s="3175"/>
      <c r="DL240" s="3175"/>
      <c r="DM240" s="3177"/>
      <c r="DN240" s="3177"/>
      <c r="DO240" s="3175"/>
      <c r="DP240" s="3175"/>
      <c r="DQ240" s="3175"/>
      <c r="DR240" s="3177"/>
      <c r="DS240" s="3177"/>
      <c r="DT240" s="3175"/>
      <c r="DU240" s="3175"/>
      <c r="DV240" s="3175"/>
      <c r="DW240" s="3175"/>
      <c r="DX240" s="3177"/>
      <c r="DY240" s="3175"/>
      <c r="DZ240" s="3175"/>
      <c r="EA240" s="3175"/>
      <c r="EB240" s="3180"/>
      <c r="EC240" s="3177"/>
      <c r="ED240" s="3175"/>
      <c r="EE240" s="3175"/>
      <c r="EF240" s="3175"/>
      <c r="EG240" s="3177"/>
      <c r="EH240" s="3175"/>
      <c r="EI240" s="3175"/>
      <c r="EJ240" s="3175"/>
      <c r="EK240" s="3175"/>
      <c r="EL240" s="3175"/>
      <c r="EM240" s="3228"/>
      <c r="EN240" s="1719"/>
      <c r="EO240" s="1719"/>
      <c r="EP240" s="1719"/>
      <c r="EQ240" s="1719"/>
      <c r="ER240" s="3175"/>
      <c r="ES240" s="3175"/>
      <c r="ET240" s="3175"/>
      <c r="EU240" s="3175"/>
      <c r="EV240" s="3175"/>
      <c r="EW240" s="3177"/>
      <c r="EX240" s="3175"/>
      <c r="EY240" s="3175"/>
      <c r="EZ240" s="3175"/>
      <c r="FA240" s="3175"/>
      <c r="FB240" s="3175"/>
      <c r="FC240" s="3175"/>
      <c r="FD240" s="3175"/>
      <c r="FE240" s="3175"/>
      <c r="FF240" s="3175"/>
      <c r="FG240" s="3175"/>
      <c r="FH240" s="3175"/>
      <c r="FI240" s="3175"/>
      <c r="FJ240" s="3175"/>
      <c r="FK240" s="3175"/>
      <c r="FL240" s="3175"/>
      <c r="FM240" s="3175"/>
      <c r="FN240" s="3177"/>
      <c r="FO240" s="3175"/>
      <c r="FP240" s="3175"/>
      <c r="FQ240" s="1719">
        <v>0</v>
      </c>
      <c r="FR240" s="3187"/>
      <c r="FS240" s="3174"/>
      <c r="FT240" s="3175"/>
      <c r="FU240" s="3175"/>
      <c r="FV240" s="3235">
        <f>48432</f>
        <v>48432</v>
      </c>
      <c r="FW240" s="3236"/>
      <c r="FX240" s="3237"/>
      <c r="FY240" s="1719"/>
      <c r="FZ240" s="1719"/>
      <c r="GA240" s="1719">
        <v>0</v>
      </c>
      <c r="GB240" s="3190" t="s">
        <v>891</v>
      </c>
      <c r="GC240" s="3191"/>
      <c r="GD240" s="1936"/>
      <c r="GE240" s="1936"/>
      <c r="GF240" s="264">
        <v>0</v>
      </c>
      <c r="GG240" s="2730"/>
      <c r="GH240" s="1149"/>
      <c r="GI240" s="264"/>
      <c r="GJ240" s="264"/>
      <c r="GK240" s="3238">
        <v>0</v>
      </c>
      <c r="GL240" s="1222"/>
      <c r="GM240" s="1096"/>
      <c r="GN240" s="264"/>
      <c r="GO240" s="264"/>
      <c r="GP240" s="3238">
        <v>0</v>
      </c>
      <c r="GQ240" s="972"/>
      <c r="GR240" s="1083"/>
      <c r="GS240" s="265"/>
      <c r="GT240" s="265"/>
      <c r="GU240" s="265">
        <v>0</v>
      </c>
      <c r="GV240" s="3229"/>
      <c r="GW240" s="1083"/>
      <c r="GX240" s="265"/>
      <c r="GY240" s="265"/>
      <c r="GZ240" s="265">
        <v>0</v>
      </c>
      <c r="HA240" s="3229"/>
      <c r="HB240" s="1083"/>
      <c r="HC240" s="265"/>
      <c r="HD240" s="265"/>
      <c r="HE240" s="265">
        <v>0</v>
      </c>
      <c r="HF240" s="3229"/>
      <c r="HG240" s="1083"/>
      <c r="HH240" s="265"/>
      <c r="HI240" s="265"/>
      <c r="HJ240" s="265">
        <v>0</v>
      </c>
      <c r="HK240" s="3229"/>
      <c r="HL240" s="1083"/>
      <c r="HM240" s="265"/>
      <c r="HN240" s="265"/>
      <c r="HO240" s="265">
        <v>0</v>
      </c>
      <c r="HP240" s="3229"/>
      <c r="HQ240" s="357"/>
      <c r="HR240" s="358"/>
      <c r="HS240" s="358"/>
      <c r="HT240" s="358">
        <v>0</v>
      </c>
      <c r="HU240" s="2773"/>
      <c r="HV240" s="1022"/>
      <c r="HW240" s="1568"/>
      <c r="HX240" s="1568"/>
      <c r="HY240" s="1568">
        <f t="shared" si="875"/>
        <v>48432</v>
      </c>
      <c r="HZ240" s="2673"/>
      <c r="IA240" s="3195"/>
      <c r="IB240" s="3196"/>
      <c r="IC240" s="3196">
        <v>0</v>
      </c>
      <c r="ID240" s="3196"/>
      <c r="IE240" s="3191"/>
      <c r="IF240" s="1936"/>
      <c r="IG240" s="2733">
        <v>0</v>
      </c>
      <c r="IH240" s="3192"/>
      <c r="II240" s="3191"/>
      <c r="IJ240" s="1936"/>
      <c r="IK240" s="2733">
        <v>0</v>
      </c>
      <c r="IL240" s="3192"/>
      <c r="IM240" s="3191"/>
      <c r="IN240" s="1936"/>
      <c r="IO240" s="2733">
        <v>0</v>
      </c>
      <c r="IP240" s="3192"/>
      <c r="IR240" s="3200"/>
      <c r="IS240" s="3196"/>
      <c r="IT240" s="3196"/>
      <c r="IU240" s="1756">
        <f>15000</f>
        <v>15000</v>
      </c>
      <c r="IV240" s="3201"/>
      <c r="IW240" s="3195"/>
      <c r="IX240" s="3196"/>
      <c r="IY240" s="3196"/>
      <c r="IZ240" s="1756">
        <v>15000</v>
      </c>
      <c r="JA240" s="3239"/>
      <c r="JB240" s="3240"/>
      <c r="JC240" s="1756"/>
      <c r="JD240" s="1756"/>
      <c r="JE240" s="1756">
        <v>15000</v>
      </c>
      <c r="JF240" s="3204"/>
      <c r="JG240" s="3205"/>
      <c r="JH240" s="2186"/>
      <c r="JI240" s="2186"/>
      <c r="JJ240" s="1096">
        <v>15000</v>
      </c>
      <c r="JK240" s="976"/>
      <c r="JL240" s="2011"/>
      <c r="JM240" s="264"/>
      <c r="JN240" s="264"/>
      <c r="JO240" s="1096">
        <v>15000</v>
      </c>
      <c r="JP240" s="1222"/>
      <c r="JQ240" s="3230"/>
      <c r="JR240" s="264"/>
      <c r="JS240" s="264"/>
      <c r="JT240" s="1096">
        <v>18000</v>
      </c>
      <c r="JU240" s="1222"/>
      <c r="JV240" s="3231"/>
      <c r="JW240" s="265"/>
      <c r="JX240" s="265"/>
      <c r="JY240" s="1096">
        <v>20000</v>
      </c>
      <c r="JZ240" s="3229"/>
      <c r="KA240" s="1083"/>
      <c r="KB240" s="265"/>
      <c r="KC240" s="265"/>
      <c r="KD240" s="265">
        <v>20000</v>
      </c>
      <c r="KE240" s="3229"/>
      <c r="KF240" s="2876"/>
      <c r="KG240" s="265"/>
      <c r="KH240" s="265"/>
      <c r="KI240" s="265">
        <v>22000</v>
      </c>
      <c r="KJ240" s="3229"/>
      <c r="KK240" s="3210"/>
      <c r="KL240" s="3211"/>
      <c r="KM240" s="3211"/>
      <c r="KN240" s="265">
        <v>20000</v>
      </c>
      <c r="KO240" s="3212"/>
      <c r="KP240" s="1083"/>
      <c r="KQ240" s="265"/>
      <c r="KR240" s="265"/>
      <c r="KS240" s="265">
        <v>20000</v>
      </c>
      <c r="KT240" s="3229"/>
      <c r="KU240" s="357"/>
      <c r="KV240" s="358"/>
      <c r="KW240" s="358"/>
      <c r="KX240" s="358">
        <v>20000</v>
      </c>
      <c r="KY240" s="2773"/>
      <c r="KZ240" s="1022"/>
      <c r="LA240" s="1568"/>
      <c r="LB240" s="1568"/>
      <c r="LC240" s="358">
        <f t="shared" si="880"/>
        <v>215000</v>
      </c>
      <c r="LD240" s="2673"/>
      <c r="LE240" s="3171"/>
      <c r="LF240" s="3196"/>
      <c r="LG240" s="3196">
        <v>0</v>
      </c>
      <c r="LH240" s="3202"/>
      <c r="LI240" s="3214"/>
      <c r="LJ240" s="1936"/>
      <c r="LK240" s="2733">
        <v>0</v>
      </c>
      <c r="LL240" s="3192"/>
      <c r="LM240" s="3215"/>
      <c r="LN240" s="1936"/>
      <c r="LO240" s="2733">
        <v>0</v>
      </c>
      <c r="LP240" s="3192"/>
      <c r="LQ240" s="3191"/>
      <c r="LR240" s="1936"/>
      <c r="LS240" s="2733">
        <v>0</v>
      </c>
      <c r="LT240" s="3192"/>
      <c r="LV240" s="1567"/>
      <c r="LW240" s="1568"/>
      <c r="LX240" s="1568"/>
      <c r="LY240" s="3234">
        <v>25000</v>
      </c>
      <c r="LZ240" s="3217"/>
      <c r="MA240" s="1022"/>
      <c r="MB240" s="1568"/>
      <c r="MC240" s="1568"/>
      <c r="MD240" s="3234">
        <v>25000</v>
      </c>
      <c r="ME240" s="3194"/>
      <c r="MF240" s="1567"/>
      <c r="MG240" s="1568"/>
      <c r="MH240" s="1568"/>
      <c r="MI240" s="3234">
        <v>25000</v>
      </c>
      <c r="MJ240" s="2674"/>
      <c r="MK240" s="3219"/>
      <c r="ML240" s="1568"/>
      <c r="MM240" s="1568"/>
      <c r="MN240" s="3234">
        <v>25000</v>
      </c>
      <c r="MO240" s="2674"/>
      <c r="MP240" s="3219"/>
      <c r="MQ240" s="1568"/>
      <c r="MR240" s="1568"/>
      <c r="MS240" s="359">
        <v>25000</v>
      </c>
      <c r="MT240" s="83"/>
      <c r="MU240" s="405"/>
      <c r="MV240" s="1575"/>
      <c r="MW240" s="1575"/>
      <c r="MX240" s="208">
        <v>28000</v>
      </c>
      <c r="MY240" s="83"/>
      <c r="MZ240" s="405"/>
      <c r="NA240" s="1575"/>
      <c r="NB240" s="1575"/>
      <c r="NC240" s="208">
        <v>22000</v>
      </c>
      <c r="ND240" s="83"/>
      <c r="NE240" s="405"/>
      <c r="NF240" s="1575"/>
      <c r="NG240" s="1575"/>
      <c r="NH240" s="208">
        <v>22000</v>
      </c>
      <c r="NI240" s="83"/>
      <c r="NJ240" s="1567"/>
      <c r="NK240" s="1568"/>
      <c r="NL240" s="1871"/>
      <c r="NM240" s="208">
        <v>22000</v>
      </c>
      <c r="NN240" s="83"/>
      <c r="NO240" s="1022"/>
      <c r="NP240" s="1568"/>
      <c r="NQ240" s="1871"/>
      <c r="NR240" s="208">
        <v>22000</v>
      </c>
      <c r="NS240" s="83"/>
      <c r="NT240" s="209"/>
      <c r="NU240" s="208"/>
      <c r="NV240" s="208"/>
      <c r="NW240" s="208">
        <v>21000</v>
      </c>
      <c r="NX240" s="114"/>
      <c r="NY240" s="1868"/>
      <c r="NZ240" s="1575"/>
      <c r="OA240" s="1575"/>
      <c r="OB240" s="208">
        <v>21000</v>
      </c>
      <c r="OC240" s="83"/>
      <c r="OD240" s="1022"/>
      <c r="OE240" s="1568"/>
      <c r="OF240" s="1568"/>
      <c r="OG240" s="358">
        <f t="shared" si="876"/>
        <v>283000</v>
      </c>
      <c r="OH240" s="1872"/>
      <c r="OI240" s="968"/>
      <c r="OJ240" s="2186"/>
      <c r="OK240" s="2186"/>
      <c r="OL240" s="2186"/>
      <c r="OM240" s="1869"/>
      <c r="ON240" s="968"/>
      <c r="OO240" s="2186"/>
      <c r="OP240" s="2186"/>
      <c r="OQ240" s="2186"/>
      <c r="OR240" s="1869"/>
      <c r="OS240" s="1022"/>
      <c r="OT240" s="1568"/>
      <c r="OU240" s="1568"/>
      <c r="OV240" s="1568"/>
      <c r="OW240" s="220"/>
      <c r="OX240" s="1022"/>
      <c r="OY240" s="1568"/>
      <c r="OZ240" s="1568"/>
      <c r="PA240" s="1568"/>
      <c r="PB240" s="220"/>
      <c r="PD240" s="1567"/>
      <c r="PE240" s="1568"/>
      <c r="PF240" s="1568"/>
      <c r="PG240" s="358">
        <v>16720</v>
      </c>
      <c r="PH240" s="2944"/>
      <c r="PI240" s="1022"/>
      <c r="PJ240" s="1568"/>
      <c r="PK240" s="1568"/>
      <c r="PL240" s="3234">
        <v>17464</v>
      </c>
      <c r="PM240" s="3194"/>
      <c r="PN240" s="1567"/>
      <c r="PO240" s="1568"/>
      <c r="PP240" s="1568"/>
      <c r="PQ240" s="3234">
        <v>25000</v>
      </c>
      <c r="PR240" s="2674"/>
      <c r="PS240" s="3219"/>
      <c r="PT240" s="1568"/>
      <c r="PU240" s="1568"/>
      <c r="PV240" s="3234">
        <v>25000</v>
      </c>
      <c r="PW240" s="2674"/>
      <c r="PX240" s="3221"/>
      <c r="PY240" s="358"/>
      <c r="PZ240" s="358"/>
      <c r="QA240" s="359">
        <v>25000</v>
      </c>
      <c r="QB240" s="114"/>
      <c r="QC240" s="405"/>
      <c r="QD240" s="1575"/>
      <c r="QE240" s="1575"/>
      <c r="QF240" s="208">
        <v>28000</v>
      </c>
      <c r="QG240" s="83"/>
      <c r="QH240" s="405"/>
      <c r="QI240" s="1575"/>
      <c r="QJ240" s="1575"/>
      <c r="QK240" s="3241">
        <v>28000</v>
      </c>
      <c r="QL240" s="83"/>
      <c r="QM240" s="405"/>
      <c r="QN240" s="1575"/>
      <c r="QO240" s="1575"/>
      <c r="QP240" s="208">
        <v>28000</v>
      </c>
      <c r="QQ240" s="83"/>
      <c r="QR240" s="1567"/>
      <c r="QS240" s="1568"/>
      <c r="QT240" s="1871"/>
      <c r="QU240" s="208">
        <v>28000</v>
      </c>
      <c r="QV240" s="222"/>
      <c r="QW240" s="1022"/>
      <c r="QX240" s="1568"/>
      <c r="QY240" s="1871"/>
      <c r="QZ240" s="208">
        <v>28000</v>
      </c>
      <c r="RA240" s="83"/>
      <c r="RB240" s="209"/>
      <c r="RC240" s="208"/>
      <c r="RD240" s="208"/>
      <c r="RE240" s="208">
        <v>28000</v>
      </c>
      <c r="RF240" s="114"/>
      <c r="RG240" s="405"/>
      <c r="RH240" s="1575"/>
      <c r="RI240" s="1575"/>
      <c r="RJ240" s="1575">
        <v>28000</v>
      </c>
      <c r="RK240" s="114"/>
      <c r="RL240" s="1022"/>
      <c r="RM240" s="1568"/>
      <c r="RN240" s="1568"/>
      <c r="RO240" s="1568">
        <f t="shared" si="877"/>
        <v>305184</v>
      </c>
      <c r="RP240" s="1872"/>
      <c r="RQ240" s="968"/>
      <c r="RR240" s="2186"/>
      <c r="RS240" s="2186"/>
      <c r="RT240" s="3227">
        <f t="shared" si="881"/>
        <v>42464</v>
      </c>
      <c r="RU240" s="1869"/>
      <c r="RV240" s="968"/>
      <c r="RW240" s="2186"/>
      <c r="RX240" s="2186"/>
      <c r="RY240" s="3223">
        <f t="shared" si="878"/>
        <v>84000</v>
      </c>
      <c r="RZ240" s="1869"/>
      <c r="SA240" s="1022"/>
      <c r="SB240" s="1568"/>
      <c r="SC240" s="1568"/>
      <c r="SD240" s="3223">
        <f t="shared" si="879"/>
        <v>84000</v>
      </c>
      <c r="SE240" s="220"/>
      <c r="SF240" s="1022"/>
      <c r="SG240" s="1568"/>
      <c r="SH240" s="1568"/>
      <c r="SI240" s="358">
        <f t="shared" si="882"/>
        <v>84000</v>
      </c>
      <c r="SJ240" s="220"/>
      <c r="SL240" s="1567"/>
      <c r="SM240" s="1568"/>
      <c r="SN240" s="1568"/>
      <c r="SO240" s="137">
        <v>40000</v>
      </c>
      <c r="SP240" s="2944"/>
      <c r="SQ240" s="1022"/>
      <c r="SR240" s="1568"/>
      <c r="SS240" s="1568"/>
      <c r="ST240" s="137">
        <f>59025+1051+(136297*25%)</f>
        <v>94150.25</v>
      </c>
      <c r="SU240" s="3194"/>
      <c r="SV240" s="1857"/>
      <c r="SW240" s="358"/>
      <c r="SX240" s="358"/>
      <c r="SY240" s="359">
        <v>0</v>
      </c>
      <c r="SZ240" s="2563"/>
      <c r="TA240" s="3221"/>
      <c r="TB240" s="358"/>
      <c r="TC240" s="358"/>
      <c r="TD240" s="3234">
        <f>(116231*25%)</f>
        <v>29057.75</v>
      </c>
      <c r="TE240" s="2563"/>
      <c r="TF240" s="3221"/>
      <c r="TG240" s="358"/>
      <c r="TH240" s="358"/>
      <c r="TI240" s="3234">
        <f>(180833*25%)</f>
        <v>45208.25</v>
      </c>
      <c r="TJ240" s="114"/>
      <c r="TK240" s="405"/>
      <c r="TL240" s="1575"/>
      <c r="TM240" s="1575"/>
      <c r="TN240" s="3234">
        <f>(125062*25%)</f>
        <v>31265.5</v>
      </c>
      <c r="TO240" s="83"/>
      <c r="TP240" s="4506"/>
      <c r="TQ240" s="1575"/>
      <c r="TR240" s="1575"/>
      <c r="TS240" s="3234">
        <f>(105062*25%)</f>
        <v>26265.5</v>
      </c>
      <c r="TT240" s="83"/>
      <c r="TU240" s="4506"/>
      <c r="TV240" s="1575"/>
      <c r="TW240" s="1575"/>
      <c r="TX240" s="3218">
        <f>(105062*25%)</f>
        <v>26265.5</v>
      </c>
      <c r="TY240" s="83"/>
      <c r="TZ240" s="1567"/>
      <c r="UA240" s="1568"/>
      <c r="UB240" s="1871"/>
      <c r="UC240" s="3218">
        <f>(104768*25%)</f>
        <v>26192</v>
      </c>
      <c r="UD240" s="222"/>
      <c r="UE240" s="1022"/>
      <c r="UF240" s="1568"/>
      <c r="UG240" s="1871"/>
      <c r="UH240" s="3218">
        <f>(104768*25%)</f>
        <v>26192</v>
      </c>
      <c r="UI240" s="83"/>
      <c r="UJ240" s="209"/>
      <c r="UK240" s="208"/>
      <c r="UL240" s="208"/>
      <c r="UM240" s="359">
        <v>0</v>
      </c>
      <c r="UN240" s="114"/>
      <c r="UO240" s="405"/>
      <c r="UP240" s="1575"/>
      <c r="UQ240" s="1575"/>
      <c r="UR240" s="1575">
        <v>0</v>
      </c>
      <c r="US240" s="114"/>
      <c r="UT240" s="1868"/>
      <c r="UU240" s="1575"/>
      <c r="UV240" s="1575"/>
      <c r="UW240" s="208">
        <f t="shared" si="883"/>
        <v>344596.75</v>
      </c>
      <c r="UX240" s="83"/>
      <c r="UY240" s="968"/>
      <c r="UZ240" s="2186"/>
      <c r="VA240" s="2186"/>
      <c r="VB240" s="3222">
        <f t="shared" si="884"/>
        <v>134150.25</v>
      </c>
      <c r="VC240" s="1869"/>
      <c r="VD240" s="968"/>
      <c r="VE240" s="2186"/>
      <c r="VF240" s="2186"/>
      <c r="VG240" s="2186"/>
      <c r="VH240" s="1869"/>
      <c r="VI240" s="1022"/>
      <c r="VJ240" s="1568"/>
      <c r="VK240" s="1568"/>
      <c r="VL240" s="1568"/>
      <c r="VM240" s="220"/>
      <c r="VN240" s="1022"/>
      <c r="VO240" s="1568"/>
      <c r="VP240" s="1568"/>
      <c r="VQ240" s="1568"/>
      <c r="VR240" s="220"/>
    </row>
    <row r="241" spans="1:590" s="453" customFormat="1" ht="13.45" x14ac:dyDescent="0.3">
      <c r="A241" s="2616"/>
      <c r="B241" s="3169"/>
      <c r="C241" s="3232" t="s">
        <v>29</v>
      </c>
      <c r="D241" s="3171"/>
      <c r="E241" s="3172"/>
      <c r="F241" s="3172"/>
      <c r="G241" s="3173"/>
      <c r="H241" s="3174"/>
      <c r="I241" s="3175"/>
      <c r="J241" s="3175"/>
      <c r="K241" s="3175"/>
      <c r="L241" s="3176"/>
      <c r="M241" s="3177"/>
      <c r="N241" s="3175"/>
      <c r="O241" s="3178"/>
      <c r="P241" s="3179"/>
      <c r="Q241" s="3176"/>
      <c r="R241" s="3177"/>
      <c r="S241" s="3175"/>
      <c r="T241" s="3175"/>
      <c r="U241" s="3175"/>
      <c r="V241" s="3176"/>
      <c r="W241" s="3177"/>
      <c r="X241" s="3175"/>
      <c r="Y241" s="3175"/>
      <c r="Z241" s="3175"/>
      <c r="AA241" s="3180"/>
      <c r="AB241" s="3177"/>
      <c r="AC241" s="3175"/>
      <c r="AD241" s="3175"/>
      <c r="AE241" s="3175"/>
      <c r="AF241" s="3180"/>
      <c r="AG241" s="3175"/>
      <c r="AH241" s="3175"/>
      <c r="AI241" s="3175"/>
      <c r="AJ241" s="3175"/>
      <c r="AK241" s="3176"/>
      <c r="AL241" s="3181"/>
      <c r="AM241" s="3181"/>
      <c r="AN241" s="3181"/>
      <c r="AO241" s="3175"/>
      <c r="AP241" s="3182"/>
      <c r="AQ241" s="3175"/>
      <c r="AR241" s="3175"/>
      <c r="AS241" s="3175"/>
      <c r="AT241" s="3175"/>
      <c r="AU241" s="3176"/>
      <c r="AV241" s="3184"/>
      <c r="AW241" s="3175"/>
      <c r="AX241" s="3175"/>
      <c r="AY241" s="3175"/>
      <c r="AZ241" s="3180"/>
      <c r="BA241" s="3184"/>
      <c r="BB241" s="3175"/>
      <c r="BC241" s="3175"/>
      <c r="BD241" s="3175"/>
      <c r="BE241" s="3180"/>
      <c r="BF241" s="3185"/>
      <c r="BG241" s="3181"/>
      <c r="BH241" s="3175"/>
      <c r="BI241" s="3175"/>
      <c r="BJ241" s="3186"/>
      <c r="BK241" s="3184"/>
      <c r="BL241" s="3175"/>
      <c r="BM241" s="3175"/>
      <c r="BN241" s="3175"/>
      <c r="BO241" s="3180"/>
      <c r="BP241" s="3175"/>
      <c r="BQ241" s="3175"/>
      <c r="BR241" s="3175"/>
      <c r="BS241" s="3175"/>
      <c r="BT241" s="3175"/>
      <c r="BU241" s="3175"/>
      <c r="BV241" s="3175"/>
      <c r="BW241" s="3176"/>
      <c r="BX241" s="3175"/>
      <c r="BY241" s="3175"/>
      <c r="BZ241" s="3175"/>
      <c r="CA241" s="3175"/>
      <c r="CB241" s="3175"/>
      <c r="CC241" s="3175"/>
      <c r="CD241" s="3175"/>
      <c r="CE241" s="3175"/>
      <c r="CF241" s="3175"/>
      <c r="CG241" s="3175"/>
      <c r="CH241" s="3175"/>
      <c r="CI241" s="3175"/>
      <c r="CJ241" s="3177"/>
      <c r="CK241" s="3175"/>
      <c r="CL241" s="3175"/>
      <c r="CM241" s="3175"/>
      <c r="CN241" s="3175"/>
      <c r="CO241" s="3177"/>
      <c r="CP241" s="3175"/>
      <c r="CQ241" s="3175"/>
      <c r="CR241" s="3175"/>
      <c r="CS241" s="3175"/>
      <c r="CT241" s="3177"/>
      <c r="CU241" s="3175"/>
      <c r="CV241" s="3175"/>
      <c r="CW241" s="3175"/>
      <c r="CX241" s="3175"/>
      <c r="CY241" s="3177"/>
      <c r="CZ241" s="3175"/>
      <c r="DA241" s="3175"/>
      <c r="DB241" s="3175"/>
      <c r="DC241" s="3175"/>
      <c r="DD241" s="3175"/>
      <c r="DE241" s="3175"/>
      <c r="DF241" s="3175"/>
      <c r="DG241" s="3175"/>
      <c r="DH241" s="3177"/>
      <c r="DI241" s="3177"/>
      <c r="DJ241" s="3175"/>
      <c r="DK241" s="3175"/>
      <c r="DL241" s="3175"/>
      <c r="DM241" s="3177"/>
      <c r="DN241" s="3177"/>
      <c r="DO241" s="3175"/>
      <c r="DP241" s="3175"/>
      <c r="DQ241" s="3175"/>
      <c r="DR241" s="3177"/>
      <c r="DS241" s="3177"/>
      <c r="DT241" s="3175"/>
      <c r="DU241" s="3175"/>
      <c r="DV241" s="3175"/>
      <c r="DW241" s="3175"/>
      <c r="DX241" s="3177"/>
      <c r="DY241" s="3175"/>
      <c r="DZ241" s="3175"/>
      <c r="EA241" s="3175"/>
      <c r="EB241" s="3180"/>
      <c r="EC241" s="3177"/>
      <c r="ED241" s="3175"/>
      <c r="EE241" s="3175"/>
      <c r="EF241" s="3175"/>
      <c r="EG241" s="3177"/>
      <c r="EH241" s="3175"/>
      <c r="EI241" s="3175"/>
      <c r="EJ241" s="3175"/>
      <c r="EK241" s="3175"/>
      <c r="EL241" s="3175"/>
      <c r="EM241" s="3228"/>
      <c r="EN241" s="1719"/>
      <c r="EO241" s="1719"/>
      <c r="EP241" s="1719"/>
      <c r="EQ241" s="1719"/>
      <c r="ER241" s="3175"/>
      <c r="ES241" s="3175"/>
      <c r="ET241" s="3175"/>
      <c r="EU241" s="3175"/>
      <c r="EV241" s="3175"/>
      <c r="EW241" s="3177"/>
      <c r="EX241" s="3175"/>
      <c r="EY241" s="3175"/>
      <c r="EZ241" s="3175"/>
      <c r="FA241" s="3175"/>
      <c r="FB241" s="3175"/>
      <c r="FC241" s="3175"/>
      <c r="FD241" s="3175"/>
      <c r="FE241" s="3175"/>
      <c r="FF241" s="3175"/>
      <c r="FG241" s="3175"/>
      <c r="FH241" s="3175"/>
      <c r="FI241" s="3175"/>
      <c r="FJ241" s="3175"/>
      <c r="FK241" s="3175"/>
      <c r="FL241" s="3175"/>
      <c r="FM241" s="3175"/>
      <c r="FN241" s="3177"/>
      <c r="FO241" s="3175"/>
      <c r="FP241" s="3175"/>
      <c r="FQ241" s="1719">
        <v>0</v>
      </c>
      <c r="FR241" s="3187"/>
      <c r="FS241" s="3174"/>
      <c r="FT241" s="3175"/>
      <c r="FU241" s="3175"/>
      <c r="FV241" s="3235">
        <f>335556*15%</f>
        <v>50333.4</v>
      </c>
      <c r="FW241" s="3236"/>
      <c r="FX241" s="3237"/>
      <c r="FY241" s="1719"/>
      <c r="FZ241" s="1719"/>
      <c r="GA241" s="3242">
        <f>(167778)*15%</f>
        <v>25166.7</v>
      </c>
      <c r="GB241" s="3190"/>
      <c r="GC241" s="3191"/>
      <c r="GD241" s="1936"/>
      <c r="GE241" s="1936"/>
      <c r="GF241" s="3242">
        <f>(167778)*15%</f>
        <v>25166.7</v>
      </c>
      <c r="GG241" s="2730"/>
      <c r="GH241" s="1149"/>
      <c r="GI241" s="264"/>
      <c r="GJ241" s="264"/>
      <c r="GK241" s="3242">
        <f>(167778)*15%</f>
        <v>25166.7</v>
      </c>
      <c r="GL241" s="1222"/>
      <c r="GM241" s="1096"/>
      <c r="GN241" s="264"/>
      <c r="GO241" s="264"/>
      <c r="GP241" s="3242">
        <f>(167778)*15%</f>
        <v>25166.7</v>
      </c>
      <c r="GQ241" s="972"/>
      <c r="GR241" s="1083"/>
      <c r="GS241" s="265"/>
      <c r="GT241" s="265"/>
      <c r="GU241" s="3244">
        <f>(167778)*15%</f>
        <v>25166.7</v>
      </c>
      <c r="GV241" s="3229"/>
      <c r="GW241" s="1083"/>
      <c r="GX241" s="265"/>
      <c r="GY241" s="265"/>
      <c r="GZ241" s="358">
        <f>(167778)*15%</f>
        <v>25166.7</v>
      </c>
      <c r="HA241" s="3229"/>
      <c r="HB241" s="1083"/>
      <c r="HC241" s="265"/>
      <c r="HD241" s="265"/>
      <c r="HE241" s="358">
        <f>(167778)*15%</f>
        <v>25166.7</v>
      </c>
      <c r="HF241" s="3229"/>
      <c r="HG241" s="1083"/>
      <c r="HH241" s="265"/>
      <c r="HI241" s="265"/>
      <c r="HJ241" s="358">
        <f>(167778)*15%</f>
        <v>25166.7</v>
      </c>
      <c r="HK241" s="3229"/>
      <c r="HL241" s="1083"/>
      <c r="HM241" s="265"/>
      <c r="HN241" s="265"/>
      <c r="HO241" s="358">
        <f>(167778)*15%</f>
        <v>25166.7</v>
      </c>
      <c r="HP241" s="3229"/>
      <c r="HQ241" s="357"/>
      <c r="HR241" s="358"/>
      <c r="HS241" s="358"/>
      <c r="HT241" s="358">
        <f>(167778)*15%</f>
        <v>25166.7</v>
      </c>
      <c r="HU241" s="2773"/>
      <c r="HV241" s="1022"/>
      <c r="HW241" s="1568"/>
      <c r="HX241" s="1568"/>
      <c r="HY241" s="1568">
        <f t="shared" si="875"/>
        <v>302000.40000000008</v>
      </c>
      <c r="HZ241" s="2673"/>
      <c r="IA241" s="3195"/>
      <c r="IB241" s="3196"/>
      <c r="IC241" s="3196">
        <v>0</v>
      </c>
      <c r="ID241" s="3196"/>
      <c r="IE241" s="3191"/>
      <c r="IF241" s="1936"/>
      <c r="IG241" s="2733">
        <v>0</v>
      </c>
      <c r="IH241" s="3192"/>
      <c r="II241" s="3191"/>
      <c r="IJ241" s="1936"/>
      <c r="IK241" s="2733">
        <v>0</v>
      </c>
      <c r="IL241" s="3192"/>
      <c r="IM241" s="3191"/>
      <c r="IN241" s="1936"/>
      <c r="IO241" s="2733">
        <v>0</v>
      </c>
      <c r="IP241" s="3192"/>
      <c r="IR241" s="3200"/>
      <c r="IS241" s="3196"/>
      <c r="IT241" s="3196"/>
      <c r="IU241" s="1756">
        <f>166667*15%</f>
        <v>25000.05</v>
      </c>
      <c r="IV241" s="3201"/>
      <c r="IW241" s="3195"/>
      <c r="IX241" s="3196"/>
      <c r="IY241" s="1756"/>
      <c r="IZ241" s="1756">
        <f>(166667+170000)*15%</f>
        <v>50500.049999999996</v>
      </c>
      <c r="JA241" s="3239"/>
      <c r="JB241" s="3240"/>
      <c r="JC241" s="1756"/>
      <c r="JD241" s="1756"/>
      <c r="JE241" s="1756">
        <f>(166667)*15%</f>
        <v>25000.05</v>
      </c>
      <c r="JF241" s="3204"/>
      <c r="JG241" s="3205"/>
      <c r="JH241" s="2186"/>
      <c r="JI241" s="2186"/>
      <c r="JJ241" s="3242">
        <v>25000.05</v>
      </c>
      <c r="JK241" s="976"/>
      <c r="JL241" s="2011"/>
      <c r="JM241" s="264"/>
      <c r="JN241" s="264"/>
      <c r="JO241" s="1756">
        <v>25000.05</v>
      </c>
      <c r="JP241" s="1222"/>
      <c r="JQ241" s="3230"/>
      <c r="JR241" s="264"/>
      <c r="JS241" s="264"/>
      <c r="JT241" s="1756">
        <v>25000.05</v>
      </c>
      <c r="JU241" s="1222"/>
      <c r="JV241" s="3231"/>
      <c r="JW241" s="265"/>
      <c r="JX241" s="265"/>
      <c r="JY241" s="1756">
        <v>25000.05</v>
      </c>
      <c r="JZ241" s="3229"/>
      <c r="KA241" s="1083"/>
      <c r="KB241" s="265"/>
      <c r="KC241" s="265"/>
      <c r="KD241" s="358">
        <v>35000.050000000003</v>
      </c>
      <c r="KE241" s="3229"/>
      <c r="KF241" s="2876"/>
      <c r="KG241" s="265"/>
      <c r="KH241" s="265"/>
      <c r="KI241" s="358">
        <v>35000</v>
      </c>
      <c r="KJ241" s="3229"/>
      <c r="KK241" s="3210"/>
      <c r="KL241" s="3211"/>
      <c r="KM241" s="3211"/>
      <c r="KN241" s="358">
        <v>35000</v>
      </c>
      <c r="KO241" s="3212"/>
      <c r="KP241" s="1083"/>
      <c r="KQ241" s="265"/>
      <c r="KR241" s="265"/>
      <c r="KS241" s="358">
        <v>35000</v>
      </c>
      <c r="KT241" s="3229"/>
      <c r="KU241" s="357"/>
      <c r="KV241" s="358"/>
      <c r="KW241" s="358"/>
      <c r="KX241" s="358">
        <v>35000</v>
      </c>
      <c r="KY241" s="2773"/>
      <c r="KZ241" s="1022"/>
      <c r="LA241" s="1568"/>
      <c r="LB241" s="1568"/>
      <c r="LC241" s="358">
        <f t="shared" si="880"/>
        <v>375500.39999999997</v>
      </c>
      <c r="LD241" s="2673"/>
      <c r="LE241" s="3171"/>
      <c r="LF241" s="3196"/>
      <c r="LG241" s="3196">
        <v>0</v>
      </c>
      <c r="LH241" s="3202"/>
      <c r="LI241" s="3214"/>
      <c r="LJ241" s="1936"/>
      <c r="LK241" s="2733">
        <v>0</v>
      </c>
      <c r="LL241" s="3192"/>
      <c r="LM241" s="3215"/>
      <c r="LN241" s="1936"/>
      <c r="LO241" s="2733">
        <v>0</v>
      </c>
      <c r="LP241" s="3192"/>
      <c r="LQ241" s="3191"/>
      <c r="LR241" s="1936"/>
      <c r="LS241" s="2733">
        <v>0</v>
      </c>
      <c r="LT241" s="3192"/>
      <c r="LV241" s="1567"/>
      <c r="LW241" s="1568"/>
      <c r="LX241" s="1568"/>
      <c r="LY241" s="3234">
        <v>40000</v>
      </c>
      <c r="LZ241" s="3217"/>
      <c r="MA241" s="1022"/>
      <c r="MB241" s="1568"/>
      <c r="MC241" s="1568"/>
      <c r="MD241" s="3234">
        <v>50000</v>
      </c>
      <c r="ME241" s="3194"/>
      <c r="MF241" s="1567"/>
      <c r="MG241" s="1568"/>
      <c r="MH241" s="1568"/>
      <c r="MI241" s="3234">
        <v>50000</v>
      </c>
      <c r="MJ241" s="2674"/>
      <c r="MK241" s="3219"/>
      <c r="ML241" s="1568"/>
      <c r="MM241" s="1568"/>
      <c r="MN241" s="3234">
        <v>55000</v>
      </c>
      <c r="MO241" s="2674"/>
      <c r="MP241" s="3219"/>
      <c r="MQ241" s="1568"/>
      <c r="MR241" s="1568"/>
      <c r="MS241" s="359">
        <v>55000</v>
      </c>
      <c r="MT241" s="83"/>
      <c r="MU241" s="405"/>
      <c r="MV241" s="1575"/>
      <c r="MW241" s="1575"/>
      <c r="MX241" s="208">
        <v>55000</v>
      </c>
      <c r="MY241" s="83"/>
      <c r="MZ241" s="405"/>
      <c r="NA241" s="1575"/>
      <c r="NB241" s="1575"/>
      <c r="NC241" s="208">
        <v>55000</v>
      </c>
      <c r="ND241" s="83"/>
      <c r="NE241" s="405"/>
      <c r="NF241" s="1575"/>
      <c r="NG241" s="1575"/>
      <c r="NH241" s="208">
        <v>55000</v>
      </c>
      <c r="NI241" s="83"/>
      <c r="NJ241" s="1567"/>
      <c r="NK241" s="1568"/>
      <c r="NL241" s="1871"/>
      <c r="NM241" s="208">
        <v>55000</v>
      </c>
      <c r="NN241" s="83"/>
      <c r="NO241" s="1022"/>
      <c r="NP241" s="1568"/>
      <c r="NQ241" s="1871"/>
      <c r="NR241" s="208">
        <v>55000</v>
      </c>
      <c r="NS241" s="83"/>
      <c r="NT241" s="209"/>
      <c r="NU241" s="208"/>
      <c r="NV241" s="208"/>
      <c r="NW241" s="208">
        <v>55000</v>
      </c>
      <c r="NX241" s="114"/>
      <c r="NY241" s="1868"/>
      <c r="NZ241" s="1575"/>
      <c r="OA241" s="1575"/>
      <c r="OB241" s="208">
        <v>55000</v>
      </c>
      <c r="OC241" s="83"/>
      <c r="OD241" s="1022"/>
      <c r="OE241" s="1568"/>
      <c r="OF241" s="1568"/>
      <c r="OG241" s="358">
        <f t="shared" si="876"/>
        <v>635000</v>
      </c>
      <c r="OH241" s="1872"/>
      <c r="OI241" s="968"/>
      <c r="OJ241" s="2186"/>
      <c r="OK241" s="2186"/>
      <c r="OL241" s="2186"/>
      <c r="OM241" s="1869"/>
      <c r="ON241" s="968"/>
      <c r="OO241" s="2186"/>
      <c r="OP241" s="2186"/>
      <c r="OQ241" s="2186"/>
      <c r="OR241" s="1869"/>
      <c r="OS241" s="1022"/>
      <c r="OT241" s="1568"/>
      <c r="OU241" s="1568"/>
      <c r="OV241" s="1568"/>
      <c r="OW241" s="220"/>
      <c r="OX241" s="1022"/>
      <c r="OY241" s="1568"/>
      <c r="OZ241" s="1568"/>
      <c r="PA241" s="1568"/>
      <c r="PB241" s="220"/>
      <c r="PD241" s="1567"/>
      <c r="PE241" s="1568"/>
      <c r="PF241" s="1568"/>
      <c r="PG241" s="3234">
        <f>(400000*15%)</f>
        <v>60000</v>
      </c>
      <c r="PH241" s="2944"/>
      <c r="PI241" s="1022"/>
      <c r="PJ241" s="1568"/>
      <c r="PK241" s="1568"/>
      <c r="PL241" s="3234">
        <f>(400000*15%)</f>
        <v>60000</v>
      </c>
      <c r="PM241" s="3194"/>
      <c r="PN241" s="1567"/>
      <c r="PO241" s="1568"/>
      <c r="PP241" s="1568"/>
      <c r="PQ241" s="3234">
        <f>(400000*15%)</f>
        <v>60000</v>
      </c>
      <c r="PR241" s="2674"/>
      <c r="PS241" s="3219"/>
      <c r="PT241" s="1568"/>
      <c r="PU241" s="1568"/>
      <c r="PV241" s="3234">
        <f>(400000*15%)</f>
        <v>60000</v>
      </c>
      <c r="PW241" s="2674"/>
      <c r="PX241" s="3221"/>
      <c r="PY241" s="358"/>
      <c r="PZ241" s="358"/>
      <c r="QA241" s="3234">
        <f>(400000*15%)</f>
        <v>60000</v>
      </c>
      <c r="QB241" s="114"/>
      <c r="QC241" s="405"/>
      <c r="QD241" s="1575"/>
      <c r="QE241" s="1575"/>
      <c r="QF241" s="208">
        <v>55000</v>
      </c>
      <c r="QG241" s="83"/>
      <c r="QH241" s="405"/>
      <c r="QI241" s="1575"/>
      <c r="QJ241" s="1575"/>
      <c r="QK241" s="3241">
        <v>55000</v>
      </c>
      <c r="QL241" s="83"/>
      <c r="QM241" s="405"/>
      <c r="QN241" s="1575"/>
      <c r="QO241" s="1575"/>
      <c r="QP241" s="208">
        <v>55000</v>
      </c>
      <c r="QQ241" s="83"/>
      <c r="QR241" s="1567"/>
      <c r="QS241" s="1568"/>
      <c r="QT241" s="1871"/>
      <c r="QU241" s="208">
        <v>55000</v>
      </c>
      <c r="QV241" s="222"/>
      <c r="QW241" s="1022"/>
      <c r="QX241" s="1568"/>
      <c r="QY241" s="1871"/>
      <c r="QZ241" s="208">
        <v>55000</v>
      </c>
      <c r="RA241" s="83"/>
      <c r="RB241" s="209"/>
      <c r="RC241" s="208"/>
      <c r="RD241" s="208"/>
      <c r="RE241" s="208">
        <v>55000</v>
      </c>
      <c r="RF241" s="114"/>
      <c r="RG241" s="405"/>
      <c r="RH241" s="1575"/>
      <c r="RI241" s="1575"/>
      <c r="RJ241" s="1575">
        <v>55000</v>
      </c>
      <c r="RK241" s="114"/>
      <c r="RL241" s="1022"/>
      <c r="RM241" s="1568"/>
      <c r="RN241" s="1568"/>
      <c r="RO241" s="1568">
        <f t="shared" si="877"/>
        <v>685000</v>
      </c>
      <c r="RP241" s="1872"/>
      <c r="RQ241" s="968"/>
      <c r="RR241" s="2186"/>
      <c r="RS241" s="2186"/>
      <c r="RT241" s="3227">
        <f t="shared" si="881"/>
        <v>120000</v>
      </c>
      <c r="RU241" s="1869"/>
      <c r="RV241" s="968"/>
      <c r="RW241" s="2186"/>
      <c r="RX241" s="2186"/>
      <c r="RY241" s="3223">
        <f t="shared" si="878"/>
        <v>165000</v>
      </c>
      <c r="RZ241" s="1869"/>
      <c r="SA241" s="1022"/>
      <c r="SB241" s="1568"/>
      <c r="SC241" s="1568"/>
      <c r="SD241" s="3223">
        <f t="shared" si="879"/>
        <v>165000</v>
      </c>
      <c r="SE241" s="220"/>
      <c r="SF241" s="1022"/>
      <c r="SG241" s="1568"/>
      <c r="SH241" s="1568"/>
      <c r="SI241" s="358">
        <f t="shared" si="882"/>
        <v>165000</v>
      </c>
      <c r="SJ241" s="220"/>
      <c r="SL241" s="1567"/>
      <c r="SM241" s="1568"/>
      <c r="SN241" s="1568"/>
      <c r="SO241" s="137">
        <v>75000</v>
      </c>
      <c r="SP241" s="2944"/>
      <c r="SQ241" s="1022"/>
      <c r="SR241" s="1568"/>
      <c r="SS241" s="1568"/>
      <c r="ST241" s="3666">
        <f>92708</f>
        <v>92708</v>
      </c>
      <c r="SU241" s="3194"/>
      <c r="SV241" s="1857"/>
      <c r="SW241" s="358"/>
      <c r="SX241" s="358"/>
      <c r="SY241" s="3666">
        <f>92708</f>
        <v>92708</v>
      </c>
      <c r="SZ241" s="2563"/>
      <c r="TA241" s="3221"/>
      <c r="TB241" s="358"/>
      <c r="TC241" s="358"/>
      <c r="TD241" s="3666">
        <f>92708</f>
        <v>92708</v>
      </c>
      <c r="TE241" s="2563"/>
      <c r="TF241" s="3221"/>
      <c r="TG241" s="358"/>
      <c r="TH241" s="358"/>
      <c r="TI241" s="3666">
        <f>92708</f>
        <v>92708</v>
      </c>
      <c r="TJ241" s="114"/>
      <c r="TK241" s="405"/>
      <c r="TL241" s="1575"/>
      <c r="TM241" s="1575"/>
      <c r="TN241" s="3666">
        <f>92708</f>
        <v>92708</v>
      </c>
      <c r="TO241" s="83"/>
      <c r="TP241" s="4506"/>
      <c r="TQ241" s="1575"/>
      <c r="TR241" s="1575"/>
      <c r="TS241" s="3666">
        <f>92708</f>
        <v>92708</v>
      </c>
      <c r="TT241" s="83"/>
      <c r="TU241" s="4506"/>
      <c r="TV241" s="1575"/>
      <c r="TW241" s="1575"/>
      <c r="TX241" s="5300">
        <f>92708</f>
        <v>92708</v>
      </c>
      <c r="TY241" s="83"/>
      <c r="TZ241" s="1567"/>
      <c r="UA241" s="1568"/>
      <c r="UB241" s="1871"/>
      <c r="UC241" s="5300">
        <f>92708</f>
        <v>92708</v>
      </c>
      <c r="UD241" s="222"/>
      <c r="UE241" s="1022"/>
      <c r="UF241" s="1568"/>
      <c r="UG241" s="1871"/>
      <c r="UH241" s="5300">
        <f>92708</f>
        <v>92708</v>
      </c>
      <c r="UI241" s="83"/>
      <c r="UJ241" s="209"/>
      <c r="UK241" s="208"/>
      <c r="UL241" s="208"/>
      <c r="UM241" s="359">
        <v>0</v>
      </c>
      <c r="UN241" s="114"/>
      <c r="UO241" s="405"/>
      <c r="UP241" s="1575"/>
      <c r="UQ241" s="1575"/>
      <c r="UR241" s="1575">
        <v>0</v>
      </c>
      <c r="US241" s="114"/>
      <c r="UT241" s="1868"/>
      <c r="UU241" s="1575"/>
      <c r="UV241" s="1575"/>
      <c r="UW241" s="208">
        <f t="shared" si="883"/>
        <v>909372</v>
      </c>
      <c r="UX241" s="83"/>
      <c r="UY241" s="968"/>
      <c r="UZ241" s="2186"/>
      <c r="VA241" s="2186"/>
      <c r="VB241" s="3222">
        <f t="shared" si="884"/>
        <v>260416</v>
      </c>
      <c r="VC241" s="1869"/>
      <c r="VD241" s="968"/>
      <c r="VE241" s="2186"/>
      <c r="VF241" s="2186"/>
      <c r="VG241" s="2186"/>
      <c r="VH241" s="1869"/>
      <c r="VI241" s="1022"/>
      <c r="VJ241" s="1568"/>
      <c r="VK241" s="1568"/>
      <c r="VL241" s="1568"/>
      <c r="VM241" s="220"/>
      <c r="VN241" s="1022"/>
      <c r="VO241" s="1568"/>
      <c r="VP241" s="1568"/>
      <c r="VQ241" s="1568"/>
      <c r="VR241" s="220"/>
    </row>
    <row r="242" spans="1:590" s="453" customFormat="1" ht="13.45" x14ac:dyDescent="0.3">
      <c r="A242" s="2616"/>
      <c r="B242" s="3169"/>
      <c r="C242" s="3232" t="s">
        <v>896</v>
      </c>
      <c r="D242" s="3171"/>
      <c r="E242" s="3172"/>
      <c r="F242" s="3172"/>
      <c r="G242" s="3173"/>
      <c r="H242" s="3174"/>
      <c r="I242" s="3175"/>
      <c r="J242" s="3175"/>
      <c r="K242" s="3175"/>
      <c r="L242" s="3176"/>
      <c r="M242" s="3177"/>
      <c r="N242" s="3175"/>
      <c r="O242" s="3178"/>
      <c r="P242" s="3179"/>
      <c r="Q242" s="3176"/>
      <c r="R242" s="3177"/>
      <c r="S242" s="3175"/>
      <c r="T242" s="3175"/>
      <c r="U242" s="3175"/>
      <c r="V242" s="3176"/>
      <c r="W242" s="3177"/>
      <c r="X242" s="3175"/>
      <c r="Y242" s="3175"/>
      <c r="Z242" s="3175"/>
      <c r="AA242" s="3180"/>
      <c r="AB242" s="3177"/>
      <c r="AC242" s="3175"/>
      <c r="AD242" s="3175"/>
      <c r="AE242" s="3175"/>
      <c r="AF242" s="3180"/>
      <c r="AG242" s="3175"/>
      <c r="AH242" s="3175"/>
      <c r="AI242" s="3175"/>
      <c r="AJ242" s="3175"/>
      <c r="AK242" s="3176"/>
      <c r="AL242" s="3181"/>
      <c r="AM242" s="3181"/>
      <c r="AN242" s="3181"/>
      <c r="AO242" s="3175"/>
      <c r="AP242" s="3182"/>
      <c r="AQ242" s="3175"/>
      <c r="AR242" s="3175"/>
      <c r="AS242" s="3175"/>
      <c r="AT242" s="3175"/>
      <c r="AU242" s="3176"/>
      <c r="AV242" s="3184"/>
      <c r="AW242" s="3175"/>
      <c r="AX242" s="3175"/>
      <c r="AY242" s="3175"/>
      <c r="AZ242" s="3180"/>
      <c r="BA242" s="3184"/>
      <c r="BB242" s="3175"/>
      <c r="BC242" s="3175"/>
      <c r="BD242" s="3175"/>
      <c r="BE242" s="3180"/>
      <c r="BF242" s="3185"/>
      <c r="BG242" s="3181"/>
      <c r="BH242" s="3175"/>
      <c r="BI242" s="3175"/>
      <c r="BJ242" s="3186"/>
      <c r="BK242" s="3184"/>
      <c r="BL242" s="3175"/>
      <c r="BM242" s="3175"/>
      <c r="BN242" s="3175"/>
      <c r="BO242" s="3180"/>
      <c r="BP242" s="3175"/>
      <c r="BQ242" s="3175"/>
      <c r="BR242" s="3175"/>
      <c r="BS242" s="3175"/>
      <c r="BT242" s="3175"/>
      <c r="BU242" s="3175"/>
      <c r="BV242" s="3175"/>
      <c r="BW242" s="3176"/>
      <c r="BX242" s="3175"/>
      <c r="BY242" s="3175"/>
      <c r="BZ242" s="3175"/>
      <c r="CA242" s="3175"/>
      <c r="CB242" s="3175"/>
      <c r="CC242" s="3175"/>
      <c r="CD242" s="3175"/>
      <c r="CE242" s="3175"/>
      <c r="CF242" s="3175"/>
      <c r="CG242" s="3175"/>
      <c r="CH242" s="3175"/>
      <c r="CI242" s="3175"/>
      <c r="CJ242" s="3177"/>
      <c r="CK242" s="3175"/>
      <c r="CL242" s="3175"/>
      <c r="CM242" s="3175"/>
      <c r="CN242" s="3175"/>
      <c r="CO242" s="3177"/>
      <c r="CP242" s="3175"/>
      <c r="CQ242" s="3175"/>
      <c r="CR242" s="3175"/>
      <c r="CS242" s="3175"/>
      <c r="CT242" s="3177"/>
      <c r="CU242" s="3175"/>
      <c r="CV242" s="3175"/>
      <c r="CW242" s="3175"/>
      <c r="CX242" s="3175"/>
      <c r="CY242" s="3177"/>
      <c r="CZ242" s="3175"/>
      <c r="DA242" s="3175"/>
      <c r="DB242" s="3175"/>
      <c r="DC242" s="3175"/>
      <c r="DD242" s="3175"/>
      <c r="DE242" s="3175"/>
      <c r="DF242" s="3175"/>
      <c r="DG242" s="3175"/>
      <c r="DH242" s="3177"/>
      <c r="DI242" s="3177"/>
      <c r="DJ242" s="3175"/>
      <c r="DK242" s="3175"/>
      <c r="DL242" s="3175"/>
      <c r="DM242" s="3177"/>
      <c r="DN242" s="3177"/>
      <c r="DO242" s="3175"/>
      <c r="DP242" s="3175"/>
      <c r="DQ242" s="3175"/>
      <c r="DR242" s="3177"/>
      <c r="DS242" s="3177"/>
      <c r="DT242" s="3175"/>
      <c r="DU242" s="3175"/>
      <c r="DV242" s="3175"/>
      <c r="DW242" s="3175"/>
      <c r="DX242" s="3177"/>
      <c r="DY242" s="3175"/>
      <c r="DZ242" s="3175"/>
      <c r="EA242" s="3175"/>
      <c r="EB242" s="3180"/>
      <c r="EC242" s="3177"/>
      <c r="ED242" s="3175"/>
      <c r="EE242" s="3175"/>
      <c r="EF242" s="3175"/>
      <c r="EG242" s="3177"/>
      <c r="EH242" s="3175"/>
      <c r="EI242" s="3175"/>
      <c r="EJ242" s="3175"/>
      <c r="EK242" s="3175"/>
      <c r="EL242" s="3175"/>
      <c r="EM242" s="3228"/>
      <c r="EN242" s="1719"/>
      <c r="EO242" s="1719"/>
      <c r="EP242" s="1719"/>
      <c r="EQ242" s="1719"/>
      <c r="ER242" s="3175"/>
      <c r="ES242" s="3175"/>
      <c r="ET242" s="3175"/>
      <c r="EU242" s="3175"/>
      <c r="EV242" s="3175"/>
      <c r="EW242" s="3177"/>
      <c r="EX242" s="3175"/>
      <c r="EY242" s="3175"/>
      <c r="EZ242" s="3175"/>
      <c r="FA242" s="3175"/>
      <c r="FB242" s="3175"/>
      <c r="FC242" s="3175"/>
      <c r="FD242" s="3175"/>
      <c r="FE242" s="3175"/>
      <c r="FF242" s="3175"/>
      <c r="FG242" s="3175"/>
      <c r="FH242" s="3175"/>
      <c r="FI242" s="3175"/>
      <c r="FJ242" s="3175"/>
      <c r="FK242" s="3175"/>
      <c r="FL242" s="3175"/>
      <c r="FM242" s="3175"/>
      <c r="FN242" s="3177"/>
      <c r="FO242" s="3175"/>
      <c r="FP242" s="3175"/>
      <c r="FQ242" s="1719">
        <v>0</v>
      </c>
      <c r="FR242" s="3187"/>
      <c r="FS242" s="3174"/>
      <c r="FT242" s="3175"/>
      <c r="FU242" s="3175"/>
      <c r="FV242" s="3235">
        <f>38328*10%</f>
        <v>3832.8</v>
      </c>
      <c r="FW242" s="3236"/>
      <c r="FX242" s="3237"/>
      <c r="FY242" s="1719"/>
      <c r="FZ242" s="1719"/>
      <c r="GA242" s="1719">
        <f>37460*10%</f>
        <v>3746</v>
      </c>
      <c r="GB242" s="3190"/>
      <c r="GC242" s="3191"/>
      <c r="GD242" s="1936"/>
      <c r="GE242" s="1936"/>
      <c r="GF242" s="264">
        <v>0</v>
      </c>
      <c r="GG242" s="2730"/>
      <c r="GH242" s="1149"/>
      <c r="GI242" s="264"/>
      <c r="GJ242" s="264"/>
      <c r="GK242" s="3238">
        <f>2000</f>
        <v>2000</v>
      </c>
      <c r="GL242" s="1222"/>
      <c r="GM242" s="1096"/>
      <c r="GN242" s="264"/>
      <c r="GO242" s="264"/>
      <c r="GP242" s="3238">
        <v>2000</v>
      </c>
      <c r="GQ242" s="972"/>
      <c r="GR242" s="1083"/>
      <c r="GS242" s="265"/>
      <c r="GT242" s="265"/>
      <c r="GU242" s="265">
        <v>2000</v>
      </c>
      <c r="GV242" s="3229"/>
      <c r="GW242" s="1083"/>
      <c r="GX242" s="265"/>
      <c r="GY242" s="265"/>
      <c r="GZ242" s="265">
        <v>2000</v>
      </c>
      <c r="HA242" s="3229"/>
      <c r="HB242" s="1083"/>
      <c r="HC242" s="265"/>
      <c r="HD242" s="265"/>
      <c r="HE242" s="265">
        <v>2000</v>
      </c>
      <c r="HF242" s="3229"/>
      <c r="HG242" s="1083"/>
      <c r="HH242" s="265"/>
      <c r="HI242" s="265"/>
      <c r="HJ242" s="265">
        <v>2000</v>
      </c>
      <c r="HK242" s="3229"/>
      <c r="HL242" s="1083"/>
      <c r="HM242" s="265"/>
      <c r="HN242" s="265"/>
      <c r="HO242" s="265">
        <v>2000</v>
      </c>
      <c r="HP242" s="3229"/>
      <c r="HQ242" s="357"/>
      <c r="HR242" s="358"/>
      <c r="HS242" s="358"/>
      <c r="HT242" s="358">
        <v>2000</v>
      </c>
      <c r="HU242" s="2773"/>
      <c r="HV242" s="1022"/>
      <c r="HW242" s="1568"/>
      <c r="HX242" s="1568"/>
      <c r="HY242" s="1568">
        <f t="shared" si="875"/>
        <v>23578.799999999999</v>
      </c>
      <c r="HZ242" s="2673"/>
      <c r="IA242" s="3195"/>
      <c r="IB242" s="3196"/>
      <c r="IC242" s="3196">
        <v>0</v>
      </c>
      <c r="ID242" s="3196"/>
      <c r="IE242" s="3191"/>
      <c r="IF242" s="1936"/>
      <c r="IG242" s="2733">
        <v>0</v>
      </c>
      <c r="IH242" s="3192"/>
      <c r="II242" s="3191"/>
      <c r="IJ242" s="1936"/>
      <c r="IK242" s="2733">
        <v>0</v>
      </c>
      <c r="IL242" s="3192"/>
      <c r="IM242" s="3191"/>
      <c r="IN242" s="1936"/>
      <c r="IO242" s="2733">
        <v>0</v>
      </c>
      <c r="IP242" s="3192"/>
      <c r="IR242" s="3200"/>
      <c r="IS242" s="3196"/>
      <c r="IT242" s="3196"/>
      <c r="IU242" s="1756">
        <v>15000</v>
      </c>
      <c r="IV242" s="3201"/>
      <c r="IW242" s="3195"/>
      <c r="IX242" s="3196"/>
      <c r="IY242" s="3196"/>
      <c r="IZ242" s="1756">
        <v>15000</v>
      </c>
      <c r="JA242" s="3239"/>
      <c r="JB242" s="3240"/>
      <c r="JC242" s="1756"/>
      <c r="JD242" s="1756"/>
      <c r="JE242" s="1756">
        <v>15000</v>
      </c>
      <c r="JF242" s="3204"/>
      <c r="JG242" s="3205"/>
      <c r="JH242" s="2186"/>
      <c r="JI242" s="2186"/>
      <c r="JJ242" s="1096">
        <v>15000</v>
      </c>
      <c r="JK242" s="976"/>
      <c r="JL242" s="2011"/>
      <c r="JM242" s="264"/>
      <c r="JN242" s="264"/>
      <c r="JO242" s="1096">
        <v>16000</v>
      </c>
      <c r="JP242" s="1222"/>
      <c r="JQ242" s="3230"/>
      <c r="JR242" s="264"/>
      <c r="JS242" s="264"/>
      <c r="JT242" s="1096">
        <v>16000</v>
      </c>
      <c r="JU242" s="1222"/>
      <c r="JV242" s="3231"/>
      <c r="JW242" s="265"/>
      <c r="JX242" s="265"/>
      <c r="JY242" s="1096">
        <v>18500</v>
      </c>
      <c r="JZ242" s="3229"/>
      <c r="KA242" s="1083"/>
      <c r="KB242" s="265"/>
      <c r="KC242" s="265"/>
      <c r="KD242" s="265">
        <v>18500</v>
      </c>
      <c r="KE242" s="3229"/>
      <c r="KF242" s="2876"/>
      <c r="KG242" s="265"/>
      <c r="KH242" s="265"/>
      <c r="KI242" s="265">
        <v>18500</v>
      </c>
      <c r="KJ242" s="3229"/>
      <c r="KK242" s="3210"/>
      <c r="KL242" s="3211"/>
      <c r="KM242" s="3211"/>
      <c r="KN242" s="265">
        <v>18500</v>
      </c>
      <c r="KO242" s="3212"/>
      <c r="KP242" s="1083"/>
      <c r="KQ242" s="265"/>
      <c r="KR242" s="265"/>
      <c r="KS242" s="265">
        <v>18500</v>
      </c>
      <c r="KT242" s="3229"/>
      <c r="KU242" s="357"/>
      <c r="KV242" s="358"/>
      <c r="KW242" s="358"/>
      <c r="KX242" s="358">
        <v>18500</v>
      </c>
      <c r="KY242" s="2773"/>
      <c r="KZ242" s="1022"/>
      <c r="LA242" s="1568"/>
      <c r="LB242" s="1568"/>
      <c r="LC242" s="358">
        <f t="shared" si="880"/>
        <v>203000</v>
      </c>
      <c r="LD242" s="2673"/>
      <c r="LE242" s="3171"/>
      <c r="LF242" s="3196"/>
      <c r="LG242" s="3196">
        <v>0</v>
      </c>
      <c r="LH242" s="3202"/>
      <c r="LI242" s="3214"/>
      <c r="LJ242" s="1936"/>
      <c r="LK242" s="2733">
        <v>0</v>
      </c>
      <c r="LL242" s="3192"/>
      <c r="LM242" s="3215"/>
      <c r="LN242" s="1936"/>
      <c r="LO242" s="2733">
        <v>0</v>
      </c>
      <c r="LP242" s="3192"/>
      <c r="LQ242" s="3191"/>
      <c r="LR242" s="1936"/>
      <c r="LS242" s="2733">
        <v>0</v>
      </c>
      <c r="LT242" s="3192"/>
      <c r="LV242" s="1567"/>
      <c r="LW242" s="1568"/>
      <c r="LX242" s="1568"/>
      <c r="LY242" s="3234">
        <v>16500</v>
      </c>
      <c r="LZ242" s="3217"/>
      <c r="MA242" s="1022"/>
      <c r="MB242" s="1568"/>
      <c r="MC242" s="1568"/>
      <c r="MD242" s="3234">
        <v>0</v>
      </c>
      <c r="ME242" s="3194"/>
      <c r="MF242" s="1567"/>
      <c r="MG242" s="1568"/>
      <c r="MH242" s="1568"/>
      <c r="MI242" s="3234">
        <v>0</v>
      </c>
      <c r="MJ242" s="2674"/>
      <c r="MK242" s="3219"/>
      <c r="ML242" s="1568"/>
      <c r="MM242" s="1568"/>
      <c r="MN242" s="3234">
        <v>0</v>
      </c>
      <c r="MO242" s="2674"/>
      <c r="MP242" s="3219"/>
      <c r="MQ242" s="1568"/>
      <c r="MR242" s="1568"/>
      <c r="MS242" s="359">
        <v>4500</v>
      </c>
      <c r="MT242" s="83"/>
      <c r="MU242" s="405"/>
      <c r="MV242" s="1575"/>
      <c r="MW242" s="1575"/>
      <c r="MX242" s="208">
        <v>4500</v>
      </c>
      <c r="MY242" s="83"/>
      <c r="MZ242" s="405"/>
      <c r="NA242" s="1575"/>
      <c r="NB242" s="1575"/>
      <c r="NC242" s="208">
        <v>4500</v>
      </c>
      <c r="ND242" s="83"/>
      <c r="NE242" s="405"/>
      <c r="NF242" s="1575"/>
      <c r="NG242" s="1575"/>
      <c r="NH242" s="208">
        <v>4500</v>
      </c>
      <c r="NI242" s="83"/>
      <c r="NJ242" s="1567"/>
      <c r="NK242" s="1568"/>
      <c r="NL242" s="1871"/>
      <c r="NM242" s="208">
        <v>4500</v>
      </c>
      <c r="NN242" s="83"/>
      <c r="NO242" s="1022"/>
      <c r="NP242" s="1568"/>
      <c r="NQ242" s="1871"/>
      <c r="NR242" s="208">
        <v>4500</v>
      </c>
      <c r="NS242" s="83"/>
      <c r="NT242" s="209"/>
      <c r="NU242" s="208"/>
      <c r="NV242" s="208"/>
      <c r="NW242" s="208">
        <v>4500</v>
      </c>
      <c r="NX242" s="114"/>
      <c r="NY242" s="1868"/>
      <c r="NZ242" s="1575"/>
      <c r="OA242" s="1575"/>
      <c r="OB242" s="208">
        <v>4500</v>
      </c>
      <c r="OC242" s="83"/>
      <c r="OD242" s="1022"/>
      <c r="OE242" s="1568"/>
      <c r="OF242" s="1568"/>
      <c r="OG242" s="358">
        <f t="shared" si="876"/>
        <v>52500</v>
      </c>
      <c r="OH242" s="1872"/>
      <c r="OI242" s="968"/>
      <c r="OJ242" s="2186"/>
      <c r="OK242" s="2186"/>
      <c r="OL242" s="2186"/>
      <c r="OM242" s="1869"/>
      <c r="ON242" s="968"/>
      <c r="OO242" s="2186"/>
      <c r="OP242" s="2186"/>
      <c r="OQ242" s="2186"/>
      <c r="OR242" s="1869"/>
      <c r="OS242" s="1022"/>
      <c r="OT242" s="1568"/>
      <c r="OU242" s="1568"/>
      <c r="OV242" s="1568"/>
      <c r="OW242" s="220"/>
      <c r="OX242" s="1022"/>
      <c r="OY242" s="1568"/>
      <c r="OZ242" s="1568"/>
      <c r="PA242" s="1568"/>
      <c r="PB242" s="220"/>
      <c r="PD242" s="1567"/>
      <c r="PE242" s="1568"/>
      <c r="PF242" s="1568"/>
      <c r="PG242" s="358">
        <v>4000</v>
      </c>
      <c r="PH242" s="2944"/>
      <c r="PI242" s="1022"/>
      <c r="PJ242" s="1568"/>
      <c r="PK242" s="1568"/>
      <c r="PL242" s="3234">
        <v>4000</v>
      </c>
      <c r="PM242" s="3194"/>
      <c r="PN242" s="1567"/>
      <c r="PO242" s="1568"/>
      <c r="PP242" s="1568"/>
      <c r="PQ242" s="3234">
        <v>0</v>
      </c>
      <c r="PR242" s="2674"/>
      <c r="PS242" s="3219"/>
      <c r="PT242" s="1568"/>
      <c r="PU242" s="1568"/>
      <c r="PV242" s="3234">
        <v>4000</v>
      </c>
      <c r="PW242" s="2674"/>
      <c r="PX242" s="3221"/>
      <c r="PY242" s="358"/>
      <c r="PZ242" s="358"/>
      <c r="QA242" s="359">
        <v>4000</v>
      </c>
      <c r="QB242" s="114"/>
      <c r="QC242" s="405"/>
      <c r="QD242" s="1575"/>
      <c r="QE242" s="1575"/>
      <c r="QF242" s="208">
        <v>4500</v>
      </c>
      <c r="QG242" s="83"/>
      <c r="QH242" s="405"/>
      <c r="QI242" s="1575"/>
      <c r="QJ242" s="1575"/>
      <c r="QK242" s="3241">
        <v>4500</v>
      </c>
      <c r="QL242" s="83"/>
      <c r="QM242" s="405"/>
      <c r="QN242" s="1575"/>
      <c r="QO242" s="1575"/>
      <c r="QP242" s="208">
        <v>4500</v>
      </c>
      <c r="QQ242" s="83"/>
      <c r="QR242" s="1567"/>
      <c r="QS242" s="1568"/>
      <c r="QT242" s="1871"/>
      <c r="QU242" s="208">
        <v>4500</v>
      </c>
      <c r="QV242" s="222"/>
      <c r="QW242" s="1022"/>
      <c r="QX242" s="1568"/>
      <c r="QY242" s="1871"/>
      <c r="QZ242" s="208">
        <v>4500</v>
      </c>
      <c r="RA242" s="83"/>
      <c r="RB242" s="209"/>
      <c r="RC242" s="208"/>
      <c r="RD242" s="208"/>
      <c r="RE242" s="208">
        <v>4500</v>
      </c>
      <c r="RF242" s="114"/>
      <c r="RG242" s="405"/>
      <c r="RH242" s="1575"/>
      <c r="RI242" s="1575"/>
      <c r="RJ242" s="1575">
        <v>4500</v>
      </c>
      <c r="RK242" s="114"/>
      <c r="RL242" s="1022"/>
      <c r="RM242" s="1568"/>
      <c r="RN242" s="1568"/>
      <c r="RO242" s="1568">
        <f t="shared" si="877"/>
        <v>47500</v>
      </c>
      <c r="RP242" s="1872"/>
      <c r="RQ242" s="968"/>
      <c r="RR242" s="2186"/>
      <c r="RS242" s="2186"/>
      <c r="RT242" s="3227">
        <f t="shared" si="881"/>
        <v>4000</v>
      </c>
      <c r="RU242" s="1869"/>
      <c r="RV242" s="968"/>
      <c r="RW242" s="2186"/>
      <c r="RX242" s="2186"/>
      <c r="RY242" s="3223">
        <f t="shared" si="878"/>
        <v>13500</v>
      </c>
      <c r="RZ242" s="1869"/>
      <c r="SA242" s="1022"/>
      <c r="SB242" s="1568"/>
      <c r="SC242" s="1568"/>
      <c r="SD242" s="3223">
        <f t="shared" si="879"/>
        <v>13500</v>
      </c>
      <c r="SE242" s="220"/>
      <c r="SF242" s="1022"/>
      <c r="SG242" s="1568"/>
      <c r="SH242" s="1568"/>
      <c r="SI242" s="358">
        <f t="shared" si="882"/>
        <v>13500</v>
      </c>
      <c r="SJ242" s="220"/>
      <c r="SL242" s="1567"/>
      <c r="SM242" s="1568"/>
      <c r="SN242" s="1568"/>
      <c r="SO242" s="137">
        <v>4500</v>
      </c>
      <c r="SP242" s="2944"/>
      <c r="SQ242" s="1022"/>
      <c r="SR242" s="1568"/>
      <c r="SS242" s="1568"/>
      <c r="ST242" s="3234">
        <v>4500</v>
      </c>
      <c r="SU242" s="3194"/>
      <c r="SV242" s="1857"/>
      <c r="SW242" s="358"/>
      <c r="SX242" s="358"/>
      <c r="SY242" s="359">
        <v>4500</v>
      </c>
      <c r="SZ242" s="2563"/>
      <c r="TA242" s="3221"/>
      <c r="TB242" s="358"/>
      <c r="TC242" s="358"/>
      <c r="TD242" s="3234">
        <v>4500</v>
      </c>
      <c r="TE242" s="2563"/>
      <c r="TF242" s="3221"/>
      <c r="TG242" s="358"/>
      <c r="TH242" s="358"/>
      <c r="TI242" s="358">
        <v>4500</v>
      </c>
      <c r="TJ242" s="114"/>
      <c r="TK242" s="405"/>
      <c r="TL242" s="1575"/>
      <c r="TM242" s="1575"/>
      <c r="TN242" s="358">
        <v>4500</v>
      </c>
      <c r="TO242" s="83"/>
      <c r="TP242" s="4506"/>
      <c r="TQ242" s="1575"/>
      <c r="TR242" s="1575"/>
      <c r="TS242" s="208">
        <v>4500</v>
      </c>
      <c r="TT242" s="83"/>
      <c r="TU242" s="4506"/>
      <c r="TV242" s="1575"/>
      <c r="TW242" s="1575"/>
      <c r="TX242" s="1575">
        <v>4500</v>
      </c>
      <c r="TY242" s="83"/>
      <c r="TZ242" s="1567"/>
      <c r="UA242" s="1568"/>
      <c r="UB242" s="1871"/>
      <c r="UC242" s="1575">
        <v>4500</v>
      </c>
      <c r="UD242" s="222"/>
      <c r="UE242" s="1022"/>
      <c r="UF242" s="1568"/>
      <c r="UG242" s="1871"/>
      <c r="UH242" s="1575">
        <v>4500</v>
      </c>
      <c r="UI242" s="83"/>
      <c r="UJ242" s="209"/>
      <c r="UK242" s="208"/>
      <c r="UL242" s="208"/>
      <c r="UM242" s="359">
        <v>0</v>
      </c>
      <c r="UN242" s="114"/>
      <c r="UO242" s="405"/>
      <c r="UP242" s="1575"/>
      <c r="UQ242" s="1575"/>
      <c r="UR242" s="1575">
        <v>0</v>
      </c>
      <c r="US242" s="114"/>
      <c r="UT242" s="1868"/>
      <c r="UU242" s="1575"/>
      <c r="UV242" s="1575"/>
      <c r="UW242" s="208">
        <f t="shared" si="883"/>
        <v>45000</v>
      </c>
      <c r="UX242" s="83"/>
      <c r="UY242" s="968"/>
      <c r="UZ242" s="2186"/>
      <c r="VA242" s="2186"/>
      <c r="VB242" s="3222">
        <f t="shared" si="884"/>
        <v>13500</v>
      </c>
      <c r="VC242" s="1869"/>
      <c r="VD242" s="968"/>
      <c r="VE242" s="2186"/>
      <c r="VF242" s="2186"/>
      <c r="VG242" s="2186"/>
      <c r="VH242" s="1869"/>
      <c r="VI242" s="1022"/>
      <c r="VJ242" s="1568"/>
      <c r="VK242" s="1568"/>
      <c r="VL242" s="1568"/>
      <c r="VM242" s="220"/>
      <c r="VN242" s="1022"/>
      <c r="VO242" s="1568"/>
      <c r="VP242" s="1568"/>
      <c r="VQ242" s="1568"/>
      <c r="VR242" s="220"/>
    </row>
    <row r="243" spans="1:590" s="453" customFormat="1" ht="13.45" x14ac:dyDescent="0.3">
      <c r="A243" s="2616"/>
      <c r="B243" s="3169"/>
      <c r="C243" s="3232" t="s">
        <v>897</v>
      </c>
      <c r="D243" s="3171"/>
      <c r="E243" s="3172"/>
      <c r="F243" s="3172"/>
      <c r="G243" s="3173"/>
      <c r="H243" s="3174"/>
      <c r="I243" s="3175"/>
      <c r="J243" s="3175"/>
      <c r="K243" s="3175"/>
      <c r="L243" s="3176"/>
      <c r="M243" s="3177"/>
      <c r="N243" s="3175"/>
      <c r="O243" s="3178"/>
      <c r="P243" s="3179"/>
      <c r="Q243" s="3176"/>
      <c r="R243" s="3177"/>
      <c r="S243" s="3175"/>
      <c r="T243" s="3175"/>
      <c r="U243" s="3175"/>
      <c r="V243" s="3176"/>
      <c r="W243" s="3177"/>
      <c r="X243" s="3175"/>
      <c r="Y243" s="3175"/>
      <c r="Z243" s="3175"/>
      <c r="AA243" s="3180"/>
      <c r="AB243" s="3177"/>
      <c r="AC243" s="3175"/>
      <c r="AD243" s="3175"/>
      <c r="AE243" s="3175"/>
      <c r="AF243" s="3180"/>
      <c r="AG243" s="3175"/>
      <c r="AH243" s="3175"/>
      <c r="AI243" s="3175"/>
      <c r="AJ243" s="3175"/>
      <c r="AK243" s="3176"/>
      <c r="AL243" s="3181"/>
      <c r="AM243" s="3181"/>
      <c r="AN243" s="3181"/>
      <c r="AO243" s="3175"/>
      <c r="AP243" s="3182"/>
      <c r="AQ243" s="3175"/>
      <c r="AR243" s="3175"/>
      <c r="AS243" s="3175"/>
      <c r="AT243" s="3175"/>
      <c r="AU243" s="3176"/>
      <c r="AV243" s="3184"/>
      <c r="AW243" s="3175"/>
      <c r="AX243" s="3175"/>
      <c r="AY243" s="3175"/>
      <c r="AZ243" s="3180"/>
      <c r="BA243" s="3184"/>
      <c r="BB243" s="3175"/>
      <c r="BC243" s="3175"/>
      <c r="BD243" s="3175"/>
      <c r="BE243" s="3180"/>
      <c r="BF243" s="3185"/>
      <c r="BG243" s="3181"/>
      <c r="BH243" s="3175"/>
      <c r="BI243" s="3175"/>
      <c r="BJ243" s="3186"/>
      <c r="BK243" s="3184"/>
      <c r="BL243" s="3175"/>
      <c r="BM243" s="3175"/>
      <c r="BN243" s="3175"/>
      <c r="BO243" s="3180"/>
      <c r="BP243" s="3175"/>
      <c r="BQ243" s="3175"/>
      <c r="BR243" s="3175"/>
      <c r="BS243" s="3175"/>
      <c r="BT243" s="3175"/>
      <c r="BU243" s="3175"/>
      <c r="BV243" s="3175"/>
      <c r="BW243" s="3176"/>
      <c r="BX243" s="3175"/>
      <c r="BY243" s="3175"/>
      <c r="BZ243" s="3175"/>
      <c r="CA243" s="3175"/>
      <c r="CB243" s="3175"/>
      <c r="CC243" s="3175"/>
      <c r="CD243" s="3175"/>
      <c r="CE243" s="3175"/>
      <c r="CF243" s="3175"/>
      <c r="CG243" s="3175"/>
      <c r="CH243" s="3175"/>
      <c r="CI243" s="3175"/>
      <c r="CJ243" s="3177"/>
      <c r="CK243" s="3175"/>
      <c r="CL243" s="3175"/>
      <c r="CM243" s="3175"/>
      <c r="CN243" s="3175"/>
      <c r="CO243" s="3177"/>
      <c r="CP243" s="3175"/>
      <c r="CQ243" s="3175"/>
      <c r="CR243" s="3175"/>
      <c r="CS243" s="3175"/>
      <c r="CT243" s="3177"/>
      <c r="CU243" s="3175"/>
      <c r="CV243" s="3175"/>
      <c r="CW243" s="3175"/>
      <c r="CX243" s="3175"/>
      <c r="CY243" s="3177"/>
      <c r="CZ243" s="3175"/>
      <c r="DA243" s="3175"/>
      <c r="DB243" s="3175"/>
      <c r="DC243" s="3175"/>
      <c r="DD243" s="3175"/>
      <c r="DE243" s="3175"/>
      <c r="DF243" s="3175"/>
      <c r="DG243" s="3175"/>
      <c r="DH243" s="3177"/>
      <c r="DI243" s="3177"/>
      <c r="DJ243" s="3175"/>
      <c r="DK243" s="3175"/>
      <c r="DL243" s="3175"/>
      <c r="DM243" s="3177"/>
      <c r="DN243" s="3177"/>
      <c r="DO243" s="3175"/>
      <c r="DP243" s="3175"/>
      <c r="DQ243" s="3175"/>
      <c r="DR243" s="3177"/>
      <c r="DS243" s="3177"/>
      <c r="DT243" s="3175"/>
      <c r="DU243" s="3175"/>
      <c r="DV243" s="3175"/>
      <c r="DW243" s="3175"/>
      <c r="DX243" s="3177"/>
      <c r="DY243" s="3175"/>
      <c r="DZ243" s="3175"/>
      <c r="EA243" s="3175"/>
      <c r="EB243" s="3180"/>
      <c r="EC243" s="3177"/>
      <c r="ED243" s="3175"/>
      <c r="EE243" s="3175"/>
      <c r="EF243" s="3175"/>
      <c r="EG243" s="3177"/>
      <c r="EH243" s="3175"/>
      <c r="EI243" s="3175"/>
      <c r="EJ243" s="3175"/>
      <c r="EK243" s="3175"/>
      <c r="EL243" s="3175"/>
      <c r="EM243" s="3228"/>
      <c r="EN243" s="1719"/>
      <c r="EO243" s="1719"/>
      <c r="EP243" s="1719"/>
      <c r="EQ243" s="1719"/>
      <c r="ER243" s="3175"/>
      <c r="ES243" s="3175"/>
      <c r="ET243" s="3175"/>
      <c r="EU243" s="3175"/>
      <c r="EV243" s="3175"/>
      <c r="EW243" s="3177"/>
      <c r="EX243" s="3175"/>
      <c r="EY243" s="3175"/>
      <c r="EZ243" s="3175"/>
      <c r="FA243" s="3175"/>
      <c r="FB243" s="3175"/>
      <c r="FC243" s="3175"/>
      <c r="FD243" s="3175"/>
      <c r="FE243" s="3175"/>
      <c r="FF243" s="3175"/>
      <c r="FG243" s="3175"/>
      <c r="FH243" s="3175"/>
      <c r="FI243" s="3175"/>
      <c r="FJ243" s="3175"/>
      <c r="FK243" s="3175"/>
      <c r="FL243" s="3175"/>
      <c r="FM243" s="3175"/>
      <c r="FN243" s="3177"/>
      <c r="FO243" s="3175"/>
      <c r="FP243" s="3175"/>
      <c r="FQ243" s="1719">
        <v>0</v>
      </c>
      <c r="FR243" s="3187"/>
      <c r="FS243" s="3174"/>
      <c r="FT243" s="3175"/>
      <c r="FU243" s="3175"/>
      <c r="FV243" s="3235">
        <f>(49063)*10%</f>
        <v>4906.3</v>
      </c>
      <c r="FW243" s="3236"/>
      <c r="FX243" s="3237"/>
      <c r="FY243" s="1719"/>
      <c r="FZ243" s="1719"/>
      <c r="GA243" s="1719">
        <v>0</v>
      </c>
      <c r="GB243" s="3190"/>
      <c r="GC243" s="3191"/>
      <c r="GD243" s="1936"/>
      <c r="GE243" s="1936"/>
      <c r="GF243" s="1936">
        <v>0</v>
      </c>
      <c r="GG243" s="2730"/>
      <c r="GH243" s="1149"/>
      <c r="GI243" s="264"/>
      <c r="GJ243" s="264"/>
      <c r="GK243" s="3238">
        <v>0</v>
      </c>
      <c r="GL243" s="1222"/>
      <c r="GM243" s="1096"/>
      <c r="GN243" s="264"/>
      <c r="GO243" s="264"/>
      <c r="GP243" s="3238">
        <v>0</v>
      </c>
      <c r="GQ243" s="972"/>
      <c r="GR243" s="1083"/>
      <c r="GS243" s="265"/>
      <c r="GT243" s="265"/>
      <c r="GU243" s="265">
        <v>0</v>
      </c>
      <c r="GV243" s="3229"/>
      <c r="GW243" s="1083"/>
      <c r="GX243" s="265"/>
      <c r="GY243" s="265"/>
      <c r="GZ243" s="265">
        <v>0</v>
      </c>
      <c r="HA243" s="3229"/>
      <c r="HB243" s="1083"/>
      <c r="HC243" s="265"/>
      <c r="HD243" s="265"/>
      <c r="HE243" s="265">
        <v>0</v>
      </c>
      <c r="HF243" s="3229"/>
      <c r="HG243" s="1083"/>
      <c r="HH243" s="265"/>
      <c r="HI243" s="265"/>
      <c r="HJ243" s="265">
        <v>0</v>
      </c>
      <c r="HK243" s="3229"/>
      <c r="HL243" s="1083"/>
      <c r="HM243" s="265"/>
      <c r="HN243" s="265"/>
      <c r="HO243" s="265">
        <v>6520</v>
      </c>
      <c r="HP243" s="3229"/>
      <c r="HQ243" s="357"/>
      <c r="HR243" s="358"/>
      <c r="HS243" s="358"/>
      <c r="HT243" s="358">
        <v>8250</v>
      </c>
      <c r="HU243" s="2773"/>
      <c r="HV243" s="1022"/>
      <c r="HW243" s="1568"/>
      <c r="HX243" s="1568"/>
      <c r="HY243" s="1568">
        <f t="shared" si="875"/>
        <v>19676.3</v>
      </c>
      <c r="HZ243" s="2673"/>
      <c r="IA243" s="3195"/>
      <c r="IB243" s="3196"/>
      <c r="IC243" s="3196">
        <v>0</v>
      </c>
      <c r="ID243" s="3196"/>
      <c r="IE243" s="3191"/>
      <c r="IF243" s="1936"/>
      <c r="IG243" s="2733">
        <v>0</v>
      </c>
      <c r="IH243" s="3192"/>
      <c r="II243" s="3191"/>
      <c r="IJ243" s="1936"/>
      <c r="IK243" s="2733">
        <v>0</v>
      </c>
      <c r="IL243" s="3192"/>
      <c r="IM243" s="3191"/>
      <c r="IN243" s="1936"/>
      <c r="IO243" s="2733">
        <v>0</v>
      </c>
      <c r="IP243" s="3192"/>
      <c r="IR243" s="3200"/>
      <c r="IS243" s="3196"/>
      <c r="IT243" s="3196"/>
      <c r="IU243" s="1756">
        <v>25000</v>
      </c>
      <c r="IV243" s="3201"/>
      <c r="IW243" s="3195"/>
      <c r="IX243" s="3196"/>
      <c r="IY243" s="3196"/>
      <c r="IZ243" s="1756">
        <v>25000</v>
      </c>
      <c r="JA243" s="3239"/>
      <c r="JB243" s="3240"/>
      <c r="JC243" s="1756"/>
      <c r="JD243" s="1756"/>
      <c r="JE243" s="1756">
        <v>25000</v>
      </c>
      <c r="JF243" s="3204"/>
      <c r="JG243" s="3205"/>
      <c r="JH243" s="2186"/>
      <c r="JI243" s="2186"/>
      <c r="JJ243" s="1096">
        <v>25000</v>
      </c>
      <c r="JK243" s="976"/>
      <c r="JL243" s="2011"/>
      <c r="JM243" s="264"/>
      <c r="JN243" s="264"/>
      <c r="JO243" s="1096">
        <v>26300</v>
      </c>
      <c r="JP243" s="1222"/>
      <c r="JQ243" s="3230"/>
      <c r="JR243" s="264"/>
      <c r="JS243" s="264"/>
      <c r="JT243" s="1096">
        <v>26300</v>
      </c>
      <c r="JU243" s="1222"/>
      <c r="JV243" s="3231"/>
      <c r="JW243" s="265"/>
      <c r="JX243" s="265"/>
      <c r="JY243" s="1096">
        <v>28500</v>
      </c>
      <c r="JZ243" s="3229"/>
      <c r="KA243" s="1083"/>
      <c r="KB243" s="265"/>
      <c r="KC243" s="265"/>
      <c r="KD243" s="265">
        <v>24500</v>
      </c>
      <c r="KE243" s="3229"/>
      <c r="KF243" s="2876"/>
      <c r="KG243" s="265"/>
      <c r="KH243" s="265"/>
      <c r="KI243" s="265">
        <v>25000</v>
      </c>
      <c r="KJ243" s="3229"/>
      <c r="KK243" s="3210"/>
      <c r="KL243" s="3211"/>
      <c r="KM243" s="3211"/>
      <c r="KN243" s="265">
        <v>25000</v>
      </c>
      <c r="KO243" s="3212"/>
      <c r="KP243" s="1083"/>
      <c r="KQ243" s="265"/>
      <c r="KR243" s="265"/>
      <c r="KS243" s="265">
        <v>25000</v>
      </c>
      <c r="KT243" s="3229"/>
      <c r="KU243" s="357"/>
      <c r="KV243" s="358"/>
      <c r="KW243" s="358"/>
      <c r="KX243" s="358">
        <v>25000</v>
      </c>
      <c r="KY243" s="2773"/>
      <c r="KZ243" s="1022"/>
      <c r="LA243" s="1568"/>
      <c r="LB243" s="1568"/>
      <c r="LC243" s="358">
        <f t="shared" si="880"/>
        <v>305600</v>
      </c>
      <c r="LD243" s="2673"/>
      <c r="LE243" s="3171"/>
      <c r="LF243" s="3196"/>
      <c r="LG243" s="3196">
        <v>0</v>
      </c>
      <c r="LH243" s="3202"/>
      <c r="LI243" s="3214"/>
      <c r="LJ243" s="1936"/>
      <c r="LK243" s="2733">
        <v>0</v>
      </c>
      <c r="LL243" s="3192"/>
      <c r="LM243" s="3215"/>
      <c r="LN243" s="1936"/>
      <c r="LO243" s="2733">
        <v>0</v>
      </c>
      <c r="LP243" s="3192"/>
      <c r="LQ243" s="3191"/>
      <c r="LR243" s="1936"/>
      <c r="LS243" s="2733">
        <v>0</v>
      </c>
      <c r="LT243" s="3192"/>
      <c r="LV243" s="1567"/>
      <c r="LW243" s="1568"/>
      <c r="LX243" s="1568"/>
      <c r="LY243" s="3234">
        <v>28500</v>
      </c>
      <c r="LZ243" s="3217"/>
      <c r="MA243" s="1022"/>
      <c r="MB243" s="1568"/>
      <c r="MC243" s="1568"/>
      <c r="MD243" s="3234">
        <v>32000</v>
      </c>
      <c r="ME243" s="3194"/>
      <c r="MF243" s="1567"/>
      <c r="MG243" s="1568"/>
      <c r="MH243" s="1568"/>
      <c r="MI243" s="3234">
        <v>32000</v>
      </c>
      <c r="MJ243" s="2674"/>
      <c r="MK243" s="3219"/>
      <c r="ML243" s="1568"/>
      <c r="MM243" s="1568"/>
      <c r="MN243" s="3234">
        <v>38000</v>
      </c>
      <c r="MO243" s="2674"/>
      <c r="MP243" s="3219"/>
      <c r="MQ243" s="1568"/>
      <c r="MR243" s="1568"/>
      <c r="MS243" s="359">
        <v>36500</v>
      </c>
      <c r="MT243" s="83"/>
      <c r="MU243" s="405"/>
      <c r="MV243" s="1575"/>
      <c r="MW243" s="1575"/>
      <c r="MX243" s="208">
        <v>35500</v>
      </c>
      <c r="MY243" s="83"/>
      <c r="MZ243" s="405"/>
      <c r="NA243" s="1575"/>
      <c r="NB243" s="1575"/>
      <c r="NC243" s="208">
        <v>36000</v>
      </c>
      <c r="ND243" s="83"/>
      <c r="NE243" s="405"/>
      <c r="NF243" s="1575"/>
      <c r="NG243" s="1575"/>
      <c r="NH243" s="208">
        <v>36000</v>
      </c>
      <c r="NI243" s="83"/>
      <c r="NJ243" s="1567"/>
      <c r="NK243" s="1568"/>
      <c r="NL243" s="1871"/>
      <c r="NM243" s="208">
        <v>36000</v>
      </c>
      <c r="NN243" s="83"/>
      <c r="NO243" s="1022"/>
      <c r="NP243" s="1568"/>
      <c r="NQ243" s="1871"/>
      <c r="NR243" s="208">
        <v>38000</v>
      </c>
      <c r="NS243" s="83"/>
      <c r="NT243" s="209"/>
      <c r="NU243" s="208"/>
      <c r="NV243" s="208"/>
      <c r="NW243" s="208">
        <v>36000</v>
      </c>
      <c r="NX243" s="114"/>
      <c r="NY243" s="1868"/>
      <c r="NZ243" s="1575"/>
      <c r="OA243" s="1575"/>
      <c r="OB243" s="208">
        <v>36000</v>
      </c>
      <c r="OC243" s="83"/>
      <c r="OD243" s="1022"/>
      <c r="OE243" s="1568"/>
      <c r="OF243" s="1568"/>
      <c r="OG243" s="358">
        <f t="shared" si="876"/>
        <v>420500</v>
      </c>
      <c r="OH243" s="1872"/>
      <c r="OI243" s="968"/>
      <c r="OJ243" s="2186"/>
      <c r="OK243" s="2186"/>
      <c r="OL243" s="2186"/>
      <c r="OM243" s="1869"/>
      <c r="ON243" s="968"/>
      <c r="OO243" s="2186"/>
      <c r="OP243" s="2186"/>
      <c r="OQ243" s="2186"/>
      <c r="OR243" s="1869"/>
      <c r="OS243" s="1022"/>
      <c r="OT243" s="1568"/>
      <c r="OU243" s="1568"/>
      <c r="OV243" s="1568"/>
      <c r="OW243" s="220"/>
      <c r="OX243" s="1022"/>
      <c r="OY243" s="1568"/>
      <c r="OZ243" s="1568"/>
      <c r="PA243" s="1568"/>
      <c r="PB243" s="220"/>
      <c r="PD243" s="1567"/>
      <c r="PE243" s="1568"/>
      <c r="PF243" s="1568"/>
      <c r="PG243" s="358">
        <f>(83329*2)*15%</f>
        <v>24998.7</v>
      </c>
      <c r="PH243" s="2944"/>
      <c r="PI243" s="1022"/>
      <c r="PJ243" s="1568"/>
      <c r="PK243" s="1568"/>
      <c r="PL243" s="358">
        <f>(83329)*15%</f>
        <v>12499.35</v>
      </c>
      <c r="PM243" s="3194"/>
      <c r="PN243" s="1567"/>
      <c r="PO243" s="1568"/>
      <c r="PP243" s="1568"/>
      <c r="PQ243" s="3234">
        <v>32000</v>
      </c>
      <c r="PR243" s="2674"/>
      <c r="PS243" s="3219"/>
      <c r="PT243" s="1568"/>
      <c r="PU243" s="1568"/>
      <c r="PV243" s="3234">
        <v>28000</v>
      </c>
      <c r="PW243" s="2674"/>
      <c r="PX243" s="3221"/>
      <c r="PY243" s="358"/>
      <c r="PZ243" s="358"/>
      <c r="QA243" s="3234">
        <v>28000</v>
      </c>
      <c r="QB243" s="114"/>
      <c r="QC243" s="405"/>
      <c r="QD243" s="1575"/>
      <c r="QE243" s="1575"/>
      <c r="QF243" s="208">
        <v>35500</v>
      </c>
      <c r="QG243" s="83"/>
      <c r="QH243" s="405"/>
      <c r="QI243" s="1575"/>
      <c r="QJ243" s="1575"/>
      <c r="QK243" s="3241">
        <v>36000</v>
      </c>
      <c r="QL243" s="83"/>
      <c r="QM243" s="405"/>
      <c r="QN243" s="1575"/>
      <c r="QO243" s="1575"/>
      <c r="QP243" s="208">
        <v>36000</v>
      </c>
      <c r="QQ243" s="83"/>
      <c r="QR243" s="1567"/>
      <c r="QS243" s="1568"/>
      <c r="QT243" s="1871"/>
      <c r="QU243" s="208">
        <v>36000</v>
      </c>
      <c r="QV243" s="222"/>
      <c r="QW243" s="1022"/>
      <c r="QX243" s="1568"/>
      <c r="QY243" s="1871"/>
      <c r="QZ243" s="208">
        <v>38000</v>
      </c>
      <c r="RA243" s="83"/>
      <c r="RB243" s="209"/>
      <c r="RC243" s="208"/>
      <c r="RD243" s="208"/>
      <c r="RE243" s="208">
        <v>38000</v>
      </c>
      <c r="RF243" s="114"/>
      <c r="RG243" s="405"/>
      <c r="RH243" s="1575"/>
      <c r="RI243" s="1575"/>
      <c r="RJ243" s="1575">
        <v>38000</v>
      </c>
      <c r="RK243" s="114"/>
      <c r="RL243" s="1022"/>
      <c r="RM243" s="1568"/>
      <c r="RN243" s="1568"/>
      <c r="RO243" s="1568">
        <f t="shared" si="877"/>
        <v>382998.05</v>
      </c>
      <c r="RP243" s="1872"/>
      <c r="RQ243" s="968"/>
      <c r="RR243" s="2186"/>
      <c r="RS243" s="2186"/>
      <c r="RT243" s="3227">
        <f t="shared" si="881"/>
        <v>44499.35</v>
      </c>
      <c r="RU243" s="1869"/>
      <c r="RV243" s="968"/>
      <c r="RW243" s="2186"/>
      <c r="RX243" s="2186"/>
      <c r="RY243" s="3223">
        <f t="shared" si="878"/>
        <v>107500</v>
      </c>
      <c r="RZ243" s="1869"/>
      <c r="SA243" s="1022"/>
      <c r="SB243" s="1568"/>
      <c r="SC243" s="1568"/>
      <c r="SD243" s="3223">
        <f t="shared" si="879"/>
        <v>108000</v>
      </c>
      <c r="SE243" s="220"/>
      <c r="SF243" s="1022"/>
      <c r="SG243" s="1568"/>
      <c r="SH243" s="1568"/>
      <c r="SI243" s="358">
        <f t="shared" si="882"/>
        <v>114000</v>
      </c>
      <c r="SJ243" s="220"/>
      <c r="SL243" s="1567"/>
      <c r="SM243" s="1568"/>
      <c r="SN243" s="1568"/>
      <c r="SO243" s="137">
        <v>38000</v>
      </c>
      <c r="SP243" s="2944"/>
      <c r="SQ243" s="1022"/>
      <c r="SR243" s="1568"/>
      <c r="SS243" s="1568"/>
      <c r="ST243" s="3234">
        <v>38000</v>
      </c>
      <c r="SU243" s="3194"/>
      <c r="SV243" s="1857"/>
      <c r="SW243" s="358"/>
      <c r="SX243" s="358"/>
      <c r="SY243" s="359">
        <v>32000</v>
      </c>
      <c r="SZ243" s="2563"/>
      <c r="TA243" s="3221"/>
      <c r="TB243" s="358"/>
      <c r="TC243" s="358"/>
      <c r="TD243" s="3234">
        <v>32000</v>
      </c>
      <c r="TE243" s="2563"/>
      <c r="TF243" s="3221"/>
      <c r="TG243" s="358"/>
      <c r="TH243" s="358"/>
      <c r="TI243" s="358">
        <v>32000</v>
      </c>
      <c r="TJ243" s="114"/>
      <c r="TK243" s="405"/>
      <c r="TL243" s="1575"/>
      <c r="TM243" s="1575"/>
      <c r="TN243" s="358">
        <v>32000</v>
      </c>
      <c r="TO243" s="83"/>
      <c r="TP243" s="4506"/>
      <c r="TQ243" s="1575"/>
      <c r="TR243" s="1575"/>
      <c r="TS243" s="358">
        <v>30000</v>
      </c>
      <c r="TT243" s="83"/>
      <c r="TU243" s="4506"/>
      <c r="TV243" s="1575"/>
      <c r="TW243" s="1575"/>
      <c r="TX243" s="1568">
        <v>30000</v>
      </c>
      <c r="TY243" s="83"/>
      <c r="TZ243" s="1567"/>
      <c r="UA243" s="1568"/>
      <c r="UB243" s="1871"/>
      <c r="UC243" s="1575">
        <f>45000+23000</f>
        <v>68000</v>
      </c>
      <c r="UD243" s="222"/>
      <c r="UE243" s="1022"/>
      <c r="UF243" s="1568"/>
      <c r="UG243" s="1871"/>
      <c r="UH243" s="1575">
        <f>45000+23000</f>
        <v>68000</v>
      </c>
      <c r="UI243" s="83"/>
      <c r="UJ243" s="209"/>
      <c r="UK243" s="208"/>
      <c r="UL243" s="208"/>
      <c r="UM243" s="359">
        <v>0</v>
      </c>
      <c r="UN243" s="114"/>
      <c r="UO243" s="405"/>
      <c r="UP243" s="1575"/>
      <c r="UQ243" s="1575"/>
      <c r="UR243" s="1575">
        <v>0</v>
      </c>
      <c r="US243" s="114"/>
      <c r="UT243" s="1868"/>
      <c r="UU243" s="1575"/>
      <c r="UV243" s="1575"/>
      <c r="UW243" s="208">
        <f t="shared" si="883"/>
        <v>400000</v>
      </c>
      <c r="UX243" s="83"/>
      <c r="UY243" s="968"/>
      <c r="UZ243" s="2186"/>
      <c r="VA243" s="2186"/>
      <c r="VB243" s="3222">
        <f t="shared" si="884"/>
        <v>108000</v>
      </c>
      <c r="VC243" s="1869"/>
      <c r="VD243" s="968"/>
      <c r="VE243" s="2186"/>
      <c r="VF243" s="2186"/>
      <c r="VG243" s="2186"/>
      <c r="VH243" s="1869"/>
      <c r="VI243" s="1022"/>
      <c r="VJ243" s="1568"/>
      <c r="VK243" s="1568"/>
      <c r="VL243" s="1568"/>
      <c r="VM243" s="220"/>
      <c r="VN243" s="1022"/>
      <c r="VO243" s="1568"/>
      <c r="VP243" s="1568"/>
      <c r="VQ243" s="1568"/>
      <c r="VR243" s="220"/>
    </row>
    <row r="244" spans="1:590" s="453" customFormat="1" ht="13.45" x14ac:dyDescent="0.3">
      <c r="A244" s="2616"/>
      <c r="B244" s="3169"/>
      <c r="C244" s="3232" t="s">
        <v>898</v>
      </c>
      <c r="D244" s="3171"/>
      <c r="E244" s="3172"/>
      <c r="F244" s="3172"/>
      <c r="G244" s="3173"/>
      <c r="H244" s="3174"/>
      <c r="I244" s="3175"/>
      <c r="J244" s="3175"/>
      <c r="K244" s="3175"/>
      <c r="L244" s="3176"/>
      <c r="M244" s="3177"/>
      <c r="N244" s="3175"/>
      <c r="O244" s="3178"/>
      <c r="P244" s="3179"/>
      <c r="Q244" s="3176"/>
      <c r="R244" s="3177"/>
      <c r="S244" s="3175"/>
      <c r="T244" s="3175"/>
      <c r="U244" s="3175"/>
      <c r="V244" s="3176"/>
      <c r="W244" s="3177"/>
      <c r="X244" s="3175"/>
      <c r="Y244" s="3175"/>
      <c r="Z244" s="3175"/>
      <c r="AA244" s="3180"/>
      <c r="AB244" s="3177"/>
      <c r="AC244" s="3175"/>
      <c r="AD244" s="3175"/>
      <c r="AE244" s="3175"/>
      <c r="AF244" s="3180"/>
      <c r="AG244" s="3175"/>
      <c r="AH244" s="3175"/>
      <c r="AI244" s="3175"/>
      <c r="AJ244" s="3175"/>
      <c r="AK244" s="3176"/>
      <c r="AL244" s="3181"/>
      <c r="AM244" s="3181"/>
      <c r="AN244" s="3181"/>
      <c r="AO244" s="3175"/>
      <c r="AP244" s="3182"/>
      <c r="AQ244" s="3175"/>
      <c r="AR244" s="3175"/>
      <c r="AS244" s="3175"/>
      <c r="AT244" s="3175"/>
      <c r="AU244" s="3176"/>
      <c r="AV244" s="3184"/>
      <c r="AW244" s="3175"/>
      <c r="AX244" s="3175"/>
      <c r="AY244" s="3175"/>
      <c r="AZ244" s="3180"/>
      <c r="BA244" s="3184"/>
      <c r="BB244" s="3175"/>
      <c r="BC244" s="3175"/>
      <c r="BD244" s="3175"/>
      <c r="BE244" s="3180"/>
      <c r="BF244" s="3185"/>
      <c r="BG244" s="3181"/>
      <c r="BH244" s="3175"/>
      <c r="BI244" s="3175"/>
      <c r="BJ244" s="3186"/>
      <c r="BK244" s="3184"/>
      <c r="BL244" s="3175"/>
      <c r="BM244" s="3175"/>
      <c r="BN244" s="3175"/>
      <c r="BO244" s="3180"/>
      <c r="BP244" s="3175"/>
      <c r="BQ244" s="3175"/>
      <c r="BR244" s="3175"/>
      <c r="BS244" s="3175"/>
      <c r="BT244" s="3175"/>
      <c r="BU244" s="3175"/>
      <c r="BV244" s="3175"/>
      <c r="BW244" s="3176"/>
      <c r="BX244" s="3175"/>
      <c r="BY244" s="3175"/>
      <c r="BZ244" s="3175"/>
      <c r="CA244" s="3175"/>
      <c r="CB244" s="3175"/>
      <c r="CC244" s="3175"/>
      <c r="CD244" s="3175"/>
      <c r="CE244" s="3175"/>
      <c r="CF244" s="3175"/>
      <c r="CG244" s="3175"/>
      <c r="CH244" s="3175"/>
      <c r="CI244" s="3175"/>
      <c r="CJ244" s="3177"/>
      <c r="CK244" s="3175"/>
      <c r="CL244" s="3175"/>
      <c r="CM244" s="3175"/>
      <c r="CN244" s="3175"/>
      <c r="CO244" s="3177"/>
      <c r="CP244" s="3175"/>
      <c r="CQ244" s="3175"/>
      <c r="CR244" s="3175"/>
      <c r="CS244" s="3175"/>
      <c r="CT244" s="3177"/>
      <c r="CU244" s="3175"/>
      <c r="CV244" s="3175"/>
      <c r="CW244" s="3175"/>
      <c r="CX244" s="3175"/>
      <c r="CY244" s="3177"/>
      <c r="CZ244" s="3175"/>
      <c r="DA244" s="3175"/>
      <c r="DB244" s="3175"/>
      <c r="DC244" s="3175"/>
      <c r="DD244" s="3175"/>
      <c r="DE244" s="3175"/>
      <c r="DF244" s="3175"/>
      <c r="DG244" s="3175"/>
      <c r="DH244" s="3177"/>
      <c r="DI244" s="3177"/>
      <c r="DJ244" s="3175"/>
      <c r="DK244" s="3175"/>
      <c r="DL244" s="3175"/>
      <c r="DM244" s="3177"/>
      <c r="DN244" s="3177"/>
      <c r="DO244" s="3175"/>
      <c r="DP244" s="3175"/>
      <c r="DQ244" s="3175"/>
      <c r="DR244" s="3177"/>
      <c r="DS244" s="3177"/>
      <c r="DT244" s="3175"/>
      <c r="DU244" s="3175"/>
      <c r="DV244" s="3175"/>
      <c r="DW244" s="3175"/>
      <c r="DX244" s="3177"/>
      <c r="DY244" s="3175"/>
      <c r="DZ244" s="3175"/>
      <c r="EA244" s="3175"/>
      <c r="EB244" s="3180"/>
      <c r="EC244" s="3177"/>
      <c r="ED244" s="3175"/>
      <c r="EE244" s="3175"/>
      <c r="EF244" s="3175"/>
      <c r="EG244" s="3177"/>
      <c r="EH244" s="3175"/>
      <c r="EI244" s="3175"/>
      <c r="EJ244" s="3175"/>
      <c r="EK244" s="3175"/>
      <c r="EL244" s="3175"/>
      <c r="EM244" s="3228"/>
      <c r="EN244" s="1719"/>
      <c r="EO244" s="1719"/>
      <c r="EP244" s="1719"/>
      <c r="EQ244" s="1719"/>
      <c r="ER244" s="3175"/>
      <c r="ES244" s="3175"/>
      <c r="ET244" s="3175"/>
      <c r="EU244" s="3175"/>
      <c r="EV244" s="3175"/>
      <c r="EW244" s="3177"/>
      <c r="EX244" s="3175"/>
      <c r="EY244" s="3175"/>
      <c r="EZ244" s="3175"/>
      <c r="FA244" s="3175"/>
      <c r="FB244" s="3175"/>
      <c r="FC244" s="3175"/>
      <c r="FD244" s="3175"/>
      <c r="FE244" s="3175"/>
      <c r="FF244" s="3175"/>
      <c r="FG244" s="3175"/>
      <c r="FH244" s="3175"/>
      <c r="FI244" s="3175"/>
      <c r="FJ244" s="3175"/>
      <c r="FK244" s="3175"/>
      <c r="FL244" s="3175"/>
      <c r="FM244" s="3175"/>
      <c r="FN244" s="3177"/>
      <c r="FO244" s="3175"/>
      <c r="FP244" s="3175"/>
      <c r="FQ244" s="1719">
        <v>0</v>
      </c>
      <c r="FR244" s="3187"/>
      <c r="FS244" s="3174"/>
      <c r="FT244" s="3175"/>
      <c r="FU244" s="3175"/>
      <c r="FV244" s="3235">
        <v>0</v>
      </c>
      <c r="FW244" s="3236"/>
      <c r="FX244" s="3237"/>
      <c r="FY244" s="1719"/>
      <c r="FZ244" s="1719"/>
      <c r="GA244" s="1719">
        <f>(55000+13500+29003)*20%</f>
        <v>19500.600000000002</v>
      </c>
      <c r="GB244" s="3190"/>
      <c r="GC244" s="3191"/>
      <c r="GD244" s="1936"/>
      <c r="GE244" s="1936"/>
      <c r="GF244" s="264">
        <f>(55000+24325)*10%</f>
        <v>7932.5</v>
      </c>
      <c r="GG244" s="2730"/>
      <c r="GH244" s="1149"/>
      <c r="GI244" s="264"/>
      <c r="GJ244" s="264"/>
      <c r="GK244" s="3238">
        <f>(55000+34000)*15%</f>
        <v>13350</v>
      </c>
      <c r="GL244" s="1222"/>
      <c r="GM244" s="1096"/>
      <c r="GN244" s="264"/>
      <c r="GO244" s="264"/>
      <c r="GP244" s="264">
        <f>(157274+55000)*15%</f>
        <v>31841.1</v>
      </c>
      <c r="GQ244" s="972"/>
      <c r="GR244" s="1083"/>
      <c r="GS244" s="265"/>
      <c r="GT244" s="265"/>
      <c r="GU244" s="265">
        <f>(147274+55000)*15%</f>
        <v>30341.1</v>
      </c>
      <c r="GV244" s="3229"/>
      <c r="GW244" s="1083"/>
      <c r="GX244" s="265"/>
      <c r="GY244" s="265"/>
      <c r="GZ244" s="265">
        <f>(80274+55000)*15%</f>
        <v>20291.099999999999</v>
      </c>
      <c r="HA244" s="3229"/>
      <c r="HB244" s="1083"/>
      <c r="HC244" s="265"/>
      <c r="HD244" s="265"/>
      <c r="HE244" s="265">
        <f>(80274+55000)*15%</f>
        <v>20291.099999999999</v>
      </c>
      <c r="HF244" s="3229"/>
      <c r="HG244" s="1083"/>
      <c r="HH244" s="265"/>
      <c r="HI244" s="265"/>
      <c r="HJ244" s="265">
        <f>(80274+55000)*15%</f>
        <v>20291.099999999999</v>
      </c>
      <c r="HK244" s="3229"/>
      <c r="HL244" s="1083"/>
      <c r="HM244" s="265"/>
      <c r="HN244" s="265"/>
      <c r="HO244" s="265">
        <f>(82274+55000)*15%</f>
        <v>20591.099999999999</v>
      </c>
      <c r="HP244" s="3229"/>
      <c r="HQ244" s="357"/>
      <c r="HR244" s="358"/>
      <c r="HS244" s="358"/>
      <c r="HT244" s="358">
        <f>(80274+55000)*15%</f>
        <v>20291.099999999999</v>
      </c>
      <c r="HU244" s="2773"/>
      <c r="HV244" s="1022"/>
      <c r="HW244" s="1568"/>
      <c r="HX244" s="1568"/>
      <c r="HY244" s="1568">
        <f t="shared" si="875"/>
        <v>204720.80000000005</v>
      </c>
      <c r="HZ244" s="2673"/>
      <c r="IA244" s="3195"/>
      <c r="IB244" s="3196"/>
      <c r="IC244" s="3196">
        <v>0</v>
      </c>
      <c r="ID244" s="3196"/>
      <c r="IE244" s="3191"/>
      <c r="IF244" s="1936"/>
      <c r="IG244" s="2733">
        <v>0</v>
      </c>
      <c r="IH244" s="3192"/>
      <c r="II244" s="3191"/>
      <c r="IJ244" s="1936"/>
      <c r="IK244" s="2733">
        <v>0</v>
      </c>
      <c r="IL244" s="3192"/>
      <c r="IM244" s="3191"/>
      <c r="IN244" s="1936"/>
      <c r="IO244" s="2733">
        <v>0</v>
      </c>
      <c r="IP244" s="3192"/>
      <c r="IR244" s="3200"/>
      <c r="IS244" s="3196"/>
      <c r="IT244" s="3196"/>
      <c r="IU244" s="1756">
        <f>125000*20%</f>
        <v>25000</v>
      </c>
      <c r="IV244" s="3201"/>
      <c r="IW244" s="3195"/>
      <c r="IX244" s="3196"/>
      <c r="IY244" s="3196"/>
      <c r="IZ244" s="1756">
        <f>125000*20%</f>
        <v>25000</v>
      </c>
      <c r="JA244" s="3239"/>
      <c r="JB244" s="3240"/>
      <c r="JC244" s="1756"/>
      <c r="JD244" s="1756"/>
      <c r="JE244" s="1756">
        <f>125000*20%</f>
        <v>25000</v>
      </c>
      <c r="JF244" s="3204"/>
      <c r="JG244" s="3205"/>
      <c r="JH244" s="2186"/>
      <c r="JI244" s="2186"/>
      <c r="JJ244" s="1096">
        <v>25000</v>
      </c>
      <c r="JK244" s="976"/>
      <c r="JL244" s="2011"/>
      <c r="JM244" s="264"/>
      <c r="JN244" s="264"/>
      <c r="JO244" s="1096">
        <v>24530</v>
      </c>
      <c r="JP244" s="1222"/>
      <c r="JQ244" s="3230"/>
      <c r="JR244" s="264"/>
      <c r="JS244" s="264"/>
      <c r="JT244" s="1096">
        <v>28150</v>
      </c>
      <c r="JU244" s="1222"/>
      <c r="JV244" s="3231"/>
      <c r="JW244" s="265"/>
      <c r="JX244" s="265"/>
      <c r="JY244" s="1096">
        <v>26500</v>
      </c>
      <c r="JZ244" s="3229"/>
      <c r="KA244" s="1083"/>
      <c r="KB244" s="265"/>
      <c r="KC244" s="265"/>
      <c r="KD244" s="265">
        <v>26500</v>
      </c>
      <c r="KE244" s="3229"/>
      <c r="KF244" s="2876"/>
      <c r="KG244" s="265"/>
      <c r="KH244" s="265"/>
      <c r="KI244" s="265">
        <v>26500</v>
      </c>
      <c r="KJ244" s="3229"/>
      <c r="KK244" s="3210"/>
      <c r="KL244" s="3211"/>
      <c r="KM244" s="3211"/>
      <c r="KN244" s="265">
        <v>26500</v>
      </c>
      <c r="KO244" s="3212"/>
      <c r="KP244" s="1083"/>
      <c r="KQ244" s="265"/>
      <c r="KR244" s="265"/>
      <c r="KS244" s="265">
        <v>30000</v>
      </c>
      <c r="KT244" s="3229"/>
      <c r="KU244" s="357"/>
      <c r="KV244" s="358"/>
      <c r="KW244" s="358"/>
      <c r="KX244" s="358">
        <v>30000</v>
      </c>
      <c r="KY244" s="2773"/>
      <c r="KZ244" s="1022"/>
      <c r="LA244" s="1568"/>
      <c r="LB244" s="1568"/>
      <c r="LC244" s="358">
        <f t="shared" si="880"/>
        <v>318680</v>
      </c>
      <c r="LD244" s="2673"/>
      <c r="LE244" s="3171"/>
      <c r="LF244" s="3196"/>
      <c r="LG244" s="3196">
        <v>0</v>
      </c>
      <c r="LH244" s="3202"/>
      <c r="LI244" s="3214"/>
      <c r="LJ244" s="1936"/>
      <c r="LK244" s="2733">
        <v>0</v>
      </c>
      <c r="LL244" s="3192"/>
      <c r="LM244" s="3215"/>
      <c r="LN244" s="1936"/>
      <c r="LO244" s="2733">
        <v>0</v>
      </c>
      <c r="LP244" s="3192"/>
      <c r="LQ244" s="3191"/>
      <c r="LR244" s="1936"/>
      <c r="LS244" s="2733">
        <v>0</v>
      </c>
      <c r="LT244" s="3192"/>
      <c r="LV244" s="1567"/>
      <c r="LW244" s="1568"/>
      <c r="LX244" s="1568"/>
      <c r="LY244" s="3234">
        <v>25000</v>
      </c>
      <c r="LZ244" s="3217"/>
      <c r="MA244" s="1022"/>
      <c r="MB244" s="1568"/>
      <c r="MC244" s="1568"/>
      <c r="MD244" s="3234">
        <v>28000</v>
      </c>
      <c r="ME244" s="3194"/>
      <c r="MF244" s="1567"/>
      <c r="MG244" s="1568"/>
      <c r="MH244" s="1568"/>
      <c r="MI244" s="3234">
        <v>30000</v>
      </c>
      <c r="MJ244" s="2674"/>
      <c r="MK244" s="3219"/>
      <c r="ML244" s="1568"/>
      <c r="MM244" s="1568"/>
      <c r="MN244" s="3234">
        <v>42000</v>
      </c>
      <c r="MO244" s="2674"/>
      <c r="MP244" s="3219"/>
      <c r="MQ244" s="1568"/>
      <c r="MR244" s="1568"/>
      <c r="MS244" s="359">
        <v>40500</v>
      </c>
      <c r="MT244" s="83"/>
      <c r="MU244" s="405"/>
      <c r="MV244" s="1575"/>
      <c r="MW244" s="1575"/>
      <c r="MX244" s="208">
        <v>42500</v>
      </c>
      <c r="MY244" s="83"/>
      <c r="MZ244" s="405"/>
      <c r="NA244" s="1575"/>
      <c r="NB244" s="1575"/>
      <c r="NC244" s="208">
        <v>42500</v>
      </c>
      <c r="ND244" s="83"/>
      <c r="NE244" s="405"/>
      <c r="NF244" s="1575"/>
      <c r="NG244" s="1575"/>
      <c r="NH244" s="208">
        <v>42500</v>
      </c>
      <c r="NI244" s="83"/>
      <c r="NJ244" s="1567"/>
      <c r="NK244" s="1568"/>
      <c r="NL244" s="1871"/>
      <c r="NM244" s="208">
        <v>42500</v>
      </c>
      <c r="NN244" s="83"/>
      <c r="NO244" s="1022"/>
      <c r="NP244" s="1568"/>
      <c r="NQ244" s="1871"/>
      <c r="NR244" s="208">
        <v>40000</v>
      </c>
      <c r="NS244" s="83"/>
      <c r="NT244" s="209"/>
      <c r="NU244" s="208"/>
      <c r="NV244" s="208"/>
      <c r="NW244" s="208">
        <v>35000</v>
      </c>
      <c r="NX244" s="114"/>
      <c r="NY244" s="1868"/>
      <c r="NZ244" s="1575"/>
      <c r="OA244" s="1575"/>
      <c r="OB244" s="208">
        <v>35000</v>
      </c>
      <c r="OC244" s="83"/>
      <c r="OD244" s="1022"/>
      <c r="OE244" s="1568"/>
      <c r="OF244" s="1568"/>
      <c r="OG244" s="358">
        <f t="shared" si="876"/>
        <v>445500</v>
      </c>
      <c r="OH244" s="1872"/>
      <c r="OI244" s="968"/>
      <c r="OJ244" s="2186"/>
      <c r="OK244" s="2186"/>
      <c r="OL244" s="2186"/>
      <c r="OM244" s="1869"/>
      <c r="ON244" s="968"/>
      <c r="OO244" s="2186"/>
      <c r="OP244" s="2186"/>
      <c r="OQ244" s="2186"/>
      <c r="OR244" s="1869"/>
      <c r="OS244" s="1022"/>
      <c r="OT244" s="1568"/>
      <c r="OU244" s="1568"/>
      <c r="OV244" s="1568"/>
      <c r="OW244" s="220"/>
      <c r="OX244" s="1022"/>
      <c r="OY244" s="1568"/>
      <c r="OZ244" s="1568"/>
      <c r="PA244" s="1568"/>
      <c r="PB244" s="220"/>
      <c r="PD244" s="1567"/>
      <c r="PE244" s="1568"/>
      <c r="PF244" s="1568"/>
      <c r="PG244" s="3234">
        <f>(119600*15%)</f>
        <v>17940</v>
      </c>
      <c r="PH244" s="2944"/>
      <c r="PI244" s="1022"/>
      <c r="PJ244" s="1568"/>
      <c r="PK244" s="1568"/>
      <c r="PL244" s="3234">
        <f>(119600*15%)</f>
        <v>17940</v>
      </c>
      <c r="PM244" s="3194"/>
      <c r="PN244" s="1567"/>
      <c r="PO244" s="1568"/>
      <c r="PP244" s="1568"/>
      <c r="PQ244" s="3234">
        <f>(119600*15%)</f>
        <v>17940</v>
      </c>
      <c r="PR244" s="2674"/>
      <c r="PS244" s="3219"/>
      <c r="PT244" s="1568"/>
      <c r="PU244" s="1568"/>
      <c r="PV244" s="3234">
        <v>42000</v>
      </c>
      <c r="PW244" s="2674"/>
      <c r="PX244" s="3221"/>
      <c r="PY244" s="358"/>
      <c r="PZ244" s="358"/>
      <c r="QA244" s="359">
        <v>40500</v>
      </c>
      <c r="QB244" s="114"/>
      <c r="QC244" s="405"/>
      <c r="QD244" s="1575"/>
      <c r="QE244" s="1575"/>
      <c r="QF244" s="208">
        <v>42500</v>
      </c>
      <c r="QG244" s="83"/>
      <c r="QH244" s="405"/>
      <c r="QI244" s="1575"/>
      <c r="QJ244" s="1575"/>
      <c r="QK244" s="3241">
        <v>42500</v>
      </c>
      <c r="QL244" s="83"/>
      <c r="QM244" s="405"/>
      <c r="QN244" s="1575"/>
      <c r="QO244" s="1575"/>
      <c r="QP244" s="208">
        <v>40500</v>
      </c>
      <c r="QQ244" s="83"/>
      <c r="QR244" s="1567"/>
      <c r="QS244" s="1568"/>
      <c r="QT244" s="1871"/>
      <c r="QU244" s="208">
        <v>38500</v>
      </c>
      <c r="QV244" s="222"/>
      <c r="QW244" s="1022"/>
      <c r="QX244" s="1568"/>
      <c r="QY244" s="1871"/>
      <c r="QZ244" s="208">
        <v>40000</v>
      </c>
      <c r="RA244" s="83"/>
      <c r="RB244" s="209"/>
      <c r="RC244" s="208"/>
      <c r="RD244" s="208"/>
      <c r="RE244" s="208">
        <v>40000</v>
      </c>
      <c r="RF244" s="114"/>
      <c r="RG244" s="405"/>
      <c r="RH244" s="1575"/>
      <c r="RI244" s="1575"/>
      <c r="RJ244" s="1575">
        <v>40000</v>
      </c>
      <c r="RK244" s="114"/>
      <c r="RL244" s="1022"/>
      <c r="RM244" s="1568"/>
      <c r="RN244" s="1568"/>
      <c r="RO244" s="1568">
        <f t="shared" si="877"/>
        <v>420320</v>
      </c>
      <c r="RP244" s="1872"/>
      <c r="RQ244" s="968"/>
      <c r="RR244" s="2186"/>
      <c r="RS244" s="2186"/>
      <c r="RT244" s="3227">
        <f t="shared" si="881"/>
        <v>35880</v>
      </c>
      <c r="RU244" s="1869"/>
      <c r="RV244" s="968"/>
      <c r="RW244" s="2186"/>
      <c r="RX244" s="2186"/>
      <c r="RY244" s="3223">
        <f t="shared" si="878"/>
        <v>125500</v>
      </c>
      <c r="RZ244" s="1869"/>
      <c r="SA244" s="1022"/>
      <c r="SB244" s="1568"/>
      <c r="SC244" s="1568"/>
      <c r="SD244" s="3223">
        <f t="shared" si="879"/>
        <v>121500</v>
      </c>
      <c r="SE244" s="220"/>
      <c r="SF244" s="1022"/>
      <c r="SG244" s="1568"/>
      <c r="SH244" s="1568"/>
      <c r="SI244" s="358">
        <f t="shared" si="882"/>
        <v>120000</v>
      </c>
      <c r="SJ244" s="220"/>
      <c r="SL244" s="1567"/>
      <c r="SM244" s="1568"/>
      <c r="SN244" s="1568"/>
      <c r="SO244" s="137">
        <v>85000</v>
      </c>
      <c r="SP244" s="2944"/>
      <c r="SQ244" s="1022"/>
      <c r="SR244" s="1568"/>
      <c r="SS244" s="1568"/>
      <c r="ST244" s="3234">
        <v>65000</v>
      </c>
      <c r="SU244" s="3194"/>
      <c r="SV244" s="1857"/>
      <c r="SW244" s="358"/>
      <c r="SX244" s="358"/>
      <c r="SY244" s="359">
        <v>35000</v>
      </c>
      <c r="SZ244" s="2563"/>
      <c r="TA244" s="3221"/>
      <c r="TB244" s="358"/>
      <c r="TC244" s="358"/>
      <c r="TD244" s="3234">
        <v>35000</v>
      </c>
      <c r="TE244" s="2563"/>
      <c r="TF244" s="3221"/>
      <c r="TG244" s="358"/>
      <c r="TH244" s="358"/>
      <c r="TI244" s="358">
        <v>35000</v>
      </c>
      <c r="TJ244" s="114"/>
      <c r="TK244" s="405"/>
      <c r="TL244" s="1575"/>
      <c r="TM244" s="1575"/>
      <c r="TN244" s="358">
        <v>30000</v>
      </c>
      <c r="TO244" s="83"/>
      <c r="TP244" s="4506"/>
      <c r="TQ244" s="1575"/>
      <c r="TR244" s="1575"/>
      <c r="TS244" s="358">
        <v>38000</v>
      </c>
      <c r="TT244" s="83"/>
      <c r="TU244" s="4506"/>
      <c r="TV244" s="1575"/>
      <c r="TW244" s="1575"/>
      <c r="TX244" s="1575">
        <v>35000</v>
      </c>
      <c r="TY244" s="83"/>
      <c r="TZ244" s="1567"/>
      <c r="UA244" s="1568"/>
      <c r="UB244" s="1871"/>
      <c r="UC244" s="1575">
        <v>35000</v>
      </c>
      <c r="UD244" s="222"/>
      <c r="UE244" s="1022"/>
      <c r="UF244" s="1568"/>
      <c r="UG244" s="1871"/>
      <c r="UH244" s="1575">
        <v>35000</v>
      </c>
      <c r="UI244" s="83"/>
      <c r="UJ244" s="209"/>
      <c r="UK244" s="208"/>
      <c r="UL244" s="208"/>
      <c r="UM244" s="359">
        <v>0</v>
      </c>
      <c r="UN244" s="114"/>
      <c r="UO244" s="405"/>
      <c r="UP244" s="1575"/>
      <c r="UQ244" s="1575"/>
      <c r="UR244" s="1575">
        <v>0</v>
      </c>
      <c r="US244" s="114"/>
      <c r="UT244" s="1868"/>
      <c r="UU244" s="1575"/>
      <c r="UV244" s="1575"/>
      <c r="UW244" s="208">
        <f t="shared" si="883"/>
        <v>428000</v>
      </c>
      <c r="UX244" s="83"/>
      <c r="UY244" s="968"/>
      <c r="UZ244" s="2186"/>
      <c r="VA244" s="2186"/>
      <c r="VB244" s="3222">
        <f t="shared" si="884"/>
        <v>185000</v>
      </c>
      <c r="VC244" s="1869"/>
      <c r="VD244" s="968"/>
      <c r="VE244" s="2186"/>
      <c r="VF244" s="2186"/>
      <c r="VG244" s="2186"/>
      <c r="VH244" s="1869"/>
      <c r="VI244" s="1022"/>
      <c r="VJ244" s="1568"/>
      <c r="VK244" s="1568"/>
      <c r="VL244" s="1568"/>
      <c r="VM244" s="220"/>
      <c r="VN244" s="1022"/>
      <c r="VO244" s="1568"/>
      <c r="VP244" s="1568"/>
      <c r="VQ244" s="1568"/>
      <c r="VR244" s="220"/>
    </row>
    <row r="245" spans="1:590" s="453" customFormat="1" ht="13.45" x14ac:dyDescent="0.3">
      <c r="A245" s="2616"/>
      <c r="B245" s="3169"/>
      <c r="C245" s="3245" t="s">
        <v>899</v>
      </c>
      <c r="D245" s="3246"/>
      <c r="E245" s="3247"/>
      <c r="F245" s="3247"/>
      <c r="G245" s="3248"/>
      <c r="H245" s="3249"/>
      <c r="I245" s="3250"/>
      <c r="J245" s="3250"/>
      <c r="K245" s="3250"/>
      <c r="L245" s="3251"/>
      <c r="M245" s="3252"/>
      <c r="N245" s="3250"/>
      <c r="O245" s="3253"/>
      <c r="P245" s="3254"/>
      <c r="Q245" s="3251"/>
      <c r="R245" s="3252"/>
      <c r="S245" s="3250"/>
      <c r="T245" s="3250"/>
      <c r="U245" s="3250"/>
      <c r="V245" s="3251"/>
      <c r="W245" s="3252"/>
      <c r="X245" s="3250"/>
      <c r="Y245" s="3250"/>
      <c r="Z245" s="3250"/>
      <c r="AA245" s="3255"/>
      <c r="AB245" s="3252"/>
      <c r="AC245" s="3250"/>
      <c r="AD245" s="3250"/>
      <c r="AE245" s="3250"/>
      <c r="AF245" s="3255"/>
      <c r="AG245" s="3250"/>
      <c r="AH245" s="3250"/>
      <c r="AI245" s="3250"/>
      <c r="AJ245" s="3250"/>
      <c r="AK245" s="3251"/>
      <c r="AL245" s="3256"/>
      <c r="AM245" s="3256"/>
      <c r="AN245" s="3256"/>
      <c r="AO245" s="3250"/>
      <c r="AP245" s="3257"/>
      <c r="AQ245" s="3250"/>
      <c r="AR245" s="3250"/>
      <c r="AS245" s="3250"/>
      <c r="AT245" s="3250"/>
      <c r="AU245" s="3251"/>
      <c r="AV245" s="3258"/>
      <c r="AW245" s="3250"/>
      <c r="AX245" s="3250"/>
      <c r="AY245" s="3250"/>
      <c r="AZ245" s="3255"/>
      <c r="BA245" s="3258"/>
      <c r="BB245" s="3250"/>
      <c r="BC245" s="3250"/>
      <c r="BD245" s="3250"/>
      <c r="BE245" s="3255"/>
      <c r="BF245" s="3259"/>
      <c r="BG245" s="3256"/>
      <c r="BH245" s="3250"/>
      <c r="BI245" s="3250"/>
      <c r="BJ245" s="3260"/>
      <c r="BK245" s="3258"/>
      <c r="BL245" s="3250"/>
      <c r="BM245" s="3250"/>
      <c r="BN245" s="3250"/>
      <c r="BO245" s="3255"/>
      <c r="BP245" s="3250"/>
      <c r="BQ245" s="3250"/>
      <c r="BR245" s="3250"/>
      <c r="BS245" s="3250"/>
      <c r="BT245" s="3250"/>
      <c r="BU245" s="3250"/>
      <c r="BV245" s="3250"/>
      <c r="BW245" s="3251"/>
      <c r="BX245" s="3250"/>
      <c r="BY245" s="3250"/>
      <c r="BZ245" s="3250"/>
      <c r="CA245" s="3250"/>
      <c r="CB245" s="3250"/>
      <c r="CC245" s="3250"/>
      <c r="CD245" s="3250"/>
      <c r="CE245" s="3250"/>
      <c r="CF245" s="3250"/>
      <c r="CG245" s="3250"/>
      <c r="CH245" s="3250"/>
      <c r="CI245" s="3250"/>
      <c r="CJ245" s="3252"/>
      <c r="CK245" s="3250"/>
      <c r="CL245" s="3250"/>
      <c r="CM245" s="3250"/>
      <c r="CN245" s="3250"/>
      <c r="CO245" s="3252"/>
      <c r="CP245" s="3250"/>
      <c r="CQ245" s="3250"/>
      <c r="CR245" s="3250"/>
      <c r="CS245" s="3250"/>
      <c r="CT245" s="3252"/>
      <c r="CU245" s="3250"/>
      <c r="CV245" s="3250"/>
      <c r="CW245" s="3250"/>
      <c r="CX245" s="3250"/>
      <c r="CY245" s="3252"/>
      <c r="CZ245" s="3250"/>
      <c r="DA245" s="3250"/>
      <c r="DB245" s="3250"/>
      <c r="DC245" s="3250"/>
      <c r="DD245" s="3250"/>
      <c r="DE245" s="3250"/>
      <c r="DF245" s="3250"/>
      <c r="DG245" s="3250"/>
      <c r="DH245" s="3252"/>
      <c r="DI245" s="3252"/>
      <c r="DJ245" s="3250"/>
      <c r="DK245" s="3250"/>
      <c r="DL245" s="3250"/>
      <c r="DM245" s="3252"/>
      <c r="DN245" s="3252"/>
      <c r="DO245" s="3250"/>
      <c r="DP245" s="3250"/>
      <c r="DQ245" s="3250"/>
      <c r="DR245" s="3252"/>
      <c r="DS245" s="3252"/>
      <c r="DT245" s="3250"/>
      <c r="DU245" s="3250"/>
      <c r="DV245" s="3250"/>
      <c r="DW245" s="3250"/>
      <c r="DX245" s="3252"/>
      <c r="DY245" s="3250"/>
      <c r="DZ245" s="3250"/>
      <c r="EA245" s="3250"/>
      <c r="EB245" s="3255"/>
      <c r="EC245" s="3252"/>
      <c r="ED245" s="3250"/>
      <c r="EE245" s="3250"/>
      <c r="EF245" s="3250"/>
      <c r="EG245" s="3252"/>
      <c r="EH245" s="3250"/>
      <c r="EI245" s="3250"/>
      <c r="EJ245" s="3250"/>
      <c r="EK245" s="3250"/>
      <c r="EL245" s="3250"/>
      <c r="EM245" s="3261"/>
      <c r="EN245" s="2124"/>
      <c r="EO245" s="2124"/>
      <c r="EP245" s="2124"/>
      <c r="EQ245" s="2124"/>
      <c r="ER245" s="3250"/>
      <c r="ES245" s="3250"/>
      <c r="ET245" s="3250"/>
      <c r="EU245" s="3250"/>
      <c r="EV245" s="3250"/>
      <c r="EW245" s="3252"/>
      <c r="EX245" s="3250"/>
      <c r="EY245" s="3250"/>
      <c r="EZ245" s="3250"/>
      <c r="FA245" s="3250"/>
      <c r="FB245" s="3250"/>
      <c r="FC245" s="3250"/>
      <c r="FD245" s="3250"/>
      <c r="FE245" s="3250"/>
      <c r="FF245" s="3250"/>
      <c r="FG245" s="3250"/>
      <c r="FH245" s="3250"/>
      <c r="FI245" s="3250"/>
      <c r="FJ245" s="3250"/>
      <c r="FK245" s="3250"/>
      <c r="FL245" s="3250"/>
      <c r="FM245" s="3250"/>
      <c r="FN245" s="3252"/>
      <c r="FO245" s="3250"/>
      <c r="FP245" s="3250"/>
      <c r="FQ245" s="2124"/>
      <c r="FR245" s="3262"/>
      <c r="FS245" s="3249"/>
      <c r="FT245" s="3250"/>
      <c r="FU245" s="3250"/>
      <c r="FV245" s="3263"/>
      <c r="FW245" s="3264"/>
      <c r="FX245" s="3265"/>
      <c r="FY245" s="2124"/>
      <c r="FZ245" s="2124"/>
      <c r="GA245" s="2124"/>
      <c r="GB245" s="3266"/>
      <c r="GC245" s="3191"/>
      <c r="GD245" s="1936"/>
      <c r="GE245" s="1936"/>
      <c r="GF245" s="264"/>
      <c r="GG245" s="2730"/>
      <c r="GH245" s="2917"/>
      <c r="GI245" s="1850"/>
      <c r="GJ245" s="1850"/>
      <c r="GK245" s="3267"/>
      <c r="GL245" s="3268"/>
      <c r="GM245" s="2049"/>
      <c r="GN245" s="1850"/>
      <c r="GO245" s="1850"/>
      <c r="GP245" s="3267"/>
      <c r="GQ245" s="1119"/>
      <c r="GR245" s="3269"/>
      <c r="GS245" s="1978"/>
      <c r="GT245" s="1978"/>
      <c r="GU245" s="1978"/>
      <c r="GV245" s="3270"/>
      <c r="GW245" s="3269"/>
      <c r="GX245" s="1978"/>
      <c r="GY245" s="1978"/>
      <c r="GZ245" s="1978"/>
      <c r="HA245" s="3270"/>
      <c r="HB245" s="3269"/>
      <c r="HC245" s="1978"/>
      <c r="HD245" s="1978"/>
      <c r="HE245" s="1978"/>
      <c r="HF245" s="3270"/>
      <c r="HG245" s="3269"/>
      <c r="HH245" s="1978"/>
      <c r="HI245" s="1978"/>
      <c r="HJ245" s="1978"/>
      <c r="HK245" s="3270"/>
      <c r="HL245" s="3269"/>
      <c r="HM245" s="1978"/>
      <c r="HN245" s="1978"/>
      <c r="HO245" s="1978"/>
      <c r="HP245" s="3270"/>
      <c r="HQ245" s="357"/>
      <c r="HR245" s="358"/>
      <c r="HS245" s="358"/>
      <c r="HT245" s="358">
        <v>0</v>
      </c>
      <c r="HU245" s="2773"/>
      <c r="HV245" s="2889"/>
      <c r="HW245" s="2641"/>
      <c r="HX245" s="2641"/>
      <c r="HY245" s="1568">
        <f t="shared" si="875"/>
        <v>0</v>
      </c>
      <c r="HZ245" s="2693"/>
      <c r="IA245" s="3271"/>
      <c r="IB245" s="3272"/>
      <c r="IC245" s="3196"/>
      <c r="ID245" s="3272"/>
      <c r="IE245" s="3273"/>
      <c r="IF245" s="2763"/>
      <c r="IG245" s="2733"/>
      <c r="IH245" s="3274"/>
      <c r="II245" s="3273"/>
      <c r="IJ245" s="2763"/>
      <c r="IK245" s="3275"/>
      <c r="IL245" s="3274"/>
      <c r="IM245" s="3273"/>
      <c r="IN245" s="2763"/>
      <c r="IO245" s="3275"/>
      <c r="IP245" s="3274"/>
      <c r="IR245" s="3276"/>
      <c r="IS245" s="3272"/>
      <c r="IT245" s="3272"/>
      <c r="IU245" s="2126"/>
      <c r="IV245" s="3277"/>
      <c r="IW245" s="3271"/>
      <c r="IX245" s="3272"/>
      <c r="IY245" s="3272"/>
      <c r="IZ245" s="2126"/>
      <c r="JA245" s="3278"/>
      <c r="JB245" s="3279"/>
      <c r="JC245" s="2126"/>
      <c r="JD245" s="2126"/>
      <c r="JE245" s="2126"/>
      <c r="JF245" s="3280"/>
      <c r="JG245" s="3205"/>
      <c r="JH245" s="2186"/>
      <c r="JI245" s="2186"/>
      <c r="JJ245" s="1096"/>
      <c r="JK245" s="976"/>
      <c r="JL245" s="2620"/>
      <c r="JM245" s="1850"/>
      <c r="JN245" s="1850"/>
      <c r="JO245" s="1096"/>
      <c r="JP245" s="3268"/>
      <c r="JQ245" s="3281"/>
      <c r="JR245" s="1850"/>
      <c r="JS245" s="1850"/>
      <c r="JT245" s="1096"/>
      <c r="JU245" s="3268"/>
      <c r="JV245" s="3282"/>
      <c r="JW245" s="1978"/>
      <c r="JX245" s="1978"/>
      <c r="JY245" s="1096"/>
      <c r="JZ245" s="3270"/>
      <c r="KA245" s="3269"/>
      <c r="KB245" s="1978"/>
      <c r="KC245" s="1978"/>
      <c r="KD245" s="1978"/>
      <c r="KE245" s="3270"/>
      <c r="KF245" s="2516"/>
      <c r="KG245" s="1978"/>
      <c r="KH245" s="1978"/>
      <c r="KI245" s="1978"/>
      <c r="KJ245" s="3270"/>
      <c r="KK245" s="3283"/>
      <c r="KL245" s="3284"/>
      <c r="KM245" s="3284"/>
      <c r="KN245" s="1978"/>
      <c r="KO245" s="3285"/>
      <c r="KP245" s="3269"/>
      <c r="KQ245" s="1978"/>
      <c r="KR245" s="1978"/>
      <c r="KS245" s="1978"/>
      <c r="KT245" s="3270"/>
      <c r="KU245" s="357"/>
      <c r="KV245" s="358"/>
      <c r="KW245" s="358"/>
      <c r="KX245" s="358">
        <v>0</v>
      </c>
      <c r="KY245" s="2773"/>
      <c r="KZ245" s="2889"/>
      <c r="LA245" s="2641"/>
      <c r="LB245" s="2641"/>
      <c r="LC245" s="358">
        <f t="shared" si="880"/>
        <v>0</v>
      </c>
      <c r="LD245" s="2693"/>
      <c r="LE245" s="3246"/>
      <c r="LF245" s="3272"/>
      <c r="LG245" s="3196"/>
      <c r="LH245" s="3286"/>
      <c r="LI245" s="3287"/>
      <c r="LJ245" s="2763"/>
      <c r="LK245" s="2733"/>
      <c r="LL245" s="3274"/>
      <c r="LM245" s="3288"/>
      <c r="LN245" s="2763"/>
      <c r="LO245" s="3275"/>
      <c r="LP245" s="3274"/>
      <c r="LQ245" s="3273"/>
      <c r="LR245" s="2763"/>
      <c r="LS245" s="3275"/>
      <c r="LT245" s="3274"/>
      <c r="LV245" s="1567"/>
      <c r="LW245" s="1568"/>
      <c r="LX245" s="1568"/>
      <c r="LY245" s="3234"/>
      <c r="LZ245" s="3217"/>
      <c r="MA245" s="1022"/>
      <c r="MB245" s="1568"/>
      <c r="MC245" s="1568"/>
      <c r="MD245" s="3234"/>
      <c r="ME245" s="3194"/>
      <c r="MF245" s="1567"/>
      <c r="MG245" s="1568"/>
      <c r="MH245" s="1568"/>
      <c r="MI245" s="3234"/>
      <c r="MJ245" s="2674"/>
      <c r="MK245" s="3219"/>
      <c r="ML245" s="1568"/>
      <c r="MM245" s="1568"/>
      <c r="MN245" s="3234"/>
      <c r="MO245" s="2674"/>
      <c r="MP245" s="3219"/>
      <c r="MQ245" s="1568"/>
      <c r="MR245" s="1568"/>
      <c r="MS245" s="359"/>
      <c r="MT245" s="83"/>
      <c r="MU245" s="405"/>
      <c r="MV245" s="1575"/>
      <c r="MW245" s="1575"/>
      <c r="MX245" s="208"/>
      <c r="MY245" s="83"/>
      <c r="MZ245" s="405"/>
      <c r="NA245" s="1575"/>
      <c r="NB245" s="1575"/>
      <c r="NC245" s="208"/>
      <c r="ND245" s="83"/>
      <c r="NE245" s="405"/>
      <c r="NF245" s="1575"/>
      <c r="NG245" s="1575"/>
      <c r="NH245" s="208">
        <f>10285+22115</f>
        <v>32400</v>
      </c>
      <c r="NI245" s="83"/>
      <c r="NJ245" s="1567"/>
      <c r="NK245" s="1568"/>
      <c r="NL245" s="1871"/>
      <c r="NM245" s="208">
        <v>0</v>
      </c>
      <c r="NN245" s="83"/>
      <c r="NO245" s="1022"/>
      <c r="NP245" s="1568"/>
      <c r="NQ245" s="1871"/>
      <c r="NR245" s="208">
        <v>0</v>
      </c>
      <c r="NS245" s="83"/>
      <c r="NT245" s="209"/>
      <c r="NU245" s="208"/>
      <c r="NV245" s="208"/>
      <c r="NW245" s="208">
        <v>0</v>
      </c>
      <c r="NX245" s="114"/>
      <c r="NY245" s="1868"/>
      <c r="NZ245" s="1575"/>
      <c r="OA245" s="1575"/>
      <c r="OB245" s="208">
        <v>0</v>
      </c>
      <c r="OC245" s="83"/>
      <c r="OD245" s="1022"/>
      <c r="OE245" s="1568"/>
      <c r="OF245" s="1568"/>
      <c r="OG245" s="358">
        <f t="shared" si="876"/>
        <v>32400</v>
      </c>
      <c r="OH245" s="1872"/>
      <c r="OI245" s="968"/>
      <c r="OJ245" s="2186"/>
      <c r="OK245" s="2186"/>
      <c r="OL245" s="2186"/>
      <c r="OM245" s="1869"/>
      <c r="ON245" s="968"/>
      <c r="OO245" s="2186"/>
      <c r="OP245" s="2186"/>
      <c r="OQ245" s="2186"/>
      <c r="OR245" s="1869"/>
      <c r="OS245" s="1022"/>
      <c r="OT245" s="1568"/>
      <c r="OU245" s="1568"/>
      <c r="OV245" s="1568"/>
      <c r="OW245" s="220"/>
      <c r="OX245" s="1022"/>
      <c r="OY245" s="1568"/>
      <c r="OZ245" s="1568"/>
      <c r="PA245" s="1568"/>
      <c r="PB245" s="220"/>
      <c r="PD245" s="1567"/>
      <c r="PE245" s="1568"/>
      <c r="PF245" s="1568"/>
      <c r="PG245" s="358">
        <v>0</v>
      </c>
      <c r="PH245" s="2944"/>
      <c r="PI245" s="1022"/>
      <c r="PJ245" s="1568"/>
      <c r="PK245" s="1568"/>
      <c r="PL245" s="3234">
        <v>0</v>
      </c>
      <c r="PM245" s="3194"/>
      <c r="PN245" s="1567"/>
      <c r="PO245" s="1568"/>
      <c r="PP245" s="1568"/>
      <c r="PQ245" s="3234">
        <v>0</v>
      </c>
      <c r="PR245" s="2674"/>
      <c r="PS245" s="3219"/>
      <c r="PT245" s="1568"/>
      <c r="PU245" s="1568"/>
      <c r="PV245" s="3234">
        <v>0</v>
      </c>
      <c r="PW245" s="2674"/>
      <c r="PX245" s="3221"/>
      <c r="PY245" s="358"/>
      <c r="PZ245" s="358"/>
      <c r="QA245" s="359">
        <v>0</v>
      </c>
      <c r="QB245" s="114"/>
      <c r="QC245" s="405"/>
      <c r="QD245" s="1575"/>
      <c r="QE245" s="1575"/>
      <c r="QF245" s="208">
        <v>0</v>
      </c>
      <c r="QG245" s="83"/>
      <c r="QH245" s="405"/>
      <c r="QI245" s="1575"/>
      <c r="QJ245" s="1575"/>
      <c r="QK245" s="208">
        <v>144941</v>
      </c>
      <c r="QL245" s="83"/>
      <c r="QM245" s="405"/>
      <c r="QN245" s="1575"/>
      <c r="QO245" s="1575"/>
      <c r="QP245" s="208">
        <f>10285+22115</f>
        <v>32400</v>
      </c>
      <c r="QQ245" s="83"/>
      <c r="QR245" s="1567"/>
      <c r="QS245" s="1568"/>
      <c r="QT245" s="1871"/>
      <c r="QU245" s="208">
        <f>22039+3689+12265+4818+6273+3511+3075</f>
        <v>55670</v>
      </c>
      <c r="QV245" s="222"/>
      <c r="QW245" s="1022"/>
      <c r="QX245" s="1568"/>
      <c r="QY245" s="1871"/>
      <c r="QZ245" s="208">
        <f>136184+25181+5731+35017+64176</f>
        <v>266289</v>
      </c>
      <c r="RA245" s="83"/>
      <c r="RB245" s="209"/>
      <c r="RC245" s="208"/>
      <c r="RD245" s="208"/>
      <c r="RE245" s="208">
        <f>18647+32945+48511+5606+7278+11270+1470+16001</f>
        <v>141728</v>
      </c>
      <c r="RF245" s="114"/>
      <c r="RG245" s="405"/>
      <c r="RH245" s="1575"/>
      <c r="RI245" s="1575"/>
      <c r="RJ245" s="1575">
        <f>18647</f>
        <v>18647</v>
      </c>
      <c r="RK245" s="114"/>
      <c r="RL245" s="1022"/>
      <c r="RM245" s="1568"/>
      <c r="RN245" s="1568"/>
      <c r="RO245" s="1568">
        <f t="shared" si="877"/>
        <v>659675</v>
      </c>
      <c r="RP245" s="1872"/>
      <c r="RQ245" s="968"/>
      <c r="RR245" s="2186"/>
      <c r="RS245" s="2186"/>
      <c r="RT245" s="3227">
        <f t="shared" si="881"/>
        <v>0</v>
      </c>
      <c r="RU245" s="1869"/>
      <c r="RV245" s="968"/>
      <c r="RW245" s="2186"/>
      <c r="RX245" s="2186"/>
      <c r="RY245" s="3223">
        <f t="shared" si="878"/>
        <v>177341</v>
      </c>
      <c r="RZ245" s="1869"/>
      <c r="SA245" s="1022"/>
      <c r="SB245" s="1568"/>
      <c r="SC245" s="1568"/>
      <c r="SD245" s="3223">
        <f t="shared" si="879"/>
        <v>233011</v>
      </c>
      <c r="SE245" s="220"/>
      <c r="SF245" s="1022"/>
      <c r="SG245" s="1568"/>
      <c r="SH245" s="1568"/>
      <c r="SI245" s="358">
        <f t="shared" si="882"/>
        <v>426664</v>
      </c>
      <c r="SJ245" s="220"/>
      <c r="SL245" s="1567"/>
      <c r="SM245" s="1568"/>
      <c r="SN245" s="1568"/>
      <c r="SO245" s="137">
        <v>18647</v>
      </c>
      <c r="SP245" s="2944"/>
      <c r="SQ245" s="1022"/>
      <c r="SR245" s="1568"/>
      <c r="SS245" s="1568"/>
      <c r="ST245" s="3234">
        <v>87007</v>
      </c>
      <c r="SU245" s="3194"/>
      <c r="SV245" s="1857"/>
      <c r="SW245" s="358"/>
      <c r="SX245" s="358"/>
      <c r="SY245" s="359">
        <f>72738+6223</f>
        <v>78961</v>
      </c>
      <c r="SZ245" s="2563"/>
      <c r="TA245" s="3221"/>
      <c r="TB245" s="358"/>
      <c r="TC245" s="358"/>
      <c r="TD245" s="3234">
        <f>5520+5515+1450+7038+7038+1450</f>
        <v>28011</v>
      </c>
      <c r="TE245" s="2563"/>
      <c r="TF245" s="3221"/>
      <c r="TG245" s="358"/>
      <c r="TH245" s="358"/>
      <c r="TI245" s="358">
        <v>87638</v>
      </c>
      <c r="TJ245" s="114"/>
      <c r="TK245" s="405"/>
      <c r="TL245" s="1575"/>
      <c r="TM245" s="1575"/>
      <c r="TN245" s="358">
        <f>4229+15599+362</f>
        <v>20190</v>
      </c>
      <c r="TO245" s="83"/>
      <c r="TP245" s="4506"/>
      <c r="TQ245" s="1575"/>
      <c r="TR245" s="1575"/>
      <c r="TS245" s="358">
        <f>173176+93868</f>
        <v>267044</v>
      </c>
      <c r="TT245" s="83"/>
      <c r="TU245" s="4506"/>
      <c r="TV245" s="1575"/>
      <c r="TW245" s="1575"/>
      <c r="TX245" s="1575">
        <f>6780+8327+21436</f>
        <v>36543</v>
      </c>
      <c r="TY245" s="83"/>
      <c r="TZ245" s="1567"/>
      <c r="UA245" s="1568"/>
      <c r="UB245" s="1871"/>
      <c r="UC245" s="1575">
        <v>112360</v>
      </c>
      <c r="UD245" s="222"/>
      <c r="UE245" s="1022"/>
      <c r="UF245" s="1568"/>
      <c r="UG245" s="1871"/>
      <c r="UH245" s="1575">
        <f>37379+10318+12476</f>
        <v>60173</v>
      </c>
      <c r="UI245" s="83"/>
      <c r="UJ245" s="209"/>
      <c r="UK245" s="208"/>
      <c r="UL245" s="208"/>
      <c r="UM245" s="359">
        <v>0</v>
      </c>
      <c r="UN245" s="114"/>
      <c r="UO245" s="405"/>
      <c r="UP245" s="1575"/>
      <c r="UQ245" s="1575"/>
      <c r="UR245" s="1575">
        <v>0</v>
      </c>
      <c r="US245" s="114"/>
      <c r="UT245" s="1868"/>
      <c r="UU245" s="1575"/>
      <c r="UV245" s="1575"/>
      <c r="UW245" s="208">
        <f t="shared" si="883"/>
        <v>796574</v>
      </c>
      <c r="UX245" s="83"/>
      <c r="UY245" s="968"/>
      <c r="UZ245" s="2186"/>
      <c r="VA245" s="2186"/>
      <c r="VB245" s="3222">
        <f t="shared" si="884"/>
        <v>184615</v>
      </c>
      <c r="VC245" s="1869"/>
      <c r="VD245" s="968"/>
      <c r="VE245" s="2186"/>
      <c r="VF245" s="2186"/>
      <c r="VG245" s="2186"/>
      <c r="VH245" s="1869"/>
      <c r="VI245" s="1022"/>
      <c r="VJ245" s="1568"/>
      <c r="VK245" s="1568"/>
      <c r="VL245" s="1568"/>
      <c r="VM245" s="220"/>
      <c r="VN245" s="1022"/>
      <c r="VO245" s="1568"/>
      <c r="VP245" s="1568"/>
      <c r="VQ245" s="1568"/>
      <c r="VR245" s="220"/>
    </row>
    <row r="246" spans="1:590" s="453" customFormat="1" ht="13.45" x14ac:dyDescent="0.3">
      <c r="A246" s="2616"/>
      <c r="B246" s="3169"/>
      <c r="C246" s="3245" t="s">
        <v>155</v>
      </c>
      <c r="D246" s="3246"/>
      <c r="E246" s="3247"/>
      <c r="F246" s="3247"/>
      <c r="G246" s="3248"/>
      <c r="H246" s="3249"/>
      <c r="I246" s="3250"/>
      <c r="J246" s="3250"/>
      <c r="K246" s="3250"/>
      <c r="L246" s="3251"/>
      <c r="M246" s="3252"/>
      <c r="N246" s="3250"/>
      <c r="O246" s="3253"/>
      <c r="P246" s="3254"/>
      <c r="Q246" s="3251"/>
      <c r="R246" s="3252"/>
      <c r="S246" s="3250"/>
      <c r="T246" s="3250"/>
      <c r="U246" s="3250"/>
      <c r="V246" s="3251"/>
      <c r="W246" s="3252"/>
      <c r="X246" s="3250"/>
      <c r="Y246" s="3250"/>
      <c r="Z246" s="3250"/>
      <c r="AA246" s="3255"/>
      <c r="AB246" s="3252"/>
      <c r="AC246" s="3250"/>
      <c r="AD246" s="3250"/>
      <c r="AE246" s="3250"/>
      <c r="AF246" s="3255"/>
      <c r="AG246" s="3250"/>
      <c r="AH246" s="3250"/>
      <c r="AI246" s="3250"/>
      <c r="AJ246" s="3250"/>
      <c r="AK246" s="3251"/>
      <c r="AL246" s="3256"/>
      <c r="AM246" s="3256"/>
      <c r="AN246" s="3256"/>
      <c r="AO246" s="3250"/>
      <c r="AP246" s="3257"/>
      <c r="AQ246" s="3250"/>
      <c r="AR246" s="3250"/>
      <c r="AS246" s="3250"/>
      <c r="AT246" s="3250"/>
      <c r="AU246" s="3251"/>
      <c r="AV246" s="3258"/>
      <c r="AW246" s="3250"/>
      <c r="AX246" s="3250"/>
      <c r="AY246" s="3250"/>
      <c r="AZ246" s="3255"/>
      <c r="BA246" s="3258"/>
      <c r="BB246" s="3250"/>
      <c r="BC246" s="3250"/>
      <c r="BD246" s="3250"/>
      <c r="BE246" s="3255"/>
      <c r="BF246" s="3259"/>
      <c r="BG246" s="3256"/>
      <c r="BH246" s="3250"/>
      <c r="BI246" s="3250"/>
      <c r="BJ246" s="3260"/>
      <c r="BK246" s="3258"/>
      <c r="BL246" s="3250"/>
      <c r="BM246" s="3250"/>
      <c r="BN246" s="3250"/>
      <c r="BO246" s="3255"/>
      <c r="BP246" s="3250"/>
      <c r="BQ246" s="3250"/>
      <c r="BR246" s="3250"/>
      <c r="BS246" s="3250"/>
      <c r="BT246" s="3250"/>
      <c r="BU246" s="3250"/>
      <c r="BV246" s="3250"/>
      <c r="BW246" s="3251"/>
      <c r="BX246" s="3250"/>
      <c r="BY246" s="3250"/>
      <c r="BZ246" s="3250"/>
      <c r="CA246" s="3250"/>
      <c r="CB246" s="3250"/>
      <c r="CC246" s="3250"/>
      <c r="CD246" s="3250"/>
      <c r="CE246" s="3250"/>
      <c r="CF246" s="3250"/>
      <c r="CG246" s="3250"/>
      <c r="CH246" s="3250"/>
      <c r="CI246" s="3250"/>
      <c r="CJ246" s="3252"/>
      <c r="CK246" s="3250"/>
      <c r="CL246" s="3250"/>
      <c r="CM246" s="3250"/>
      <c r="CN246" s="3250"/>
      <c r="CO246" s="3252"/>
      <c r="CP246" s="3250"/>
      <c r="CQ246" s="3250"/>
      <c r="CR246" s="3250"/>
      <c r="CS246" s="3250"/>
      <c r="CT246" s="3252"/>
      <c r="CU246" s="3250"/>
      <c r="CV246" s="3250"/>
      <c r="CW246" s="3250"/>
      <c r="CX246" s="3250"/>
      <c r="CY246" s="3252"/>
      <c r="CZ246" s="3250"/>
      <c r="DA246" s="3250"/>
      <c r="DB246" s="3250"/>
      <c r="DC246" s="3250"/>
      <c r="DD246" s="3250"/>
      <c r="DE246" s="3250"/>
      <c r="DF246" s="3250"/>
      <c r="DG246" s="3250"/>
      <c r="DH246" s="3252"/>
      <c r="DI246" s="3252"/>
      <c r="DJ246" s="3250"/>
      <c r="DK246" s="3250"/>
      <c r="DL246" s="3250"/>
      <c r="DM246" s="3252"/>
      <c r="DN246" s="3252"/>
      <c r="DO246" s="3250"/>
      <c r="DP246" s="3250"/>
      <c r="DQ246" s="3250"/>
      <c r="DR246" s="3252"/>
      <c r="DS246" s="3252"/>
      <c r="DT246" s="3250"/>
      <c r="DU246" s="3250"/>
      <c r="DV246" s="3250"/>
      <c r="DW246" s="3250"/>
      <c r="DX246" s="3252"/>
      <c r="DY246" s="3250"/>
      <c r="DZ246" s="3250"/>
      <c r="EA246" s="3250"/>
      <c r="EB246" s="3255"/>
      <c r="EC246" s="3252"/>
      <c r="ED246" s="3250"/>
      <c r="EE246" s="3250"/>
      <c r="EF246" s="3250"/>
      <c r="EG246" s="3252"/>
      <c r="EH246" s="3250"/>
      <c r="EI246" s="3250"/>
      <c r="EJ246" s="3250"/>
      <c r="EK246" s="3250"/>
      <c r="EL246" s="3250"/>
      <c r="EM246" s="3261"/>
      <c r="EN246" s="2124"/>
      <c r="EO246" s="2124"/>
      <c r="EP246" s="2124"/>
      <c r="EQ246" s="2124"/>
      <c r="ER246" s="3250"/>
      <c r="ES246" s="3250"/>
      <c r="ET246" s="3250"/>
      <c r="EU246" s="3250"/>
      <c r="EV246" s="3250"/>
      <c r="EW246" s="3252"/>
      <c r="EX246" s="3250"/>
      <c r="EY246" s="3250"/>
      <c r="EZ246" s="3250"/>
      <c r="FA246" s="3250"/>
      <c r="FB246" s="3250"/>
      <c r="FC246" s="3250"/>
      <c r="FD246" s="3250"/>
      <c r="FE246" s="3250"/>
      <c r="FF246" s="3250"/>
      <c r="FG246" s="3250"/>
      <c r="FH246" s="3250"/>
      <c r="FI246" s="3250"/>
      <c r="FJ246" s="3250"/>
      <c r="FK246" s="3250"/>
      <c r="FL246" s="3250"/>
      <c r="FM246" s="3250"/>
      <c r="FN246" s="3252"/>
      <c r="FO246" s="3250"/>
      <c r="FP246" s="3250"/>
      <c r="FQ246" s="2124"/>
      <c r="FR246" s="3262"/>
      <c r="FS246" s="3249"/>
      <c r="FT246" s="3250"/>
      <c r="FU246" s="3250"/>
      <c r="FV246" s="3263"/>
      <c r="FW246" s="3264"/>
      <c r="FX246" s="3265"/>
      <c r="FY246" s="2124"/>
      <c r="FZ246" s="2124"/>
      <c r="GA246" s="2124"/>
      <c r="GB246" s="3266"/>
      <c r="GC246" s="3191"/>
      <c r="GD246" s="1936"/>
      <c r="GE246" s="1936"/>
      <c r="GF246" s="264"/>
      <c r="GG246" s="2730"/>
      <c r="GH246" s="2917"/>
      <c r="GI246" s="1850"/>
      <c r="GJ246" s="1850"/>
      <c r="GK246" s="3267"/>
      <c r="GL246" s="3268"/>
      <c r="GM246" s="2049"/>
      <c r="GN246" s="1850"/>
      <c r="GO246" s="1850"/>
      <c r="GP246" s="3267"/>
      <c r="GQ246" s="1119"/>
      <c r="GR246" s="3269"/>
      <c r="GS246" s="1978"/>
      <c r="GT246" s="1978"/>
      <c r="GU246" s="1978"/>
      <c r="GV246" s="3270"/>
      <c r="GW246" s="3269"/>
      <c r="GX246" s="1978"/>
      <c r="GY246" s="1978"/>
      <c r="GZ246" s="1978"/>
      <c r="HA246" s="3270"/>
      <c r="HB246" s="3269"/>
      <c r="HC246" s="1978"/>
      <c r="HD246" s="1978"/>
      <c r="HE246" s="1978"/>
      <c r="HF246" s="3270"/>
      <c r="HG246" s="3269"/>
      <c r="HH246" s="1978"/>
      <c r="HI246" s="1978"/>
      <c r="HJ246" s="1978"/>
      <c r="HK246" s="3270"/>
      <c r="HL246" s="3269"/>
      <c r="HM246" s="1978"/>
      <c r="HN246" s="1978"/>
      <c r="HO246" s="1978"/>
      <c r="HP246" s="3270"/>
      <c r="HQ246" s="357"/>
      <c r="HR246" s="358"/>
      <c r="HS246" s="358"/>
      <c r="HT246" s="358">
        <v>0</v>
      </c>
      <c r="HU246" s="2773"/>
      <c r="HV246" s="2889"/>
      <c r="HW246" s="2641"/>
      <c r="HX246" s="2641"/>
      <c r="HY246" s="1568">
        <f t="shared" si="875"/>
        <v>0</v>
      </c>
      <c r="HZ246" s="2693"/>
      <c r="IA246" s="3271"/>
      <c r="IB246" s="3272"/>
      <c r="IC246" s="3196"/>
      <c r="ID246" s="3272"/>
      <c r="IE246" s="3273"/>
      <c r="IF246" s="2763"/>
      <c r="IG246" s="2733"/>
      <c r="IH246" s="3274"/>
      <c r="II246" s="3273"/>
      <c r="IJ246" s="2763"/>
      <c r="IK246" s="3275"/>
      <c r="IL246" s="3274"/>
      <c r="IM246" s="3273"/>
      <c r="IN246" s="2763"/>
      <c r="IO246" s="3275"/>
      <c r="IP246" s="3274"/>
      <c r="IR246" s="3276"/>
      <c r="IS246" s="3272"/>
      <c r="IT246" s="3272"/>
      <c r="IU246" s="2126"/>
      <c r="IV246" s="3277"/>
      <c r="IW246" s="3271"/>
      <c r="IX246" s="3272"/>
      <c r="IY246" s="3272"/>
      <c r="IZ246" s="2126"/>
      <c r="JA246" s="3278"/>
      <c r="JB246" s="3279"/>
      <c r="JC246" s="2126"/>
      <c r="JD246" s="2126"/>
      <c r="JE246" s="2126"/>
      <c r="JF246" s="3280"/>
      <c r="JG246" s="3205"/>
      <c r="JH246" s="2186"/>
      <c r="JI246" s="2186"/>
      <c r="JJ246" s="1096"/>
      <c r="JK246" s="976"/>
      <c r="JL246" s="2620"/>
      <c r="JM246" s="1850"/>
      <c r="JN246" s="1850"/>
      <c r="JO246" s="1096"/>
      <c r="JP246" s="3268"/>
      <c r="JQ246" s="3281"/>
      <c r="JR246" s="1850"/>
      <c r="JS246" s="1850"/>
      <c r="JT246" s="1096"/>
      <c r="JU246" s="3268"/>
      <c r="JV246" s="3282"/>
      <c r="JW246" s="1978"/>
      <c r="JX246" s="1978"/>
      <c r="JY246" s="1096"/>
      <c r="JZ246" s="3270"/>
      <c r="KA246" s="3269"/>
      <c r="KB246" s="1978"/>
      <c r="KC246" s="1978"/>
      <c r="KD246" s="1978"/>
      <c r="KE246" s="3270"/>
      <c r="KF246" s="2516"/>
      <c r="KG246" s="1978"/>
      <c r="KH246" s="1978"/>
      <c r="KI246" s="1978"/>
      <c r="KJ246" s="3270"/>
      <c r="KK246" s="3283"/>
      <c r="KL246" s="3284"/>
      <c r="KM246" s="3284"/>
      <c r="KN246" s="1978"/>
      <c r="KO246" s="3285"/>
      <c r="KP246" s="3269"/>
      <c r="KQ246" s="1978"/>
      <c r="KR246" s="1978"/>
      <c r="KS246" s="1978"/>
      <c r="KT246" s="3270"/>
      <c r="KU246" s="357"/>
      <c r="KV246" s="358"/>
      <c r="KW246" s="358"/>
      <c r="KX246" s="358">
        <v>0</v>
      </c>
      <c r="KY246" s="2773"/>
      <c r="KZ246" s="2889"/>
      <c r="LA246" s="2641"/>
      <c r="LB246" s="2641"/>
      <c r="LC246" s="358">
        <v>0</v>
      </c>
      <c r="LD246" s="2693"/>
      <c r="LE246" s="3246"/>
      <c r="LF246" s="3272"/>
      <c r="LG246" s="3196"/>
      <c r="LH246" s="3286"/>
      <c r="LI246" s="3287"/>
      <c r="LJ246" s="2763"/>
      <c r="LK246" s="2733"/>
      <c r="LL246" s="3274"/>
      <c r="LM246" s="3288"/>
      <c r="LN246" s="2763"/>
      <c r="LO246" s="3275"/>
      <c r="LP246" s="3274"/>
      <c r="LQ246" s="3273"/>
      <c r="LR246" s="2763"/>
      <c r="LS246" s="3275"/>
      <c r="LT246" s="3274"/>
      <c r="LV246" s="1567"/>
      <c r="LW246" s="1568"/>
      <c r="LX246" s="1568"/>
      <c r="LY246" s="3234"/>
      <c r="LZ246" s="3217"/>
      <c r="MA246" s="1022"/>
      <c r="MB246" s="1568"/>
      <c r="MC246" s="1568"/>
      <c r="MD246" s="3234"/>
      <c r="ME246" s="3194"/>
      <c r="MF246" s="1567"/>
      <c r="MG246" s="1568"/>
      <c r="MH246" s="1568"/>
      <c r="MI246" s="3234"/>
      <c r="MJ246" s="2674"/>
      <c r="MK246" s="3219"/>
      <c r="ML246" s="1568"/>
      <c r="MM246" s="1568"/>
      <c r="MN246" s="3234"/>
      <c r="MO246" s="2674"/>
      <c r="MP246" s="3219"/>
      <c r="MQ246" s="1568"/>
      <c r="MR246" s="1568"/>
      <c r="MS246" s="359"/>
      <c r="MT246" s="83"/>
      <c r="MU246" s="405"/>
      <c r="MV246" s="1575"/>
      <c r="MW246" s="1575"/>
      <c r="MX246" s="208"/>
      <c r="MY246" s="83"/>
      <c r="MZ246" s="405"/>
      <c r="NA246" s="1575"/>
      <c r="NB246" s="1575"/>
      <c r="NC246" s="208"/>
      <c r="ND246" s="83"/>
      <c r="NE246" s="405"/>
      <c r="NF246" s="1575"/>
      <c r="NG246" s="1575"/>
      <c r="NH246" s="208"/>
      <c r="NI246" s="83"/>
      <c r="NJ246" s="1567"/>
      <c r="NK246" s="1568"/>
      <c r="NL246" s="1871"/>
      <c r="NM246" s="208"/>
      <c r="NN246" s="83"/>
      <c r="NO246" s="1022"/>
      <c r="NP246" s="1568"/>
      <c r="NQ246" s="1871"/>
      <c r="NR246" s="208"/>
      <c r="NS246" s="83"/>
      <c r="NT246" s="209"/>
      <c r="NU246" s="208"/>
      <c r="NV246" s="208"/>
      <c r="NW246" s="208"/>
      <c r="NX246" s="114"/>
      <c r="NY246" s="1868"/>
      <c r="NZ246" s="1575"/>
      <c r="OA246" s="1575"/>
      <c r="OB246" s="208">
        <v>0</v>
      </c>
      <c r="OC246" s="83"/>
      <c r="OD246" s="1022"/>
      <c r="OE246" s="1568"/>
      <c r="OF246" s="1568"/>
      <c r="OG246" s="358">
        <f t="shared" si="876"/>
        <v>0</v>
      </c>
      <c r="OH246" s="1872"/>
      <c r="OI246" s="968"/>
      <c r="OJ246" s="2186"/>
      <c r="OK246" s="2186"/>
      <c r="OL246" s="2186"/>
      <c r="OM246" s="1869"/>
      <c r="ON246" s="968"/>
      <c r="OO246" s="2186"/>
      <c r="OP246" s="2186"/>
      <c r="OQ246" s="2186"/>
      <c r="OR246" s="1869"/>
      <c r="OS246" s="1022"/>
      <c r="OT246" s="1568"/>
      <c r="OU246" s="1568"/>
      <c r="OV246" s="1568"/>
      <c r="OW246" s="220"/>
      <c r="OX246" s="1022"/>
      <c r="OY246" s="1568"/>
      <c r="OZ246" s="1568"/>
      <c r="PA246" s="1568"/>
      <c r="PB246" s="220"/>
      <c r="PD246" s="1567"/>
      <c r="PE246" s="1568"/>
      <c r="PF246" s="1568"/>
      <c r="PG246" s="358"/>
      <c r="PH246" s="2944"/>
      <c r="PI246" s="1022"/>
      <c r="PJ246" s="1568"/>
      <c r="PK246" s="1568"/>
      <c r="PL246" s="3234"/>
      <c r="PM246" s="3194"/>
      <c r="PN246" s="1567"/>
      <c r="PO246" s="1568"/>
      <c r="PP246" s="1568"/>
      <c r="PQ246" s="3234"/>
      <c r="PR246" s="2674"/>
      <c r="PS246" s="3219"/>
      <c r="PT246" s="1568"/>
      <c r="PU246" s="1568"/>
      <c r="PV246" s="3234">
        <v>893404</v>
      </c>
      <c r="PW246" s="2674"/>
      <c r="PX246" s="3221"/>
      <c r="PY246" s="358"/>
      <c r="PZ246" s="358"/>
      <c r="QA246" s="359">
        <v>0</v>
      </c>
      <c r="QB246" s="114"/>
      <c r="QC246" s="405"/>
      <c r="QD246" s="1575"/>
      <c r="QE246" s="1575"/>
      <c r="QF246" s="208">
        <v>0</v>
      </c>
      <c r="QG246" s="83"/>
      <c r="QH246" s="405"/>
      <c r="QI246" s="1575"/>
      <c r="QJ246" s="1575"/>
      <c r="QK246" s="208">
        <v>0</v>
      </c>
      <c r="QL246" s="83"/>
      <c r="QM246" s="405"/>
      <c r="QN246" s="1575"/>
      <c r="QO246" s="1575"/>
      <c r="QP246" s="208">
        <v>0</v>
      </c>
      <c r="QQ246" s="83"/>
      <c r="QR246" s="1567"/>
      <c r="QS246" s="1568"/>
      <c r="QT246" s="1871"/>
      <c r="QU246" s="438">
        <v>300005</v>
      </c>
      <c r="QV246" s="222"/>
      <c r="QW246" s="1022"/>
      <c r="QX246" s="1568"/>
      <c r="QY246" s="1871"/>
      <c r="QZ246" s="438">
        <f>200000+101000</f>
        <v>301000</v>
      </c>
      <c r="RA246" s="83"/>
      <c r="RB246" s="209"/>
      <c r="RC246" s="208"/>
      <c r="RD246" s="208"/>
      <c r="RE246" s="208">
        <v>0</v>
      </c>
      <c r="RF246" s="114"/>
      <c r="RG246" s="405"/>
      <c r="RH246" s="1575"/>
      <c r="RI246" s="1575"/>
      <c r="RJ246" s="1575">
        <v>0</v>
      </c>
      <c r="RK246" s="114"/>
      <c r="RL246" s="1022"/>
      <c r="RM246" s="1568"/>
      <c r="RN246" s="1568"/>
      <c r="RO246" s="1568">
        <f t="shared" si="877"/>
        <v>1494409</v>
      </c>
      <c r="RP246" s="1872"/>
      <c r="RQ246" s="968"/>
      <c r="RR246" s="2186"/>
      <c r="RS246" s="2186"/>
      <c r="RT246" s="3227">
        <f t="shared" si="881"/>
        <v>0</v>
      </c>
      <c r="RU246" s="1869"/>
      <c r="RV246" s="968"/>
      <c r="RW246" s="2186"/>
      <c r="RX246" s="2186"/>
      <c r="RY246" s="3223">
        <f t="shared" si="878"/>
        <v>0</v>
      </c>
      <c r="RZ246" s="1869"/>
      <c r="SA246" s="1022"/>
      <c r="SB246" s="1568"/>
      <c r="SC246" s="1568"/>
      <c r="SD246" s="3223">
        <f t="shared" si="879"/>
        <v>300005</v>
      </c>
      <c r="SE246" s="220"/>
      <c r="SF246" s="1022"/>
      <c r="SG246" s="1568"/>
      <c r="SH246" s="1568"/>
      <c r="SI246" s="358">
        <f t="shared" si="882"/>
        <v>301000</v>
      </c>
      <c r="SJ246" s="220"/>
      <c r="SL246" s="1567"/>
      <c r="SM246" s="1568"/>
      <c r="SN246" s="1568"/>
      <c r="SO246" s="137">
        <v>0</v>
      </c>
      <c r="SP246" s="2944"/>
      <c r="SQ246" s="1022"/>
      <c r="SR246" s="1568"/>
      <c r="SS246" s="1568"/>
      <c r="ST246" s="3234">
        <v>0</v>
      </c>
      <c r="SU246" s="3194"/>
      <c r="SV246" s="1857"/>
      <c r="SW246" s="358"/>
      <c r="SX246" s="358"/>
      <c r="SY246" s="359">
        <f>19600+10000</f>
        <v>29600</v>
      </c>
      <c r="SZ246" s="2563"/>
      <c r="TA246" s="3221"/>
      <c r="TB246" s="358"/>
      <c r="TC246" s="358"/>
      <c r="TD246" s="3234">
        <v>21300</v>
      </c>
      <c r="TE246" s="2563"/>
      <c r="TF246" s="3221"/>
      <c r="TG246" s="358"/>
      <c r="TH246" s="358"/>
      <c r="TI246" s="358">
        <v>23000</v>
      </c>
      <c r="TJ246" s="114"/>
      <c r="TK246" s="405"/>
      <c r="TL246" s="1575"/>
      <c r="TM246" s="1575"/>
      <c r="TN246" s="208">
        <v>11100</v>
      </c>
      <c r="TO246" s="83"/>
      <c r="TP246" s="4506"/>
      <c r="TQ246" s="1575"/>
      <c r="TR246" s="1575"/>
      <c r="TS246" s="208">
        <v>18800</v>
      </c>
      <c r="TT246" s="83"/>
      <c r="TU246" s="4506"/>
      <c r="TV246" s="1575"/>
      <c r="TW246" s="1575"/>
      <c r="TX246" s="1575">
        <v>18700</v>
      </c>
      <c r="TY246" s="83"/>
      <c r="TZ246" s="1567"/>
      <c r="UA246" s="1568"/>
      <c r="UB246" s="1871"/>
      <c r="UC246" s="1575">
        <v>12400</v>
      </c>
      <c r="UD246" s="222"/>
      <c r="UE246" s="1022"/>
      <c r="UF246" s="1568"/>
      <c r="UG246" s="1871"/>
      <c r="UH246" s="1575">
        <v>0</v>
      </c>
      <c r="UI246" s="83"/>
      <c r="UJ246" s="209"/>
      <c r="UK246" s="208"/>
      <c r="UL246" s="208"/>
      <c r="UM246" s="359">
        <v>0</v>
      </c>
      <c r="UN246" s="114"/>
      <c r="UO246" s="405"/>
      <c r="UP246" s="1575"/>
      <c r="UQ246" s="1575"/>
      <c r="UR246" s="1575">
        <v>0</v>
      </c>
      <c r="US246" s="114"/>
      <c r="UT246" s="1868"/>
      <c r="UU246" s="1575"/>
      <c r="UV246" s="1575"/>
      <c r="UW246" s="208">
        <f t="shared" si="883"/>
        <v>134900</v>
      </c>
      <c r="UX246" s="83"/>
      <c r="UY246" s="968"/>
      <c r="UZ246" s="2186"/>
      <c r="VA246" s="2186"/>
      <c r="VB246" s="3222">
        <f t="shared" si="884"/>
        <v>29600</v>
      </c>
      <c r="VC246" s="1869"/>
      <c r="VD246" s="968"/>
      <c r="VE246" s="2186"/>
      <c r="VF246" s="2186"/>
      <c r="VG246" s="2186"/>
      <c r="VH246" s="1869"/>
      <c r="VI246" s="1022"/>
      <c r="VJ246" s="1568"/>
      <c r="VK246" s="1568"/>
      <c r="VL246" s="1568"/>
      <c r="VM246" s="220"/>
      <c r="VN246" s="1022"/>
      <c r="VO246" s="1568"/>
      <c r="VP246" s="1568"/>
      <c r="VQ246" s="1568"/>
      <c r="VR246" s="220"/>
    </row>
    <row r="247" spans="1:590" s="453" customFormat="1" ht="13.45" x14ac:dyDescent="0.3">
      <c r="A247" s="2616"/>
      <c r="B247" s="3169"/>
      <c r="C247" s="3232" t="s">
        <v>915</v>
      </c>
      <c r="D247" s="3171"/>
      <c r="E247" s="3172"/>
      <c r="F247" s="3172"/>
      <c r="G247" s="3173"/>
      <c r="H247" s="3174"/>
      <c r="I247" s="3175"/>
      <c r="J247" s="3175"/>
      <c r="K247" s="3175"/>
      <c r="L247" s="3176"/>
      <c r="M247" s="3177"/>
      <c r="N247" s="3175"/>
      <c r="O247" s="3178"/>
      <c r="P247" s="3179"/>
      <c r="Q247" s="3176"/>
      <c r="R247" s="3177"/>
      <c r="S247" s="3175"/>
      <c r="T247" s="3175"/>
      <c r="U247" s="3175"/>
      <c r="V247" s="3176"/>
      <c r="W247" s="3177"/>
      <c r="X247" s="3175"/>
      <c r="Y247" s="3175"/>
      <c r="Z247" s="3175"/>
      <c r="AA247" s="3180"/>
      <c r="AB247" s="3177"/>
      <c r="AC247" s="3175"/>
      <c r="AD247" s="3175"/>
      <c r="AE247" s="3175"/>
      <c r="AF247" s="3180"/>
      <c r="AG247" s="3175"/>
      <c r="AH247" s="3175"/>
      <c r="AI247" s="3175"/>
      <c r="AJ247" s="3175"/>
      <c r="AK247" s="3176"/>
      <c r="AL247" s="3181"/>
      <c r="AM247" s="3181"/>
      <c r="AN247" s="3181"/>
      <c r="AO247" s="3175"/>
      <c r="AP247" s="3182"/>
      <c r="AQ247" s="3175"/>
      <c r="AR247" s="3175"/>
      <c r="AS247" s="3175"/>
      <c r="AT247" s="3175"/>
      <c r="AU247" s="3176"/>
      <c r="AV247" s="3184"/>
      <c r="AW247" s="3175"/>
      <c r="AX247" s="3175"/>
      <c r="AY247" s="3175"/>
      <c r="AZ247" s="3180"/>
      <c r="BA247" s="3184"/>
      <c r="BB247" s="3175"/>
      <c r="BC247" s="3175"/>
      <c r="BD247" s="3175"/>
      <c r="BE247" s="3180"/>
      <c r="BF247" s="3185"/>
      <c r="BG247" s="3181"/>
      <c r="BH247" s="3175"/>
      <c r="BI247" s="3175"/>
      <c r="BJ247" s="3186"/>
      <c r="BK247" s="3184"/>
      <c r="BL247" s="3175"/>
      <c r="BM247" s="3175"/>
      <c r="BN247" s="3175"/>
      <c r="BO247" s="3180"/>
      <c r="BP247" s="3175"/>
      <c r="BQ247" s="3175"/>
      <c r="BR247" s="3175"/>
      <c r="BS247" s="3175"/>
      <c r="BT247" s="3175"/>
      <c r="BU247" s="3175"/>
      <c r="BV247" s="3175"/>
      <c r="BW247" s="3176"/>
      <c r="BX247" s="3175"/>
      <c r="BY247" s="3175"/>
      <c r="BZ247" s="3175"/>
      <c r="CA247" s="3175"/>
      <c r="CB247" s="3175"/>
      <c r="CC247" s="3175"/>
      <c r="CD247" s="3175"/>
      <c r="CE247" s="3175"/>
      <c r="CF247" s="3175"/>
      <c r="CG247" s="3175"/>
      <c r="CH247" s="3175"/>
      <c r="CI247" s="3175"/>
      <c r="CJ247" s="3177"/>
      <c r="CK247" s="3175"/>
      <c r="CL247" s="3175"/>
      <c r="CM247" s="3175"/>
      <c r="CN247" s="3175"/>
      <c r="CO247" s="3177"/>
      <c r="CP247" s="3175"/>
      <c r="CQ247" s="3175"/>
      <c r="CR247" s="3175"/>
      <c r="CS247" s="3175"/>
      <c r="CT247" s="3177"/>
      <c r="CU247" s="3175"/>
      <c r="CV247" s="3175"/>
      <c r="CW247" s="3175"/>
      <c r="CX247" s="3175"/>
      <c r="CY247" s="3177"/>
      <c r="CZ247" s="3175"/>
      <c r="DA247" s="3175"/>
      <c r="DB247" s="3175"/>
      <c r="DC247" s="3175"/>
      <c r="DD247" s="3175"/>
      <c r="DE247" s="3175"/>
      <c r="DF247" s="3175"/>
      <c r="DG247" s="3175"/>
      <c r="DH247" s="3177"/>
      <c r="DI247" s="3177"/>
      <c r="DJ247" s="3175"/>
      <c r="DK247" s="3175"/>
      <c r="DL247" s="3175"/>
      <c r="DM247" s="3177"/>
      <c r="DN247" s="3177"/>
      <c r="DO247" s="3175"/>
      <c r="DP247" s="3175"/>
      <c r="DQ247" s="3175"/>
      <c r="DR247" s="3177"/>
      <c r="DS247" s="3177"/>
      <c r="DT247" s="3175"/>
      <c r="DU247" s="3175"/>
      <c r="DV247" s="3175"/>
      <c r="DW247" s="3175"/>
      <c r="DX247" s="3177"/>
      <c r="DY247" s="3175"/>
      <c r="DZ247" s="3175"/>
      <c r="EA247" s="3175"/>
      <c r="EB247" s="3180"/>
      <c r="EC247" s="3177"/>
      <c r="ED247" s="3175"/>
      <c r="EE247" s="3175"/>
      <c r="EF247" s="3175"/>
      <c r="EG247" s="3177"/>
      <c r="EH247" s="3175"/>
      <c r="EI247" s="3175"/>
      <c r="EJ247" s="3175"/>
      <c r="EK247" s="3175"/>
      <c r="EL247" s="3175"/>
      <c r="EM247" s="3228"/>
      <c r="EN247" s="1719"/>
      <c r="EO247" s="1719"/>
      <c r="EP247" s="1719"/>
      <c r="EQ247" s="1719"/>
      <c r="ER247" s="3175"/>
      <c r="ES247" s="3175"/>
      <c r="ET247" s="3175"/>
      <c r="EU247" s="3175"/>
      <c r="EV247" s="3175"/>
      <c r="EW247" s="3177"/>
      <c r="EX247" s="3175"/>
      <c r="EY247" s="3175"/>
      <c r="EZ247" s="3175"/>
      <c r="FA247" s="3175"/>
      <c r="FB247" s="3175"/>
      <c r="FC247" s="3175"/>
      <c r="FD247" s="3175"/>
      <c r="FE247" s="3175"/>
      <c r="FF247" s="3175"/>
      <c r="FG247" s="3175"/>
      <c r="FH247" s="3175"/>
      <c r="FI247" s="3175"/>
      <c r="FJ247" s="3175"/>
      <c r="FK247" s="3175"/>
      <c r="FL247" s="3175"/>
      <c r="FM247" s="3175"/>
      <c r="FN247" s="3177"/>
      <c r="FO247" s="3175"/>
      <c r="FP247" s="3175"/>
      <c r="FQ247" s="1719">
        <v>0</v>
      </c>
      <c r="FR247" s="3187"/>
      <c r="FS247" s="3174"/>
      <c r="FT247" s="3175"/>
      <c r="FU247" s="3175"/>
      <c r="FV247" s="3235">
        <f>25000</f>
        <v>25000</v>
      </c>
      <c r="FW247" s="3236"/>
      <c r="FX247" s="3237"/>
      <c r="FY247" s="1719"/>
      <c r="FZ247" s="1719"/>
      <c r="GA247" s="1719">
        <v>50000</v>
      </c>
      <c r="GB247" s="3190"/>
      <c r="GC247" s="3191"/>
      <c r="GD247" s="1936"/>
      <c r="GE247" s="1936"/>
      <c r="GF247" s="264">
        <f>25000</f>
        <v>25000</v>
      </c>
      <c r="GG247" s="2730"/>
      <c r="GH247" s="1149"/>
      <c r="GI247" s="264"/>
      <c r="GJ247" s="264"/>
      <c r="GK247" s="3238">
        <v>25000</v>
      </c>
      <c r="GL247" s="1222"/>
      <c r="GM247" s="1096"/>
      <c r="GN247" s="264"/>
      <c r="GO247" s="264"/>
      <c r="GP247" s="3238">
        <v>25000</v>
      </c>
      <c r="GQ247" s="972"/>
      <c r="GR247" s="3289"/>
      <c r="GS247" s="2558"/>
      <c r="GT247" s="2558"/>
      <c r="GU247" s="2558">
        <v>25000</v>
      </c>
      <c r="GV247" s="3290"/>
      <c r="GW247" s="3289"/>
      <c r="GX247" s="2558"/>
      <c r="GY247" s="2558"/>
      <c r="GZ247" s="2558">
        <v>25000</v>
      </c>
      <c r="HA247" s="3290"/>
      <c r="HB247" s="3289"/>
      <c r="HC247" s="2558"/>
      <c r="HD247" s="2558"/>
      <c r="HE247" s="2558">
        <v>25000</v>
      </c>
      <c r="HF247" s="3290"/>
      <c r="HG247" s="3289"/>
      <c r="HH247" s="2558"/>
      <c r="HI247" s="2558"/>
      <c r="HJ247" s="2558">
        <v>25000</v>
      </c>
      <c r="HK247" s="3290"/>
      <c r="HL247" s="3289"/>
      <c r="HM247" s="2558"/>
      <c r="HN247" s="2558"/>
      <c r="HO247" s="2558">
        <v>25000</v>
      </c>
      <c r="HP247" s="3290"/>
      <c r="HQ247" s="2887"/>
      <c r="HR247" s="2886"/>
      <c r="HS247" s="2886"/>
      <c r="HT247" s="2886">
        <v>25000</v>
      </c>
      <c r="HU247" s="3291"/>
      <c r="HV247" s="1022"/>
      <c r="HW247" s="1568"/>
      <c r="HX247" s="1568"/>
      <c r="HY247" s="1568">
        <f t="shared" si="875"/>
        <v>300000</v>
      </c>
      <c r="HZ247" s="2673"/>
      <c r="IA247" s="3195"/>
      <c r="IB247" s="3196"/>
      <c r="IC247" s="3196">
        <v>0</v>
      </c>
      <c r="ID247" s="3196"/>
      <c r="IE247" s="3191"/>
      <c r="IF247" s="1936"/>
      <c r="IG247" s="2733">
        <v>0</v>
      </c>
      <c r="IH247" s="3192"/>
      <c r="II247" s="3191"/>
      <c r="IJ247" s="1936"/>
      <c r="IK247" s="2733">
        <v>0</v>
      </c>
      <c r="IL247" s="3192"/>
      <c r="IM247" s="3191"/>
      <c r="IN247" s="1936"/>
      <c r="IO247" s="2733">
        <v>0</v>
      </c>
      <c r="IP247" s="3192"/>
      <c r="IR247" s="3200"/>
      <c r="IS247" s="3196"/>
      <c r="IT247" s="3196"/>
      <c r="IU247" s="1756">
        <v>50000</v>
      </c>
      <c r="IV247" s="3201"/>
      <c r="IW247" s="3195"/>
      <c r="IX247" s="3196"/>
      <c r="IY247" s="3196"/>
      <c r="IZ247" s="1756">
        <v>25000</v>
      </c>
      <c r="JA247" s="3239"/>
      <c r="JB247" s="3240"/>
      <c r="JC247" s="1756"/>
      <c r="JD247" s="1756"/>
      <c r="JE247" s="1756">
        <v>25000</v>
      </c>
      <c r="JF247" s="3204"/>
      <c r="JG247" s="3205"/>
      <c r="JH247" s="2186"/>
      <c r="JI247" s="2186"/>
      <c r="JJ247" s="1096">
        <v>25000</v>
      </c>
      <c r="JK247" s="976"/>
      <c r="JL247" s="2011"/>
      <c r="JM247" s="264"/>
      <c r="JN247" s="264"/>
      <c r="JO247" s="1096">
        <v>24500</v>
      </c>
      <c r="JP247" s="1222"/>
      <c r="JQ247" s="3230"/>
      <c r="JR247" s="264"/>
      <c r="JS247" s="264"/>
      <c r="JT247" s="1096">
        <v>24500</v>
      </c>
      <c r="JU247" s="1222"/>
      <c r="JV247" s="3292"/>
      <c r="JW247" s="2558"/>
      <c r="JX247" s="2558"/>
      <c r="JY247" s="1096">
        <v>20600</v>
      </c>
      <c r="JZ247" s="3290"/>
      <c r="KA247" s="3289"/>
      <c r="KB247" s="2558"/>
      <c r="KC247" s="2558"/>
      <c r="KD247" s="2558">
        <v>20600</v>
      </c>
      <c r="KE247" s="3290"/>
      <c r="KF247" s="2888"/>
      <c r="KG247" s="2558"/>
      <c r="KH247" s="2558"/>
      <c r="KI247" s="2558">
        <v>20600</v>
      </c>
      <c r="KJ247" s="3290"/>
      <c r="KK247" s="3293"/>
      <c r="KL247" s="3294"/>
      <c r="KM247" s="3294"/>
      <c r="KN247" s="2558">
        <v>20600</v>
      </c>
      <c r="KO247" s="3295"/>
      <c r="KP247" s="3289"/>
      <c r="KQ247" s="2558"/>
      <c r="KR247" s="2558"/>
      <c r="KS247" s="2558">
        <v>20600</v>
      </c>
      <c r="KT247" s="3290"/>
      <c r="KU247" s="357"/>
      <c r="KV247" s="358"/>
      <c r="KW247" s="358"/>
      <c r="KX247" s="358">
        <v>18340</v>
      </c>
      <c r="KY247" s="2773"/>
      <c r="KZ247" s="1022"/>
      <c r="LA247" s="1568"/>
      <c r="LB247" s="1568"/>
      <c r="LC247" s="358">
        <f>IU247+IZ247+JE247+JJ247+JO247+JT247+JY247+KD247+KI247+KN247+KS247+KX247</f>
        <v>295340</v>
      </c>
      <c r="LD247" s="2673"/>
      <c r="LE247" s="3171"/>
      <c r="LF247" s="3196"/>
      <c r="LG247" s="3196">
        <v>0</v>
      </c>
      <c r="LH247" s="3202"/>
      <c r="LI247" s="3214"/>
      <c r="LJ247" s="1936"/>
      <c r="LK247" s="2733">
        <v>0</v>
      </c>
      <c r="LL247" s="3192"/>
      <c r="LM247" s="3215"/>
      <c r="LN247" s="1936"/>
      <c r="LO247" s="2733">
        <v>0</v>
      </c>
      <c r="LP247" s="3192"/>
      <c r="LQ247" s="3191"/>
      <c r="LR247" s="1936"/>
      <c r="LS247" s="2733">
        <v>0</v>
      </c>
      <c r="LT247" s="3192"/>
      <c r="LV247" s="1567"/>
      <c r="LW247" s="1568"/>
      <c r="LX247" s="1568"/>
      <c r="LY247" s="3234">
        <v>16500</v>
      </c>
      <c r="LZ247" s="3217"/>
      <c r="MA247" s="1022"/>
      <c r="MB247" s="1568"/>
      <c r="MC247" s="1568"/>
      <c r="MD247" s="3234">
        <v>20000</v>
      </c>
      <c r="ME247" s="3194"/>
      <c r="MF247" s="1567"/>
      <c r="MG247" s="1568"/>
      <c r="MH247" s="1568"/>
      <c r="MI247" s="3234">
        <v>28000</v>
      </c>
      <c r="MJ247" s="2674"/>
      <c r="MK247" s="3219"/>
      <c r="ML247" s="1568"/>
      <c r="MM247" s="1568"/>
      <c r="MN247" s="3234">
        <f>30000+16000</f>
        <v>46000</v>
      </c>
      <c r="MO247" s="2674"/>
      <c r="MP247" s="3219"/>
      <c r="MQ247" s="1568"/>
      <c r="MR247" s="1568"/>
      <c r="MS247" s="359">
        <v>28000</v>
      </c>
      <c r="MT247" s="83"/>
      <c r="MU247" s="405"/>
      <c r="MV247" s="1575"/>
      <c r="MW247" s="1575"/>
      <c r="MX247" s="208">
        <v>28538</v>
      </c>
      <c r="MY247" s="83"/>
      <c r="MZ247" s="405"/>
      <c r="NA247" s="1575"/>
      <c r="NB247" s="1575"/>
      <c r="NC247" s="208">
        <v>15000</v>
      </c>
      <c r="ND247" s="83"/>
      <c r="NE247" s="405"/>
      <c r="NF247" s="1575"/>
      <c r="NG247" s="1575"/>
      <c r="NH247" s="208">
        <v>15000</v>
      </c>
      <c r="NI247" s="83"/>
      <c r="NJ247" s="1567"/>
      <c r="NK247" s="1568"/>
      <c r="NL247" s="1871"/>
      <c r="NM247" s="208">
        <v>15000</v>
      </c>
      <c r="NN247" s="83"/>
      <c r="NO247" s="1022"/>
      <c r="NP247" s="1568"/>
      <c r="NQ247" s="1871"/>
      <c r="NR247" s="208">
        <v>15000</v>
      </c>
      <c r="NS247" s="83"/>
      <c r="NT247" s="209"/>
      <c r="NU247" s="208"/>
      <c r="NV247" s="208"/>
      <c r="NW247" s="208">
        <v>15000</v>
      </c>
      <c r="NX247" s="114"/>
      <c r="NY247" s="1868"/>
      <c r="NZ247" s="1575"/>
      <c r="OA247" s="1575"/>
      <c r="OB247" s="208">
        <v>15000</v>
      </c>
      <c r="OC247" s="83"/>
      <c r="OD247" s="1022"/>
      <c r="OE247" s="1568"/>
      <c r="OF247" s="1568"/>
      <c r="OG247" s="358">
        <f t="shared" si="876"/>
        <v>257038</v>
      </c>
      <c r="OH247" s="1872"/>
      <c r="OI247" s="968"/>
      <c r="OJ247" s="2186"/>
      <c r="OK247" s="2186"/>
      <c r="OL247" s="2186"/>
      <c r="OM247" s="1869"/>
      <c r="ON247" s="968"/>
      <c r="OO247" s="2186"/>
      <c r="OP247" s="2186"/>
      <c r="OQ247" s="2186"/>
      <c r="OR247" s="1869"/>
      <c r="OS247" s="1022"/>
      <c r="OT247" s="1568"/>
      <c r="OU247" s="1568"/>
      <c r="OV247" s="1568"/>
      <c r="OW247" s="220"/>
      <c r="OX247" s="1022"/>
      <c r="OY247" s="1568"/>
      <c r="OZ247" s="1568"/>
      <c r="PA247" s="1568"/>
      <c r="PB247" s="220"/>
      <c r="PD247" s="1567"/>
      <c r="PE247" s="1568"/>
      <c r="PF247" s="1568"/>
      <c r="PG247" s="358">
        <v>22420</v>
      </c>
      <c r="PH247" s="2944"/>
      <c r="PI247" s="1022"/>
      <c r="PJ247" s="1568"/>
      <c r="PK247" s="1568"/>
      <c r="PL247" s="3234">
        <v>0</v>
      </c>
      <c r="PM247" s="3194"/>
      <c r="PN247" s="1567"/>
      <c r="PO247" s="1568"/>
      <c r="PP247" s="1568"/>
      <c r="PQ247" s="3234">
        <v>0</v>
      </c>
      <c r="PR247" s="2674"/>
      <c r="PS247" s="3219"/>
      <c r="PT247" s="1568"/>
      <c r="PU247" s="1568"/>
      <c r="PV247" s="3234">
        <v>0</v>
      </c>
      <c r="PW247" s="2674"/>
      <c r="PX247" s="3221"/>
      <c r="PY247" s="358"/>
      <c r="PZ247" s="358"/>
      <c r="QA247" s="359">
        <v>28000</v>
      </c>
      <c r="QB247" s="114"/>
      <c r="QC247" s="405"/>
      <c r="QD247" s="1575"/>
      <c r="QE247" s="1575"/>
      <c r="QF247" s="208">
        <v>28538</v>
      </c>
      <c r="QG247" s="83"/>
      <c r="QH247" s="405"/>
      <c r="QI247" s="1575"/>
      <c r="QJ247" s="1575"/>
      <c r="QK247" s="3241">
        <v>32700</v>
      </c>
      <c r="QL247" s="83"/>
      <c r="QM247" s="405"/>
      <c r="QN247" s="1575"/>
      <c r="QO247" s="1575"/>
      <c r="QP247" s="208">
        <v>35000</v>
      </c>
      <c r="QQ247" s="83"/>
      <c r="QR247" s="1567"/>
      <c r="QS247" s="1568"/>
      <c r="QT247" s="1871"/>
      <c r="QU247" s="208">
        <v>40000</v>
      </c>
      <c r="QV247" s="222"/>
      <c r="QW247" s="1022"/>
      <c r="QX247" s="1568"/>
      <c r="QY247" s="1871"/>
      <c r="QZ247" s="208">
        <v>35000</v>
      </c>
      <c r="RA247" s="83"/>
      <c r="RB247" s="209"/>
      <c r="RC247" s="208"/>
      <c r="RD247" s="208"/>
      <c r="RE247" s="208">
        <v>35000</v>
      </c>
      <c r="RF247" s="114"/>
      <c r="RG247" s="405"/>
      <c r="RH247" s="1575"/>
      <c r="RI247" s="1575"/>
      <c r="RJ247" s="1575">
        <v>35000</v>
      </c>
      <c r="RK247" s="114"/>
      <c r="RL247" s="1022"/>
      <c r="RM247" s="1568"/>
      <c r="RN247" s="1568"/>
      <c r="RO247" s="1568">
        <f t="shared" si="877"/>
        <v>291658</v>
      </c>
      <c r="RP247" s="1872"/>
      <c r="RQ247" s="968"/>
      <c r="RR247" s="2186"/>
      <c r="RS247" s="2186"/>
      <c r="RT247" s="3227">
        <f t="shared" si="881"/>
        <v>0</v>
      </c>
      <c r="RU247" s="1869"/>
      <c r="RV247" s="968"/>
      <c r="RW247" s="2186"/>
      <c r="RX247" s="2186"/>
      <c r="RY247" s="3223">
        <f t="shared" si="878"/>
        <v>96238</v>
      </c>
      <c r="RZ247" s="1869"/>
      <c r="SA247" s="1022"/>
      <c r="SB247" s="1568"/>
      <c r="SC247" s="1568"/>
      <c r="SD247" s="3223">
        <f t="shared" si="879"/>
        <v>107700</v>
      </c>
      <c r="SE247" s="220"/>
      <c r="SF247" s="1022"/>
      <c r="SG247" s="1568"/>
      <c r="SH247" s="1568"/>
      <c r="SI247" s="358">
        <f t="shared" si="882"/>
        <v>105000</v>
      </c>
      <c r="SJ247" s="220"/>
      <c r="SL247" s="1567"/>
      <c r="SM247" s="1568"/>
      <c r="SN247" s="1568"/>
      <c r="SO247" s="137">
        <v>0</v>
      </c>
      <c r="SP247" s="2944"/>
      <c r="SQ247" s="1022"/>
      <c r="SR247" s="1568"/>
      <c r="SS247" s="1568"/>
      <c r="ST247" s="3666">
        <v>0</v>
      </c>
      <c r="SU247" s="3194"/>
      <c r="SV247" s="1857"/>
      <c r="SW247" s="358"/>
      <c r="SX247" s="358"/>
      <c r="SY247" s="359">
        <v>0</v>
      </c>
      <c r="SZ247" s="2563"/>
      <c r="TA247" s="3221"/>
      <c r="TB247" s="358"/>
      <c r="TC247" s="358"/>
      <c r="TD247" s="3234">
        <v>0</v>
      </c>
      <c r="TE247" s="2563"/>
      <c r="TF247" s="3221"/>
      <c r="TG247" s="358"/>
      <c r="TH247" s="358"/>
      <c r="TI247" s="358">
        <v>0</v>
      </c>
      <c r="TJ247" s="114"/>
      <c r="TK247" s="405"/>
      <c r="TL247" s="1575"/>
      <c r="TM247" s="1575"/>
      <c r="TN247" s="208">
        <v>0</v>
      </c>
      <c r="TO247" s="83"/>
      <c r="TP247" s="4506"/>
      <c r="TQ247" s="1575"/>
      <c r="TR247" s="1575"/>
      <c r="TS247" s="208">
        <v>0</v>
      </c>
      <c r="TT247" s="83"/>
      <c r="TU247" s="4506"/>
      <c r="TV247" s="1575"/>
      <c r="TW247" s="1575"/>
      <c r="TX247" s="1575">
        <v>0</v>
      </c>
      <c r="TY247" s="83"/>
      <c r="TZ247" s="1567"/>
      <c r="UA247" s="1568"/>
      <c r="UB247" s="1871"/>
      <c r="UC247" s="1575">
        <v>0</v>
      </c>
      <c r="UD247" s="222"/>
      <c r="UE247" s="1022"/>
      <c r="UF247" s="1568"/>
      <c r="UG247" s="1871"/>
      <c r="UH247" s="1575">
        <v>0</v>
      </c>
      <c r="UI247" s="83"/>
      <c r="UJ247" s="209"/>
      <c r="UK247" s="208"/>
      <c r="UL247" s="208"/>
      <c r="UM247" s="359">
        <v>0</v>
      </c>
      <c r="UN247" s="114"/>
      <c r="UO247" s="405"/>
      <c r="UP247" s="1575"/>
      <c r="UQ247" s="1575"/>
      <c r="UR247" s="1575">
        <v>0</v>
      </c>
      <c r="US247" s="114"/>
      <c r="UT247" s="1868"/>
      <c r="UU247" s="1575"/>
      <c r="UV247" s="1575"/>
      <c r="UW247" s="208">
        <f t="shared" si="883"/>
        <v>0</v>
      </c>
      <c r="UX247" s="83"/>
      <c r="UY247" s="968"/>
      <c r="UZ247" s="2186"/>
      <c r="VA247" s="2186"/>
      <c r="VB247" s="3222">
        <f t="shared" si="884"/>
        <v>0</v>
      </c>
      <c r="VC247" s="1869"/>
      <c r="VD247" s="968"/>
      <c r="VE247" s="2186"/>
      <c r="VF247" s="2186"/>
      <c r="VG247" s="2186"/>
      <c r="VH247" s="1869"/>
      <c r="VI247" s="1022"/>
      <c r="VJ247" s="1568"/>
      <c r="VK247" s="1568"/>
      <c r="VL247" s="1568"/>
      <c r="VM247" s="220"/>
      <c r="VN247" s="1022"/>
      <c r="VO247" s="1568"/>
      <c r="VP247" s="1568"/>
      <c r="VQ247" s="1568"/>
      <c r="VR247" s="220"/>
    </row>
    <row r="248" spans="1:590" s="453" customFormat="1" ht="13.45" x14ac:dyDescent="0.3">
      <c r="A248" s="2616"/>
      <c r="B248" s="3169"/>
      <c r="C248" s="3245" t="s">
        <v>916</v>
      </c>
      <c r="D248" s="3246"/>
      <c r="E248" s="3247"/>
      <c r="F248" s="3247"/>
      <c r="G248" s="3248"/>
      <c r="H248" s="3249"/>
      <c r="I248" s="3250"/>
      <c r="J248" s="3250"/>
      <c r="K248" s="3250"/>
      <c r="L248" s="3251"/>
      <c r="M248" s="3252"/>
      <c r="N248" s="3250"/>
      <c r="O248" s="3253"/>
      <c r="P248" s="3254"/>
      <c r="Q248" s="3251"/>
      <c r="R248" s="3252"/>
      <c r="S248" s="3250"/>
      <c r="T248" s="3250"/>
      <c r="U248" s="3250"/>
      <c r="V248" s="3251"/>
      <c r="W248" s="3252"/>
      <c r="X248" s="3250"/>
      <c r="Y248" s="3250"/>
      <c r="Z248" s="3250"/>
      <c r="AA248" s="3255"/>
      <c r="AB248" s="3252"/>
      <c r="AC248" s="3250"/>
      <c r="AD248" s="3250"/>
      <c r="AE248" s="3250"/>
      <c r="AF248" s="3255"/>
      <c r="AG248" s="3250"/>
      <c r="AH248" s="3250"/>
      <c r="AI248" s="3250"/>
      <c r="AJ248" s="3250"/>
      <c r="AK248" s="3251"/>
      <c r="AL248" s="3256"/>
      <c r="AM248" s="3256"/>
      <c r="AN248" s="3256"/>
      <c r="AO248" s="3250"/>
      <c r="AP248" s="3257"/>
      <c r="AQ248" s="3250"/>
      <c r="AR248" s="3250"/>
      <c r="AS248" s="3250"/>
      <c r="AT248" s="3250"/>
      <c r="AU248" s="3251"/>
      <c r="AV248" s="3258"/>
      <c r="AW248" s="3250"/>
      <c r="AX248" s="3250"/>
      <c r="AY248" s="3250"/>
      <c r="AZ248" s="3255"/>
      <c r="BA248" s="3258"/>
      <c r="BB248" s="3250"/>
      <c r="BC248" s="3250"/>
      <c r="BD248" s="3250"/>
      <c r="BE248" s="3255"/>
      <c r="BF248" s="3259"/>
      <c r="BG248" s="3256"/>
      <c r="BH248" s="3250"/>
      <c r="BI248" s="3250"/>
      <c r="BJ248" s="3260"/>
      <c r="BK248" s="3258"/>
      <c r="BL248" s="3250"/>
      <c r="BM248" s="3250"/>
      <c r="BN248" s="3250"/>
      <c r="BO248" s="3255"/>
      <c r="BP248" s="3250"/>
      <c r="BQ248" s="3250"/>
      <c r="BR248" s="3250"/>
      <c r="BS248" s="3250"/>
      <c r="BT248" s="3250"/>
      <c r="BU248" s="3250"/>
      <c r="BV248" s="3250"/>
      <c r="BW248" s="3251"/>
      <c r="BX248" s="3250"/>
      <c r="BY248" s="3250"/>
      <c r="BZ248" s="3250"/>
      <c r="CA248" s="3250"/>
      <c r="CB248" s="3250"/>
      <c r="CC248" s="3250"/>
      <c r="CD248" s="3250"/>
      <c r="CE248" s="3250"/>
      <c r="CF248" s="3250"/>
      <c r="CG248" s="3250"/>
      <c r="CH248" s="3250"/>
      <c r="CI248" s="3250"/>
      <c r="CJ248" s="3252"/>
      <c r="CK248" s="3250"/>
      <c r="CL248" s="3250"/>
      <c r="CM248" s="3250"/>
      <c r="CN248" s="3250"/>
      <c r="CO248" s="3252"/>
      <c r="CP248" s="3250"/>
      <c r="CQ248" s="3250"/>
      <c r="CR248" s="3250"/>
      <c r="CS248" s="3250"/>
      <c r="CT248" s="3252"/>
      <c r="CU248" s="3250"/>
      <c r="CV248" s="3250"/>
      <c r="CW248" s="3250"/>
      <c r="CX248" s="3250"/>
      <c r="CY248" s="3252"/>
      <c r="CZ248" s="3250"/>
      <c r="DA248" s="3250"/>
      <c r="DB248" s="3250"/>
      <c r="DC248" s="3250"/>
      <c r="DD248" s="3250"/>
      <c r="DE248" s="3250"/>
      <c r="DF248" s="3250"/>
      <c r="DG248" s="3250"/>
      <c r="DH248" s="3252"/>
      <c r="DI248" s="3252"/>
      <c r="DJ248" s="3250"/>
      <c r="DK248" s="3250"/>
      <c r="DL248" s="3250"/>
      <c r="DM248" s="3252"/>
      <c r="DN248" s="3252"/>
      <c r="DO248" s="3250"/>
      <c r="DP248" s="3250"/>
      <c r="DQ248" s="3250"/>
      <c r="DR248" s="3252"/>
      <c r="DS248" s="3252"/>
      <c r="DT248" s="3250"/>
      <c r="DU248" s="3250"/>
      <c r="DV248" s="3250"/>
      <c r="DW248" s="3250"/>
      <c r="DX248" s="3252"/>
      <c r="DY248" s="3250"/>
      <c r="DZ248" s="3250"/>
      <c r="EA248" s="3250"/>
      <c r="EB248" s="3255"/>
      <c r="EC248" s="3252"/>
      <c r="ED248" s="3250"/>
      <c r="EE248" s="3250"/>
      <c r="EF248" s="3250"/>
      <c r="EG248" s="3252"/>
      <c r="EH248" s="3250"/>
      <c r="EI248" s="3250"/>
      <c r="EJ248" s="3250"/>
      <c r="EK248" s="3250"/>
      <c r="EL248" s="3250"/>
      <c r="EM248" s="3261"/>
      <c r="EN248" s="2124"/>
      <c r="EO248" s="2124"/>
      <c r="EP248" s="2124"/>
      <c r="EQ248" s="2124"/>
      <c r="ER248" s="3250"/>
      <c r="ES248" s="3250"/>
      <c r="ET248" s="3250"/>
      <c r="EU248" s="3250"/>
      <c r="EV248" s="3250"/>
      <c r="EW248" s="3252"/>
      <c r="EX248" s="3250"/>
      <c r="EY248" s="3250"/>
      <c r="EZ248" s="3250"/>
      <c r="FA248" s="3250"/>
      <c r="FB248" s="3250"/>
      <c r="FC248" s="3250"/>
      <c r="FD248" s="3250"/>
      <c r="FE248" s="3250"/>
      <c r="FF248" s="3250"/>
      <c r="FG248" s="3250"/>
      <c r="FH248" s="3250"/>
      <c r="FI248" s="3250"/>
      <c r="FJ248" s="3250"/>
      <c r="FK248" s="3250"/>
      <c r="FL248" s="3250"/>
      <c r="FM248" s="3250"/>
      <c r="FN248" s="3252"/>
      <c r="FO248" s="3250"/>
      <c r="FP248" s="3250"/>
      <c r="FQ248" s="2124"/>
      <c r="FR248" s="3262"/>
      <c r="FS248" s="3249"/>
      <c r="FT248" s="3250"/>
      <c r="FU248" s="3250"/>
      <c r="FV248" s="3263"/>
      <c r="FW248" s="3264"/>
      <c r="FX248" s="3265"/>
      <c r="FY248" s="2124"/>
      <c r="FZ248" s="2124"/>
      <c r="GA248" s="2124"/>
      <c r="GB248" s="3266"/>
      <c r="GC248" s="3273"/>
      <c r="GD248" s="2763"/>
      <c r="GE248" s="2763"/>
      <c r="GF248" s="1850"/>
      <c r="GG248" s="2764"/>
      <c r="GH248" s="2917"/>
      <c r="GI248" s="1850"/>
      <c r="GJ248" s="1850"/>
      <c r="GK248" s="3267"/>
      <c r="GL248" s="3268"/>
      <c r="GM248" s="2049"/>
      <c r="GN248" s="1850"/>
      <c r="GO248" s="1850"/>
      <c r="GP248" s="3267"/>
      <c r="GQ248" s="1119"/>
      <c r="GR248" s="3269"/>
      <c r="GS248" s="1978"/>
      <c r="GT248" s="1978"/>
      <c r="GU248" s="1978"/>
      <c r="GV248" s="3270"/>
      <c r="GW248" s="3269"/>
      <c r="GX248" s="1978"/>
      <c r="GY248" s="1978"/>
      <c r="GZ248" s="1978"/>
      <c r="HA248" s="3270"/>
      <c r="HB248" s="3269"/>
      <c r="HC248" s="1978"/>
      <c r="HD248" s="1978"/>
      <c r="HE248" s="1978"/>
      <c r="HF248" s="3270"/>
      <c r="HG248" s="3269"/>
      <c r="HH248" s="1978"/>
      <c r="HI248" s="1978"/>
      <c r="HJ248" s="1978"/>
      <c r="HK248" s="3270"/>
      <c r="HL248" s="3269"/>
      <c r="HM248" s="1978"/>
      <c r="HN248" s="1978"/>
      <c r="HO248" s="1978"/>
      <c r="HP248" s="3270"/>
      <c r="HQ248" s="1633"/>
      <c r="HR248" s="823"/>
      <c r="HS248" s="823"/>
      <c r="HT248" s="823"/>
      <c r="HU248" s="1931"/>
      <c r="HV248" s="2889"/>
      <c r="HW248" s="2641"/>
      <c r="HX248" s="2641"/>
      <c r="HY248" s="1568"/>
      <c r="HZ248" s="2693"/>
      <c r="IA248" s="3271"/>
      <c r="IB248" s="3272"/>
      <c r="IC248" s="3272"/>
      <c r="ID248" s="3272"/>
      <c r="IE248" s="3273"/>
      <c r="IF248" s="2763"/>
      <c r="IG248" s="3275"/>
      <c r="IH248" s="3274"/>
      <c r="II248" s="3273"/>
      <c r="IJ248" s="2763"/>
      <c r="IK248" s="3275"/>
      <c r="IL248" s="3274"/>
      <c r="IM248" s="3273"/>
      <c r="IN248" s="2763"/>
      <c r="IO248" s="3275"/>
      <c r="IP248" s="3274"/>
      <c r="IR248" s="3276"/>
      <c r="IS248" s="3272"/>
      <c r="IT248" s="3272"/>
      <c r="IU248" s="2126"/>
      <c r="IV248" s="3277"/>
      <c r="IW248" s="3271"/>
      <c r="IX248" s="3272"/>
      <c r="IY248" s="3272"/>
      <c r="IZ248" s="2126"/>
      <c r="JA248" s="3278"/>
      <c r="JB248" s="3279"/>
      <c r="JC248" s="2126"/>
      <c r="JD248" s="2126"/>
      <c r="JE248" s="2126"/>
      <c r="JF248" s="3280"/>
      <c r="JG248" s="3297"/>
      <c r="JH248" s="2619"/>
      <c r="JI248" s="2619"/>
      <c r="JJ248" s="2049"/>
      <c r="JK248" s="1243"/>
      <c r="JL248" s="2620"/>
      <c r="JM248" s="1850"/>
      <c r="JN248" s="1850"/>
      <c r="JO248" s="2049"/>
      <c r="JP248" s="3268"/>
      <c r="JQ248" s="3281"/>
      <c r="JR248" s="1850"/>
      <c r="JS248" s="1850"/>
      <c r="JT248" s="2049"/>
      <c r="JU248" s="3268"/>
      <c r="JV248" s="3282"/>
      <c r="JW248" s="1978"/>
      <c r="JX248" s="1978"/>
      <c r="JY248" s="2049"/>
      <c r="JZ248" s="3270"/>
      <c r="KA248" s="3269"/>
      <c r="KB248" s="1978"/>
      <c r="KC248" s="1978"/>
      <c r="KD248" s="1978"/>
      <c r="KE248" s="3270"/>
      <c r="KF248" s="2516"/>
      <c r="KG248" s="1978"/>
      <c r="KH248" s="1978"/>
      <c r="KI248" s="1978"/>
      <c r="KJ248" s="3270"/>
      <c r="KK248" s="3283"/>
      <c r="KL248" s="3284"/>
      <c r="KM248" s="3284"/>
      <c r="KN248" s="1978"/>
      <c r="KO248" s="3285"/>
      <c r="KP248" s="3269"/>
      <c r="KQ248" s="1978"/>
      <c r="KR248" s="1978"/>
      <c r="KS248" s="1978"/>
      <c r="KT248" s="3270"/>
      <c r="KU248" s="357"/>
      <c r="KV248" s="358"/>
      <c r="KW248" s="358"/>
      <c r="KX248" s="358"/>
      <c r="KY248" s="2773"/>
      <c r="KZ248" s="2889"/>
      <c r="LA248" s="2641"/>
      <c r="LB248" s="2641"/>
      <c r="LC248" s="358"/>
      <c r="LD248" s="2693"/>
      <c r="LE248" s="3246"/>
      <c r="LF248" s="3272"/>
      <c r="LG248" s="3272"/>
      <c r="LH248" s="3286"/>
      <c r="LI248" s="3287"/>
      <c r="LJ248" s="2763"/>
      <c r="LK248" s="3275"/>
      <c r="LL248" s="3274"/>
      <c r="LM248" s="3288"/>
      <c r="LN248" s="2763"/>
      <c r="LO248" s="3275"/>
      <c r="LP248" s="3274"/>
      <c r="LQ248" s="3273"/>
      <c r="LR248" s="2763"/>
      <c r="LS248" s="3275"/>
      <c r="LT248" s="3274"/>
      <c r="LV248" s="2883"/>
      <c r="LW248" s="2641"/>
      <c r="LX248" s="2641"/>
      <c r="LY248" s="457"/>
      <c r="LZ248" s="3298"/>
      <c r="MA248" s="2889"/>
      <c r="MB248" s="2641"/>
      <c r="MC248" s="2641"/>
      <c r="MD248" s="457"/>
      <c r="ME248" s="3299"/>
      <c r="MF248" s="2883"/>
      <c r="MG248" s="2641"/>
      <c r="MH248" s="2641"/>
      <c r="MI248" s="457"/>
      <c r="MJ248" s="2653"/>
      <c r="MK248" s="3300"/>
      <c r="ML248" s="2641"/>
      <c r="MM248" s="2641"/>
      <c r="MN248" s="457"/>
      <c r="MO248" s="2653"/>
      <c r="MP248" s="3300"/>
      <c r="MQ248" s="2641"/>
      <c r="MR248" s="2641"/>
      <c r="MS248" s="2634"/>
      <c r="MT248" s="375"/>
      <c r="MU248" s="404"/>
      <c r="MV248" s="2150"/>
      <c r="MW248" s="2150"/>
      <c r="MX248" s="435"/>
      <c r="MY248" s="375"/>
      <c r="MZ248" s="404"/>
      <c r="NA248" s="2150"/>
      <c r="NB248" s="2150"/>
      <c r="NC248" s="435"/>
      <c r="ND248" s="375"/>
      <c r="NE248" s="404"/>
      <c r="NF248" s="2150"/>
      <c r="NG248" s="2150"/>
      <c r="NH248" s="435"/>
      <c r="NI248" s="375"/>
      <c r="NJ248" s="2883"/>
      <c r="NK248" s="2641"/>
      <c r="NL248" s="2652"/>
      <c r="NM248" s="435"/>
      <c r="NN248" s="375"/>
      <c r="NO248" s="2889"/>
      <c r="NP248" s="2641"/>
      <c r="NQ248" s="2652"/>
      <c r="NR248" s="435"/>
      <c r="NS248" s="375"/>
      <c r="NT248" s="1596"/>
      <c r="NU248" s="435"/>
      <c r="NV248" s="435"/>
      <c r="NW248" s="435"/>
      <c r="NX248" s="117"/>
      <c r="NY248" s="2635"/>
      <c r="NZ248" s="2150"/>
      <c r="OA248" s="2150"/>
      <c r="OB248" s="435"/>
      <c r="OC248" s="375"/>
      <c r="OD248" s="1022"/>
      <c r="OE248" s="1568"/>
      <c r="OF248" s="1568"/>
      <c r="OG248" s="358"/>
      <c r="OH248" s="1872"/>
      <c r="OI248" s="1116"/>
      <c r="OJ248" s="2619"/>
      <c r="OK248" s="2619"/>
      <c r="OL248" s="2619"/>
      <c r="OM248" s="2643"/>
      <c r="ON248" s="1116"/>
      <c r="OO248" s="2619"/>
      <c r="OP248" s="2619"/>
      <c r="OQ248" s="2619"/>
      <c r="OR248" s="2643"/>
      <c r="OS248" s="2889"/>
      <c r="OT248" s="2641"/>
      <c r="OU248" s="2641"/>
      <c r="OV248" s="2641"/>
      <c r="OW248" s="1600"/>
      <c r="OX248" s="2889"/>
      <c r="OY248" s="2641"/>
      <c r="OZ248" s="2641"/>
      <c r="PA248" s="2641"/>
      <c r="PB248" s="1600"/>
      <c r="PD248" s="2883"/>
      <c r="PE248" s="2641"/>
      <c r="PF248" s="2641"/>
      <c r="PG248" s="1585"/>
      <c r="PH248" s="3301"/>
      <c r="PI248" s="2889"/>
      <c r="PJ248" s="2641"/>
      <c r="PK248" s="2641"/>
      <c r="PL248" s="457"/>
      <c r="PM248" s="3299"/>
      <c r="PN248" s="2883"/>
      <c r="PO248" s="2641"/>
      <c r="PP248" s="2641"/>
      <c r="PQ248" s="457"/>
      <c r="PR248" s="2653"/>
      <c r="PS248" s="3300"/>
      <c r="PT248" s="2641"/>
      <c r="PU248" s="2641"/>
      <c r="PV248" s="457"/>
      <c r="PW248" s="2653"/>
      <c r="PX248" s="3302"/>
      <c r="PY248" s="1585"/>
      <c r="PZ248" s="1585"/>
      <c r="QA248" s="2634"/>
      <c r="QB248" s="117"/>
      <c r="QC248" s="404"/>
      <c r="QD248" s="2150"/>
      <c r="QE248" s="2150"/>
      <c r="QF248" s="435"/>
      <c r="QG248" s="375"/>
      <c r="QH248" s="404"/>
      <c r="QI248" s="2150"/>
      <c r="QJ248" s="2150"/>
      <c r="QK248" s="3303"/>
      <c r="QL248" s="375"/>
      <c r="QM248" s="404"/>
      <c r="QN248" s="2150"/>
      <c r="QO248" s="2150"/>
      <c r="QP248" s="435"/>
      <c r="QQ248" s="375"/>
      <c r="QR248" s="2883"/>
      <c r="QS248" s="2641"/>
      <c r="QT248" s="2652"/>
      <c r="QU248" s="208"/>
      <c r="QV248" s="2958"/>
      <c r="QW248" s="2889"/>
      <c r="QX248" s="2641"/>
      <c r="QY248" s="2652"/>
      <c r="QZ248" s="435"/>
      <c r="RA248" s="375"/>
      <c r="RB248" s="1596"/>
      <c r="RC248" s="435"/>
      <c r="RD248" s="435"/>
      <c r="RE248" s="435"/>
      <c r="RF248" s="117"/>
      <c r="RG248" s="404"/>
      <c r="RH248" s="2150"/>
      <c r="RI248" s="2150"/>
      <c r="RJ248" s="2150">
        <v>0</v>
      </c>
      <c r="RK248" s="117"/>
      <c r="RL248" s="1022"/>
      <c r="RM248" s="1568"/>
      <c r="RN248" s="1568"/>
      <c r="RO248" s="1568"/>
      <c r="RP248" s="1872"/>
      <c r="RQ248" s="1116"/>
      <c r="RR248" s="2619"/>
      <c r="RS248" s="2619"/>
      <c r="RT248" s="3227">
        <f t="shared" si="881"/>
        <v>0</v>
      </c>
      <c r="RU248" s="2643"/>
      <c r="RV248" s="1116"/>
      <c r="RW248" s="2619"/>
      <c r="RX248" s="2619"/>
      <c r="RY248" s="3223">
        <f t="shared" si="878"/>
        <v>0</v>
      </c>
      <c r="RZ248" s="2643"/>
      <c r="SA248" s="2889"/>
      <c r="SB248" s="2641"/>
      <c r="SC248" s="2641"/>
      <c r="SD248" s="3223">
        <f t="shared" si="879"/>
        <v>0</v>
      </c>
      <c r="SE248" s="1600"/>
      <c r="SF248" s="2889"/>
      <c r="SG248" s="2641"/>
      <c r="SH248" s="2641"/>
      <c r="SI248" s="358">
        <f t="shared" si="882"/>
        <v>0</v>
      </c>
      <c r="SJ248" s="1600"/>
      <c r="SL248" s="2883"/>
      <c r="SM248" s="2641"/>
      <c r="SN248" s="2641"/>
      <c r="SO248" s="137">
        <f>306990+102300</f>
        <v>409290</v>
      </c>
      <c r="SP248" s="3301"/>
      <c r="SQ248" s="2889"/>
      <c r="SR248" s="2641"/>
      <c r="SS248" s="2641"/>
      <c r="ST248" s="3667">
        <f>ST292</f>
        <v>254925.5</v>
      </c>
      <c r="SU248" s="3299"/>
      <c r="SV248" s="2142"/>
      <c r="SW248" s="1585"/>
      <c r="SX248" s="1585"/>
      <c r="SY248" s="359">
        <f>SY292+8000</f>
        <v>156481.75</v>
      </c>
      <c r="SZ248" s="4096"/>
      <c r="TA248" s="3302"/>
      <c r="TB248" s="1585"/>
      <c r="TC248" s="1585"/>
      <c r="TD248" s="3234">
        <f>TD292</f>
        <v>206239</v>
      </c>
      <c r="TE248" s="4096"/>
      <c r="TF248" s="3302"/>
      <c r="TG248" s="1585"/>
      <c r="TH248" s="1585"/>
      <c r="TI248" s="358">
        <f>TJ295</f>
        <v>167526.75</v>
      </c>
      <c r="TJ248" s="117"/>
      <c r="TK248" s="404"/>
      <c r="TL248" s="2150"/>
      <c r="TM248" s="2150"/>
      <c r="TN248" s="208">
        <f>TN296</f>
        <v>206126.75</v>
      </c>
      <c r="TO248" s="375"/>
      <c r="TP248" s="4516"/>
      <c r="TQ248" s="2150"/>
      <c r="TR248" s="2150"/>
      <c r="TS248" s="208">
        <f>TS296</f>
        <v>295281.75</v>
      </c>
      <c r="TT248" s="375"/>
      <c r="TU248" s="4516"/>
      <c r="TV248" s="2150"/>
      <c r="TW248" s="2150"/>
      <c r="TX248" s="1575">
        <f>TX296</f>
        <v>298634.25</v>
      </c>
      <c r="TY248" s="375"/>
      <c r="TZ248" s="2883"/>
      <c r="UA248" s="2641"/>
      <c r="UB248" s="2652"/>
      <c r="UC248" s="1575">
        <f>UC297</f>
        <v>353806.75</v>
      </c>
      <c r="UD248" s="2958"/>
      <c r="UE248" s="2889"/>
      <c r="UF248" s="2641"/>
      <c r="UG248" s="2652"/>
      <c r="UH248" s="1575">
        <f>UH297</f>
        <v>341011.25</v>
      </c>
      <c r="UI248" s="375"/>
      <c r="UJ248" s="1596"/>
      <c r="UK248" s="435"/>
      <c r="UL248" s="435"/>
      <c r="UM248" s="359"/>
      <c r="UN248" s="117"/>
      <c r="UO248" s="404"/>
      <c r="UP248" s="2150"/>
      <c r="UQ248" s="2150"/>
      <c r="UR248" s="1575"/>
      <c r="US248" s="117"/>
      <c r="UT248" s="1868"/>
      <c r="UU248" s="1575"/>
      <c r="UV248" s="1575"/>
      <c r="UW248" s="208">
        <f t="shared" si="883"/>
        <v>2689323.75</v>
      </c>
      <c r="UX248" s="83"/>
      <c r="UY248" s="1116"/>
      <c r="UZ248" s="2619"/>
      <c r="VA248" s="2619"/>
      <c r="VB248" s="3222">
        <f t="shared" si="884"/>
        <v>820697.25</v>
      </c>
      <c r="VC248" s="2643"/>
      <c r="VD248" s="1116"/>
      <c r="VE248" s="2619"/>
      <c r="VF248" s="2619"/>
      <c r="VG248" s="2619"/>
      <c r="VH248" s="2643"/>
      <c r="VI248" s="2889"/>
      <c r="VJ248" s="2641"/>
      <c r="VK248" s="2641"/>
      <c r="VL248" s="2641"/>
      <c r="VM248" s="1600"/>
      <c r="VN248" s="2889"/>
      <c r="VO248" s="2641"/>
      <c r="VP248" s="2641"/>
      <c r="VQ248" s="2641"/>
      <c r="VR248" s="1600"/>
    </row>
    <row r="249" spans="1:590" s="453" customFormat="1" ht="13.45" x14ac:dyDescent="0.3">
      <c r="A249" s="2616"/>
      <c r="B249" s="3169"/>
      <c r="C249" s="3245" t="s">
        <v>984</v>
      </c>
      <c r="D249" s="3246"/>
      <c r="E249" s="3247"/>
      <c r="F249" s="3247"/>
      <c r="G249" s="3248"/>
      <c r="H249" s="3249"/>
      <c r="I249" s="3250"/>
      <c r="J249" s="3250"/>
      <c r="K249" s="3250"/>
      <c r="L249" s="3251"/>
      <c r="M249" s="3252"/>
      <c r="N249" s="3250"/>
      <c r="O249" s="3253"/>
      <c r="P249" s="3254"/>
      <c r="Q249" s="3251"/>
      <c r="R249" s="3252"/>
      <c r="S249" s="3250"/>
      <c r="T249" s="3250"/>
      <c r="U249" s="3250"/>
      <c r="V249" s="3251"/>
      <c r="W249" s="3252"/>
      <c r="X249" s="3250"/>
      <c r="Y249" s="3250"/>
      <c r="Z249" s="3250"/>
      <c r="AA249" s="3255"/>
      <c r="AB249" s="3252"/>
      <c r="AC249" s="3250"/>
      <c r="AD249" s="3250"/>
      <c r="AE249" s="3250"/>
      <c r="AF249" s="3255"/>
      <c r="AG249" s="3250"/>
      <c r="AH249" s="3250"/>
      <c r="AI249" s="3250"/>
      <c r="AJ249" s="3250"/>
      <c r="AK249" s="3251"/>
      <c r="AL249" s="3256"/>
      <c r="AM249" s="3256"/>
      <c r="AN249" s="3256"/>
      <c r="AO249" s="3250"/>
      <c r="AP249" s="3257"/>
      <c r="AQ249" s="3250"/>
      <c r="AR249" s="3250"/>
      <c r="AS249" s="3250"/>
      <c r="AT249" s="3250"/>
      <c r="AU249" s="3251"/>
      <c r="AV249" s="3258"/>
      <c r="AW249" s="3250"/>
      <c r="AX249" s="3250"/>
      <c r="AY249" s="3250"/>
      <c r="AZ249" s="3255"/>
      <c r="BA249" s="3258"/>
      <c r="BB249" s="3250"/>
      <c r="BC249" s="3250"/>
      <c r="BD249" s="3250"/>
      <c r="BE249" s="3255"/>
      <c r="BF249" s="3259"/>
      <c r="BG249" s="3256"/>
      <c r="BH249" s="3250"/>
      <c r="BI249" s="3250"/>
      <c r="BJ249" s="3260"/>
      <c r="BK249" s="3258"/>
      <c r="BL249" s="3250"/>
      <c r="BM249" s="3250"/>
      <c r="BN249" s="3250"/>
      <c r="BO249" s="3255"/>
      <c r="BP249" s="3250"/>
      <c r="BQ249" s="3250"/>
      <c r="BR249" s="3250"/>
      <c r="BS249" s="3250"/>
      <c r="BT249" s="3250"/>
      <c r="BU249" s="3250"/>
      <c r="BV249" s="3250"/>
      <c r="BW249" s="3251"/>
      <c r="BX249" s="3250"/>
      <c r="BY249" s="3250"/>
      <c r="BZ249" s="3250"/>
      <c r="CA249" s="3250"/>
      <c r="CB249" s="3250"/>
      <c r="CC249" s="3250"/>
      <c r="CD249" s="3250"/>
      <c r="CE249" s="3250"/>
      <c r="CF249" s="3250"/>
      <c r="CG249" s="3250"/>
      <c r="CH249" s="3250"/>
      <c r="CI249" s="3250"/>
      <c r="CJ249" s="3252"/>
      <c r="CK249" s="3250"/>
      <c r="CL249" s="3250"/>
      <c r="CM249" s="3250"/>
      <c r="CN249" s="3250"/>
      <c r="CO249" s="3252"/>
      <c r="CP249" s="3250"/>
      <c r="CQ249" s="3250"/>
      <c r="CR249" s="3250"/>
      <c r="CS249" s="3250"/>
      <c r="CT249" s="3252"/>
      <c r="CU249" s="3250"/>
      <c r="CV249" s="3250"/>
      <c r="CW249" s="3250"/>
      <c r="CX249" s="3250"/>
      <c r="CY249" s="3252"/>
      <c r="CZ249" s="3250"/>
      <c r="DA249" s="3250"/>
      <c r="DB249" s="3250"/>
      <c r="DC249" s="3250"/>
      <c r="DD249" s="3250"/>
      <c r="DE249" s="3250"/>
      <c r="DF249" s="3250"/>
      <c r="DG249" s="3250"/>
      <c r="DH249" s="3252"/>
      <c r="DI249" s="3252"/>
      <c r="DJ249" s="3250"/>
      <c r="DK249" s="3250"/>
      <c r="DL249" s="3250"/>
      <c r="DM249" s="3252"/>
      <c r="DN249" s="3252"/>
      <c r="DO249" s="3250"/>
      <c r="DP249" s="3250"/>
      <c r="DQ249" s="3250"/>
      <c r="DR249" s="3252"/>
      <c r="DS249" s="3252"/>
      <c r="DT249" s="3250"/>
      <c r="DU249" s="3250"/>
      <c r="DV249" s="3250"/>
      <c r="DW249" s="3250"/>
      <c r="DX249" s="3252"/>
      <c r="DY249" s="3250"/>
      <c r="DZ249" s="3250"/>
      <c r="EA249" s="3250"/>
      <c r="EB249" s="3255"/>
      <c r="EC249" s="3252"/>
      <c r="ED249" s="3250"/>
      <c r="EE249" s="3250"/>
      <c r="EF249" s="3250"/>
      <c r="EG249" s="3252"/>
      <c r="EH249" s="3250"/>
      <c r="EI249" s="3250"/>
      <c r="EJ249" s="3250"/>
      <c r="EK249" s="3250"/>
      <c r="EL249" s="3250"/>
      <c r="EM249" s="3261"/>
      <c r="EN249" s="2124"/>
      <c r="EO249" s="2124"/>
      <c r="EP249" s="2124"/>
      <c r="EQ249" s="2124"/>
      <c r="ER249" s="3250"/>
      <c r="ES249" s="3250"/>
      <c r="ET249" s="3250"/>
      <c r="EU249" s="3250"/>
      <c r="EV249" s="3250"/>
      <c r="EW249" s="3252"/>
      <c r="EX249" s="3250"/>
      <c r="EY249" s="3250"/>
      <c r="EZ249" s="3250"/>
      <c r="FA249" s="3250"/>
      <c r="FB249" s="3250"/>
      <c r="FC249" s="3250"/>
      <c r="FD249" s="3250"/>
      <c r="FE249" s="3250"/>
      <c r="FF249" s="3250"/>
      <c r="FG249" s="3250"/>
      <c r="FH249" s="3250"/>
      <c r="FI249" s="3250"/>
      <c r="FJ249" s="3250"/>
      <c r="FK249" s="3250"/>
      <c r="FL249" s="3250"/>
      <c r="FM249" s="3250"/>
      <c r="FN249" s="3252"/>
      <c r="FO249" s="3250"/>
      <c r="FP249" s="3250"/>
      <c r="FQ249" s="2124"/>
      <c r="FR249" s="3262"/>
      <c r="FS249" s="3249"/>
      <c r="FT249" s="3250"/>
      <c r="FU249" s="3250"/>
      <c r="FV249" s="3263"/>
      <c r="FW249" s="3264"/>
      <c r="FX249" s="3265"/>
      <c r="FY249" s="2124"/>
      <c r="FZ249" s="2124"/>
      <c r="GA249" s="2124"/>
      <c r="GB249" s="3266"/>
      <c r="GC249" s="3273"/>
      <c r="GD249" s="2763"/>
      <c r="GE249" s="2763"/>
      <c r="GF249" s="1850"/>
      <c r="GG249" s="2764"/>
      <c r="GH249" s="2917"/>
      <c r="GI249" s="1850"/>
      <c r="GJ249" s="1850"/>
      <c r="GK249" s="3267"/>
      <c r="GL249" s="3268"/>
      <c r="GM249" s="2049"/>
      <c r="GN249" s="1850"/>
      <c r="GO249" s="1850"/>
      <c r="GP249" s="3267"/>
      <c r="GQ249" s="1119"/>
      <c r="GR249" s="3269"/>
      <c r="GS249" s="1978"/>
      <c r="GT249" s="1978"/>
      <c r="GU249" s="1978"/>
      <c r="GV249" s="3270"/>
      <c r="GW249" s="3269"/>
      <c r="GX249" s="1978"/>
      <c r="GY249" s="1978"/>
      <c r="GZ249" s="1978"/>
      <c r="HA249" s="3270"/>
      <c r="HB249" s="3269"/>
      <c r="HC249" s="1978"/>
      <c r="HD249" s="1978"/>
      <c r="HE249" s="1978"/>
      <c r="HF249" s="3270"/>
      <c r="HG249" s="3269"/>
      <c r="HH249" s="1978"/>
      <c r="HI249" s="1978"/>
      <c r="HJ249" s="1978"/>
      <c r="HK249" s="3270"/>
      <c r="HL249" s="3269"/>
      <c r="HM249" s="1978"/>
      <c r="HN249" s="1978"/>
      <c r="HO249" s="1978"/>
      <c r="HP249" s="3270"/>
      <c r="HQ249" s="1633"/>
      <c r="HR249" s="823"/>
      <c r="HS249" s="823"/>
      <c r="HT249" s="823"/>
      <c r="HU249" s="1931"/>
      <c r="HV249" s="2889"/>
      <c r="HW249" s="2641"/>
      <c r="HX249" s="2641"/>
      <c r="HY249" s="1568"/>
      <c r="HZ249" s="2693"/>
      <c r="IA249" s="3271"/>
      <c r="IB249" s="3272"/>
      <c r="IC249" s="3272"/>
      <c r="ID249" s="3272"/>
      <c r="IE249" s="3273"/>
      <c r="IF249" s="2763"/>
      <c r="IG249" s="3275"/>
      <c r="IH249" s="3274"/>
      <c r="II249" s="3273"/>
      <c r="IJ249" s="2763"/>
      <c r="IK249" s="3275"/>
      <c r="IL249" s="3274"/>
      <c r="IM249" s="3273"/>
      <c r="IN249" s="2763"/>
      <c r="IO249" s="3275"/>
      <c r="IP249" s="3274"/>
      <c r="IR249" s="3276"/>
      <c r="IS249" s="3272"/>
      <c r="IT249" s="3272"/>
      <c r="IU249" s="2126"/>
      <c r="IV249" s="3277"/>
      <c r="IW249" s="3271"/>
      <c r="IX249" s="3272"/>
      <c r="IY249" s="3272"/>
      <c r="IZ249" s="2126"/>
      <c r="JA249" s="3278"/>
      <c r="JB249" s="3279"/>
      <c r="JC249" s="2126"/>
      <c r="JD249" s="2126"/>
      <c r="JE249" s="2126"/>
      <c r="JF249" s="3280"/>
      <c r="JG249" s="3297"/>
      <c r="JH249" s="2619"/>
      <c r="JI249" s="2619"/>
      <c r="JJ249" s="2049"/>
      <c r="JK249" s="1243"/>
      <c r="JL249" s="2620"/>
      <c r="JM249" s="1850"/>
      <c r="JN249" s="1850"/>
      <c r="JO249" s="2049"/>
      <c r="JP249" s="3268"/>
      <c r="JQ249" s="3281"/>
      <c r="JR249" s="1850"/>
      <c r="JS249" s="1850"/>
      <c r="JT249" s="2049"/>
      <c r="JU249" s="3268"/>
      <c r="JV249" s="3282"/>
      <c r="JW249" s="1978"/>
      <c r="JX249" s="1978"/>
      <c r="JY249" s="2049"/>
      <c r="JZ249" s="3270"/>
      <c r="KA249" s="3269"/>
      <c r="KB249" s="1978"/>
      <c r="KC249" s="1978"/>
      <c r="KD249" s="1978"/>
      <c r="KE249" s="3270"/>
      <c r="KF249" s="2516"/>
      <c r="KG249" s="1978"/>
      <c r="KH249" s="1978"/>
      <c r="KI249" s="1978"/>
      <c r="KJ249" s="3270"/>
      <c r="KK249" s="3283"/>
      <c r="KL249" s="3284"/>
      <c r="KM249" s="3284"/>
      <c r="KN249" s="1978"/>
      <c r="KO249" s="3285"/>
      <c r="KP249" s="3269"/>
      <c r="KQ249" s="1978"/>
      <c r="KR249" s="1978"/>
      <c r="KS249" s="1978"/>
      <c r="KT249" s="3270"/>
      <c r="KU249" s="357"/>
      <c r="KV249" s="358"/>
      <c r="KW249" s="358"/>
      <c r="KX249" s="358"/>
      <c r="KY249" s="2773"/>
      <c r="KZ249" s="2889"/>
      <c r="LA249" s="2641"/>
      <c r="LB249" s="2641"/>
      <c r="LC249" s="358"/>
      <c r="LD249" s="2693"/>
      <c r="LE249" s="3246"/>
      <c r="LF249" s="3272"/>
      <c r="LG249" s="3272"/>
      <c r="LH249" s="3286"/>
      <c r="LI249" s="3287"/>
      <c r="LJ249" s="2763"/>
      <c r="LK249" s="3275"/>
      <c r="LL249" s="3274"/>
      <c r="LM249" s="3288"/>
      <c r="LN249" s="2763"/>
      <c r="LO249" s="3275"/>
      <c r="LP249" s="3274"/>
      <c r="LQ249" s="3273"/>
      <c r="LR249" s="2763"/>
      <c r="LS249" s="3275"/>
      <c r="LT249" s="3274"/>
      <c r="LV249" s="2883"/>
      <c r="LW249" s="2641"/>
      <c r="LX249" s="2641"/>
      <c r="LY249" s="457"/>
      <c r="LZ249" s="3298"/>
      <c r="MA249" s="2889"/>
      <c r="MB249" s="2641"/>
      <c r="MC249" s="2641"/>
      <c r="MD249" s="457"/>
      <c r="ME249" s="3299"/>
      <c r="MF249" s="2883"/>
      <c r="MG249" s="2641"/>
      <c r="MH249" s="2641"/>
      <c r="MI249" s="457"/>
      <c r="MJ249" s="2653"/>
      <c r="MK249" s="3300"/>
      <c r="ML249" s="2641"/>
      <c r="MM249" s="2641"/>
      <c r="MN249" s="457"/>
      <c r="MO249" s="2653"/>
      <c r="MP249" s="3300"/>
      <c r="MQ249" s="2641"/>
      <c r="MR249" s="2641"/>
      <c r="MS249" s="2634"/>
      <c r="MT249" s="375"/>
      <c r="MU249" s="404"/>
      <c r="MV249" s="2150"/>
      <c r="MW249" s="2150"/>
      <c r="MX249" s="435"/>
      <c r="MY249" s="375"/>
      <c r="MZ249" s="404"/>
      <c r="NA249" s="2150"/>
      <c r="NB249" s="2150"/>
      <c r="NC249" s="435"/>
      <c r="ND249" s="375"/>
      <c r="NE249" s="404"/>
      <c r="NF249" s="2150"/>
      <c r="NG249" s="2150"/>
      <c r="NH249" s="435"/>
      <c r="NI249" s="375"/>
      <c r="NJ249" s="2883"/>
      <c r="NK249" s="2641"/>
      <c r="NL249" s="2652"/>
      <c r="NM249" s="435"/>
      <c r="NN249" s="375"/>
      <c r="NO249" s="2889"/>
      <c r="NP249" s="2641"/>
      <c r="NQ249" s="2652"/>
      <c r="NR249" s="435"/>
      <c r="NS249" s="375"/>
      <c r="NT249" s="1596"/>
      <c r="NU249" s="435"/>
      <c r="NV249" s="435"/>
      <c r="NW249" s="435"/>
      <c r="NX249" s="117"/>
      <c r="NY249" s="2635"/>
      <c r="NZ249" s="2150"/>
      <c r="OA249" s="2150"/>
      <c r="OB249" s="435"/>
      <c r="OC249" s="375"/>
      <c r="OD249" s="1022"/>
      <c r="OE249" s="1568"/>
      <c r="OF249" s="1568"/>
      <c r="OG249" s="358"/>
      <c r="OH249" s="1872"/>
      <c r="OI249" s="1116"/>
      <c r="OJ249" s="2619"/>
      <c r="OK249" s="2619"/>
      <c r="OL249" s="2619"/>
      <c r="OM249" s="2643"/>
      <c r="ON249" s="1116"/>
      <c r="OO249" s="2619"/>
      <c r="OP249" s="2619"/>
      <c r="OQ249" s="2619"/>
      <c r="OR249" s="2643"/>
      <c r="OS249" s="2889"/>
      <c r="OT249" s="2641"/>
      <c r="OU249" s="2641"/>
      <c r="OV249" s="2641"/>
      <c r="OW249" s="1600"/>
      <c r="OX249" s="2889"/>
      <c r="OY249" s="2641"/>
      <c r="OZ249" s="2641"/>
      <c r="PA249" s="2641"/>
      <c r="PB249" s="1600"/>
      <c r="PD249" s="2883"/>
      <c r="PE249" s="2641"/>
      <c r="PF249" s="2641"/>
      <c r="PG249" s="1585"/>
      <c r="PH249" s="3301"/>
      <c r="PI249" s="2889"/>
      <c r="PJ249" s="2641"/>
      <c r="PK249" s="2641"/>
      <c r="PL249" s="457"/>
      <c r="PM249" s="3299"/>
      <c r="PN249" s="2883"/>
      <c r="PO249" s="2641"/>
      <c r="PP249" s="2641"/>
      <c r="PQ249" s="457"/>
      <c r="PR249" s="2653"/>
      <c r="PS249" s="3300"/>
      <c r="PT249" s="2641"/>
      <c r="PU249" s="2641"/>
      <c r="PV249" s="457"/>
      <c r="PW249" s="2653"/>
      <c r="PX249" s="3302"/>
      <c r="PY249" s="1585"/>
      <c r="PZ249" s="1585"/>
      <c r="QA249" s="2634"/>
      <c r="QB249" s="117"/>
      <c r="QC249" s="404"/>
      <c r="QD249" s="2150"/>
      <c r="QE249" s="2150"/>
      <c r="QF249" s="435"/>
      <c r="QG249" s="375"/>
      <c r="QH249" s="404"/>
      <c r="QI249" s="2150"/>
      <c r="QJ249" s="2150"/>
      <c r="QK249" s="3303"/>
      <c r="QL249" s="375"/>
      <c r="QM249" s="404"/>
      <c r="QN249" s="2150"/>
      <c r="QO249" s="2150"/>
      <c r="QP249" s="435"/>
      <c r="QQ249" s="375"/>
      <c r="QR249" s="2883"/>
      <c r="QS249" s="2641"/>
      <c r="QT249" s="2652"/>
      <c r="QU249" s="208"/>
      <c r="QV249" s="2958"/>
      <c r="QW249" s="2889"/>
      <c r="QX249" s="2641"/>
      <c r="QY249" s="2652"/>
      <c r="QZ249" s="435"/>
      <c r="RA249" s="375"/>
      <c r="RB249" s="1596"/>
      <c r="RC249" s="435"/>
      <c r="RD249" s="435"/>
      <c r="RE249" s="435"/>
      <c r="RF249" s="117"/>
      <c r="RG249" s="404"/>
      <c r="RH249" s="2150"/>
      <c r="RI249" s="2150"/>
      <c r="RJ249" s="2150"/>
      <c r="RK249" s="117"/>
      <c r="RL249" s="1022"/>
      <c r="RM249" s="1568"/>
      <c r="RN249" s="1568"/>
      <c r="RO249" s="1568"/>
      <c r="RP249" s="1872"/>
      <c r="RQ249" s="1116"/>
      <c r="RR249" s="2619"/>
      <c r="RS249" s="2619"/>
      <c r="RT249" s="3227"/>
      <c r="RU249" s="2643"/>
      <c r="RV249" s="1116"/>
      <c r="RW249" s="2619"/>
      <c r="RX249" s="2619"/>
      <c r="RY249" s="3223"/>
      <c r="RZ249" s="2643"/>
      <c r="SA249" s="2889"/>
      <c r="SB249" s="2641"/>
      <c r="SC249" s="2641"/>
      <c r="SD249" s="3223"/>
      <c r="SE249" s="1600"/>
      <c r="SF249" s="2889"/>
      <c r="SG249" s="2641"/>
      <c r="SH249" s="2641"/>
      <c r="SI249" s="358"/>
      <c r="SJ249" s="1600"/>
      <c r="SL249" s="2883"/>
      <c r="SM249" s="2641"/>
      <c r="SN249" s="2641"/>
      <c r="SO249" s="137"/>
      <c r="SP249" s="3301"/>
      <c r="SQ249" s="2889"/>
      <c r="SR249" s="2641"/>
      <c r="SS249" s="2641"/>
      <c r="ST249" s="3667"/>
      <c r="SU249" s="3299"/>
      <c r="SV249" s="2142"/>
      <c r="SW249" s="1585"/>
      <c r="SX249" s="1585"/>
      <c r="SY249" s="359">
        <v>0</v>
      </c>
      <c r="SZ249" s="4096"/>
      <c r="TA249" s="3302"/>
      <c r="TB249" s="1585"/>
      <c r="TC249" s="1585"/>
      <c r="TD249" s="3234">
        <v>509920</v>
      </c>
      <c r="TE249" s="4096"/>
      <c r="TF249" s="3302"/>
      <c r="TG249" s="1585"/>
      <c r="TH249" s="1585"/>
      <c r="TI249" s="358">
        <v>0</v>
      </c>
      <c r="TJ249" s="117"/>
      <c r="TK249" s="404"/>
      <c r="TL249" s="2150"/>
      <c r="TM249" s="2150"/>
      <c r="TN249" s="208">
        <v>0</v>
      </c>
      <c r="TO249" s="375"/>
      <c r="TP249" s="4516"/>
      <c r="TQ249" s="2150"/>
      <c r="TR249" s="2150"/>
      <c r="TS249" s="208">
        <v>0</v>
      </c>
      <c r="TT249" s="375"/>
      <c r="TU249" s="4516"/>
      <c r="TV249" s="2150"/>
      <c r="TW249" s="2150"/>
      <c r="TX249" s="1575">
        <v>0</v>
      </c>
      <c r="TY249" s="375"/>
      <c r="TZ249" s="2883"/>
      <c r="UA249" s="2641"/>
      <c r="UB249" s="2652"/>
      <c r="UC249" s="1575"/>
      <c r="UD249" s="2958"/>
      <c r="UE249" s="2889"/>
      <c r="UF249" s="2641"/>
      <c r="UG249" s="2652"/>
      <c r="UH249" s="1575">
        <v>0</v>
      </c>
      <c r="UI249" s="375"/>
      <c r="UJ249" s="1596"/>
      <c r="UK249" s="435"/>
      <c r="UL249" s="435"/>
      <c r="UM249" s="359"/>
      <c r="UN249" s="117"/>
      <c r="UO249" s="404"/>
      <c r="UP249" s="2150"/>
      <c r="UQ249" s="2150"/>
      <c r="UR249" s="1575"/>
      <c r="US249" s="117"/>
      <c r="UT249" s="1868"/>
      <c r="UU249" s="1575"/>
      <c r="UV249" s="1575"/>
      <c r="UW249" s="208">
        <f t="shared" si="883"/>
        <v>509920</v>
      </c>
      <c r="UX249" s="83"/>
      <c r="UY249" s="1116"/>
      <c r="UZ249" s="2619"/>
      <c r="VA249" s="2619"/>
      <c r="VB249" s="3222"/>
      <c r="VC249" s="2643"/>
      <c r="VD249" s="1116"/>
      <c r="VE249" s="2619"/>
      <c r="VF249" s="2619"/>
      <c r="VG249" s="2619"/>
      <c r="VH249" s="2643"/>
      <c r="VI249" s="2889"/>
      <c r="VJ249" s="2641"/>
      <c r="VK249" s="2641"/>
      <c r="VL249" s="2641"/>
      <c r="VM249" s="1600"/>
      <c r="VN249" s="2889"/>
      <c r="VO249" s="2641"/>
      <c r="VP249" s="2641"/>
      <c r="VQ249" s="2641"/>
      <c r="VR249" s="1600"/>
    </row>
    <row r="250" spans="1:590" s="453" customFormat="1" ht="13.45" x14ac:dyDescent="0.3">
      <c r="A250" s="2616"/>
      <c r="B250" s="3169"/>
      <c r="C250" s="3232" t="s">
        <v>893</v>
      </c>
      <c r="D250" s="3171"/>
      <c r="E250" s="3172"/>
      <c r="F250" s="3172"/>
      <c r="G250" s="3173"/>
      <c r="H250" s="3174"/>
      <c r="I250" s="3175"/>
      <c r="J250" s="3175"/>
      <c r="K250" s="3175"/>
      <c r="L250" s="3176"/>
      <c r="M250" s="3177"/>
      <c r="N250" s="3175"/>
      <c r="O250" s="3178"/>
      <c r="P250" s="3179"/>
      <c r="Q250" s="3176"/>
      <c r="R250" s="3177"/>
      <c r="S250" s="3175"/>
      <c r="T250" s="3175"/>
      <c r="U250" s="3175"/>
      <c r="V250" s="3176"/>
      <c r="W250" s="3177"/>
      <c r="X250" s="3175"/>
      <c r="Y250" s="3175"/>
      <c r="Z250" s="3175"/>
      <c r="AA250" s="3180"/>
      <c r="AB250" s="3177"/>
      <c r="AC250" s="3175"/>
      <c r="AD250" s="3175"/>
      <c r="AE250" s="3175"/>
      <c r="AF250" s="3180"/>
      <c r="AG250" s="3175"/>
      <c r="AH250" s="3175"/>
      <c r="AI250" s="3175"/>
      <c r="AJ250" s="3175"/>
      <c r="AK250" s="3176"/>
      <c r="AL250" s="3181"/>
      <c r="AM250" s="3181"/>
      <c r="AN250" s="3181"/>
      <c r="AO250" s="3175"/>
      <c r="AP250" s="3182"/>
      <c r="AQ250" s="3175"/>
      <c r="AR250" s="3175"/>
      <c r="AS250" s="3175"/>
      <c r="AT250" s="3175"/>
      <c r="AU250" s="3176"/>
      <c r="AV250" s="3184"/>
      <c r="AW250" s="3175"/>
      <c r="AX250" s="3175"/>
      <c r="AY250" s="3175"/>
      <c r="AZ250" s="3180"/>
      <c r="BA250" s="3184"/>
      <c r="BB250" s="3175"/>
      <c r="BC250" s="3175"/>
      <c r="BD250" s="3175"/>
      <c r="BE250" s="3180"/>
      <c r="BF250" s="3185"/>
      <c r="BG250" s="3181"/>
      <c r="BH250" s="3175"/>
      <c r="BI250" s="3175"/>
      <c r="BJ250" s="3186"/>
      <c r="BK250" s="3184"/>
      <c r="BL250" s="3175"/>
      <c r="BM250" s="3175"/>
      <c r="BN250" s="3175"/>
      <c r="BO250" s="3180"/>
      <c r="BP250" s="3175"/>
      <c r="BQ250" s="3175"/>
      <c r="BR250" s="3175"/>
      <c r="BS250" s="3175"/>
      <c r="BT250" s="3175"/>
      <c r="BU250" s="3175"/>
      <c r="BV250" s="3175"/>
      <c r="BW250" s="3176"/>
      <c r="BX250" s="3175"/>
      <c r="BY250" s="3175"/>
      <c r="BZ250" s="3175"/>
      <c r="CA250" s="3175"/>
      <c r="CB250" s="3175"/>
      <c r="CC250" s="3175"/>
      <c r="CD250" s="3175"/>
      <c r="CE250" s="3175"/>
      <c r="CF250" s="3175"/>
      <c r="CG250" s="3175"/>
      <c r="CH250" s="3175"/>
      <c r="CI250" s="3175"/>
      <c r="CJ250" s="3177"/>
      <c r="CK250" s="3175"/>
      <c r="CL250" s="3175"/>
      <c r="CM250" s="3175"/>
      <c r="CN250" s="3175"/>
      <c r="CO250" s="3177"/>
      <c r="CP250" s="3175"/>
      <c r="CQ250" s="3175"/>
      <c r="CR250" s="3175"/>
      <c r="CS250" s="3175"/>
      <c r="CT250" s="3177"/>
      <c r="CU250" s="3175"/>
      <c r="CV250" s="3175"/>
      <c r="CW250" s="3175"/>
      <c r="CX250" s="3175"/>
      <c r="CY250" s="3177"/>
      <c r="CZ250" s="3175"/>
      <c r="DA250" s="3175"/>
      <c r="DB250" s="3175"/>
      <c r="DC250" s="3175"/>
      <c r="DD250" s="3175"/>
      <c r="DE250" s="3175"/>
      <c r="DF250" s="3175"/>
      <c r="DG250" s="3175"/>
      <c r="DH250" s="3177"/>
      <c r="DI250" s="3177"/>
      <c r="DJ250" s="3175"/>
      <c r="DK250" s="3175"/>
      <c r="DL250" s="3175"/>
      <c r="DM250" s="3177"/>
      <c r="DN250" s="3177"/>
      <c r="DO250" s="3175"/>
      <c r="DP250" s="3175"/>
      <c r="DQ250" s="3175"/>
      <c r="DR250" s="3177"/>
      <c r="DS250" s="3177"/>
      <c r="DT250" s="3175"/>
      <c r="DU250" s="3175"/>
      <c r="DV250" s="3175"/>
      <c r="DW250" s="3175"/>
      <c r="DX250" s="3177"/>
      <c r="DY250" s="3175"/>
      <c r="DZ250" s="3175"/>
      <c r="EA250" s="3175"/>
      <c r="EB250" s="3180"/>
      <c r="EC250" s="3177"/>
      <c r="ED250" s="3175"/>
      <c r="EE250" s="3175"/>
      <c r="EF250" s="3175"/>
      <c r="EG250" s="3177"/>
      <c r="EH250" s="3175"/>
      <c r="EI250" s="3175"/>
      <c r="EJ250" s="3175"/>
      <c r="EK250" s="3175"/>
      <c r="EL250" s="3175"/>
      <c r="EM250" s="3228"/>
      <c r="EN250" s="1719"/>
      <c r="EO250" s="1719"/>
      <c r="EP250" s="1719"/>
      <c r="EQ250" s="1719"/>
      <c r="ER250" s="3175"/>
      <c r="ES250" s="3175"/>
      <c r="ET250" s="3175"/>
      <c r="EU250" s="3175"/>
      <c r="EV250" s="3175"/>
      <c r="EW250" s="3177"/>
      <c r="EX250" s="3175"/>
      <c r="EY250" s="3175"/>
      <c r="EZ250" s="3175"/>
      <c r="FA250" s="3175"/>
      <c r="FB250" s="3175"/>
      <c r="FC250" s="3175"/>
      <c r="FD250" s="3175"/>
      <c r="FE250" s="3175"/>
      <c r="FF250" s="3175"/>
      <c r="FG250" s="3175"/>
      <c r="FH250" s="3175"/>
      <c r="FI250" s="3175"/>
      <c r="FJ250" s="3175"/>
      <c r="FK250" s="3175"/>
      <c r="FL250" s="3175"/>
      <c r="FM250" s="3175"/>
      <c r="FN250" s="3177"/>
      <c r="FO250" s="3175"/>
      <c r="FP250" s="3175"/>
      <c r="FQ250" s="1719">
        <v>0</v>
      </c>
      <c r="FR250" s="3187"/>
      <c r="FS250" s="3174"/>
      <c r="FT250" s="3175"/>
      <c r="FU250" s="3175"/>
      <c r="FV250" s="3235">
        <f>50000</f>
        <v>50000</v>
      </c>
      <c r="FW250" s="3236"/>
      <c r="FX250" s="3237"/>
      <c r="FY250" s="1719"/>
      <c r="FZ250" s="1719"/>
      <c r="GA250" s="1719">
        <v>0</v>
      </c>
      <c r="GB250" s="3190"/>
      <c r="GC250" s="3191"/>
      <c r="GD250" s="1936"/>
      <c r="GE250" s="1936"/>
      <c r="GF250" s="264">
        <v>0</v>
      </c>
      <c r="GG250" s="2730"/>
      <c r="GH250" s="1149"/>
      <c r="GI250" s="264"/>
      <c r="GJ250" s="264"/>
      <c r="GK250" s="3238">
        <f>40000</f>
        <v>40000</v>
      </c>
      <c r="GL250" s="1222" t="s">
        <v>894</v>
      </c>
      <c r="GM250" s="973"/>
      <c r="GN250" s="264"/>
      <c r="GO250" s="264"/>
      <c r="GP250" s="3238">
        <v>0</v>
      </c>
      <c r="GQ250" s="972"/>
      <c r="GR250" s="1083"/>
      <c r="GS250" s="265"/>
      <c r="GT250" s="265"/>
      <c r="GU250" s="265">
        <v>0</v>
      </c>
      <c r="GV250" s="3229"/>
      <c r="GW250" s="1083"/>
      <c r="GX250" s="265"/>
      <c r="GY250" s="265"/>
      <c r="GZ250" s="265">
        <v>0</v>
      </c>
      <c r="HA250" s="3229"/>
      <c r="HB250" s="1083"/>
      <c r="HC250" s="265"/>
      <c r="HD250" s="265"/>
      <c r="HE250" s="265">
        <v>0</v>
      </c>
      <c r="HF250" s="3229"/>
      <c r="HG250" s="1083"/>
      <c r="HH250" s="265"/>
      <c r="HI250" s="265"/>
      <c r="HJ250" s="265">
        <v>0</v>
      </c>
      <c r="HK250" s="3229"/>
      <c r="HL250" s="1083"/>
      <c r="HM250" s="265"/>
      <c r="HN250" s="265"/>
      <c r="HO250" s="265">
        <v>0</v>
      </c>
      <c r="HP250" s="3229"/>
      <c r="HQ250" s="357"/>
      <c r="HR250" s="358"/>
      <c r="HS250" s="358"/>
      <c r="HT250" s="358">
        <v>0</v>
      </c>
      <c r="HU250" s="2773"/>
      <c r="HV250" s="1022"/>
      <c r="HW250" s="1568"/>
      <c r="HX250" s="1568"/>
      <c r="HY250" s="1568">
        <f>FQ250+FV250+GA250+GF250+GK250+GP250+GU250+GZ250+HE250+HJ250+HO250+HT250</f>
        <v>90000</v>
      </c>
      <c r="HZ250" s="2673"/>
      <c r="IA250" s="3195"/>
      <c r="IB250" s="3196"/>
      <c r="IC250" s="3196">
        <v>0</v>
      </c>
      <c r="ID250" s="3196"/>
      <c r="IE250" s="3191"/>
      <c r="IF250" s="1936"/>
      <c r="IG250" s="2733">
        <v>0</v>
      </c>
      <c r="IH250" s="3192"/>
      <c r="II250" s="3191"/>
      <c r="IJ250" s="1936"/>
      <c r="IK250" s="2733">
        <v>0</v>
      </c>
      <c r="IL250" s="3192"/>
      <c r="IM250" s="3191"/>
      <c r="IN250" s="1936"/>
      <c r="IO250" s="2733">
        <v>0</v>
      </c>
      <c r="IP250" s="3192"/>
      <c r="IR250" s="3200"/>
      <c r="IS250" s="3196"/>
      <c r="IT250" s="3196"/>
      <c r="IU250" s="1756">
        <v>0</v>
      </c>
      <c r="IV250" s="3201"/>
      <c r="IW250" s="3195"/>
      <c r="IX250" s="3196"/>
      <c r="IY250" s="3196"/>
      <c r="IZ250" s="3242">
        <v>0</v>
      </c>
      <c r="JA250" s="3239"/>
      <c r="JB250" s="3240"/>
      <c r="JC250" s="1756"/>
      <c r="JD250" s="1756"/>
      <c r="JE250" s="1756">
        <v>0</v>
      </c>
      <c r="JF250" s="3204"/>
      <c r="JG250" s="3205"/>
      <c r="JH250" s="2186"/>
      <c r="JI250" s="2186"/>
      <c r="JJ250" s="1096">
        <v>0</v>
      </c>
      <c r="JK250" s="976"/>
      <c r="JL250" s="2011"/>
      <c r="JM250" s="264"/>
      <c r="JN250" s="264"/>
      <c r="JO250" s="3238"/>
      <c r="JP250" s="1222"/>
      <c r="JQ250" s="3243"/>
      <c r="JR250" s="264"/>
      <c r="JS250" s="264"/>
      <c r="JT250" s="264">
        <v>200000</v>
      </c>
      <c r="JU250" s="1222"/>
      <c r="JV250" s="3231"/>
      <c r="JW250" s="265"/>
      <c r="JX250" s="265"/>
      <c r="JY250" s="264">
        <v>0</v>
      </c>
      <c r="JZ250" s="3229"/>
      <c r="KA250" s="1083"/>
      <c r="KB250" s="265"/>
      <c r="KC250" s="265"/>
      <c r="KD250" s="265">
        <v>0</v>
      </c>
      <c r="KE250" s="3229"/>
      <c r="KF250" s="2876"/>
      <c r="KG250" s="265"/>
      <c r="KH250" s="265"/>
      <c r="KI250" s="265">
        <v>0</v>
      </c>
      <c r="KJ250" s="3229"/>
      <c r="KK250" s="3210"/>
      <c r="KL250" s="3211"/>
      <c r="KM250" s="3211"/>
      <c r="KN250" s="265">
        <v>0</v>
      </c>
      <c r="KO250" s="3212"/>
      <c r="KP250" s="1083"/>
      <c r="KQ250" s="265"/>
      <c r="KR250" s="265"/>
      <c r="KS250" s="265">
        <v>0</v>
      </c>
      <c r="KT250" s="3229"/>
      <c r="KU250" s="357"/>
      <c r="KV250" s="358"/>
      <c r="KW250" s="358"/>
      <c r="KX250" s="358">
        <v>0</v>
      </c>
      <c r="KY250" s="2773"/>
      <c r="KZ250" s="1022"/>
      <c r="LA250" s="1568"/>
      <c r="LB250" s="1568"/>
      <c r="LC250" s="358">
        <f>IU250+IZ250+JE250+JJ250+JO250+JT250+JY250+KD250+KI250+KN250+KS250+KX250</f>
        <v>200000</v>
      </c>
      <c r="LD250" s="2673"/>
      <c r="LE250" s="3171"/>
      <c r="LF250" s="3196"/>
      <c r="LG250" s="3196">
        <v>0</v>
      </c>
      <c r="LH250" s="3202"/>
      <c r="LI250" s="3214"/>
      <c r="LJ250" s="1936"/>
      <c r="LK250" s="2733">
        <v>0</v>
      </c>
      <c r="LL250" s="3192"/>
      <c r="LM250" s="3215"/>
      <c r="LN250" s="1936"/>
      <c r="LO250" s="2733">
        <v>0</v>
      </c>
      <c r="LP250" s="3192"/>
      <c r="LQ250" s="3191"/>
      <c r="LR250" s="1936"/>
      <c r="LS250" s="2733">
        <v>0</v>
      </c>
      <c r="LT250" s="3192"/>
      <c r="LV250" s="1567"/>
      <c r="LW250" s="1568"/>
      <c r="LX250" s="1568"/>
      <c r="LY250" s="3234">
        <v>0</v>
      </c>
      <c r="LZ250" s="3217"/>
      <c r="MA250" s="1022"/>
      <c r="MB250" s="1568"/>
      <c r="MC250" s="1568"/>
      <c r="MD250" s="3234">
        <v>0</v>
      </c>
      <c r="ME250" s="3194"/>
      <c r="MF250" s="1567"/>
      <c r="MG250" s="1568"/>
      <c r="MH250" s="1568"/>
      <c r="MI250" s="3234">
        <v>0</v>
      </c>
      <c r="MJ250" s="2674"/>
      <c r="MK250" s="3219"/>
      <c r="ML250" s="1568"/>
      <c r="MM250" s="1568"/>
      <c r="MN250" s="3234">
        <v>0</v>
      </c>
      <c r="MO250" s="2674"/>
      <c r="MP250" s="3219"/>
      <c r="MQ250" s="1568"/>
      <c r="MR250" s="1568"/>
      <c r="MS250" s="359">
        <v>0</v>
      </c>
      <c r="MT250" s="83"/>
      <c r="MU250" s="405"/>
      <c r="MV250" s="1575"/>
      <c r="MW250" s="1575"/>
      <c r="MX250" s="208">
        <v>0</v>
      </c>
      <c r="MY250" s="83"/>
      <c r="MZ250" s="405"/>
      <c r="NA250" s="1575"/>
      <c r="NB250" s="1575"/>
      <c r="NC250" s="208">
        <v>0</v>
      </c>
      <c r="ND250" s="83"/>
      <c r="NE250" s="405"/>
      <c r="NF250" s="1575"/>
      <c r="NG250" s="1575"/>
      <c r="NH250" s="208">
        <v>0</v>
      </c>
      <c r="NI250" s="83"/>
      <c r="NJ250" s="1567"/>
      <c r="NK250" s="1568"/>
      <c r="NL250" s="1871"/>
      <c r="NM250" s="208">
        <v>0</v>
      </c>
      <c r="NN250" s="83"/>
      <c r="NO250" s="1022"/>
      <c r="NP250" s="1568"/>
      <c r="NQ250" s="1871"/>
      <c r="NR250" s="208">
        <v>0</v>
      </c>
      <c r="NS250" s="83"/>
      <c r="NT250" s="209"/>
      <c r="NU250" s="208"/>
      <c r="NV250" s="208"/>
      <c r="NW250" s="208">
        <v>0</v>
      </c>
      <c r="NX250" s="114"/>
      <c r="NY250" s="1868"/>
      <c r="NZ250" s="1575"/>
      <c r="OA250" s="1575"/>
      <c r="OB250" s="208">
        <v>0</v>
      </c>
      <c r="OC250" s="83"/>
      <c r="OD250" s="1022"/>
      <c r="OE250" s="1568"/>
      <c r="OF250" s="1568"/>
      <c r="OG250" s="358">
        <f>OB250+NW250+NR250+NM250+NH250+NC250+MX250+MS250+MN250+MI250+MD250+LY250</f>
        <v>0</v>
      </c>
      <c r="OH250" s="1872"/>
      <c r="OI250" s="968"/>
      <c r="OJ250" s="2186"/>
      <c r="OK250" s="2186"/>
      <c r="OL250" s="2186"/>
      <c r="OM250" s="1869"/>
      <c r="ON250" s="968"/>
      <c r="OO250" s="2186"/>
      <c r="OP250" s="2186"/>
      <c r="OQ250" s="2186"/>
      <c r="OR250" s="1869"/>
      <c r="OS250" s="1022"/>
      <c r="OT250" s="1568"/>
      <c r="OU250" s="1568"/>
      <c r="OV250" s="1568"/>
      <c r="OW250" s="220"/>
      <c r="OX250" s="1022"/>
      <c r="OY250" s="1568"/>
      <c r="OZ250" s="1568"/>
      <c r="PA250" s="1568"/>
      <c r="PB250" s="220"/>
      <c r="PD250" s="1567"/>
      <c r="PE250" s="1568"/>
      <c r="PF250" s="1568"/>
      <c r="PG250" s="358">
        <v>0</v>
      </c>
      <c r="PH250" s="2944"/>
      <c r="PI250" s="1022"/>
      <c r="PJ250" s="1568"/>
      <c r="PK250" s="1568"/>
      <c r="PL250" s="3234">
        <v>0</v>
      </c>
      <c r="PM250" s="3194"/>
      <c r="PN250" s="1567"/>
      <c r="PO250" s="1568"/>
      <c r="PP250" s="1568"/>
      <c r="PQ250" s="3234">
        <v>0</v>
      </c>
      <c r="PR250" s="2674"/>
      <c r="PS250" s="3219"/>
      <c r="PT250" s="1568"/>
      <c r="PU250" s="1568"/>
      <c r="PV250" s="3234">
        <v>0</v>
      </c>
      <c r="PW250" s="2674"/>
      <c r="PX250" s="3221"/>
      <c r="PY250" s="358"/>
      <c r="PZ250" s="358"/>
      <c r="QA250" s="359">
        <v>0</v>
      </c>
      <c r="QB250" s="114"/>
      <c r="QC250" s="405"/>
      <c r="QD250" s="1575"/>
      <c r="QE250" s="1575"/>
      <c r="QF250" s="208">
        <v>0</v>
      </c>
      <c r="QG250" s="83"/>
      <c r="QH250" s="405"/>
      <c r="QI250" s="1575"/>
      <c r="QJ250" s="1575"/>
      <c r="QK250" s="208">
        <v>0</v>
      </c>
      <c r="QL250" s="83"/>
      <c r="QM250" s="405"/>
      <c r="QN250" s="1575"/>
      <c r="QO250" s="1575"/>
      <c r="QP250" s="208">
        <v>0</v>
      </c>
      <c r="QQ250" s="83"/>
      <c r="QR250" s="1567"/>
      <c r="QS250" s="1568"/>
      <c r="QT250" s="1871"/>
      <c r="QU250" s="208">
        <v>0</v>
      </c>
      <c r="QV250" s="222"/>
      <c r="QW250" s="1022"/>
      <c r="QX250" s="1568"/>
      <c r="QY250" s="1871"/>
      <c r="QZ250" s="208">
        <v>0</v>
      </c>
      <c r="RA250" s="83"/>
      <c r="RB250" s="209"/>
      <c r="RC250" s="208"/>
      <c r="RD250" s="208"/>
      <c r="RE250" s="208">
        <v>0</v>
      </c>
      <c r="RF250" s="114"/>
      <c r="RG250" s="405"/>
      <c r="RH250" s="1575"/>
      <c r="RI250" s="1575"/>
      <c r="RJ250" s="1575">
        <v>0</v>
      </c>
      <c r="RK250" s="114"/>
      <c r="RL250" s="1022"/>
      <c r="RM250" s="1568"/>
      <c r="RN250" s="1568"/>
      <c r="RO250" s="1568">
        <f>RJ250+RE250+QZ250+QU250+QP250+QK250+QF250+QA250+PV250+PQ250+PL250+PG250</f>
        <v>0</v>
      </c>
      <c r="RP250" s="1872"/>
      <c r="RQ250" s="968"/>
      <c r="RR250" s="2186"/>
      <c r="RS250" s="2186"/>
      <c r="RT250" s="3227">
        <f>OF250+PL250+PQ250</f>
        <v>0</v>
      </c>
      <c r="RU250" s="1869"/>
      <c r="RV250" s="968"/>
      <c r="RW250" s="2186"/>
      <c r="RX250" s="2186"/>
      <c r="RY250" s="3223">
        <f>QP250+QK250+QF250</f>
        <v>0</v>
      </c>
      <c r="RZ250" s="1869"/>
      <c r="SA250" s="1022"/>
      <c r="SB250" s="1568"/>
      <c r="SC250" s="1568"/>
      <c r="SD250" s="3223">
        <f>QU250+QP250+QK250</f>
        <v>0</v>
      </c>
      <c r="SE250" s="220"/>
      <c r="SF250" s="1022"/>
      <c r="SG250" s="1568"/>
      <c r="SH250" s="1568"/>
      <c r="SI250" s="358">
        <f>QZ250+RE250+RJ250</f>
        <v>0</v>
      </c>
      <c r="SJ250" s="220"/>
      <c r="SL250" s="1567"/>
      <c r="SM250" s="1568"/>
      <c r="SN250" s="1568"/>
      <c r="SO250" s="137">
        <v>0</v>
      </c>
      <c r="SP250" s="2944"/>
      <c r="SQ250" s="1022"/>
      <c r="SR250" s="1568"/>
      <c r="SS250" s="1568"/>
      <c r="ST250" s="3234">
        <v>0</v>
      </c>
      <c r="SU250" s="3194"/>
      <c r="SV250" s="1857"/>
      <c r="SW250" s="358"/>
      <c r="SX250" s="358"/>
      <c r="SY250" s="359">
        <v>0</v>
      </c>
      <c r="SZ250" s="2563"/>
      <c r="TA250" s="3221"/>
      <c r="TB250" s="358"/>
      <c r="TC250" s="358"/>
      <c r="TD250" s="3234">
        <v>0</v>
      </c>
      <c r="TE250" s="2563"/>
      <c r="TF250" s="3221"/>
      <c r="TG250" s="358"/>
      <c r="TH250" s="358"/>
      <c r="TI250" s="358">
        <v>0</v>
      </c>
      <c r="TJ250" s="114"/>
      <c r="TK250" s="405"/>
      <c r="TL250" s="1575"/>
      <c r="TM250" s="1575"/>
      <c r="TN250" s="208">
        <v>0</v>
      </c>
      <c r="TO250" s="83"/>
      <c r="TP250" s="4506"/>
      <c r="TQ250" s="1575"/>
      <c r="TR250" s="1575"/>
      <c r="TS250" s="208">
        <v>0</v>
      </c>
      <c r="TT250" s="83"/>
      <c r="TU250" s="4506"/>
      <c r="TV250" s="1575"/>
      <c r="TW250" s="1575"/>
      <c r="TX250" s="1575">
        <v>0</v>
      </c>
      <c r="TY250" s="83"/>
      <c r="TZ250" s="1567"/>
      <c r="UA250" s="1568"/>
      <c r="UB250" s="1871"/>
      <c r="UC250" s="1575">
        <v>111000</v>
      </c>
      <c r="UD250" s="222"/>
      <c r="UE250" s="1022"/>
      <c r="UF250" s="1568"/>
      <c r="UG250" s="1871"/>
      <c r="UH250" s="1575">
        <v>0</v>
      </c>
      <c r="UI250" s="83"/>
      <c r="UJ250" s="209"/>
      <c r="UK250" s="208"/>
      <c r="UL250" s="208"/>
      <c r="UM250" s="359">
        <v>0</v>
      </c>
      <c r="UN250" s="114"/>
      <c r="UO250" s="405"/>
      <c r="UP250" s="1575"/>
      <c r="UQ250" s="1575"/>
      <c r="UR250" s="1575">
        <v>0</v>
      </c>
      <c r="US250" s="114"/>
      <c r="UT250" s="1868"/>
      <c r="UU250" s="1575"/>
      <c r="UV250" s="1575"/>
      <c r="UW250" s="208">
        <f>UR250+UM250+UH250+UC250+TX250+TS250+TN250+TI250+TD250+SY250+ST250+SO250</f>
        <v>111000</v>
      </c>
      <c r="UX250" s="83"/>
      <c r="UY250" s="968"/>
      <c r="UZ250" s="2186"/>
      <c r="VA250" s="2186"/>
      <c r="VB250" s="3222">
        <f>SO250+ST250+SY250</f>
        <v>0</v>
      </c>
      <c r="VC250" s="1869"/>
      <c r="VD250" s="968"/>
      <c r="VE250" s="2186"/>
      <c r="VF250" s="2186"/>
      <c r="VG250" s="2186"/>
      <c r="VH250" s="1869"/>
      <c r="VI250" s="1022"/>
      <c r="VJ250" s="1568"/>
      <c r="VK250" s="1568"/>
      <c r="VL250" s="1568"/>
      <c r="VM250" s="220"/>
      <c r="VN250" s="1022"/>
      <c r="VO250" s="1568"/>
      <c r="VP250" s="1568"/>
      <c r="VQ250" s="1568"/>
      <c r="VR250" s="220"/>
    </row>
    <row r="251" spans="1:590" s="453" customFormat="1" ht="13.45" hidden="1" x14ac:dyDescent="0.3">
      <c r="A251" s="2616"/>
      <c r="B251" s="3169"/>
      <c r="C251" s="3245" t="s">
        <v>455</v>
      </c>
      <c r="D251" s="3246"/>
      <c r="E251" s="3247"/>
      <c r="F251" s="3247"/>
      <c r="G251" s="3248"/>
      <c r="H251" s="3249"/>
      <c r="I251" s="3250"/>
      <c r="J251" s="3250"/>
      <c r="K251" s="3250"/>
      <c r="L251" s="3251"/>
      <c r="M251" s="3252"/>
      <c r="N251" s="3250"/>
      <c r="O251" s="3253"/>
      <c r="P251" s="3254"/>
      <c r="Q251" s="3251"/>
      <c r="R251" s="3252"/>
      <c r="S251" s="3250"/>
      <c r="T251" s="3250"/>
      <c r="U251" s="3250"/>
      <c r="V251" s="3251"/>
      <c r="W251" s="3252"/>
      <c r="X251" s="3250"/>
      <c r="Y251" s="3250"/>
      <c r="Z251" s="3250"/>
      <c r="AA251" s="3255"/>
      <c r="AB251" s="3252"/>
      <c r="AC251" s="3250"/>
      <c r="AD251" s="3250"/>
      <c r="AE251" s="3250"/>
      <c r="AF251" s="3255"/>
      <c r="AG251" s="3250"/>
      <c r="AH251" s="3250"/>
      <c r="AI251" s="3250"/>
      <c r="AJ251" s="3250"/>
      <c r="AK251" s="3251"/>
      <c r="AL251" s="3256"/>
      <c r="AM251" s="3256"/>
      <c r="AN251" s="3256"/>
      <c r="AO251" s="3250"/>
      <c r="AP251" s="3257"/>
      <c r="AQ251" s="3250"/>
      <c r="AR251" s="3250"/>
      <c r="AS251" s="3250"/>
      <c r="AT251" s="3250"/>
      <c r="AU251" s="3251"/>
      <c r="AV251" s="3258"/>
      <c r="AW251" s="3250"/>
      <c r="AX251" s="3250"/>
      <c r="AY251" s="3250"/>
      <c r="AZ251" s="3255"/>
      <c r="BA251" s="3258"/>
      <c r="BB251" s="3250"/>
      <c r="BC251" s="3250"/>
      <c r="BD251" s="3250"/>
      <c r="BE251" s="3255"/>
      <c r="BF251" s="3259"/>
      <c r="BG251" s="3256"/>
      <c r="BH251" s="3250"/>
      <c r="BI251" s="3250"/>
      <c r="BJ251" s="3260"/>
      <c r="BK251" s="3258"/>
      <c r="BL251" s="3250"/>
      <c r="BM251" s="3250"/>
      <c r="BN251" s="3250"/>
      <c r="BO251" s="3255"/>
      <c r="BP251" s="3250"/>
      <c r="BQ251" s="3250"/>
      <c r="BR251" s="3250"/>
      <c r="BS251" s="3250"/>
      <c r="BT251" s="3250"/>
      <c r="BU251" s="3250"/>
      <c r="BV251" s="3250"/>
      <c r="BW251" s="3251"/>
      <c r="BX251" s="3250"/>
      <c r="BY251" s="3250"/>
      <c r="BZ251" s="3250"/>
      <c r="CA251" s="3250"/>
      <c r="CB251" s="3250"/>
      <c r="CC251" s="3250"/>
      <c r="CD251" s="3250"/>
      <c r="CE251" s="3250"/>
      <c r="CF251" s="3250"/>
      <c r="CG251" s="3250"/>
      <c r="CH251" s="3250"/>
      <c r="CI251" s="3250"/>
      <c r="CJ251" s="3252"/>
      <c r="CK251" s="3250"/>
      <c r="CL251" s="3250"/>
      <c r="CM251" s="3250"/>
      <c r="CN251" s="3250"/>
      <c r="CO251" s="3252"/>
      <c r="CP251" s="3250"/>
      <c r="CQ251" s="3250"/>
      <c r="CR251" s="3250"/>
      <c r="CS251" s="3250"/>
      <c r="CT251" s="3252"/>
      <c r="CU251" s="3250"/>
      <c r="CV251" s="3250"/>
      <c r="CW251" s="3250"/>
      <c r="CX251" s="3250"/>
      <c r="CY251" s="3252"/>
      <c r="CZ251" s="3250"/>
      <c r="DA251" s="3250"/>
      <c r="DB251" s="3250"/>
      <c r="DC251" s="3250"/>
      <c r="DD251" s="3250"/>
      <c r="DE251" s="3250"/>
      <c r="DF251" s="3250"/>
      <c r="DG251" s="3250"/>
      <c r="DH251" s="3252"/>
      <c r="DI251" s="3252"/>
      <c r="DJ251" s="3250"/>
      <c r="DK251" s="3250"/>
      <c r="DL251" s="3250"/>
      <c r="DM251" s="3252"/>
      <c r="DN251" s="3252"/>
      <c r="DO251" s="3250"/>
      <c r="DP251" s="3250"/>
      <c r="DQ251" s="3250"/>
      <c r="DR251" s="3252"/>
      <c r="DS251" s="3252"/>
      <c r="DT251" s="3250"/>
      <c r="DU251" s="3250"/>
      <c r="DV251" s="3250"/>
      <c r="DW251" s="3250"/>
      <c r="DX251" s="3252"/>
      <c r="DY251" s="3250"/>
      <c r="DZ251" s="3250"/>
      <c r="EA251" s="3250"/>
      <c r="EB251" s="3255"/>
      <c r="EC251" s="3252"/>
      <c r="ED251" s="3250"/>
      <c r="EE251" s="3250"/>
      <c r="EF251" s="3250"/>
      <c r="EG251" s="3252"/>
      <c r="EH251" s="3250"/>
      <c r="EI251" s="3250"/>
      <c r="EJ251" s="3250"/>
      <c r="EK251" s="3250"/>
      <c r="EL251" s="3250"/>
      <c r="EM251" s="3261"/>
      <c r="EN251" s="2124"/>
      <c r="EO251" s="2124"/>
      <c r="EP251" s="2124"/>
      <c r="EQ251" s="2124"/>
      <c r="ER251" s="3250"/>
      <c r="ES251" s="3250"/>
      <c r="ET251" s="3250"/>
      <c r="EU251" s="3250"/>
      <c r="EV251" s="3250"/>
      <c r="EW251" s="3252"/>
      <c r="EX251" s="3250"/>
      <c r="EY251" s="3250"/>
      <c r="EZ251" s="3250"/>
      <c r="FA251" s="3250"/>
      <c r="FB251" s="3250"/>
      <c r="FC251" s="3250"/>
      <c r="FD251" s="3250"/>
      <c r="FE251" s="3250"/>
      <c r="FF251" s="3250"/>
      <c r="FG251" s="3250"/>
      <c r="FH251" s="3250"/>
      <c r="FI251" s="3250"/>
      <c r="FJ251" s="3250"/>
      <c r="FK251" s="3250"/>
      <c r="FL251" s="3250"/>
      <c r="FM251" s="3250"/>
      <c r="FN251" s="3252"/>
      <c r="FO251" s="3250"/>
      <c r="FP251" s="3250"/>
      <c r="FQ251" s="2124"/>
      <c r="FR251" s="3262"/>
      <c r="FS251" s="3249"/>
      <c r="FT251" s="3250"/>
      <c r="FU251" s="3250"/>
      <c r="FV251" s="3263"/>
      <c r="FW251" s="3264"/>
      <c r="FX251" s="3265"/>
      <c r="FY251" s="2124"/>
      <c r="FZ251" s="2124"/>
      <c r="GA251" s="2124"/>
      <c r="GB251" s="3266"/>
      <c r="GC251" s="3273"/>
      <c r="GD251" s="2763"/>
      <c r="GE251" s="2763"/>
      <c r="GF251" s="1850"/>
      <c r="GG251" s="2764"/>
      <c r="GH251" s="2917"/>
      <c r="GI251" s="1850"/>
      <c r="GJ251" s="1850"/>
      <c r="GK251" s="3267"/>
      <c r="GL251" s="3268"/>
      <c r="GM251" s="2049"/>
      <c r="GN251" s="1850"/>
      <c r="GO251" s="1850"/>
      <c r="GP251" s="3267"/>
      <c r="GQ251" s="1119"/>
      <c r="GR251" s="3269"/>
      <c r="GS251" s="1978"/>
      <c r="GT251" s="1978"/>
      <c r="GU251" s="1978"/>
      <c r="GV251" s="3270"/>
      <c r="GW251" s="3269"/>
      <c r="GX251" s="1978"/>
      <c r="GY251" s="1978"/>
      <c r="GZ251" s="1978"/>
      <c r="HA251" s="3270"/>
      <c r="HB251" s="3269"/>
      <c r="HC251" s="1978"/>
      <c r="HD251" s="1978"/>
      <c r="HE251" s="1978"/>
      <c r="HF251" s="3270"/>
      <c r="HG251" s="3269"/>
      <c r="HH251" s="1978"/>
      <c r="HI251" s="1978"/>
      <c r="HJ251" s="1978"/>
      <c r="HK251" s="3270"/>
      <c r="HL251" s="3269"/>
      <c r="HM251" s="1978"/>
      <c r="HN251" s="1978"/>
      <c r="HO251" s="1978"/>
      <c r="HP251" s="3270"/>
      <c r="HQ251" s="2818"/>
      <c r="HR251" s="2789"/>
      <c r="HS251" s="2789"/>
      <c r="HT251" s="2789">
        <v>0</v>
      </c>
      <c r="HU251" s="3296"/>
      <c r="HV251" s="2889"/>
      <c r="HW251" s="2641"/>
      <c r="HX251" s="2641"/>
      <c r="HY251" s="1568">
        <f t="shared" si="875"/>
        <v>0</v>
      </c>
      <c r="HZ251" s="2693"/>
      <c r="IA251" s="3271"/>
      <c r="IB251" s="3272"/>
      <c r="IC251" s="3272"/>
      <c r="ID251" s="3272"/>
      <c r="IE251" s="3273"/>
      <c r="IF251" s="2763"/>
      <c r="IG251" s="3275"/>
      <c r="IH251" s="3274"/>
      <c r="II251" s="3273"/>
      <c r="IJ251" s="2763"/>
      <c r="IK251" s="3275"/>
      <c r="IL251" s="3274"/>
      <c r="IM251" s="3273"/>
      <c r="IN251" s="2763"/>
      <c r="IO251" s="3275"/>
      <c r="IP251" s="3274"/>
      <c r="IR251" s="3276"/>
      <c r="IS251" s="3272"/>
      <c r="IT251" s="3272"/>
      <c r="IU251" s="2126"/>
      <c r="IV251" s="3277"/>
      <c r="IW251" s="3271"/>
      <c r="IX251" s="3272"/>
      <c r="IY251" s="3272"/>
      <c r="IZ251" s="2126"/>
      <c r="JA251" s="3278"/>
      <c r="JB251" s="3279"/>
      <c r="JC251" s="2126"/>
      <c r="JD251" s="2126"/>
      <c r="JE251" s="2126"/>
      <c r="JF251" s="3280"/>
      <c r="JG251" s="3297"/>
      <c r="JH251" s="2619"/>
      <c r="JI251" s="2619"/>
      <c r="JJ251" s="2049"/>
      <c r="JK251" s="1243"/>
      <c r="JL251" s="2620"/>
      <c r="JM251" s="1850"/>
      <c r="JN251" s="1850"/>
      <c r="JO251" s="2049"/>
      <c r="JP251" s="3268"/>
      <c r="JQ251" s="3281"/>
      <c r="JR251" s="1850"/>
      <c r="JS251" s="1850"/>
      <c r="JT251" s="2049"/>
      <c r="JU251" s="3268"/>
      <c r="JV251" s="3282"/>
      <c r="JW251" s="1978"/>
      <c r="JX251" s="1978"/>
      <c r="JY251" s="2049"/>
      <c r="JZ251" s="3270"/>
      <c r="KA251" s="3269"/>
      <c r="KB251" s="1978"/>
      <c r="KC251" s="1978"/>
      <c r="KD251" s="1978"/>
      <c r="KE251" s="3270"/>
      <c r="KF251" s="2516"/>
      <c r="KG251" s="1978"/>
      <c r="KH251" s="1978"/>
      <c r="KI251" s="1978"/>
      <c r="KJ251" s="3270"/>
      <c r="KK251" s="3283"/>
      <c r="KL251" s="3284"/>
      <c r="KM251" s="3284"/>
      <c r="KN251" s="1978"/>
      <c r="KO251" s="3285"/>
      <c r="KP251" s="3269"/>
      <c r="KQ251" s="1978"/>
      <c r="KR251" s="1978"/>
      <c r="KS251" s="1978"/>
      <c r="KT251" s="3270"/>
      <c r="KU251" s="357"/>
      <c r="KV251" s="358"/>
      <c r="KW251" s="358"/>
      <c r="KX251" s="358">
        <f>100000*15%</f>
        <v>15000</v>
      </c>
      <c r="KY251" s="2773"/>
      <c r="KZ251" s="2889"/>
      <c r="LA251" s="2641"/>
      <c r="LB251" s="2641"/>
      <c r="LC251" s="358">
        <f t="shared" ref="LC251:LC260" si="885">IU251+IZ251+JE251+JJ251+JO251+JT251+JY251+KD251+KI251+KN251+KS251+KX251</f>
        <v>15000</v>
      </c>
      <c r="LD251" s="2693"/>
      <c r="LE251" s="3246"/>
      <c r="LF251" s="3272"/>
      <c r="LG251" s="3272"/>
      <c r="LH251" s="3286"/>
      <c r="LI251" s="3287"/>
      <c r="LJ251" s="2763"/>
      <c r="LK251" s="3275"/>
      <c r="LL251" s="3274"/>
      <c r="LM251" s="3288"/>
      <c r="LN251" s="2763"/>
      <c r="LO251" s="3275"/>
      <c r="LP251" s="3274"/>
      <c r="LQ251" s="3273"/>
      <c r="LR251" s="2763"/>
      <c r="LS251" s="3275"/>
      <c r="LT251" s="3274"/>
      <c r="LV251" s="2883"/>
      <c r="LW251" s="2641"/>
      <c r="LX251" s="2641"/>
      <c r="LY251" s="457"/>
      <c r="LZ251" s="3298"/>
      <c r="MA251" s="2889"/>
      <c r="MB251" s="2641"/>
      <c r="MC251" s="2641"/>
      <c r="MD251" s="457"/>
      <c r="ME251" s="3299"/>
      <c r="MF251" s="2883"/>
      <c r="MG251" s="2641"/>
      <c r="MH251" s="2641"/>
      <c r="MI251" s="457"/>
      <c r="MJ251" s="2653"/>
      <c r="MK251" s="3300"/>
      <c r="ML251" s="2641"/>
      <c r="MM251" s="2641"/>
      <c r="MN251" s="457"/>
      <c r="MO251" s="2653"/>
      <c r="MP251" s="3300"/>
      <c r="MQ251" s="2641"/>
      <c r="MR251" s="2641"/>
      <c r="MS251" s="2634"/>
      <c r="MT251" s="375"/>
      <c r="MU251" s="404"/>
      <c r="MV251" s="2150"/>
      <c r="MW251" s="2150"/>
      <c r="MX251" s="435"/>
      <c r="MY251" s="375"/>
      <c r="MZ251" s="404"/>
      <c r="NA251" s="2150"/>
      <c r="NB251" s="2150"/>
      <c r="NC251" s="435"/>
      <c r="ND251" s="375"/>
      <c r="NE251" s="404"/>
      <c r="NF251" s="2150"/>
      <c r="NG251" s="2150"/>
      <c r="NH251" s="435"/>
      <c r="NI251" s="375"/>
      <c r="NJ251" s="2883"/>
      <c r="NK251" s="2641"/>
      <c r="NL251" s="2652"/>
      <c r="NM251" s="435"/>
      <c r="NN251" s="375"/>
      <c r="NO251" s="2889"/>
      <c r="NP251" s="2641"/>
      <c r="NQ251" s="2652"/>
      <c r="NR251" s="2150"/>
      <c r="NS251" s="375"/>
      <c r="NT251" s="1596"/>
      <c r="NU251" s="435"/>
      <c r="NV251" s="435"/>
      <c r="NW251" s="435">
        <v>72354</v>
      </c>
      <c r="NX251" s="117"/>
      <c r="NY251" s="2635"/>
      <c r="NZ251" s="2150"/>
      <c r="OA251" s="2150"/>
      <c r="OB251" s="435">
        <f>1200000*15%</f>
        <v>180000</v>
      </c>
      <c r="OC251" s="375"/>
      <c r="OD251" s="1022"/>
      <c r="OE251" s="1568"/>
      <c r="OF251" s="1568"/>
      <c r="OG251" s="358">
        <f t="shared" si="876"/>
        <v>252354</v>
      </c>
      <c r="OH251" s="1872"/>
      <c r="OI251" s="1116"/>
      <c r="OJ251" s="2619"/>
      <c r="OK251" s="2619"/>
      <c r="OL251" s="2619"/>
      <c r="OM251" s="2643"/>
      <c r="ON251" s="1116"/>
      <c r="OO251" s="2619"/>
      <c r="OP251" s="2619"/>
      <c r="OQ251" s="2619"/>
      <c r="OR251" s="2643"/>
      <c r="OS251" s="2889"/>
      <c r="OT251" s="2641"/>
      <c r="OU251" s="2641"/>
      <c r="OV251" s="2641"/>
      <c r="OW251" s="1600"/>
      <c r="OX251" s="2889"/>
      <c r="OY251" s="2641"/>
      <c r="OZ251" s="2641"/>
      <c r="PA251" s="2641"/>
      <c r="PB251" s="1600"/>
      <c r="PD251" s="2883"/>
      <c r="PE251" s="2641"/>
      <c r="PF251" s="2641"/>
      <c r="PG251" s="1585">
        <v>0</v>
      </c>
      <c r="PH251" s="3301"/>
      <c r="PI251" s="2889"/>
      <c r="PJ251" s="2641"/>
      <c r="PK251" s="2641"/>
      <c r="PL251" s="457">
        <v>0</v>
      </c>
      <c r="PM251" s="3299"/>
      <c r="PN251" s="2883"/>
      <c r="PO251" s="2641"/>
      <c r="PP251" s="2641"/>
      <c r="PQ251" s="457">
        <v>0</v>
      </c>
      <c r="PR251" s="2653"/>
      <c r="PS251" s="3300"/>
      <c r="PT251" s="2641"/>
      <c r="PU251" s="2641"/>
      <c r="PV251" s="457">
        <v>0</v>
      </c>
      <c r="PW251" s="2653"/>
      <c r="PX251" s="3302"/>
      <c r="PY251" s="1585"/>
      <c r="PZ251" s="1585"/>
      <c r="QA251" s="2634">
        <v>0</v>
      </c>
      <c r="QB251" s="117"/>
      <c r="QC251" s="404"/>
      <c r="QD251" s="2150"/>
      <c r="QE251" s="2150"/>
      <c r="QF251" s="435">
        <v>0</v>
      </c>
      <c r="QG251" s="375"/>
      <c r="QH251" s="404"/>
      <c r="QI251" s="2150"/>
      <c r="QJ251" s="2150"/>
      <c r="QK251" s="3303">
        <v>20875</v>
      </c>
      <c r="QL251" s="375"/>
      <c r="QM251" s="404"/>
      <c r="QN251" s="2150"/>
      <c r="QO251" s="2150"/>
      <c r="QP251" s="435">
        <v>0</v>
      </c>
      <c r="QQ251" s="375"/>
      <c r="QR251" s="2883"/>
      <c r="QS251" s="2641"/>
      <c r="QT251" s="2652"/>
      <c r="QU251" s="208">
        <v>0</v>
      </c>
      <c r="QV251" s="2958"/>
      <c r="QW251" s="2889"/>
      <c r="QX251" s="2641"/>
      <c r="QY251" s="2652"/>
      <c r="QZ251" s="2150">
        <v>0</v>
      </c>
      <c r="RA251" s="375"/>
      <c r="RB251" s="1596"/>
      <c r="RC251" s="435"/>
      <c r="RD251" s="435"/>
      <c r="RE251" s="435">
        <v>0</v>
      </c>
      <c r="RF251" s="117"/>
      <c r="RG251" s="404"/>
      <c r="RH251" s="2150"/>
      <c r="RI251" s="2150"/>
      <c r="RJ251" s="2150">
        <v>0</v>
      </c>
      <c r="RK251" s="117"/>
      <c r="RL251" s="1022"/>
      <c r="RM251" s="1568"/>
      <c r="RN251" s="1568"/>
      <c r="RO251" s="1568">
        <f t="shared" si="877"/>
        <v>20875</v>
      </c>
      <c r="RP251" s="1872"/>
      <c r="RQ251" s="1116"/>
      <c r="RR251" s="2619"/>
      <c r="RS251" s="2619"/>
      <c r="RT251" s="3227">
        <f t="shared" si="881"/>
        <v>0</v>
      </c>
      <c r="RU251" s="2643"/>
      <c r="RV251" s="1116"/>
      <c r="RW251" s="2619"/>
      <c r="RX251" s="2619"/>
      <c r="RY251" s="3223">
        <f t="shared" si="878"/>
        <v>20875</v>
      </c>
      <c r="RZ251" s="2643"/>
      <c r="SA251" s="2889"/>
      <c r="SB251" s="2641"/>
      <c r="SC251" s="2641"/>
      <c r="SD251" s="3223">
        <f t="shared" si="879"/>
        <v>20875</v>
      </c>
      <c r="SE251" s="1600"/>
      <c r="SF251" s="2889"/>
      <c r="SG251" s="2641"/>
      <c r="SH251" s="2641"/>
      <c r="SI251" s="358">
        <f t="shared" si="882"/>
        <v>0</v>
      </c>
      <c r="SJ251" s="1600"/>
      <c r="SL251" s="2883"/>
      <c r="SM251" s="2641"/>
      <c r="SN251" s="2641"/>
      <c r="SO251" s="137">
        <v>0</v>
      </c>
      <c r="SP251" s="3301"/>
      <c r="SQ251" s="2889"/>
      <c r="SR251" s="2641"/>
      <c r="SS251" s="2641"/>
      <c r="ST251" s="457">
        <v>0</v>
      </c>
      <c r="SU251" s="3299"/>
      <c r="SV251" s="2142"/>
      <c r="SW251" s="1585"/>
      <c r="SX251" s="1585"/>
      <c r="SY251" s="359">
        <v>0</v>
      </c>
      <c r="SZ251" s="4096"/>
      <c r="TA251" s="3302"/>
      <c r="TB251" s="1585"/>
      <c r="TC251" s="1585"/>
      <c r="TD251" s="3234">
        <v>0</v>
      </c>
      <c r="TE251" s="4096"/>
      <c r="TF251" s="3302"/>
      <c r="TG251" s="1585"/>
      <c r="TH251" s="1585"/>
      <c r="TI251" s="358">
        <v>0</v>
      </c>
      <c r="TJ251" s="117"/>
      <c r="TK251" s="404"/>
      <c r="TL251" s="2150"/>
      <c r="TM251" s="2150"/>
      <c r="TN251" s="208">
        <v>0</v>
      </c>
      <c r="TO251" s="375"/>
      <c r="TP251" s="4516"/>
      <c r="TQ251" s="2150"/>
      <c r="TR251" s="2150"/>
      <c r="TS251" s="208">
        <v>0</v>
      </c>
      <c r="TT251" s="375"/>
      <c r="TU251" s="4516"/>
      <c r="TV251" s="2150"/>
      <c r="TW251" s="2150"/>
      <c r="TX251" s="1575">
        <v>0</v>
      </c>
      <c r="TY251" s="375"/>
      <c r="TZ251" s="2883"/>
      <c r="UA251" s="2641"/>
      <c r="UB251" s="2652"/>
      <c r="UC251" s="1575">
        <v>0</v>
      </c>
      <c r="UD251" s="2958"/>
      <c r="UE251" s="2889"/>
      <c r="UF251" s="2641"/>
      <c r="UG251" s="2652"/>
      <c r="UH251" s="1575">
        <v>0</v>
      </c>
      <c r="UI251" s="375"/>
      <c r="UJ251" s="1596"/>
      <c r="UK251" s="435"/>
      <c r="UL251" s="435"/>
      <c r="UM251" s="359">
        <v>0</v>
      </c>
      <c r="UN251" s="117"/>
      <c r="UO251" s="404"/>
      <c r="UP251" s="2150"/>
      <c r="UQ251" s="2150"/>
      <c r="UR251" s="1575">
        <v>0</v>
      </c>
      <c r="US251" s="117"/>
      <c r="UT251" s="1868"/>
      <c r="UU251" s="1575"/>
      <c r="UV251" s="1575"/>
      <c r="UW251" s="208">
        <f t="shared" si="883"/>
        <v>0</v>
      </c>
      <c r="UX251" s="83"/>
      <c r="UY251" s="1116"/>
      <c r="UZ251" s="2619"/>
      <c r="VA251" s="2619"/>
      <c r="VB251" s="3222">
        <f t="shared" si="884"/>
        <v>0</v>
      </c>
      <c r="VC251" s="2643"/>
      <c r="VD251" s="1116"/>
      <c r="VE251" s="2619"/>
      <c r="VF251" s="2619"/>
      <c r="VG251" s="2619"/>
      <c r="VH251" s="2643"/>
      <c r="VI251" s="2889"/>
      <c r="VJ251" s="2641"/>
      <c r="VK251" s="2641"/>
      <c r="VL251" s="2641"/>
      <c r="VM251" s="1600"/>
      <c r="VN251" s="2889"/>
      <c r="VO251" s="2641"/>
      <c r="VP251" s="2641"/>
      <c r="VQ251" s="2641"/>
      <c r="VR251" s="1600"/>
    </row>
    <row r="252" spans="1:590" s="453" customFormat="1" ht="13.45" hidden="1" x14ac:dyDescent="0.3">
      <c r="A252" s="2616"/>
      <c r="B252" s="3169"/>
      <c r="C252" s="3232" t="s">
        <v>892</v>
      </c>
      <c r="D252" s="3171"/>
      <c r="E252" s="3172"/>
      <c r="F252" s="3172"/>
      <c r="G252" s="3173"/>
      <c r="H252" s="3174"/>
      <c r="I252" s="3175"/>
      <c r="J252" s="3175"/>
      <c r="K252" s="3175"/>
      <c r="L252" s="3176"/>
      <c r="M252" s="3177"/>
      <c r="N252" s="3175"/>
      <c r="O252" s="3178"/>
      <c r="P252" s="3179"/>
      <c r="Q252" s="3176"/>
      <c r="R252" s="3177"/>
      <c r="S252" s="3175"/>
      <c r="T252" s="3175"/>
      <c r="U252" s="3175"/>
      <c r="V252" s="3176"/>
      <c r="W252" s="3177"/>
      <c r="X252" s="3175"/>
      <c r="Y252" s="3175"/>
      <c r="Z252" s="3175"/>
      <c r="AA252" s="3180"/>
      <c r="AB252" s="3177"/>
      <c r="AC252" s="3175"/>
      <c r="AD252" s="3175"/>
      <c r="AE252" s="3175"/>
      <c r="AF252" s="3180"/>
      <c r="AG252" s="3175"/>
      <c r="AH252" s="3175"/>
      <c r="AI252" s="3175"/>
      <c r="AJ252" s="3175"/>
      <c r="AK252" s="3176"/>
      <c r="AL252" s="3181"/>
      <c r="AM252" s="3181"/>
      <c r="AN252" s="3181"/>
      <c r="AO252" s="3175"/>
      <c r="AP252" s="3182"/>
      <c r="AQ252" s="3175"/>
      <c r="AR252" s="3175"/>
      <c r="AS252" s="3175"/>
      <c r="AT252" s="3175"/>
      <c r="AU252" s="3176"/>
      <c r="AV252" s="3184"/>
      <c r="AW252" s="3175"/>
      <c r="AX252" s="3175"/>
      <c r="AY252" s="3175"/>
      <c r="AZ252" s="3180"/>
      <c r="BA252" s="3184"/>
      <c r="BB252" s="3175"/>
      <c r="BC252" s="3175"/>
      <c r="BD252" s="3175"/>
      <c r="BE252" s="3180"/>
      <c r="BF252" s="3185"/>
      <c r="BG252" s="3181"/>
      <c r="BH252" s="3175"/>
      <c r="BI252" s="3175"/>
      <c r="BJ252" s="3186"/>
      <c r="BK252" s="3184"/>
      <c r="BL252" s="3175"/>
      <c r="BM252" s="3175"/>
      <c r="BN252" s="3175"/>
      <c r="BO252" s="3180"/>
      <c r="BP252" s="3175"/>
      <c r="BQ252" s="3175"/>
      <c r="BR252" s="3175"/>
      <c r="BS252" s="3175"/>
      <c r="BT252" s="3175"/>
      <c r="BU252" s="3175"/>
      <c r="BV252" s="3175"/>
      <c r="BW252" s="3176"/>
      <c r="BX252" s="3175"/>
      <c r="BY252" s="3175"/>
      <c r="BZ252" s="3175"/>
      <c r="CA252" s="3175"/>
      <c r="CB252" s="3175"/>
      <c r="CC252" s="3175"/>
      <c r="CD252" s="3175"/>
      <c r="CE252" s="3175"/>
      <c r="CF252" s="3175"/>
      <c r="CG252" s="3175"/>
      <c r="CH252" s="3175"/>
      <c r="CI252" s="3175"/>
      <c r="CJ252" s="3177"/>
      <c r="CK252" s="3175"/>
      <c r="CL252" s="3175"/>
      <c r="CM252" s="3175"/>
      <c r="CN252" s="3175"/>
      <c r="CO252" s="3177"/>
      <c r="CP252" s="3175"/>
      <c r="CQ252" s="3175"/>
      <c r="CR252" s="3175"/>
      <c r="CS252" s="3175"/>
      <c r="CT252" s="3177"/>
      <c r="CU252" s="3175"/>
      <c r="CV252" s="3175"/>
      <c r="CW252" s="3175"/>
      <c r="CX252" s="3175"/>
      <c r="CY252" s="3177"/>
      <c r="CZ252" s="3175"/>
      <c r="DA252" s="3175"/>
      <c r="DB252" s="3175"/>
      <c r="DC252" s="3175"/>
      <c r="DD252" s="3175"/>
      <c r="DE252" s="3175"/>
      <c r="DF252" s="3175"/>
      <c r="DG252" s="3175"/>
      <c r="DH252" s="3177"/>
      <c r="DI252" s="3177"/>
      <c r="DJ252" s="3175"/>
      <c r="DK252" s="3175"/>
      <c r="DL252" s="3175"/>
      <c r="DM252" s="3177"/>
      <c r="DN252" s="3177"/>
      <c r="DO252" s="3175"/>
      <c r="DP252" s="3175"/>
      <c r="DQ252" s="3175"/>
      <c r="DR252" s="3177"/>
      <c r="DS252" s="3177"/>
      <c r="DT252" s="3175"/>
      <c r="DU252" s="3175"/>
      <c r="DV252" s="3175"/>
      <c r="DW252" s="3175"/>
      <c r="DX252" s="3177"/>
      <c r="DY252" s="3175"/>
      <c r="DZ252" s="3175"/>
      <c r="EA252" s="3175"/>
      <c r="EB252" s="3180"/>
      <c r="EC252" s="3177"/>
      <c r="ED252" s="3175"/>
      <c r="EE252" s="3175"/>
      <c r="EF252" s="3175"/>
      <c r="EG252" s="3177"/>
      <c r="EH252" s="3175"/>
      <c r="EI252" s="3175"/>
      <c r="EJ252" s="3175"/>
      <c r="EK252" s="3175"/>
      <c r="EL252" s="3175"/>
      <c r="EM252" s="3228"/>
      <c r="EN252" s="1719"/>
      <c r="EO252" s="1719"/>
      <c r="EP252" s="1719"/>
      <c r="EQ252" s="1719"/>
      <c r="ER252" s="3175"/>
      <c r="ES252" s="3175"/>
      <c r="ET252" s="3175"/>
      <c r="EU252" s="3175"/>
      <c r="EV252" s="3175"/>
      <c r="EW252" s="3177"/>
      <c r="EX252" s="3175"/>
      <c r="EY252" s="3175"/>
      <c r="EZ252" s="3175"/>
      <c r="FA252" s="3175"/>
      <c r="FB252" s="3175"/>
      <c r="FC252" s="3175"/>
      <c r="FD252" s="3175"/>
      <c r="FE252" s="3175"/>
      <c r="FF252" s="3175"/>
      <c r="FG252" s="3175"/>
      <c r="FH252" s="3175"/>
      <c r="FI252" s="3175"/>
      <c r="FJ252" s="3175"/>
      <c r="FK252" s="3175"/>
      <c r="FL252" s="3175"/>
      <c r="FM252" s="3175"/>
      <c r="FN252" s="3177"/>
      <c r="FO252" s="3175"/>
      <c r="FP252" s="3175"/>
      <c r="FQ252" s="1719">
        <v>0</v>
      </c>
      <c r="FR252" s="3187"/>
      <c r="FS252" s="3174"/>
      <c r="FT252" s="3175"/>
      <c r="FU252" s="3175"/>
      <c r="FV252" s="3235">
        <f>9636</f>
        <v>9636</v>
      </c>
      <c r="FW252" s="3236"/>
      <c r="FX252" s="3237"/>
      <c r="FY252" s="1719"/>
      <c r="FZ252" s="1719"/>
      <c r="GA252" s="1719">
        <v>0</v>
      </c>
      <c r="GB252" s="3190"/>
      <c r="GC252" s="3191"/>
      <c r="GD252" s="1936"/>
      <c r="GE252" s="1936"/>
      <c r="GF252" s="264">
        <f>462025</f>
        <v>462025</v>
      </c>
      <c r="GG252" s="2730"/>
      <c r="GH252" s="1149"/>
      <c r="GI252" s="264"/>
      <c r="GJ252" s="264"/>
      <c r="GK252" s="3238">
        <v>0</v>
      </c>
      <c r="GL252" s="1222"/>
      <c r="GM252" s="1096"/>
      <c r="GN252" s="264"/>
      <c r="GO252" s="264"/>
      <c r="GP252" s="3238">
        <v>0</v>
      </c>
      <c r="GQ252" s="972"/>
      <c r="GR252" s="1083"/>
      <c r="GS252" s="265"/>
      <c r="GT252" s="265"/>
      <c r="GU252" s="265">
        <v>0</v>
      </c>
      <c r="GV252" s="3229"/>
      <c r="GW252" s="1083"/>
      <c r="GX252" s="265"/>
      <c r="GY252" s="265"/>
      <c r="GZ252" s="265">
        <v>0</v>
      </c>
      <c r="HA252" s="3229"/>
      <c r="HB252" s="1083"/>
      <c r="HC252" s="265"/>
      <c r="HD252" s="265"/>
      <c r="HE252" s="265">
        <v>0</v>
      </c>
      <c r="HF252" s="3229"/>
      <c r="HG252" s="1083"/>
      <c r="HH252" s="265"/>
      <c r="HI252" s="265"/>
      <c r="HJ252" s="265">
        <v>0</v>
      </c>
      <c r="HK252" s="3229"/>
      <c r="HL252" s="1083"/>
      <c r="HM252" s="265"/>
      <c r="HN252" s="265"/>
      <c r="HO252" s="265">
        <v>0</v>
      </c>
      <c r="HP252" s="3229"/>
      <c r="HQ252" s="357"/>
      <c r="HR252" s="358"/>
      <c r="HS252" s="358"/>
      <c r="HT252" s="358">
        <v>0</v>
      </c>
      <c r="HU252" s="2773"/>
      <c r="HV252" s="1022"/>
      <c r="HW252" s="1568"/>
      <c r="HX252" s="1568"/>
      <c r="HY252" s="1568">
        <f>FQ252+FV252+GA252+GF252+GK252+GP252+GU252+GZ252+HE252+HJ252+HO252+HT252</f>
        <v>471661</v>
      </c>
      <c r="HZ252" s="2673"/>
      <c r="IA252" s="3195"/>
      <c r="IB252" s="3196"/>
      <c r="IC252" s="3196">
        <v>0</v>
      </c>
      <c r="ID252" s="3196"/>
      <c r="IE252" s="3191"/>
      <c r="IF252" s="1936"/>
      <c r="IG252" s="2733">
        <v>0</v>
      </c>
      <c r="IH252" s="3192"/>
      <c r="II252" s="3191"/>
      <c r="IJ252" s="1936"/>
      <c r="IK252" s="2733">
        <v>0</v>
      </c>
      <c r="IL252" s="3192"/>
      <c r="IM252" s="3191"/>
      <c r="IN252" s="1936"/>
      <c r="IO252" s="2733">
        <v>0</v>
      </c>
      <c r="IP252" s="3192"/>
      <c r="IR252" s="3200"/>
      <c r="IS252" s="3196"/>
      <c r="IT252" s="3196"/>
      <c r="IU252" s="1756">
        <v>0</v>
      </c>
      <c r="IV252" s="3201"/>
      <c r="IW252" s="3195"/>
      <c r="IX252" s="3196"/>
      <c r="IY252" s="3196"/>
      <c r="IZ252" s="3242">
        <v>0</v>
      </c>
      <c r="JA252" s="3239"/>
      <c r="JB252" s="3240"/>
      <c r="JC252" s="1756"/>
      <c r="JD252" s="1756"/>
      <c r="JE252" s="1756">
        <v>0</v>
      </c>
      <c r="JF252" s="3204"/>
      <c r="JG252" s="3205"/>
      <c r="JH252" s="2186"/>
      <c r="JI252" s="2186"/>
      <c r="JJ252" s="1096">
        <v>0</v>
      </c>
      <c r="JK252" s="976"/>
      <c r="JL252" s="2011"/>
      <c r="JM252" s="264"/>
      <c r="JN252" s="264"/>
      <c r="JO252" s="3238"/>
      <c r="JP252" s="1222"/>
      <c r="JQ252" s="3230"/>
      <c r="JR252" s="264"/>
      <c r="JS252" s="264"/>
      <c r="JT252" s="3238"/>
      <c r="JU252" s="1222"/>
      <c r="JV252" s="3231"/>
      <c r="JW252" s="265"/>
      <c r="JX252" s="265"/>
      <c r="JY252" s="3238"/>
      <c r="JZ252" s="3229"/>
      <c r="KA252" s="1083"/>
      <c r="KB252" s="265"/>
      <c r="KC252" s="265"/>
      <c r="KD252" s="265"/>
      <c r="KE252" s="3229"/>
      <c r="KF252" s="2876"/>
      <c r="KG252" s="265"/>
      <c r="KH252" s="265"/>
      <c r="KI252" s="265">
        <v>0</v>
      </c>
      <c r="KJ252" s="3229"/>
      <c r="KK252" s="3210"/>
      <c r="KL252" s="3211"/>
      <c r="KM252" s="3211"/>
      <c r="KN252" s="265">
        <v>0</v>
      </c>
      <c r="KO252" s="3212"/>
      <c r="KP252" s="1083"/>
      <c r="KQ252" s="265"/>
      <c r="KR252" s="265"/>
      <c r="KS252" s="265">
        <v>0</v>
      </c>
      <c r="KT252" s="3229"/>
      <c r="KU252" s="357"/>
      <c r="KV252" s="358"/>
      <c r="KW252" s="358"/>
      <c r="KX252" s="358">
        <v>0</v>
      </c>
      <c r="KY252" s="2773"/>
      <c r="KZ252" s="1022"/>
      <c r="LA252" s="1568"/>
      <c r="LB252" s="1568"/>
      <c r="LC252" s="358">
        <f t="shared" si="885"/>
        <v>0</v>
      </c>
      <c r="LD252" s="2673"/>
      <c r="LE252" s="3171"/>
      <c r="LF252" s="3196"/>
      <c r="LG252" s="3196">
        <v>0</v>
      </c>
      <c r="LH252" s="3202"/>
      <c r="LI252" s="3214"/>
      <c r="LJ252" s="1936"/>
      <c r="LK252" s="2733">
        <v>0</v>
      </c>
      <c r="LL252" s="3192"/>
      <c r="LM252" s="3215"/>
      <c r="LN252" s="1936"/>
      <c r="LO252" s="2733">
        <v>0</v>
      </c>
      <c r="LP252" s="3192"/>
      <c r="LQ252" s="3191"/>
      <c r="LR252" s="1936"/>
      <c r="LS252" s="2733">
        <v>0</v>
      </c>
      <c r="LT252" s="3192"/>
      <c r="LV252" s="1567"/>
      <c r="LW252" s="1568"/>
      <c r="LX252" s="1568"/>
      <c r="LY252" s="3234">
        <v>0</v>
      </c>
      <c r="LZ252" s="3217"/>
      <c r="MA252" s="1022"/>
      <c r="MB252" s="1568"/>
      <c r="MC252" s="1568"/>
      <c r="MD252" s="3234">
        <v>0</v>
      </c>
      <c r="ME252" s="3194"/>
      <c r="MF252" s="1567"/>
      <c r="MG252" s="1568"/>
      <c r="MH252" s="1568"/>
      <c r="MI252" s="3234">
        <v>0</v>
      </c>
      <c r="MJ252" s="2674"/>
      <c r="MK252" s="3219"/>
      <c r="ML252" s="1568"/>
      <c r="MM252" s="1568"/>
      <c r="MN252" s="3234">
        <v>0</v>
      </c>
      <c r="MO252" s="2674"/>
      <c r="MP252" s="3219"/>
      <c r="MQ252" s="1568"/>
      <c r="MR252" s="1568"/>
      <c r="MS252" s="359">
        <v>0</v>
      </c>
      <c r="MT252" s="83"/>
      <c r="MU252" s="405"/>
      <c r="MV252" s="1575"/>
      <c r="MW252" s="1575"/>
      <c r="MX252" s="208">
        <v>0</v>
      </c>
      <c r="MY252" s="83"/>
      <c r="MZ252" s="405"/>
      <c r="NA252" s="1575"/>
      <c r="NB252" s="1575"/>
      <c r="NC252" s="208">
        <v>0</v>
      </c>
      <c r="ND252" s="83"/>
      <c r="NE252" s="405"/>
      <c r="NF252" s="1575"/>
      <c r="NG252" s="1575"/>
      <c r="NH252" s="208">
        <v>0</v>
      </c>
      <c r="NI252" s="83"/>
      <c r="NJ252" s="1567"/>
      <c r="NK252" s="1568"/>
      <c r="NL252" s="1871"/>
      <c r="NM252" s="208">
        <v>0</v>
      </c>
      <c r="NN252" s="83"/>
      <c r="NO252" s="1022"/>
      <c r="NP252" s="1568"/>
      <c r="NQ252" s="1871"/>
      <c r="NR252" s="208">
        <v>0</v>
      </c>
      <c r="NS252" s="83"/>
      <c r="NT252" s="209"/>
      <c r="NU252" s="208"/>
      <c r="NV252" s="208"/>
      <c r="NW252" s="208">
        <v>0</v>
      </c>
      <c r="NX252" s="114"/>
      <c r="NY252" s="1868"/>
      <c r="NZ252" s="1575"/>
      <c r="OA252" s="1575"/>
      <c r="OB252" s="208">
        <v>0</v>
      </c>
      <c r="OC252" s="83"/>
      <c r="OD252" s="1022"/>
      <c r="OE252" s="1568"/>
      <c r="OF252" s="1568"/>
      <c r="OG252" s="358">
        <f>OB252+NW252+NR252+NM252+NH252+NC252+MX252+MS252+MN252+MI252+MD252+LY252</f>
        <v>0</v>
      </c>
      <c r="OH252" s="1872"/>
      <c r="OI252" s="968"/>
      <c r="OJ252" s="2186"/>
      <c r="OK252" s="2186"/>
      <c r="OL252" s="2186"/>
      <c r="OM252" s="1869"/>
      <c r="ON252" s="968"/>
      <c r="OO252" s="2186"/>
      <c r="OP252" s="2186"/>
      <c r="OQ252" s="2186"/>
      <c r="OR252" s="1869"/>
      <c r="OS252" s="1022"/>
      <c r="OT252" s="1568"/>
      <c r="OU252" s="1568"/>
      <c r="OV252" s="1568"/>
      <c r="OW252" s="220"/>
      <c r="OX252" s="1022"/>
      <c r="OY252" s="1568"/>
      <c r="OZ252" s="1568"/>
      <c r="PA252" s="1568"/>
      <c r="PB252" s="220"/>
      <c r="PD252" s="1567"/>
      <c r="PE252" s="1568"/>
      <c r="PF252" s="1568"/>
      <c r="PG252" s="358">
        <v>0</v>
      </c>
      <c r="PH252" s="2944"/>
      <c r="PI252" s="1022"/>
      <c r="PJ252" s="1568"/>
      <c r="PK252" s="1568"/>
      <c r="PL252" s="3234">
        <v>0</v>
      </c>
      <c r="PM252" s="3194"/>
      <c r="PN252" s="1567"/>
      <c r="PO252" s="1568"/>
      <c r="PP252" s="1568"/>
      <c r="PQ252" s="3234">
        <v>0</v>
      </c>
      <c r="PR252" s="2674"/>
      <c r="PS252" s="3219"/>
      <c r="PT252" s="1568"/>
      <c r="PU252" s="1568"/>
      <c r="PV252" s="3234">
        <v>0</v>
      </c>
      <c r="PW252" s="2674"/>
      <c r="PX252" s="3221"/>
      <c r="PY252" s="358"/>
      <c r="PZ252" s="358"/>
      <c r="QA252" s="359">
        <v>0</v>
      </c>
      <c r="QB252" s="114"/>
      <c r="QC252" s="405"/>
      <c r="QD252" s="1575"/>
      <c r="QE252" s="1575"/>
      <c r="QF252" s="208">
        <v>0</v>
      </c>
      <c r="QG252" s="83"/>
      <c r="QH252" s="405"/>
      <c r="QI252" s="1575"/>
      <c r="QJ252" s="1575"/>
      <c r="QK252" s="208">
        <v>0</v>
      </c>
      <c r="QL252" s="83"/>
      <c r="QM252" s="405"/>
      <c r="QN252" s="1575"/>
      <c r="QO252" s="1575"/>
      <c r="QP252" s="208">
        <v>0</v>
      </c>
      <c r="QQ252" s="83"/>
      <c r="QR252" s="1567"/>
      <c r="QS252" s="1568"/>
      <c r="QT252" s="1871"/>
      <c r="QU252" s="208">
        <v>0</v>
      </c>
      <c r="QV252" s="222"/>
      <c r="QW252" s="1022"/>
      <c r="QX252" s="1568"/>
      <c r="QY252" s="1871"/>
      <c r="QZ252" s="208">
        <v>0</v>
      </c>
      <c r="RA252" s="83"/>
      <c r="RB252" s="209"/>
      <c r="RC252" s="208"/>
      <c r="RD252" s="208"/>
      <c r="RE252" s="208">
        <v>0</v>
      </c>
      <c r="RF252" s="114"/>
      <c r="RG252" s="405"/>
      <c r="RH252" s="1575"/>
      <c r="RI252" s="1575"/>
      <c r="RJ252" s="1575">
        <v>0</v>
      </c>
      <c r="RK252" s="114"/>
      <c r="RL252" s="1022"/>
      <c r="RM252" s="1568"/>
      <c r="RN252" s="1568"/>
      <c r="RO252" s="1568">
        <f>RJ252+RE252+QZ252+QU252+QP252+QK252+QF252+QA252+PV252+PQ252+PL252+PG252</f>
        <v>0</v>
      </c>
      <c r="RP252" s="1872"/>
      <c r="RQ252" s="968"/>
      <c r="RR252" s="2186"/>
      <c r="RS252" s="2186"/>
      <c r="RT252" s="3227">
        <f t="shared" si="881"/>
        <v>0</v>
      </c>
      <c r="RU252" s="1869"/>
      <c r="RV252" s="968"/>
      <c r="RW252" s="2186"/>
      <c r="RX252" s="2186"/>
      <c r="RY252" s="3223">
        <f t="shared" si="878"/>
        <v>0</v>
      </c>
      <c r="RZ252" s="1869"/>
      <c r="SA252" s="1022"/>
      <c r="SB252" s="1568"/>
      <c r="SC252" s="1568"/>
      <c r="SD252" s="3223">
        <f t="shared" si="879"/>
        <v>0</v>
      </c>
      <c r="SE252" s="220"/>
      <c r="SF252" s="1022"/>
      <c r="SG252" s="1568"/>
      <c r="SH252" s="1568"/>
      <c r="SI252" s="358">
        <f t="shared" si="882"/>
        <v>0</v>
      </c>
      <c r="SJ252" s="220"/>
      <c r="SL252" s="1567"/>
      <c r="SM252" s="1568"/>
      <c r="SN252" s="1568"/>
      <c r="SO252" s="137">
        <v>0</v>
      </c>
      <c r="SP252" s="2944"/>
      <c r="SQ252" s="1022"/>
      <c r="SR252" s="1568"/>
      <c r="SS252" s="1568"/>
      <c r="ST252" s="3234">
        <v>0</v>
      </c>
      <c r="SU252" s="3194"/>
      <c r="SV252" s="1857"/>
      <c r="SW252" s="358"/>
      <c r="SX252" s="358"/>
      <c r="SY252" s="359">
        <v>0</v>
      </c>
      <c r="SZ252" s="2563"/>
      <c r="TA252" s="3221"/>
      <c r="TB252" s="358"/>
      <c r="TC252" s="358"/>
      <c r="TD252" s="3234">
        <v>0</v>
      </c>
      <c r="TE252" s="2563"/>
      <c r="TF252" s="3221"/>
      <c r="TG252" s="358"/>
      <c r="TH252" s="358"/>
      <c r="TI252" s="358">
        <v>0</v>
      </c>
      <c r="TJ252" s="114"/>
      <c r="TK252" s="405"/>
      <c r="TL252" s="1575"/>
      <c r="TM252" s="1575"/>
      <c r="TN252" s="208">
        <v>0</v>
      </c>
      <c r="TO252" s="83"/>
      <c r="TP252" s="4506"/>
      <c r="TQ252" s="1575"/>
      <c r="TR252" s="1575"/>
      <c r="TS252" s="208">
        <v>0</v>
      </c>
      <c r="TT252" s="83"/>
      <c r="TU252" s="4506"/>
      <c r="TV252" s="1575"/>
      <c r="TW252" s="1575"/>
      <c r="TX252" s="1575">
        <v>0</v>
      </c>
      <c r="TY252" s="83"/>
      <c r="TZ252" s="1567"/>
      <c r="UA252" s="1568"/>
      <c r="UB252" s="1871"/>
      <c r="UC252" s="1575">
        <v>0</v>
      </c>
      <c r="UD252" s="222"/>
      <c r="UE252" s="1022"/>
      <c r="UF252" s="1568"/>
      <c r="UG252" s="1871"/>
      <c r="UH252" s="1575">
        <v>0</v>
      </c>
      <c r="UI252" s="83"/>
      <c r="UJ252" s="209"/>
      <c r="UK252" s="208"/>
      <c r="UL252" s="208"/>
      <c r="UM252" s="359">
        <v>0</v>
      </c>
      <c r="UN252" s="114"/>
      <c r="UO252" s="405"/>
      <c r="UP252" s="1575"/>
      <c r="UQ252" s="1575"/>
      <c r="UR252" s="1575">
        <v>0</v>
      </c>
      <c r="US252" s="114"/>
      <c r="UT252" s="1868"/>
      <c r="UU252" s="1575"/>
      <c r="UV252" s="1575"/>
      <c r="UW252" s="208">
        <f t="shared" si="883"/>
        <v>0</v>
      </c>
      <c r="UX252" s="83"/>
      <c r="UY252" s="968"/>
      <c r="UZ252" s="2186"/>
      <c r="VA252" s="2186"/>
      <c r="VB252" s="3222">
        <f t="shared" si="884"/>
        <v>0</v>
      </c>
      <c r="VC252" s="1869"/>
      <c r="VD252" s="968"/>
      <c r="VE252" s="2186"/>
      <c r="VF252" s="2186"/>
      <c r="VG252" s="2186"/>
      <c r="VH252" s="1869"/>
      <c r="VI252" s="1022"/>
      <c r="VJ252" s="1568"/>
      <c r="VK252" s="1568"/>
      <c r="VL252" s="1568"/>
      <c r="VM252" s="220"/>
      <c r="VN252" s="1022"/>
      <c r="VO252" s="1568"/>
      <c r="VP252" s="1568"/>
      <c r="VQ252" s="1568"/>
      <c r="VR252" s="220"/>
    </row>
    <row r="253" spans="1:590" s="453" customFormat="1" ht="13.45" hidden="1" x14ac:dyDescent="0.3">
      <c r="A253" s="2616"/>
      <c r="B253" s="3169"/>
      <c r="C253" s="3232" t="s">
        <v>895</v>
      </c>
      <c r="D253" s="3171"/>
      <c r="E253" s="3172"/>
      <c r="F253" s="3172"/>
      <c r="G253" s="3173"/>
      <c r="H253" s="3174"/>
      <c r="I253" s="3175"/>
      <c r="J253" s="3175"/>
      <c r="K253" s="3175"/>
      <c r="L253" s="3176"/>
      <c r="M253" s="3177"/>
      <c r="N253" s="3175"/>
      <c r="O253" s="3178"/>
      <c r="P253" s="3179"/>
      <c r="Q253" s="3176"/>
      <c r="R253" s="3177"/>
      <c r="S253" s="3175"/>
      <c r="T253" s="3175"/>
      <c r="U253" s="3175"/>
      <c r="V253" s="3176"/>
      <c r="W253" s="3177"/>
      <c r="X253" s="3175"/>
      <c r="Y253" s="3175"/>
      <c r="Z253" s="3175"/>
      <c r="AA253" s="3180"/>
      <c r="AB253" s="3177"/>
      <c r="AC253" s="3175"/>
      <c r="AD253" s="3175"/>
      <c r="AE253" s="3175"/>
      <c r="AF253" s="3180"/>
      <c r="AG253" s="3175"/>
      <c r="AH253" s="3175"/>
      <c r="AI253" s="3175"/>
      <c r="AJ253" s="3175"/>
      <c r="AK253" s="3176"/>
      <c r="AL253" s="3181"/>
      <c r="AM253" s="3181"/>
      <c r="AN253" s="3181"/>
      <c r="AO253" s="3175"/>
      <c r="AP253" s="3182"/>
      <c r="AQ253" s="3175"/>
      <c r="AR253" s="3175"/>
      <c r="AS253" s="3175"/>
      <c r="AT253" s="3175"/>
      <c r="AU253" s="3176"/>
      <c r="AV253" s="3184"/>
      <c r="AW253" s="3175"/>
      <c r="AX253" s="3175"/>
      <c r="AY253" s="3175"/>
      <c r="AZ253" s="3180"/>
      <c r="BA253" s="3184"/>
      <c r="BB253" s="3175"/>
      <c r="BC253" s="3175"/>
      <c r="BD253" s="3175"/>
      <c r="BE253" s="3180"/>
      <c r="BF253" s="3185"/>
      <c r="BG253" s="3181"/>
      <c r="BH253" s="3175"/>
      <c r="BI253" s="3175"/>
      <c r="BJ253" s="3186"/>
      <c r="BK253" s="3184"/>
      <c r="BL253" s="3175"/>
      <c r="BM253" s="3175"/>
      <c r="BN253" s="3175"/>
      <c r="BO253" s="3180"/>
      <c r="BP253" s="3175"/>
      <c r="BQ253" s="3175"/>
      <c r="BR253" s="3175"/>
      <c r="BS253" s="3175"/>
      <c r="BT253" s="3175"/>
      <c r="BU253" s="3175"/>
      <c r="BV253" s="3175"/>
      <c r="BW253" s="3176"/>
      <c r="BX253" s="3175"/>
      <c r="BY253" s="3175"/>
      <c r="BZ253" s="3175"/>
      <c r="CA253" s="3175"/>
      <c r="CB253" s="3175"/>
      <c r="CC253" s="3175"/>
      <c r="CD253" s="3175"/>
      <c r="CE253" s="3175"/>
      <c r="CF253" s="3175"/>
      <c r="CG253" s="3175"/>
      <c r="CH253" s="3175"/>
      <c r="CI253" s="3175"/>
      <c r="CJ253" s="3177"/>
      <c r="CK253" s="3175"/>
      <c r="CL253" s="3175"/>
      <c r="CM253" s="3175"/>
      <c r="CN253" s="3175"/>
      <c r="CO253" s="3177"/>
      <c r="CP253" s="3175"/>
      <c r="CQ253" s="3175"/>
      <c r="CR253" s="3175"/>
      <c r="CS253" s="3175"/>
      <c r="CT253" s="3177"/>
      <c r="CU253" s="3175"/>
      <c r="CV253" s="3175"/>
      <c r="CW253" s="3175"/>
      <c r="CX253" s="3175"/>
      <c r="CY253" s="3177"/>
      <c r="CZ253" s="3175"/>
      <c r="DA253" s="3175"/>
      <c r="DB253" s="3175"/>
      <c r="DC253" s="3175"/>
      <c r="DD253" s="3175"/>
      <c r="DE253" s="3175"/>
      <c r="DF253" s="3175"/>
      <c r="DG253" s="3175"/>
      <c r="DH253" s="3177"/>
      <c r="DI253" s="3177"/>
      <c r="DJ253" s="3175"/>
      <c r="DK253" s="3175"/>
      <c r="DL253" s="3175"/>
      <c r="DM253" s="3177"/>
      <c r="DN253" s="3177"/>
      <c r="DO253" s="3175"/>
      <c r="DP253" s="3175"/>
      <c r="DQ253" s="3175"/>
      <c r="DR253" s="3177"/>
      <c r="DS253" s="3177"/>
      <c r="DT253" s="3175"/>
      <c r="DU253" s="3175"/>
      <c r="DV253" s="3175"/>
      <c r="DW253" s="3175"/>
      <c r="DX253" s="3177"/>
      <c r="DY253" s="3175"/>
      <c r="DZ253" s="3175"/>
      <c r="EA253" s="3175"/>
      <c r="EB253" s="3180"/>
      <c r="EC253" s="3177"/>
      <c r="ED253" s="3175"/>
      <c r="EE253" s="3175"/>
      <c r="EF253" s="3175"/>
      <c r="EG253" s="3177"/>
      <c r="EH253" s="3175"/>
      <c r="EI253" s="3175"/>
      <c r="EJ253" s="3175"/>
      <c r="EK253" s="3175"/>
      <c r="EL253" s="3175"/>
      <c r="EM253" s="3228"/>
      <c r="EN253" s="1719"/>
      <c r="EO253" s="1719"/>
      <c r="EP253" s="1719"/>
      <c r="EQ253" s="1719"/>
      <c r="ER253" s="3175"/>
      <c r="ES253" s="3175"/>
      <c r="ET253" s="3175"/>
      <c r="EU253" s="3175"/>
      <c r="EV253" s="3175"/>
      <c r="EW253" s="3177"/>
      <c r="EX253" s="3175"/>
      <c r="EY253" s="3175"/>
      <c r="EZ253" s="3175"/>
      <c r="FA253" s="3175"/>
      <c r="FB253" s="3175"/>
      <c r="FC253" s="3175"/>
      <c r="FD253" s="3175"/>
      <c r="FE253" s="3175"/>
      <c r="FF253" s="3175"/>
      <c r="FG253" s="3175"/>
      <c r="FH253" s="3175"/>
      <c r="FI253" s="3175"/>
      <c r="FJ253" s="3175"/>
      <c r="FK253" s="3175"/>
      <c r="FL253" s="3175"/>
      <c r="FM253" s="3175"/>
      <c r="FN253" s="3177"/>
      <c r="FO253" s="3175"/>
      <c r="FP253" s="3175"/>
      <c r="FQ253" s="1719">
        <v>0</v>
      </c>
      <c r="FR253" s="3187"/>
      <c r="FS253" s="3174"/>
      <c r="FT253" s="3175"/>
      <c r="FU253" s="3175"/>
      <c r="FV253" s="3235">
        <v>0</v>
      </c>
      <c r="FW253" s="3236"/>
      <c r="FX253" s="3237"/>
      <c r="FY253" s="1719"/>
      <c r="FZ253" s="1719"/>
      <c r="GA253" s="1719">
        <f>37188</f>
        <v>37188</v>
      </c>
      <c r="GB253" s="3190"/>
      <c r="GC253" s="3191"/>
      <c r="GD253" s="1936"/>
      <c r="GE253" s="1936"/>
      <c r="GF253" s="264">
        <f>12396</f>
        <v>12396</v>
      </c>
      <c r="GG253" s="2730"/>
      <c r="GH253" s="1149"/>
      <c r="GI253" s="264"/>
      <c r="GJ253" s="264"/>
      <c r="GK253" s="3238">
        <f>12396</f>
        <v>12396</v>
      </c>
      <c r="GL253" s="1222"/>
      <c r="GM253" s="1096"/>
      <c r="GN253" s="264"/>
      <c r="GO253" s="264"/>
      <c r="GP253" s="264">
        <f>12396</f>
        <v>12396</v>
      </c>
      <c r="GQ253" s="972"/>
      <c r="GR253" s="1083"/>
      <c r="GS253" s="265"/>
      <c r="GT253" s="265"/>
      <c r="GU253" s="265">
        <f>12396</f>
        <v>12396</v>
      </c>
      <c r="GV253" s="3229"/>
      <c r="GW253" s="1083"/>
      <c r="GX253" s="265"/>
      <c r="GY253" s="265"/>
      <c r="GZ253" s="265">
        <f>12396</f>
        <v>12396</v>
      </c>
      <c r="HA253" s="3229"/>
      <c r="HB253" s="1083"/>
      <c r="HC253" s="265"/>
      <c r="HD253" s="265"/>
      <c r="HE253" s="265">
        <v>0</v>
      </c>
      <c r="HF253" s="3229"/>
      <c r="HG253" s="1083"/>
      <c r="HH253" s="265"/>
      <c r="HI253" s="265"/>
      <c r="HJ253" s="265">
        <v>0</v>
      </c>
      <c r="HK253" s="3229"/>
      <c r="HL253" s="1083"/>
      <c r="HM253" s="265"/>
      <c r="HN253" s="265"/>
      <c r="HO253" s="265">
        <v>0</v>
      </c>
      <c r="HP253" s="3229"/>
      <c r="HQ253" s="357"/>
      <c r="HR253" s="358"/>
      <c r="HS253" s="358"/>
      <c r="HT253" s="358">
        <v>0</v>
      </c>
      <c r="HU253" s="2773"/>
      <c r="HV253" s="1022"/>
      <c r="HW253" s="1568"/>
      <c r="HX253" s="1568"/>
      <c r="HY253" s="1568">
        <f>FQ253+FV253+GA253+GF253+GK253+GP253+GU253+GZ253+HE253+HJ253+HO253+HT253</f>
        <v>99168</v>
      </c>
      <c r="HZ253" s="2673"/>
      <c r="IA253" s="3195"/>
      <c r="IB253" s="3196"/>
      <c r="IC253" s="3196">
        <v>0</v>
      </c>
      <c r="ID253" s="3196"/>
      <c r="IE253" s="3191"/>
      <c r="IF253" s="1936"/>
      <c r="IG253" s="2733">
        <v>0</v>
      </c>
      <c r="IH253" s="3192"/>
      <c r="II253" s="3191"/>
      <c r="IJ253" s="1936"/>
      <c r="IK253" s="2733">
        <v>0</v>
      </c>
      <c r="IL253" s="3192"/>
      <c r="IM253" s="3191"/>
      <c r="IN253" s="1936"/>
      <c r="IO253" s="2733">
        <v>0</v>
      </c>
      <c r="IP253" s="3192"/>
      <c r="IR253" s="3200"/>
      <c r="IS253" s="3196"/>
      <c r="IT253" s="3196"/>
      <c r="IU253" s="1756">
        <v>0</v>
      </c>
      <c r="IV253" s="3201"/>
      <c r="IW253" s="3195"/>
      <c r="IX253" s="3196"/>
      <c r="IY253" s="3196"/>
      <c r="IZ253" s="3242">
        <v>0</v>
      </c>
      <c r="JA253" s="3239"/>
      <c r="JB253" s="3240"/>
      <c r="JC253" s="1756"/>
      <c r="JD253" s="1756"/>
      <c r="JE253" s="3242">
        <v>0</v>
      </c>
      <c r="JF253" s="3204"/>
      <c r="JG253" s="3205"/>
      <c r="JH253" s="2186"/>
      <c r="JI253" s="2186"/>
      <c r="JJ253" s="1096">
        <v>0</v>
      </c>
      <c r="JK253" s="976"/>
      <c r="JL253" s="2011"/>
      <c r="JM253" s="264"/>
      <c r="JN253" s="264"/>
      <c r="JO253" s="1096">
        <v>0</v>
      </c>
      <c r="JP253" s="1222"/>
      <c r="JQ253" s="3230"/>
      <c r="JR253" s="264"/>
      <c r="JS253" s="264"/>
      <c r="JT253" s="1096">
        <v>0</v>
      </c>
      <c r="JU253" s="1222"/>
      <c r="JV253" s="3231"/>
      <c r="JW253" s="265"/>
      <c r="JX253" s="265"/>
      <c r="JY253" s="1096">
        <v>0</v>
      </c>
      <c r="JZ253" s="3229"/>
      <c r="KA253" s="1083"/>
      <c r="KB253" s="265"/>
      <c r="KC253" s="265"/>
      <c r="KD253" s="265">
        <v>0</v>
      </c>
      <c r="KE253" s="3229"/>
      <c r="KF253" s="2876"/>
      <c r="KG253" s="265"/>
      <c r="KH253" s="265"/>
      <c r="KI253" s="265">
        <v>0</v>
      </c>
      <c r="KJ253" s="3229"/>
      <c r="KK253" s="3210"/>
      <c r="KL253" s="3211"/>
      <c r="KM253" s="3211"/>
      <c r="KN253" s="265">
        <v>0</v>
      </c>
      <c r="KO253" s="3212"/>
      <c r="KP253" s="1083"/>
      <c r="KQ253" s="265"/>
      <c r="KR253" s="265"/>
      <c r="KS253" s="265">
        <v>0</v>
      </c>
      <c r="KT253" s="3229"/>
      <c r="KU253" s="357"/>
      <c r="KV253" s="358"/>
      <c r="KW253" s="358"/>
      <c r="KX253" s="358">
        <v>0</v>
      </c>
      <c r="KY253" s="2773"/>
      <c r="KZ253" s="1022"/>
      <c r="LA253" s="1568"/>
      <c r="LB253" s="1568"/>
      <c r="LC253" s="358">
        <f t="shared" si="885"/>
        <v>0</v>
      </c>
      <c r="LD253" s="2673"/>
      <c r="LE253" s="3171"/>
      <c r="LF253" s="3196"/>
      <c r="LG253" s="3196">
        <v>0</v>
      </c>
      <c r="LH253" s="3202"/>
      <c r="LI253" s="3214"/>
      <c r="LJ253" s="1936"/>
      <c r="LK253" s="2733">
        <v>0</v>
      </c>
      <c r="LL253" s="3192"/>
      <c r="LM253" s="3215"/>
      <c r="LN253" s="1936"/>
      <c r="LO253" s="2733">
        <v>0</v>
      </c>
      <c r="LP253" s="3192"/>
      <c r="LQ253" s="3191"/>
      <c r="LR253" s="1936"/>
      <c r="LS253" s="2733">
        <v>0</v>
      </c>
      <c r="LT253" s="3192"/>
      <c r="LV253" s="1567"/>
      <c r="LW253" s="1568"/>
      <c r="LX253" s="1568"/>
      <c r="LY253" s="3234">
        <v>0</v>
      </c>
      <c r="LZ253" s="3217"/>
      <c r="MA253" s="1022"/>
      <c r="MB253" s="1568"/>
      <c r="MC253" s="1568"/>
      <c r="MD253" s="3234">
        <v>0</v>
      </c>
      <c r="ME253" s="3194"/>
      <c r="MF253" s="1567"/>
      <c r="MG253" s="1568"/>
      <c r="MH253" s="1568"/>
      <c r="MI253" s="3234">
        <v>0</v>
      </c>
      <c r="MJ253" s="2674"/>
      <c r="MK253" s="3219"/>
      <c r="ML253" s="1568"/>
      <c r="MM253" s="1568"/>
      <c r="MN253" s="3234">
        <v>0</v>
      </c>
      <c r="MO253" s="2674"/>
      <c r="MP253" s="3219"/>
      <c r="MQ253" s="1568"/>
      <c r="MR253" s="1568"/>
      <c r="MS253" s="359">
        <v>0</v>
      </c>
      <c r="MT253" s="83"/>
      <c r="MU253" s="405"/>
      <c r="MV253" s="1575"/>
      <c r="MW253" s="1575"/>
      <c r="MX253" s="208">
        <v>0</v>
      </c>
      <c r="MY253" s="83"/>
      <c r="MZ253" s="405"/>
      <c r="NA253" s="1575"/>
      <c r="NB253" s="1575"/>
      <c r="NC253" s="208">
        <v>0</v>
      </c>
      <c r="ND253" s="83"/>
      <c r="NE253" s="405"/>
      <c r="NF253" s="1575"/>
      <c r="NG253" s="1575"/>
      <c r="NH253" s="208">
        <v>0</v>
      </c>
      <c r="NI253" s="83"/>
      <c r="NJ253" s="1567"/>
      <c r="NK253" s="1568"/>
      <c r="NL253" s="1871"/>
      <c r="NM253" s="208">
        <v>0</v>
      </c>
      <c r="NN253" s="83"/>
      <c r="NO253" s="1022"/>
      <c r="NP253" s="1568"/>
      <c r="NQ253" s="1871"/>
      <c r="NR253" s="208">
        <v>0</v>
      </c>
      <c r="NS253" s="83"/>
      <c r="NT253" s="209"/>
      <c r="NU253" s="208"/>
      <c r="NV253" s="208"/>
      <c r="NW253" s="208">
        <v>0</v>
      </c>
      <c r="NX253" s="114"/>
      <c r="NY253" s="1868"/>
      <c r="NZ253" s="1575"/>
      <c r="OA253" s="1575"/>
      <c r="OB253" s="208">
        <v>0</v>
      </c>
      <c r="OC253" s="83"/>
      <c r="OD253" s="1022"/>
      <c r="OE253" s="1568"/>
      <c r="OF253" s="1568"/>
      <c r="OG253" s="358">
        <f>OB253+NW253+NR253+NM253+NH253+NC253+MX253+MS253+MN253+MI253+MD253+LY253</f>
        <v>0</v>
      </c>
      <c r="OH253" s="1872"/>
      <c r="OI253" s="968"/>
      <c r="OJ253" s="2186"/>
      <c r="OK253" s="2186"/>
      <c r="OL253" s="2186"/>
      <c r="OM253" s="1869"/>
      <c r="ON253" s="968"/>
      <c r="OO253" s="2186"/>
      <c r="OP253" s="2186"/>
      <c r="OQ253" s="2186"/>
      <c r="OR253" s="1869"/>
      <c r="OS253" s="1022"/>
      <c r="OT253" s="1568"/>
      <c r="OU253" s="1568"/>
      <c r="OV253" s="1568"/>
      <c r="OW253" s="220"/>
      <c r="OX253" s="1022"/>
      <c r="OY253" s="1568"/>
      <c r="OZ253" s="1568"/>
      <c r="PA253" s="1568"/>
      <c r="PB253" s="220"/>
      <c r="PD253" s="1567"/>
      <c r="PE253" s="1568"/>
      <c r="PF253" s="1568"/>
      <c r="PG253" s="358">
        <v>0</v>
      </c>
      <c r="PH253" s="2944"/>
      <c r="PI253" s="1022"/>
      <c r="PJ253" s="1568"/>
      <c r="PK253" s="1568"/>
      <c r="PL253" s="3234">
        <v>0</v>
      </c>
      <c r="PM253" s="3194"/>
      <c r="PN253" s="1567"/>
      <c r="PO253" s="1568"/>
      <c r="PP253" s="1568"/>
      <c r="PQ253" s="3234">
        <v>0</v>
      </c>
      <c r="PR253" s="2674"/>
      <c r="PS253" s="3219"/>
      <c r="PT253" s="1568"/>
      <c r="PU253" s="1568"/>
      <c r="PV253" s="3234">
        <v>0</v>
      </c>
      <c r="PW253" s="2674"/>
      <c r="PX253" s="3221"/>
      <c r="PY253" s="358"/>
      <c r="PZ253" s="358"/>
      <c r="QA253" s="359">
        <v>0</v>
      </c>
      <c r="QB253" s="114"/>
      <c r="QC253" s="405"/>
      <c r="QD253" s="1575"/>
      <c r="QE253" s="1575"/>
      <c r="QF253" s="208">
        <v>0</v>
      </c>
      <c r="QG253" s="83"/>
      <c r="QH253" s="405"/>
      <c r="QI253" s="1575"/>
      <c r="QJ253" s="1575"/>
      <c r="QK253" s="3241">
        <v>0</v>
      </c>
      <c r="QL253" s="83"/>
      <c r="QM253" s="405"/>
      <c r="QN253" s="1575"/>
      <c r="QO253" s="1575"/>
      <c r="QP253" s="208">
        <v>0</v>
      </c>
      <c r="QQ253" s="83"/>
      <c r="QR253" s="1567"/>
      <c r="QS253" s="1568"/>
      <c r="QT253" s="1871"/>
      <c r="QU253" s="208">
        <v>0</v>
      </c>
      <c r="QV253" s="222"/>
      <c r="QW253" s="1022"/>
      <c r="QX253" s="1568"/>
      <c r="QY253" s="1871"/>
      <c r="QZ253" s="208">
        <v>0</v>
      </c>
      <c r="RA253" s="83"/>
      <c r="RB253" s="209"/>
      <c r="RC253" s="208"/>
      <c r="RD253" s="208"/>
      <c r="RE253" s="208">
        <v>0</v>
      </c>
      <c r="RF253" s="114"/>
      <c r="RG253" s="405"/>
      <c r="RH253" s="1575"/>
      <c r="RI253" s="1575"/>
      <c r="RJ253" s="1575">
        <v>0</v>
      </c>
      <c r="RK253" s="114"/>
      <c r="RL253" s="1022"/>
      <c r="RM253" s="1568"/>
      <c r="RN253" s="1568"/>
      <c r="RO253" s="1568">
        <f>RJ253+RE253+QZ253+QU253+QP253+QK253+QF253+QA253+PV253+PQ253+PL253+PG253</f>
        <v>0</v>
      </c>
      <c r="RP253" s="1872"/>
      <c r="RQ253" s="968"/>
      <c r="RR253" s="2186"/>
      <c r="RS253" s="2186"/>
      <c r="RT253" s="3227">
        <f t="shared" si="881"/>
        <v>0</v>
      </c>
      <c r="RU253" s="1869"/>
      <c r="RV253" s="968"/>
      <c r="RW253" s="2186"/>
      <c r="RX253" s="2186"/>
      <c r="RY253" s="3223">
        <f t="shared" si="878"/>
        <v>0</v>
      </c>
      <c r="RZ253" s="1869"/>
      <c r="SA253" s="1022"/>
      <c r="SB253" s="1568"/>
      <c r="SC253" s="1568"/>
      <c r="SD253" s="3223">
        <f t="shared" si="879"/>
        <v>0</v>
      </c>
      <c r="SE253" s="220"/>
      <c r="SF253" s="1022"/>
      <c r="SG253" s="1568"/>
      <c r="SH253" s="1568"/>
      <c r="SI253" s="358">
        <f t="shared" si="882"/>
        <v>0</v>
      </c>
      <c r="SJ253" s="220"/>
      <c r="SL253" s="1567"/>
      <c r="SM253" s="1568"/>
      <c r="SN253" s="1568"/>
      <c r="SO253" s="137">
        <v>0</v>
      </c>
      <c r="SP253" s="2944"/>
      <c r="SQ253" s="1022"/>
      <c r="SR253" s="1568"/>
      <c r="SS253" s="1568"/>
      <c r="ST253" s="3234">
        <v>0</v>
      </c>
      <c r="SU253" s="3194"/>
      <c r="SV253" s="1857"/>
      <c r="SW253" s="358"/>
      <c r="SX253" s="358"/>
      <c r="SY253" s="359">
        <v>0</v>
      </c>
      <c r="SZ253" s="2563"/>
      <c r="TA253" s="3221"/>
      <c r="TB253" s="358"/>
      <c r="TC253" s="358"/>
      <c r="TD253" s="3234">
        <v>0</v>
      </c>
      <c r="TE253" s="2563"/>
      <c r="TF253" s="3221"/>
      <c r="TG253" s="358"/>
      <c r="TH253" s="358"/>
      <c r="TI253" s="358">
        <v>0</v>
      </c>
      <c r="TJ253" s="114"/>
      <c r="TK253" s="405"/>
      <c r="TL253" s="1575"/>
      <c r="TM253" s="1575"/>
      <c r="TN253" s="208">
        <v>0</v>
      </c>
      <c r="TO253" s="83"/>
      <c r="TP253" s="4506"/>
      <c r="TQ253" s="1575"/>
      <c r="TR253" s="1575"/>
      <c r="TS253" s="208">
        <v>0</v>
      </c>
      <c r="TT253" s="83"/>
      <c r="TU253" s="4506"/>
      <c r="TV253" s="1575"/>
      <c r="TW253" s="1575"/>
      <c r="TX253" s="1575">
        <v>0</v>
      </c>
      <c r="TY253" s="83"/>
      <c r="TZ253" s="1567"/>
      <c r="UA253" s="1568"/>
      <c r="UB253" s="1871"/>
      <c r="UC253" s="1575">
        <v>0</v>
      </c>
      <c r="UD253" s="222"/>
      <c r="UE253" s="1022"/>
      <c r="UF253" s="1568"/>
      <c r="UG253" s="1871"/>
      <c r="UH253" s="1575">
        <v>0</v>
      </c>
      <c r="UI253" s="83"/>
      <c r="UJ253" s="209"/>
      <c r="UK253" s="208"/>
      <c r="UL253" s="208"/>
      <c r="UM253" s="359">
        <v>0</v>
      </c>
      <c r="UN253" s="114"/>
      <c r="UO253" s="405"/>
      <c r="UP253" s="1575"/>
      <c r="UQ253" s="1575"/>
      <c r="UR253" s="1575">
        <v>0</v>
      </c>
      <c r="US253" s="114"/>
      <c r="UT253" s="1868"/>
      <c r="UU253" s="1575"/>
      <c r="UV253" s="1575"/>
      <c r="UW253" s="208">
        <f t="shared" si="883"/>
        <v>0</v>
      </c>
      <c r="UX253" s="83"/>
      <c r="UY253" s="968"/>
      <c r="UZ253" s="2186"/>
      <c r="VA253" s="2186"/>
      <c r="VB253" s="3222">
        <f t="shared" si="884"/>
        <v>0</v>
      </c>
      <c r="VC253" s="1869"/>
      <c r="VD253" s="968"/>
      <c r="VE253" s="2186"/>
      <c r="VF253" s="2186"/>
      <c r="VG253" s="2186"/>
      <c r="VH253" s="1869"/>
      <c r="VI253" s="1022"/>
      <c r="VJ253" s="1568"/>
      <c r="VK253" s="1568"/>
      <c r="VL253" s="1568"/>
      <c r="VM253" s="220"/>
      <c r="VN253" s="1022"/>
      <c r="VO253" s="1568"/>
      <c r="VP253" s="1568"/>
      <c r="VQ253" s="1568"/>
      <c r="VR253" s="220"/>
    </row>
    <row r="254" spans="1:590" s="453" customFormat="1" ht="13.45" hidden="1" x14ac:dyDescent="0.3">
      <c r="A254" s="2616"/>
      <c r="B254" s="3169"/>
      <c r="C254" s="3245" t="s">
        <v>31</v>
      </c>
      <c r="D254" s="3246"/>
      <c r="E254" s="3247"/>
      <c r="F254" s="3247"/>
      <c r="G254" s="3248"/>
      <c r="H254" s="3249"/>
      <c r="I254" s="3250"/>
      <c r="J254" s="3250"/>
      <c r="K254" s="3250"/>
      <c r="L254" s="3251"/>
      <c r="M254" s="3252"/>
      <c r="N254" s="3250"/>
      <c r="O254" s="3253"/>
      <c r="P254" s="3254"/>
      <c r="Q254" s="3251"/>
      <c r="R254" s="3252"/>
      <c r="S254" s="3250"/>
      <c r="T254" s="3250"/>
      <c r="U254" s="3250"/>
      <c r="V254" s="3251"/>
      <c r="W254" s="3252"/>
      <c r="X254" s="3250"/>
      <c r="Y254" s="3250"/>
      <c r="Z254" s="3250"/>
      <c r="AA254" s="3255"/>
      <c r="AB254" s="3252"/>
      <c r="AC254" s="3250"/>
      <c r="AD254" s="3250"/>
      <c r="AE254" s="3250"/>
      <c r="AF254" s="3255"/>
      <c r="AG254" s="3250"/>
      <c r="AH254" s="3250"/>
      <c r="AI254" s="3250"/>
      <c r="AJ254" s="3250"/>
      <c r="AK254" s="3251"/>
      <c r="AL254" s="3256"/>
      <c r="AM254" s="3256"/>
      <c r="AN254" s="3256"/>
      <c r="AO254" s="3250"/>
      <c r="AP254" s="3257"/>
      <c r="AQ254" s="3250"/>
      <c r="AR254" s="3250"/>
      <c r="AS254" s="3250"/>
      <c r="AT254" s="3250"/>
      <c r="AU254" s="3251"/>
      <c r="AV254" s="3258"/>
      <c r="AW254" s="3250"/>
      <c r="AX254" s="3250"/>
      <c r="AY254" s="3250"/>
      <c r="AZ254" s="3255"/>
      <c r="BA254" s="3258"/>
      <c r="BB254" s="3250"/>
      <c r="BC254" s="3250"/>
      <c r="BD254" s="3250"/>
      <c r="BE254" s="3255"/>
      <c r="BF254" s="3259"/>
      <c r="BG254" s="3256"/>
      <c r="BH254" s="3250"/>
      <c r="BI254" s="3250"/>
      <c r="BJ254" s="3260"/>
      <c r="BK254" s="3258"/>
      <c r="BL254" s="3250"/>
      <c r="BM254" s="3250"/>
      <c r="BN254" s="3250"/>
      <c r="BO254" s="3255"/>
      <c r="BP254" s="3250"/>
      <c r="BQ254" s="3250"/>
      <c r="BR254" s="3250"/>
      <c r="BS254" s="3250"/>
      <c r="BT254" s="3250"/>
      <c r="BU254" s="3250"/>
      <c r="BV254" s="3250"/>
      <c r="BW254" s="3251"/>
      <c r="BX254" s="3250"/>
      <c r="BY254" s="3250"/>
      <c r="BZ254" s="3250"/>
      <c r="CA254" s="3250"/>
      <c r="CB254" s="3250"/>
      <c r="CC254" s="3250"/>
      <c r="CD254" s="3250"/>
      <c r="CE254" s="3250"/>
      <c r="CF254" s="3250"/>
      <c r="CG254" s="3250"/>
      <c r="CH254" s="3250"/>
      <c r="CI254" s="3250"/>
      <c r="CJ254" s="3252"/>
      <c r="CK254" s="3250"/>
      <c r="CL254" s="3250"/>
      <c r="CM254" s="3250"/>
      <c r="CN254" s="3250"/>
      <c r="CO254" s="3252"/>
      <c r="CP254" s="3250"/>
      <c r="CQ254" s="3250"/>
      <c r="CR254" s="3250"/>
      <c r="CS254" s="3250"/>
      <c r="CT254" s="3252"/>
      <c r="CU254" s="3250"/>
      <c r="CV254" s="3250"/>
      <c r="CW254" s="3250"/>
      <c r="CX254" s="3250"/>
      <c r="CY254" s="3252"/>
      <c r="CZ254" s="3250"/>
      <c r="DA254" s="3250"/>
      <c r="DB254" s="3250"/>
      <c r="DC254" s="3250"/>
      <c r="DD254" s="3250"/>
      <c r="DE254" s="3250"/>
      <c r="DF254" s="3250"/>
      <c r="DG254" s="3250"/>
      <c r="DH254" s="3252"/>
      <c r="DI254" s="3252"/>
      <c r="DJ254" s="3250"/>
      <c r="DK254" s="3250"/>
      <c r="DL254" s="3250"/>
      <c r="DM254" s="3252"/>
      <c r="DN254" s="3252"/>
      <c r="DO254" s="3250"/>
      <c r="DP254" s="3250"/>
      <c r="DQ254" s="3250"/>
      <c r="DR254" s="3252"/>
      <c r="DS254" s="3252"/>
      <c r="DT254" s="3250"/>
      <c r="DU254" s="3250"/>
      <c r="DV254" s="3250"/>
      <c r="DW254" s="3250"/>
      <c r="DX254" s="3252"/>
      <c r="DY254" s="3250"/>
      <c r="DZ254" s="3250"/>
      <c r="EA254" s="3250"/>
      <c r="EB254" s="3255"/>
      <c r="EC254" s="3252"/>
      <c r="ED254" s="3250"/>
      <c r="EE254" s="3250"/>
      <c r="EF254" s="3250"/>
      <c r="EG254" s="3252"/>
      <c r="EH254" s="3250"/>
      <c r="EI254" s="3250"/>
      <c r="EJ254" s="3250"/>
      <c r="EK254" s="3250"/>
      <c r="EL254" s="3250"/>
      <c r="EM254" s="3261"/>
      <c r="EN254" s="2124"/>
      <c r="EO254" s="2124"/>
      <c r="EP254" s="2124"/>
      <c r="EQ254" s="2124"/>
      <c r="ER254" s="3250"/>
      <c r="ES254" s="3250"/>
      <c r="ET254" s="3250"/>
      <c r="EU254" s="3250"/>
      <c r="EV254" s="3250"/>
      <c r="EW254" s="3252"/>
      <c r="EX254" s="3250"/>
      <c r="EY254" s="3250"/>
      <c r="EZ254" s="3250"/>
      <c r="FA254" s="3250"/>
      <c r="FB254" s="3250"/>
      <c r="FC254" s="3250"/>
      <c r="FD254" s="3250"/>
      <c r="FE254" s="3250"/>
      <c r="FF254" s="3250"/>
      <c r="FG254" s="3250"/>
      <c r="FH254" s="3250"/>
      <c r="FI254" s="3250"/>
      <c r="FJ254" s="3250"/>
      <c r="FK254" s="3250"/>
      <c r="FL254" s="3250"/>
      <c r="FM254" s="3250"/>
      <c r="FN254" s="3252"/>
      <c r="FO254" s="3250"/>
      <c r="FP254" s="3250"/>
      <c r="FQ254" s="2124"/>
      <c r="FR254" s="3262"/>
      <c r="FS254" s="3249"/>
      <c r="FT254" s="3250"/>
      <c r="FU254" s="3250"/>
      <c r="FV254" s="3263"/>
      <c r="FW254" s="3264"/>
      <c r="FX254" s="3265"/>
      <c r="FY254" s="2124"/>
      <c r="FZ254" s="2124"/>
      <c r="GA254" s="2124"/>
      <c r="GB254" s="3266"/>
      <c r="GC254" s="3191"/>
      <c r="GD254" s="1936"/>
      <c r="GE254" s="1936"/>
      <c r="GF254" s="264"/>
      <c r="GG254" s="2730"/>
      <c r="GH254" s="2917"/>
      <c r="GI254" s="1850"/>
      <c r="GJ254" s="1850"/>
      <c r="GK254" s="3267"/>
      <c r="GL254" s="3268"/>
      <c r="GM254" s="2049"/>
      <c r="GN254" s="1850"/>
      <c r="GO254" s="1850"/>
      <c r="GP254" s="3267"/>
      <c r="GQ254" s="1119"/>
      <c r="GR254" s="3269"/>
      <c r="GS254" s="1978"/>
      <c r="GT254" s="1978"/>
      <c r="GU254" s="1978"/>
      <c r="GV254" s="3270"/>
      <c r="GW254" s="3269"/>
      <c r="GX254" s="1978"/>
      <c r="GY254" s="1978"/>
      <c r="GZ254" s="1978"/>
      <c r="HA254" s="3270"/>
      <c r="HB254" s="3269"/>
      <c r="HC254" s="1978"/>
      <c r="HD254" s="1978"/>
      <c r="HE254" s="1978"/>
      <c r="HF254" s="3270"/>
      <c r="HG254" s="3269"/>
      <c r="HH254" s="1978"/>
      <c r="HI254" s="1978"/>
      <c r="HJ254" s="1978"/>
      <c r="HK254" s="3270"/>
      <c r="HL254" s="3269"/>
      <c r="HM254" s="1978"/>
      <c r="HN254" s="1978"/>
      <c r="HO254" s="1978"/>
      <c r="HP254" s="3270"/>
      <c r="HQ254" s="357"/>
      <c r="HR254" s="358"/>
      <c r="HS254" s="358"/>
      <c r="HT254" s="358">
        <v>0</v>
      </c>
      <c r="HU254" s="2773"/>
      <c r="HV254" s="2889"/>
      <c r="HW254" s="2641"/>
      <c r="HX254" s="2641"/>
      <c r="HY254" s="1568">
        <f>FQ254+FV254+GA254+GF254+GK254+GP254+GU254+GZ254+HE254+HJ254+HO254+HT254</f>
        <v>0</v>
      </c>
      <c r="HZ254" s="2693"/>
      <c r="IA254" s="3271"/>
      <c r="IB254" s="3272"/>
      <c r="IC254" s="3196"/>
      <c r="ID254" s="3272"/>
      <c r="IE254" s="3273"/>
      <c r="IF254" s="2763"/>
      <c r="IG254" s="2733"/>
      <c r="IH254" s="3274"/>
      <c r="II254" s="3273"/>
      <c r="IJ254" s="2763"/>
      <c r="IK254" s="3275"/>
      <c r="IL254" s="3274"/>
      <c r="IM254" s="3273"/>
      <c r="IN254" s="2763"/>
      <c r="IO254" s="3275"/>
      <c r="IP254" s="3274"/>
      <c r="IR254" s="3276"/>
      <c r="IS254" s="3272"/>
      <c r="IT254" s="3272"/>
      <c r="IU254" s="2126">
        <f>661862*10%</f>
        <v>66186.2</v>
      </c>
      <c r="IV254" s="3277"/>
      <c r="IW254" s="3271"/>
      <c r="IX254" s="3272"/>
      <c r="IY254" s="3272"/>
      <c r="IZ254" s="2126">
        <f>148750*10%</f>
        <v>14875</v>
      </c>
      <c r="JA254" s="3278"/>
      <c r="JB254" s="3279"/>
      <c r="JC254" s="2126"/>
      <c r="JD254" s="2126"/>
      <c r="JE254" s="2126">
        <f>148750*10%</f>
        <v>14875</v>
      </c>
      <c r="JF254" s="3280"/>
      <c r="JG254" s="3205"/>
      <c r="JH254" s="2186"/>
      <c r="JI254" s="2186"/>
      <c r="JJ254" s="1096">
        <v>14875</v>
      </c>
      <c r="JK254" s="976"/>
      <c r="JL254" s="2620"/>
      <c r="JM254" s="1850"/>
      <c r="JN254" s="1850"/>
      <c r="JO254" s="1096">
        <v>34517</v>
      </c>
      <c r="JP254" s="3268"/>
      <c r="JQ254" s="3281"/>
      <c r="JR254" s="1850"/>
      <c r="JS254" s="1850"/>
      <c r="JT254" s="1096">
        <v>28500</v>
      </c>
      <c r="JU254" s="3268"/>
      <c r="JV254" s="3282"/>
      <c r="JW254" s="1978"/>
      <c r="JX254" s="1978"/>
      <c r="JY254" s="1096">
        <v>30200</v>
      </c>
      <c r="JZ254" s="3270"/>
      <c r="KA254" s="3269"/>
      <c r="KB254" s="1978"/>
      <c r="KC254" s="1978"/>
      <c r="KD254" s="1978">
        <v>23000</v>
      </c>
      <c r="KE254" s="3270"/>
      <c r="KF254" s="2516"/>
      <c r="KG254" s="1978"/>
      <c r="KH254" s="1978"/>
      <c r="KI254" s="1978">
        <v>20000</v>
      </c>
      <c r="KJ254" s="3270"/>
      <c r="KK254" s="3283"/>
      <c r="KL254" s="3284"/>
      <c r="KM254" s="3284"/>
      <c r="KN254" s="1978">
        <v>20000</v>
      </c>
      <c r="KO254" s="3285"/>
      <c r="KP254" s="3269"/>
      <c r="KQ254" s="1978"/>
      <c r="KR254" s="1978"/>
      <c r="KS254" s="1978">
        <v>20000</v>
      </c>
      <c r="KT254" s="3270"/>
      <c r="KU254" s="357"/>
      <c r="KV254" s="358"/>
      <c r="KW254" s="358"/>
      <c r="KX254" s="358">
        <v>0</v>
      </c>
      <c r="KY254" s="2773"/>
      <c r="KZ254" s="2889"/>
      <c r="LA254" s="2641"/>
      <c r="LB254" s="2641"/>
      <c r="LC254" s="358">
        <f t="shared" si="885"/>
        <v>287028.2</v>
      </c>
      <c r="LD254" s="2693"/>
      <c r="LE254" s="3246"/>
      <c r="LF254" s="3272"/>
      <c r="LG254" s="3196"/>
      <c r="LH254" s="3286"/>
      <c r="LI254" s="3287"/>
      <c r="LJ254" s="2763"/>
      <c r="LK254" s="2733"/>
      <c r="LL254" s="3274"/>
      <c r="LM254" s="3288"/>
      <c r="LN254" s="2763"/>
      <c r="LO254" s="3275"/>
      <c r="LP254" s="3274"/>
      <c r="LQ254" s="3273"/>
      <c r="LR254" s="2763"/>
      <c r="LS254" s="3275"/>
      <c r="LT254" s="3274"/>
      <c r="LV254" s="1567"/>
      <c r="LW254" s="1568"/>
      <c r="LX254" s="1568"/>
      <c r="LY254" s="3234">
        <v>0</v>
      </c>
      <c r="LZ254" s="3217"/>
      <c r="MA254" s="1022"/>
      <c r="MB254" s="1568"/>
      <c r="MC254" s="1568"/>
      <c r="MD254" s="3234">
        <v>81352</v>
      </c>
      <c r="ME254" s="3194"/>
      <c r="MF254" s="1567"/>
      <c r="MG254" s="1568"/>
      <c r="MH254" s="1568"/>
      <c r="MI254" s="3234">
        <v>0</v>
      </c>
      <c r="MJ254" s="2674"/>
      <c r="MK254" s="3219"/>
      <c r="ML254" s="1568"/>
      <c r="MM254" s="1568"/>
      <c r="MN254" s="3234">
        <v>0</v>
      </c>
      <c r="MO254" s="2674"/>
      <c r="MP254" s="3219"/>
      <c r="MQ254" s="1568"/>
      <c r="MR254" s="1568"/>
      <c r="MS254" s="359">
        <v>0</v>
      </c>
      <c r="MT254" s="83"/>
      <c r="MU254" s="405"/>
      <c r="MV254" s="1575"/>
      <c r="MW254" s="1575"/>
      <c r="MX254" s="208">
        <v>35000</v>
      </c>
      <c r="MY254" s="83"/>
      <c r="MZ254" s="405"/>
      <c r="NA254" s="1575"/>
      <c r="NB254" s="1575"/>
      <c r="NC254" s="208">
        <v>35000</v>
      </c>
      <c r="ND254" s="83"/>
      <c r="NE254" s="405"/>
      <c r="NF254" s="1575"/>
      <c r="NG254" s="1575"/>
      <c r="NH254" s="208">
        <v>35000</v>
      </c>
      <c r="NI254" s="83"/>
      <c r="NJ254" s="1567"/>
      <c r="NK254" s="1568"/>
      <c r="NL254" s="1871"/>
      <c r="NM254" s="208">
        <v>0</v>
      </c>
      <c r="NN254" s="83"/>
      <c r="NO254" s="1022"/>
      <c r="NP254" s="1568"/>
      <c r="NQ254" s="1871"/>
      <c r="NR254" s="208">
        <v>0</v>
      </c>
      <c r="NS254" s="83"/>
      <c r="NT254" s="209"/>
      <c r="NU254" s="208"/>
      <c r="NV254" s="208"/>
      <c r="NW254" s="208">
        <v>0</v>
      </c>
      <c r="NX254" s="114"/>
      <c r="NY254" s="1868"/>
      <c r="NZ254" s="1575"/>
      <c r="OA254" s="1575"/>
      <c r="OB254" s="208">
        <v>0</v>
      </c>
      <c r="OC254" s="83"/>
      <c r="OD254" s="1022"/>
      <c r="OE254" s="1568"/>
      <c r="OF254" s="1568"/>
      <c r="OG254" s="358">
        <f>OB254+NW254+NR254+NM254+NH254+NC254+MX254+MS254+MN254+MI254+MD254+LY254</f>
        <v>186352</v>
      </c>
      <c r="OH254" s="1872"/>
      <c r="OI254" s="968"/>
      <c r="OJ254" s="2186"/>
      <c r="OK254" s="2186"/>
      <c r="OL254" s="2186"/>
      <c r="OM254" s="1869"/>
      <c r="ON254" s="968"/>
      <c r="OO254" s="2186"/>
      <c r="OP254" s="2186"/>
      <c r="OQ254" s="2186"/>
      <c r="OR254" s="1869"/>
      <c r="OS254" s="1022"/>
      <c r="OT254" s="1568"/>
      <c r="OU254" s="1568"/>
      <c r="OV254" s="1568"/>
      <c r="OW254" s="220"/>
      <c r="OX254" s="1022"/>
      <c r="OY254" s="1568"/>
      <c r="OZ254" s="1568"/>
      <c r="PA254" s="1568"/>
      <c r="PB254" s="220"/>
      <c r="PD254" s="1567"/>
      <c r="PE254" s="1568"/>
      <c r="PF254" s="1568"/>
      <c r="PG254" s="358">
        <v>0</v>
      </c>
      <c r="PH254" s="2944"/>
      <c r="PI254" s="1022"/>
      <c r="PJ254" s="1568"/>
      <c r="PK254" s="1568"/>
      <c r="PL254" s="3234">
        <v>0</v>
      </c>
      <c r="PM254" s="3194"/>
      <c r="PN254" s="1567"/>
      <c r="PO254" s="1568"/>
      <c r="PP254" s="1568"/>
      <c r="PQ254" s="3234">
        <v>0</v>
      </c>
      <c r="PR254" s="2674"/>
      <c r="PS254" s="3219"/>
      <c r="PT254" s="1568"/>
      <c r="PU254" s="1568"/>
      <c r="PV254" s="3234">
        <v>0</v>
      </c>
      <c r="PW254" s="2674"/>
      <c r="PX254" s="3221"/>
      <c r="PY254" s="358"/>
      <c r="PZ254" s="358"/>
      <c r="QA254" s="359">
        <v>0</v>
      </c>
      <c r="QB254" s="114"/>
      <c r="QC254" s="405"/>
      <c r="QD254" s="1575"/>
      <c r="QE254" s="1575"/>
      <c r="QF254" s="208">
        <v>0</v>
      </c>
      <c r="QG254" s="83"/>
      <c r="QH254" s="405"/>
      <c r="QI254" s="1575"/>
      <c r="QJ254" s="1575"/>
      <c r="QK254" s="208">
        <v>0</v>
      </c>
      <c r="QL254" s="83"/>
      <c r="QM254" s="405"/>
      <c r="QN254" s="1575"/>
      <c r="QO254" s="1575"/>
      <c r="QP254" s="208">
        <v>0</v>
      </c>
      <c r="QQ254" s="83"/>
      <c r="QR254" s="1567"/>
      <c r="QS254" s="1568"/>
      <c r="QT254" s="1871"/>
      <c r="QU254" s="208">
        <v>0</v>
      </c>
      <c r="QV254" s="222"/>
      <c r="QW254" s="1022"/>
      <c r="QX254" s="1568"/>
      <c r="QY254" s="1871"/>
      <c r="QZ254" s="208">
        <v>0</v>
      </c>
      <c r="RA254" s="83"/>
      <c r="RB254" s="209"/>
      <c r="RC254" s="208"/>
      <c r="RD254" s="208"/>
      <c r="RE254" s="208">
        <v>0</v>
      </c>
      <c r="RF254" s="114"/>
      <c r="RG254" s="405"/>
      <c r="RH254" s="1575"/>
      <c r="RI254" s="1575"/>
      <c r="RJ254" s="1575">
        <v>0</v>
      </c>
      <c r="RK254" s="114"/>
      <c r="RL254" s="1022"/>
      <c r="RM254" s="1568"/>
      <c r="RN254" s="1568"/>
      <c r="RO254" s="1568">
        <f>RJ254+RE254+QZ254+QU254+QP254+QK254+QF254+QA254+PV254+PQ254+PL254+PG254</f>
        <v>0</v>
      </c>
      <c r="RP254" s="1872"/>
      <c r="RQ254" s="968"/>
      <c r="RR254" s="2186"/>
      <c r="RS254" s="2186"/>
      <c r="RT254" s="3227">
        <f t="shared" si="881"/>
        <v>0</v>
      </c>
      <c r="RU254" s="1869"/>
      <c r="RV254" s="968"/>
      <c r="RW254" s="2186"/>
      <c r="RX254" s="2186"/>
      <c r="RY254" s="3223">
        <f t="shared" si="878"/>
        <v>0</v>
      </c>
      <c r="RZ254" s="1869"/>
      <c r="SA254" s="1022"/>
      <c r="SB254" s="1568"/>
      <c r="SC254" s="1568"/>
      <c r="SD254" s="3223">
        <f t="shared" si="879"/>
        <v>0</v>
      </c>
      <c r="SE254" s="220"/>
      <c r="SF254" s="1022"/>
      <c r="SG254" s="1568"/>
      <c r="SH254" s="1568"/>
      <c r="SI254" s="358">
        <f t="shared" si="882"/>
        <v>0</v>
      </c>
      <c r="SJ254" s="220"/>
      <c r="SL254" s="1567"/>
      <c r="SM254" s="1568"/>
      <c r="SN254" s="1568"/>
      <c r="SO254" s="137">
        <v>0</v>
      </c>
      <c r="SP254" s="2944"/>
      <c r="SQ254" s="1022"/>
      <c r="SR254" s="1568"/>
      <c r="SS254" s="1568"/>
      <c r="ST254" s="3234">
        <v>0</v>
      </c>
      <c r="SU254" s="3194"/>
      <c r="SV254" s="1857"/>
      <c r="SW254" s="358"/>
      <c r="SX254" s="358"/>
      <c r="SY254" s="359">
        <v>0</v>
      </c>
      <c r="SZ254" s="2563"/>
      <c r="TA254" s="3221"/>
      <c r="TB254" s="358"/>
      <c r="TC254" s="358"/>
      <c r="TD254" s="3234">
        <v>0</v>
      </c>
      <c r="TE254" s="2563"/>
      <c r="TF254" s="3221"/>
      <c r="TG254" s="358"/>
      <c r="TH254" s="358"/>
      <c r="TI254" s="358">
        <v>0</v>
      </c>
      <c r="TJ254" s="114"/>
      <c r="TK254" s="405"/>
      <c r="TL254" s="1575"/>
      <c r="TM254" s="1575"/>
      <c r="TN254" s="208">
        <v>0</v>
      </c>
      <c r="TO254" s="83"/>
      <c r="TP254" s="4506"/>
      <c r="TQ254" s="1575"/>
      <c r="TR254" s="1575"/>
      <c r="TS254" s="208">
        <v>0</v>
      </c>
      <c r="TT254" s="83"/>
      <c r="TU254" s="4506"/>
      <c r="TV254" s="1575"/>
      <c r="TW254" s="1575"/>
      <c r="TX254" s="1575">
        <v>0</v>
      </c>
      <c r="TY254" s="83"/>
      <c r="TZ254" s="1567"/>
      <c r="UA254" s="1568"/>
      <c r="UB254" s="1871"/>
      <c r="UC254" s="1575">
        <v>0</v>
      </c>
      <c r="UD254" s="222"/>
      <c r="UE254" s="1022"/>
      <c r="UF254" s="1568"/>
      <c r="UG254" s="1871"/>
      <c r="UH254" s="1575">
        <v>0</v>
      </c>
      <c r="UI254" s="83"/>
      <c r="UJ254" s="209"/>
      <c r="UK254" s="208"/>
      <c r="UL254" s="208"/>
      <c r="UM254" s="359">
        <v>0</v>
      </c>
      <c r="UN254" s="114"/>
      <c r="UO254" s="405"/>
      <c r="UP254" s="1575"/>
      <c r="UQ254" s="1575"/>
      <c r="UR254" s="1575">
        <v>0</v>
      </c>
      <c r="US254" s="114"/>
      <c r="UT254" s="1868"/>
      <c r="UU254" s="1575"/>
      <c r="UV254" s="1575"/>
      <c r="UW254" s="208">
        <f t="shared" si="883"/>
        <v>0</v>
      </c>
      <c r="UX254" s="83"/>
      <c r="UY254" s="968"/>
      <c r="UZ254" s="2186"/>
      <c r="VA254" s="2186"/>
      <c r="VB254" s="3222">
        <f t="shared" si="884"/>
        <v>0</v>
      </c>
      <c r="VC254" s="1869"/>
      <c r="VD254" s="968"/>
      <c r="VE254" s="2186"/>
      <c r="VF254" s="2186"/>
      <c r="VG254" s="2186"/>
      <c r="VH254" s="1869"/>
      <c r="VI254" s="1022"/>
      <c r="VJ254" s="1568"/>
      <c r="VK254" s="1568"/>
      <c r="VL254" s="1568"/>
      <c r="VM254" s="220"/>
      <c r="VN254" s="1022"/>
      <c r="VO254" s="1568"/>
      <c r="VP254" s="1568"/>
      <c r="VQ254" s="1568"/>
      <c r="VR254" s="220"/>
    </row>
    <row r="255" spans="1:590" s="453" customFormat="1" ht="13.45" x14ac:dyDescent="0.3">
      <c r="A255" s="2616"/>
      <c r="B255" s="3169"/>
      <c r="C255" s="4636" t="s">
        <v>901</v>
      </c>
      <c r="D255" s="3246"/>
      <c r="E255" s="3247"/>
      <c r="F255" s="3247"/>
      <c r="G255" s="3248"/>
      <c r="H255" s="3249"/>
      <c r="I255" s="3250"/>
      <c r="J255" s="3250"/>
      <c r="K255" s="3250"/>
      <c r="L255" s="3251"/>
      <c r="M255" s="3252"/>
      <c r="N255" s="3250"/>
      <c r="O255" s="3253"/>
      <c r="P255" s="3254"/>
      <c r="Q255" s="3251"/>
      <c r="R255" s="3252"/>
      <c r="S255" s="3250"/>
      <c r="T255" s="3250"/>
      <c r="U255" s="3250"/>
      <c r="V255" s="3251"/>
      <c r="W255" s="3252"/>
      <c r="X255" s="3250"/>
      <c r="Y255" s="3250"/>
      <c r="Z255" s="3250"/>
      <c r="AA255" s="3255"/>
      <c r="AB255" s="3252"/>
      <c r="AC255" s="3250"/>
      <c r="AD255" s="3250"/>
      <c r="AE255" s="3250"/>
      <c r="AF255" s="3255"/>
      <c r="AG255" s="3250"/>
      <c r="AH255" s="3250"/>
      <c r="AI255" s="3250"/>
      <c r="AJ255" s="3250"/>
      <c r="AK255" s="3251"/>
      <c r="AL255" s="3256"/>
      <c r="AM255" s="3256"/>
      <c r="AN255" s="3256"/>
      <c r="AO255" s="3250"/>
      <c r="AP255" s="3257"/>
      <c r="AQ255" s="3250"/>
      <c r="AR255" s="3250"/>
      <c r="AS255" s="3250"/>
      <c r="AT255" s="3250"/>
      <c r="AU255" s="3251"/>
      <c r="AV255" s="3258"/>
      <c r="AW255" s="3250"/>
      <c r="AX255" s="3250"/>
      <c r="AY255" s="3250"/>
      <c r="AZ255" s="3255"/>
      <c r="BA255" s="3258"/>
      <c r="BB255" s="3250"/>
      <c r="BC255" s="3250"/>
      <c r="BD255" s="3250"/>
      <c r="BE255" s="3255"/>
      <c r="BF255" s="3259"/>
      <c r="BG255" s="3256"/>
      <c r="BH255" s="3250"/>
      <c r="BI255" s="3250"/>
      <c r="BJ255" s="3260"/>
      <c r="BK255" s="3258"/>
      <c r="BL255" s="3250"/>
      <c r="BM255" s="3250"/>
      <c r="BN255" s="3250"/>
      <c r="BO255" s="3255"/>
      <c r="BP255" s="3250"/>
      <c r="BQ255" s="3250"/>
      <c r="BR255" s="3250"/>
      <c r="BS255" s="3250"/>
      <c r="BT255" s="3250"/>
      <c r="BU255" s="3250"/>
      <c r="BV255" s="3250"/>
      <c r="BW255" s="3251"/>
      <c r="BX255" s="3250"/>
      <c r="BY255" s="3250"/>
      <c r="BZ255" s="3250"/>
      <c r="CA255" s="3250"/>
      <c r="CB255" s="3250"/>
      <c r="CC255" s="3250"/>
      <c r="CD255" s="3250"/>
      <c r="CE255" s="3250"/>
      <c r="CF255" s="3250"/>
      <c r="CG255" s="3250"/>
      <c r="CH255" s="3250"/>
      <c r="CI255" s="3250"/>
      <c r="CJ255" s="3252"/>
      <c r="CK255" s="3250"/>
      <c r="CL255" s="3250"/>
      <c r="CM255" s="3250"/>
      <c r="CN255" s="3250"/>
      <c r="CO255" s="3252"/>
      <c r="CP255" s="3250"/>
      <c r="CQ255" s="3250"/>
      <c r="CR255" s="3250"/>
      <c r="CS255" s="3250"/>
      <c r="CT255" s="3252"/>
      <c r="CU255" s="3250"/>
      <c r="CV255" s="3250"/>
      <c r="CW255" s="3250"/>
      <c r="CX255" s="3250"/>
      <c r="CY255" s="3252"/>
      <c r="CZ255" s="3250"/>
      <c r="DA255" s="3250"/>
      <c r="DB255" s="3250"/>
      <c r="DC255" s="3250"/>
      <c r="DD255" s="3250"/>
      <c r="DE255" s="3250"/>
      <c r="DF255" s="3250"/>
      <c r="DG255" s="3250"/>
      <c r="DH255" s="3252"/>
      <c r="DI255" s="3252"/>
      <c r="DJ255" s="3250"/>
      <c r="DK255" s="3250"/>
      <c r="DL255" s="3250"/>
      <c r="DM255" s="3252"/>
      <c r="DN255" s="3252"/>
      <c r="DO255" s="3250"/>
      <c r="DP255" s="3250"/>
      <c r="DQ255" s="3250"/>
      <c r="DR255" s="3252"/>
      <c r="DS255" s="3252"/>
      <c r="DT255" s="3250"/>
      <c r="DU255" s="3250"/>
      <c r="DV255" s="3250"/>
      <c r="DW255" s="3250"/>
      <c r="DX255" s="3252"/>
      <c r="DY255" s="3250"/>
      <c r="DZ255" s="3250"/>
      <c r="EA255" s="3250"/>
      <c r="EB255" s="3255"/>
      <c r="EC255" s="3252"/>
      <c r="ED255" s="3250"/>
      <c r="EE255" s="3250"/>
      <c r="EF255" s="3250"/>
      <c r="EG255" s="3252"/>
      <c r="EH255" s="3250"/>
      <c r="EI255" s="3250"/>
      <c r="EJ255" s="3250"/>
      <c r="EK255" s="3250"/>
      <c r="EL255" s="3250"/>
      <c r="EM255" s="3261"/>
      <c r="EN255" s="2124"/>
      <c r="EO255" s="2124"/>
      <c r="EP255" s="2124"/>
      <c r="EQ255" s="2124"/>
      <c r="ER255" s="3250"/>
      <c r="ES255" s="3250"/>
      <c r="ET255" s="3250"/>
      <c r="EU255" s="3250"/>
      <c r="EV255" s="3250"/>
      <c r="EW255" s="3252"/>
      <c r="EX255" s="3250"/>
      <c r="EY255" s="3250"/>
      <c r="EZ255" s="3250"/>
      <c r="FA255" s="3250"/>
      <c r="FB255" s="3250"/>
      <c r="FC255" s="3250"/>
      <c r="FD255" s="3250"/>
      <c r="FE255" s="3250"/>
      <c r="FF255" s="3250"/>
      <c r="FG255" s="3250"/>
      <c r="FH255" s="3250"/>
      <c r="FI255" s="3250"/>
      <c r="FJ255" s="3250"/>
      <c r="FK255" s="3250"/>
      <c r="FL255" s="3250"/>
      <c r="FM255" s="3250"/>
      <c r="FN255" s="3252"/>
      <c r="FO255" s="3250"/>
      <c r="FP255" s="3250"/>
      <c r="FQ255" s="2124"/>
      <c r="FR255" s="3262"/>
      <c r="FS255" s="3249"/>
      <c r="FT255" s="3250"/>
      <c r="FU255" s="3250"/>
      <c r="FV255" s="3263"/>
      <c r="FW255" s="3264"/>
      <c r="FX255" s="3265"/>
      <c r="FY255" s="2124"/>
      <c r="FZ255" s="2124"/>
      <c r="GA255" s="2124"/>
      <c r="GB255" s="3266"/>
      <c r="GC255" s="3273"/>
      <c r="GD255" s="2763"/>
      <c r="GE255" s="2763"/>
      <c r="GF255" s="1850"/>
      <c r="GG255" s="2764"/>
      <c r="GH255" s="2917"/>
      <c r="GI255" s="1850"/>
      <c r="GJ255" s="1850"/>
      <c r="GK255" s="3267"/>
      <c r="GL255" s="3268"/>
      <c r="GM255" s="2049"/>
      <c r="GN255" s="1850"/>
      <c r="GO255" s="1850"/>
      <c r="GP255" s="3267"/>
      <c r="GQ255" s="1119"/>
      <c r="GR255" s="3269"/>
      <c r="GS255" s="1978"/>
      <c r="GT255" s="1978"/>
      <c r="GU255" s="1978"/>
      <c r="GV255" s="3270"/>
      <c r="GW255" s="3269"/>
      <c r="GX255" s="1978"/>
      <c r="GY255" s="1978"/>
      <c r="GZ255" s="1978"/>
      <c r="HA255" s="3270"/>
      <c r="HB255" s="3269"/>
      <c r="HC255" s="1978"/>
      <c r="HD255" s="1978"/>
      <c r="HE255" s="1978"/>
      <c r="HF255" s="3270"/>
      <c r="HG255" s="3269"/>
      <c r="HH255" s="1978"/>
      <c r="HI255" s="1978"/>
      <c r="HJ255" s="1978"/>
      <c r="HK255" s="3270"/>
      <c r="HL255" s="3269"/>
      <c r="HM255" s="1978"/>
      <c r="HN255" s="1978"/>
      <c r="HO255" s="1978"/>
      <c r="HP255" s="3270"/>
      <c r="HQ255" s="357"/>
      <c r="HR255" s="358"/>
      <c r="HS255" s="358"/>
      <c r="HT255" s="358">
        <f>1663112*15%</f>
        <v>249466.8</v>
      </c>
      <c r="HU255" s="2773"/>
      <c r="HV255" s="2889"/>
      <c r="HW255" s="2641"/>
      <c r="HX255" s="2641"/>
      <c r="HY255" s="1568">
        <f>FQ255+FV255+GA255+GF255+GK255+GP255+GU255+GZ255+HE255+HJ255+HO255+HT255</f>
        <v>249466.8</v>
      </c>
      <c r="HZ255" s="2693"/>
      <c r="IA255" s="3271"/>
      <c r="IB255" s="3272"/>
      <c r="IC255" s="3272"/>
      <c r="ID255" s="3272"/>
      <c r="IE255" s="3273"/>
      <c r="IF255" s="2763"/>
      <c r="IG255" s="3275"/>
      <c r="IH255" s="3274"/>
      <c r="II255" s="3273"/>
      <c r="IJ255" s="2763"/>
      <c r="IK255" s="1693"/>
      <c r="IL255" s="3274"/>
      <c r="IM255" s="3273"/>
      <c r="IN255" s="2763"/>
      <c r="IO255" s="1693"/>
      <c r="IP255" s="3274"/>
      <c r="IR255" s="3276"/>
      <c r="IS255" s="3272"/>
      <c r="IT255" s="3272"/>
      <c r="IU255" s="823"/>
      <c r="IV255" s="3277"/>
      <c r="IW255" s="3271"/>
      <c r="IX255" s="3272"/>
      <c r="IY255" s="3272"/>
      <c r="IZ255" s="823"/>
      <c r="JA255" s="3278"/>
      <c r="JB255" s="3279"/>
      <c r="JC255" s="2126"/>
      <c r="JD255" s="2126"/>
      <c r="JE255" s="823"/>
      <c r="JF255" s="3280"/>
      <c r="JG255" s="3297"/>
      <c r="JH255" s="2619"/>
      <c r="JI255" s="2619"/>
      <c r="JJ255" s="823"/>
      <c r="JK255" s="1243"/>
      <c r="JL255" s="2620"/>
      <c r="JM255" s="1850"/>
      <c r="JN255" s="1850"/>
      <c r="JO255" s="823"/>
      <c r="JP255" s="3268"/>
      <c r="JQ255" s="3281"/>
      <c r="JR255" s="1850"/>
      <c r="JS255" s="1850"/>
      <c r="JT255" s="823"/>
      <c r="JU255" s="3268"/>
      <c r="JV255" s="3282"/>
      <c r="JW255" s="1978"/>
      <c r="JX255" s="1978"/>
      <c r="JY255" s="823"/>
      <c r="JZ255" s="3270"/>
      <c r="KA255" s="3269"/>
      <c r="KB255" s="1978"/>
      <c r="KC255" s="1978"/>
      <c r="KD255" s="823"/>
      <c r="KE255" s="3270"/>
      <c r="KF255" s="2516"/>
      <c r="KG255" s="1978"/>
      <c r="KH255" s="1978"/>
      <c r="KI255" s="823"/>
      <c r="KJ255" s="3270"/>
      <c r="KK255" s="3283"/>
      <c r="KL255" s="3284"/>
      <c r="KM255" s="3284"/>
      <c r="KN255" s="823"/>
      <c r="KO255" s="3285"/>
      <c r="KP255" s="3269"/>
      <c r="KQ255" s="1978"/>
      <c r="KR255" s="1978"/>
      <c r="KS255" s="823"/>
      <c r="KT255" s="3270"/>
      <c r="KU255" s="357"/>
      <c r="KV255" s="358"/>
      <c r="KW255" s="358"/>
      <c r="KX255" s="358">
        <f>1663112*15%</f>
        <v>249466.8</v>
      </c>
      <c r="KY255" s="2773"/>
      <c r="KZ255" s="2889"/>
      <c r="LA255" s="2641"/>
      <c r="LB255" s="2641"/>
      <c r="LC255" s="358">
        <f t="shared" si="885"/>
        <v>249466.8</v>
      </c>
      <c r="LD255" s="2693"/>
      <c r="LE255" s="3246"/>
      <c r="LF255" s="3272"/>
      <c r="LG255" s="3272"/>
      <c r="LH255" s="3286"/>
      <c r="LI255" s="3287"/>
      <c r="LJ255" s="2763"/>
      <c r="LK255" s="3275"/>
      <c r="LL255" s="3274"/>
      <c r="LM255" s="3288"/>
      <c r="LN255" s="2763"/>
      <c r="LO255" s="3275"/>
      <c r="LP255" s="3274"/>
      <c r="LQ255" s="3273"/>
      <c r="LR255" s="2763"/>
      <c r="LS255" s="3275"/>
      <c r="LT255" s="3274"/>
      <c r="LV255" s="2883"/>
      <c r="LW255" s="2641"/>
      <c r="LX255" s="2641"/>
      <c r="LY255" s="457"/>
      <c r="LZ255" s="3298"/>
      <c r="MA255" s="2889"/>
      <c r="MB255" s="2641"/>
      <c r="MC255" s="2641"/>
      <c r="MD255" s="457"/>
      <c r="ME255" s="3299"/>
      <c r="MF255" s="2883"/>
      <c r="MG255" s="2641"/>
      <c r="MH255" s="2641"/>
      <c r="MI255" s="457"/>
      <c r="MJ255" s="2653"/>
      <c r="MK255" s="3300"/>
      <c r="ML255" s="2641"/>
      <c r="MM255" s="2641"/>
      <c r="MN255" s="457"/>
      <c r="MO255" s="2653"/>
      <c r="MP255" s="3300"/>
      <c r="MQ255" s="2641"/>
      <c r="MR255" s="2641"/>
      <c r="MS255" s="2634"/>
      <c r="MT255" s="375"/>
      <c r="MU255" s="404"/>
      <c r="MV255" s="2150"/>
      <c r="MW255" s="2150"/>
      <c r="MX255" s="435"/>
      <c r="MY255" s="375"/>
      <c r="MZ255" s="404"/>
      <c r="NA255" s="2150"/>
      <c r="NB255" s="2150"/>
      <c r="NC255" s="435"/>
      <c r="ND255" s="375"/>
      <c r="NE255" s="404"/>
      <c r="NF255" s="2150"/>
      <c r="NG255" s="2150"/>
      <c r="NH255" s="435"/>
      <c r="NI255" s="375"/>
      <c r="NJ255" s="2883"/>
      <c r="NK255" s="2641"/>
      <c r="NL255" s="2652"/>
      <c r="NM255" s="435"/>
      <c r="NN255" s="375"/>
      <c r="NO255" s="2889"/>
      <c r="NP255" s="2641"/>
      <c r="NQ255" s="2652"/>
      <c r="NR255" s="2150"/>
      <c r="NS255" s="375"/>
      <c r="NT255" s="1596"/>
      <c r="NU255" s="435"/>
      <c r="NV255" s="435"/>
      <c r="NW255" s="435"/>
      <c r="NX255" s="117"/>
      <c r="NY255" s="2635"/>
      <c r="NZ255" s="2150"/>
      <c r="OA255" s="2150"/>
      <c r="OB255" s="435">
        <f>1863163*15%</f>
        <v>279474.45</v>
      </c>
      <c r="OC255" s="375"/>
      <c r="OD255" s="2889"/>
      <c r="OE255" s="2641"/>
      <c r="OF255" s="2641"/>
      <c r="OG255" s="358">
        <f>OB255+NW255+NR255+NM255+NH255+NC255+MX255+MS255+MN255+MI255+MD255+LY255</f>
        <v>279474.45</v>
      </c>
      <c r="OH255" s="3304"/>
      <c r="OI255" s="1116"/>
      <c r="OJ255" s="2619"/>
      <c r="OK255" s="2619"/>
      <c r="OL255" s="2619"/>
      <c r="OM255" s="2643"/>
      <c r="ON255" s="1116"/>
      <c r="OO255" s="2619"/>
      <c r="OP255" s="2619"/>
      <c r="OQ255" s="2619"/>
      <c r="OR255" s="2643"/>
      <c r="OS255" s="2889"/>
      <c r="OT255" s="2641"/>
      <c r="OU255" s="2641"/>
      <c r="OV255" s="2641"/>
      <c r="OW255" s="1600"/>
      <c r="OX255" s="2889"/>
      <c r="OY255" s="2641"/>
      <c r="OZ255" s="2641"/>
      <c r="PA255" s="2641"/>
      <c r="PB255" s="1600"/>
      <c r="PD255" s="2883"/>
      <c r="PE255" s="2641"/>
      <c r="PF255" s="2641"/>
      <c r="PG255" s="1585"/>
      <c r="PH255" s="3301"/>
      <c r="PI255" s="2889"/>
      <c r="PJ255" s="2641"/>
      <c r="PK255" s="2641"/>
      <c r="PL255" s="457"/>
      <c r="PM255" s="3299"/>
      <c r="PN255" s="2883"/>
      <c r="PO255" s="2641"/>
      <c r="PP255" s="2641"/>
      <c r="PQ255" s="457"/>
      <c r="PR255" s="2653"/>
      <c r="PS255" s="3300"/>
      <c r="PT255" s="2641"/>
      <c r="PU255" s="2641"/>
      <c r="PV255" s="1585"/>
      <c r="PW255" s="2653"/>
      <c r="PX255" s="3302"/>
      <c r="PY255" s="1585"/>
      <c r="PZ255" s="1585"/>
      <c r="QA255" s="2634">
        <v>0</v>
      </c>
      <c r="QB255" s="117"/>
      <c r="QC255" s="404"/>
      <c r="QD255" s="2150"/>
      <c r="QE255" s="2150"/>
      <c r="QF255" s="435">
        <v>0</v>
      </c>
      <c r="QG255" s="375"/>
      <c r="QH255" s="404"/>
      <c r="QI255" s="2150"/>
      <c r="QJ255" s="2150"/>
      <c r="QK255" s="435">
        <v>0</v>
      </c>
      <c r="QL255" s="375"/>
      <c r="QM255" s="404"/>
      <c r="QN255" s="2150"/>
      <c r="QO255" s="2150"/>
      <c r="QP255" s="435">
        <v>0</v>
      </c>
      <c r="QQ255" s="375"/>
      <c r="QR255" s="2883"/>
      <c r="QS255" s="2641"/>
      <c r="QT255" s="2652"/>
      <c r="QU255" s="208">
        <v>0</v>
      </c>
      <c r="QV255" s="2958"/>
      <c r="QW255" s="2889"/>
      <c r="QX255" s="2641"/>
      <c r="QY255" s="2652"/>
      <c r="QZ255" s="2150">
        <v>0</v>
      </c>
      <c r="RA255" s="375"/>
      <c r="RB255" s="1596"/>
      <c r="RC255" s="435"/>
      <c r="RD255" s="435"/>
      <c r="RE255" s="435">
        <v>0</v>
      </c>
      <c r="RF255" s="117"/>
      <c r="RG255" s="404"/>
      <c r="RH255" s="2150"/>
      <c r="RI255" s="2150"/>
      <c r="RJ255" s="2150">
        <v>0</v>
      </c>
      <c r="RK255" s="117"/>
      <c r="RL255" s="2889"/>
      <c r="RM255" s="2641"/>
      <c r="RN255" s="2641"/>
      <c r="RO255" s="1568">
        <f>RJ255+RE255+QZ255+QU255+QP255+QK255+QF255+QA255+PV255+PQ255+PL255+PG255</f>
        <v>0</v>
      </c>
      <c r="RP255" s="3304"/>
      <c r="RQ255" s="1116"/>
      <c r="RR255" s="2619"/>
      <c r="RS255" s="2619"/>
      <c r="RT255" s="3227">
        <f t="shared" si="881"/>
        <v>0</v>
      </c>
      <c r="RU255" s="2643"/>
      <c r="RV255" s="1116"/>
      <c r="RW255" s="2619"/>
      <c r="RX255" s="2619"/>
      <c r="RY255" s="3223">
        <f t="shared" si="878"/>
        <v>0</v>
      </c>
      <c r="RZ255" s="2643"/>
      <c r="SA255" s="2889"/>
      <c r="SB255" s="2641"/>
      <c r="SC255" s="2641"/>
      <c r="SD255" s="3223">
        <f t="shared" si="879"/>
        <v>0</v>
      </c>
      <c r="SE255" s="1600"/>
      <c r="SF255" s="2889"/>
      <c r="SG255" s="2641"/>
      <c r="SH255" s="2641"/>
      <c r="SI255" s="358">
        <f t="shared" si="882"/>
        <v>0</v>
      </c>
      <c r="SJ255" s="1600"/>
      <c r="SL255" s="2883"/>
      <c r="SM255" s="2641"/>
      <c r="SN255" s="2641"/>
      <c r="SO255" s="137">
        <v>0</v>
      </c>
      <c r="SP255" s="3301"/>
      <c r="SQ255" s="2889"/>
      <c r="SR255" s="2641"/>
      <c r="SS255" s="2641"/>
      <c r="ST255" s="457">
        <v>0</v>
      </c>
      <c r="SU255" s="3299"/>
      <c r="SV255" s="2142"/>
      <c r="SW255" s="1585"/>
      <c r="SX255" s="1585"/>
      <c r="SY255" s="359">
        <v>0</v>
      </c>
      <c r="SZ255" s="4096"/>
      <c r="TA255" s="3302"/>
      <c r="TB255" s="1585"/>
      <c r="TC255" s="1585"/>
      <c r="TD255" s="3234">
        <v>0</v>
      </c>
      <c r="TE255" s="4096"/>
      <c r="TF255" s="3302"/>
      <c r="TG255" s="1585"/>
      <c r="TH255" s="1585"/>
      <c r="TI255" s="4137">
        <f>VT291*25%</f>
        <v>222121.5</v>
      </c>
      <c r="TJ255" s="117"/>
      <c r="TK255" s="404"/>
      <c r="TL255" s="2150"/>
      <c r="TM255" s="2150"/>
      <c r="TN255" s="623">
        <v>0</v>
      </c>
      <c r="TO255" s="375"/>
      <c r="TP255" s="4516"/>
      <c r="TQ255" s="2150"/>
      <c r="TR255" s="2150"/>
      <c r="TS255" s="623">
        <v>0</v>
      </c>
      <c r="TT255" s="375"/>
      <c r="TU255" s="4516"/>
      <c r="TV255" s="2150"/>
      <c r="TW255" s="2150"/>
      <c r="TX255" s="5301">
        <v>0</v>
      </c>
      <c r="TY255" s="375"/>
      <c r="TZ255" s="2883"/>
      <c r="UA255" s="2641"/>
      <c r="UB255" s="2652"/>
      <c r="UC255" s="1575">
        <v>0</v>
      </c>
      <c r="UD255" s="2958"/>
      <c r="UE255" s="2889"/>
      <c r="UF255" s="2641"/>
      <c r="UG255" s="2652"/>
      <c r="UH255" s="1575">
        <v>0</v>
      </c>
      <c r="UI255" s="375"/>
      <c r="UJ255" s="1596"/>
      <c r="UK255" s="435"/>
      <c r="UL255" s="435"/>
      <c r="UM255" s="359">
        <v>0</v>
      </c>
      <c r="UN255" s="117"/>
      <c r="UO255" s="404"/>
      <c r="UP255" s="2150"/>
      <c r="UQ255" s="2150"/>
      <c r="UR255" s="1575">
        <v>0</v>
      </c>
      <c r="US255" s="117"/>
      <c r="UT255" s="1868"/>
      <c r="UU255" s="1575"/>
      <c r="UV255" s="1575"/>
      <c r="UW255" s="208">
        <f t="shared" si="883"/>
        <v>222121.5</v>
      </c>
      <c r="UX255" s="83"/>
      <c r="UY255" s="1116"/>
      <c r="UZ255" s="2619"/>
      <c r="VA255" s="2619"/>
      <c r="VB255" s="3222">
        <f t="shared" si="884"/>
        <v>0</v>
      </c>
      <c r="VC255" s="2643"/>
      <c r="VD255" s="1116"/>
      <c r="VE255" s="2619"/>
      <c r="VF255" s="2619"/>
      <c r="VG255" s="2619"/>
      <c r="VH255" s="2643"/>
      <c r="VI255" s="2889"/>
      <c r="VJ255" s="2641"/>
      <c r="VK255" s="2641"/>
      <c r="VL255" s="2641"/>
      <c r="VM255" s="1600"/>
      <c r="VN255" s="2889"/>
      <c r="VO255" s="2641"/>
      <c r="VP255" s="2641"/>
      <c r="VQ255" s="2641"/>
      <c r="VR255" s="1600"/>
    </row>
    <row r="256" spans="1:590" s="453" customFormat="1" ht="13.45" x14ac:dyDescent="0.3">
      <c r="A256" s="2616"/>
      <c r="B256" s="3169"/>
      <c r="C256" s="4636" t="s">
        <v>900</v>
      </c>
      <c r="D256" s="3246"/>
      <c r="E256" s="3247"/>
      <c r="F256" s="3247"/>
      <c r="G256" s="3248"/>
      <c r="H256" s="3249"/>
      <c r="I256" s="3250"/>
      <c r="J256" s="3250"/>
      <c r="K256" s="3250"/>
      <c r="L256" s="3251"/>
      <c r="M256" s="3252"/>
      <c r="N256" s="3250"/>
      <c r="O256" s="3253"/>
      <c r="P256" s="3254"/>
      <c r="Q256" s="3251"/>
      <c r="R256" s="3252"/>
      <c r="S256" s="3250"/>
      <c r="T256" s="3250"/>
      <c r="U256" s="3250"/>
      <c r="V256" s="3251"/>
      <c r="W256" s="3252"/>
      <c r="X256" s="3250"/>
      <c r="Y256" s="3250"/>
      <c r="Z256" s="3250"/>
      <c r="AA256" s="3255"/>
      <c r="AB256" s="3252"/>
      <c r="AC256" s="3250"/>
      <c r="AD256" s="3250"/>
      <c r="AE256" s="3250"/>
      <c r="AF256" s="3255"/>
      <c r="AG256" s="3250"/>
      <c r="AH256" s="3250"/>
      <c r="AI256" s="3250"/>
      <c r="AJ256" s="3250"/>
      <c r="AK256" s="3251"/>
      <c r="AL256" s="3256"/>
      <c r="AM256" s="3256"/>
      <c r="AN256" s="3256"/>
      <c r="AO256" s="3250"/>
      <c r="AP256" s="3257"/>
      <c r="AQ256" s="3250"/>
      <c r="AR256" s="3250"/>
      <c r="AS256" s="3250"/>
      <c r="AT256" s="3250"/>
      <c r="AU256" s="3251"/>
      <c r="AV256" s="3258"/>
      <c r="AW256" s="3250"/>
      <c r="AX256" s="3250"/>
      <c r="AY256" s="3250"/>
      <c r="AZ256" s="3255"/>
      <c r="BA256" s="3258"/>
      <c r="BB256" s="3250"/>
      <c r="BC256" s="3250"/>
      <c r="BD256" s="3250"/>
      <c r="BE256" s="3255"/>
      <c r="BF256" s="3259"/>
      <c r="BG256" s="3256"/>
      <c r="BH256" s="3250"/>
      <c r="BI256" s="3250"/>
      <c r="BJ256" s="3260"/>
      <c r="BK256" s="3258"/>
      <c r="BL256" s="3250"/>
      <c r="BM256" s="3250"/>
      <c r="BN256" s="3250"/>
      <c r="BO256" s="3255"/>
      <c r="BP256" s="3250"/>
      <c r="BQ256" s="3250"/>
      <c r="BR256" s="3250"/>
      <c r="BS256" s="3250"/>
      <c r="BT256" s="3250"/>
      <c r="BU256" s="3250"/>
      <c r="BV256" s="3250"/>
      <c r="BW256" s="3251"/>
      <c r="BX256" s="3250"/>
      <c r="BY256" s="3250"/>
      <c r="BZ256" s="3250"/>
      <c r="CA256" s="3250"/>
      <c r="CB256" s="3250"/>
      <c r="CC256" s="3250"/>
      <c r="CD256" s="3250"/>
      <c r="CE256" s="3250"/>
      <c r="CF256" s="3250"/>
      <c r="CG256" s="3250"/>
      <c r="CH256" s="3250"/>
      <c r="CI256" s="3250"/>
      <c r="CJ256" s="3252"/>
      <c r="CK256" s="3250"/>
      <c r="CL256" s="3250"/>
      <c r="CM256" s="3250"/>
      <c r="CN256" s="3250"/>
      <c r="CO256" s="3252"/>
      <c r="CP256" s="3250"/>
      <c r="CQ256" s="3250"/>
      <c r="CR256" s="3250"/>
      <c r="CS256" s="3250"/>
      <c r="CT256" s="3252"/>
      <c r="CU256" s="3250"/>
      <c r="CV256" s="3250"/>
      <c r="CW256" s="3250"/>
      <c r="CX256" s="3250"/>
      <c r="CY256" s="3252"/>
      <c r="CZ256" s="3250"/>
      <c r="DA256" s="3250"/>
      <c r="DB256" s="3250"/>
      <c r="DC256" s="3250"/>
      <c r="DD256" s="3250"/>
      <c r="DE256" s="3250"/>
      <c r="DF256" s="3250"/>
      <c r="DG256" s="3250"/>
      <c r="DH256" s="3252"/>
      <c r="DI256" s="3252"/>
      <c r="DJ256" s="3250"/>
      <c r="DK256" s="3250"/>
      <c r="DL256" s="3250"/>
      <c r="DM256" s="3252"/>
      <c r="DN256" s="3252"/>
      <c r="DO256" s="3250"/>
      <c r="DP256" s="3250"/>
      <c r="DQ256" s="3250"/>
      <c r="DR256" s="3252"/>
      <c r="DS256" s="3252"/>
      <c r="DT256" s="3250"/>
      <c r="DU256" s="3250"/>
      <c r="DV256" s="3250"/>
      <c r="DW256" s="3250"/>
      <c r="DX256" s="3252"/>
      <c r="DY256" s="3250"/>
      <c r="DZ256" s="3250"/>
      <c r="EA256" s="3250"/>
      <c r="EB256" s="3255"/>
      <c r="EC256" s="3252"/>
      <c r="ED256" s="3250"/>
      <c r="EE256" s="3250"/>
      <c r="EF256" s="3250"/>
      <c r="EG256" s="3252"/>
      <c r="EH256" s="3250"/>
      <c r="EI256" s="3250"/>
      <c r="EJ256" s="3250"/>
      <c r="EK256" s="3250"/>
      <c r="EL256" s="3250"/>
      <c r="EM256" s="3261"/>
      <c r="EN256" s="2124"/>
      <c r="EO256" s="2124"/>
      <c r="EP256" s="2124"/>
      <c r="EQ256" s="2124"/>
      <c r="ER256" s="3250"/>
      <c r="ES256" s="3250"/>
      <c r="ET256" s="3250"/>
      <c r="EU256" s="3250"/>
      <c r="EV256" s="3250"/>
      <c r="EW256" s="3252"/>
      <c r="EX256" s="3250"/>
      <c r="EY256" s="3250"/>
      <c r="EZ256" s="3250"/>
      <c r="FA256" s="3250"/>
      <c r="FB256" s="3250"/>
      <c r="FC256" s="3250"/>
      <c r="FD256" s="3250"/>
      <c r="FE256" s="3250"/>
      <c r="FF256" s="3250"/>
      <c r="FG256" s="3250"/>
      <c r="FH256" s="3250"/>
      <c r="FI256" s="3250"/>
      <c r="FJ256" s="3250"/>
      <c r="FK256" s="3250"/>
      <c r="FL256" s="3250"/>
      <c r="FM256" s="3250"/>
      <c r="FN256" s="3252"/>
      <c r="FO256" s="3250"/>
      <c r="FP256" s="3250"/>
      <c r="FQ256" s="2124"/>
      <c r="FR256" s="3262"/>
      <c r="FS256" s="3249"/>
      <c r="FT256" s="3250"/>
      <c r="FU256" s="3250"/>
      <c r="FV256" s="3263"/>
      <c r="FW256" s="3264"/>
      <c r="FX256" s="3265"/>
      <c r="FY256" s="2124"/>
      <c r="FZ256" s="2124"/>
      <c r="GA256" s="2124"/>
      <c r="GB256" s="3266"/>
      <c r="GC256" s="3273"/>
      <c r="GD256" s="2763"/>
      <c r="GE256" s="2763"/>
      <c r="GF256" s="1850"/>
      <c r="GG256" s="2764"/>
      <c r="GH256" s="2917"/>
      <c r="GI256" s="1850"/>
      <c r="GJ256" s="1850"/>
      <c r="GK256" s="3267"/>
      <c r="GL256" s="3268"/>
      <c r="GM256" s="2049"/>
      <c r="GN256" s="1850"/>
      <c r="GO256" s="1850"/>
      <c r="GP256" s="3267"/>
      <c r="GQ256" s="1119"/>
      <c r="GR256" s="3269"/>
      <c r="GS256" s="1978"/>
      <c r="GT256" s="1978"/>
      <c r="GU256" s="1978"/>
      <c r="GV256" s="3270"/>
      <c r="GW256" s="3269"/>
      <c r="GX256" s="1978"/>
      <c r="GY256" s="1978"/>
      <c r="GZ256" s="1978"/>
      <c r="HA256" s="3270"/>
      <c r="HB256" s="3269"/>
      <c r="HC256" s="1978"/>
      <c r="HD256" s="1978"/>
      <c r="HE256" s="1978"/>
      <c r="HF256" s="3270"/>
      <c r="HG256" s="3269"/>
      <c r="HH256" s="1978"/>
      <c r="HI256" s="1978"/>
      <c r="HJ256" s="1978"/>
      <c r="HK256" s="3270"/>
      <c r="HL256" s="3269"/>
      <c r="HM256" s="1978"/>
      <c r="HN256" s="1978"/>
      <c r="HO256" s="1978"/>
      <c r="HP256" s="3270"/>
      <c r="HQ256" s="357"/>
      <c r="HR256" s="358"/>
      <c r="HS256" s="358"/>
      <c r="HT256" s="358">
        <f>1000000*15%</f>
        <v>150000</v>
      </c>
      <c r="HU256" s="2773"/>
      <c r="HV256" s="2889"/>
      <c r="HW256" s="2641"/>
      <c r="HX256" s="2641"/>
      <c r="HY256" s="1568">
        <f t="shared" si="875"/>
        <v>150000</v>
      </c>
      <c r="HZ256" s="2693"/>
      <c r="IA256" s="3271"/>
      <c r="IB256" s="3272"/>
      <c r="IC256" s="3272"/>
      <c r="ID256" s="3272"/>
      <c r="IE256" s="3273"/>
      <c r="IF256" s="2763"/>
      <c r="IG256" s="3275"/>
      <c r="IH256" s="3274"/>
      <c r="II256" s="3273"/>
      <c r="IJ256" s="2763"/>
      <c r="IK256" s="1693"/>
      <c r="IL256" s="3274"/>
      <c r="IM256" s="3273"/>
      <c r="IN256" s="2763"/>
      <c r="IO256" s="1693"/>
      <c r="IP256" s="3274"/>
      <c r="IR256" s="3276"/>
      <c r="IS256" s="3272"/>
      <c r="IT256" s="3272"/>
      <c r="IU256" s="823"/>
      <c r="IV256" s="3277"/>
      <c r="IW256" s="3271"/>
      <c r="IX256" s="3272"/>
      <c r="IY256" s="3272"/>
      <c r="IZ256" s="823"/>
      <c r="JA256" s="3278"/>
      <c r="JB256" s="3279"/>
      <c r="JC256" s="2126"/>
      <c r="JD256" s="2126"/>
      <c r="JE256" s="823"/>
      <c r="JF256" s="3280"/>
      <c r="JG256" s="3297"/>
      <c r="JH256" s="2619"/>
      <c r="JI256" s="2619"/>
      <c r="JJ256" s="823"/>
      <c r="JK256" s="1243"/>
      <c r="JL256" s="2620"/>
      <c r="JM256" s="1850"/>
      <c r="JN256" s="1850"/>
      <c r="JO256" s="823"/>
      <c r="JP256" s="3268"/>
      <c r="JQ256" s="3281"/>
      <c r="JR256" s="1850"/>
      <c r="JS256" s="1850"/>
      <c r="JT256" s="823"/>
      <c r="JU256" s="3268"/>
      <c r="JV256" s="3282"/>
      <c r="JW256" s="1978"/>
      <c r="JX256" s="1978"/>
      <c r="JY256" s="823"/>
      <c r="JZ256" s="3270"/>
      <c r="KA256" s="3269"/>
      <c r="KB256" s="1978"/>
      <c r="KC256" s="1978"/>
      <c r="KD256" s="823"/>
      <c r="KE256" s="3270"/>
      <c r="KF256" s="2516"/>
      <c r="KG256" s="1978"/>
      <c r="KH256" s="1978"/>
      <c r="KI256" s="823"/>
      <c r="KJ256" s="3270"/>
      <c r="KK256" s="3283"/>
      <c r="KL256" s="3284"/>
      <c r="KM256" s="3284"/>
      <c r="KN256" s="823"/>
      <c r="KO256" s="3285"/>
      <c r="KP256" s="3269"/>
      <c r="KQ256" s="1978"/>
      <c r="KR256" s="1978"/>
      <c r="KS256" s="823"/>
      <c r="KT256" s="3270"/>
      <c r="KU256" s="357"/>
      <c r="KV256" s="358"/>
      <c r="KW256" s="358"/>
      <c r="KX256" s="358">
        <f>1000000*15%</f>
        <v>150000</v>
      </c>
      <c r="KY256" s="2773"/>
      <c r="KZ256" s="2889"/>
      <c r="LA256" s="2641"/>
      <c r="LB256" s="2641"/>
      <c r="LC256" s="358">
        <f t="shared" si="885"/>
        <v>150000</v>
      </c>
      <c r="LD256" s="2693"/>
      <c r="LE256" s="3246"/>
      <c r="LF256" s="3272"/>
      <c r="LG256" s="3272"/>
      <c r="LH256" s="3286"/>
      <c r="LI256" s="3287"/>
      <c r="LJ256" s="2763"/>
      <c r="LK256" s="3275"/>
      <c r="LL256" s="3274"/>
      <c r="LM256" s="3288"/>
      <c r="LN256" s="2763"/>
      <c r="LO256" s="3275"/>
      <c r="LP256" s="3274"/>
      <c r="LQ256" s="3273"/>
      <c r="LR256" s="2763"/>
      <c r="LS256" s="3275"/>
      <c r="LT256" s="3274"/>
      <c r="LV256" s="2883"/>
      <c r="LW256" s="2641"/>
      <c r="LX256" s="2641"/>
      <c r="LY256" s="457"/>
      <c r="LZ256" s="3298"/>
      <c r="MA256" s="2889"/>
      <c r="MB256" s="2641"/>
      <c r="MC256" s="2641"/>
      <c r="MD256" s="457"/>
      <c r="ME256" s="3299"/>
      <c r="MF256" s="2883"/>
      <c r="MG256" s="2641"/>
      <c r="MH256" s="2641"/>
      <c r="MI256" s="457"/>
      <c r="MJ256" s="2653"/>
      <c r="MK256" s="3300"/>
      <c r="ML256" s="2641"/>
      <c r="MM256" s="2641"/>
      <c r="MN256" s="457"/>
      <c r="MO256" s="2653"/>
      <c r="MP256" s="3300"/>
      <c r="MQ256" s="2641"/>
      <c r="MR256" s="2641"/>
      <c r="MS256" s="2634"/>
      <c r="MT256" s="375"/>
      <c r="MU256" s="404"/>
      <c r="MV256" s="2150"/>
      <c r="MW256" s="2150"/>
      <c r="MX256" s="435"/>
      <c r="MY256" s="375"/>
      <c r="MZ256" s="404"/>
      <c r="NA256" s="2150"/>
      <c r="NB256" s="2150"/>
      <c r="NC256" s="435"/>
      <c r="ND256" s="375"/>
      <c r="NE256" s="404"/>
      <c r="NF256" s="2150"/>
      <c r="NG256" s="2150"/>
      <c r="NH256" s="435"/>
      <c r="NI256" s="375"/>
      <c r="NJ256" s="2883"/>
      <c r="NK256" s="2641"/>
      <c r="NL256" s="2652"/>
      <c r="NM256" s="435"/>
      <c r="NN256" s="375"/>
      <c r="NO256" s="2889"/>
      <c r="NP256" s="2641"/>
      <c r="NQ256" s="2652"/>
      <c r="NR256" s="2150"/>
      <c r="NS256" s="375"/>
      <c r="NT256" s="1596"/>
      <c r="NU256" s="435"/>
      <c r="NV256" s="435"/>
      <c r="NW256" s="435"/>
      <c r="NX256" s="117"/>
      <c r="NY256" s="2635"/>
      <c r="NZ256" s="2150"/>
      <c r="OA256" s="2150"/>
      <c r="OB256" s="435">
        <f>1200000*15%</f>
        <v>180000</v>
      </c>
      <c r="OC256" s="375"/>
      <c r="OD256" s="2889"/>
      <c r="OE256" s="2641"/>
      <c r="OF256" s="2641"/>
      <c r="OG256" s="358">
        <f t="shared" si="876"/>
        <v>180000</v>
      </c>
      <c r="OH256" s="3304"/>
      <c r="OI256" s="1116"/>
      <c r="OJ256" s="2619"/>
      <c r="OK256" s="2619"/>
      <c r="OL256" s="2619"/>
      <c r="OM256" s="2643"/>
      <c r="ON256" s="1116"/>
      <c r="OO256" s="2619"/>
      <c r="OP256" s="2619"/>
      <c r="OQ256" s="2619"/>
      <c r="OR256" s="2643"/>
      <c r="OS256" s="2889"/>
      <c r="OT256" s="2641"/>
      <c r="OU256" s="2641"/>
      <c r="OV256" s="2641"/>
      <c r="OW256" s="1600"/>
      <c r="OX256" s="2889"/>
      <c r="OY256" s="2641"/>
      <c r="OZ256" s="2641"/>
      <c r="PA256" s="2641"/>
      <c r="PB256" s="1600"/>
      <c r="PD256" s="2883"/>
      <c r="PE256" s="2641"/>
      <c r="PF256" s="2641"/>
      <c r="PG256" s="1585"/>
      <c r="PH256" s="3301"/>
      <c r="PI256" s="2889"/>
      <c r="PJ256" s="2641"/>
      <c r="PK256" s="2641"/>
      <c r="PL256" s="457"/>
      <c r="PM256" s="3299"/>
      <c r="PN256" s="2883"/>
      <c r="PO256" s="2641"/>
      <c r="PP256" s="2641"/>
      <c r="PQ256" s="457"/>
      <c r="PR256" s="2653"/>
      <c r="PS256" s="3300"/>
      <c r="PT256" s="2641"/>
      <c r="PU256" s="2641"/>
      <c r="PV256" s="1585"/>
      <c r="PW256" s="2653"/>
      <c r="PX256" s="3302"/>
      <c r="PY256" s="1585"/>
      <c r="PZ256" s="1585"/>
      <c r="QA256" s="2634">
        <v>0</v>
      </c>
      <c r="QB256" s="117"/>
      <c r="QC256" s="404"/>
      <c r="QD256" s="2150"/>
      <c r="QE256" s="2150"/>
      <c r="QF256" s="435">
        <v>0</v>
      </c>
      <c r="QG256" s="375"/>
      <c r="QH256" s="404"/>
      <c r="QI256" s="2150"/>
      <c r="QJ256" s="2150"/>
      <c r="QK256" s="435">
        <v>0</v>
      </c>
      <c r="QL256" s="375"/>
      <c r="QM256" s="404"/>
      <c r="QN256" s="2150"/>
      <c r="QO256" s="2150"/>
      <c r="QP256" s="435">
        <v>0</v>
      </c>
      <c r="QQ256" s="375"/>
      <c r="QR256" s="2883"/>
      <c r="QS256" s="2641"/>
      <c r="QT256" s="2652"/>
      <c r="QU256" s="208">
        <v>0</v>
      </c>
      <c r="QV256" s="2958"/>
      <c r="QW256" s="2889"/>
      <c r="QX256" s="2641"/>
      <c r="QY256" s="2652"/>
      <c r="QZ256" s="2150">
        <v>0</v>
      </c>
      <c r="RA256" s="375"/>
      <c r="RB256" s="1596"/>
      <c r="RC256" s="435"/>
      <c r="RD256" s="435"/>
      <c r="RE256" s="435">
        <v>0</v>
      </c>
      <c r="RF256" s="117"/>
      <c r="RG256" s="404"/>
      <c r="RH256" s="2150"/>
      <c r="RI256" s="2150"/>
      <c r="RJ256" s="2150">
        <f>1200000*20%</f>
        <v>240000</v>
      </c>
      <c r="RK256" s="117"/>
      <c r="RL256" s="2889"/>
      <c r="RM256" s="2641"/>
      <c r="RN256" s="2641"/>
      <c r="RO256" s="1568">
        <f t="shared" si="877"/>
        <v>240000</v>
      </c>
      <c r="RP256" s="3304"/>
      <c r="RQ256" s="1116"/>
      <c r="RR256" s="2619"/>
      <c r="RS256" s="2619"/>
      <c r="RT256" s="3227">
        <f t="shared" si="881"/>
        <v>0</v>
      </c>
      <c r="RU256" s="2643"/>
      <c r="RV256" s="1116"/>
      <c r="RW256" s="2619"/>
      <c r="RX256" s="2619"/>
      <c r="RY256" s="3223">
        <f t="shared" si="878"/>
        <v>0</v>
      </c>
      <c r="RZ256" s="2643"/>
      <c r="SA256" s="2889"/>
      <c r="SB256" s="2641"/>
      <c r="SC256" s="2641"/>
      <c r="SD256" s="3223">
        <f t="shared" si="879"/>
        <v>0</v>
      </c>
      <c r="SE256" s="1600"/>
      <c r="SF256" s="2889"/>
      <c r="SG256" s="2641"/>
      <c r="SH256" s="2641"/>
      <c r="SI256" s="358">
        <f t="shared" si="882"/>
        <v>240000</v>
      </c>
      <c r="SJ256" s="1600"/>
      <c r="SL256" s="2883"/>
      <c r="SM256" s="2641"/>
      <c r="SN256" s="2641"/>
      <c r="SO256" s="137">
        <v>0</v>
      </c>
      <c r="SP256" s="3301"/>
      <c r="SQ256" s="2889"/>
      <c r="SR256" s="2641"/>
      <c r="SS256" s="2641"/>
      <c r="ST256" s="457">
        <v>0</v>
      </c>
      <c r="SU256" s="3299"/>
      <c r="SV256" s="2142"/>
      <c r="SW256" s="1585"/>
      <c r="SX256" s="1585"/>
      <c r="SY256" s="359">
        <v>0</v>
      </c>
      <c r="SZ256" s="4096"/>
      <c r="TA256" s="3302"/>
      <c r="TB256" s="1585"/>
      <c r="TC256" s="1585"/>
      <c r="TD256" s="4637">
        <v>0</v>
      </c>
      <c r="TE256" s="4096"/>
      <c r="TF256" s="3302"/>
      <c r="TG256" s="1585"/>
      <c r="TH256" s="1585"/>
      <c r="TI256" s="649">
        <v>0</v>
      </c>
      <c r="TJ256" s="117"/>
      <c r="TK256" s="404"/>
      <c r="TL256" s="2150"/>
      <c r="TM256" s="2150"/>
      <c r="TN256" s="623">
        <v>0</v>
      </c>
      <c r="TO256" s="375"/>
      <c r="TP256" s="4516"/>
      <c r="TQ256" s="2150"/>
      <c r="TR256" s="2150"/>
      <c r="TS256" s="623">
        <v>0</v>
      </c>
      <c r="TT256" s="375"/>
      <c r="TU256" s="4516"/>
      <c r="TV256" s="2150"/>
      <c r="TW256" s="2150"/>
      <c r="TX256" s="5301">
        <v>0</v>
      </c>
      <c r="TY256" s="375"/>
      <c r="TZ256" s="2883"/>
      <c r="UA256" s="2641"/>
      <c r="UB256" s="2652"/>
      <c r="UC256" s="1575">
        <v>0</v>
      </c>
      <c r="UD256" s="2958"/>
      <c r="UE256" s="2889"/>
      <c r="UF256" s="2641"/>
      <c r="UG256" s="2652"/>
      <c r="UH256" s="1575">
        <v>0</v>
      </c>
      <c r="UI256" s="375"/>
      <c r="UJ256" s="1596"/>
      <c r="UK256" s="435"/>
      <c r="UL256" s="435"/>
      <c r="UM256" s="359">
        <v>0</v>
      </c>
      <c r="UN256" s="117"/>
      <c r="UO256" s="404"/>
      <c r="UP256" s="2150"/>
      <c r="UQ256" s="2150"/>
      <c r="UR256" s="1575">
        <v>0</v>
      </c>
      <c r="US256" s="117"/>
      <c r="UT256" s="1868"/>
      <c r="UU256" s="1575"/>
      <c r="UV256" s="1575"/>
      <c r="UW256" s="208">
        <f t="shared" si="883"/>
        <v>0</v>
      </c>
      <c r="UX256" s="83"/>
      <c r="UY256" s="1116"/>
      <c r="UZ256" s="2619"/>
      <c r="VA256" s="2619"/>
      <c r="VB256" s="3222">
        <f t="shared" si="884"/>
        <v>0</v>
      </c>
      <c r="VC256" s="2643"/>
      <c r="VD256" s="1116"/>
      <c r="VE256" s="2619"/>
      <c r="VF256" s="2619"/>
      <c r="VG256" s="2619"/>
      <c r="VH256" s="2643"/>
      <c r="VI256" s="2889"/>
      <c r="VJ256" s="2641"/>
      <c r="VK256" s="2641"/>
      <c r="VL256" s="2641"/>
      <c r="VM256" s="1600"/>
      <c r="VN256" s="2889"/>
      <c r="VO256" s="2641"/>
      <c r="VP256" s="2641"/>
      <c r="VQ256" s="2641"/>
      <c r="VR256" s="1600"/>
    </row>
    <row r="257" spans="1:590" s="453" customFormat="1" ht="13.45" x14ac:dyDescent="0.3">
      <c r="A257" s="2616"/>
      <c r="B257" s="3169"/>
      <c r="C257" s="4636" t="s">
        <v>902</v>
      </c>
      <c r="D257" s="3246"/>
      <c r="E257" s="3247"/>
      <c r="F257" s="3247"/>
      <c r="G257" s="3248"/>
      <c r="H257" s="3249"/>
      <c r="I257" s="3250"/>
      <c r="J257" s="3250"/>
      <c r="K257" s="3250"/>
      <c r="L257" s="3251"/>
      <c r="M257" s="3252"/>
      <c r="N257" s="3250"/>
      <c r="O257" s="3253"/>
      <c r="P257" s="3254"/>
      <c r="Q257" s="3251"/>
      <c r="R257" s="3252"/>
      <c r="S257" s="3250"/>
      <c r="T257" s="3250"/>
      <c r="U257" s="3250"/>
      <c r="V257" s="3251"/>
      <c r="W257" s="3252"/>
      <c r="X257" s="3250"/>
      <c r="Y257" s="3250"/>
      <c r="Z257" s="3250"/>
      <c r="AA257" s="3255"/>
      <c r="AB257" s="3252"/>
      <c r="AC257" s="3250"/>
      <c r="AD257" s="3250"/>
      <c r="AE257" s="3250"/>
      <c r="AF257" s="3255"/>
      <c r="AG257" s="3250"/>
      <c r="AH257" s="3250"/>
      <c r="AI257" s="3250"/>
      <c r="AJ257" s="3250"/>
      <c r="AK257" s="3251"/>
      <c r="AL257" s="3256"/>
      <c r="AM257" s="3256"/>
      <c r="AN257" s="3256"/>
      <c r="AO257" s="3250"/>
      <c r="AP257" s="3257"/>
      <c r="AQ257" s="3250"/>
      <c r="AR257" s="3250"/>
      <c r="AS257" s="3250"/>
      <c r="AT257" s="3250"/>
      <c r="AU257" s="3251"/>
      <c r="AV257" s="3258"/>
      <c r="AW257" s="3250"/>
      <c r="AX257" s="3250"/>
      <c r="AY257" s="3250"/>
      <c r="AZ257" s="3255"/>
      <c r="BA257" s="3258"/>
      <c r="BB257" s="3250"/>
      <c r="BC257" s="3250"/>
      <c r="BD257" s="3250"/>
      <c r="BE257" s="3255"/>
      <c r="BF257" s="3259"/>
      <c r="BG257" s="3256"/>
      <c r="BH257" s="3250"/>
      <c r="BI257" s="3250"/>
      <c r="BJ257" s="3260"/>
      <c r="BK257" s="3258"/>
      <c r="BL257" s="3250"/>
      <c r="BM257" s="3250"/>
      <c r="BN257" s="3250"/>
      <c r="BO257" s="3255"/>
      <c r="BP257" s="3250"/>
      <c r="BQ257" s="3250"/>
      <c r="BR257" s="3250"/>
      <c r="BS257" s="3250"/>
      <c r="BT257" s="3250"/>
      <c r="BU257" s="3250"/>
      <c r="BV257" s="3250"/>
      <c r="BW257" s="3251"/>
      <c r="BX257" s="3250"/>
      <c r="BY257" s="3250"/>
      <c r="BZ257" s="3250"/>
      <c r="CA257" s="3250"/>
      <c r="CB257" s="3250"/>
      <c r="CC257" s="3250"/>
      <c r="CD257" s="3250"/>
      <c r="CE257" s="3250"/>
      <c r="CF257" s="3250"/>
      <c r="CG257" s="3250"/>
      <c r="CH257" s="3250"/>
      <c r="CI257" s="3250"/>
      <c r="CJ257" s="3252"/>
      <c r="CK257" s="3250"/>
      <c r="CL257" s="3250"/>
      <c r="CM257" s="3250"/>
      <c r="CN257" s="3250"/>
      <c r="CO257" s="3252"/>
      <c r="CP257" s="3250"/>
      <c r="CQ257" s="3250"/>
      <c r="CR257" s="3250"/>
      <c r="CS257" s="3250"/>
      <c r="CT257" s="3252"/>
      <c r="CU257" s="3250"/>
      <c r="CV257" s="3250"/>
      <c r="CW257" s="3250"/>
      <c r="CX257" s="3250"/>
      <c r="CY257" s="3252"/>
      <c r="CZ257" s="3250"/>
      <c r="DA257" s="3250"/>
      <c r="DB257" s="3250"/>
      <c r="DC257" s="3250"/>
      <c r="DD257" s="3250"/>
      <c r="DE257" s="3250"/>
      <c r="DF257" s="3250"/>
      <c r="DG257" s="3250"/>
      <c r="DH257" s="3252"/>
      <c r="DI257" s="3252"/>
      <c r="DJ257" s="3250"/>
      <c r="DK257" s="3250"/>
      <c r="DL257" s="3250"/>
      <c r="DM257" s="3252"/>
      <c r="DN257" s="3252"/>
      <c r="DO257" s="3250"/>
      <c r="DP257" s="3250"/>
      <c r="DQ257" s="3250"/>
      <c r="DR257" s="3252"/>
      <c r="DS257" s="3252"/>
      <c r="DT257" s="3250"/>
      <c r="DU257" s="3250"/>
      <c r="DV257" s="3250"/>
      <c r="DW257" s="3250"/>
      <c r="DX257" s="3252"/>
      <c r="DY257" s="3250"/>
      <c r="DZ257" s="3250"/>
      <c r="EA257" s="3250"/>
      <c r="EB257" s="3255"/>
      <c r="EC257" s="3252"/>
      <c r="ED257" s="3250"/>
      <c r="EE257" s="3250"/>
      <c r="EF257" s="3250"/>
      <c r="EG257" s="3252"/>
      <c r="EH257" s="3250"/>
      <c r="EI257" s="3250"/>
      <c r="EJ257" s="3250"/>
      <c r="EK257" s="3250"/>
      <c r="EL257" s="3250"/>
      <c r="EM257" s="3261"/>
      <c r="EN257" s="2124"/>
      <c r="EO257" s="2124"/>
      <c r="EP257" s="2124"/>
      <c r="EQ257" s="2124"/>
      <c r="ER257" s="3250"/>
      <c r="ES257" s="3250"/>
      <c r="ET257" s="3250"/>
      <c r="EU257" s="3250"/>
      <c r="EV257" s="3250"/>
      <c r="EW257" s="3252"/>
      <c r="EX257" s="3250"/>
      <c r="EY257" s="3250"/>
      <c r="EZ257" s="3250"/>
      <c r="FA257" s="3250"/>
      <c r="FB257" s="3250"/>
      <c r="FC257" s="3250"/>
      <c r="FD257" s="3250"/>
      <c r="FE257" s="3250"/>
      <c r="FF257" s="3250"/>
      <c r="FG257" s="3250"/>
      <c r="FH257" s="3250"/>
      <c r="FI257" s="3250"/>
      <c r="FJ257" s="3250"/>
      <c r="FK257" s="3250"/>
      <c r="FL257" s="3250"/>
      <c r="FM257" s="3250"/>
      <c r="FN257" s="3252"/>
      <c r="FO257" s="3250"/>
      <c r="FP257" s="3250"/>
      <c r="FQ257" s="2124"/>
      <c r="FR257" s="3262"/>
      <c r="FS257" s="3249"/>
      <c r="FT257" s="3250"/>
      <c r="FU257" s="3250"/>
      <c r="FV257" s="3263"/>
      <c r="FW257" s="3264"/>
      <c r="FX257" s="3265"/>
      <c r="FY257" s="2124"/>
      <c r="FZ257" s="2124"/>
      <c r="GA257" s="2124"/>
      <c r="GB257" s="3266"/>
      <c r="GC257" s="3191"/>
      <c r="GD257" s="1936"/>
      <c r="GE257" s="1936"/>
      <c r="GF257" s="264"/>
      <c r="GG257" s="2730"/>
      <c r="GH257" s="2917"/>
      <c r="GI257" s="1850"/>
      <c r="GJ257" s="1850"/>
      <c r="GK257" s="3267"/>
      <c r="GL257" s="3268"/>
      <c r="GM257" s="2049"/>
      <c r="GN257" s="1850"/>
      <c r="GO257" s="1850"/>
      <c r="GP257" s="3267"/>
      <c r="GQ257" s="1119"/>
      <c r="GR257" s="3269"/>
      <c r="GS257" s="1978"/>
      <c r="GT257" s="1978"/>
      <c r="GU257" s="1978"/>
      <c r="GV257" s="3270"/>
      <c r="GW257" s="3269"/>
      <c r="GX257" s="1978"/>
      <c r="GY257" s="1978"/>
      <c r="GZ257" s="1978"/>
      <c r="HA257" s="3270"/>
      <c r="HB257" s="3269"/>
      <c r="HC257" s="1978"/>
      <c r="HD257" s="1978"/>
      <c r="HE257" s="1978"/>
      <c r="HF257" s="3270"/>
      <c r="HG257" s="3269"/>
      <c r="HH257" s="1978"/>
      <c r="HI257" s="1978"/>
      <c r="HJ257" s="1978"/>
      <c r="HK257" s="3270"/>
      <c r="HL257" s="3269"/>
      <c r="HM257" s="1978"/>
      <c r="HN257" s="1978"/>
      <c r="HO257" s="1978"/>
      <c r="HP257" s="3270"/>
      <c r="HQ257" s="357"/>
      <c r="HR257" s="358"/>
      <c r="HS257" s="358"/>
      <c r="HT257" s="358">
        <v>0</v>
      </c>
      <c r="HU257" s="2773"/>
      <c r="HV257" s="2889"/>
      <c r="HW257" s="2641"/>
      <c r="HX257" s="2641"/>
      <c r="HY257" s="1568">
        <f>FQ257+FV257+GA257+GF257+GK257+GP257+GU257+GZ257+HE257+HJ257+HO257+HT257</f>
        <v>0</v>
      </c>
      <c r="HZ257" s="2693"/>
      <c r="IA257" s="3271"/>
      <c r="IB257" s="3272"/>
      <c r="IC257" s="3196"/>
      <c r="ID257" s="3272"/>
      <c r="IE257" s="3273"/>
      <c r="IF257" s="2763"/>
      <c r="IG257" s="2733"/>
      <c r="IH257" s="3274"/>
      <c r="II257" s="3273"/>
      <c r="IJ257" s="2763"/>
      <c r="IK257" s="3275"/>
      <c r="IL257" s="3274"/>
      <c r="IM257" s="3273"/>
      <c r="IN257" s="2763"/>
      <c r="IO257" s="3275"/>
      <c r="IP257" s="3274"/>
      <c r="IR257" s="3276"/>
      <c r="IS257" s="3272"/>
      <c r="IT257" s="3272"/>
      <c r="IU257" s="2126"/>
      <c r="IV257" s="3277"/>
      <c r="IW257" s="3271"/>
      <c r="IX257" s="3272"/>
      <c r="IY257" s="3272"/>
      <c r="IZ257" s="2126"/>
      <c r="JA257" s="3278"/>
      <c r="JB257" s="3279"/>
      <c r="JC257" s="2126"/>
      <c r="JD257" s="2126"/>
      <c r="JE257" s="2126"/>
      <c r="JF257" s="3280"/>
      <c r="JG257" s="3205"/>
      <c r="JH257" s="2186"/>
      <c r="JI257" s="2186"/>
      <c r="JJ257" s="1096"/>
      <c r="JK257" s="976"/>
      <c r="JL257" s="2620"/>
      <c r="JM257" s="1850"/>
      <c r="JN257" s="1850"/>
      <c r="JO257" s="1096"/>
      <c r="JP257" s="3268"/>
      <c r="JQ257" s="3281"/>
      <c r="JR257" s="1850"/>
      <c r="JS257" s="1850"/>
      <c r="JT257" s="1096"/>
      <c r="JU257" s="3268"/>
      <c r="JV257" s="3282"/>
      <c r="JW257" s="1978"/>
      <c r="JX257" s="1978"/>
      <c r="JY257" s="1096"/>
      <c r="JZ257" s="3270"/>
      <c r="KA257" s="3269"/>
      <c r="KB257" s="1978"/>
      <c r="KC257" s="1978"/>
      <c r="KD257" s="1978"/>
      <c r="KE257" s="3270"/>
      <c r="KF257" s="2516"/>
      <c r="KG257" s="1978"/>
      <c r="KH257" s="1978"/>
      <c r="KI257" s="1978"/>
      <c r="KJ257" s="3270"/>
      <c r="KK257" s="3283"/>
      <c r="KL257" s="3284"/>
      <c r="KM257" s="3284"/>
      <c r="KN257" s="1978"/>
      <c r="KO257" s="3285"/>
      <c r="KP257" s="3269"/>
      <c r="KQ257" s="1978"/>
      <c r="KR257" s="1978"/>
      <c r="KS257" s="1978"/>
      <c r="KT257" s="3270"/>
      <c r="KU257" s="357"/>
      <c r="KV257" s="358"/>
      <c r="KW257" s="358"/>
      <c r="KX257" s="358">
        <f>(2193204+1901300)*15%</f>
        <v>614175.6</v>
      </c>
      <c r="KY257" s="2773"/>
      <c r="KZ257" s="2889"/>
      <c r="LA257" s="2641"/>
      <c r="LB257" s="2641"/>
      <c r="LC257" s="358">
        <f t="shared" si="885"/>
        <v>614175.6</v>
      </c>
      <c r="LD257" s="2693"/>
      <c r="LE257" s="3246"/>
      <c r="LF257" s="3272"/>
      <c r="LG257" s="3196"/>
      <c r="LH257" s="3286"/>
      <c r="LI257" s="3287"/>
      <c r="LJ257" s="2763"/>
      <c r="LK257" s="2733"/>
      <c r="LL257" s="3274"/>
      <c r="LM257" s="3288"/>
      <c r="LN257" s="2763"/>
      <c r="LO257" s="3275"/>
      <c r="LP257" s="3274"/>
      <c r="LQ257" s="3273"/>
      <c r="LR257" s="2763"/>
      <c r="LS257" s="3275"/>
      <c r="LT257" s="3274"/>
      <c r="LV257" s="1567"/>
      <c r="LW257" s="1568"/>
      <c r="LX257" s="1568"/>
      <c r="LY257" s="3234"/>
      <c r="LZ257" s="3217"/>
      <c r="MA257" s="1022"/>
      <c r="MB257" s="1568"/>
      <c r="MC257" s="1568"/>
      <c r="MD257" s="3234"/>
      <c r="ME257" s="3194"/>
      <c r="MF257" s="1567"/>
      <c r="MG257" s="1568"/>
      <c r="MH257" s="1568"/>
      <c r="MI257" s="3234"/>
      <c r="MJ257" s="2674"/>
      <c r="MK257" s="3219"/>
      <c r="ML257" s="1568"/>
      <c r="MM257" s="1568"/>
      <c r="MN257" s="3234"/>
      <c r="MO257" s="2674"/>
      <c r="MP257" s="3219"/>
      <c r="MQ257" s="1568"/>
      <c r="MR257" s="1568"/>
      <c r="MS257" s="359"/>
      <c r="MT257" s="83"/>
      <c r="MU257" s="405"/>
      <c r="MV257" s="1575"/>
      <c r="MW257" s="1575"/>
      <c r="MX257" s="208"/>
      <c r="MY257" s="83"/>
      <c r="MZ257" s="405"/>
      <c r="NA257" s="1575"/>
      <c r="NB257" s="1575"/>
      <c r="NC257" s="208"/>
      <c r="ND257" s="83"/>
      <c r="NE257" s="405"/>
      <c r="NF257" s="1575"/>
      <c r="NG257" s="1575"/>
      <c r="NH257" s="208"/>
      <c r="NI257" s="83"/>
      <c r="NJ257" s="1567"/>
      <c r="NK257" s="1568"/>
      <c r="NL257" s="1871"/>
      <c r="NM257" s="208"/>
      <c r="NN257" s="83"/>
      <c r="NO257" s="1022"/>
      <c r="NP257" s="1568"/>
      <c r="NQ257" s="1871"/>
      <c r="NR257" s="208"/>
      <c r="NS257" s="83"/>
      <c r="NT257" s="209"/>
      <c r="NU257" s="208"/>
      <c r="NV257" s="208"/>
      <c r="NW257" s="208"/>
      <c r="NX257" s="114"/>
      <c r="NY257" s="1868"/>
      <c r="NZ257" s="1575"/>
      <c r="OA257" s="1575"/>
      <c r="OB257" s="208">
        <f>(3539529+2698784)*16%</f>
        <v>998130.08000000007</v>
      </c>
      <c r="OC257" s="83"/>
      <c r="OD257" s="1022"/>
      <c r="OE257" s="1568"/>
      <c r="OF257" s="1568"/>
      <c r="OG257" s="358">
        <f>OB257+NW257+NR257+NM257+NH257+NC257+MX257+MS257+MN257+MI257+MD257+LY257</f>
        <v>998130.08000000007</v>
      </c>
      <c r="OH257" s="1872"/>
      <c r="OI257" s="968"/>
      <c r="OJ257" s="2186"/>
      <c r="OK257" s="2186"/>
      <c r="OL257" s="2186"/>
      <c r="OM257" s="1869"/>
      <c r="ON257" s="968"/>
      <c r="OO257" s="2186"/>
      <c r="OP257" s="2186"/>
      <c r="OQ257" s="2186"/>
      <c r="OR257" s="1869"/>
      <c r="OS257" s="1022"/>
      <c r="OT257" s="1568"/>
      <c r="OU257" s="1568"/>
      <c r="OV257" s="1568"/>
      <c r="OW257" s="220"/>
      <c r="OX257" s="1022"/>
      <c r="OY257" s="1568"/>
      <c r="OZ257" s="1568"/>
      <c r="PA257" s="1568"/>
      <c r="PB257" s="220"/>
      <c r="PD257" s="1567"/>
      <c r="PE257" s="1568"/>
      <c r="PF257" s="1568"/>
      <c r="PG257" s="358">
        <v>0</v>
      </c>
      <c r="PH257" s="2944"/>
      <c r="PI257" s="1022"/>
      <c r="PJ257" s="1568"/>
      <c r="PK257" s="1568"/>
      <c r="PL257" s="3234">
        <v>8149</v>
      </c>
      <c r="PM257" s="3194"/>
      <c r="PN257" s="1567"/>
      <c r="PO257" s="1568"/>
      <c r="PP257" s="1568"/>
      <c r="PQ257" s="3234">
        <v>0</v>
      </c>
      <c r="PR257" s="2674"/>
      <c r="PS257" s="3219"/>
      <c r="PT257" s="1568"/>
      <c r="PU257" s="1568"/>
      <c r="PV257" s="3234"/>
      <c r="PW257" s="2674"/>
      <c r="PX257" s="3221"/>
      <c r="PY257" s="358"/>
      <c r="PZ257" s="358"/>
      <c r="QA257" s="359">
        <v>0</v>
      </c>
      <c r="QB257" s="114"/>
      <c r="QC257" s="405"/>
      <c r="QD257" s="1575"/>
      <c r="QE257" s="1575"/>
      <c r="QF257" s="208">
        <v>0</v>
      </c>
      <c r="QG257" s="83"/>
      <c r="QH257" s="405"/>
      <c r="QI257" s="1575"/>
      <c r="QJ257" s="1575"/>
      <c r="QK257" s="208">
        <v>0</v>
      </c>
      <c r="QL257" s="83"/>
      <c r="QM257" s="405"/>
      <c r="QN257" s="1575"/>
      <c r="QO257" s="1575"/>
      <c r="QP257" s="208">
        <v>0</v>
      </c>
      <c r="QQ257" s="83"/>
      <c r="QR257" s="1567"/>
      <c r="QS257" s="1568"/>
      <c r="QT257" s="1871"/>
      <c r="QU257" s="208">
        <v>0</v>
      </c>
      <c r="QV257" s="222"/>
      <c r="QW257" s="1022"/>
      <c r="QX257" s="1568"/>
      <c r="QY257" s="1871"/>
      <c r="QZ257" s="208">
        <v>0</v>
      </c>
      <c r="RA257" s="83"/>
      <c r="RB257" s="209"/>
      <c r="RC257" s="208"/>
      <c r="RD257" s="208"/>
      <c r="RE257" s="208">
        <v>0</v>
      </c>
      <c r="RF257" s="114"/>
      <c r="RG257" s="405"/>
      <c r="RH257" s="1575"/>
      <c r="RI257" s="1575"/>
      <c r="RJ257" s="1575">
        <f>(3539529+2698784+1400000)*20%</f>
        <v>1527662.6</v>
      </c>
      <c r="RK257" s="114"/>
      <c r="RL257" s="1022"/>
      <c r="RM257" s="1568"/>
      <c r="RN257" s="1568"/>
      <c r="RO257" s="1568">
        <f t="shared" si="877"/>
        <v>1535811.6</v>
      </c>
      <c r="RP257" s="1872"/>
      <c r="RQ257" s="968"/>
      <c r="RR257" s="2186"/>
      <c r="RS257" s="2186"/>
      <c r="RT257" s="3227">
        <f t="shared" si="881"/>
        <v>8149</v>
      </c>
      <c r="RU257" s="1869"/>
      <c r="RV257" s="968"/>
      <c r="RW257" s="2186"/>
      <c r="RX257" s="2186"/>
      <c r="RY257" s="3223">
        <f t="shared" si="878"/>
        <v>0</v>
      </c>
      <c r="RZ257" s="1869"/>
      <c r="SA257" s="1022"/>
      <c r="SB257" s="1568"/>
      <c r="SC257" s="1568"/>
      <c r="SD257" s="3223">
        <f t="shared" si="879"/>
        <v>0</v>
      </c>
      <c r="SE257" s="220"/>
      <c r="SF257" s="1022"/>
      <c r="SG257" s="1568"/>
      <c r="SH257" s="1568"/>
      <c r="SI257" s="358">
        <f t="shared" si="882"/>
        <v>1527662.6</v>
      </c>
      <c r="SJ257" s="220"/>
      <c r="SL257" s="1567"/>
      <c r="SM257" s="1568"/>
      <c r="SN257" s="1568"/>
      <c r="SO257" s="457">
        <v>200000</v>
      </c>
      <c r="SP257" s="2944"/>
      <c r="SQ257" s="1022"/>
      <c r="SR257" s="1568"/>
      <c r="SS257" s="1568"/>
      <c r="ST257" s="457">
        <v>200000</v>
      </c>
      <c r="SU257" s="3194"/>
      <c r="SV257" s="1857"/>
      <c r="SW257" s="358"/>
      <c r="SX257" s="358"/>
      <c r="SY257" s="457">
        <v>200000</v>
      </c>
      <c r="SZ257" s="2563"/>
      <c r="TA257" s="3221"/>
      <c r="TB257" s="358"/>
      <c r="TC257" s="358"/>
      <c r="TD257" s="4158">
        <v>0</v>
      </c>
      <c r="TE257" s="2563"/>
      <c r="TF257" s="3221"/>
      <c r="TG257" s="358"/>
      <c r="TH257" s="358"/>
      <c r="TI257" s="4158">
        <v>0</v>
      </c>
      <c r="TJ257" s="114"/>
      <c r="TK257" s="405"/>
      <c r="TL257" s="1575"/>
      <c r="TM257" s="1575"/>
      <c r="TN257" s="4158">
        <v>0</v>
      </c>
      <c r="TO257" s="83"/>
      <c r="TP257" s="4506"/>
      <c r="TQ257" s="1575"/>
      <c r="TR257" s="1575"/>
      <c r="TS257" s="4158">
        <v>0</v>
      </c>
      <c r="TT257" s="83"/>
      <c r="TU257" s="4506"/>
      <c r="TV257" s="1575"/>
      <c r="TW257" s="1575"/>
      <c r="TX257" s="5301">
        <v>0</v>
      </c>
      <c r="TY257" s="83"/>
      <c r="TZ257" s="1567"/>
      <c r="UA257" s="1568"/>
      <c r="UB257" s="1871"/>
      <c r="UC257" s="1575">
        <v>0</v>
      </c>
      <c r="UD257" s="222"/>
      <c r="UE257" s="1022"/>
      <c r="UF257" s="1568"/>
      <c r="UG257" s="1871"/>
      <c r="UH257" s="1575">
        <v>0</v>
      </c>
      <c r="UI257" s="83"/>
      <c r="UJ257" s="209"/>
      <c r="UK257" s="208"/>
      <c r="UL257" s="208"/>
      <c r="UM257" s="359">
        <v>0</v>
      </c>
      <c r="UN257" s="114"/>
      <c r="UO257" s="405"/>
      <c r="UP257" s="1575"/>
      <c r="UQ257" s="1575"/>
      <c r="UR257" s="1575">
        <v>0</v>
      </c>
      <c r="US257" s="114"/>
      <c r="UT257" s="1868"/>
      <c r="UU257" s="1575"/>
      <c r="UV257" s="1575"/>
      <c r="UW257" s="208">
        <f t="shared" si="883"/>
        <v>600000</v>
      </c>
      <c r="UX257" s="83"/>
      <c r="UY257" s="968"/>
      <c r="UZ257" s="2186"/>
      <c r="VA257" s="2186"/>
      <c r="VB257" s="3222">
        <f t="shared" si="884"/>
        <v>600000</v>
      </c>
      <c r="VC257" s="1869"/>
      <c r="VD257" s="968"/>
      <c r="VE257" s="2186"/>
      <c r="VF257" s="2186"/>
      <c r="VG257" s="2186"/>
      <c r="VH257" s="1869"/>
      <c r="VI257" s="1022"/>
      <c r="VJ257" s="1568"/>
      <c r="VK257" s="1568"/>
      <c r="VL257" s="1568"/>
      <c r="VM257" s="220"/>
      <c r="VN257" s="1022"/>
      <c r="VO257" s="1568"/>
      <c r="VP257" s="1568"/>
      <c r="VQ257" s="1568"/>
      <c r="VR257" s="220"/>
    </row>
    <row r="258" spans="1:590" s="453" customFormat="1" ht="13.45" x14ac:dyDescent="0.3">
      <c r="A258" s="2616"/>
      <c r="B258" s="3195"/>
      <c r="C258" s="4636" t="s">
        <v>309</v>
      </c>
      <c r="D258" s="3246"/>
      <c r="E258" s="3247"/>
      <c r="F258" s="3247"/>
      <c r="G258" s="3305"/>
      <c r="H258" s="3249"/>
      <c r="I258" s="3250"/>
      <c r="J258" s="3250"/>
      <c r="K258" s="3250"/>
      <c r="L258" s="3251"/>
      <c r="M258" s="3252"/>
      <c r="N258" s="3250"/>
      <c r="O258" s="3253"/>
      <c r="P258" s="3254"/>
      <c r="Q258" s="3251"/>
      <c r="R258" s="3252"/>
      <c r="S258" s="3250"/>
      <c r="T258" s="3250"/>
      <c r="U258" s="3250"/>
      <c r="V258" s="3251"/>
      <c r="W258" s="3252"/>
      <c r="X258" s="3250"/>
      <c r="Y258" s="3250"/>
      <c r="Z258" s="3250"/>
      <c r="AA258" s="3255"/>
      <c r="AB258" s="3252"/>
      <c r="AC258" s="3250"/>
      <c r="AD258" s="3250"/>
      <c r="AE258" s="3250"/>
      <c r="AF258" s="3255"/>
      <c r="AG258" s="3250"/>
      <c r="AH258" s="3250"/>
      <c r="AI258" s="3250"/>
      <c r="AJ258" s="3250"/>
      <c r="AK258" s="3251"/>
      <c r="AL258" s="3256"/>
      <c r="AM258" s="3256"/>
      <c r="AN258" s="3256"/>
      <c r="AO258" s="3256"/>
      <c r="AP258" s="3257"/>
      <c r="AQ258" s="3250"/>
      <c r="AR258" s="3250"/>
      <c r="AS258" s="3250"/>
      <c r="AT258" s="3250"/>
      <c r="AU258" s="3251"/>
      <c r="AV258" s="3258"/>
      <c r="AW258" s="3250"/>
      <c r="AX258" s="3250"/>
      <c r="AY258" s="3250"/>
      <c r="AZ258" s="3255"/>
      <c r="BA258" s="3258"/>
      <c r="BB258" s="3250"/>
      <c r="BC258" s="3250"/>
      <c r="BD258" s="3250"/>
      <c r="BE258" s="3255"/>
      <c r="BF258" s="3259"/>
      <c r="BG258" s="3256"/>
      <c r="BH258" s="3256"/>
      <c r="BI258" s="3256"/>
      <c r="BJ258" s="3260"/>
      <c r="BK258" s="3258"/>
      <c r="BL258" s="3250"/>
      <c r="BM258" s="3250"/>
      <c r="BN258" s="3250"/>
      <c r="BO258" s="3255"/>
      <c r="BP258" s="3250"/>
      <c r="BQ258" s="3250"/>
      <c r="BR258" s="3250"/>
      <c r="BS258" s="3250"/>
      <c r="BT258" s="3250"/>
      <c r="BU258" s="3250"/>
      <c r="BV258" s="3250"/>
      <c r="BW258" s="3251"/>
      <c r="BX258" s="3250"/>
      <c r="BY258" s="3250"/>
      <c r="BZ258" s="3250"/>
      <c r="CA258" s="3250"/>
      <c r="CB258" s="3250"/>
      <c r="CC258" s="3250"/>
      <c r="CD258" s="3250"/>
      <c r="CE258" s="3250"/>
      <c r="CF258" s="3250"/>
      <c r="CG258" s="3250"/>
      <c r="CH258" s="3250"/>
      <c r="CI258" s="3250"/>
      <c r="CJ258" s="3252"/>
      <c r="CK258" s="3250"/>
      <c r="CL258" s="3250"/>
      <c r="CM258" s="3306"/>
      <c r="CN258" s="3250"/>
      <c r="CO258" s="3252"/>
      <c r="CP258" s="3250"/>
      <c r="CQ258" s="3250"/>
      <c r="CR258" s="3250"/>
      <c r="CS258" s="3250"/>
      <c r="CT258" s="3252"/>
      <c r="CU258" s="3250"/>
      <c r="CV258" s="3250"/>
      <c r="CW258" s="3250"/>
      <c r="CX258" s="3250"/>
      <c r="CY258" s="3252"/>
      <c r="CZ258" s="3250"/>
      <c r="DA258" s="3250"/>
      <c r="DB258" s="3250"/>
      <c r="DC258" s="3250"/>
      <c r="DD258" s="3250"/>
      <c r="DE258" s="3250"/>
      <c r="DF258" s="3250"/>
      <c r="DG258" s="3250"/>
      <c r="DH258" s="3252"/>
      <c r="DI258" s="3252"/>
      <c r="DJ258" s="3250"/>
      <c r="DK258" s="3250"/>
      <c r="DL258" s="3250"/>
      <c r="DM258" s="3252"/>
      <c r="DN258" s="3252"/>
      <c r="DO258" s="3250"/>
      <c r="DP258" s="3250"/>
      <c r="DQ258" s="3250"/>
      <c r="DR258" s="3252"/>
      <c r="DS258" s="3252"/>
      <c r="DT258" s="3250"/>
      <c r="DU258" s="3250"/>
      <c r="DV258" s="3250"/>
      <c r="DW258" s="3250"/>
      <c r="DX258" s="3252"/>
      <c r="DY258" s="3250"/>
      <c r="DZ258" s="3250"/>
      <c r="EA258" s="3250"/>
      <c r="EB258" s="3255"/>
      <c r="EC258" s="3252"/>
      <c r="ED258" s="3250"/>
      <c r="EE258" s="3250"/>
      <c r="EF258" s="3250"/>
      <c r="EG258" s="3252"/>
      <c r="EH258" s="3250"/>
      <c r="EI258" s="3250"/>
      <c r="EJ258" s="3250"/>
      <c r="EK258" s="3250"/>
      <c r="EL258" s="3250"/>
      <c r="EM258" s="3261"/>
      <c r="EN258" s="2124"/>
      <c r="EO258" s="2124"/>
      <c r="EP258" s="2124"/>
      <c r="EQ258" s="2124"/>
      <c r="ER258" s="3250"/>
      <c r="ES258" s="3250"/>
      <c r="ET258" s="3250"/>
      <c r="EU258" s="3250"/>
      <c r="EV258" s="3250"/>
      <c r="EW258" s="3252"/>
      <c r="EX258" s="3250"/>
      <c r="EY258" s="3250"/>
      <c r="EZ258" s="3250"/>
      <c r="FA258" s="3250"/>
      <c r="FB258" s="3250"/>
      <c r="FC258" s="3250"/>
      <c r="FD258" s="3250"/>
      <c r="FE258" s="3250"/>
      <c r="FF258" s="3250"/>
      <c r="FG258" s="3250"/>
      <c r="FH258" s="3250"/>
      <c r="FI258" s="3250"/>
      <c r="FJ258" s="3250"/>
      <c r="FK258" s="3250"/>
      <c r="FL258" s="3250"/>
      <c r="FM258" s="3250"/>
      <c r="FN258" s="3252"/>
      <c r="FO258" s="3250"/>
      <c r="FP258" s="3250"/>
      <c r="FQ258" s="3250">
        <v>0</v>
      </c>
      <c r="FR258" s="3262"/>
      <c r="FS258" s="3249"/>
      <c r="FT258" s="3250"/>
      <c r="FU258" s="3250"/>
      <c r="FV258" s="3263">
        <v>0</v>
      </c>
      <c r="FW258" s="3264"/>
      <c r="FX258" s="3265"/>
      <c r="FY258" s="2124"/>
      <c r="FZ258" s="2124"/>
      <c r="GA258" s="2124">
        <v>0</v>
      </c>
      <c r="GB258" s="3266"/>
      <c r="GC258" s="3273"/>
      <c r="GD258" s="2763"/>
      <c r="GE258" s="2763"/>
      <c r="GF258" s="2763">
        <v>0</v>
      </c>
      <c r="GG258" s="2764"/>
      <c r="GH258" s="2917"/>
      <c r="GI258" s="1850"/>
      <c r="GJ258" s="1850"/>
      <c r="GK258" s="3267">
        <v>0</v>
      </c>
      <c r="GL258" s="3268"/>
      <c r="GM258" s="2049"/>
      <c r="GN258" s="1850"/>
      <c r="GO258" s="1850"/>
      <c r="GP258" s="1850">
        <v>0</v>
      </c>
      <c r="GQ258" s="1119"/>
      <c r="GR258" s="3307"/>
      <c r="GS258" s="1850"/>
      <c r="GT258" s="1850"/>
      <c r="GU258" s="1850">
        <v>0</v>
      </c>
      <c r="GV258" s="3268"/>
      <c r="GW258" s="3307"/>
      <c r="GX258" s="1850"/>
      <c r="GY258" s="1850"/>
      <c r="GZ258" s="1850">
        <v>0</v>
      </c>
      <c r="HA258" s="3268"/>
      <c r="HB258" s="3307"/>
      <c r="HC258" s="1850"/>
      <c r="HD258" s="1850"/>
      <c r="HE258" s="1850">
        <v>0</v>
      </c>
      <c r="HF258" s="3268"/>
      <c r="HG258" s="3307"/>
      <c r="HH258" s="1850"/>
      <c r="HI258" s="1850"/>
      <c r="HJ258" s="1850">
        <v>0</v>
      </c>
      <c r="HK258" s="3268"/>
      <c r="HL258" s="3307"/>
      <c r="HM258" s="1850"/>
      <c r="HN258" s="1850"/>
      <c r="HO258" s="1850">
        <v>0</v>
      </c>
      <c r="HP258" s="3268"/>
      <c r="HQ258" s="2917"/>
      <c r="HR258" s="2049"/>
      <c r="HS258" s="2049"/>
      <c r="HT258" s="2049">
        <f>+(3599314+1067891)*5%</f>
        <v>233360.25</v>
      </c>
      <c r="HU258" s="3308"/>
      <c r="HV258" s="2889"/>
      <c r="HW258" s="2641"/>
      <c r="HX258" s="2641"/>
      <c r="HY258" s="2641">
        <f t="shared" si="875"/>
        <v>233360.25</v>
      </c>
      <c r="HZ258" s="2693"/>
      <c r="IA258" s="3271"/>
      <c r="IB258" s="3272"/>
      <c r="IC258" s="3272">
        <v>0</v>
      </c>
      <c r="ID258" s="3272"/>
      <c r="IE258" s="3273"/>
      <c r="IF258" s="2763"/>
      <c r="IG258" s="3275">
        <f>(GF258+GK258+GP258)</f>
        <v>0</v>
      </c>
      <c r="IH258" s="3274"/>
      <c r="II258" s="3273"/>
      <c r="IJ258" s="2763"/>
      <c r="IK258" s="3275">
        <f>(GJ258+GO258+GT258)</f>
        <v>0</v>
      </c>
      <c r="IL258" s="3274"/>
      <c r="IM258" s="3273"/>
      <c r="IN258" s="2763"/>
      <c r="IO258" s="3275">
        <f>(GN258+GS258+GX258)</f>
        <v>0</v>
      </c>
      <c r="IP258" s="3274"/>
      <c r="IR258" s="3276"/>
      <c r="IS258" s="3272"/>
      <c r="IT258" s="3272"/>
      <c r="IU258" s="3272">
        <v>0</v>
      </c>
      <c r="IV258" s="3277"/>
      <c r="IW258" s="3271"/>
      <c r="IX258" s="3272"/>
      <c r="IY258" s="3272"/>
      <c r="IZ258" s="3309">
        <v>0</v>
      </c>
      <c r="JA258" s="3278"/>
      <c r="JB258" s="3279"/>
      <c r="JC258" s="2126"/>
      <c r="JD258" s="2126"/>
      <c r="JE258" s="3309">
        <v>0</v>
      </c>
      <c r="JF258" s="3280"/>
      <c r="JG258" s="3297"/>
      <c r="JH258" s="2619"/>
      <c r="JI258" s="2619"/>
      <c r="JJ258" s="2619"/>
      <c r="JK258" s="1243"/>
      <c r="JL258" s="2620"/>
      <c r="JM258" s="1850"/>
      <c r="JN258" s="1850"/>
      <c r="JO258" s="3267"/>
      <c r="JP258" s="3268"/>
      <c r="JQ258" s="3281"/>
      <c r="JR258" s="1850"/>
      <c r="JS258" s="1850"/>
      <c r="JT258" s="1850"/>
      <c r="JU258" s="3268"/>
      <c r="JV258" s="3310"/>
      <c r="JW258" s="1850"/>
      <c r="JX258" s="1850"/>
      <c r="JY258" s="1850"/>
      <c r="JZ258" s="3268"/>
      <c r="KA258" s="3307"/>
      <c r="KB258" s="1850"/>
      <c r="KC258" s="1850"/>
      <c r="KD258" s="1850"/>
      <c r="KE258" s="3268"/>
      <c r="KF258" s="1849"/>
      <c r="KG258" s="1850"/>
      <c r="KH258" s="1850"/>
      <c r="KI258" s="1850"/>
      <c r="KJ258" s="3268"/>
      <c r="KK258" s="3311"/>
      <c r="KL258" s="3312"/>
      <c r="KM258" s="3312"/>
      <c r="KN258" s="1850"/>
      <c r="KO258" s="3313"/>
      <c r="KP258" s="3307"/>
      <c r="KQ258" s="1850"/>
      <c r="KR258" s="1850"/>
      <c r="KS258" s="1850">
        <v>0</v>
      </c>
      <c r="KT258" s="3268"/>
      <c r="KU258" s="357"/>
      <c r="KV258" s="358"/>
      <c r="KW258" s="358"/>
      <c r="KX258" s="358">
        <f>13543184*15%</f>
        <v>2031477.5999999999</v>
      </c>
      <c r="KY258" s="2773"/>
      <c r="KZ258" s="2889"/>
      <c r="LA258" s="2641"/>
      <c r="LB258" s="2641"/>
      <c r="LC258" s="358">
        <f t="shared" si="885"/>
        <v>2031477.5999999999</v>
      </c>
      <c r="LD258" s="2693"/>
      <c r="LE258" s="3246"/>
      <c r="LF258" s="3272"/>
      <c r="LG258" s="3272">
        <v>0</v>
      </c>
      <c r="LH258" s="3286"/>
      <c r="LI258" s="3287"/>
      <c r="LJ258" s="2763"/>
      <c r="LK258" s="3275">
        <f>(JJ258+JO258+JT258)</f>
        <v>0</v>
      </c>
      <c r="LL258" s="3274"/>
      <c r="LM258" s="3288"/>
      <c r="LN258" s="2763"/>
      <c r="LO258" s="3275">
        <f>(JN258+JS258+JX258)</f>
        <v>0</v>
      </c>
      <c r="LP258" s="3274"/>
      <c r="LQ258" s="3273"/>
      <c r="LR258" s="2763"/>
      <c r="LS258" s="3275">
        <f>(JR258+JW258+KB258)</f>
        <v>0</v>
      </c>
      <c r="LT258" s="3274"/>
      <c r="LV258" s="2883"/>
      <c r="LW258" s="2641"/>
      <c r="LX258" s="2641"/>
      <c r="LY258" s="457">
        <v>0</v>
      </c>
      <c r="LZ258" s="3298"/>
      <c r="MA258" s="2889"/>
      <c r="MB258" s="2641"/>
      <c r="MC258" s="2641"/>
      <c r="MD258" s="457">
        <v>0</v>
      </c>
      <c r="ME258" s="3299"/>
      <c r="MF258" s="2883"/>
      <c r="MG258" s="2641"/>
      <c r="MH258" s="2641"/>
      <c r="MI258" s="457">
        <v>0</v>
      </c>
      <c r="MJ258" s="2653"/>
      <c r="MK258" s="3300"/>
      <c r="ML258" s="2641"/>
      <c r="MM258" s="2641"/>
      <c r="MN258" s="457">
        <v>0</v>
      </c>
      <c r="MO258" s="2653"/>
      <c r="MP258" s="3300"/>
      <c r="MQ258" s="2641"/>
      <c r="MR258" s="2641"/>
      <c r="MS258" s="2652"/>
      <c r="MT258" s="375"/>
      <c r="MU258" s="404"/>
      <c r="MV258" s="2150"/>
      <c r="MW258" s="2150"/>
      <c r="MX258" s="435">
        <v>0</v>
      </c>
      <c r="MY258" s="375"/>
      <c r="MZ258" s="404"/>
      <c r="NA258" s="2150"/>
      <c r="NB258" s="2150"/>
      <c r="NC258" s="435">
        <v>0</v>
      </c>
      <c r="ND258" s="375"/>
      <c r="NE258" s="404"/>
      <c r="NF258" s="2150"/>
      <c r="NG258" s="2150"/>
      <c r="NH258" s="435">
        <v>0</v>
      </c>
      <c r="NI258" s="375"/>
      <c r="NJ258" s="2883"/>
      <c r="NK258" s="2641"/>
      <c r="NL258" s="2652"/>
      <c r="NM258" s="435">
        <v>0</v>
      </c>
      <c r="NN258" s="375"/>
      <c r="NO258" s="2889"/>
      <c r="NP258" s="2641"/>
      <c r="NQ258" s="2652"/>
      <c r="NR258" s="2150">
        <v>0</v>
      </c>
      <c r="NS258" s="375"/>
      <c r="NT258" s="1596"/>
      <c r="NU258" s="435"/>
      <c r="NV258" s="435"/>
      <c r="NW258" s="435">
        <v>0</v>
      </c>
      <c r="NX258" s="117"/>
      <c r="NY258" s="2635"/>
      <c r="NZ258" s="2150"/>
      <c r="OA258" s="2150"/>
      <c r="OB258" s="435">
        <f>6450390*15%</f>
        <v>967558.5</v>
      </c>
      <c r="OC258" s="375"/>
      <c r="OD258" s="1022"/>
      <c r="OE258" s="1568"/>
      <c r="OF258" s="1568"/>
      <c r="OG258" s="358">
        <f t="shared" si="876"/>
        <v>967558.5</v>
      </c>
      <c r="OH258" s="1872"/>
      <c r="OI258" s="1116"/>
      <c r="OJ258" s="2619"/>
      <c r="OK258" s="2619"/>
      <c r="OL258" s="2619"/>
      <c r="OM258" s="2643"/>
      <c r="ON258" s="1116"/>
      <c r="OO258" s="2619"/>
      <c r="OP258" s="2619"/>
      <c r="OQ258" s="2619"/>
      <c r="OR258" s="2643"/>
      <c r="OS258" s="2889"/>
      <c r="OT258" s="2641"/>
      <c r="OU258" s="2641"/>
      <c r="OV258" s="2641"/>
      <c r="OW258" s="1600"/>
      <c r="OX258" s="2889"/>
      <c r="OY258" s="2641"/>
      <c r="OZ258" s="2641"/>
      <c r="PA258" s="2641"/>
      <c r="PB258" s="1600"/>
      <c r="PD258" s="1567"/>
      <c r="PE258" s="1568"/>
      <c r="PF258" s="1568"/>
      <c r="PG258" s="358">
        <v>0</v>
      </c>
      <c r="PH258" s="2944"/>
      <c r="PI258" s="1022"/>
      <c r="PJ258" s="1568"/>
      <c r="PK258" s="1568"/>
      <c r="PL258" s="3234">
        <v>0</v>
      </c>
      <c r="PM258" s="3194"/>
      <c r="PN258" s="1567"/>
      <c r="PO258" s="1568"/>
      <c r="PP258" s="1568"/>
      <c r="PQ258" s="3234">
        <v>0</v>
      </c>
      <c r="PR258" s="2674"/>
      <c r="PS258" s="3219"/>
      <c r="PT258" s="1568"/>
      <c r="PU258" s="1568"/>
      <c r="PV258" s="3234">
        <v>0</v>
      </c>
      <c r="PW258" s="2674"/>
      <c r="PX258" s="3221"/>
      <c r="PY258" s="358"/>
      <c r="PZ258" s="358"/>
      <c r="QA258" s="359">
        <v>0</v>
      </c>
      <c r="QB258" s="114"/>
      <c r="QC258" s="405"/>
      <c r="QD258" s="1575"/>
      <c r="QE258" s="1575"/>
      <c r="QF258" s="1575">
        <v>0</v>
      </c>
      <c r="QG258" s="83"/>
      <c r="QH258" s="405"/>
      <c r="QI258" s="1575"/>
      <c r="QJ258" s="1575"/>
      <c r="QK258" s="208">
        <v>0</v>
      </c>
      <c r="QL258" s="83"/>
      <c r="QM258" s="405"/>
      <c r="QN258" s="1575"/>
      <c r="QO258" s="1575"/>
      <c r="QP258" s="208">
        <v>0</v>
      </c>
      <c r="QQ258" s="83"/>
      <c r="QR258" s="1567"/>
      <c r="QS258" s="1568"/>
      <c r="QT258" s="1871"/>
      <c r="QU258" s="208">
        <v>0</v>
      </c>
      <c r="QV258" s="222"/>
      <c r="QW258" s="1022"/>
      <c r="QX258" s="1568"/>
      <c r="QY258" s="1871"/>
      <c r="QZ258" s="1575">
        <v>0</v>
      </c>
      <c r="RA258" s="83"/>
      <c r="RB258" s="209"/>
      <c r="RC258" s="208"/>
      <c r="RD258" s="208"/>
      <c r="RE258" s="208">
        <v>0</v>
      </c>
      <c r="RF258" s="114"/>
      <c r="RG258" s="405"/>
      <c r="RH258" s="1575"/>
      <c r="RI258" s="1575"/>
      <c r="RJ258" s="1575">
        <f>6450390*25%</f>
        <v>1612597.5</v>
      </c>
      <c r="RK258" s="114"/>
      <c r="RL258" s="1022"/>
      <c r="RM258" s="1568"/>
      <c r="RN258" s="1568"/>
      <c r="RO258" s="1568">
        <f t="shared" si="877"/>
        <v>1612597.5</v>
      </c>
      <c r="RP258" s="1872"/>
      <c r="RQ258" s="1116"/>
      <c r="RR258" s="2619"/>
      <c r="RS258" s="2619"/>
      <c r="RT258" s="3227">
        <f t="shared" si="881"/>
        <v>0</v>
      </c>
      <c r="RU258" s="2643"/>
      <c r="RV258" s="1116"/>
      <c r="RW258" s="2619"/>
      <c r="RX258" s="2619"/>
      <c r="RY258" s="3223">
        <f t="shared" si="878"/>
        <v>0</v>
      </c>
      <c r="RZ258" s="2643"/>
      <c r="SA258" s="2889"/>
      <c r="SB258" s="2641"/>
      <c r="SC258" s="2641"/>
      <c r="SD258" s="3223">
        <f t="shared" si="879"/>
        <v>0</v>
      </c>
      <c r="SE258" s="1600"/>
      <c r="SF258" s="2889"/>
      <c r="SG258" s="2641"/>
      <c r="SH258" s="2641"/>
      <c r="SI258" s="358">
        <f t="shared" si="882"/>
        <v>1612597.5</v>
      </c>
      <c r="SJ258" s="1600"/>
      <c r="SL258" s="1567"/>
      <c r="SM258" s="1568"/>
      <c r="SN258" s="1568"/>
      <c r="SO258" s="457">
        <v>200000</v>
      </c>
      <c r="SP258" s="2944"/>
      <c r="SQ258" s="1022"/>
      <c r="SR258" s="1568"/>
      <c r="SS258" s="1568"/>
      <c r="ST258" s="457">
        <v>200000</v>
      </c>
      <c r="SU258" s="3194"/>
      <c r="SV258" s="1857"/>
      <c r="SW258" s="358"/>
      <c r="SX258" s="358"/>
      <c r="SY258" s="457">
        <v>150000</v>
      </c>
      <c r="SZ258" s="2563"/>
      <c r="TA258" s="3221"/>
      <c r="TB258" s="358"/>
      <c r="TC258" s="358"/>
      <c r="TD258" s="4158">
        <v>0</v>
      </c>
      <c r="TE258" s="2563"/>
      <c r="TF258" s="3221"/>
      <c r="TG258" s="358"/>
      <c r="TH258" s="358"/>
      <c r="TI258" s="4158">
        <v>0</v>
      </c>
      <c r="TJ258" s="114"/>
      <c r="TK258" s="405"/>
      <c r="TL258" s="1575"/>
      <c r="TM258" s="1575"/>
      <c r="TN258" s="4158">
        <v>0</v>
      </c>
      <c r="TO258" s="83"/>
      <c r="TP258" s="4506"/>
      <c r="TQ258" s="1575"/>
      <c r="TR258" s="1575"/>
      <c r="TS258" s="4158">
        <v>0</v>
      </c>
      <c r="TT258" s="83"/>
      <c r="TU258" s="4506"/>
      <c r="TV258" s="1575"/>
      <c r="TW258" s="1575"/>
      <c r="TX258" s="5301">
        <v>0</v>
      </c>
      <c r="TY258" s="83"/>
      <c r="TZ258" s="1567"/>
      <c r="UA258" s="1568"/>
      <c r="UB258" s="1871"/>
      <c r="UC258" s="1575">
        <v>0</v>
      </c>
      <c r="UD258" s="222"/>
      <c r="UE258" s="1022"/>
      <c r="UF258" s="1568"/>
      <c r="UG258" s="1871"/>
      <c r="UH258" s="1575">
        <v>0</v>
      </c>
      <c r="UI258" s="83"/>
      <c r="UJ258" s="209"/>
      <c r="UK258" s="208"/>
      <c r="UL258" s="208"/>
      <c r="UM258" s="359">
        <v>0</v>
      </c>
      <c r="UN258" s="114"/>
      <c r="UO258" s="405"/>
      <c r="UP258" s="1575"/>
      <c r="UQ258" s="1575"/>
      <c r="UR258" s="1575">
        <v>0</v>
      </c>
      <c r="US258" s="114"/>
      <c r="UT258" s="1868"/>
      <c r="UU258" s="1575"/>
      <c r="UV258" s="1575"/>
      <c r="UW258" s="208">
        <f t="shared" si="883"/>
        <v>550000</v>
      </c>
      <c r="UX258" s="83"/>
      <c r="UY258" s="1116"/>
      <c r="UZ258" s="2619"/>
      <c r="VA258" s="2619"/>
      <c r="VB258" s="3222">
        <f t="shared" si="884"/>
        <v>550000</v>
      </c>
      <c r="VC258" s="2643"/>
      <c r="VD258" s="1116"/>
      <c r="VE258" s="2619"/>
      <c r="VF258" s="2619"/>
      <c r="VG258" s="2619"/>
      <c r="VH258" s="2643"/>
      <c r="VI258" s="2889"/>
      <c r="VJ258" s="2641"/>
      <c r="VK258" s="2641"/>
      <c r="VL258" s="2641"/>
      <c r="VM258" s="1600"/>
      <c r="VN258" s="2889"/>
      <c r="VO258" s="2641"/>
      <c r="VP258" s="2641"/>
      <c r="VQ258" s="2641"/>
      <c r="VR258" s="1600"/>
    </row>
    <row r="259" spans="1:590" s="453" customFormat="1" ht="13.45" x14ac:dyDescent="0.3">
      <c r="A259" s="2616"/>
      <c r="B259" s="3169"/>
      <c r="C259" s="6512" t="s">
        <v>308</v>
      </c>
      <c r="D259" s="6513"/>
      <c r="E259" s="6514"/>
      <c r="F259" s="6514"/>
      <c r="G259" s="3305"/>
      <c r="H259" s="3249"/>
      <c r="I259" s="3250"/>
      <c r="J259" s="3250"/>
      <c r="K259" s="3250"/>
      <c r="L259" s="3251"/>
      <c r="M259" s="3252"/>
      <c r="N259" s="3250"/>
      <c r="O259" s="3253"/>
      <c r="P259" s="3254"/>
      <c r="Q259" s="3251"/>
      <c r="R259" s="3252"/>
      <c r="S259" s="3250"/>
      <c r="T259" s="3250"/>
      <c r="U259" s="3250"/>
      <c r="V259" s="3251"/>
      <c r="W259" s="3252"/>
      <c r="X259" s="3250"/>
      <c r="Y259" s="3250"/>
      <c r="Z259" s="3250"/>
      <c r="AA259" s="3255"/>
      <c r="AB259" s="3252"/>
      <c r="AC259" s="3250"/>
      <c r="AD259" s="3250"/>
      <c r="AE259" s="3250"/>
      <c r="AF259" s="3255"/>
      <c r="AG259" s="3250"/>
      <c r="AH259" s="3250"/>
      <c r="AI259" s="3250"/>
      <c r="AJ259" s="3250"/>
      <c r="AK259" s="3251"/>
      <c r="AL259" s="3256"/>
      <c r="AM259" s="3256"/>
      <c r="AN259" s="3256"/>
      <c r="AO259" s="3250"/>
      <c r="AP259" s="3257"/>
      <c r="AQ259" s="3250"/>
      <c r="AR259" s="3250"/>
      <c r="AS259" s="3250"/>
      <c r="AT259" s="3250"/>
      <c r="AU259" s="3251"/>
      <c r="AV259" s="3258"/>
      <c r="AW259" s="3250"/>
      <c r="AX259" s="3250"/>
      <c r="AY259" s="3250"/>
      <c r="AZ259" s="3255"/>
      <c r="BA259" s="3258"/>
      <c r="BB259" s="3250"/>
      <c r="BC259" s="3250"/>
      <c r="BD259" s="3250"/>
      <c r="BE259" s="3255"/>
      <c r="BF259" s="3259"/>
      <c r="BG259" s="3256"/>
      <c r="BH259" s="3250"/>
      <c r="BI259" s="3250"/>
      <c r="BJ259" s="3260"/>
      <c r="BK259" s="3258"/>
      <c r="BL259" s="3250"/>
      <c r="BM259" s="3250"/>
      <c r="BN259" s="3250"/>
      <c r="BO259" s="3255"/>
      <c r="BP259" s="3250"/>
      <c r="BQ259" s="3250"/>
      <c r="BR259" s="3250"/>
      <c r="BS259" s="3250"/>
      <c r="BT259" s="3250"/>
      <c r="BU259" s="3250"/>
      <c r="BV259" s="3250"/>
      <c r="BW259" s="3251"/>
      <c r="BX259" s="3250"/>
      <c r="BY259" s="3250"/>
      <c r="BZ259" s="3250"/>
      <c r="CA259" s="3250"/>
      <c r="CB259" s="3250"/>
      <c r="CC259" s="3250"/>
      <c r="CD259" s="3250"/>
      <c r="CE259" s="3250"/>
      <c r="CF259" s="3250"/>
      <c r="CG259" s="3250"/>
      <c r="CH259" s="3250"/>
      <c r="CI259" s="3250"/>
      <c r="CJ259" s="3252"/>
      <c r="CK259" s="3250"/>
      <c r="CL259" s="3250"/>
      <c r="CM259" s="3250"/>
      <c r="CN259" s="3250"/>
      <c r="CO259" s="3252"/>
      <c r="CP259" s="3250"/>
      <c r="CQ259" s="3250"/>
      <c r="CR259" s="3250"/>
      <c r="CS259" s="3250"/>
      <c r="CT259" s="3252"/>
      <c r="CU259" s="3250"/>
      <c r="CV259" s="3250"/>
      <c r="CW259" s="3250"/>
      <c r="CX259" s="3250"/>
      <c r="CY259" s="3252"/>
      <c r="CZ259" s="3250"/>
      <c r="DA259" s="3250"/>
      <c r="DB259" s="3250"/>
      <c r="DC259" s="3250"/>
      <c r="DD259" s="3250"/>
      <c r="DE259" s="3250"/>
      <c r="DF259" s="3250"/>
      <c r="DG259" s="3250"/>
      <c r="DH259" s="3252"/>
      <c r="DI259" s="3252"/>
      <c r="DJ259" s="3250"/>
      <c r="DK259" s="3250"/>
      <c r="DL259" s="3250"/>
      <c r="DM259" s="3252"/>
      <c r="DN259" s="3252"/>
      <c r="DO259" s="3250"/>
      <c r="DP259" s="3250"/>
      <c r="DQ259" s="3250"/>
      <c r="DR259" s="3252"/>
      <c r="DS259" s="3252"/>
      <c r="DT259" s="3250"/>
      <c r="DU259" s="3250"/>
      <c r="DV259" s="3250"/>
      <c r="DW259" s="3250"/>
      <c r="DX259" s="3252"/>
      <c r="DY259" s="3250"/>
      <c r="DZ259" s="3250"/>
      <c r="EA259" s="3250"/>
      <c r="EB259" s="3255"/>
      <c r="EC259" s="3252"/>
      <c r="ED259" s="3250"/>
      <c r="EE259" s="3250"/>
      <c r="EF259" s="3250"/>
      <c r="EG259" s="3252"/>
      <c r="EH259" s="3250"/>
      <c r="EI259" s="3250"/>
      <c r="EJ259" s="3250"/>
      <c r="EK259" s="3250"/>
      <c r="EL259" s="3250"/>
      <c r="EM259" s="3261"/>
      <c r="EN259" s="2124"/>
      <c r="EO259" s="2124"/>
      <c r="EP259" s="2124"/>
      <c r="EQ259" s="2124"/>
      <c r="ER259" s="3250"/>
      <c r="ES259" s="3250"/>
      <c r="ET259" s="3250"/>
      <c r="EU259" s="3250"/>
      <c r="EV259" s="3250"/>
      <c r="EW259" s="3252"/>
      <c r="EX259" s="3250"/>
      <c r="EY259" s="3250"/>
      <c r="EZ259" s="3250"/>
      <c r="FA259" s="3250"/>
      <c r="FB259" s="3250"/>
      <c r="FC259" s="3250"/>
      <c r="FD259" s="3250"/>
      <c r="FE259" s="3250"/>
      <c r="FF259" s="3250"/>
      <c r="FG259" s="3250"/>
      <c r="FH259" s="3250"/>
      <c r="FI259" s="3250"/>
      <c r="FJ259" s="3250"/>
      <c r="FK259" s="3250"/>
      <c r="FL259" s="3250"/>
      <c r="FM259" s="3250"/>
      <c r="FN259" s="3252"/>
      <c r="FO259" s="3250"/>
      <c r="FP259" s="3250"/>
      <c r="FQ259" s="2124"/>
      <c r="FR259" s="3262"/>
      <c r="FS259" s="3249"/>
      <c r="FT259" s="3250"/>
      <c r="FU259" s="3250"/>
      <c r="FV259" s="3263"/>
      <c r="FW259" s="3264"/>
      <c r="FX259" s="3265"/>
      <c r="FY259" s="2124"/>
      <c r="FZ259" s="2124"/>
      <c r="GA259" s="2124"/>
      <c r="GB259" s="3266"/>
      <c r="GC259" s="3273"/>
      <c r="GD259" s="2763"/>
      <c r="GE259" s="2763"/>
      <c r="GF259" s="1850"/>
      <c r="GG259" s="2764"/>
      <c r="GH259" s="2917"/>
      <c r="GI259" s="1850"/>
      <c r="GJ259" s="1850"/>
      <c r="GK259" s="3267"/>
      <c r="GL259" s="3268"/>
      <c r="GM259" s="2049"/>
      <c r="GN259" s="1850"/>
      <c r="GO259" s="1850"/>
      <c r="GP259" s="3267"/>
      <c r="GQ259" s="1119"/>
      <c r="GR259" s="3269"/>
      <c r="GS259" s="1978"/>
      <c r="GT259" s="1978"/>
      <c r="GU259" s="1978"/>
      <c r="GV259" s="3270"/>
      <c r="GW259" s="3269"/>
      <c r="GX259" s="1978"/>
      <c r="GY259" s="1978"/>
      <c r="GZ259" s="1978"/>
      <c r="HA259" s="3270"/>
      <c r="HB259" s="3269"/>
      <c r="HC259" s="1978"/>
      <c r="HD259" s="1978"/>
      <c r="HE259" s="1978"/>
      <c r="HF259" s="3270"/>
      <c r="HG259" s="3269"/>
      <c r="HH259" s="1978"/>
      <c r="HI259" s="1978"/>
      <c r="HJ259" s="1978"/>
      <c r="HK259" s="3270"/>
      <c r="HL259" s="3269"/>
      <c r="HM259" s="1978"/>
      <c r="HN259" s="1978"/>
      <c r="HO259" s="1978"/>
      <c r="HP259" s="3270"/>
      <c r="HQ259" s="2887"/>
      <c r="HR259" s="2886"/>
      <c r="HS259" s="2886"/>
      <c r="HT259" s="2886">
        <v>0</v>
      </c>
      <c r="HU259" s="3291"/>
      <c r="HV259" s="2889"/>
      <c r="HW259" s="2641"/>
      <c r="HX259" s="2641"/>
      <c r="HY259" s="1568">
        <f>FQ259+FV259+GA259+GF259+GK259+GP259+GU259+GZ259+HE259+HJ259+HO259+HT259</f>
        <v>0</v>
      </c>
      <c r="HZ259" s="2693"/>
      <c r="IA259" s="3271"/>
      <c r="IB259" s="3272"/>
      <c r="IC259" s="3272"/>
      <c r="ID259" s="3272"/>
      <c r="IE259" s="3273"/>
      <c r="IF259" s="2763"/>
      <c r="IG259" s="3275"/>
      <c r="IH259" s="3274"/>
      <c r="II259" s="3273"/>
      <c r="IJ259" s="2763"/>
      <c r="IK259" s="358"/>
      <c r="IL259" s="3274"/>
      <c r="IM259" s="3273"/>
      <c r="IN259" s="2763"/>
      <c r="IO259" s="358"/>
      <c r="IP259" s="3274"/>
      <c r="IR259" s="3276"/>
      <c r="IS259" s="3272"/>
      <c r="IT259" s="3272"/>
      <c r="IU259" s="358">
        <f>1088050*15%</f>
        <v>163207.5</v>
      </c>
      <c r="IV259" s="3277"/>
      <c r="IW259" s="3271"/>
      <c r="IX259" s="3272"/>
      <c r="IY259" s="3272"/>
      <c r="IZ259" s="358">
        <f>1088050*15%</f>
        <v>163207.5</v>
      </c>
      <c r="JA259" s="3278"/>
      <c r="JB259" s="3279"/>
      <c r="JC259" s="2126"/>
      <c r="JD259" s="2126"/>
      <c r="JE259" s="358">
        <f>1088050*15%</f>
        <v>163207.5</v>
      </c>
      <c r="JF259" s="3280"/>
      <c r="JG259" s="3297"/>
      <c r="JH259" s="2619"/>
      <c r="JI259" s="2619"/>
      <c r="JJ259" s="358">
        <f>1088050*15%</f>
        <v>163207.5</v>
      </c>
      <c r="JK259" s="1243"/>
      <c r="JL259" s="2620"/>
      <c r="JM259" s="1850"/>
      <c r="JN259" s="1850"/>
      <c r="JO259" s="358">
        <f>698050*15%</f>
        <v>104707.5</v>
      </c>
      <c r="JP259" s="3268"/>
      <c r="JQ259" s="3281"/>
      <c r="JR259" s="1850"/>
      <c r="JS259" s="1850"/>
      <c r="JT259" s="358">
        <f>698050*15%</f>
        <v>104707.5</v>
      </c>
      <c r="JU259" s="3268"/>
      <c r="JV259" s="3282"/>
      <c r="JW259" s="1978"/>
      <c r="JX259" s="1978"/>
      <c r="JY259" s="358">
        <f>698050*15%</f>
        <v>104707.5</v>
      </c>
      <c r="JZ259" s="3270"/>
      <c r="KA259" s="3269"/>
      <c r="KB259" s="1978"/>
      <c r="KC259" s="1978"/>
      <c r="KD259" s="358">
        <f>698050*15%</f>
        <v>104707.5</v>
      </c>
      <c r="KE259" s="3270"/>
      <c r="KF259" s="2516"/>
      <c r="KG259" s="1978"/>
      <c r="KH259" s="1978"/>
      <c r="KI259" s="358">
        <f>698000*15%</f>
        <v>104700</v>
      </c>
      <c r="KJ259" s="3270"/>
      <c r="KK259" s="3283"/>
      <c r="KL259" s="3284"/>
      <c r="KM259" s="3284"/>
      <c r="KN259" s="358">
        <f>698030*15%</f>
        <v>104704.5</v>
      </c>
      <c r="KO259" s="3285"/>
      <c r="KP259" s="3269"/>
      <c r="KQ259" s="1978"/>
      <c r="KR259" s="1978"/>
      <c r="KS259" s="358">
        <f>698050*15%</f>
        <v>104707.5</v>
      </c>
      <c r="KT259" s="3270"/>
      <c r="KU259" s="357"/>
      <c r="KV259" s="358"/>
      <c r="KW259" s="358"/>
      <c r="KX259" s="358">
        <f>688050*15%+26788</f>
        <v>129995.5</v>
      </c>
      <c r="KY259" s="2773"/>
      <c r="KZ259" s="2889"/>
      <c r="LA259" s="2641"/>
      <c r="LB259" s="2641"/>
      <c r="LC259" s="358">
        <f t="shared" si="885"/>
        <v>1515767.5</v>
      </c>
      <c r="LD259" s="2693"/>
      <c r="LE259" s="3246"/>
      <c r="LF259" s="3272"/>
      <c r="LG259" s="3272"/>
      <c r="LH259" s="3286"/>
      <c r="LI259" s="3287"/>
      <c r="LJ259" s="2763"/>
      <c r="LK259" s="3275"/>
      <c r="LL259" s="3274"/>
      <c r="LM259" s="3288"/>
      <c r="LN259" s="2763"/>
      <c r="LO259" s="3275"/>
      <c r="LP259" s="3274"/>
      <c r="LQ259" s="3273"/>
      <c r="LR259" s="2763"/>
      <c r="LS259" s="3275"/>
      <c r="LT259" s="3274"/>
      <c r="LV259" s="2883"/>
      <c r="LW259" s="2641"/>
      <c r="LX259" s="2641"/>
      <c r="LY259" s="457">
        <f>688010*18%</f>
        <v>123841.79999999999</v>
      </c>
      <c r="LZ259" s="3298"/>
      <c r="MA259" s="2889"/>
      <c r="MB259" s="2641"/>
      <c r="MC259" s="2641"/>
      <c r="MD259" s="457">
        <f>600050*18%</f>
        <v>108009</v>
      </c>
      <c r="ME259" s="3299"/>
      <c r="MF259" s="2883"/>
      <c r="MG259" s="2641"/>
      <c r="MH259" s="2641"/>
      <c r="MI259" s="457">
        <f>508050*18%</f>
        <v>91449</v>
      </c>
      <c r="MJ259" s="2653"/>
      <c r="MK259" s="3300"/>
      <c r="ML259" s="2641"/>
      <c r="MM259" s="2641"/>
      <c r="MN259" s="457">
        <f>488050*18%</f>
        <v>87849</v>
      </c>
      <c r="MO259" s="2653"/>
      <c r="MP259" s="3300"/>
      <c r="MQ259" s="2641"/>
      <c r="MR259" s="2641"/>
      <c r="MS259" s="2634">
        <f>588600*15%</f>
        <v>88290</v>
      </c>
      <c r="MT259" s="375"/>
      <c r="MU259" s="404"/>
      <c r="MV259" s="2150"/>
      <c r="MW259" s="2150"/>
      <c r="MX259" s="435">
        <f>578938*15%</f>
        <v>86840.7</v>
      </c>
      <c r="MY259" s="375"/>
      <c r="MZ259" s="404"/>
      <c r="NA259" s="2150"/>
      <c r="NB259" s="2150"/>
      <c r="NC259" s="435">
        <f>568930*15%</f>
        <v>85339.5</v>
      </c>
      <c r="ND259" s="375"/>
      <c r="NE259" s="404"/>
      <c r="NF259" s="2150"/>
      <c r="NG259" s="2150"/>
      <c r="NH259" s="435">
        <f>517399*15%</f>
        <v>77609.849999999991</v>
      </c>
      <c r="NI259" s="375"/>
      <c r="NJ259" s="2883"/>
      <c r="NK259" s="2641"/>
      <c r="NL259" s="2652"/>
      <c r="NM259" s="435">
        <f>527300*15%</f>
        <v>79095</v>
      </c>
      <c r="NN259" s="375"/>
      <c r="NO259" s="2889"/>
      <c r="NP259" s="2641"/>
      <c r="NQ259" s="2652"/>
      <c r="NR259" s="435">
        <f>597300*15%</f>
        <v>89595</v>
      </c>
      <c r="NS259" s="375"/>
      <c r="NT259" s="1596"/>
      <c r="NU259" s="435"/>
      <c r="NV259" s="435"/>
      <c r="NW259" s="435">
        <f>517300*15%</f>
        <v>77595</v>
      </c>
      <c r="NX259" s="117"/>
      <c r="NY259" s="2635"/>
      <c r="NZ259" s="2150"/>
      <c r="OA259" s="2150"/>
      <c r="OB259" s="435">
        <f>510420*15%+224410</f>
        <v>300973</v>
      </c>
      <c r="OC259" s="375"/>
      <c r="OD259" s="2889"/>
      <c r="OE259" s="2641"/>
      <c r="OF259" s="2641"/>
      <c r="OG259" s="358">
        <f>OB259+NW259+NR259+NM259+NH259+NC259+MX259+MS259+MN259+MI259+MD259+LY259</f>
        <v>1296486.8499999999</v>
      </c>
      <c r="OH259" s="3304"/>
      <c r="OI259" s="1116"/>
      <c r="OJ259" s="2619"/>
      <c r="OK259" s="2619"/>
      <c r="OL259" s="2619"/>
      <c r="OM259" s="2643"/>
      <c r="ON259" s="1116"/>
      <c r="OO259" s="2619"/>
      <c r="OP259" s="2619"/>
      <c r="OQ259" s="2619"/>
      <c r="OR259" s="2643"/>
      <c r="OS259" s="2889"/>
      <c r="OT259" s="2641"/>
      <c r="OU259" s="2641"/>
      <c r="OV259" s="2641"/>
      <c r="OW259" s="1600"/>
      <c r="OX259" s="2889"/>
      <c r="OY259" s="2641"/>
      <c r="OZ259" s="2641"/>
      <c r="PA259" s="2641"/>
      <c r="PB259" s="1600"/>
      <c r="PD259" s="2883"/>
      <c r="PE259" s="2641"/>
      <c r="PF259" s="2641"/>
      <c r="PG259" s="1585">
        <f>(559316*15%)</f>
        <v>83897.4</v>
      </c>
      <c r="PH259" s="3301"/>
      <c r="PI259" s="2889"/>
      <c r="PJ259" s="2641"/>
      <c r="PK259" s="2641"/>
      <c r="PL259" s="457">
        <f>(279284*15%)</f>
        <v>41892.6</v>
      </c>
      <c r="PM259" s="3299"/>
      <c r="PN259" s="2883"/>
      <c r="PO259" s="2641"/>
      <c r="PP259" s="2641"/>
      <c r="PQ259" s="457">
        <f>(279284*15%)</f>
        <v>41892.6</v>
      </c>
      <c r="PR259" s="2653"/>
      <c r="PS259" s="3300"/>
      <c r="PT259" s="2641"/>
      <c r="PU259" s="2641"/>
      <c r="PV259" s="358">
        <f>272995*15%</f>
        <v>40949.25</v>
      </c>
      <c r="PW259" s="2653"/>
      <c r="PX259" s="3302"/>
      <c r="PY259" s="1585"/>
      <c r="PZ259" s="1585"/>
      <c r="QA259" s="2634">
        <f>588600*15%</f>
        <v>88290</v>
      </c>
      <c r="QB259" s="117"/>
      <c r="QC259" s="404"/>
      <c r="QD259" s="2150"/>
      <c r="QE259" s="2150"/>
      <c r="QF259" s="435">
        <f>352674*15%+33939</f>
        <v>86840.1</v>
      </c>
      <c r="QG259" s="375"/>
      <c r="QH259" s="404"/>
      <c r="QI259" s="2150"/>
      <c r="QJ259" s="2150"/>
      <c r="QK259" s="435">
        <f>1125676*15%</f>
        <v>168851.4</v>
      </c>
      <c r="QL259" s="375"/>
      <c r="QM259" s="404"/>
      <c r="QN259" s="2150"/>
      <c r="QO259" s="2150"/>
      <c r="QP259" s="435">
        <f>694483*20%</f>
        <v>138896.6</v>
      </c>
      <c r="QQ259" s="375"/>
      <c r="QR259" s="2883"/>
      <c r="QS259" s="2641"/>
      <c r="QT259" s="2652"/>
      <c r="QU259" s="435">
        <f>608834*20%</f>
        <v>121766.8</v>
      </c>
      <c r="QV259" s="2958"/>
      <c r="QW259" s="2889"/>
      <c r="QX259" s="2641"/>
      <c r="QY259" s="2652"/>
      <c r="QZ259" s="435">
        <f>608834*50%</f>
        <v>304417</v>
      </c>
      <c r="RA259" s="375"/>
      <c r="RB259" s="1596"/>
      <c r="RC259" s="435"/>
      <c r="RD259" s="435"/>
      <c r="RE259" s="435">
        <f>681691*40%</f>
        <v>272676.40000000002</v>
      </c>
      <c r="RF259" s="117"/>
      <c r="RG259" s="405"/>
      <c r="RH259" s="1575"/>
      <c r="RI259" s="1575"/>
      <c r="RJ259" s="1575">
        <f>688951*40%</f>
        <v>275580.40000000002</v>
      </c>
      <c r="RK259" s="117"/>
      <c r="RL259" s="2889"/>
      <c r="RM259" s="2641"/>
      <c r="RN259" s="2641"/>
      <c r="RO259" s="1568">
        <f>RJ259+RE259+QZ259+QU259+QP259+QK259+QF259+QA259+PV259+PQ259+PL259+PG259</f>
        <v>1665950.5500000003</v>
      </c>
      <c r="RP259" s="3304"/>
      <c r="RQ259" s="1116"/>
      <c r="RR259" s="2619"/>
      <c r="RS259" s="2619"/>
      <c r="RT259" s="3227">
        <f t="shared" si="881"/>
        <v>83785.2</v>
      </c>
      <c r="RU259" s="2643"/>
      <c r="RV259" s="1116"/>
      <c r="RW259" s="2619"/>
      <c r="RX259" s="2619"/>
      <c r="RY259" s="3223">
        <f t="shared" si="878"/>
        <v>394588.1</v>
      </c>
      <c r="RZ259" s="2643"/>
      <c r="SA259" s="2889"/>
      <c r="SB259" s="2641"/>
      <c r="SC259" s="2641"/>
      <c r="SD259" s="3223">
        <f t="shared" si="879"/>
        <v>429514.80000000005</v>
      </c>
      <c r="SE259" s="1600"/>
      <c r="SF259" s="2889"/>
      <c r="SG259" s="2641"/>
      <c r="SH259" s="2641"/>
      <c r="SI259" s="358">
        <f t="shared" si="882"/>
        <v>852673.8</v>
      </c>
      <c r="SJ259" s="1600"/>
      <c r="SL259" s="1567"/>
      <c r="SM259" s="1568"/>
      <c r="SN259" s="1568"/>
      <c r="SO259" s="359">
        <f>1469518*25%</f>
        <v>367379.5</v>
      </c>
      <c r="SP259" s="2944"/>
      <c r="SQ259" s="1022"/>
      <c r="SR259" s="1568"/>
      <c r="SS259" s="1568"/>
      <c r="ST259" s="3234">
        <f>1029512*25%</f>
        <v>257378</v>
      </c>
      <c r="SU259" s="3299"/>
      <c r="SV259" s="1857"/>
      <c r="SW259" s="358"/>
      <c r="SX259" s="358"/>
      <c r="SY259" s="3234">
        <f>679423*25%</f>
        <v>169855.75</v>
      </c>
      <c r="SZ259" s="2563"/>
      <c r="TA259" s="3221"/>
      <c r="TB259" s="358"/>
      <c r="TC259" s="358"/>
      <c r="TD259" s="3234">
        <f>685364*25%</f>
        <v>171341</v>
      </c>
      <c r="TE259" s="2563"/>
      <c r="TF259" s="3221"/>
      <c r="TG259" s="358"/>
      <c r="TH259" s="358"/>
      <c r="TI259" s="3234">
        <f>1388285*30%</f>
        <v>416485.5</v>
      </c>
      <c r="TJ259" s="114"/>
      <c r="TK259" s="405"/>
      <c r="TL259" s="1575"/>
      <c r="TM259" s="1575"/>
      <c r="TN259" s="3234">
        <f>1288285*30%</f>
        <v>386485.5</v>
      </c>
      <c r="TO259" s="83"/>
      <c r="TP259" s="4506"/>
      <c r="TQ259" s="1575"/>
      <c r="TR259" s="1575"/>
      <c r="TS259" s="3234">
        <f>1588285*30%</f>
        <v>476485.5</v>
      </c>
      <c r="TT259" s="375"/>
      <c r="TU259" s="4506"/>
      <c r="TV259" s="1575"/>
      <c r="TW259" s="1575"/>
      <c r="TX259" s="3218">
        <f>1608280*30%</f>
        <v>482484</v>
      </c>
      <c r="TY259" s="375"/>
      <c r="TZ259" s="1567"/>
      <c r="UA259" s="1568"/>
      <c r="UB259" s="1871"/>
      <c r="UC259" s="3218">
        <f>1306706*30%</f>
        <v>392011.8</v>
      </c>
      <c r="UD259" s="222"/>
      <c r="UE259" s="1022"/>
      <c r="UF259" s="1568"/>
      <c r="UG259" s="1871"/>
      <c r="UH259" s="3218">
        <f>844245*30%</f>
        <v>253273.5</v>
      </c>
      <c r="UI259" s="83"/>
      <c r="UJ259" s="1596"/>
      <c r="UK259" s="435"/>
      <c r="UL259" s="435"/>
      <c r="UM259" s="359">
        <v>0</v>
      </c>
      <c r="UN259" s="117"/>
      <c r="UO259" s="405"/>
      <c r="UP259" s="1575"/>
      <c r="UQ259" s="1575"/>
      <c r="UR259" s="1575">
        <v>0</v>
      </c>
      <c r="US259" s="117"/>
      <c r="UT259" s="1868"/>
      <c r="UU259" s="1575"/>
      <c r="UV259" s="1575"/>
      <c r="UW259" s="208">
        <f>UR259+UM259+UH259+UC259+TX259+TS259+TN259+TI259+TD259+SY259+ST259+SO259</f>
        <v>3373180.05</v>
      </c>
      <c r="UX259" s="83"/>
      <c r="UY259" s="1116"/>
      <c r="UZ259" s="2619"/>
      <c r="VA259" s="2619"/>
      <c r="VB259" s="3222">
        <f t="shared" si="884"/>
        <v>794613.25</v>
      </c>
      <c r="VC259" s="2643"/>
      <c r="VD259" s="1116"/>
      <c r="VE259" s="2619"/>
      <c r="VF259" s="2619"/>
      <c r="VG259" s="2619"/>
      <c r="VH259" s="2643"/>
      <c r="VI259" s="2889"/>
      <c r="VJ259" s="2641"/>
      <c r="VK259" s="2641"/>
      <c r="VL259" s="2641"/>
      <c r="VM259" s="1600"/>
      <c r="VN259" s="2889"/>
      <c r="VO259" s="2641"/>
      <c r="VP259" s="2641"/>
      <c r="VQ259" s="2641"/>
      <c r="VR259" s="1600"/>
    </row>
    <row r="260" spans="1:590" s="453" customFormat="1" ht="14" customHeight="1" x14ac:dyDescent="0.3">
      <c r="A260" s="2616"/>
      <c r="B260" s="3195"/>
      <c r="C260" s="69" t="s">
        <v>310</v>
      </c>
      <c r="D260" s="2616"/>
      <c r="E260" s="3314"/>
      <c r="F260" s="3314"/>
      <c r="G260" s="434"/>
      <c r="H260" s="3315"/>
      <c r="I260" s="2727"/>
      <c r="J260" s="2727"/>
      <c r="K260" s="2727"/>
      <c r="L260" s="3316"/>
      <c r="M260" s="3317"/>
      <c r="N260" s="2727"/>
      <c r="O260" s="2725"/>
      <c r="P260" s="2724"/>
      <c r="Q260" s="3316"/>
      <c r="R260" s="3317"/>
      <c r="S260" s="2727"/>
      <c r="T260" s="2727"/>
      <c r="U260" s="2727"/>
      <c r="V260" s="3316"/>
      <c r="W260" s="3317"/>
      <c r="X260" s="2727"/>
      <c r="Y260" s="2727"/>
      <c r="Z260" s="2727"/>
      <c r="AA260" s="3318"/>
      <c r="AB260" s="3317"/>
      <c r="AC260" s="2727"/>
      <c r="AD260" s="2727"/>
      <c r="AE260" s="2727"/>
      <c r="AF260" s="3318"/>
      <c r="AG260" s="2727"/>
      <c r="AH260" s="2727"/>
      <c r="AI260" s="2727"/>
      <c r="AJ260" s="2727"/>
      <c r="AK260" s="3316"/>
      <c r="AL260" s="3319"/>
      <c r="AM260" s="3319"/>
      <c r="AN260" s="3319"/>
      <c r="AO260" s="3319"/>
      <c r="AP260" s="3320"/>
      <c r="AQ260" s="2727"/>
      <c r="AR260" s="2727"/>
      <c r="AS260" s="2727"/>
      <c r="AT260" s="2727"/>
      <c r="AU260" s="3316"/>
      <c r="AV260" s="3321"/>
      <c r="AW260" s="2727"/>
      <c r="AX260" s="2727"/>
      <c r="AY260" s="2727"/>
      <c r="AZ260" s="3318"/>
      <c r="BA260" s="3321"/>
      <c r="BB260" s="2727"/>
      <c r="BC260" s="2727"/>
      <c r="BD260" s="2727"/>
      <c r="BE260" s="3318"/>
      <c r="BF260" s="3322"/>
      <c r="BG260" s="3319"/>
      <c r="BH260" s="3319"/>
      <c r="BI260" s="3319"/>
      <c r="BJ260" s="3323"/>
      <c r="BK260" s="3321"/>
      <c r="BL260" s="2727"/>
      <c r="BM260" s="2727"/>
      <c r="BN260" s="2727"/>
      <c r="BO260" s="3318"/>
      <c r="BP260" s="2727"/>
      <c r="BQ260" s="2727"/>
      <c r="BR260" s="2727"/>
      <c r="BS260" s="2727"/>
      <c r="BT260" s="2727"/>
      <c r="BU260" s="2727"/>
      <c r="BV260" s="2727"/>
      <c r="BW260" s="3316"/>
      <c r="BX260" s="2727"/>
      <c r="BY260" s="2727"/>
      <c r="BZ260" s="2727"/>
      <c r="CA260" s="2727"/>
      <c r="CB260" s="2727"/>
      <c r="CC260" s="2727"/>
      <c r="CD260" s="2727"/>
      <c r="CE260" s="2727"/>
      <c r="CF260" s="2727"/>
      <c r="CG260" s="2727"/>
      <c r="CH260" s="2727"/>
      <c r="CI260" s="2727"/>
      <c r="CJ260" s="3317"/>
      <c r="CK260" s="2727"/>
      <c r="CL260" s="2727"/>
      <c r="CM260" s="3324"/>
      <c r="CN260" s="2727"/>
      <c r="CO260" s="3317"/>
      <c r="CP260" s="2727"/>
      <c r="CQ260" s="2727"/>
      <c r="CR260" s="2727"/>
      <c r="CS260" s="2727"/>
      <c r="CT260" s="3317"/>
      <c r="CU260" s="2727"/>
      <c r="CV260" s="2727"/>
      <c r="CW260" s="2727"/>
      <c r="CX260" s="2727"/>
      <c r="CY260" s="3317"/>
      <c r="CZ260" s="2727"/>
      <c r="DA260" s="2727"/>
      <c r="DB260" s="2727"/>
      <c r="DC260" s="2727"/>
      <c r="DD260" s="2727"/>
      <c r="DE260" s="2727"/>
      <c r="DF260" s="2727"/>
      <c r="DG260" s="2727"/>
      <c r="DH260" s="3317"/>
      <c r="DI260" s="3317"/>
      <c r="DJ260" s="2727"/>
      <c r="DK260" s="2727"/>
      <c r="DL260" s="2727"/>
      <c r="DM260" s="3317"/>
      <c r="DN260" s="3317"/>
      <c r="DO260" s="2727"/>
      <c r="DP260" s="2727"/>
      <c r="DQ260" s="2727"/>
      <c r="DR260" s="3317"/>
      <c r="DS260" s="3317"/>
      <c r="DT260" s="2727"/>
      <c r="DU260" s="2727"/>
      <c r="DV260" s="2727"/>
      <c r="DW260" s="2727"/>
      <c r="DX260" s="3317"/>
      <c r="DY260" s="2727"/>
      <c r="DZ260" s="2727"/>
      <c r="EA260" s="2727"/>
      <c r="EB260" s="3318"/>
      <c r="EC260" s="3317"/>
      <c r="ED260" s="2727"/>
      <c r="EE260" s="2727"/>
      <c r="EF260" s="2727"/>
      <c r="EG260" s="3317"/>
      <c r="EH260" s="2727"/>
      <c r="EI260" s="2727"/>
      <c r="EJ260" s="2727"/>
      <c r="EK260" s="2727"/>
      <c r="EL260" s="2727"/>
      <c r="EM260" s="3325"/>
      <c r="EN260" s="1126"/>
      <c r="EO260" s="1126"/>
      <c r="EP260" s="1126"/>
      <c r="EQ260" s="1126"/>
      <c r="ER260" s="2727"/>
      <c r="ES260" s="2727"/>
      <c r="ET260" s="2727"/>
      <c r="EU260" s="2727"/>
      <c r="EV260" s="2727"/>
      <c r="EW260" s="3317"/>
      <c r="EX260" s="2727"/>
      <c r="EY260" s="2727"/>
      <c r="EZ260" s="2727"/>
      <c r="FA260" s="2727"/>
      <c r="FB260" s="2727"/>
      <c r="FC260" s="2727"/>
      <c r="FD260" s="2727"/>
      <c r="FE260" s="2727"/>
      <c r="FF260" s="2727"/>
      <c r="FG260" s="2727"/>
      <c r="FH260" s="2727"/>
      <c r="FI260" s="2727"/>
      <c r="FJ260" s="2727"/>
      <c r="FK260" s="2727"/>
      <c r="FL260" s="2727"/>
      <c r="FM260" s="2727"/>
      <c r="FN260" s="3317"/>
      <c r="FO260" s="2727"/>
      <c r="FP260" s="2727"/>
      <c r="FQ260" s="2727"/>
      <c r="FR260" s="3326"/>
      <c r="FS260" s="3315"/>
      <c r="FT260" s="2727"/>
      <c r="FU260" s="2727"/>
      <c r="FV260" s="3327"/>
      <c r="FW260" s="3328"/>
      <c r="FX260" s="3329"/>
      <c r="FY260" s="1126"/>
      <c r="FZ260" s="1126"/>
      <c r="GA260" s="1126"/>
      <c r="GB260" s="3330"/>
      <c r="GC260" s="3331"/>
      <c r="GH260" s="1633"/>
      <c r="GI260" s="1978"/>
      <c r="GJ260" s="1978"/>
      <c r="GK260" s="3332"/>
      <c r="GL260" s="3270"/>
      <c r="GM260" s="823"/>
      <c r="GN260" s="1978"/>
      <c r="GO260" s="1978"/>
      <c r="GP260" s="1978"/>
      <c r="GQ260" s="1137"/>
      <c r="GR260" s="1633"/>
      <c r="GS260" s="1978"/>
      <c r="GT260" s="1978"/>
      <c r="GU260" s="1978"/>
      <c r="GV260" s="3270"/>
      <c r="GW260" s="1633"/>
      <c r="GX260" s="1978"/>
      <c r="GY260" s="1978"/>
      <c r="GZ260" s="1978"/>
      <c r="HA260" s="3270"/>
      <c r="HB260" s="1633"/>
      <c r="HC260" s="1978"/>
      <c r="HD260" s="1978"/>
      <c r="HE260" s="1978"/>
      <c r="HF260" s="3270"/>
      <c r="HG260" s="1633"/>
      <c r="HH260" s="1978"/>
      <c r="HI260" s="1978"/>
      <c r="HJ260" s="1978"/>
      <c r="HK260" s="3270"/>
      <c r="HL260" s="1633"/>
      <c r="HM260" s="1978"/>
      <c r="HN260" s="1978"/>
      <c r="HO260" s="1978"/>
      <c r="HP260" s="3270"/>
      <c r="HQ260" s="1633"/>
      <c r="HR260" s="823"/>
      <c r="HS260" s="823"/>
      <c r="HT260" s="823"/>
      <c r="HU260" s="1931"/>
      <c r="HV260" s="1134"/>
      <c r="HZ260" s="1929"/>
      <c r="IA260" s="1708"/>
      <c r="IE260" s="3333"/>
      <c r="IF260" s="3334"/>
      <c r="IG260" s="3335"/>
      <c r="IH260" s="3336"/>
      <c r="II260" s="3333"/>
      <c r="IJ260" s="3334"/>
      <c r="IK260" s="3335"/>
      <c r="IL260" s="3336"/>
      <c r="IM260" s="3333"/>
      <c r="IN260" s="3334"/>
      <c r="IO260" s="3335"/>
      <c r="IP260" s="3336"/>
      <c r="IR260" s="3082"/>
      <c r="IU260" s="823">
        <f>(1000000+400000)*15%</f>
        <v>210000</v>
      </c>
      <c r="IV260" s="423"/>
      <c r="IW260" s="1708"/>
      <c r="IZ260" s="823">
        <f>(1000000+400000)*15%</f>
        <v>210000</v>
      </c>
      <c r="JA260" s="1931"/>
      <c r="JB260" s="2918"/>
      <c r="JC260" s="823"/>
      <c r="JD260" s="823"/>
      <c r="JE260" s="823">
        <f>(1000000+400000)*15%</f>
        <v>210000</v>
      </c>
      <c r="JF260" s="3337"/>
      <c r="JG260" s="3338"/>
      <c r="JJ260" s="823">
        <f>(1000000+400000)*15%</f>
        <v>210000</v>
      </c>
      <c r="JK260" s="1929"/>
      <c r="JL260" s="1637"/>
      <c r="JM260" s="1978"/>
      <c r="JN260" s="1978"/>
      <c r="JO260" s="823">
        <f>(1000000+400000)*15%</f>
        <v>210000</v>
      </c>
      <c r="JP260" s="3270"/>
      <c r="JQ260" s="3339"/>
      <c r="JR260" s="1978"/>
      <c r="JS260" s="1978"/>
      <c r="JT260" s="823">
        <f>(1000000+400000)*15%</f>
        <v>210000</v>
      </c>
      <c r="JU260" s="3270"/>
      <c r="JV260" s="3340"/>
      <c r="JW260" s="1978"/>
      <c r="JX260" s="1978"/>
      <c r="JY260" s="823">
        <f>(1000000+400000)*15%</f>
        <v>210000</v>
      </c>
      <c r="JZ260" s="3270"/>
      <c r="KA260" s="1633"/>
      <c r="KB260" s="1978"/>
      <c r="KC260" s="1978"/>
      <c r="KD260" s="823">
        <f>(1000000+400000)*15%</f>
        <v>210000</v>
      </c>
      <c r="KE260" s="3270"/>
      <c r="KF260" s="2046"/>
      <c r="KG260" s="1978"/>
      <c r="KH260" s="1978"/>
      <c r="KI260" s="823">
        <f>(1000000+400000)*15%</f>
        <v>210000</v>
      </c>
      <c r="KJ260" s="3270"/>
      <c r="KK260" s="3341"/>
      <c r="KL260" s="3284"/>
      <c r="KM260" s="3284"/>
      <c r="KN260" s="823">
        <f>(1000000+400000)*15%</f>
        <v>210000</v>
      </c>
      <c r="KO260" s="3285"/>
      <c r="KP260" s="1633"/>
      <c r="KQ260" s="1978"/>
      <c r="KR260" s="1978"/>
      <c r="KS260" s="823">
        <f>(1000000+400000)*15%</f>
        <v>210000</v>
      </c>
      <c r="KT260" s="3270"/>
      <c r="KU260" s="1641"/>
      <c r="KV260" s="1640"/>
      <c r="KW260" s="1640"/>
      <c r="KX260" s="823">
        <f>(1500000+400000)*15%-15846</f>
        <v>269154</v>
      </c>
      <c r="KY260" s="3090"/>
      <c r="KZ260" s="1134"/>
      <c r="LC260" s="358">
        <f t="shared" si="885"/>
        <v>2579154</v>
      </c>
      <c r="LD260" s="1929"/>
      <c r="LE260" s="2616"/>
      <c r="LI260" s="3342"/>
      <c r="LJ260" s="3334"/>
      <c r="LK260" s="3335"/>
      <c r="LL260" s="3336"/>
      <c r="LM260" s="3343"/>
      <c r="LN260" s="3334"/>
      <c r="LO260" s="3335"/>
      <c r="LP260" s="3336"/>
      <c r="LQ260" s="3333"/>
      <c r="LR260" s="3334"/>
      <c r="LS260" s="3335"/>
      <c r="LT260" s="3336"/>
      <c r="LV260" s="1708"/>
      <c r="LY260" s="3344">
        <f>(2000000+400000)*15%-11532</f>
        <v>348468</v>
      </c>
      <c r="LZ260" s="3345"/>
      <c r="MA260" s="1134"/>
      <c r="MD260" s="3344">
        <f>(2000000+400000)*15%</f>
        <v>360000</v>
      </c>
      <c r="ME260" s="3336"/>
      <c r="MF260" s="1708"/>
      <c r="MI260" s="3344">
        <f>(2000000+400000)*15%</f>
        <v>360000</v>
      </c>
      <c r="MJ260" s="1929"/>
      <c r="MK260" s="3346"/>
      <c r="MN260" s="3344">
        <f>(2000000+400000)*15%</f>
        <v>360000</v>
      </c>
      <c r="MO260" s="1929"/>
      <c r="MP260" s="3346"/>
      <c r="MS260" s="3344">
        <f>(2000000+400000)*15%</f>
        <v>360000</v>
      </c>
      <c r="MT260" s="76"/>
      <c r="MU260" s="3347"/>
      <c r="MV260" s="3348"/>
      <c r="MW260" s="3348"/>
      <c r="MX260" s="3344">
        <f>(2000000+400000)*15%</f>
        <v>360000</v>
      </c>
      <c r="MY260" s="76"/>
      <c r="MZ260" s="3347"/>
      <c r="NA260" s="3348"/>
      <c r="NB260" s="3348"/>
      <c r="NC260" s="3344">
        <f>(2000000+400000)*15%</f>
        <v>360000</v>
      </c>
      <c r="ND260" s="76"/>
      <c r="NE260" s="3347"/>
      <c r="NF260" s="3348"/>
      <c r="NG260" s="3348"/>
      <c r="NH260" s="3344">
        <f>(2000000+400000)*15%</f>
        <v>360000</v>
      </c>
      <c r="NI260" s="76"/>
      <c r="NJ260" s="1708"/>
      <c r="NL260" s="3349"/>
      <c r="NM260" s="823">
        <f>(3000000+400000)*15%</f>
        <v>510000</v>
      </c>
      <c r="NN260" s="76"/>
      <c r="NO260" s="1134"/>
      <c r="NQ260" s="3349"/>
      <c r="NR260" s="823">
        <f>(3000000+400000)*15%</f>
        <v>510000</v>
      </c>
      <c r="NS260" s="76"/>
      <c r="NT260" s="3350"/>
      <c r="NU260" s="2198"/>
      <c r="NV260" s="2198"/>
      <c r="NW260" s="823">
        <f>(3000000+400000)*15%</f>
        <v>510000</v>
      </c>
      <c r="NX260" s="73"/>
      <c r="NY260" s="3351"/>
      <c r="NZ260" s="3348"/>
      <c r="OA260" s="3348"/>
      <c r="OB260" s="453">
        <f>(3000000+400000)*15%</f>
        <v>510000</v>
      </c>
      <c r="OC260" s="76"/>
      <c r="OD260" s="3096"/>
      <c r="OE260" s="3084"/>
      <c r="OF260" s="3084"/>
      <c r="OG260" s="358">
        <f t="shared" si="876"/>
        <v>4908468</v>
      </c>
      <c r="OH260" s="3352"/>
      <c r="OI260" s="1134"/>
      <c r="OM260" s="3353"/>
      <c r="ON260" s="1134"/>
      <c r="OR260" s="3353"/>
      <c r="OS260" s="1134"/>
      <c r="OW260" s="76"/>
      <c r="OX260" s="1134"/>
      <c r="PB260" s="76"/>
      <c r="PD260" s="1708"/>
      <c r="PG260" s="823">
        <f>(3500000+600000+500000)*15%</f>
        <v>690000</v>
      </c>
      <c r="PH260" s="3354"/>
      <c r="PI260" s="1633"/>
      <c r="PJ260" s="823"/>
      <c r="PK260" s="823"/>
      <c r="PL260" s="823">
        <f>(3500000+600000+500000)*15%</f>
        <v>690000</v>
      </c>
      <c r="PM260" s="3270"/>
      <c r="PN260" s="1637"/>
      <c r="PO260" s="823"/>
      <c r="PP260" s="823"/>
      <c r="PQ260" s="823">
        <f>(3500000+600000+500000)*15%</f>
        <v>690000</v>
      </c>
      <c r="PR260" s="1929"/>
      <c r="PS260" s="3346"/>
      <c r="PV260" s="823">
        <f>(3500000+900000+700000)*15%</f>
        <v>765000</v>
      </c>
      <c r="PW260" s="1929"/>
      <c r="PX260" s="3355"/>
      <c r="PY260" s="823"/>
      <c r="PZ260" s="823"/>
      <c r="QA260" s="823">
        <f>(3500000+900000+700000)*15%</f>
        <v>765000</v>
      </c>
      <c r="QB260" s="73"/>
      <c r="QC260" s="3347"/>
      <c r="QD260" s="3348"/>
      <c r="QE260" s="3348"/>
      <c r="QF260" s="823">
        <f>(3500000+900000+700000)*15%</f>
        <v>765000</v>
      </c>
      <c r="QG260" s="76"/>
      <c r="QH260" s="3347"/>
      <c r="QI260" s="3348"/>
      <c r="QJ260" s="3348"/>
      <c r="QK260" s="823">
        <f>(3500000+900000+700000)*15%</f>
        <v>765000</v>
      </c>
      <c r="QL260" s="76"/>
      <c r="QM260" s="3347"/>
      <c r="QN260" s="3348"/>
      <c r="QO260" s="3348"/>
      <c r="QP260" s="823">
        <f>(3500000+900000+700000)*15%</f>
        <v>765000</v>
      </c>
      <c r="QQ260" s="76"/>
      <c r="QR260" s="1708"/>
      <c r="QT260" s="3349"/>
      <c r="QU260" s="823">
        <f>(3500000+900000+700000)*15%</f>
        <v>765000</v>
      </c>
      <c r="QV260" s="432"/>
      <c r="QW260" s="1134"/>
      <c r="QY260" s="3349"/>
      <c r="QZ260" s="823">
        <f>(3500000+900000+700000)*15%</f>
        <v>765000</v>
      </c>
      <c r="RA260" s="76"/>
      <c r="RB260" s="3350"/>
      <c r="RC260" s="2198"/>
      <c r="RD260" s="2198"/>
      <c r="RE260" s="823">
        <f>(3500000+900000+700000)*15%</f>
        <v>765000</v>
      </c>
      <c r="RF260" s="73"/>
      <c r="RG260" s="405"/>
      <c r="RH260" s="1575"/>
      <c r="RI260" s="1575"/>
      <c r="RJ260" s="3356">
        <f>(3500000+900000+700000)*15%</f>
        <v>765000</v>
      </c>
      <c r="RK260" s="73"/>
      <c r="RL260" s="3096"/>
      <c r="RM260" s="3084"/>
      <c r="RN260" s="3084"/>
      <c r="RO260" s="1568">
        <f t="shared" si="877"/>
        <v>8955000</v>
      </c>
      <c r="RP260" s="3352"/>
      <c r="RQ260" s="1116"/>
      <c r="RR260" s="2619"/>
      <c r="RS260" s="2619"/>
      <c r="RT260" s="3227">
        <f t="shared" si="881"/>
        <v>1380000</v>
      </c>
      <c r="RU260" s="2643"/>
      <c r="RV260" s="1116"/>
      <c r="RW260" s="2619"/>
      <c r="RX260" s="2619"/>
      <c r="RY260" s="3223">
        <f t="shared" si="878"/>
        <v>2295000</v>
      </c>
      <c r="RZ260" s="2643"/>
      <c r="SA260" s="2889"/>
      <c r="SB260" s="2641"/>
      <c r="SC260" s="2641"/>
      <c r="SD260" s="3223">
        <f t="shared" si="879"/>
        <v>2295000</v>
      </c>
      <c r="SE260" s="1600"/>
      <c r="SF260" s="1134"/>
      <c r="SI260" s="358">
        <f t="shared" si="882"/>
        <v>2295000</v>
      </c>
      <c r="SJ260" s="76"/>
      <c r="SL260" s="1708"/>
      <c r="SO260" s="3532">
        <f>(3600000+900000+800000)*25%</f>
        <v>1325000</v>
      </c>
      <c r="SP260" s="3543"/>
      <c r="SQ260" s="1134"/>
      <c r="ST260" s="3668">
        <f>(3600000+900000+800000)*25%</f>
        <v>1325000</v>
      </c>
      <c r="SU260" s="3336"/>
      <c r="SV260" s="1857"/>
      <c r="SW260" s="358"/>
      <c r="SX260" s="358"/>
      <c r="SY260" s="3668">
        <f>(3600000+900000+800000)*25%</f>
        <v>1325000</v>
      </c>
      <c r="SZ260" s="2563"/>
      <c r="TA260" s="3221"/>
      <c r="TB260" s="358"/>
      <c r="TC260" s="358"/>
      <c r="TD260" s="3668">
        <f>(3600000+900000+800000)*25%</f>
        <v>1325000</v>
      </c>
      <c r="TE260" s="2563"/>
      <c r="TF260" s="4135"/>
      <c r="TG260" s="455"/>
      <c r="TH260" s="455"/>
      <c r="TI260" s="3668">
        <f>(3600000+900000+800000)*25%</f>
        <v>1325000</v>
      </c>
      <c r="TJ260" s="154"/>
      <c r="TK260" s="405"/>
      <c r="TL260" s="1575"/>
      <c r="TM260" s="1575"/>
      <c r="TN260" s="3668">
        <f>(3600000+900000+800000)*25%</f>
        <v>1325000</v>
      </c>
      <c r="TO260" s="83"/>
      <c r="TP260" s="4506"/>
      <c r="TQ260" s="1575"/>
      <c r="TR260" s="1575"/>
      <c r="TS260" s="3668">
        <f>(3600000+900000+800000)*25%</f>
        <v>1325000</v>
      </c>
      <c r="TT260" s="76"/>
      <c r="TU260" s="5302"/>
      <c r="TV260" s="3348"/>
      <c r="TW260" s="3348"/>
      <c r="TX260" s="5303">
        <f>(3600000+900000+800000)*25%</f>
        <v>1325000</v>
      </c>
      <c r="TY260" s="76"/>
      <c r="TZ260" s="1567"/>
      <c r="UA260" s="1568"/>
      <c r="UB260" s="1871"/>
      <c r="UC260" s="5303">
        <f>(3600000+900000+800000)*25%</f>
        <v>1325000</v>
      </c>
      <c r="UD260" s="222"/>
      <c r="UE260" s="1022"/>
      <c r="UF260" s="1568"/>
      <c r="UG260" s="1871"/>
      <c r="UH260" s="5303">
        <f>(3600000+900000+800000)*25%</f>
        <v>1325000</v>
      </c>
      <c r="UI260" s="83"/>
      <c r="UJ260" s="3350"/>
      <c r="UK260" s="2198"/>
      <c r="UL260" s="2198"/>
      <c r="UM260" s="359">
        <v>0</v>
      </c>
      <c r="UN260" s="73"/>
      <c r="UO260" s="405"/>
      <c r="UP260" s="1575"/>
      <c r="UQ260" s="1575"/>
      <c r="UR260" s="1575">
        <v>0</v>
      </c>
      <c r="US260" s="73"/>
      <c r="UT260" s="2477"/>
      <c r="UU260" s="2469"/>
      <c r="UV260" s="2469"/>
      <c r="UW260" s="2465">
        <f>UR260+UM260+UH260+UC260+TX260+TS260+TN260+TI260+TD260+SY260+ST260+SO260</f>
        <v>13250000</v>
      </c>
      <c r="UX260" s="84"/>
      <c r="UY260" s="1116"/>
      <c r="UZ260" s="2619"/>
      <c r="VA260" s="2619"/>
      <c r="VB260" s="3222">
        <f t="shared" si="884"/>
        <v>3975000</v>
      </c>
      <c r="VC260" s="2643"/>
      <c r="VD260" s="1116"/>
      <c r="VE260" s="2619"/>
      <c r="VF260" s="2619"/>
      <c r="VG260" s="2619"/>
      <c r="VH260" s="2643"/>
      <c r="VI260" s="2889"/>
      <c r="VJ260" s="2641"/>
      <c r="VK260" s="2641"/>
      <c r="VL260" s="2641"/>
      <c r="VM260" s="1600"/>
      <c r="VN260" s="1134"/>
      <c r="VR260" s="76"/>
    </row>
    <row r="261" spans="1:590" s="3426" customFormat="1" ht="15.6" x14ac:dyDescent="0.3">
      <c r="A261" s="3357"/>
      <c r="B261" s="3358"/>
      <c r="C261" s="6667" t="s">
        <v>35</v>
      </c>
      <c r="D261" s="6668"/>
      <c r="E261" s="6668"/>
      <c r="F261" s="6668"/>
      <c r="G261" s="6669"/>
      <c r="H261" s="3359"/>
      <c r="I261" s="3360"/>
      <c r="J261" s="3360"/>
      <c r="K261" s="3360"/>
      <c r="L261" s="3361"/>
      <c r="M261" s="3362"/>
      <c r="N261" s="3360"/>
      <c r="O261" s="3363"/>
      <c r="P261" s="3364"/>
      <c r="Q261" s="3361"/>
      <c r="R261" s="3362"/>
      <c r="S261" s="3360"/>
      <c r="T261" s="3360"/>
      <c r="U261" s="3360"/>
      <c r="V261" s="3361"/>
      <c r="W261" s="3362"/>
      <c r="X261" s="3360"/>
      <c r="Y261" s="3360"/>
      <c r="Z261" s="3360"/>
      <c r="AA261" s="3365"/>
      <c r="AB261" s="3362"/>
      <c r="AC261" s="3360"/>
      <c r="AD261" s="3360"/>
      <c r="AE261" s="3360"/>
      <c r="AF261" s="3365"/>
      <c r="AG261" s="3360"/>
      <c r="AH261" s="3360"/>
      <c r="AI261" s="3360"/>
      <c r="AJ261" s="3360"/>
      <c r="AK261" s="3361"/>
      <c r="AL261" s="3366"/>
      <c r="AM261" s="3366"/>
      <c r="AN261" s="3366"/>
      <c r="AO261" s="3366"/>
      <c r="AP261" s="3367"/>
      <c r="AQ261" s="3360"/>
      <c r="AR261" s="3360"/>
      <c r="AS261" s="3360"/>
      <c r="AT261" s="3360"/>
      <c r="AU261" s="3361"/>
      <c r="AV261" s="3368"/>
      <c r="AW261" s="3360"/>
      <c r="AX261" s="3360"/>
      <c r="AY261" s="3360"/>
      <c r="AZ261" s="3365"/>
      <c r="BA261" s="3368"/>
      <c r="BB261" s="3360"/>
      <c r="BC261" s="3360"/>
      <c r="BD261" s="3360"/>
      <c r="BE261" s="3365"/>
      <c r="BF261" s="3369"/>
      <c r="BG261" s="3366"/>
      <c r="BH261" s="3366"/>
      <c r="BI261" s="3366"/>
      <c r="BJ261" s="3370"/>
      <c r="BK261" s="3368"/>
      <c r="BL261" s="3360"/>
      <c r="BM261" s="3371"/>
      <c r="BN261" s="3360"/>
      <c r="BO261" s="3365"/>
      <c r="BP261" s="3360"/>
      <c r="BQ261" s="3360"/>
      <c r="BR261" s="3360"/>
      <c r="BS261" s="3360"/>
      <c r="BT261" s="3360"/>
      <c r="BU261" s="3360"/>
      <c r="BV261" s="3360"/>
      <c r="BW261" s="3361"/>
      <c r="BX261" s="3360"/>
      <c r="BY261" s="3360"/>
      <c r="BZ261" s="3360"/>
      <c r="CA261" s="3360"/>
      <c r="CB261" s="3360"/>
      <c r="CC261" s="3360"/>
      <c r="CD261" s="3360"/>
      <c r="CE261" s="3360"/>
      <c r="CF261" s="3360"/>
      <c r="CG261" s="3360"/>
      <c r="CH261" s="3360"/>
      <c r="CI261" s="3360"/>
      <c r="CJ261" s="3362"/>
      <c r="CK261" s="3360"/>
      <c r="CL261" s="3360"/>
      <c r="CM261" s="3372"/>
      <c r="CN261" s="3360"/>
      <c r="CO261" s="3362"/>
      <c r="CP261" s="3360"/>
      <c r="CQ261" s="3360"/>
      <c r="CR261" s="3360"/>
      <c r="CS261" s="3360"/>
      <c r="CT261" s="3362"/>
      <c r="CU261" s="3360"/>
      <c r="CV261" s="3360"/>
      <c r="CW261" s="3371"/>
      <c r="CX261" s="3371"/>
      <c r="CY261" s="3362"/>
      <c r="CZ261" s="3360"/>
      <c r="DA261" s="3360"/>
      <c r="DB261" s="3360"/>
      <c r="DC261" s="3360"/>
      <c r="DD261" s="3360"/>
      <c r="DE261" s="3360"/>
      <c r="DF261" s="3360"/>
      <c r="DG261" s="3360"/>
      <c r="DH261" s="3362"/>
      <c r="DI261" s="3362"/>
      <c r="DJ261" s="3360"/>
      <c r="DK261" s="3360"/>
      <c r="DL261" s="3360"/>
      <c r="DM261" s="3362"/>
      <c r="DN261" s="3362"/>
      <c r="DO261" s="3360"/>
      <c r="DP261" s="3360"/>
      <c r="DQ261" s="3360"/>
      <c r="DR261" s="3362"/>
      <c r="DS261" s="3362"/>
      <c r="DT261" s="3360"/>
      <c r="DU261" s="3360"/>
      <c r="DV261" s="3360"/>
      <c r="DW261" s="3360"/>
      <c r="DX261" s="3362"/>
      <c r="DY261" s="3360"/>
      <c r="DZ261" s="3360"/>
      <c r="EA261" s="3360"/>
      <c r="EB261" s="3365"/>
      <c r="EC261" s="3362"/>
      <c r="ED261" s="3360"/>
      <c r="EE261" s="3360"/>
      <c r="EF261" s="3360"/>
      <c r="EG261" s="3362"/>
      <c r="EH261" s="3360"/>
      <c r="EI261" s="3360"/>
      <c r="EJ261" s="3360"/>
      <c r="EK261" s="3360"/>
      <c r="EL261" s="3360"/>
      <c r="EM261" s="3373"/>
      <c r="EN261" s="3374"/>
      <c r="EO261" s="3374"/>
      <c r="EP261" s="3374"/>
      <c r="EQ261" s="3374"/>
      <c r="ER261" s="3360"/>
      <c r="ES261" s="3360"/>
      <c r="ET261" s="3360"/>
      <c r="EU261" s="3360"/>
      <c r="EV261" s="3360"/>
      <c r="EW261" s="3362"/>
      <c r="EX261" s="3360"/>
      <c r="EY261" s="3360"/>
      <c r="EZ261" s="3360"/>
      <c r="FA261" s="3360"/>
      <c r="FB261" s="3360"/>
      <c r="FC261" s="3360"/>
      <c r="FD261" s="3360"/>
      <c r="FE261" s="3360"/>
      <c r="FF261" s="3360"/>
      <c r="FG261" s="3360"/>
      <c r="FH261" s="3360"/>
      <c r="FI261" s="3360"/>
      <c r="FJ261" s="3360"/>
      <c r="FK261" s="3360"/>
      <c r="FL261" s="3360"/>
      <c r="FM261" s="3360"/>
      <c r="FN261" s="3362"/>
      <c r="FO261" s="3360"/>
      <c r="FP261" s="3360"/>
      <c r="FQ261" s="3360">
        <f>FQ232-SUM(FQ235:FQ258)</f>
        <v>-191188.65000000014</v>
      </c>
      <c r="FR261" s="3375"/>
      <c r="FS261" s="3359"/>
      <c r="FT261" s="3360"/>
      <c r="FU261" s="3360"/>
      <c r="FV261" s="3360">
        <f>FV232-FV235-FV237</f>
        <v>979504.44161290349</v>
      </c>
      <c r="FW261" s="3376"/>
      <c r="FX261" s="3377"/>
      <c r="FY261" s="3360"/>
      <c r="FZ261" s="3360"/>
      <c r="GA261" s="3360">
        <f>GA232-GA235-GA237</f>
        <v>1148094.3899999999</v>
      </c>
      <c r="GB261" s="3378">
        <f>GA261/FZ232</f>
        <v>0.15029842670160673</v>
      </c>
      <c r="GC261" s="3377"/>
      <c r="GD261" s="3360"/>
      <c r="GE261" s="3360"/>
      <c r="GF261" s="3360">
        <f>GF232-GF235-GF237</f>
        <v>461707.80000000005</v>
      </c>
      <c r="GG261" s="3379">
        <f>GF261/GE232</f>
        <v>5.9024650806438636E-2</v>
      </c>
      <c r="GH261" s="3380"/>
      <c r="GI261" s="3381"/>
      <c r="GJ261" s="3381"/>
      <c r="GK261" s="3381">
        <f>GK232-GK235-GK237</f>
        <v>1066590.5</v>
      </c>
      <c r="GL261" s="3382">
        <f>GK261/GJ232</f>
        <v>0.12213915733811859</v>
      </c>
      <c r="GM261" s="3383"/>
      <c r="GN261" s="3381"/>
      <c r="GO261" s="3381"/>
      <c r="GP261" s="3381">
        <f>GP232-GP235-GP237</f>
        <v>1100002.1300000001</v>
      </c>
      <c r="GQ261" s="3384">
        <f>GP261/GO232</f>
        <v>0.12520276349098766</v>
      </c>
      <c r="GR261" s="3380"/>
      <c r="GS261" s="3381"/>
      <c r="GT261" s="3381"/>
      <c r="GU261" s="3381">
        <f>GU232-GU235-GU237</f>
        <v>1026698.5332258099</v>
      </c>
      <c r="GV261" s="3382">
        <f>GU261/GT232</f>
        <v>0.11489696060385517</v>
      </c>
      <c r="GW261" s="3380"/>
      <c r="GX261" s="3381"/>
      <c r="GY261" s="3381"/>
      <c r="GZ261" s="3381">
        <f>GZ232-GZ235-GZ237</f>
        <v>1139756.2226666671</v>
      </c>
      <c r="HA261" s="3382">
        <f>GZ261/GY232</f>
        <v>0.12388666099503245</v>
      </c>
      <c r="HB261" s="3380"/>
      <c r="HC261" s="3381"/>
      <c r="HD261" s="3381"/>
      <c r="HE261" s="3381">
        <f>HE232-HE235-HE237</f>
        <v>1237071.77667014</v>
      </c>
      <c r="HF261" s="3382">
        <f>HE261/HD232</f>
        <v>0.12716278855138693</v>
      </c>
      <c r="HG261" s="3380"/>
      <c r="HH261" s="3381"/>
      <c r="HI261" s="3381"/>
      <c r="HJ261" s="3381">
        <f>HJ232-HJ235-HJ237</f>
        <v>1420652.5399999998</v>
      </c>
      <c r="HK261" s="3382">
        <f>HJ261/HI232</f>
        <v>0.14179979188580868</v>
      </c>
      <c r="HL261" s="3380"/>
      <c r="HM261" s="3381"/>
      <c r="HN261" s="3381"/>
      <c r="HO261" s="3381">
        <f>HO232-HO235-HO237</f>
        <v>749921.807142857</v>
      </c>
      <c r="HP261" s="3382">
        <f>HO261/HN232</f>
        <v>8.347343338691833E-2</v>
      </c>
      <c r="HQ261" s="3380"/>
      <c r="HR261" s="3385"/>
      <c r="HS261" s="3385"/>
      <c r="HT261" s="3385">
        <f>HT232-HT235-HT237</f>
        <v>597522.80767741951</v>
      </c>
      <c r="HU261" s="3386">
        <f>HT261/HS232</f>
        <v>6.0797865384585439E-2</v>
      </c>
      <c r="HV261" s="3380"/>
      <c r="HW261" s="3381"/>
      <c r="HX261" s="3381"/>
      <c r="HY261" s="3387">
        <f>HY232-HY235-HY237</f>
        <v>15987824.870424367</v>
      </c>
      <c r="HZ261" s="3382">
        <f>HY261/HX232</f>
        <v>0.12003847404333284</v>
      </c>
      <c r="IA261" s="3388"/>
      <c r="IB261" s="3389"/>
      <c r="IC261" s="3390">
        <f>FQ261+FV261+GA261</f>
        <v>1936410.1816129033</v>
      </c>
      <c r="ID261" s="3389"/>
      <c r="IE261" s="3391"/>
      <c r="IF261" s="3387"/>
      <c r="IG261" s="3392">
        <f>(GF261+GK261+GP261)</f>
        <v>2628300.4300000002</v>
      </c>
      <c r="IH261" s="3393"/>
      <c r="II261" s="3391"/>
      <c r="IJ261" s="3387"/>
      <c r="IK261" s="3394">
        <f>(GU261+GZ261+HE261)</f>
        <v>3403526.5325626172</v>
      </c>
      <c r="IL261" s="3393"/>
      <c r="IM261" s="3391"/>
      <c r="IN261" s="3387"/>
      <c r="IO261" s="3394">
        <f>(HJ261+HO261+HT261)</f>
        <v>2768097.154820276</v>
      </c>
      <c r="IP261" s="3393"/>
      <c r="IQ261" s="3389"/>
      <c r="IR261" s="3395"/>
      <c r="IS261" s="3389"/>
      <c r="IT261" s="3389"/>
      <c r="IU261" s="3389">
        <f>IU232-SUM(IU235:IU258)</f>
        <v>930453.96100000036</v>
      </c>
      <c r="IV261" s="3396">
        <f>IU261/IT232</f>
        <v>9.0290061593319954E-2</v>
      </c>
      <c r="IW261" s="3388"/>
      <c r="IX261" s="3389"/>
      <c r="IY261" s="3389"/>
      <c r="IZ261" s="3389">
        <f>IZ232-IZ235-IZ237</f>
        <v>1642027.583333333</v>
      </c>
      <c r="JA261" s="3397">
        <f>IZ261/IY232</f>
        <v>0.12725101967866712</v>
      </c>
      <c r="JB261" s="3398"/>
      <c r="JC261" s="3389"/>
      <c r="JD261" s="3389"/>
      <c r="JE261" s="3389">
        <f>JE232-JE235-JE237</f>
        <v>978592.21666666691</v>
      </c>
      <c r="JF261" s="3399">
        <f>JE261/JD232</f>
        <v>9.8758366556592078E-2</v>
      </c>
      <c r="JG261" s="3400"/>
      <c r="JH261" s="3389"/>
      <c r="JI261" s="3389"/>
      <c r="JJ261" s="3389">
        <f>JJ232-JJ235-JJ237</f>
        <v>572107.80806451605</v>
      </c>
      <c r="JK261" s="3397">
        <f>JJ261/JI232</f>
        <v>6.0178714042665483E-2</v>
      </c>
      <c r="JL261" s="3380"/>
      <c r="JM261" s="3381"/>
      <c r="JN261" s="3381"/>
      <c r="JO261" s="3387">
        <f>JO232-JO235-JO237</f>
        <v>2369433.4910322558</v>
      </c>
      <c r="JP261" s="3382">
        <f>JO261/JN232</f>
        <v>0.1261392476276384</v>
      </c>
      <c r="JQ261" s="3401"/>
      <c r="JR261" s="3381"/>
      <c r="JS261" s="3381"/>
      <c r="JT261" s="3387">
        <f>JT232-JT235-JT237</f>
        <v>2716427.2800000003</v>
      </c>
      <c r="JU261" s="3382">
        <f>JT261/JS232</f>
        <v>0.15988177832375922</v>
      </c>
      <c r="JV261" s="3402"/>
      <c r="JW261" s="3381"/>
      <c r="JX261" s="3381"/>
      <c r="JY261" s="3387">
        <f>JY232-JY235-JY237</f>
        <v>1062606.8058064468</v>
      </c>
      <c r="JZ261" s="3382">
        <f>JY261/JX232</f>
        <v>0.10718377587656179</v>
      </c>
      <c r="KA261" s="3380"/>
      <c r="KB261" s="3381"/>
      <c r="KC261" s="3381"/>
      <c r="KD261" s="3387">
        <f>KD232-KD235-KD237</f>
        <v>2542302.9333333331</v>
      </c>
      <c r="KE261" s="3403">
        <f>KD261/KC232</f>
        <v>0.16021795044310255</v>
      </c>
      <c r="KF261" s="3404"/>
      <c r="KG261" s="3381"/>
      <c r="KH261" s="3381"/>
      <c r="KI261" s="3387">
        <f>KI232-KI235-KI237</f>
        <v>1516234.8896774212</v>
      </c>
      <c r="KJ261" s="3382">
        <f>KI261/KH232</f>
        <v>0.14264626818006904</v>
      </c>
      <c r="KK261" s="3405"/>
      <c r="KL261" s="3406"/>
      <c r="KM261" s="3406"/>
      <c r="KN261" s="3387">
        <f>KN232-KN235-KN237</f>
        <v>627937.72677419358</v>
      </c>
      <c r="KO261" s="3403">
        <f>KN261/KM232</f>
        <v>7.6785491951578425E-2</v>
      </c>
      <c r="KP261" s="3380"/>
      <c r="KQ261" s="3381"/>
      <c r="KR261" s="3381"/>
      <c r="KS261" s="3387">
        <f>KS232-KS235-KS237</f>
        <v>1414406.4300000002</v>
      </c>
      <c r="KT261" s="3403">
        <f>KS261/KR232</f>
        <v>0.11834696304025334</v>
      </c>
      <c r="KU261" s="3380"/>
      <c r="KV261" s="3385"/>
      <c r="KW261" s="3385"/>
      <c r="KX261" s="3387">
        <f>KX232-KX236-KX235-KX237</f>
        <v>-2094538.9406451611</v>
      </c>
      <c r="KY261" s="3397">
        <f>KX261/KW232</f>
        <v>-0.2020455516481714</v>
      </c>
      <c r="KZ261" s="3380"/>
      <c r="LA261" s="3385"/>
      <c r="LB261" s="3385"/>
      <c r="LC261" s="3389">
        <f>LC232-LC235-LC237-LC236</f>
        <v>15914469.16837634</v>
      </c>
      <c r="LD261" s="3386">
        <f>LC261/LB232</f>
        <v>0.1069607511714105</v>
      </c>
      <c r="LE261" s="3407"/>
      <c r="LF261" s="3389"/>
      <c r="LG261" s="3408">
        <f>IU261+IZ261+JE261</f>
        <v>3551073.7609999999</v>
      </c>
      <c r="LH261" s="3399">
        <f>LG261/LF232</f>
        <v>0.11454808383795438</v>
      </c>
      <c r="LI261" s="3409"/>
      <c r="LJ261" s="3387"/>
      <c r="LK261" s="3392">
        <f>(JJ261+JO261+JT261)</f>
        <v>5657968.5790967718</v>
      </c>
      <c r="LL261" s="3403">
        <f>LK261/LJ232</f>
        <v>0.16862664304715594</v>
      </c>
      <c r="LM261" s="3410"/>
      <c r="LN261" s="3387"/>
      <c r="LO261" s="3394">
        <f>(JY261+KD261+KI261)</f>
        <v>5121144.6288172007</v>
      </c>
      <c r="LP261" s="3393"/>
      <c r="LQ261" s="3391"/>
      <c r="LR261" s="3387"/>
      <c r="LS261" s="3394">
        <f>(KN261+KS261+KX261)</f>
        <v>-52194.783870967338</v>
      </c>
      <c r="LT261" s="3393"/>
      <c r="LU261" s="3389"/>
      <c r="LV261" s="3388"/>
      <c r="LW261" s="3389"/>
      <c r="LX261" s="3389"/>
      <c r="LY261" s="3411">
        <f>LY232-LY235-KX237</f>
        <v>-2247099.9699999997</v>
      </c>
      <c r="LZ261" s="3412">
        <f>LY261/LX232</f>
        <v>-0.20439537882771996</v>
      </c>
      <c r="MA261" s="3413"/>
      <c r="MB261" s="3389"/>
      <c r="MC261" s="3389"/>
      <c r="MD261" s="3411">
        <f>MD232-MD235-MD237</f>
        <v>1305728.8390322537</v>
      </c>
      <c r="ME261" s="3403">
        <f>MD261/MC232</f>
        <v>0.10850160006595522</v>
      </c>
      <c r="MF261" s="3388"/>
      <c r="MG261" s="3389"/>
      <c r="MH261" s="3389"/>
      <c r="MI261" s="3411">
        <f>MI232-MI236-MI235-MI237</f>
        <v>499215.93999999983</v>
      </c>
      <c r="MJ261" s="3403">
        <f>MI261/MH232</f>
        <v>4.0955835055309711E-2</v>
      </c>
      <c r="MK261" s="3414"/>
      <c r="ML261" s="3389"/>
      <c r="MM261" s="3389"/>
      <c r="MN261" s="3411">
        <f>MN232-MN236-MN235-MN237</f>
        <v>462414.42709677422</v>
      </c>
      <c r="MO261" s="3403">
        <f>MN261/MM232</f>
        <v>3.5202367154372104E-2</v>
      </c>
      <c r="MP261" s="3414"/>
      <c r="MQ261" s="3389"/>
      <c r="MR261" s="3389"/>
      <c r="MS261" s="3411">
        <f>MS232-MS236-MS235-MS237</f>
        <v>949349.97333333339</v>
      </c>
      <c r="MT261" s="3403">
        <f>MS261/MR232</f>
        <v>6.566035328890156E-2</v>
      </c>
      <c r="MU261" s="3415"/>
      <c r="MV261" s="3416"/>
      <c r="MW261" s="3416"/>
      <c r="MX261" s="3411">
        <f>MX232-MX236-MX235-MX237</f>
        <v>1309021.4833333334</v>
      </c>
      <c r="MY261" s="3403">
        <f>MX261/MW232</f>
        <v>8.2752613788336843E-2</v>
      </c>
      <c r="MZ261" s="3415"/>
      <c r="NA261" s="3416"/>
      <c r="NB261" s="3416"/>
      <c r="NC261" s="3411">
        <f>NC232-NC236-NC235-NC237</f>
        <v>1480380.0699999998</v>
      </c>
      <c r="ND261" s="3382">
        <f>NC261/NB232</f>
        <v>0.11644015760889329</v>
      </c>
      <c r="NE261" s="3415"/>
      <c r="NF261" s="3416"/>
      <c r="NG261" s="3416"/>
      <c r="NH261" s="3411">
        <f>NH232-NH236-NH235-NH237</f>
        <v>2216009.3199999998</v>
      </c>
      <c r="NI261" s="3382">
        <f>NH261/NG232</f>
        <v>0.13990228385521547</v>
      </c>
      <c r="NJ261" s="3388"/>
      <c r="NK261" s="3389"/>
      <c r="NL261" s="3417"/>
      <c r="NM261" s="3411">
        <f>NM232-NM236-NM235-NM237</f>
        <v>1066301.398064516</v>
      </c>
      <c r="NN261" s="3382">
        <f>NM261/NL232</f>
        <v>7.68374196829886E-2</v>
      </c>
      <c r="NO261" s="3413"/>
      <c r="NP261" s="3389"/>
      <c r="NQ261" s="3417"/>
      <c r="NR261" s="3411">
        <f>NR232-NR236-NR235-NR237</f>
        <v>1560147.56</v>
      </c>
      <c r="NS261" s="3382">
        <f>NR261/NQ232</f>
        <v>0.10324365474583339</v>
      </c>
      <c r="NT261" s="3418"/>
      <c r="NU261" s="3419"/>
      <c r="NV261" s="3419"/>
      <c r="NW261" s="3411">
        <f>NW232-NW236-NW235-NW237</f>
        <v>1745632.4585714287</v>
      </c>
      <c r="NX261" s="3382">
        <f>NW261/NV232</f>
        <v>0.11301538974648398</v>
      </c>
      <c r="NY261" s="3420"/>
      <c r="NZ261" s="3416"/>
      <c r="OA261" s="3416"/>
      <c r="OB261" s="3411">
        <f>OB232-OB236-OB235-OB237+218</f>
        <v>-569747.96032258216</v>
      </c>
      <c r="OC261" s="3403">
        <f>OB261/OA232</f>
        <v>-3.4630199909981833E-2</v>
      </c>
      <c r="OD261" s="3413"/>
      <c r="OE261" s="3389"/>
      <c r="OF261" s="3389"/>
      <c r="OG261" s="3411">
        <f>OG232-OG236-OG235-OG237+218</f>
        <v>13332692.74663594</v>
      </c>
      <c r="OH261" s="3403">
        <f>OG261/OF232</f>
        <v>7.6249503181816072E-2</v>
      </c>
      <c r="OI261" s="3413"/>
      <c r="OJ261" s="3389"/>
      <c r="OK261" s="3389"/>
      <c r="OL261" s="3389">
        <f>OL232-OL235-OL237</f>
        <v>-256533.19096774608</v>
      </c>
      <c r="OM261" s="3403">
        <f>OL261/OK232</f>
        <v>-7.2843139906847874E-3</v>
      </c>
      <c r="ON261" s="3413"/>
      <c r="OO261" s="3389"/>
      <c r="OP261" s="3389"/>
      <c r="OQ261" s="3389">
        <f>OQ232-OQ235-OQ237</f>
        <v>2672648.8837634404</v>
      </c>
      <c r="OR261" s="3403">
        <f>OQ261/OP232</f>
        <v>6.356740564659237E-2</v>
      </c>
      <c r="OS261" s="3413"/>
      <c r="OT261" s="3389"/>
      <c r="OU261" s="3389"/>
      <c r="OV261" s="3389">
        <f>OV232-OV235-OV237</f>
        <v>4560523.7880645161</v>
      </c>
      <c r="OW261" s="3397">
        <f>OV261/OU232</f>
        <v>0.1094725730940265</v>
      </c>
      <c r="OX261" s="3413"/>
      <c r="OY261" s="3389"/>
      <c r="OZ261" s="3389"/>
      <c r="PA261" s="3389">
        <f>PA232-PA235-PA237</f>
        <v>2735814.0582488477</v>
      </c>
      <c r="PB261" s="3397">
        <f>PA261/OZ232</f>
        <v>5.8196883289330592E-2</v>
      </c>
      <c r="PC261" s="3421"/>
      <c r="PD261" s="3388"/>
      <c r="PE261" s="3389"/>
      <c r="PF261" s="3389"/>
      <c r="PG261" s="3411">
        <f>PG232-PG236-PG235-PG237+218</f>
        <v>1915347.44</v>
      </c>
      <c r="PH261" s="3403">
        <f>PG261/PF232</f>
        <v>0.11265540430456171</v>
      </c>
      <c r="PI261" s="3413"/>
      <c r="PJ261" s="3389"/>
      <c r="PK261" s="3389"/>
      <c r="PL261" s="3411">
        <f>PL232-PL236-PL235-PL237+218</f>
        <v>106827.25496000005</v>
      </c>
      <c r="PM261" s="3403">
        <f>PL261/PK232</f>
        <v>5.8520695176767111E-3</v>
      </c>
      <c r="PN261" s="3388"/>
      <c r="PO261" s="3389"/>
      <c r="PP261" s="3389"/>
      <c r="PQ261" s="3411">
        <f>PQ232-PQ236-PQ235-PQ237+218</f>
        <v>1531494.3133333335</v>
      </c>
      <c r="PR261" s="3403">
        <f>PQ261/PP232</f>
        <v>6.8905830789694283E-2</v>
      </c>
      <c r="PS261" s="3414"/>
      <c r="PT261" s="3389"/>
      <c r="PU261" s="3389"/>
      <c r="PV261" s="3411">
        <f>PV232-PV236-PV235-PV237+218</f>
        <v>1779811.1290322579</v>
      </c>
      <c r="PW261" s="3403">
        <f>PV261/PU232</f>
        <v>7.1836598470928409E-2</v>
      </c>
      <c r="PX261" s="3422"/>
      <c r="PY261" s="3385"/>
      <c r="PZ261" s="3385"/>
      <c r="QA261" s="3411">
        <f>QA232-QA236-QA235-QA237+218</f>
        <v>3334046.3270967742</v>
      </c>
      <c r="QB261" s="3403">
        <f>QA261/PZ232</f>
        <v>0.13014253190027447</v>
      </c>
      <c r="QC261" s="3415"/>
      <c r="QD261" s="3416"/>
      <c r="QE261" s="3416"/>
      <c r="QF261" s="3411">
        <f>QF232-QF236-QF235-QF237+218</f>
        <v>3147442.0966666667</v>
      </c>
      <c r="QG261" s="3403">
        <f>QF261/QE232</f>
        <v>0.11993752117870593</v>
      </c>
      <c r="QH261" s="3388"/>
      <c r="QI261" s="3389"/>
      <c r="QJ261" s="3417"/>
      <c r="QK261" s="3411">
        <f>QK232-QK236-QK235-QK237</f>
        <v>2884022.2</v>
      </c>
      <c r="QL261" s="3403">
        <f>QK261/QJ232</f>
        <v>0.10531864676352867</v>
      </c>
      <c r="QM261" s="3388"/>
      <c r="QN261" s="3389"/>
      <c r="QO261" s="3389"/>
      <c r="QP261" s="3411">
        <f>QP232-QP236-QP235-QP237</f>
        <v>2409391.2079999996</v>
      </c>
      <c r="QQ261" s="3403">
        <f>QP261/QO232</f>
        <v>9.0344981127488885E-2</v>
      </c>
      <c r="QR261" s="3388"/>
      <c r="QS261" s="3389"/>
      <c r="QT261" s="3417"/>
      <c r="QU261" s="3411">
        <f>QU232-QU236-QU235-QU237</f>
        <v>2250809.4066666663</v>
      </c>
      <c r="QV261" s="3423">
        <f>QU261/QT232</f>
        <v>8.5145038597300618E-2</v>
      </c>
      <c r="QW261" s="3413"/>
      <c r="QX261" s="3389"/>
      <c r="QY261" s="3389"/>
      <c r="QZ261" s="3389">
        <f>QZ232-QZ236-QZ235-QZ237</f>
        <v>1184159.7793548387</v>
      </c>
      <c r="RA261" s="3397">
        <f>QZ261/QY232</f>
        <v>4.4393691299395979E-2</v>
      </c>
      <c r="RB261" s="3424"/>
      <c r="RC261" s="3385"/>
      <c r="RD261" s="3425"/>
      <c r="RE261" s="3389">
        <f>RE232-RE236-RE235-RE237</f>
        <v>1852488.1499999994</v>
      </c>
      <c r="RF261" s="3397">
        <f>RE261/RD232</f>
        <v>6.9196015799779548E-2</v>
      </c>
      <c r="RG261" s="3388"/>
      <c r="RH261" s="3389"/>
      <c r="RI261" s="3389"/>
      <c r="RJ261" s="3389">
        <f>RJ232-RJ236-RJ235-RJ237</f>
        <v>-609248.59516129084</v>
      </c>
      <c r="RK261" s="3397">
        <f>RJ261/RI232</f>
        <v>-1.993405104321087E-2</v>
      </c>
      <c r="RL261" s="3413"/>
      <c r="RM261" s="3389"/>
      <c r="RN261" s="3389"/>
      <c r="RO261" s="3411">
        <f>RO232-RO236-RO235-RO237+218</f>
        <v>21785500.70994924</v>
      </c>
      <c r="RP261" s="3403">
        <f>RO261/RN232</f>
        <v>7.2955054711341824E-2</v>
      </c>
      <c r="RQ261" s="3413"/>
      <c r="RR261" s="3389"/>
      <c r="RS261" s="3389"/>
      <c r="RT261" s="3389">
        <f>RT232-RT236-RT235-RT237+218</f>
        <v>4711061.5082933344</v>
      </c>
      <c r="RU261" s="3397">
        <f>RT261/RS232</f>
        <v>8.1956677057873267E-2</v>
      </c>
      <c r="RV261" s="3413"/>
      <c r="RW261" s="3389"/>
      <c r="RX261" s="3389"/>
      <c r="RY261" s="3389">
        <f>RY232-RY236-RY235-RY237+218</f>
        <v>8013853.8527956977</v>
      </c>
      <c r="RZ261" s="3397">
        <f>RY261/RX232</f>
        <v>0.10456954274910468</v>
      </c>
      <c r="SA261" s="3413"/>
      <c r="SB261" s="3389"/>
      <c r="SC261" s="3389"/>
      <c r="SD261" s="3389">
        <f>SD232-SD236-SD235-SD237+218</f>
        <v>7544440.814666667</v>
      </c>
      <c r="SE261" s="3397">
        <f>SD261/SC232</f>
        <v>9.3734237482388572E-2</v>
      </c>
      <c r="SF261" s="3413"/>
      <c r="SG261" s="3389"/>
      <c r="SH261" s="3389"/>
      <c r="SI261" s="3389">
        <f>SI232-SI236-SI235-SI237+218</f>
        <v>2427617.3341935482</v>
      </c>
      <c r="SJ261" s="3397">
        <f>SI261/SH232</f>
        <v>2.8897155968782662E-2</v>
      </c>
      <c r="SL261" s="3388"/>
      <c r="SM261" s="3389"/>
      <c r="SN261" s="3389"/>
      <c r="SO261" s="3389">
        <f>SO232-SO236-SO235-SO237+218</f>
        <v>3412312.16</v>
      </c>
      <c r="SP261" s="3397">
        <f>SO261/SN232</f>
        <v>9.4076375666635847E-2</v>
      </c>
      <c r="SQ261" s="3413"/>
      <c r="SR261" s="3389"/>
      <c r="SS261" s="3389"/>
      <c r="ST261" s="3389">
        <f>ST232-ST236-ST235-ST237+218</f>
        <v>2327886.3461290319</v>
      </c>
      <c r="SU261" s="3397">
        <f>ST261/SS232</f>
        <v>6.4617038761223267E-2</v>
      </c>
      <c r="SV261" s="3380"/>
      <c r="SW261" s="3385"/>
      <c r="SX261" s="3385"/>
      <c r="SY261" s="3389">
        <f>SY232-SY236-SY235-SY237+218</f>
        <v>1604770.4933333341</v>
      </c>
      <c r="SZ261" s="3386">
        <f>SY261/SX232</f>
        <v>3.2215059824656785E-2</v>
      </c>
      <c r="TA261" s="3422"/>
      <c r="TB261" s="3385"/>
      <c r="TC261" s="3385"/>
      <c r="TD261" s="4638">
        <f>TD232-TD236-TD235-TD237+218</f>
        <v>-1355600.3936693547</v>
      </c>
      <c r="TE261" s="3382">
        <f>TD261/TC232</f>
        <v>-4.3308240659948316E-2</v>
      </c>
      <c r="TF261" s="3422"/>
      <c r="TG261" s="3385"/>
      <c r="TH261" s="3385"/>
      <c r="TI261" s="4638">
        <f>TI232-TI236-TI235-TI237+218</f>
        <v>-1696191.9918279573</v>
      </c>
      <c r="TJ261" s="3403">
        <f>TI261/TH232</f>
        <v>-5.3264104021461832E-2</v>
      </c>
      <c r="TK261" s="3415"/>
      <c r="TL261" s="3416"/>
      <c r="TM261" s="3416"/>
      <c r="TN261" s="4638">
        <f>TN232-TN236-TN235-TN237+218</f>
        <v>-2037294.7233333304</v>
      </c>
      <c r="TO261" s="3403">
        <f>TN261/TM232</f>
        <v>-6.1981386211452598E-2</v>
      </c>
      <c r="TP261" s="4639"/>
      <c r="TQ261" s="3389"/>
      <c r="TR261" s="3417"/>
      <c r="TS261" s="4640">
        <f>TS232-TS236-TS235-TS237</f>
        <v>-1902049.4545451617</v>
      </c>
      <c r="TT261" s="3403">
        <f>TS261/TR232</f>
        <v>-5.6312930022496613E-2</v>
      </c>
      <c r="TU261" s="4639"/>
      <c r="TV261" s="3389"/>
      <c r="TW261" s="3389"/>
      <c r="TX261" s="4640">
        <f>TX232-TX236-TX235-TX237</f>
        <v>-1642843.2140000002</v>
      </c>
      <c r="TY261" s="3403">
        <f>TX261/TW232</f>
        <v>-4.7093892628580554E-2</v>
      </c>
      <c r="TZ261" s="3388"/>
      <c r="UA261" s="3389"/>
      <c r="UB261" s="3389"/>
      <c r="UC261" s="4638">
        <f>UC232-UC236-UC235-UC237</f>
        <v>-1893857.9328335486</v>
      </c>
      <c r="UD261" s="3423">
        <f>UC261/UB232</f>
        <v>-5.4214453745732458E-2</v>
      </c>
      <c r="UE261" s="3413"/>
      <c r="UF261" s="3389"/>
      <c r="UG261" s="3389"/>
      <c r="UH261" s="6515">
        <f>UH232-UH236-UH235-UH237</f>
        <v>-1039300.4289999995</v>
      </c>
      <c r="UI261" s="3397">
        <f>UH261/UG232</f>
        <v>-2.9052724115614423E-2</v>
      </c>
      <c r="UJ261" s="3424"/>
      <c r="UK261" s="3385"/>
      <c r="UL261" s="3425"/>
      <c r="UM261" s="3389">
        <f>UM232-UM236-UM235-UM237</f>
        <v>0</v>
      </c>
      <c r="UN261" s="3397" t="e">
        <f>UM261/UL232</f>
        <v>#DIV/0!</v>
      </c>
      <c r="UO261" s="3388"/>
      <c r="UP261" s="3389"/>
      <c r="UQ261" s="3389"/>
      <c r="UR261" s="3389">
        <f>UR232-UR236-UR235-UR237</f>
        <v>0</v>
      </c>
      <c r="US261" s="3397" t="e">
        <f>UR261/UQ232</f>
        <v>#DIV/0!</v>
      </c>
      <c r="UT261" s="3413"/>
      <c r="UU261" s="3389"/>
      <c r="UV261" s="3389"/>
      <c r="UW261" s="4640">
        <f>UW232-UW236-UW235-UW237+218</f>
        <v>-4223259.1397469901</v>
      </c>
      <c r="UX261" s="3403">
        <f>UW261/UV232</f>
        <v>-1.1813511116792548E-2</v>
      </c>
      <c r="UY261" s="3413"/>
      <c r="UZ261" s="3389"/>
      <c r="VA261" s="3389"/>
      <c r="VB261" s="3411">
        <f>VB232-VB236-VB235-VB237+218</f>
        <v>9200799.9994623661</v>
      </c>
      <c r="VC261" s="3403">
        <f>VB261/VA232</f>
        <v>7.5347279358503078E-2</v>
      </c>
      <c r="VD261" s="3413"/>
      <c r="VE261" s="3389"/>
      <c r="VF261" s="3389"/>
      <c r="VG261" s="3411">
        <f>VG232-VG236-VG235-VG237+1</f>
        <v>6576574.891169358</v>
      </c>
      <c r="VH261" s="3403">
        <f>VG261/VF232</f>
        <v>6.8650770096593497E-2</v>
      </c>
      <c r="VI261" s="3413"/>
      <c r="VJ261" s="3389"/>
      <c r="VK261" s="3389"/>
      <c r="VL261" s="3389">
        <f>VL232-VL235-VL237</f>
        <v>-5693165.6013787109</v>
      </c>
      <c r="VM261" s="3397">
        <f>VL261/VK232</f>
        <v>-5.5419858060491045E-2</v>
      </c>
      <c r="VN261" s="3413"/>
      <c r="VO261" s="3389"/>
      <c r="VP261" s="3389"/>
      <c r="VQ261" s="3389">
        <f>VQ232-VQ235-VQ237</f>
        <v>-8159.4290000000037</v>
      </c>
      <c r="VR261" s="3397">
        <f>VQ261/VP232</f>
        <v>-2.7017061577079327E-4</v>
      </c>
    </row>
    <row r="262" spans="1:590" s="453" customFormat="1" x14ac:dyDescent="0.3">
      <c r="A262" s="2616"/>
      <c r="B262" s="3195"/>
      <c r="C262" s="3427" t="s">
        <v>311</v>
      </c>
      <c r="D262" s="3428"/>
      <c r="E262" s="3428"/>
      <c r="F262" s="3428"/>
      <c r="G262" s="3429"/>
      <c r="H262" s="3315"/>
      <c r="I262" s="2727"/>
      <c r="J262" s="2727"/>
      <c r="K262" s="2727"/>
      <c r="L262" s="3316"/>
      <c r="M262" s="3317"/>
      <c r="N262" s="2727"/>
      <c r="O262" s="2725"/>
      <c r="P262" s="2724"/>
      <c r="Q262" s="3316"/>
      <c r="R262" s="3317"/>
      <c r="S262" s="2727"/>
      <c r="T262" s="2727"/>
      <c r="U262" s="2727"/>
      <c r="V262" s="3316"/>
      <c r="W262" s="3317"/>
      <c r="X262" s="2727"/>
      <c r="Y262" s="2727"/>
      <c r="Z262" s="2727"/>
      <c r="AA262" s="3318"/>
      <c r="AB262" s="3317"/>
      <c r="AC262" s="2727"/>
      <c r="AD262" s="2727"/>
      <c r="AE262" s="2727"/>
      <c r="AF262" s="3318"/>
      <c r="AG262" s="2727"/>
      <c r="AH262" s="2727"/>
      <c r="AI262" s="2727"/>
      <c r="AJ262" s="2727"/>
      <c r="AK262" s="3316"/>
      <c r="AL262" s="3319"/>
      <c r="AM262" s="3319"/>
      <c r="AN262" s="3319"/>
      <c r="AO262" s="3319"/>
      <c r="AP262" s="3320"/>
      <c r="AQ262" s="2727"/>
      <c r="AR262" s="2727"/>
      <c r="AS262" s="2727"/>
      <c r="AT262" s="2727"/>
      <c r="AU262" s="3316"/>
      <c r="AV262" s="3321"/>
      <c r="AW262" s="2727"/>
      <c r="AX262" s="2727"/>
      <c r="AY262" s="2727"/>
      <c r="AZ262" s="3318"/>
      <c r="BA262" s="3321"/>
      <c r="BB262" s="2727"/>
      <c r="BC262" s="2727"/>
      <c r="BD262" s="2727"/>
      <c r="BE262" s="3318"/>
      <c r="BF262" s="3322"/>
      <c r="BG262" s="3319"/>
      <c r="BH262" s="3319"/>
      <c r="BI262" s="3319"/>
      <c r="BJ262" s="3323"/>
      <c r="BK262" s="3321"/>
      <c r="BL262" s="2727"/>
      <c r="BM262" s="3430"/>
      <c r="BN262" s="2727"/>
      <c r="BO262" s="3318"/>
      <c r="BP262" s="2727"/>
      <c r="BQ262" s="2727"/>
      <c r="BR262" s="2727"/>
      <c r="BS262" s="2727"/>
      <c r="BT262" s="2727"/>
      <c r="BU262" s="2727"/>
      <c r="BV262" s="2727"/>
      <c r="BW262" s="3316"/>
      <c r="BX262" s="2727"/>
      <c r="BY262" s="2727"/>
      <c r="BZ262" s="2727"/>
      <c r="CA262" s="2727"/>
      <c r="CB262" s="2727"/>
      <c r="CC262" s="2727"/>
      <c r="CD262" s="2727"/>
      <c r="CE262" s="2727"/>
      <c r="CF262" s="2727"/>
      <c r="CG262" s="2727"/>
      <c r="CH262" s="2727"/>
      <c r="CI262" s="2727"/>
      <c r="CJ262" s="3317"/>
      <c r="CK262" s="2727"/>
      <c r="CL262" s="2727"/>
      <c r="CM262" s="3324"/>
      <c r="CN262" s="2727"/>
      <c r="CO262" s="3317"/>
      <c r="CP262" s="2727"/>
      <c r="CQ262" s="2727"/>
      <c r="CR262" s="2727"/>
      <c r="CS262" s="2727"/>
      <c r="CT262" s="3317"/>
      <c r="CU262" s="2727"/>
      <c r="CV262" s="2727"/>
      <c r="CW262" s="3430"/>
      <c r="CX262" s="3430"/>
      <c r="CY262" s="3317"/>
      <c r="CZ262" s="2727"/>
      <c r="DA262" s="2727"/>
      <c r="DB262" s="2727"/>
      <c r="DC262" s="2727"/>
      <c r="DD262" s="2727"/>
      <c r="DE262" s="2727"/>
      <c r="DF262" s="2727"/>
      <c r="DG262" s="2727"/>
      <c r="DH262" s="3317"/>
      <c r="DI262" s="3317"/>
      <c r="DJ262" s="2727"/>
      <c r="DK262" s="2727"/>
      <c r="DL262" s="2727"/>
      <c r="DM262" s="3317"/>
      <c r="DN262" s="3317"/>
      <c r="DO262" s="2727"/>
      <c r="DP262" s="2727"/>
      <c r="DQ262" s="2727"/>
      <c r="DR262" s="3317"/>
      <c r="DS262" s="3317"/>
      <c r="DT262" s="2727"/>
      <c r="DU262" s="2727"/>
      <c r="DV262" s="2727"/>
      <c r="DW262" s="2727"/>
      <c r="DX262" s="3317"/>
      <c r="DY262" s="2727"/>
      <c r="DZ262" s="2727"/>
      <c r="EA262" s="2727"/>
      <c r="EB262" s="3318"/>
      <c r="EC262" s="3317"/>
      <c r="ED262" s="2727"/>
      <c r="EE262" s="2727"/>
      <c r="EF262" s="2727"/>
      <c r="EG262" s="3317"/>
      <c r="EH262" s="2727"/>
      <c r="EI262" s="2727"/>
      <c r="EJ262" s="2727"/>
      <c r="EK262" s="2727"/>
      <c r="EL262" s="2727"/>
      <c r="EM262" s="3325"/>
      <c r="EN262" s="1126"/>
      <c r="EO262" s="1126"/>
      <c r="EP262" s="1126"/>
      <c r="EQ262" s="1126"/>
      <c r="ER262" s="2727"/>
      <c r="ES262" s="2727"/>
      <c r="ET262" s="2727"/>
      <c r="EU262" s="2727"/>
      <c r="EV262" s="2727"/>
      <c r="EW262" s="3317"/>
      <c r="EX262" s="2727"/>
      <c r="EY262" s="2727"/>
      <c r="EZ262" s="2727"/>
      <c r="FA262" s="2727"/>
      <c r="FB262" s="2727"/>
      <c r="FC262" s="2727"/>
      <c r="FD262" s="2727"/>
      <c r="FE262" s="2727"/>
      <c r="FF262" s="2727"/>
      <c r="FG262" s="2727"/>
      <c r="FH262" s="2727"/>
      <c r="FI262" s="2727"/>
      <c r="FJ262" s="2727"/>
      <c r="FK262" s="2727"/>
      <c r="FL262" s="2727"/>
      <c r="FM262" s="2727"/>
      <c r="FN262" s="3317"/>
      <c r="FO262" s="2727"/>
      <c r="FP262" s="2727"/>
      <c r="FQ262" s="2727"/>
      <c r="FR262" s="3326"/>
      <c r="FS262" s="3315"/>
      <c r="FT262" s="2727"/>
      <c r="FU262" s="2727"/>
      <c r="FV262" s="2727"/>
      <c r="FW262" s="3431"/>
      <c r="FX262" s="3432"/>
      <c r="FY262" s="2727"/>
      <c r="FZ262" s="2727"/>
      <c r="GA262" s="2727"/>
      <c r="GB262" s="3433"/>
      <c r="GC262" s="2616"/>
      <c r="GF262" s="2727"/>
      <c r="GG262" s="3434"/>
      <c r="GH262" s="1637"/>
      <c r="GI262" s="1978"/>
      <c r="GJ262" s="1978"/>
      <c r="GK262" s="1978"/>
      <c r="GL262" s="635"/>
      <c r="GM262" s="1693"/>
      <c r="GN262" s="1978"/>
      <c r="GO262" s="1978"/>
      <c r="GP262" s="1978"/>
      <c r="GQ262" s="695"/>
      <c r="GR262" s="1637"/>
      <c r="GS262" s="1978"/>
      <c r="GT262" s="1978"/>
      <c r="GU262" s="1978"/>
      <c r="GV262" s="635"/>
      <c r="GW262" s="1637"/>
      <c r="GX262" s="1978"/>
      <c r="GY262" s="1978"/>
      <c r="GZ262" s="1978"/>
      <c r="HA262" s="635"/>
      <c r="HB262" s="1637"/>
      <c r="HC262" s="1978"/>
      <c r="HD262" s="1978"/>
      <c r="HE262" s="1978"/>
      <c r="HF262" s="635"/>
      <c r="HG262" s="1637"/>
      <c r="HH262" s="1978"/>
      <c r="HI262" s="1978"/>
      <c r="HJ262" s="1978"/>
      <c r="HK262" s="635"/>
      <c r="HL262" s="1637"/>
      <c r="HM262" s="1978"/>
      <c r="HN262" s="1978"/>
      <c r="HO262" s="1978"/>
      <c r="HP262" s="635"/>
      <c r="HQ262" s="1637"/>
      <c r="HR262" s="823"/>
      <c r="HS262" s="823"/>
      <c r="HT262" s="823"/>
      <c r="HU262" s="73"/>
      <c r="HV262" s="1637"/>
      <c r="HW262" s="823"/>
      <c r="HX262" s="823"/>
      <c r="HZ262" s="73"/>
      <c r="IA262" s="1708"/>
      <c r="IC262" s="3435"/>
      <c r="IE262" s="3333"/>
      <c r="IF262" s="3334"/>
      <c r="IG262" s="2615"/>
      <c r="IH262" s="3336"/>
      <c r="II262" s="3333"/>
      <c r="IJ262" s="3334"/>
      <c r="IK262" s="3436"/>
      <c r="IL262" s="3336"/>
      <c r="IM262" s="3333"/>
      <c r="IN262" s="3334"/>
      <c r="IO262" s="3436"/>
      <c r="IP262" s="3336"/>
      <c r="IR262" s="3082"/>
      <c r="IV262" s="423"/>
      <c r="IW262" s="1708"/>
      <c r="JA262" s="76"/>
      <c r="JB262" s="3437"/>
      <c r="JF262" s="3438"/>
      <c r="JG262" s="3338"/>
      <c r="JK262" s="76"/>
      <c r="JL262" s="1637"/>
      <c r="JM262" s="1978"/>
      <c r="JN262" s="1978"/>
      <c r="JP262" s="635"/>
      <c r="JQ262" s="3439"/>
      <c r="JR262" s="1978"/>
      <c r="JS262" s="1978"/>
      <c r="JU262" s="635"/>
      <c r="JV262" s="2918"/>
      <c r="JW262" s="1978"/>
      <c r="JX262" s="1978"/>
      <c r="JZ262" s="635"/>
      <c r="KA262" s="1637"/>
      <c r="KB262" s="1978"/>
      <c r="KC262" s="1978"/>
      <c r="KE262" s="3353"/>
      <c r="KF262" s="2046"/>
      <c r="KG262" s="1978"/>
      <c r="KH262" s="1978"/>
      <c r="KJ262" s="635"/>
      <c r="KK262" s="3341"/>
      <c r="KL262" s="3284"/>
      <c r="KM262" s="3284"/>
      <c r="KO262" s="3353"/>
      <c r="KP262" s="1637"/>
      <c r="KQ262" s="1978"/>
      <c r="KR262" s="1978"/>
      <c r="KT262" s="3353"/>
      <c r="KU262" s="1637"/>
      <c r="KV262" s="823"/>
      <c r="KW262" s="823"/>
      <c r="KY262" s="76"/>
      <c r="KZ262" s="1637"/>
      <c r="LA262" s="823"/>
      <c r="LB262" s="823"/>
      <c r="LC262" s="873">
        <f>LC259</f>
        <v>1515767.5</v>
      </c>
      <c r="LD262" s="73"/>
      <c r="LE262" s="2616"/>
      <c r="LG262" s="3436"/>
      <c r="LH262" s="3438"/>
      <c r="LI262" s="3342"/>
      <c r="LJ262" s="3334"/>
      <c r="LK262" s="2615"/>
      <c r="LL262" s="3353"/>
      <c r="LM262" s="3343"/>
      <c r="LN262" s="3334"/>
      <c r="LO262" s="3436"/>
      <c r="LP262" s="3336"/>
      <c r="LQ262" s="3333"/>
      <c r="LR262" s="3334"/>
      <c r="LS262" s="3440"/>
      <c r="LT262" s="3336"/>
      <c r="LV262" s="1708"/>
      <c r="LY262" s="3441"/>
      <c r="LZ262" s="3442"/>
      <c r="MA262" s="1134"/>
      <c r="MD262" s="3441"/>
      <c r="ME262" s="3353"/>
      <c r="MF262" s="1708"/>
      <c r="MI262" s="3441"/>
      <c r="MJ262" s="3353"/>
      <c r="MK262" s="3346"/>
      <c r="MN262" s="3441"/>
      <c r="MO262" s="3353"/>
      <c r="MP262" s="3346"/>
      <c r="MS262" s="3441"/>
      <c r="MT262" s="3353"/>
      <c r="MU262" s="3347"/>
      <c r="MV262" s="3348"/>
      <c r="MW262" s="3348"/>
      <c r="MY262" s="3353"/>
      <c r="MZ262" s="3347"/>
      <c r="NA262" s="3348"/>
      <c r="NB262" s="3348"/>
      <c r="NC262" s="453">
        <f>NC259</f>
        <v>85339.5</v>
      </c>
      <c r="ND262" s="3353"/>
      <c r="NE262" s="3347"/>
      <c r="NF262" s="3348"/>
      <c r="NG262" s="3348"/>
      <c r="NH262" s="453">
        <f>NH259</f>
        <v>77609.849999999991</v>
      </c>
      <c r="NI262" s="3353"/>
      <c r="NJ262" s="1708"/>
      <c r="NL262" s="3349"/>
      <c r="NM262" s="453">
        <f>NM259</f>
        <v>79095</v>
      </c>
      <c r="NN262" s="3353"/>
      <c r="NO262" s="1134"/>
      <c r="NQ262" s="3349"/>
      <c r="NR262" s="453">
        <f>NR259</f>
        <v>89595</v>
      </c>
      <c r="NS262" s="3353"/>
      <c r="NT262" s="3350"/>
      <c r="NU262" s="2198"/>
      <c r="NV262" s="2198"/>
      <c r="NW262" s="453">
        <f>NW259</f>
        <v>77595</v>
      </c>
      <c r="NX262" s="3353"/>
      <c r="NY262" s="3351"/>
      <c r="NZ262" s="3348"/>
      <c r="OA262" s="3348"/>
      <c r="OB262" s="453">
        <f>OB259</f>
        <v>300973</v>
      </c>
      <c r="OC262" s="3353"/>
      <c r="OD262" s="1134"/>
      <c r="OG262" s="453">
        <f>OG259</f>
        <v>1296486.8499999999</v>
      </c>
      <c r="OH262" s="3353"/>
      <c r="OI262" s="1134"/>
      <c r="OM262" s="3353"/>
      <c r="ON262" s="1134"/>
      <c r="OR262" s="3353"/>
      <c r="OS262" s="1134"/>
      <c r="OW262" s="76"/>
      <c r="OX262" s="1134"/>
      <c r="PB262" s="76"/>
      <c r="PD262" s="1708"/>
      <c r="PG262" s="453">
        <f>PG259</f>
        <v>83897.4</v>
      </c>
      <c r="PH262" s="3353"/>
      <c r="PI262" s="1134"/>
      <c r="PL262" s="453">
        <f>PL259</f>
        <v>41892.6</v>
      </c>
      <c r="PM262" s="3353"/>
      <c r="PN262" s="1708"/>
      <c r="PQ262" s="453">
        <f>PQ259</f>
        <v>41892.6</v>
      </c>
      <c r="PR262" s="3353"/>
      <c r="PS262" s="3346"/>
      <c r="PV262" s="453">
        <f>PV259</f>
        <v>40949.25</v>
      </c>
      <c r="PW262" s="3353"/>
      <c r="PX262" s="3355"/>
      <c r="PY262" s="823"/>
      <c r="PZ262" s="823"/>
      <c r="QA262" s="453">
        <f>QA259</f>
        <v>88290</v>
      </c>
      <c r="QB262" s="3353"/>
      <c r="QC262" s="3347"/>
      <c r="QD262" s="3348"/>
      <c r="QE262" s="3348"/>
      <c r="QF262" s="453">
        <f>QF259</f>
        <v>86840.1</v>
      </c>
      <c r="QG262" s="3353"/>
      <c r="QH262" s="1708"/>
      <c r="QJ262" s="3349"/>
      <c r="QK262" s="453">
        <f>QK259</f>
        <v>168851.4</v>
      </c>
      <c r="QL262" s="3353"/>
      <c r="QM262" s="3347"/>
      <c r="QN262" s="3348"/>
      <c r="QO262" s="3348"/>
      <c r="QP262" s="453">
        <f>QP259</f>
        <v>138896.6</v>
      </c>
      <c r="QQ262" s="3353"/>
      <c r="QR262" s="1708"/>
      <c r="QT262" s="3349"/>
      <c r="QU262" s="453">
        <f>QU259</f>
        <v>121766.8</v>
      </c>
      <c r="QV262" s="144"/>
      <c r="QW262" s="1134"/>
      <c r="QY262" s="3349"/>
      <c r="QZ262" s="453">
        <f>QZ259</f>
        <v>304417</v>
      </c>
      <c r="RA262" s="3353"/>
      <c r="RB262" s="1633"/>
      <c r="RC262" s="823"/>
      <c r="RD262" s="2197"/>
      <c r="RE262" s="453">
        <f>RE259</f>
        <v>272676.40000000002</v>
      </c>
      <c r="RF262" s="76"/>
      <c r="RG262" s="1708"/>
      <c r="RJ262" s="453">
        <f>RJ259</f>
        <v>275580.40000000002</v>
      </c>
      <c r="RK262" s="76"/>
      <c r="RL262" s="1134"/>
      <c r="RO262" s="453">
        <f>RO259</f>
        <v>1665950.5500000003</v>
      </c>
      <c r="RP262" s="3353"/>
      <c r="RQ262" s="1134"/>
      <c r="RT262" s="453">
        <f>RT259</f>
        <v>83785.2</v>
      </c>
      <c r="RU262" s="3353"/>
      <c r="RV262" s="1134"/>
      <c r="RY262" s="453">
        <f>RY259</f>
        <v>394588.1</v>
      </c>
      <c r="RZ262" s="3353"/>
      <c r="SA262" s="1134"/>
      <c r="SD262" s="453">
        <f>SD259</f>
        <v>429514.80000000005</v>
      </c>
      <c r="SE262" s="3353"/>
      <c r="SF262" s="1134"/>
      <c r="SI262" s="453">
        <f>SI259</f>
        <v>852673.8</v>
      </c>
      <c r="SJ262" s="3353"/>
      <c r="SL262" s="1708"/>
      <c r="SO262" s="453">
        <f>SO259</f>
        <v>367379.5</v>
      </c>
      <c r="SP262" s="3353"/>
      <c r="SQ262" s="1134"/>
      <c r="ST262" s="453">
        <f>ST259</f>
        <v>257378</v>
      </c>
      <c r="SU262" s="3353"/>
      <c r="SV262" s="1637"/>
      <c r="SW262" s="823"/>
      <c r="SX262" s="823"/>
      <c r="SY262" s="823">
        <f>SY259</f>
        <v>169855.75</v>
      </c>
      <c r="SZ262" s="635"/>
      <c r="TA262" s="3355"/>
      <c r="TB262" s="823"/>
      <c r="TC262" s="823"/>
      <c r="TD262" s="823">
        <f>TD259</f>
        <v>171341</v>
      </c>
      <c r="TE262" s="635"/>
      <c r="TF262" s="3355"/>
      <c r="TG262" s="823"/>
      <c r="TH262" s="823"/>
      <c r="TI262" s="453">
        <f>TI259</f>
        <v>416485.5</v>
      </c>
      <c r="TJ262" s="3353"/>
      <c r="TK262" s="3347"/>
      <c r="TL262" s="3348"/>
      <c r="TM262" s="3348"/>
      <c r="TN262" s="453">
        <f>TN259</f>
        <v>386485.5</v>
      </c>
      <c r="TO262" s="3353"/>
      <c r="TP262" s="4433"/>
      <c r="TR262" s="3349"/>
      <c r="TS262" s="453">
        <f>TS259</f>
        <v>476485.5</v>
      </c>
      <c r="TT262" s="3353"/>
      <c r="TU262" s="5302"/>
      <c r="TV262" s="3348"/>
      <c r="TW262" s="3348"/>
      <c r="TX262" s="453">
        <f>TX259</f>
        <v>482484</v>
      </c>
      <c r="TY262" s="3353"/>
      <c r="TZ262" s="1708"/>
      <c r="UB262" s="3349"/>
      <c r="UC262" s="453">
        <f>UC259</f>
        <v>392011.8</v>
      </c>
      <c r="UD262" s="144"/>
      <c r="UE262" s="1134"/>
      <c r="UG262" s="3349"/>
      <c r="UH262" s="453">
        <f>UH259</f>
        <v>253273.5</v>
      </c>
      <c r="UI262" s="3353"/>
      <c r="UJ262" s="1633"/>
      <c r="UK262" s="823"/>
      <c r="UL262" s="2197"/>
      <c r="UM262" s="453">
        <f>UM259</f>
        <v>0</v>
      </c>
      <c r="UN262" s="76"/>
      <c r="UO262" s="1708"/>
      <c r="UR262" s="453">
        <f>UR259</f>
        <v>0</v>
      </c>
      <c r="US262" s="76"/>
      <c r="UT262" s="1134"/>
      <c r="UW262" s="453">
        <f>UW259</f>
        <v>3373180.05</v>
      </c>
      <c r="UX262" s="3353"/>
      <c r="UY262" s="1134"/>
      <c r="VB262" s="3443">
        <f>RN262+ST262+SY262</f>
        <v>427233.75</v>
      </c>
      <c r="VC262" s="3353"/>
      <c r="VD262" s="1134"/>
      <c r="VG262" s="3444">
        <f>TD262+TI262+TN262</f>
        <v>974312</v>
      </c>
      <c r="VH262" s="3353"/>
      <c r="VI262" s="1134"/>
      <c r="VL262" s="3445">
        <f>UC262+TX262+TS262</f>
        <v>1350981.3</v>
      </c>
      <c r="VM262" s="76"/>
      <c r="VN262" s="1134"/>
      <c r="VR262" s="76"/>
    </row>
    <row r="263" spans="1:590" s="453" customFormat="1" x14ac:dyDescent="0.3">
      <c r="A263" s="2616"/>
      <c r="B263" s="3195"/>
      <c r="C263" s="3427" t="s">
        <v>307</v>
      </c>
      <c r="D263" s="3428"/>
      <c r="E263" s="3428"/>
      <c r="F263" s="3428"/>
      <c r="G263" s="3446"/>
      <c r="H263" s="3315"/>
      <c r="I263" s="2727"/>
      <c r="J263" s="2727"/>
      <c r="K263" s="2727"/>
      <c r="L263" s="3316"/>
      <c r="M263" s="3317"/>
      <c r="N263" s="2727"/>
      <c r="O263" s="2725"/>
      <c r="P263" s="2724"/>
      <c r="Q263" s="3316"/>
      <c r="R263" s="3317"/>
      <c r="S263" s="2727"/>
      <c r="T263" s="2727"/>
      <c r="U263" s="2727"/>
      <c r="V263" s="3316"/>
      <c r="W263" s="3317"/>
      <c r="X263" s="2727"/>
      <c r="Y263" s="2727"/>
      <c r="Z263" s="2727"/>
      <c r="AA263" s="3318"/>
      <c r="AB263" s="3317"/>
      <c r="AC263" s="2727"/>
      <c r="AD263" s="2727"/>
      <c r="AE263" s="2727"/>
      <c r="AF263" s="3318"/>
      <c r="AG263" s="2727"/>
      <c r="AH263" s="2727"/>
      <c r="AI263" s="2727"/>
      <c r="AJ263" s="2727"/>
      <c r="AK263" s="3316"/>
      <c r="AL263" s="3319"/>
      <c r="AM263" s="3319"/>
      <c r="AN263" s="3319"/>
      <c r="AO263" s="3319"/>
      <c r="AP263" s="3320"/>
      <c r="AQ263" s="2727"/>
      <c r="AR263" s="2727"/>
      <c r="AS263" s="2727"/>
      <c r="AT263" s="2727"/>
      <c r="AU263" s="3316"/>
      <c r="AV263" s="3321"/>
      <c r="AW263" s="2727"/>
      <c r="AX263" s="2727"/>
      <c r="AY263" s="2727"/>
      <c r="AZ263" s="3318"/>
      <c r="BA263" s="3321"/>
      <c r="BB263" s="2727"/>
      <c r="BC263" s="2727"/>
      <c r="BD263" s="2727"/>
      <c r="BE263" s="3318"/>
      <c r="BF263" s="3322"/>
      <c r="BG263" s="3319"/>
      <c r="BH263" s="3319"/>
      <c r="BI263" s="3319"/>
      <c r="BJ263" s="3323"/>
      <c r="BK263" s="3321"/>
      <c r="BL263" s="2727"/>
      <c r="BM263" s="3430"/>
      <c r="BN263" s="2727"/>
      <c r="BO263" s="3318"/>
      <c r="BP263" s="2727"/>
      <c r="BQ263" s="2727"/>
      <c r="BR263" s="2727"/>
      <c r="BS263" s="2727"/>
      <c r="BT263" s="2727"/>
      <c r="BU263" s="2727"/>
      <c r="BV263" s="2727"/>
      <c r="BW263" s="3316"/>
      <c r="BX263" s="2727"/>
      <c r="BY263" s="2727"/>
      <c r="BZ263" s="2727"/>
      <c r="CA263" s="2727"/>
      <c r="CB263" s="2727"/>
      <c r="CC263" s="2727"/>
      <c r="CD263" s="2727"/>
      <c r="CE263" s="2727"/>
      <c r="CF263" s="2727"/>
      <c r="CG263" s="2727"/>
      <c r="CH263" s="2727"/>
      <c r="CI263" s="2727"/>
      <c r="CJ263" s="3317"/>
      <c r="CK263" s="2727"/>
      <c r="CL263" s="2727"/>
      <c r="CM263" s="3324"/>
      <c r="CN263" s="2727"/>
      <c r="CO263" s="3317"/>
      <c r="CP263" s="2727"/>
      <c r="CQ263" s="2727"/>
      <c r="CR263" s="2727"/>
      <c r="CS263" s="2727"/>
      <c r="CT263" s="3317"/>
      <c r="CU263" s="2727"/>
      <c r="CV263" s="2727"/>
      <c r="CW263" s="3430"/>
      <c r="CX263" s="3430"/>
      <c r="CY263" s="3317"/>
      <c r="CZ263" s="2727"/>
      <c r="DA263" s="2727"/>
      <c r="DB263" s="2727"/>
      <c r="DC263" s="2727"/>
      <c r="DD263" s="2727"/>
      <c r="DE263" s="2727"/>
      <c r="DF263" s="2727"/>
      <c r="DG263" s="2727"/>
      <c r="DH263" s="3317"/>
      <c r="DI263" s="3317"/>
      <c r="DJ263" s="2727"/>
      <c r="DK263" s="2727"/>
      <c r="DL263" s="2727"/>
      <c r="DM263" s="3317"/>
      <c r="DN263" s="3317"/>
      <c r="DO263" s="2727"/>
      <c r="DP263" s="2727"/>
      <c r="DQ263" s="2727"/>
      <c r="DR263" s="3317"/>
      <c r="DS263" s="3317"/>
      <c r="DT263" s="2727"/>
      <c r="DU263" s="2727"/>
      <c r="DV263" s="2727"/>
      <c r="DW263" s="2727"/>
      <c r="DX263" s="3317"/>
      <c r="DY263" s="2727"/>
      <c r="DZ263" s="2727"/>
      <c r="EA263" s="2727"/>
      <c r="EB263" s="3318"/>
      <c r="EC263" s="3317"/>
      <c r="ED263" s="2727"/>
      <c r="EE263" s="2727"/>
      <c r="EF263" s="2727"/>
      <c r="EG263" s="3317"/>
      <c r="EH263" s="2727"/>
      <c r="EI263" s="2727"/>
      <c r="EJ263" s="2727"/>
      <c r="EK263" s="2727"/>
      <c r="EL263" s="2727"/>
      <c r="EM263" s="3325"/>
      <c r="EN263" s="1126"/>
      <c r="EO263" s="1126"/>
      <c r="EP263" s="1126"/>
      <c r="EQ263" s="1126"/>
      <c r="ER263" s="2727"/>
      <c r="ES263" s="2727"/>
      <c r="ET263" s="2727"/>
      <c r="EU263" s="2727"/>
      <c r="EV263" s="2727"/>
      <c r="EW263" s="3317"/>
      <c r="EX263" s="2727"/>
      <c r="EY263" s="2727"/>
      <c r="EZ263" s="2727"/>
      <c r="FA263" s="2727"/>
      <c r="FB263" s="2727"/>
      <c r="FC263" s="2727"/>
      <c r="FD263" s="2727"/>
      <c r="FE263" s="2727"/>
      <c r="FF263" s="2727"/>
      <c r="FG263" s="2727"/>
      <c r="FH263" s="2727"/>
      <c r="FI263" s="2727"/>
      <c r="FJ263" s="2727"/>
      <c r="FK263" s="2727"/>
      <c r="FL263" s="2727"/>
      <c r="FM263" s="2727"/>
      <c r="FN263" s="3317"/>
      <c r="FO263" s="2727"/>
      <c r="FP263" s="2727"/>
      <c r="FQ263" s="2727"/>
      <c r="FR263" s="3326"/>
      <c r="FS263" s="3315"/>
      <c r="FT263" s="2727"/>
      <c r="FU263" s="2727"/>
      <c r="FV263" s="2727"/>
      <c r="FW263" s="3431"/>
      <c r="FX263" s="3432"/>
      <c r="FY263" s="2727"/>
      <c r="FZ263" s="2727"/>
      <c r="GA263" s="2727"/>
      <c r="GB263" s="3433"/>
      <c r="GC263" s="2616"/>
      <c r="GF263" s="2727"/>
      <c r="GG263" s="3434"/>
      <c r="GH263" s="1637"/>
      <c r="GI263" s="1978"/>
      <c r="GJ263" s="1978"/>
      <c r="GK263" s="1978"/>
      <c r="GL263" s="635"/>
      <c r="GM263" s="1693"/>
      <c r="GN263" s="1978"/>
      <c r="GO263" s="1978"/>
      <c r="GP263" s="1978"/>
      <c r="GQ263" s="695"/>
      <c r="GR263" s="1637"/>
      <c r="GS263" s="1978"/>
      <c r="GT263" s="1978"/>
      <c r="GU263" s="1978"/>
      <c r="GV263" s="635"/>
      <c r="GW263" s="1637"/>
      <c r="GX263" s="1978"/>
      <c r="GY263" s="1978"/>
      <c r="GZ263" s="1978"/>
      <c r="HA263" s="635"/>
      <c r="HB263" s="1637"/>
      <c r="HC263" s="1978"/>
      <c r="HD263" s="1978"/>
      <c r="HE263" s="1978"/>
      <c r="HF263" s="635"/>
      <c r="HG263" s="1637"/>
      <c r="HH263" s="1978"/>
      <c r="HI263" s="1978"/>
      <c r="HJ263" s="1978"/>
      <c r="HK263" s="635"/>
      <c r="HL263" s="1637"/>
      <c r="HM263" s="1978"/>
      <c r="HN263" s="1978"/>
      <c r="HO263" s="1978"/>
      <c r="HP263" s="635"/>
      <c r="HQ263" s="1637"/>
      <c r="HR263" s="823"/>
      <c r="HS263" s="823"/>
      <c r="HT263" s="823"/>
      <c r="HU263" s="73"/>
      <c r="HV263" s="1637"/>
      <c r="HW263" s="823"/>
      <c r="HX263" s="823"/>
      <c r="HZ263" s="73"/>
      <c r="IA263" s="1708"/>
      <c r="IC263" s="3435"/>
      <c r="IE263" s="3333"/>
      <c r="IF263" s="3334"/>
      <c r="IG263" s="2615"/>
      <c r="IH263" s="3336"/>
      <c r="II263" s="3333"/>
      <c r="IJ263" s="3334"/>
      <c r="IK263" s="3436"/>
      <c r="IL263" s="3336"/>
      <c r="IM263" s="3333"/>
      <c r="IN263" s="3334"/>
      <c r="IO263" s="3436"/>
      <c r="IP263" s="3336"/>
      <c r="IR263" s="3082"/>
      <c r="IV263" s="423"/>
      <c r="IW263" s="1708"/>
      <c r="JA263" s="76"/>
      <c r="JB263" s="3437"/>
      <c r="JF263" s="3438"/>
      <c r="JG263" s="3338"/>
      <c r="JK263" s="76"/>
      <c r="JL263" s="1637"/>
      <c r="JM263" s="1978"/>
      <c r="JN263" s="1978"/>
      <c r="JP263" s="635"/>
      <c r="JQ263" s="3439"/>
      <c r="JR263" s="1978"/>
      <c r="JS263" s="1978"/>
      <c r="JU263" s="635"/>
      <c r="JV263" s="2918"/>
      <c r="JW263" s="1978"/>
      <c r="JX263" s="1978"/>
      <c r="JZ263" s="635"/>
      <c r="KA263" s="1637"/>
      <c r="KB263" s="1978"/>
      <c r="KC263" s="1978"/>
      <c r="KE263" s="3353"/>
      <c r="KF263" s="2046"/>
      <c r="KG263" s="1978"/>
      <c r="KH263" s="1978"/>
      <c r="KJ263" s="635"/>
      <c r="KK263" s="3341"/>
      <c r="KL263" s="3284"/>
      <c r="KM263" s="3284"/>
      <c r="KO263" s="3353"/>
      <c r="KP263" s="1637"/>
      <c r="KQ263" s="1978"/>
      <c r="KR263" s="1978"/>
      <c r="KT263" s="3353"/>
      <c r="KU263" s="1637"/>
      <c r="KV263" s="823"/>
      <c r="KW263" s="823"/>
      <c r="KY263" s="76"/>
      <c r="KZ263" s="1637"/>
      <c r="LA263" s="823"/>
      <c r="LB263" s="823"/>
      <c r="LC263" s="873">
        <f>LC258</f>
        <v>2031477.5999999999</v>
      </c>
      <c r="LD263" s="73"/>
      <c r="LE263" s="2616"/>
      <c r="LG263" s="3436"/>
      <c r="LH263" s="3438"/>
      <c r="LI263" s="3342"/>
      <c r="LJ263" s="3334"/>
      <c r="LK263" s="2615"/>
      <c r="LL263" s="3353"/>
      <c r="LM263" s="3343"/>
      <c r="LN263" s="3334"/>
      <c r="LO263" s="3436"/>
      <c r="LP263" s="3336"/>
      <c r="LQ263" s="3333"/>
      <c r="LR263" s="3334"/>
      <c r="LS263" s="3440"/>
      <c r="LT263" s="3336"/>
      <c r="LV263" s="1708"/>
      <c r="LY263" s="3441"/>
      <c r="LZ263" s="3442"/>
      <c r="MA263" s="1134"/>
      <c r="MD263" s="3441"/>
      <c r="ME263" s="3353"/>
      <c r="MF263" s="1708"/>
      <c r="MI263" s="3441"/>
      <c r="MJ263" s="3353"/>
      <c r="MK263" s="3346"/>
      <c r="MN263" s="3441"/>
      <c r="MO263" s="3353"/>
      <c r="MP263" s="3346"/>
      <c r="MS263" s="3441"/>
      <c r="MT263" s="3353"/>
      <c r="MU263" s="3347"/>
      <c r="MV263" s="3348"/>
      <c r="MW263" s="3348"/>
      <c r="MY263" s="3353"/>
      <c r="MZ263" s="3347"/>
      <c r="NA263" s="3348"/>
      <c r="NB263" s="3348"/>
      <c r="NC263" s="453">
        <f>NC258</f>
        <v>0</v>
      </c>
      <c r="ND263" s="3353"/>
      <c r="NE263" s="3347"/>
      <c r="NF263" s="3348"/>
      <c r="NG263" s="3348"/>
      <c r="NH263" s="453">
        <f>NH258</f>
        <v>0</v>
      </c>
      <c r="NI263" s="3353"/>
      <c r="NJ263" s="1708"/>
      <c r="NL263" s="3349"/>
      <c r="NM263" s="453">
        <f>NM258</f>
        <v>0</v>
      </c>
      <c r="NN263" s="3353"/>
      <c r="NO263" s="1134"/>
      <c r="NQ263" s="3349"/>
      <c r="NR263" s="453">
        <f>NR258</f>
        <v>0</v>
      </c>
      <c r="NS263" s="3353"/>
      <c r="NT263" s="3350"/>
      <c r="NU263" s="2198"/>
      <c r="NV263" s="2198"/>
      <c r="NW263" s="453">
        <f>NW258</f>
        <v>0</v>
      </c>
      <c r="NX263" s="3353"/>
      <c r="NY263" s="3351"/>
      <c r="NZ263" s="3348"/>
      <c r="OA263" s="3348"/>
      <c r="OB263" s="453">
        <f>OB258</f>
        <v>967558.5</v>
      </c>
      <c r="OC263" s="3353"/>
      <c r="OD263" s="1134"/>
      <c r="OG263" s="453">
        <f>OG258</f>
        <v>967558.5</v>
      </c>
      <c r="OH263" s="3353"/>
      <c r="OI263" s="1134"/>
      <c r="OM263" s="3353"/>
      <c r="ON263" s="1134"/>
      <c r="OR263" s="3353"/>
      <c r="OS263" s="1134"/>
      <c r="OW263" s="76"/>
      <c r="OX263" s="1134"/>
      <c r="PB263" s="76"/>
      <c r="PD263" s="1708"/>
      <c r="PG263" s="453">
        <f>PG258</f>
        <v>0</v>
      </c>
      <c r="PH263" s="3353"/>
      <c r="PI263" s="1134"/>
      <c r="PL263" s="453">
        <f>PL258</f>
        <v>0</v>
      </c>
      <c r="PM263" s="3353"/>
      <c r="PN263" s="1708"/>
      <c r="PQ263" s="453">
        <f>PQ258</f>
        <v>0</v>
      </c>
      <c r="PR263" s="3353"/>
      <c r="PS263" s="3346"/>
      <c r="PV263" s="453">
        <f>PV258</f>
        <v>0</v>
      </c>
      <c r="PW263" s="3353"/>
      <c r="PX263" s="3355"/>
      <c r="PY263" s="823"/>
      <c r="PZ263" s="823"/>
      <c r="QA263" s="453">
        <f>QA258</f>
        <v>0</v>
      </c>
      <c r="QB263" s="3353"/>
      <c r="QC263" s="3347"/>
      <c r="QD263" s="3348"/>
      <c r="QE263" s="3348"/>
      <c r="QF263" s="453">
        <f>QF258</f>
        <v>0</v>
      </c>
      <c r="QG263" s="3353"/>
      <c r="QH263" s="1708"/>
      <c r="QJ263" s="3349"/>
      <c r="QL263" s="3353"/>
      <c r="QM263" s="3347"/>
      <c r="QN263" s="3348"/>
      <c r="QO263" s="3348"/>
      <c r="QQ263" s="3353"/>
      <c r="QR263" s="1708"/>
      <c r="QT263" s="3349"/>
      <c r="QV263" s="144"/>
      <c r="QW263" s="1134"/>
      <c r="QY263" s="3349"/>
      <c r="RA263" s="3353"/>
      <c r="RB263" s="1633"/>
      <c r="RC263" s="823"/>
      <c r="RD263" s="2197"/>
      <c r="RE263" s="453">
        <v>0</v>
      </c>
      <c r="RF263" s="76"/>
      <c r="RG263" s="1708"/>
      <c r="RJ263" s="453">
        <f>RJ258</f>
        <v>1612597.5</v>
      </c>
      <c r="RK263" s="76"/>
      <c r="RL263" s="1134"/>
      <c r="RO263" s="453">
        <f>RO258</f>
        <v>1612597.5</v>
      </c>
      <c r="RP263" s="3353"/>
      <c r="RQ263" s="1134"/>
      <c r="RT263" s="453">
        <f>RT258</f>
        <v>0</v>
      </c>
      <c r="RU263" s="3353"/>
      <c r="RV263" s="1134"/>
      <c r="RY263" s="453">
        <f>RY258</f>
        <v>0</v>
      </c>
      <c r="RZ263" s="3353"/>
      <c r="SA263" s="1134"/>
      <c r="SD263" s="453">
        <f>SD258</f>
        <v>0</v>
      </c>
      <c r="SE263" s="3353"/>
      <c r="SF263" s="1134"/>
      <c r="SI263" s="453">
        <f>SI258</f>
        <v>1612597.5</v>
      </c>
      <c r="SJ263" s="3353"/>
      <c r="SL263" s="1708"/>
      <c r="SO263" s="453">
        <f>SO258</f>
        <v>200000</v>
      </c>
      <c r="SP263" s="3353"/>
      <c r="SQ263" s="1134"/>
      <c r="ST263" s="453">
        <f>ST258</f>
        <v>200000</v>
      </c>
      <c r="SU263" s="3353"/>
      <c r="SV263" s="1637"/>
      <c r="SW263" s="823"/>
      <c r="SX263" s="823"/>
      <c r="SY263" s="823">
        <f>SY258</f>
        <v>150000</v>
      </c>
      <c r="SZ263" s="635"/>
      <c r="TA263" s="3355"/>
      <c r="TB263" s="823"/>
      <c r="TC263" s="823"/>
      <c r="TD263" s="823">
        <f>TD258</f>
        <v>0</v>
      </c>
      <c r="TE263" s="635"/>
      <c r="TF263" s="3355"/>
      <c r="TG263" s="823"/>
      <c r="TH263" s="823"/>
      <c r="TI263" s="453">
        <f>TI258</f>
        <v>0</v>
      </c>
      <c r="TJ263" s="3353"/>
      <c r="TK263" s="3347"/>
      <c r="TL263" s="3348"/>
      <c r="TM263" s="3348"/>
      <c r="TN263" s="453">
        <f>TN258</f>
        <v>0</v>
      </c>
      <c r="TO263" s="3353"/>
      <c r="TP263" s="4433"/>
      <c r="TR263" s="3349"/>
      <c r="TT263" s="3353"/>
      <c r="TU263" s="5302"/>
      <c r="TV263" s="3348"/>
      <c r="TW263" s="3348"/>
      <c r="TY263" s="3353"/>
      <c r="TZ263" s="1708"/>
      <c r="UB263" s="3349"/>
      <c r="UD263" s="144"/>
      <c r="UE263" s="1134"/>
      <c r="UG263" s="3349"/>
      <c r="UI263" s="3353"/>
      <c r="UJ263" s="1633"/>
      <c r="UK263" s="823"/>
      <c r="UL263" s="2197"/>
      <c r="UM263" s="453">
        <v>0</v>
      </c>
      <c r="UN263" s="76"/>
      <c r="UO263" s="1708"/>
      <c r="UR263" s="453">
        <f>UR258</f>
        <v>0</v>
      </c>
      <c r="US263" s="76"/>
      <c r="UT263" s="1134"/>
      <c r="UW263" s="453">
        <f>UW258</f>
        <v>550000</v>
      </c>
      <c r="UX263" s="3353"/>
      <c r="UY263" s="1134"/>
      <c r="VB263" s="3440">
        <f>RN263+ST263+SY263</f>
        <v>350000</v>
      </c>
      <c r="VC263" s="3353"/>
      <c r="VD263" s="1134"/>
      <c r="VG263" s="2057">
        <f>TD263+TI263+TN263</f>
        <v>0</v>
      </c>
      <c r="VH263" s="3353"/>
      <c r="VI263" s="1134"/>
      <c r="VM263" s="76"/>
      <c r="VN263" s="1134"/>
      <c r="VR263" s="76"/>
    </row>
    <row r="264" spans="1:590" s="453" customFormat="1" x14ac:dyDescent="0.3">
      <c r="A264" s="2616"/>
      <c r="B264" s="3195"/>
      <c r="C264" s="4641" t="s">
        <v>465</v>
      </c>
      <c r="D264" s="4642"/>
      <c r="E264" s="4642"/>
      <c r="F264" s="4642"/>
      <c r="G264" s="4643" t="s">
        <v>306</v>
      </c>
      <c r="H264" s="4644"/>
      <c r="I264" s="4645"/>
      <c r="J264" s="4645"/>
      <c r="K264" s="4645"/>
      <c r="L264" s="4646"/>
      <c r="M264" s="4647"/>
      <c r="N264" s="4645"/>
      <c r="O264" s="4648"/>
      <c r="P264" s="4649"/>
      <c r="Q264" s="4646"/>
      <c r="R264" s="4647"/>
      <c r="S264" s="4645"/>
      <c r="T264" s="4645"/>
      <c r="U264" s="4645"/>
      <c r="V264" s="4646"/>
      <c r="W264" s="4647"/>
      <c r="X264" s="4645"/>
      <c r="Y264" s="4645"/>
      <c r="Z264" s="4645"/>
      <c r="AA264" s="4650"/>
      <c r="AB264" s="4647"/>
      <c r="AC264" s="4645"/>
      <c r="AD264" s="4645"/>
      <c r="AE264" s="4645"/>
      <c r="AF264" s="4650"/>
      <c r="AG264" s="4645"/>
      <c r="AH264" s="4645"/>
      <c r="AI264" s="4645"/>
      <c r="AJ264" s="4645"/>
      <c r="AK264" s="4646"/>
      <c r="AL264" s="4651"/>
      <c r="AM264" s="4651"/>
      <c r="AN264" s="4651"/>
      <c r="AO264" s="4651"/>
      <c r="AP264" s="4652"/>
      <c r="AQ264" s="4645"/>
      <c r="AR264" s="4645"/>
      <c r="AS264" s="4645"/>
      <c r="AT264" s="4645"/>
      <c r="AU264" s="4646"/>
      <c r="AV264" s="4653"/>
      <c r="AW264" s="4645"/>
      <c r="AX264" s="4645"/>
      <c r="AY264" s="4645"/>
      <c r="AZ264" s="4650"/>
      <c r="BA264" s="4653"/>
      <c r="BB264" s="4645"/>
      <c r="BC264" s="4645"/>
      <c r="BD264" s="4645"/>
      <c r="BE264" s="4650"/>
      <c r="BF264" s="4654"/>
      <c r="BG264" s="4651"/>
      <c r="BH264" s="4651"/>
      <c r="BI264" s="4651"/>
      <c r="BJ264" s="4655"/>
      <c r="BK264" s="4653"/>
      <c r="BL264" s="4645"/>
      <c r="BM264" s="4656"/>
      <c r="BN264" s="4645"/>
      <c r="BO264" s="4650"/>
      <c r="BP264" s="4645"/>
      <c r="BQ264" s="4645"/>
      <c r="BR264" s="4645"/>
      <c r="BS264" s="4645"/>
      <c r="BT264" s="4645"/>
      <c r="BU264" s="4645"/>
      <c r="BV264" s="4645"/>
      <c r="BW264" s="4646"/>
      <c r="BX264" s="4645"/>
      <c r="BY264" s="4645"/>
      <c r="BZ264" s="4645"/>
      <c r="CA264" s="4645"/>
      <c r="CB264" s="4645"/>
      <c r="CC264" s="4645"/>
      <c r="CD264" s="4645"/>
      <c r="CE264" s="4645"/>
      <c r="CF264" s="4645"/>
      <c r="CG264" s="4645"/>
      <c r="CH264" s="4645"/>
      <c r="CI264" s="4645"/>
      <c r="CJ264" s="4647"/>
      <c r="CK264" s="4645"/>
      <c r="CL264" s="4645"/>
      <c r="CM264" s="4657"/>
      <c r="CN264" s="4645"/>
      <c r="CO264" s="4647"/>
      <c r="CP264" s="4645"/>
      <c r="CQ264" s="4645"/>
      <c r="CR264" s="4645"/>
      <c r="CS264" s="4645"/>
      <c r="CT264" s="4647"/>
      <c r="CU264" s="4645"/>
      <c r="CV264" s="4645"/>
      <c r="CW264" s="4656"/>
      <c r="CX264" s="4656"/>
      <c r="CY264" s="4647"/>
      <c r="CZ264" s="4645"/>
      <c r="DA264" s="4645"/>
      <c r="DB264" s="4645"/>
      <c r="DC264" s="4645"/>
      <c r="DD264" s="4645"/>
      <c r="DE264" s="4645"/>
      <c r="DF264" s="4645"/>
      <c r="DG264" s="4645"/>
      <c r="DH264" s="4647"/>
      <c r="DI264" s="4647"/>
      <c r="DJ264" s="4645"/>
      <c r="DK264" s="4645"/>
      <c r="DL264" s="4645"/>
      <c r="DM264" s="4647"/>
      <c r="DN264" s="4647"/>
      <c r="DO264" s="4645"/>
      <c r="DP264" s="4645"/>
      <c r="DQ264" s="4645"/>
      <c r="DR264" s="4647"/>
      <c r="DS264" s="4647"/>
      <c r="DT264" s="4645"/>
      <c r="DU264" s="4645"/>
      <c r="DV264" s="4645"/>
      <c r="DW264" s="4645"/>
      <c r="DX264" s="4647"/>
      <c r="DY264" s="4645"/>
      <c r="DZ264" s="4645"/>
      <c r="EA264" s="4645"/>
      <c r="EB264" s="4650"/>
      <c r="EC264" s="4647"/>
      <c r="ED264" s="4645"/>
      <c r="EE264" s="4645"/>
      <c r="EF264" s="4645"/>
      <c r="EG264" s="4647"/>
      <c r="EH264" s="4645"/>
      <c r="EI264" s="4645"/>
      <c r="EJ264" s="4645"/>
      <c r="EK264" s="4645"/>
      <c r="EL264" s="4645"/>
      <c r="EM264" s="4658"/>
      <c r="EN264" s="4659"/>
      <c r="EO264" s="4659"/>
      <c r="EP264" s="4659"/>
      <c r="EQ264" s="4659"/>
      <c r="ER264" s="4645"/>
      <c r="ES264" s="4645"/>
      <c r="ET264" s="4645"/>
      <c r="EU264" s="4645"/>
      <c r="EV264" s="4645"/>
      <c r="EW264" s="4647"/>
      <c r="EX264" s="4645"/>
      <c r="EY264" s="4645"/>
      <c r="EZ264" s="4645"/>
      <c r="FA264" s="4645"/>
      <c r="FB264" s="4645"/>
      <c r="FC264" s="4645"/>
      <c r="FD264" s="4645"/>
      <c r="FE264" s="4645"/>
      <c r="FF264" s="4645"/>
      <c r="FG264" s="4645"/>
      <c r="FH264" s="4645"/>
      <c r="FI264" s="4645"/>
      <c r="FJ264" s="4645"/>
      <c r="FK264" s="4645"/>
      <c r="FL264" s="4645"/>
      <c r="FM264" s="4645"/>
      <c r="FN264" s="4647"/>
      <c r="FO264" s="4645"/>
      <c r="FP264" s="4645"/>
      <c r="FQ264" s="4645"/>
      <c r="FR264" s="4660"/>
      <c r="FS264" s="4644"/>
      <c r="FT264" s="4645"/>
      <c r="FU264" s="4645"/>
      <c r="FV264" s="4645"/>
      <c r="FW264" s="4661"/>
      <c r="FX264" s="4662"/>
      <c r="FY264" s="4645"/>
      <c r="FZ264" s="4645"/>
      <c r="GA264" s="4645"/>
      <c r="GB264" s="4663"/>
      <c r="GC264" s="4664"/>
      <c r="GD264" s="4665"/>
      <c r="GE264" s="4665"/>
      <c r="GF264" s="4645"/>
      <c r="GG264" s="4666"/>
      <c r="GH264" s="4667"/>
      <c r="GI264" s="4668"/>
      <c r="GJ264" s="4668"/>
      <c r="GK264" s="4668"/>
      <c r="GL264" s="4669"/>
      <c r="GM264" s="4670"/>
      <c r="GN264" s="4668"/>
      <c r="GO264" s="4668"/>
      <c r="GP264" s="4668"/>
      <c r="GQ264" s="4671"/>
      <c r="GR264" s="4667"/>
      <c r="GS264" s="4668"/>
      <c r="GT264" s="4668"/>
      <c r="GU264" s="4668"/>
      <c r="GV264" s="4669"/>
      <c r="GW264" s="4667"/>
      <c r="GX264" s="4668"/>
      <c r="GY264" s="4668"/>
      <c r="GZ264" s="4668"/>
      <c r="HA264" s="4669"/>
      <c r="HB264" s="4667"/>
      <c r="HC264" s="4668"/>
      <c r="HD264" s="4668"/>
      <c r="HE264" s="4668"/>
      <c r="HF264" s="4669"/>
      <c r="HG264" s="4667"/>
      <c r="HH264" s="4668"/>
      <c r="HI264" s="4668"/>
      <c r="HJ264" s="4668"/>
      <c r="HK264" s="4669"/>
      <c r="HL264" s="4667"/>
      <c r="HM264" s="4668"/>
      <c r="HN264" s="4668"/>
      <c r="HO264" s="4668"/>
      <c r="HP264" s="4669"/>
      <c r="HQ264" s="4667"/>
      <c r="HR264" s="4672"/>
      <c r="HS264" s="4672"/>
      <c r="HT264" s="4672"/>
      <c r="HU264" s="4673"/>
      <c r="HV264" s="4667"/>
      <c r="HW264" s="4672"/>
      <c r="HX264" s="4672"/>
      <c r="HY264" s="4665"/>
      <c r="HZ264" s="4673"/>
      <c r="IA264" s="4674"/>
      <c r="IB264" s="4665"/>
      <c r="IC264" s="4675"/>
      <c r="ID264" s="4665"/>
      <c r="IE264" s="4676"/>
      <c r="IF264" s="4677"/>
      <c r="IG264" s="4678"/>
      <c r="IH264" s="4679"/>
      <c r="II264" s="4676"/>
      <c r="IJ264" s="4677"/>
      <c r="IK264" s="4680"/>
      <c r="IL264" s="4679"/>
      <c r="IM264" s="4676"/>
      <c r="IN264" s="4677"/>
      <c r="IO264" s="4680"/>
      <c r="IP264" s="4679"/>
      <c r="IQ264" s="4665"/>
      <c r="IR264" s="4681"/>
      <c r="IS264" s="4665"/>
      <c r="IT264" s="4665"/>
      <c r="IU264" s="4665"/>
      <c r="IV264" s="4682"/>
      <c r="IW264" s="4674"/>
      <c r="IX264" s="4665"/>
      <c r="IY264" s="4665"/>
      <c r="IZ264" s="4665"/>
      <c r="JA264" s="4683"/>
      <c r="JB264" s="4684"/>
      <c r="JC264" s="4665"/>
      <c r="JD264" s="4665"/>
      <c r="JE264" s="4665"/>
      <c r="JF264" s="4685"/>
      <c r="JG264" s="4686"/>
      <c r="JH264" s="4665"/>
      <c r="JI264" s="4665"/>
      <c r="JJ264" s="4665"/>
      <c r="JK264" s="4683"/>
      <c r="JL264" s="4667"/>
      <c r="JM264" s="4668"/>
      <c r="JN264" s="4668"/>
      <c r="JO264" s="4665"/>
      <c r="JP264" s="4669"/>
      <c r="JQ264" s="4687"/>
      <c r="JR264" s="4668"/>
      <c r="JS264" s="4668"/>
      <c r="JT264" s="4665"/>
      <c r="JU264" s="4669"/>
      <c r="JV264" s="4688"/>
      <c r="JW264" s="4668"/>
      <c r="JX264" s="4668"/>
      <c r="JY264" s="4665"/>
      <c r="JZ264" s="4669"/>
      <c r="KA264" s="4667"/>
      <c r="KB264" s="4668"/>
      <c r="KC264" s="4668"/>
      <c r="KD264" s="4665"/>
      <c r="KE264" s="4689"/>
      <c r="KF264" s="4690"/>
      <c r="KG264" s="4668"/>
      <c r="KH264" s="4668"/>
      <c r="KI264" s="4665"/>
      <c r="KJ264" s="4669"/>
      <c r="KK264" s="4691"/>
      <c r="KL264" s="4692"/>
      <c r="KM264" s="4692"/>
      <c r="KN264" s="4665"/>
      <c r="KO264" s="4689"/>
      <c r="KP264" s="4667"/>
      <c r="KQ264" s="4668"/>
      <c r="KR264" s="4668"/>
      <c r="KS264" s="4665"/>
      <c r="KT264" s="4689"/>
      <c r="KU264" s="4667"/>
      <c r="KV264" s="4672"/>
      <c r="KW264" s="4672"/>
      <c r="KX264" s="4665"/>
      <c r="KY264" s="4683"/>
      <c r="KZ264" s="4667"/>
      <c r="LA264" s="4672"/>
      <c r="LB264" s="4672"/>
      <c r="LC264" s="4693">
        <f>LC261+LC262+LC263</f>
        <v>19461714.268376343</v>
      </c>
      <c r="LD264" s="4673"/>
      <c r="LE264" s="4664"/>
      <c r="LF264" s="4665"/>
      <c r="LG264" s="4680"/>
      <c r="LH264" s="4685"/>
      <c r="LI264" s="4694"/>
      <c r="LJ264" s="4677"/>
      <c r="LK264" s="4678"/>
      <c r="LL264" s="4689"/>
      <c r="LM264" s="4695"/>
      <c r="LN264" s="4677"/>
      <c r="LO264" s="4680"/>
      <c r="LP264" s="4679"/>
      <c r="LQ264" s="4676"/>
      <c r="LR264" s="4677"/>
      <c r="LS264" s="4696"/>
      <c r="LT264" s="4679"/>
      <c r="LU264" s="4697"/>
      <c r="LV264" s="4674"/>
      <c r="LW264" s="4665"/>
      <c r="LX264" s="4665"/>
      <c r="LY264" s="4698"/>
      <c r="LZ264" s="4699"/>
      <c r="MA264" s="4700"/>
      <c r="MB264" s="4665"/>
      <c r="MC264" s="4665"/>
      <c r="MD264" s="4698"/>
      <c r="ME264" s="4689"/>
      <c r="MF264" s="4674"/>
      <c r="MG264" s="4665"/>
      <c r="MH264" s="4665"/>
      <c r="MI264" s="4698"/>
      <c r="MJ264" s="4689"/>
      <c r="MK264" s="4701"/>
      <c r="ML264" s="4665"/>
      <c r="MM264" s="4665"/>
      <c r="MN264" s="4698"/>
      <c r="MO264" s="4689"/>
      <c r="MP264" s="4701"/>
      <c r="MQ264" s="4665"/>
      <c r="MR264" s="4665"/>
      <c r="MS264" s="4698"/>
      <c r="MT264" s="4689"/>
      <c r="MU264" s="4702"/>
      <c r="MV264" s="4703"/>
      <c r="MW264" s="4703"/>
      <c r="MX264" s="4665"/>
      <c r="MY264" s="4689"/>
      <c r="MZ264" s="4702"/>
      <c r="NA264" s="4703"/>
      <c r="NB264" s="4703"/>
      <c r="NC264" s="4665">
        <f>NC261+NC262+NC263</f>
        <v>1565719.5699999998</v>
      </c>
      <c r="ND264" s="4683">
        <f>NC264/NB232</f>
        <v>0.12315258574247669</v>
      </c>
      <c r="NE264" s="4702"/>
      <c r="NF264" s="4703"/>
      <c r="NG264" s="4703"/>
      <c r="NH264" s="4665">
        <f>NH261+NH262+NH263</f>
        <v>2293619.17</v>
      </c>
      <c r="NI264" s="4683">
        <f>NH264/NG232</f>
        <v>0.14480199035313793</v>
      </c>
      <c r="NJ264" s="4674"/>
      <c r="NK264" s="4665"/>
      <c r="NL264" s="4704"/>
      <c r="NM264" s="4665">
        <f>NM261+NM262+NM263</f>
        <v>1145396.398064516</v>
      </c>
      <c r="NN264" s="4683">
        <f>NM264/NL232</f>
        <v>8.2536986166590151E-2</v>
      </c>
      <c r="NO264" s="4700"/>
      <c r="NP264" s="4665"/>
      <c r="NQ264" s="4704"/>
      <c r="NR264" s="4665">
        <f>NR261+NR262+NR263</f>
        <v>1649742.56</v>
      </c>
      <c r="NS264" s="4683">
        <f>NR264/NQ232</f>
        <v>0.10917265497896066</v>
      </c>
      <c r="NT264" s="4705"/>
      <c r="NU264" s="4706"/>
      <c r="NV264" s="4706"/>
      <c r="NW264" s="4665">
        <f>NW261+NW262+NW263</f>
        <v>1823227.4585714287</v>
      </c>
      <c r="NX264" s="4683">
        <f>NW264/NV232</f>
        <v>0.11803902981706049</v>
      </c>
      <c r="NY264" s="4707"/>
      <c r="NZ264" s="4703"/>
      <c r="OA264" s="4703"/>
      <c r="OB264" s="4665">
        <f>OB261+OB262+OB263</f>
        <v>698783.53967741784</v>
      </c>
      <c r="OC264" s="4683">
        <f>OB264/OA232</f>
        <v>4.2473190529953991E-2</v>
      </c>
      <c r="OD264" s="4700"/>
      <c r="OE264" s="4665"/>
      <c r="OF264" s="4665"/>
      <c r="OG264" s="4665">
        <f>OG261+OG262+OG263</f>
        <v>15596738.09663594</v>
      </c>
      <c r="OH264" s="4683">
        <f>OG264/OF232</f>
        <v>8.9197550241713913E-2</v>
      </c>
      <c r="OI264" s="4708"/>
      <c r="OJ264" s="4697"/>
      <c r="OK264" s="4697"/>
      <c r="OL264" s="4697"/>
      <c r="OM264" s="4709"/>
      <c r="ON264" s="4708"/>
      <c r="OO264" s="4697"/>
      <c r="OP264" s="4697"/>
      <c r="OQ264" s="4697"/>
      <c r="OR264" s="4709"/>
      <c r="OS264" s="4708"/>
      <c r="OT264" s="4697"/>
      <c r="OU264" s="4697"/>
      <c r="OV264" s="4697"/>
      <c r="OW264" s="4710"/>
      <c r="OX264" s="4708"/>
      <c r="OY264" s="4697"/>
      <c r="OZ264" s="4697"/>
      <c r="PA264" s="4697"/>
      <c r="PB264" s="4710"/>
      <c r="PC264" s="4697"/>
      <c r="PD264" s="4674"/>
      <c r="PE264" s="4665"/>
      <c r="PF264" s="4665"/>
      <c r="PG264" s="4665">
        <f>PG261+PG262+PG263</f>
        <v>1999244.8399999999</v>
      </c>
      <c r="PH264" s="4683"/>
      <c r="PI264" s="4700"/>
      <c r="PJ264" s="4665"/>
      <c r="PK264" s="4665"/>
      <c r="PL264" s="4665">
        <f>PL261+PL262+PL263</f>
        <v>148719.85496000006</v>
      </c>
      <c r="PM264" s="4683"/>
      <c r="PN264" s="4674"/>
      <c r="PO264" s="4665"/>
      <c r="PP264" s="4665"/>
      <c r="PQ264" s="4665">
        <f>PQ261+PQ262+PQ263</f>
        <v>1573386.9133333336</v>
      </c>
      <c r="PR264" s="4683"/>
      <c r="PS264" s="4701"/>
      <c r="PT264" s="4665"/>
      <c r="PU264" s="4665"/>
      <c r="PV264" s="4665">
        <f>PV261+PV262+PV263</f>
        <v>1820760.3790322579</v>
      </c>
      <c r="PW264" s="4683"/>
      <c r="PX264" s="4711"/>
      <c r="PY264" s="4672"/>
      <c r="PZ264" s="4672"/>
      <c r="QA264" s="4665">
        <f>QA261+QA262+QA263</f>
        <v>3422336.3270967742</v>
      </c>
      <c r="QB264" s="4683"/>
      <c r="QC264" s="4702"/>
      <c r="QD264" s="4703"/>
      <c r="QE264" s="4703"/>
      <c r="QF264" s="4665">
        <f>QF261+QF262+QF263</f>
        <v>3234282.1966666668</v>
      </c>
      <c r="QG264" s="4683">
        <f>QF264/QE232</f>
        <v>0.12324668017608399</v>
      </c>
      <c r="QH264" s="4674"/>
      <c r="QI264" s="4665"/>
      <c r="QJ264" s="4704"/>
      <c r="QK264" s="4665">
        <f>QK261+QK262+QK263</f>
        <v>3052873.6</v>
      </c>
      <c r="QL264" s="4689">
        <f>QK264/QJ232</f>
        <v>0.11148475774288497</v>
      </c>
      <c r="QM264" s="4702"/>
      <c r="QN264" s="4703"/>
      <c r="QO264" s="4703"/>
      <c r="QP264" s="4665">
        <f>QP261+QP262+QP263</f>
        <v>2548287.8079999997</v>
      </c>
      <c r="QQ264" s="4689">
        <f>QP264/QO232</f>
        <v>9.5553189186025303E-2</v>
      </c>
      <c r="QR264" s="4674"/>
      <c r="QS264" s="4665"/>
      <c r="QT264" s="4704"/>
      <c r="QU264" s="4665">
        <f>QU261+QU262+QU263</f>
        <v>2372576.2066666661</v>
      </c>
      <c r="QV264" s="4689">
        <f>QU264/QT232</f>
        <v>8.9751309948025076E-2</v>
      </c>
      <c r="QW264" s="4700"/>
      <c r="QX264" s="4665"/>
      <c r="QY264" s="4665"/>
      <c r="QZ264" s="4665">
        <f>QZ261+QZ262+QZ263</f>
        <v>1488576.7793548387</v>
      </c>
      <c r="RA264" s="4683">
        <f>QZ264/QY232</f>
        <v>5.5806166676368431E-2</v>
      </c>
      <c r="RB264" s="4712"/>
      <c r="RC264" s="4672"/>
      <c r="RD264" s="4713"/>
      <c r="RE264" s="4665">
        <f>RE261+RE262+RE263</f>
        <v>2125164.5499999993</v>
      </c>
      <c r="RF264" s="4683">
        <f>RE264/RD232</f>
        <v>7.938130118615408E-2</v>
      </c>
      <c r="RG264" s="4674"/>
      <c r="RH264" s="4665"/>
      <c r="RI264" s="4665"/>
      <c r="RJ264" s="4665">
        <f>RJ261+RJ262+RJ263</f>
        <v>1278929.3048387091</v>
      </c>
      <c r="RK264" s="4683">
        <f>RJ264/RI232</f>
        <v>4.1845385029675358E-2</v>
      </c>
      <c r="RL264" s="4700"/>
      <c r="RM264" s="4665"/>
      <c r="RN264" s="4665"/>
      <c r="RO264" s="4665">
        <f>RO261+RO262+RO263</f>
        <v>25064048.759949241</v>
      </c>
      <c r="RP264" s="4683"/>
      <c r="RQ264" s="4700"/>
      <c r="RR264" s="4665"/>
      <c r="RS264" s="4665"/>
      <c r="RT264" s="4665">
        <f>RT261+RT262+RT263</f>
        <v>4794846.7082933346</v>
      </c>
      <c r="RU264" s="4683"/>
      <c r="RV264" s="4700"/>
      <c r="RW264" s="4665"/>
      <c r="RX264" s="4665"/>
      <c r="RY264" s="4665">
        <f>RY261+RY262+RY263</f>
        <v>8408441.9527956974</v>
      </c>
      <c r="RZ264" s="4683"/>
      <c r="SA264" s="4700"/>
      <c r="SB264" s="4665"/>
      <c r="SC264" s="4665"/>
      <c r="SD264" s="4665">
        <f>SD261+SD262+SD263</f>
        <v>7973955.6146666668</v>
      </c>
      <c r="SE264" s="4683"/>
      <c r="SF264" s="4700"/>
      <c r="SG264" s="4665"/>
      <c r="SH264" s="4665"/>
      <c r="SI264" s="4665">
        <f>SI261+SI262+SI263</f>
        <v>4892888.634193548</v>
      </c>
      <c r="SJ264" s="4683"/>
      <c r="SL264" s="4674"/>
      <c r="SM264" s="4665"/>
      <c r="SN264" s="4665"/>
      <c r="SO264" s="4665">
        <f>SO261+SO262+SO263</f>
        <v>3979691.66</v>
      </c>
      <c r="SP264" s="4683"/>
      <c r="SQ264" s="4700"/>
      <c r="SR264" s="4665"/>
      <c r="SS264" s="4665"/>
      <c r="ST264" s="4665">
        <f>ST261+ST262+ST263</f>
        <v>2785264.3461290319</v>
      </c>
      <c r="SU264" s="4683"/>
      <c r="SV264" s="4667"/>
      <c r="SW264" s="4672"/>
      <c r="SX264" s="4672"/>
      <c r="SY264" s="4665">
        <f>SY261+SY262+SY263</f>
        <v>1924626.2433333341</v>
      </c>
      <c r="SZ264" s="4673"/>
      <c r="TA264" s="4711"/>
      <c r="TB264" s="4672"/>
      <c r="TC264" s="4672"/>
      <c r="TD264" s="4714">
        <f>TD261+TD262+TD263</f>
        <v>-1184259.3936693547</v>
      </c>
      <c r="TE264" s="4673"/>
      <c r="TF264" s="4711"/>
      <c r="TG264" s="4672"/>
      <c r="TH264" s="4672"/>
      <c r="TI264" s="4714">
        <f>TI261+TI262+TI263</f>
        <v>-1279706.4918279573</v>
      </c>
      <c r="TJ264" s="4683"/>
      <c r="TK264" s="4702"/>
      <c r="TL264" s="4703"/>
      <c r="TM264" s="4703"/>
      <c r="TN264" s="4714">
        <f>TN261+TN262+TN263</f>
        <v>-1650809.2233333304</v>
      </c>
      <c r="TO264" s="4683">
        <f>TN264/TM232</f>
        <v>-5.022319199130932E-2</v>
      </c>
      <c r="TP264" s="4715"/>
      <c r="TQ264" s="4665"/>
      <c r="TR264" s="4704"/>
      <c r="TS264" s="4716">
        <f>TS261+TS262+TS263</f>
        <v>-1425563.9545451617</v>
      </c>
      <c r="TT264" s="4689">
        <f>TS264/TR232</f>
        <v>-4.2205886404826469E-2</v>
      </c>
      <c r="TU264" s="5304"/>
      <c r="TV264" s="4703"/>
      <c r="TW264" s="4703"/>
      <c r="TX264" s="4716">
        <f>TX261+TX262+TX263</f>
        <v>-1160359.2140000002</v>
      </c>
      <c r="TY264" s="4689">
        <f>TX264/TW232</f>
        <v>-3.3262962508545338E-2</v>
      </c>
      <c r="TZ264" s="4674"/>
      <c r="UA264" s="4665"/>
      <c r="UB264" s="4665"/>
      <c r="UC264" s="6516">
        <f>UC261+UC262+UC263</f>
        <v>-1501846.1328335486</v>
      </c>
      <c r="UD264" s="4689">
        <f>UC264/UB232</f>
        <v>-4.2992542518693645E-2</v>
      </c>
      <c r="UE264" s="4700"/>
      <c r="UF264" s="4665"/>
      <c r="UG264" s="4665"/>
      <c r="UH264" s="4714">
        <f>UH261+UH262+UH263</f>
        <v>-786026.92899999954</v>
      </c>
      <c r="UI264" s="4683">
        <f>UH264/UG232</f>
        <v>-2.1972687471757641E-2</v>
      </c>
      <c r="UJ264" s="4712"/>
      <c r="UK264" s="4672"/>
      <c r="UL264" s="4713"/>
      <c r="UM264" s="4665">
        <f>UM261+UM262+UM263</f>
        <v>0</v>
      </c>
      <c r="UN264" s="4683" t="e">
        <f>UM264/UL232</f>
        <v>#DIV/0!</v>
      </c>
      <c r="UO264" s="4674"/>
      <c r="UP264" s="4665"/>
      <c r="UQ264" s="4665"/>
      <c r="UR264" s="4665">
        <f>UR261+UR262+UR263</f>
        <v>0</v>
      </c>
      <c r="US264" s="4683" t="e">
        <f>UR264/UQ232</f>
        <v>#DIV/0!</v>
      </c>
      <c r="UT264" s="4700"/>
      <c r="UU264" s="4665"/>
      <c r="UV264" s="4665"/>
      <c r="UW264" s="4665">
        <f>UW261+UW262+UW263</f>
        <v>-300079.08974699024</v>
      </c>
      <c r="UX264" s="4683"/>
      <c r="UY264" s="4700"/>
      <c r="UZ264" s="4665"/>
      <c r="VA264" s="4665"/>
      <c r="VB264" s="4665">
        <f>VB261+VB262+VB263</f>
        <v>9978033.7494623661</v>
      </c>
      <c r="VC264" s="4683"/>
      <c r="VD264" s="4700"/>
      <c r="VE264" s="4665"/>
      <c r="VF264" s="4665"/>
      <c r="VG264" s="4665">
        <f>VG261+VG262+VG263</f>
        <v>7550886.891169358</v>
      </c>
      <c r="VH264" s="4683"/>
      <c r="VI264" s="4700"/>
      <c r="VJ264" s="4665"/>
      <c r="VK264" s="4665"/>
      <c r="VL264" s="4665">
        <f>VL261+VL262+VL263</f>
        <v>-4342184.3013787111</v>
      </c>
      <c r="VM264" s="4683">
        <f>VL264/VK232</f>
        <v>-4.2268792883281704E-2</v>
      </c>
      <c r="VN264" s="4700"/>
      <c r="VO264" s="4665"/>
      <c r="VP264" s="4665"/>
      <c r="VQ264" s="4665"/>
      <c r="VR264" s="4683"/>
    </row>
    <row r="265" spans="1:590" s="69" customFormat="1" x14ac:dyDescent="0.3">
      <c r="A265" s="71"/>
      <c r="B265" s="3447"/>
      <c r="C265" s="3448" t="s">
        <v>34</v>
      </c>
      <c r="D265" s="71"/>
      <c r="E265" s="811"/>
      <c r="F265" s="811"/>
      <c r="G265" s="3449"/>
      <c r="H265" s="3450"/>
      <c r="I265" s="1128"/>
      <c r="J265" s="1128"/>
      <c r="K265" s="1128"/>
      <c r="L265" s="1128"/>
      <c r="M265" s="3451"/>
      <c r="N265" s="3451"/>
      <c r="O265" s="3452"/>
      <c r="P265" s="3453"/>
      <c r="Q265" s="3451"/>
      <c r="R265" s="3454"/>
      <c r="S265" s="1128"/>
      <c r="T265" s="1128"/>
      <c r="U265" s="1128"/>
      <c r="V265" s="1128"/>
      <c r="W265" s="3455"/>
      <c r="X265" s="1128"/>
      <c r="Y265" s="1128"/>
      <c r="Z265" s="1128"/>
      <c r="AA265" s="3456"/>
      <c r="AB265" s="1128"/>
      <c r="AC265" s="1128"/>
      <c r="AD265" s="1128"/>
      <c r="AE265" s="1128"/>
      <c r="AF265" s="3455"/>
      <c r="AG265" s="3457"/>
      <c r="AH265" s="3457"/>
      <c r="AI265" s="3457"/>
      <c r="AJ265" s="3457"/>
      <c r="AK265" s="3457"/>
      <c r="AL265" s="3451"/>
      <c r="AM265" s="3451"/>
      <c r="AN265" s="3454"/>
      <c r="AO265" s="3451"/>
      <c r="AP265" s="3451"/>
      <c r="AQ265" s="1128"/>
      <c r="AR265" s="1128"/>
      <c r="AS265" s="1128"/>
      <c r="AT265" s="1128"/>
      <c r="AU265" s="1128"/>
      <c r="AV265" s="3451"/>
      <c r="AW265" s="2727"/>
      <c r="AX265" s="2727"/>
      <c r="AY265" s="3324"/>
      <c r="AZ265" s="3451"/>
      <c r="BA265" s="3451"/>
      <c r="BB265" s="1126"/>
      <c r="BC265" s="1126"/>
      <c r="BD265" s="1126"/>
      <c r="BE265" s="1128"/>
      <c r="BF265" s="3457"/>
      <c r="BG265" s="3319"/>
      <c r="BH265" s="3457"/>
      <c r="BI265" s="3457"/>
      <c r="BJ265" s="3457"/>
      <c r="BK265" s="3451"/>
      <c r="BL265" s="2727"/>
      <c r="BM265" s="3451"/>
      <c r="BN265" s="3451"/>
      <c r="BO265" s="3451"/>
      <c r="BP265" s="3454"/>
      <c r="BQ265" s="1128"/>
      <c r="BR265" s="1128"/>
      <c r="BS265" s="1128"/>
      <c r="BT265" s="1128"/>
      <c r="BU265" s="1128"/>
      <c r="BV265" s="1128"/>
      <c r="BW265" s="3456"/>
      <c r="BX265" s="1128"/>
      <c r="BY265" s="1128"/>
      <c r="BZ265" s="1128"/>
      <c r="CA265" s="1128"/>
      <c r="CB265" s="1128"/>
      <c r="CC265" s="1128"/>
      <c r="CD265" s="1128"/>
      <c r="CE265" s="1128"/>
      <c r="CF265" s="1128"/>
      <c r="CG265" s="1128"/>
      <c r="CH265" s="1128"/>
      <c r="CI265" s="1128"/>
      <c r="CJ265" s="3455"/>
      <c r="CK265" s="1126"/>
      <c r="CL265" s="1126"/>
      <c r="CM265" s="1129"/>
      <c r="CN265" s="1128"/>
      <c r="CO265" s="3455"/>
      <c r="CP265" s="1126"/>
      <c r="CQ265" s="1126"/>
      <c r="CR265" s="1128"/>
      <c r="CS265" s="1128"/>
      <c r="CT265" s="3455"/>
      <c r="CU265" s="1126"/>
      <c r="CV265" s="1126"/>
      <c r="CW265" s="1703"/>
      <c r="CX265" s="1703"/>
      <c r="CY265" s="3455"/>
      <c r="CZ265" s="1128"/>
      <c r="DA265" s="1126"/>
      <c r="DB265" s="1128"/>
      <c r="DC265" s="1128"/>
      <c r="DD265" s="1128"/>
      <c r="DE265" s="1128"/>
      <c r="DF265" s="1128"/>
      <c r="DG265" s="1128"/>
      <c r="DH265" s="3455"/>
      <c r="DI265" s="3455"/>
      <c r="DJ265" s="1128"/>
      <c r="DK265" s="1128"/>
      <c r="DL265" s="1126"/>
      <c r="DM265" s="3455"/>
      <c r="DN265" s="3455"/>
      <c r="DO265" s="1128"/>
      <c r="DP265" s="1128"/>
      <c r="DQ265" s="1128"/>
      <c r="DR265" s="3455"/>
      <c r="DS265" s="3455"/>
      <c r="DT265" s="1128"/>
      <c r="DU265" s="1128"/>
      <c r="DV265" s="1128"/>
      <c r="DW265" s="1128"/>
      <c r="DX265" s="3455"/>
      <c r="DY265" s="1126"/>
      <c r="DZ265" s="1126"/>
      <c r="EA265" s="1126"/>
      <c r="EB265" s="3458"/>
      <c r="EC265" s="3455"/>
      <c r="ED265" s="1126"/>
      <c r="EE265" s="1126"/>
      <c r="EF265" s="1128"/>
      <c r="EG265" s="3455"/>
      <c r="EH265" s="1128"/>
      <c r="EI265" s="1126"/>
      <c r="EJ265" s="1126"/>
      <c r="EK265" s="1126"/>
      <c r="EL265" s="1128"/>
      <c r="EM265" s="3455"/>
      <c r="EN265" s="1126"/>
      <c r="EO265" s="1126"/>
      <c r="EP265" s="1128"/>
      <c r="EQ265" s="1128"/>
      <c r="ER265" s="3451"/>
      <c r="ES265" s="2727"/>
      <c r="ET265" s="2727"/>
      <c r="EU265" s="2727"/>
      <c r="EV265" s="3451"/>
      <c r="EW265" s="3455"/>
      <c r="EX265" s="1126"/>
      <c r="EY265" s="1126"/>
      <c r="EZ265" s="1128"/>
      <c r="FA265" s="1128"/>
      <c r="FB265" s="1128"/>
      <c r="FC265" s="1128"/>
      <c r="FD265" s="1128"/>
      <c r="FE265" s="1128"/>
      <c r="FF265" s="1128"/>
      <c r="FG265" s="1128"/>
      <c r="FH265" s="1128"/>
      <c r="FI265" s="1128"/>
      <c r="FJ265" s="1128"/>
      <c r="FK265" s="1128"/>
      <c r="FL265" s="1128"/>
      <c r="FM265" s="1128"/>
      <c r="FN265" s="3455"/>
      <c r="FO265" s="1126"/>
      <c r="FP265" s="1126"/>
      <c r="FQ265" s="1126">
        <f>(1558218+1000000)*15%</f>
        <v>383732.7</v>
      </c>
      <c r="FR265" s="3459"/>
      <c r="FS265" s="3450"/>
      <c r="FT265" s="1126"/>
      <c r="FU265" s="1126"/>
      <c r="FV265" s="1126">
        <f>(1058218+1200000)*15%</f>
        <v>338732.7</v>
      </c>
      <c r="FW265" s="1130"/>
      <c r="FX265" s="3460"/>
      <c r="FY265" s="1128"/>
      <c r="FZ265" s="1128"/>
      <c r="GA265" s="1126">
        <f>+(1954952.4)*15%</f>
        <v>293242.86</v>
      </c>
      <c r="GB265" s="3461"/>
      <c r="GD265" s="823"/>
      <c r="GE265" s="823"/>
      <c r="GF265" s="1126">
        <f>(1400000+708200)*15%</f>
        <v>316230</v>
      </c>
      <c r="GG265" s="3462"/>
      <c r="GH265" s="72"/>
      <c r="GI265" s="1136"/>
      <c r="GJ265" s="1136"/>
      <c r="GK265" s="1978">
        <f>(1400000+1008200)*15%</f>
        <v>361230</v>
      </c>
      <c r="GL265" s="3463"/>
      <c r="GN265" s="1136"/>
      <c r="GO265" s="1136"/>
      <c r="GP265" s="1978">
        <f>(1400000+1108200)*15%</f>
        <v>376230</v>
      </c>
      <c r="GQ265" s="1139"/>
      <c r="GR265" s="72"/>
      <c r="GS265" s="1136"/>
      <c r="GT265" s="1136"/>
      <c r="GU265" s="1978">
        <f>(1500000+1208000)*15%</f>
        <v>406200</v>
      </c>
      <c r="GV265" s="3463"/>
      <c r="GW265" s="72"/>
      <c r="GX265" s="1136"/>
      <c r="GY265" s="1136"/>
      <c r="GZ265" s="1978">
        <f>(1500000+1208950)*15%</f>
        <v>406342.5</v>
      </c>
      <c r="HA265" s="3463"/>
      <c r="HB265" s="72"/>
      <c r="HC265" s="1136"/>
      <c r="HD265" s="1136"/>
      <c r="HE265" s="1978">
        <f>(1500000+1008050)*15%</f>
        <v>376207.5</v>
      </c>
      <c r="HF265" s="3463"/>
      <c r="HG265" s="72"/>
      <c r="HH265" s="1136"/>
      <c r="HI265" s="1136"/>
      <c r="HJ265" s="1978">
        <f>(1500000+1208050)*15%</f>
        <v>406207.5</v>
      </c>
      <c r="HK265" s="3463"/>
      <c r="HL265" s="72"/>
      <c r="HM265" s="1136"/>
      <c r="HN265" s="1136"/>
      <c r="HO265" s="1978">
        <f>(1500000+1188050)*15%</f>
        <v>403207.5</v>
      </c>
      <c r="HP265" s="3463"/>
      <c r="HQ265" s="72"/>
      <c r="HT265" s="823">
        <f>(1500000+1188050)*15%</f>
        <v>403207.5</v>
      </c>
      <c r="HU265" s="70"/>
      <c r="HV265" s="1633"/>
      <c r="HW265" s="823"/>
      <c r="HX265" s="823"/>
      <c r="HY265" s="823">
        <f>FQ265+FV265+GA265+GF265+GK265+GP265+GU265+GZ265+HE265+HJ265+HO265+HT265</f>
        <v>4470770.76</v>
      </c>
      <c r="HZ265" s="70"/>
      <c r="IA265" s="1637"/>
      <c r="IC265" s="3435">
        <f>FQ265+FV265+GA265</f>
        <v>1015708.26</v>
      </c>
      <c r="IE265" s="3464"/>
      <c r="IF265" s="1136"/>
      <c r="IG265" s="3335">
        <f>(GF265+GK265+GP265)</f>
        <v>1053690</v>
      </c>
      <c r="IH265" s="3463"/>
      <c r="II265" s="3464"/>
      <c r="IJ265" s="1136"/>
      <c r="IK265" s="2144">
        <f>(GU265+GZ265+HE265)</f>
        <v>1188750</v>
      </c>
      <c r="IL265" s="3463"/>
      <c r="IM265" s="3464"/>
      <c r="IN265" s="1136"/>
      <c r="IO265" s="2144">
        <f>(HJ265+HO265+HT265)</f>
        <v>1212622.5</v>
      </c>
      <c r="IP265" s="3463"/>
      <c r="IR265" s="1634"/>
      <c r="IS265" s="823"/>
      <c r="IT265" s="823"/>
      <c r="IU265" s="823">
        <v>0</v>
      </c>
      <c r="IV265" s="85"/>
      <c r="IW265" s="628"/>
      <c r="IX265" s="823"/>
      <c r="IY265" s="823"/>
      <c r="IZ265" s="823">
        <v>0</v>
      </c>
      <c r="JA265" s="70"/>
      <c r="JB265" s="1724"/>
      <c r="JE265" s="823">
        <v>0</v>
      </c>
      <c r="JF265" s="3465"/>
      <c r="JG265" s="3466"/>
      <c r="JH265" s="823"/>
      <c r="JI265" s="823"/>
      <c r="JJ265" s="823">
        <v>0</v>
      </c>
      <c r="JK265" s="73"/>
      <c r="JL265" s="628"/>
      <c r="JM265" s="1136"/>
      <c r="JN265" s="1136"/>
      <c r="JO265" s="823">
        <v>0</v>
      </c>
      <c r="JP265" s="3463"/>
      <c r="JQ265" s="1723"/>
      <c r="JR265" s="1136"/>
      <c r="JS265" s="1136"/>
      <c r="JT265" s="823">
        <v>0</v>
      </c>
      <c r="JU265" s="3463"/>
      <c r="JV265" s="812"/>
      <c r="JW265" s="1136"/>
      <c r="JX265" s="1136"/>
      <c r="JY265" s="823">
        <v>0</v>
      </c>
      <c r="JZ265" s="3463"/>
      <c r="KA265" s="72"/>
      <c r="KB265" s="1136"/>
      <c r="KC265" s="1136"/>
      <c r="KD265" s="823">
        <v>0</v>
      </c>
      <c r="KE265" s="3467"/>
      <c r="KF265" s="3468"/>
      <c r="KG265" s="1136"/>
      <c r="KH265" s="1136"/>
      <c r="KI265" s="823">
        <v>0</v>
      </c>
      <c r="KJ265" s="3463"/>
      <c r="KK265" s="3469"/>
      <c r="KL265" s="3470"/>
      <c r="KM265" s="3470"/>
      <c r="KN265" s="823">
        <v>0</v>
      </c>
      <c r="KO265" s="3467"/>
      <c r="KP265" s="72"/>
      <c r="KQ265" s="1136"/>
      <c r="KR265" s="1136"/>
      <c r="KS265" s="823">
        <v>0</v>
      </c>
      <c r="KT265" s="3463"/>
      <c r="KU265" s="72"/>
      <c r="KX265" s="823">
        <v>0</v>
      </c>
      <c r="KY265" s="90"/>
      <c r="KZ265" s="1633"/>
      <c r="LA265" s="823"/>
      <c r="LB265" s="823"/>
      <c r="LC265" s="715">
        <v>0</v>
      </c>
      <c r="LD265" s="70"/>
      <c r="LE265" s="1693"/>
      <c r="LG265" s="3471">
        <f>IU265+IZ265+JE265</f>
        <v>0</v>
      </c>
      <c r="LH265" s="3465"/>
      <c r="LI265" s="1138"/>
      <c r="LJ265" s="1136"/>
      <c r="LK265" s="3335">
        <f>(JJ265+JO265+JT265)</f>
        <v>0</v>
      </c>
      <c r="LL265" s="635"/>
      <c r="LM265" s="3472"/>
      <c r="LN265" s="1136"/>
      <c r="LO265" s="2144">
        <f>(JY265+KD265+KI265)</f>
        <v>0</v>
      </c>
      <c r="LP265" s="3463"/>
      <c r="LQ265" s="3464"/>
      <c r="LR265" s="1136"/>
      <c r="LS265" s="3473">
        <f>(KN265+KS265+KX265)</f>
        <v>0</v>
      </c>
      <c r="LT265" s="3463"/>
      <c r="LV265" s="628"/>
      <c r="LY265" s="3344">
        <v>0</v>
      </c>
      <c r="LZ265" s="3474">
        <f>(KU265+KZ265+LE265)</f>
        <v>0</v>
      </c>
      <c r="MA265" s="72"/>
      <c r="MD265" s="3344">
        <v>0</v>
      </c>
      <c r="ME265" s="3463"/>
      <c r="MF265" s="1637"/>
      <c r="MI265" s="3344">
        <v>0</v>
      </c>
      <c r="MJ265" s="3463"/>
      <c r="MK265" s="3355"/>
      <c r="MN265" s="3344">
        <v>0</v>
      </c>
      <c r="MO265" s="3463"/>
      <c r="MP265" s="3475"/>
      <c r="MS265" s="3344">
        <v>0</v>
      </c>
      <c r="MT265" s="635"/>
      <c r="MU265" s="3347"/>
      <c r="MV265" s="3348"/>
      <c r="MW265" s="3348"/>
      <c r="MX265" s="823">
        <v>0</v>
      </c>
      <c r="MY265" s="3353"/>
      <c r="MZ265" s="3347"/>
      <c r="NA265" s="3348"/>
      <c r="NB265" s="3348"/>
      <c r="NC265" s="1089">
        <f>MX265+MS265+MN265+MI265+MD265+LY265+LT265+LO265+LJ265+LE265+KZ265+KU265</f>
        <v>0</v>
      </c>
      <c r="ND265" s="3353"/>
      <c r="NE265" s="3347"/>
      <c r="NF265" s="3348"/>
      <c r="NG265" s="3348"/>
      <c r="NH265" s="1089">
        <f>NC265+MX265+MS265+MN265+MI265+MD265+LY265+LT265+LO265+LJ265+LE265+KZ265</f>
        <v>0</v>
      </c>
      <c r="NI265" s="3353"/>
      <c r="NJ265" s="1708"/>
      <c r="NK265" s="453"/>
      <c r="NL265" s="3349"/>
      <c r="NM265" s="1089">
        <f>NH265+NC265+MX265+MS265+MN265+MI265+MD265+LY265+LT265+LO265+LJ265+LE265</f>
        <v>0</v>
      </c>
      <c r="NN265" s="3353"/>
      <c r="NO265" s="352"/>
      <c r="NP265" s="453"/>
      <c r="NQ265" s="3349"/>
      <c r="NR265" s="1089">
        <f>NM265+NH265+NC265+MX265+MS265+MN265+MI265+MD265+LY265+LT265+LO265+LJ265</f>
        <v>0</v>
      </c>
      <c r="NS265" s="3353"/>
      <c r="NT265" s="3476"/>
      <c r="NU265" s="624"/>
      <c r="NV265" s="2198"/>
      <c r="NW265" s="1089">
        <f>NR265+NM265+NH265+NC265+MX265+MS265+MN265+MI265+MD265+LY265+LT265+LO265</f>
        <v>0</v>
      </c>
      <c r="NX265" s="3353"/>
      <c r="NY265" s="3477"/>
      <c r="NZ265" s="3348"/>
      <c r="OA265" s="3348"/>
      <c r="OB265" s="1089">
        <f>NW265+NR265+NM265+NH265+NC265+MX265+MS265+MN265+MI265+MD265+LY265+LT265</f>
        <v>0</v>
      </c>
      <c r="OC265" s="3353"/>
      <c r="OD265" s="72"/>
      <c r="OG265" s="1089">
        <f>OB265+NW265+NR265+NM265+NH265+NC265+MX265+MS265+MN265+MI265+MD265+LY265</f>
        <v>0</v>
      </c>
      <c r="OH265" s="3353"/>
      <c r="OI265" s="72"/>
      <c r="OL265" s="823">
        <f>MI265+MD265+LY265</f>
        <v>0</v>
      </c>
      <c r="OM265" s="3463"/>
      <c r="ON265" s="72"/>
      <c r="OQ265" s="3344">
        <f>MN265+MS265+MX265</f>
        <v>0</v>
      </c>
      <c r="OR265" s="3463"/>
      <c r="OS265" s="72"/>
      <c r="OV265" s="823">
        <f>MS265+MX265+NC265</f>
        <v>0</v>
      </c>
      <c r="OW265" s="70"/>
      <c r="OX265" s="72"/>
      <c r="PA265" s="823">
        <f>MX265+NC265+NH265</f>
        <v>0</v>
      </c>
      <c r="PB265" s="70"/>
      <c r="PD265" s="628"/>
      <c r="PG265" s="1089">
        <f>PB265+OW265+OR265+OM265+OH265+OC265+NX265+NS265+NN265+NI265+ND265+MY265</f>
        <v>0</v>
      </c>
      <c r="PH265" s="3353"/>
      <c r="PI265" s="72"/>
      <c r="PL265" s="1089">
        <f>PG265+PB265+OW265+OR265+OM265+OH265+OC265+NX265+NS265+NN265+NI265+ND265</f>
        <v>0</v>
      </c>
      <c r="PM265" s="3353"/>
      <c r="PN265" s="1637"/>
      <c r="PQ265" s="1089">
        <f>PL265+PG265+PB265+OW265+OR265+OM265+OH265+OC265+NX265+NS265+NN265+NI265</f>
        <v>0</v>
      </c>
      <c r="PR265" s="3353"/>
      <c r="PS265" s="3346"/>
      <c r="PT265" s="67"/>
      <c r="PU265" s="67"/>
      <c r="PV265" s="1089">
        <f>PQ265+PL265+PG265+PB265+OW265+OR265+OM265+OH265+OC265+NX265+NS265+NN265</f>
        <v>0</v>
      </c>
      <c r="PW265" s="3353"/>
      <c r="PX265" s="3475"/>
      <c r="QA265" s="1089">
        <f>PV265+PQ265+PL265+PG265+PB265+OW265+OR265+OM265+OH265+OC265+NX265+NS265</f>
        <v>0</v>
      </c>
      <c r="QB265" s="3353"/>
      <c r="QC265" s="3347"/>
      <c r="QD265" s="3348"/>
      <c r="QE265" s="3348"/>
      <c r="QF265" s="3478">
        <f>QA265+PV265+PQ265+PL265+PG265+PB265+OW265+OR265+OM265+OH265+OC265+NX265</f>
        <v>0</v>
      </c>
      <c r="QG265" s="3353"/>
      <c r="QH265" s="1708"/>
      <c r="QI265" s="453"/>
      <c r="QJ265" s="3349"/>
      <c r="QK265" s="823">
        <v>0</v>
      </c>
      <c r="QL265" s="3353"/>
      <c r="QM265" s="3347"/>
      <c r="QN265" s="3348"/>
      <c r="QO265" s="3348"/>
      <c r="QP265" s="823">
        <v>0</v>
      </c>
      <c r="QQ265" s="3353"/>
      <c r="QR265" s="1708"/>
      <c r="QS265" s="453"/>
      <c r="QT265" s="3349"/>
      <c r="QU265" s="823">
        <v>0</v>
      </c>
      <c r="QV265" s="3353"/>
      <c r="QW265" s="352"/>
      <c r="QX265" s="453"/>
      <c r="QY265" s="3349"/>
      <c r="QZ265" s="453">
        <v>0</v>
      </c>
      <c r="RA265" s="3353"/>
      <c r="RB265" s="72"/>
      <c r="RD265" s="2197"/>
      <c r="RE265" s="453">
        <v>0</v>
      </c>
      <c r="RF265" s="76"/>
      <c r="RG265" s="1708"/>
      <c r="RH265" s="453"/>
      <c r="RI265" s="453"/>
      <c r="RJ265" s="453">
        <v>0</v>
      </c>
      <c r="RK265" s="76"/>
      <c r="RL265" s="352"/>
      <c r="RM265" s="67"/>
      <c r="RN265" s="67"/>
      <c r="RO265" s="3721">
        <v>0</v>
      </c>
      <c r="RP265" s="3479"/>
      <c r="RQ265" s="3480"/>
      <c r="RR265" s="3481"/>
      <c r="RS265" s="3481"/>
      <c r="RT265" s="3444">
        <f>RO265+RJ265+RE265+QZ265+QU265+QP265+QK265+QF265+QA265+PV265+PQ265+PL265</f>
        <v>0</v>
      </c>
      <c r="RU265" s="3353"/>
      <c r="RV265" s="72"/>
      <c r="RY265" s="3444">
        <f>RT265+RO265+RJ265+RE265+QZ265+QU265+QP265+QK265+QF265+QA265+PV265+PQ265</f>
        <v>0</v>
      </c>
      <c r="RZ265" s="3353"/>
      <c r="SA265" s="72"/>
      <c r="SD265" s="3444">
        <f>RY265+RT265+RO265+RJ265+RE265+QZ265+QU265+QP265+QK265+QF265+QA265+PV265</f>
        <v>0</v>
      </c>
      <c r="SE265" s="3353"/>
      <c r="SF265" s="72"/>
      <c r="SI265" s="3444">
        <f>SD265+RY265+RT265+RO265+RJ265+RE265+QZ265+QU265+QP265+QK265+QF265+QA265</f>
        <v>0</v>
      </c>
      <c r="SJ265" s="3353"/>
      <c r="SL265" s="3521"/>
      <c r="SM265" s="67"/>
      <c r="SN265" s="67"/>
      <c r="SO265" s="3444">
        <f>SJ265+SE265+RZ265+RU265+RP265+RK265+RF265+RA265+QV265+QQ265+QL265+QG265</f>
        <v>0</v>
      </c>
      <c r="SP265" s="3353"/>
      <c r="SQ265" s="352"/>
      <c r="SR265" s="67"/>
      <c r="SS265" s="67"/>
      <c r="ST265" s="3444">
        <f>SO265+SJ265+SE265+RZ265+RU265+RP265+RK265+RF265+RA265+QV265+QQ265+QL265</f>
        <v>0</v>
      </c>
      <c r="SU265" s="3353"/>
      <c r="SV265" s="1637"/>
      <c r="SY265" s="3482">
        <f>ST265+SO265+SJ265+SE265+RZ265+RU265+RP265+RK265+RF265+RA265+QV265+QQ265</f>
        <v>0</v>
      </c>
      <c r="SZ265" s="635"/>
      <c r="TA265" s="3355"/>
      <c r="TD265" s="1089">
        <f>SY265+ST265+SO265+SJ265+SE265+RZ265+RU265+RP265+RK265+RF265+RA265+QV265</f>
        <v>0</v>
      </c>
      <c r="TE265" s="635"/>
      <c r="TF265" s="3475"/>
      <c r="TI265" s="3482">
        <f>TD265+SY265+ST265+SO265+SJ265+SE265+RZ265+RU265+RP265+RK265+RF265+RA265</f>
        <v>0</v>
      </c>
      <c r="TJ265" s="3353"/>
      <c r="TK265" s="3347"/>
      <c r="TL265" s="3348"/>
      <c r="TM265" s="3348"/>
      <c r="TN265" s="3478">
        <f>TI265+TD265+SY265+ST265+SO265+SJ265+SE265+RZ265+RU265+RP265+RK265+RF265</f>
        <v>0</v>
      </c>
      <c r="TO265" s="3353"/>
      <c r="TP265" s="4433"/>
      <c r="TQ265" s="453"/>
      <c r="TR265" s="3349"/>
      <c r="TS265" s="823">
        <v>0</v>
      </c>
      <c r="TT265" s="3353"/>
      <c r="TU265" s="5302"/>
      <c r="TV265" s="3348"/>
      <c r="TW265" s="3348"/>
      <c r="TX265" s="453">
        <v>0</v>
      </c>
      <c r="TY265" s="3353"/>
      <c r="TZ265" s="1708"/>
      <c r="UA265" s="453"/>
      <c r="UB265" s="3349"/>
      <c r="UC265" s="453">
        <v>0</v>
      </c>
      <c r="UD265" s="3353"/>
      <c r="UE265" s="352"/>
      <c r="UF265" s="453"/>
      <c r="UG265" s="3349"/>
      <c r="UH265" s="453">
        <v>0</v>
      </c>
      <c r="UI265" s="3353"/>
      <c r="UJ265" s="72"/>
      <c r="UL265" s="2197"/>
      <c r="UM265" s="453">
        <v>0</v>
      </c>
      <c r="UN265" s="76"/>
      <c r="UO265" s="1708"/>
      <c r="UP265" s="453"/>
      <c r="UQ265" s="453"/>
      <c r="UR265" s="453">
        <v>0</v>
      </c>
      <c r="US265" s="76"/>
      <c r="UT265" s="72"/>
      <c r="UW265" s="448">
        <v>0</v>
      </c>
      <c r="UX265" s="3479"/>
      <c r="UY265" s="3480"/>
      <c r="UZ265" s="3481"/>
      <c r="VA265" s="3481"/>
      <c r="VB265" s="3482">
        <v>0</v>
      </c>
      <c r="VC265" s="3353"/>
      <c r="VD265" s="72"/>
      <c r="VG265" s="3482">
        <v>0</v>
      </c>
      <c r="VH265" s="3353"/>
      <c r="VI265" s="72"/>
      <c r="VL265" s="3445">
        <f>UC265+TX265+TS265</f>
        <v>0</v>
      </c>
      <c r="VM265" s="70"/>
      <c r="VN265" s="72"/>
      <c r="VQ265" s="823">
        <f>TN265+TS265+TX265</f>
        <v>0</v>
      </c>
      <c r="VR265" s="70"/>
    </row>
    <row r="266" spans="1:590" s="69" customFormat="1" x14ac:dyDescent="0.3">
      <c r="A266" s="71"/>
      <c r="B266" s="3483"/>
      <c r="C266" s="3484" t="s">
        <v>903</v>
      </c>
      <c r="D266" s="1694"/>
      <c r="E266" s="3485"/>
      <c r="F266" s="3485"/>
      <c r="G266" s="3486"/>
      <c r="H266" s="3487"/>
      <c r="I266" s="3488"/>
      <c r="J266" s="3488"/>
      <c r="K266" s="3488"/>
      <c r="L266" s="3489"/>
      <c r="M266" s="3490"/>
      <c r="N266" s="3491"/>
      <c r="O266" s="3492"/>
      <c r="P266" s="3453"/>
      <c r="Q266" s="3318"/>
      <c r="R266" s="3318"/>
      <c r="S266" s="1128"/>
      <c r="T266" s="1128"/>
      <c r="U266" s="1128"/>
      <c r="V266" s="1128"/>
      <c r="W266" s="3455"/>
      <c r="X266" s="1128"/>
      <c r="Y266" s="1128"/>
      <c r="Z266" s="1128"/>
      <c r="AA266" s="3458"/>
      <c r="AB266" s="3458"/>
      <c r="AC266" s="1128"/>
      <c r="AD266" s="1128"/>
      <c r="AE266" s="1128"/>
      <c r="AF266" s="3455"/>
      <c r="AG266" s="3493"/>
      <c r="AH266" s="3319"/>
      <c r="AI266" s="3319"/>
      <c r="AJ266" s="3494"/>
      <c r="AK266" s="3320"/>
      <c r="AL266" s="3451"/>
      <c r="AM266" s="3451"/>
      <c r="AN266" s="3451"/>
      <c r="AO266" s="3451"/>
      <c r="AP266" s="3451"/>
      <c r="AQ266" s="1128"/>
      <c r="AR266" s="1128"/>
      <c r="AS266" s="1128"/>
      <c r="AT266" s="1128"/>
      <c r="AU266" s="1128"/>
      <c r="AV266" s="3451"/>
      <c r="AW266" s="2727"/>
      <c r="AX266" s="2727"/>
      <c r="AY266" s="3324"/>
      <c r="AZ266" s="3451"/>
      <c r="BA266" s="3451"/>
      <c r="BB266" s="1126"/>
      <c r="BC266" s="1126"/>
      <c r="BD266" s="1126"/>
      <c r="BE266" s="1128"/>
      <c r="BF266" s="3457"/>
      <c r="BG266" s="3319"/>
      <c r="BH266" s="3320"/>
      <c r="BI266" s="3457"/>
      <c r="BJ266" s="3457"/>
      <c r="BK266" s="3451"/>
      <c r="BL266" s="2727"/>
      <c r="BM266" s="3316"/>
      <c r="BN266" s="3451"/>
      <c r="BO266" s="3451"/>
      <c r="BP266" s="3454"/>
      <c r="BQ266" s="1128"/>
      <c r="BR266" s="1128"/>
      <c r="BS266" s="1128"/>
      <c r="BT266" s="1128"/>
      <c r="BU266" s="1128"/>
      <c r="BV266" s="1128"/>
      <c r="BW266" s="3456"/>
      <c r="BX266" s="1128"/>
      <c r="BY266" s="1128"/>
      <c r="BZ266" s="1128"/>
      <c r="CA266" s="1128"/>
      <c r="CB266" s="1128"/>
      <c r="CC266" s="1128"/>
      <c r="CD266" s="1128"/>
      <c r="CE266" s="1128"/>
      <c r="CF266" s="1128"/>
      <c r="CG266" s="1128"/>
      <c r="CH266" s="1128"/>
      <c r="CI266" s="1128"/>
      <c r="CJ266" s="3455"/>
      <c r="CK266" s="1126"/>
      <c r="CL266" s="1126"/>
      <c r="CM266" s="1129"/>
      <c r="CN266" s="1128"/>
      <c r="CO266" s="3455"/>
      <c r="CP266" s="1126"/>
      <c r="CQ266" s="1126"/>
      <c r="CR266" s="1128"/>
      <c r="CS266" s="1128"/>
      <c r="CT266" s="3455"/>
      <c r="CU266" s="1126"/>
      <c r="CV266" s="1126"/>
      <c r="CW266" s="1128"/>
      <c r="CX266" s="1128"/>
      <c r="CY266" s="3455"/>
      <c r="CZ266" s="1128"/>
      <c r="DA266" s="1126"/>
      <c r="DB266" s="1128"/>
      <c r="DC266" s="1128"/>
      <c r="DD266" s="1128"/>
      <c r="DE266" s="1128"/>
      <c r="DF266" s="1128"/>
      <c r="DG266" s="1128"/>
      <c r="DH266" s="3455"/>
      <c r="DI266" s="3455"/>
      <c r="DJ266" s="1128"/>
      <c r="DK266" s="1128"/>
      <c r="DL266" s="1126"/>
      <c r="DM266" s="3455"/>
      <c r="DN266" s="3455"/>
      <c r="DO266" s="1128"/>
      <c r="DP266" s="1128"/>
      <c r="DQ266" s="1128"/>
      <c r="DR266" s="3455"/>
      <c r="DS266" s="3455"/>
      <c r="DT266" s="1128"/>
      <c r="DU266" s="1128"/>
      <c r="DV266" s="1128"/>
      <c r="DW266" s="1128"/>
      <c r="DX266" s="3455"/>
      <c r="DY266" s="1126"/>
      <c r="DZ266" s="1126"/>
      <c r="EA266" s="1126"/>
      <c r="EB266" s="3458"/>
      <c r="EC266" s="3455"/>
      <c r="ED266" s="1126"/>
      <c r="EE266" s="1126"/>
      <c r="EF266" s="1128"/>
      <c r="EG266" s="3455"/>
      <c r="EH266" s="1128"/>
      <c r="EI266" s="1126"/>
      <c r="EJ266" s="1126"/>
      <c r="EK266" s="1126"/>
      <c r="EL266" s="1128"/>
      <c r="EM266" s="3455"/>
      <c r="EN266" s="1126"/>
      <c r="EO266" s="1126"/>
      <c r="EP266" s="1128"/>
      <c r="EQ266" s="1128"/>
      <c r="ER266" s="3451"/>
      <c r="ES266" s="2727"/>
      <c r="ET266" s="2727"/>
      <c r="EU266" s="2727"/>
      <c r="EV266" s="3451"/>
      <c r="EW266" s="3455"/>
      <c r="EX266" s="1126"/>
      <c r="EY266" s="1126"/>
      <c r="EZ266" s="1128"/>
      <c r="FA266" s="1128"/>
      <c r="FB266" s="1128"/>
      <c r="FC266" s="1128"/>
      <c r="FD266" s="1128"/>
      <c r="FE266" s="1128"/>
      <c r="FF266" s="1128"/>
      <c r="FG266" s="1128"/>
      <c r="FH266" s="1128"/>
      <c r="FI266" s="1128"/>
      <c r="FJ266" s="1128"/>
      <c r="FK266" s="1703"/>
      <c r="FL266" s="1128"/>
      <c r="FM266" s="1128"/>
      <c r="FN266" s="3455"/>
      <c r="FO266" s="1126"/>
      <c r="FP266" s="1126"/>
      <c r="FQ266" s="1703">
        <f>FQ232*28%</f>
        <v>381621.842</v>
      </c>
      <c r="FR266" s="3459"/>
      <c r="FS266" s="3450"/>
      <c r="FT266" s="1126"/>
      <c r="FU266" s="1126"/>
      <c r="FV266" s="1703">
        <v>489805</v>
      </c>
      <c r="FW266" s="1130"/>
      <c r="FX266" s="3460"/>
      <c r="FY266" s="1128"/>
      <c r="FZ266" s="1128"/>
      <c r="GA266" s="1703">
        <f>GA261*28%</f>
        <v>321466.42920000001</v>
      </c>
      <c r="GB266" s="3461"/>
      <c r="GD266" s="823"/>
      <c r="GE266" s="823"/>
      <c r="GF266" s="1703">
        <f>GF261*28%</f>
        <v>129278.18400000002</v>
      </c>
      <c r="GG266" s="3462"/>
      <c r="GH266" s="72"/>
      <c r="GI266" s="1136"/>
      <c r="GJ266" s="1136"/>
      <c r="GK266" s="367">
        <f>GK261*28%</f>
        <v>298645.34000000003</v>
      </c>
      <c r="GL266" s="3463"/>
      <c r="GN266" s="1136"/>
      <c r="GO266" s="1136"/>
      <c r="GP266" s="367">
        <f>GP261*28%</f>
        <v>308000.59640000004</v>
      </c>
      <c r="GQ266" s="1139"/>
      <c r="GR266" s="72"/>
      <c r="GS266" s="1136"/>
      <c r="GT266" s="1136"/>
      <c r="GU266" s="367">
        <f>GU261*28%</f>
        <v>287475.58930322679</v>
      </c>
      <c r="GV266" s="3463"/>
      <c r="GW266" s="72"/>
      <c r="GX266" s="1136"/>
      <c r="GY266" s="1136"/>
      <c r="GZ266" s="367">
        <f>GZ261*28%</f>
        <v>319131.74234666681</v>
      </c>
      <c r="HA266" s="3463"/>
      <c r="HB266" s="72"/>
      <c r="HC266" s="1136"/>
      <c r="HD266" s="1136"/>
      <c r="HE266" s="367">
        <f>HE261*28%</f>
        <v>346380.09746763925</v>
      </c>
      <c r="HF266" s="3463"/>
      <c r="HG266" s="72"/>
      <c r="HH266" s="1136"/>
      <c r="HI266" s="1136"/>
      <c r="HJ266" s="367">
        <f>HJ261*28%</f>
        <v>397782.71119999996</v>
      </c>
      <c r="HK266" s="3463"/>
      <c r="HL266" s="72"/>
      <c r="HM266" s="1136"/>
      <c r="HN266" s="1136"/>
      <c r="HO266" s="367">
        <f>HO261*28%</f>
        <v>209978.10599999997</v>
      </c>
      <c r="HP266" s="3463"/>
      <c r="HQ266" s="72"/>
      <c r="HT266" s="644">
        <f>HT261*28%</f>
        <v>167306.38614967748</v>
      </c>
      <c r="HU266" s="70"/>
      <c r="HV266" s="1633"/>
      <c r="HW266" s="823"/>
      <c r="HX266" s="823"/>
      <c r="HY266" s="823">
        <f>FQ266+FV266+GA266+GF266+GK266+GP266+GU266+GZ266+HE266+HJ266+HO266+HT266</f>
        <v>3656872.0240672105</v>
      </c>
      <c r="HZ266" s="70"/>
      <c r="IA266" s="1637"/>
      <c r="IE266" s="3464"/>
      <c r="IF266" s="1136"/>
      <c r="IG266" s="1136"/>
      <c r="IH266" s="3463"/>
      <c r="II266" s="3464"/>
      <c r="IJ266" s="1136"/>
      <c r="IK266" s="3495"/>
      <c r="IL266" s="3463"/>
      <c r="IM266" s="3464"/>
      <c r="IN266" s="1136"/>
      <c r="IO266" s="3495"/>
      <c r="IP266" s="3463"/>
      <c r="IR266" s="1634"/>
      <c r="IS266" s="823"/>
      <c r="IT266" s="823"/>
      <c r="IU266" s="1499">
        <f>IU261*25.168%</f>
        <v>234176.65290448011</v>
      </c>
      <c r="IV266" s="85"/>
      <c r="IW266" s="628"/>
      <c r="IX266" s="823"/>
      <c r="IY266" s="823"/>
      <c r="IZ266" s="1499">
        <f>IZ261*25.168%</f>
        <v>413265.50217333325</v>
      </c>
      <c r="JA266" s="70"/>
      <c r="JB266" s="1724"/>
      <c r="JE266" s="1499">
        <f>JE261*25.168%</f>
        <v>246292.08909066673</v>
      </c>
      <c r="JF266" s="3465"/>
      <c r="JG266" s="3466"/>
      <c r="JH266" s="823"/>
      <c r="JI266" s="823"/>
      <c r="JJ266" s="1499">
        <f>JJ261*25.168%</f>
        <v>143988.09313367741</v>
      </c>
      <c r="JK266" s="73"/>
      <c r="JL266" s="628"/>
      <c r="JM266" s="1136"/>
      <c r="JN266" s="1136"/>
      <c r="JO266" s="1499">
        <f>JO261*25.168%</f>
        <v>596339.02102299815</v>
      </c>
      <c r="JP266" s="3463"/>
      <c r="JQ266" s="1723"/>
      <c r="JR266" s="1136"/>
      <c r="JS266" s="1136"/>
      <c r="JT266" s="1499">
        <f>JT261*25.168%</f>
        <v>683670.41783040005</v>
      </c>
      <c r="JU266" s="3463"/>
      <c r="JV266" s="812"/>
      <c r="JW266" s="1136"/>
      <c r="JX266" s="1136"/>
      <c r="JY266" s="1499">
        <f>JY261*25.168%</f>
        <v>267436.88088536653</v>
      </c>
      <c r="JZ266" s="3463"/>
      <c r="KA266" s="72"/>
      <c r="KB266" s="1136"/>
      <c r="KC266" s="1136"/>
      <c r="KD266" s="1499">
        <f>KD261*25.168%</f>
        <v>639846.80226133333</v>
      </c>
      <c r="KE266" s="3467"/>
      <c r="KF266" s="3468"/>
      <c r="KG266" s="1136"/>
      <c r="KH266" s="1136"/>
      <c r="KI266" s="1499">
        <f>KI261*25.168%</f>
        <v>381605.99703401339</v>
      </c>
      <c r="KJ266" s="3463"/>
      <c r="KK266" s="3469"/>
      <c r="KL266" s="3470"/>
      <c r="KM266" s="3470"/>
      <c r="KN266" s="1499">
        <f>KN261*25.168%</f>
        <v>158039.36707452906</v>
      </c>
      <c r="KO266" s="3467"/>
      <c r="KP266" s="72"/>
      <c r="KQ266" s="1136"/>
      <c r="KR266" s="1136"/>
      <c r="KS266" s="1499">
        <f>KS261*25.168%</f>
        <v>355977.81030240009</v>
      </c>
      <c r="KT266" s="3463"/>
      <c r="KU266" s="72"/>
      <c r="KX266" s="1499">
        <f>KX261*25.168%</f>
        <v>-527153.56058157422</v>
      </c>
      <c r="KY266" s="90"/>
      <c r="KZ266" s="1633"/>
      <c r="LA266" s="823"/>
      <c r="LB266" s="823"/>
      <c r="LC266" s="1499">
        <f>LC261*25.168%</f>
        <v>4005353.6002969574</v>
      </c>
      <c r="LD266" s="70"/>
      <c r="LE266" s="1693"/>
      <c r="LG266" s="644">
        <f>LG261*28%</f>
        <v>994300.65308000008</v>
      </c>
      <c r="LH266" s="3465"/>
      <c r="LI266" s="3496"/>
      <c r="LJ266" s="3497"/>
      <c r="LK266" s="644">
        <f>LK261*28%</f>
        <v>1584231.2021470962</v>
      </c>
      <c r="LL266" s="3498"/>
      <c r="LM266" s="3499"/>
      <c r="LN266" s="3497"/>
      <c r="LO266" s="644">
        <f>LO261*28%</f>
        <v>1433920.4960688164</v>
      </c>
      <c r="LP266" s="3500"/>
      <c r="LQ266" s="3501"/>
      <c r="LR266" s="3497"/>
      <c r="LS266" s="3473">
        <f>LS261*28%</f>
        <v>-14614.539483870856</v>
      </c>
      <c r="LT266" s="3500"/>
      <c r="LV266" s="628"/>
      <c r="LY266" s="3473">
        <f>LY261*28%</f>
        <v>-629187.99159999995</v>
      </c>
      <c r="LZ266" s="3474"/>
      <c r="MA266" s="72"/>
      <c r="MD266" s="3473">
        <f>MD261*28%</f>
        <v>365604.07492903108</v>
      </c>
      <c r="ME266" s="3463"/>
      <c r="MF266" s="1637"/>
      <c r="MI266" s="3502">
        <f>MI261*28%</f>
        <v>139780.46319999997</v>
      </c>
      <c r="MJ266" s="3463"/>
      <c r="MK266" s="3355"/>
      <c r="MN266" s="3502">
        <f>MN261*28%</f>
        <v>129476.03958709679</v>
      </c>
      <c r="MO266" s="3463"/>
      <c r="MP266" s="3475"/>
      <c r="MS266" s="3502">
        <f>MS261*28%</f>
        <v>265817.99253333337</v>
      </c>
      <c r="MT266" s="635"/>
      <c r="MU266" s="3347"/>
      <c r="MV266" s="3348"/>
      <c r="MW266" s="3348"/>
      <c r="MX266" s="3502">
        <f>MX261*28%</f>
        <v>366526.0153333334</v>
      </c>
      <c r="MY266" s="3353"/>
      <c r="MZ266" s="3347"/>
      <c r="NA266" s="3348"/>
      <c r="NB266" s="3348"/>
      <c r="NC266" s="3502">
        <f>NC261*25.168%</f>
        <v>372582.0560176</v>
      </c>
      <c r="ND266" s="3353"/>
      <c r="NE266" s="3347"/>
      <c r="NF266" s="3348"/>
      <c r="NG266" s="3348"/>
      <c r="NH266" s="3502">
        <f>NH261*25.168%</f>
        <v>557725.22565759998</v>
      </c>
      <c r="NI266" s="3353"/>
      <c r="NJ266" s="1708"/>
      <c r="NK266" s="453"/>
      <c r="NL266" s="3349"/>
      <c r="NM266" s="3502">
        <f>NM261*25.168%</f>
        <v>268366.73586487741</v>
      </c>
      <c r="NN266" s="3353"/>
      <c r="NO266" s="352"/>
      <c r="NP266" s="453"/>
      <c r="NQ266" s="3349"/>
      <c r="NR266" s="3502">
        <f>NR261*25.168%</f>
        <v>392657.93790080003</v>
      </c>
      <c r="NS266" s="3353"/>
      <c r="NT266" s="3476"/>
      <c r="NU266" s="624"/>
      <c r="NV266" s="2198"/>
      <c r="NW266" s="3502">
        <f>NW261*25.168%</f>
        <v>439340.7771732572</v>
      </c>
      <c r="NX266" s="3353"/>
      <c r="NY266" s="3477"/>
      <c r="NZ266" s="3348"/>
      <c r="OA266" s="3348"/>
      <c r="OB266" s="3502">
        <f>OB261*25.168%</f>
        <v>-143394.16665398749</v>
      </c>
      <c r="OC266" s="3353"/>
      <c r="OD266" s="72"/>
      <c r="OG266" s="3502">
        <f>OG261*25.168%</f>
        <v>3355572.1104733334</v>
      </c>
      <c r="OH266" s="3353"/>
      <c r="OI266" s="72"/>
      <c r="OL266" s="3473">
        <f>OL261*28%</f>
        <v>-71829.293470968914</v>
      </c>
      <c r="OM266" s="3463"/>
      <c r="ON266" s="72"/>
      <c r="OQ266" s="2197">
        <f>MN266+MS266+MX266</f>
        <v>761820.04745376355</v>
      </c>
      <c r="OR266" s="3463"/>
      <c r="OS266" s="72"/>
      <c r="OV266" s="823">
        <f>MS266+MX266+NC266</f>
        <v>1004926.0638842668</v>
      </c>
      <c r="OW266" s="70"/>
      <c r="OX266" s="72"/>
      <c r="PA266" s="823">
        <f>MX266+NC266+NH266</f>
        <v>1296833.2970085335</v>
      </c>
      <c r="PB266" s="70"/>
      <c r="PD266" s="628"/>
      <c r="PG266" s="3502">
        <f>PG261*25.168%</f>
        <v>482054.64369920001</v>
      </c>
      <c r="PH266" s="3353"/>
      <c r="PI266" s="72"/>
      <c r="PL266" s="3502">
        <f>PL261*25.168%</f>
        <v>26886.283528332813</v>
      </c>
      <c r="PM266" s="3353"/>
      <c r="PN266" s="1637"/>
      <c r="PQ266" s="3502">
        <f>PQ261*25.168%</f>
        <v>385446.48877973336</v>
      </c>
      <c r="PR266" s="3353"/>
      <c r="PS266" s="3346"/>
      <c r="PT266" s="67"/>
      <c r="PU266" s="67"/>
      <c r="PV266" s="3502">
        <f>PV261*25.168%</f>
        <v>447942.8649548387</v>
      </c>
      <c r="PW266" s="3353"/>
      <c r="PX266" s="3475"/>
      <c r="QA266" s="3502">
        <f>QA261*25.168%</f>
        <v>839112.77960371622</v>
      </c>
      <c r="QB266" s="3353"/>
      <c r="QC266" s="3347"/>
      <c r="QD266" s="3348"/>
      <c r="QE266" s="3348"/>
      <c r="QF266" s="3502">
        <f>QF261*25.168%</f>
        <v>792148.22688906675</v>
      </c>
      <c r="QG266" s="3353"/>
      <c r="QH266" s="1708"/>
      <c r="QI266" s="453"/>
      <c r="QJ266" s="3349"/>
      <c r="QK266" s="3502">
        <f>QK261*25.168%</f>
        <v>725850.7072960001</v>
      </c>
      <c r="QL266" s="3353"/>
      <c r="QM266" s="3347"/>
      <c r="QN266" s="3348"/>
      <c r="QO266" s="3348"/>
      <c r="QP266" s="3502">
        <f>QP261*25.168%</f>
        <v>606395.57922943996</v>
      </c>
      <c r="QQ266" s="3353"/>
      <c r="QR266" s="1708"/>
      <c r="QS266" s="453"/>
      <c r="QT266" s="3349"/>
      <c r="QU266" s="3502">
        <f>QU261*25.168%</f>
        <v>566483.71146986657</v>
      </c>
      <c r="QV266" s="3353"/>
      <c r="QW266" s="352"/>
      <c r="QX266" s="453"/>
      <c r="QY266" s="3349"/>
      <c r="QZ266" s="3502">
        <f>QZ261*25.168%</f>
        <v>298029.33326802583</v>
      </c>
      <c r="RA266" s="3353"/>
      <c r="RB266" s="72"/>
      <c r="RD266" s="2197"/>
      <c r="RE266" s="394">
        <f>RE261*25.168%</f>
        <v>466234.21759199991</v>
      </c>
      <c r="RF266" s="76"/>
      <c r="RG266" s="1708"/>
      <c r="RH266" s="453"/>
      <c r="RI266" s="453"/>
      <c r="RJ266" s="394">
        <v>0</v>
      </c>
      <c r="RK266" s="76"/>
      <c r="RL266" s="352"/>
      <c r="RM266" s="67"/>
      <c r="RN266" s="67"/>
      <c r="RO266" s="3502">
        <f>RO261*25.168%</f>
        <v>5482974.8186800247</v>
      </c>
      <c r="RP266" s="3353"/>
      <c r="RQ266" s="72"/>
      <c r="RT266" s="3502">
        <f>RT261*25.168%</f>
        <v>1185679.9604072664</v>
      </c>
      <c r="RU266" s="3353"/>
      <c r="RV266" s="72"/>
      <c r="RY266" s="3502">
        <f>RY261*25.168%</f>
        <v>2016926.7376716214</v>
      </c>
      <c r="RZ266" s="3353"/>
      <c r="SA266" s="72"/>
      <c r="SD266" s="3502">
        <f>SD261*25.168%</f>
        <v>1898784.8642353069</v>
      </c>
      <c r="SE266" s="3353"/>
      <c r="SF266" s="72"/>
      <c r="SI266" s="3502">
        <f>SI261*25.168%</f>
        <v>610982.73066983221</v>
      </c>
      <c r="SJ266" s="3353"/>
      <c r="SL266" s="3521"/>
      <c r="SM266" s="67"/>
      <c r="SN266" s="67"/>
      <c r="SO266" s="3502">
        <f>SO261*25.168%</f>
        <v>858810.72442880005</v>
      </c>
      <c r="SP266" s="3353"/>
      <c r="SQ266" s="352"/>
      <c r="SR266" s="67"/>
      <c r="SS266" s="67"/>
      <c r="ST266" s="3502">
        <f>ST261*25.168%</f>
        <v>585882.43559375475</v>
      </c>
      <c r="SU266" s="3353"/>
      <c r="SV266" s="1637"/>
      <c r="SY266" s="3502">
        <f>SY261*25.168%</f>
        <v>403888.63776213356</v>
      </c>
      <c r="SZ266" s="635"/>
      <c r="TA266" s="3355"/>
      <c r="TD266" s="4136">
        <v>0</v>
      </c>
      <c r="TE266" s="635"/>
      <c r="TF266" s="3475"/>
      <c r="TI266" s="3502">
        <v>0</v>
      </c>
      <c r="TJ266" s="3353"/>
      <c r="TK266" s="3347"/>
      <c r="TL266" s="3348"/>
      <c r="TM266" s="3348"/>
      <c r="TN266" s="3502">
        <v>0</v>
      </c>
      <c r="TO266" s="3353"/>
      <c r="TP266" s="4433"/>
      <c r="TQ266" s="453"/>
      <c r="TR266" s="3349"/>
      <c r="TS266" s="3502">
        <v>0</v>
      </c>
      <c r="TT266" s="3353"/>
      <c r="TU266" s="5302"/>
      <c r="TV266" s="3348"/>
      <c r="TW266" s="3348"/>
      <c r="TX266" s="3502">
        <v>0</v>
      </c>
      <c r="TY266" s="3353"/>
      <c r="TZ266" s="1708"/>
      <c r="UA266" s="453"/>
      <c r="UB266" s="3349"/>
      <c r="UC266" s="3502">
        <v>0</v>
      </c>
      <c r="UD266" s="3353"/>
      <c r="UE266" s="352"/>
      <c r="UF266" s="453"/>
      <c r="UG266" s="3349"/>
      <c r="UH266" s="3502">
        <v>0</v>
      </c>
      <c r="UI266" s="3353"/>
      <c r="UJ266" s="72"/>
      <c r="UL266" s="2197"/>
      <c r="UM266" s="394">
        <f>UM261*25.168%</f>
        <v>0</v>
      </c>
      <c r="UN266" s="76"/>
      <c r="UO266" s="1708"/>
      <c r="UP266" s="453"/>
      <c r="UQ266" s="453"/>
      <c r="UR266" s="394">
        <v>0</v>
      </c>
      <c r="US266" s="76"/>
      <c r="UT266" s="72"/>
      <c r="UW266" s="3502">
        <v>0</v>
      </c>
      <c r="UX266" s="3353"/>
      <c r="UY266" s="72"/>
      <c r="VB266" s="3502">
        <f>VB261*25.168%</f>
        <v>2315657.3438646886</v>
      </c>
      <c r="VC266" s="3353"/>
      <c r="VD266" s="72"/>
      <c r="VG266" s="3502">
        <f>VG261*25.168%</f>
        <v>1655192.3686095041</v>
      </c>
      <c r="VH266" s="3353"/>
      <c r="VI266" s="72"/>
      <c r="VL266" s="394">
        <f>VL261*25.168%</f>
        <v>-1432855.918554994</v>
      </c>
      <c r="VM266" s="70"/>
      <c r="VN266" s="72"/>
      <c r="VQ266" s="823">
        <f>TN266+TS266+TX266</f>
        <v>0</v>
      </c>
      <c r="VR266" s="70"/>
    </row>
    <row r="267" spans="1:590" s="259" customFormat="1" x14ac:dyDescent="0.3">
      <c r="A267" s="280"/>
      <c r="B267" s="4717"/>
      <c r="C267" s="6670" t="s">
        <v>37</v>
      </c>
      <c r="D267" s="6671"/>
      <c r="E267" s="6671"/>
      <c r="F267" s="6671"/>
      <c r="G267" s="6672"/>
      <c r="H267" s="4718"/>
      <c r="I267" s="4719"/>
      <c r="J267" s="4720"/>
      <c r="K267" s="4720"/>
      <c r="L267" s="4721"/>
      <c r="M267" s="4722"/>
      <c r="N267" s="4723"/>
      <c r="O267" s="4724"/>
      <c r="P267" s="4723"/>
      <c r="Q267" s="4722"/>
      <c r="R267" s="4722"/>
      <c r="S267" s="4720"/>
      <c r="T267" s="4720"/>
      <c r="U267" s="4720"/>
      <c r="V267" s="4720"/>
      <c r="W267" s="4725"/>
      <c r="X267" s="4720"/>
      <c r="Y267" s="4720"/>
      <c r="Z267" s="4720"/>
      <c r="AA267" s="4721"/>
      <c r="AB267" s="4721"/>
      <c r="AC267" s="4720"/>
      <c r="AD267" s="4720"/>
      <c r="AE267" s="4720"/>
      <c r="AF267" s="4725"/>
      <c r="AG267" s="4726"/>
      <c r="AH267" s="4727"/>
      <c r="AI267" s="4727"/>
      <c r="AJ267" s="4728"/>
      <c r="AK267" s="4729"/>
      <c r="AL267" s="4723"/>
      <c r="AM267" s="4723"/>
      <c r="AN267" s="4723"/>
      <c r="AO267" s="4723"/>
      <c r="AP267" s="4723"/>
      <c r="AQ267" s="4720"/>
      <c r="AR267" s="4720"/>
      <c r="AS267" s="4720"/>
      <c r="AT267" s="4720"/>
      <c r="AU267" s="4720"/>
      <c r="AV267" s="4723"/>
      <c r="AW267" s="4730"/>
      <c r="AX267" s="4730"/>
      <c r="AY267" s="4731"/>
      <c r="AZ267" s="4723"/>
      <c r="BA267" s="4723"/>
      <c r="BB267" s="4732"/>
      <c r="BC267" s="4732"/>
      <c r="BD267" s="4732"/>
      <c r="BE267" s="4720"/>
      <c r="BF267" s="4733"/>
      <c r="BG267" s="4727"/>
      <c r="BH267" s="4733"/>
      <c r="BI267" s="4733"/>
      <c r="BJ267" s="4733"/>
      <c r="BK267" s="4723"/>
      <c r="BL267" s="4730"/>
      <c r="BM267" s="4723"/>
      <c r="BN267" s="4723"/>
      <c r="BO267" s="4723"/>
      <c r="BP267" s="4734"/>
      <c r="BQ267" s="4720"/>
      <c r="BR267" s="4720"/>
      <c r="BS267" s="4720"/>
      <c r="BT267" s="4720"/>
      <c r="BU267" s="4720"/>
      <c r="BV267" s="4720"/>
      <c r="BW267" s="4735"/>
      <c r="BX267" s="4720"/>
      <c r="BY267" s="4720"/>
      <c r="BZ267" s="4720"/>
      <c r="CA267" s="4720"/>
      <c r="CB267" s="4720"/>
      <c r="CC267" s="4720"/>
      <c r="CD267" s="4720"/>
      <c r="CE267" s="4720"/>
      <c r="CF267" s="4720"/>
      <c r="CG267" s="4720"/>
      <c r="CH267" s="4720"/>
      <c r="CI267" s="4720"/>
      <c r="CJ267" s="4725"/>
      <c r="CK267" s="4732"/>
      <c r="CL267" s="4732"/>
      <c r="CM267" s="4736"/>
      <c r="CN267" s="4720"/>
      <c r="CO267" s="4725"/>
      <c r="CP267" s="4732"/>
      <c r="CQ267" s="4732"/>
      <c r="CR267" s="4720"/>
      <c r="CS267" s="4720"/>
      <c r="CT267" s="4725"/>
      <c r="CU267" s="4732"/>
      <c r="CV267" s="4732"/>
      <c r="CW267" s="4720"/>
      <c r="CX267" s="4720"/>
      <c r="CY267" s="4725"/>
      <c r="CZ267" s="4720"/>
      <c r="DA267" s="4732"/>
      <c r="DB267" s="4720"/>
      <c r="DC267" s="4720"/>
      <c r="DD267" s="4720"/>
      <c r="DE267" s="4720"/>
      <c r="DF267" s="4720"/>
      <c r="DG267" s="4720"/>
      <c r="DH267" s="4725"/>
      <c r="DI267" s="4725"/>
      <c r="DJ267" s="4720"/>
      <c r="DK267" s="4720"/>
      <c r="DL267" s="4732"/>
      <c r="DM267" s="4725"/>
      <c r="DN267" s="4725"/>
      <c r="DO267" s="4720"/>
      <c r="DP267" s="4720"/>
      <c r="DQ267" s="4720"/>
      <c r="DR267" s="4725"/>
      <c r="DS267" s="4725"/>
      <c r="DT267" s="4720"/>
      <c r="DU267" s="4720"/>
      <c r="DV267" s="4720"/>
      <c r="DW267" s="4720"/>
      <c r="DX267" s="4725"/>
      <c r="DY267" s="4732"/>
      <c r="DZ267" s="4732"/>
      <c r="EA267" s="4732"/>
      <c r="EB267" s="4721"/>
      <c r="EC267" s="4725"/>
      <c r="ED267" s="4732"/>
      <c r="EE267" s="4732"/>
      <c r="EF267" s="4720"/>
      <c r="EG267" s="4725"/>
      <c r="EH267" s="4720"/>
      <c r="EI267" s="4732"/>
      <c r="EJ267" s="4732"/>
      <c r="EK267" s="4732"/>
      <c r="EL267" s="4720"/>
      <c r="EM267" s="4725"/>
      <c r="EN267" s="4732"/>
      <c r="EO267" s="4732"/>
      <c r="EP267" s="4720"/>
      <c r="EQ267" s="4720"/>
      <c r="ER267" s="4723"/>
      <c r="ES267" s="4730"/>
      <c r="ET267" s="4730"/>
      <c r="EU267" s="4730"/>
      <c r="EV267" s="4723"/>
      <c r="EW267" s="4725"/>
      <c r="EX267" s="4732"/>
      <c r="EY267" s="4732"/>
      <c r="EZ267" s="4720"/>
      <c r="FA267" s="4720"/>
      <c r="FB267" s="4720"/>
      <c r="FC267" s="4720"/>
      <c r="FD267" s="4720"/>
      <c r="FE267" s="4720"/>
      <c r="FF267" s="4720"/>
      <c r="FG267" s="4720"/>
      <c r="FH267" s="4720"/>
      <c r="FI267" s="4720"/>
      <c r="FJ267" s="4720"/>
      <c r="FK267" s="4720"/>
      <c r="FL267" s="4720"/>
      <c r="FM267" s="4720"/>
      <c r="FN267" s="4725"/>
      <c r="FO267" s="4732"/>
      <c r="FP267" s="4732"/>
      <c r="FQ267" s="4724" t="e">
        <f>#REF!-FQ266</f>
        <v>#REF!</v>
      </c>
      <c r="FR267" s="4737"/>
      <c r="FS267" s="4725"/>
      <c r="FT267" s="4732"/>
      <c r="FU267" s="4732"/>
      <c r="FV267" s="4724" t="e">
        <f>#REF!-FV266</f>
        <v>#REF!</v>
      </c>
      <c r="FW267" s="4720"/>
      <c r="FX267" s="4738"/>
      <c r="FY267" s="4720"/>
      <c r="FZ267" s="4720"/>
      <c r="GA267" s="4724" t="e">
        <f>#REF!-GA266</f>
        <v>#REF!</v>
      </c>
      <c r="GB267" s="4739" t="e">
        <f>GA267/FZ232</f>
        <v>#REF!</v>
      </c>
      <c r="GC267" s="4738"/>
      <c r="GD267" s="4732"/>
      <c r="GE267" s="4732"/>
      <c r="GF267" s="4724" t="e">
        <f>#REF!-GF266</f>
        <v>#REF!</v>
      </c>
      <c r="GG267" s="4735" t="e">
        <f>GF267/GE232</f>
        <v>#REF!</v>
      </c>
      <c r="GH267" s="4740"/>
      <c r="GI267" s="4741"/>
      <c r="GJ267" s="4741"/>
      <c r="GK267" s="4742" t="e">
        <f>#REF!-GK266</f>
        <v>#REF!</v>
      </c>
      <c r="GL267" s="4743" t="e">
        <f>GK267/GJ232</f>
        <v>#REF!</v>
      </c>
      <c r="GM267" s="4720"/>
      <c r="GN267" s="4741"/>
      <c r="GO267" s="4741"/>
      <c r="GP267" s="4742" t="e">
        <f>#REF!-GP266</f>
        <v>#REF!</v>
      </c>
      <c r="GQ267" s="4744" t="e">
        <f>GP267/GO232</f>
        <v>#REF!</v>
      </c>
      <c r="GR267" s="4740"/>
      <c r="GS267" s="4741"/>
      <c r="GT267" s="4741"/>
      <c r="GU267" s="4742" t="e">
        <f>#REF!-GU266</f>
        <v>#REF!</v>
      </c>
      <c r="GV267" s="4743" t="e">
        <f>GU267/GT232</f>
        <v>#REF!</v>
      </c>
      <c r="GW267" s="4740"/>
      <c r="GX267" s="4741"/>
      <c r="GY267" s="4741"/>
      <c r="GZ267" s="4742" t="e">
        <f>#REF!-GZ266</f>
        <v>#REF!</v>
      </c>
      <c r="HA267" s="4743" t="e">
        <f>GZ267/GY232</f>
        <v>#REF!</v>
      </c>
      <c r="HB267" s="4740"/>
      <c r="HC267" s="4741"/>
      <c r="HD267" s="4741"/>
      <c r="HE267" s="4742" t="e">
        <f>#REF!-HE266</f>
        <v>#REF!</v>
      </c>
      <c r="HF267" s="4743" t="e">
        <f>HE267/HD232</f>
        <v>#REF!</v>
      </c>
      <c r="HG267" s="4740"/>
      <c r="HH267" s="4741"/>
      <c r="HI267" s="4741"/>
      <c r="HJ267" s="4742" t="e">
        <f>#REF!-HJ266</f>
        <v>#REF!</v>
      </c>
      <c r="HK267" s="4743" t="e">
        <f>HJ267/HI232</f>
        <v>#REF!</v>
      </c>
      <c r="HL267" s="4740"/>
      <c r="HM267" s="4741"/>
      <c r="HN267" s="4741"/>
      <c r="HO267" s="4742" t="e">
        <f>#REF!-HO266</f>
        <v>#REF!</v>
      </c>
      <c r="HP267" s="4743" t="e">
        <f>HO267/HN232</f>
        <v>#REF!</v>
      </c>
      <c r="HQ267" s="4740"/>
      <c r="HR267" s="4720"/>
      <c r="HS267" s="4720"/>
      <c r="HT267" s="4719" t="e">
        <f>#REF!-HT266</f>
        <v>#REF!</v>
      </c>
      <c r="HU267" s="4745" t="e">
        <f>HT267/HS232</f>
        <v>#REF!</v>
      </c>
      <c r="HV267" s="4746"/>
      <c r="HW267" s="4741"/>
      <c r="HX267" s="4741"/>
      <c r="HY267" s="4747" t="e">
        <f>#REF!-HY266</f>
        <v>#REF!</v>
      </c>
      <c r="HZ267" s="4743" t="e">
        <f>HY267/HX232</f>
        <v>#REF!</v>
      </c>
      <c r="IA267" s="4748"/>
      <c r="IB267" s="4720"/>
      <c r="IC267" s="4749" t="e">
        <f>FQ267+FV267+GA267</f>
        <v>#REF!</v>
      </c>
      <c r="ID267" s="4735" t="e">
        <f>IC267/IB232</f>
        <v>#REF!</v>
      </c>
      <c r="IE267" s="4750"/>
      <c r="IF267" s="4741"/>
      <c r="IG267" s="4751" t="e">
        <f>(GF267+GK267+GP267)</f>
        <v>#REF!</v>
      </c>
      <c r="IH267" s="4743" t="e">
        <f>IG267/IF232</f>
        <v>#REF!</v>
      </c>
      <c r="II267" s="4750"/>
      <c r="IJ267" s="4741"/>
      <c r="IK267" s="4752" t="e">
        <f>(GU267+GZ267+HE267)</f>
        <v>#REF!</v>
      </c>
      <c r="IL267" s="4743" t="e">
        <f>IK267/IJ232</f>
        <v>#REF!</v>
      </c>
      <c r="IM267" s="4750"/>
      <c r="IN267" s="4741"/>
      <c r="IO267" s="4753" t="e">
        <f>(HJ267+HO267+HT267)</f>
        <v>#REF!</v>
      </c>
      <c r="IP267" s="4743" t="e">
        <f>IO267/IN232</f>
        <v>#REF!</v>
      </c>
      <c r="IQ267" s="4720"/>
      <c r="IR267" s="4754"/>
      <c r="IS267" s="4732"/>
      <c r="IT267" s="4732"/>
      <c r="IU267" s="4724" t="e">
        <f>#REF!-IU266</f>
        <v>#REF!</v>
      </c>
      <c r="IV267" s="4721" t="e">
        <f>IU267/IT232</f>
        <v>#REF!</v>
      </c>
      <c r="IW267" s="4755"/>
      <c r="IX267" s="4732"/>
      <c r="IY267" s="4732"/>
      <c r="IZ267" s="4724" t="e">
        <f>#REF!-IZ266</f>
        <v>#REF!</v>
      </c>
      <c r="JA267" s="4745" t="e">
        <f>IZ267/IY232</f>
        <v>#REF!</v>
      </c>
      <c r="JB267" s="4756"/>
      <c r="JC267" s="4720"/>
      <c r="JD267" s="4720"/>
      <c r="JE267" s="4724" t="e">
        <f>#REF!-JE266</f>
        <v>#REF!</v>
      </c>
      <c r="JF267" s="4739" t="e">
        <f>JE267/JD232</f>
        <v>#REF!</v>
      </c>
      <c r="JG267" s="4757"/>
      <c r="JH267" s="4732"/>
      <c r="JI267" s="4732"/>
      <c r="JJ267" s="4724" t="e">
        <f>#REF!-JJ266</f>
        <v>#REF!</v>
      </c>
      <c r="JK267" s="4745" t="e">
        <f>JJ267/JI232</f>
        <v>#REF!</v>
      </c>
      <c r="JL267" s="4755"/>
      <c r="JM267" s="4741"/>
      <c r="JN267" s="4741"/>
      <c r="JO267" s="4747" t="e">
        <f>#REF!-JO266</f>
        <v>#REF!</v>
      </c>
      <c r="JP267" s="4743" t="e">
        <f>JO267/JN232</f>
        <v>#REF!</v>
      </c>
      <c r="JQ267" s="4758"/>
      <c r="JR267" s="4741"/>
      <c r="JS267" s="4741"/>
      <c r="JT267" s="4747" t="e">
        <f>#REF!-JT266</f>
        <v>#REF!</v>
      </c>
      <c r="JU267" s="4743" t="e">
        <f>JT267/JS232</f>
        <v>#REF!</v>
      </c>
      <c r="JV267" s="4759"/>
      <c r="JW267" s="4741"/>
      <c r="JX267" s="4741"/>
      <c r="JY267" s="4747" t="e">
        <f>#REF!-JY266</f>
        <v>#REF!</v>
      </c>
      <c r="JZ267" s="4743" t="e">
        <f>JY267/JX232</f>
        <v>#REF!</v>
      </c>
      <c r="KA267" s="4740"/>
      <c r="KB267" s="4741"/>
      <c r="KC267" s="4741"/>
      <c r="KD267" s="4747" t="e">
        <f>#REF!-KD266</f>
        <v>#REF!</v>
      </c>
      <c r="KE267" s="4760" t="e">
        <f>KD267/KC232</f>
        <v>#REF!</v>
      </c>
      <c r="KF267" s="4761"/>
      <c r="KG267" s="4741"/>
      <c r="KH267" s="4741"/>
      <c r="KI267" s="4747" t="e">
        <f>#REF!-KI266</f>
        <v>#REF!</v>
      </c>
      <c r="KJ267" s="4743" t="e">
        <f>KI267/KH232</f>
        <v>#REF!</v>
      </c>
      <c r="KK267" s="4762"/>
      <c r="KL267" s="4763"/>
      <c r="KM267" s="4763"/>
      <c r="KN267" s="4747" t="e">
        <f>#REF!-KN266</f>
        <v>#REF!</v>
      </c>
      <c r="KO267" s="4760" t="e">
        <f>KN267/KM232</f>
        <v>#REF!</v>
      </c>
      <c r="KP267" s="4740"/>
      <c r="KQ267" s="4741"/>
      <c r="KR267" s="4741"/>
      <c r="KS267" s="4747" t="e">
        <f>#REF!-KS266</f>
        <v>#REF!</v>
      </c>
      <c r="KT267" s="4760" t="e">
        <f>KS267/KR232</f>
        <v>#REF!</v>
      </c>
      <c r="KU267" s="4740"/>
      <c r="KV267" s="4720"/>
      <c r="KW267" s="4720"/>
      <c r="KX267" s="4724">
        <f>KX261-KX266</f>
        <v>-1567385.3800635869</v>
      </c>
      <c r="KY267" s="4764">
        <f>KX267/KW232</f>
        <v>-0.15119472720935961</v>
      </c>
      <c r="KZ267" s="4746"/>
      <c r="LA267" s="4720"/>
      <c r="LB267" s="4720"/>
      <c r="LC267" s="4724">
        <f>LC261-LC266</f>
        <v>11909115.568079382</v>
      </c>
      <c r="LD267" s="4745">
        <f>LC267/LB232</f>
        <v>8.0040869316589908E-2</v>
      </c>
      <c r="LE267" s="4718"/>
      <c r="LF267" s="4720"/>
      <c r="LG267" s="4724" t="e">
        <f>IU267+IZ267+JE267</f>
        <v>#REF!</v>
      </c>
      <c r="LH267" s="4739" t="e">
        <f>LG267/LF232</f>
        <v>#REF!</v>
      </c>
      <c r="LI267" s="4765"/>
      <c r="LJ267" s="4741"/>
      <c r="LK267" s="4751" t="e">
        <f>(JJ267+JO267+JT267)</f>
        <v>#REF!</v>
      </c>
      <c r="LL267" s="4743" t="e">
        <f>LK267/LJ232</f>
        <v>#REF!</v>
      </c>
      <c r="LM267" s="4766"/>
      <c r="LN267" s="4741"/>
      <c r="LO267" s="4752" t="e">
        <f>(JY267+KD267+KI267)</f>
        <v>#REF!</v>
      </c>
      <c r="LP267" s="4743" t="e">
        <f>LO267/LN232</f>
        <v>#REF!</v>
      </c>
      <c r="LQ267" s="4750"/>
      <c r="LR267" s="4741"/>
      <c r="LS267" s="4767" t="e">
        <f>(KN267+KS267+KX267)</f>
        <v>#REF!</v>
      </c>
      <c r="LT267" s="4743" t="e">
        <f>LS267/LR232</f>
        <v>#REF!</v>
      </c>
      <c r="LU267" s="4720"/>
      <c r="LV267" s="4768"/>
      <c r="LW267" s="4730"/>
      <c r="LX267" s="4730"/>
      <c r="LY267" s="4767" t="e">
        <f>#REF!-LY266</f>
        <v>#REF!</v>
      </c>
      <c r="LZ267" s="4769" t="e">
        <f>LY267/LX232</f>
        <v>#REF!</v>
      </c>
      <c r="MA267" s="4740"/>
      <c r="MB267" s="4720"/>
      <c r="MC267" s="4720"/>
      <c r="MD267" s="4767" t="e">
        <f>#REF!-MD266</f>
        <v>#REF!</v>
      </c>
      <c r="ME267" s="4760" t="e">
        <f>MD267/MC232</f>
        <v>#REF!</v>
      </c>
      <c r="MF267" s="4748"/>
      <c r="MG267" s="4720"/>
      <c r="MH267" s="4720"/>
      <c r="MI267" s="4767" t="e">
        <f>#REF!-MI266</f>
        <v>#REF!</v>
      </c>
      <c r="MJ267" s="4760" t="e">
        <f>MI267/MH232</f>
        <v>#REF!</v>
      </c>
      <c r="MK267" s="4770"/>
      <c r="ML267" s="4720"/>
      <c r="MM267" s="4720"/>
      <c r="MN267" s="4767" t="e">
        <f>#REF!-MN266</f>
        <v>#REF!</v>
      </c>
      <c r="MO267" s="4760" t="e">
        <f>MN267/MM232</f>
        <v>#REF!</v>
      </c>
      <c r="MP267" s="4771"/>
      <c r="MQ267" s="4720"/>
      <c r="MR267" s="4720"/>
      <c r="MS267" s="4767" t="e">
        <f>#REF!-MS266</f>
        <v>#REF!</v>
      </c>
      <c r="MT267" s="4760" t="e">
        <f>MS267/MR232</f>
        <v>#REF!</v>
      </c>
      <c r="MU267" s="4772"/>
      <c r="MV267" s="4773"/>
      <c r="MW267" s="4773"/>
      <c r="MX267" s="4774" t="e">
        <f>#REF!-MX266</f>
        <v>#REF!</v>
      </c>
      <c r="MY267" s="4760" t="e">
        <f>MX267/MW232</f>
        <v>#REF!</v>
      </c>
      <c r="MZ267" s="4772"/>
      <c r="NA267" s="4773"/>
      <c r="NB267" s="4773"/>
      <c r="NC267" s="4774">
        <f>NC261-NC266</f>
        <v>1107798.0139823998</v>
      </c>
      <c r="ND267" s="4760">
        <f>NC267/NB232</f>
        <v>8.7134498741887029E-2</v>
      </c>
      <c r="NE267" s="4772"/>
      <c r="NF267" s="4773"/>
      <c r="NG267" s="4773"/>
      <c r="NH267" s="4774">
        <f>NH261-NH266</f>
        <v>1658284.0943423999</v>
      </c>
      <c r="NI267" s="4760">
        <f>NH267/NG232</f>
        <v>0.10469167705453485</v>
      </c>
      <c r="NJ267" s="4768"/>
      <c r="NK267" s="4730"/>
      <c r="NL267" s="4775"/>
      <c r="NM267" s="4774">
        <f>NM261-NM266</f>
        <v>797934.66219963855</v>
      </c>
      <c r="NN267" s="4760">
        <f>NM267/NL232</f>
        <v>5.7498977897174029E-2</v>
      </c>
      <c r="NO267" s="4776"/>
      <c r="NP267" s="4730"/>
      <c r="NQ267" s="4775"/>
      <c r="NR267" s="4774">
        <f>NR261-NR266</f>
        <v>1167489.6220992</v>
      </c>
      <c r="NS267" s="4760">
        <f>NR267/NQ232</f>
        <v>7.7259291719402032E-2</v>
      </c>
      <c r="NT267" s="4777"/>
      <c r="NU267" s="4778"/>
      <c r="NV267" s="4779"/>
      <c r="NW267" s="4774">
        <f>NW261-NW266</f>
        <v>1306291.6813981715</v>
      </c>
      <c r="NX267" s="4760">
        <f>NW267/NV232</f>
        <v>8.4571676455088896E-2</v>
      </c>
      <c r="NY267" s="4780"/>
      <c r="NZ267" s="4773"/>
      <c r="OA267" s="4773"/>
      <c r="OB267" s="4774">
        <f>OB261-OB266</f>
        <v>-426353.79366859468</v>
      </c>
      <c r="OC267" s="4760">
        <f>OB267/OA232</f>
        <v>-2.5914471196637603E-2</v>
      </c>
      <c r="OD267" s="4740"/>
      <c r="OE267" s="4720"/>
      <c r="OF267" s="4720"/>
      <c r="OG267" s="4774">
        <f>OG261-OG266</f>
        <v>9977120.636162607</v>
      </c>
      <c r="OH267" s="4760">
        <f>OG267/OF232</f>
        <v>5.7059028221016599E-2</v>
      </c>
      <c r="OI267" s="4740"/>
      <c r="OJ267" s="4720"/>
      <c r="OK267" s="4720"/>
      <c r="OL267" s="4767" t="e">
        <f>#REF!-OL266</f>
        <v>#REF!</v>
      </c>
      <c r="OM267" s="4760" t="e">
        <f>OL267/OK232</f>
        <v>#REF!</v>
      </c>
      <c r="ON267" s="4740"/>
      <c r="OO267" s="4720"/>
      <c r="OP267" s="4720"/>
      <c r="OQ267" s="4767" t="e">
        <f>#REF!-OQ266</f>
        <v>#REF!</v>
      </c>
      <c r="OR267" s="4760" t="e">
        <f>OQ267/OP232</f>
        <v>#REF!</v>
      </c>
      <c r="OS267" s="4740"/>
      <c r="OT267" s="4720"/>
      <c r="OU267" s="4720"/>
      <c r="OV267" s="4724" t="e">
        <f>#REF!-OV266</f>
        <v>#REF!</v>
      </c>
      <c r="OW267" s="4764" t="e">
        <f>OV267/OU232</f>
        <v>#REF!</v>
      </c>
      <c r="OX267" s="4740"/>
      <c r="OY267" s="4720"/>
      <c r="OZ267" s="4720"/>
      <c r="PA267" s="4724" t="e">
        <f>#REF!-PA266</f>
        <v>#REF!</v>
      </c>
      <c r="PB267" s="4764" t="e">
        <f>PA267/OZ232</f>
        <v>#REF!</v>
      </c>
      <c r="PC267" s="4781"/>
      <c r="PD267" s="4768"/>
      <c r="PE267" s="4730"/>
      <c r="PF267" s="4730"/>
      <c r="PG267" s="4774">
        <f>PG261-PG266</f>
        <v>1433292.7963008001</v>
      </c>
      <c r="PH267" s="4760">
        <f>PG267/PF232</f>
        <v>8.430229214918962E-2</v>
      </c>
      <c r="PI267" s="4740"/>
      <c r="PJ267" s="4720"/>
      <c r="PK267" s="4720"/>
      <c r="PL267" s="4774">
        <f>PL261-PL266</f>
        <v>79940.971431667233</v>
      </c>
      <c r="PM267" s="4760">
        <f>PL267/PK232</f>
        <v>4.3792206614678359E-3</v>
      </c>
      <c r="PN267" s="4748"/>
      <c r="PO267" s="4720"/>
      <c r="PP267" s="4720"/>
      <c r="PQ267" s="4774">
        <f>PQ261-PQ266</f>
        <v>1146047.8245536</v>
      </c>
      <c r="PR267" s="4760">
        <f>PQ267/PP232</f>
        <v>5.1563611296544021E-2</v>
      </c>
      <c r="PS267" s="4782"/>
      <c r="PT267" s="4723"/>
      <c r="PU267" s="4723"/>
      <c r="PV267" s="4774">
        <f>PV261-PV266</f>
        <v>1331868.2640774192</v>
      </c>
      <c r="PW267" s="4760">
        <f>PV267/PU232</f>
        <v>5.3756763367765144E-2</v>
      </c>
      <c r="PX267" s="4771"/>
      <c r="PY267" s="4720"/>
      <c r="PZ267" s="4720"/>
      <c r="QA267" s="4774">
        <f>QA261-QA266</f>
        <v>2494933.5474930583</v>
      </c>
      <c r="QB267" s="4760">
        <f>QA267/PZ232</f>
        <v>9.7388259471613406E-2</v>
      </c>
      <c r="QC267" s="4772"/>
      <c r="QD267" s="4773"/>
      <c r="QE267" s="4773"/>
      <c r="QF267" s="4774">
        <f>QF261-QF266</f>
        <v>2355293.8697775998</v>
      </c>
      <c r="QG267" s="4760">
        <f>QF267/QE232</f>
        <v>8.9751645848449219E-2</v>
      </c>
      <c r="QH267" s="4768"/>
      <c r="QI267" s="4730"/>
      <c r="QJ267" s="4775"/>
      <c r="QK267" s="4774">
        <f>QK261-QK266</f>
        <v>2158171.4927040003</v>
      </c>
      <c r="QL267" s="4760">
        <f>QK267/QJ232</f>
        <v>7.8812049746083787E-2</v>
      </c>
      <c r="QM267" s="4772"/>
      <c r="QN267" s="4773"/>
      <c r="QO267" s="4773"/>
      <c r="QP267" s="4774">
        <f>QP261-QP266</f>
        <v>1802995.6287705596</v>
      </c>
      <c r="QQ267" s="4760">
        <f>QP267/QO232</f>
        <v>6.760695627732248E-2</v>
      </c>
      <c r="QR267" s="4768"/>
      <c r="QS267" s="4730"/>
      <c r="QT267" s="4775"/>
      <c r="QU267" s="4774">
        <f>QU261-QU266</f>
        <v>1684325.6951967997</v>
      </c>
      <c r="QV267" s="4760">
        <f>QU267/QT232</f>
        <v>6.3715735283132E-2</v>
      </c>
      <c r="QW267" s="4776"/>
      <c r="QX267" s="4730"/>
      <c r="QY267" s="4730"/>
      <c r="QZ267" s="4730">
        <f>QZ261-QZ266</f>
        <v>886130.44608681276</v>
      </c>
      <c r="RA267" s="4764">
        <f>QZ267/QY232</f>
        <v>3.3220687073163994E-2</v>
      </c>
      <c r="RB267" s="4740"/>
      <c r="RC267" s="4720"/>
      <c r="RD267" s="4783"/>
      <c r="RE267" s="4730">
        <f>RE261-RE266</f>
        <v>1386253.9324079994</v>
      </c>
      <c r="RF267" s="4764">
        <f>RE267/RD232</f>
        <v>5.1780762543291024E-2</v>
      </c>
      <c r="RG267" s="4768"/>
      <c r="RH267" s="4730"/>
      <c r="RI267" s="4730"/>
      <c r="RJ267" s="4730">
        <f>RJ261-RJ266</f>
        <v>-609248.59516129084</v>
      </c>
      <c r="RK267" s="4764">
        <f>RJ267/RI232</f>
        <v>-1.993405104321087E-2</v>
      </c>
      <c r="RL267" s="4776"/>
      <c r="RM267" s="4723"/>
      <c r="RN267" s="4723"/>
      <c r="RO267" s="4774">
        <f>RO261-RO266</f>
        <v>16302525.891269214</v>
      </c>
      <c r="RP267" s="4760">
        <f>RO267/RN232</f>
        <v>5.4593726541591309E-2</v>
      </c>
      <c r="RQ267" s="4740"/>
      <c r="RR267" s="4720"/>
      <c r="RS267" s="4720"/>
      <c r="RT267" s="4774">
        <f>RT261-RT266</f>
        <v>3525381.547886068</v>
      </c>
      <c r="RU267" s="4760">
        <f>RT267/RS232</f>
        <v>6.1329820575947727E-2</v>
      </c>
      <c r="RV267" s="4740"/>
      <c r="RW267" s="4720"/>
      <c r="RX267" s="4720"/>
      <c r="RY267" s="4774">
        <f>RY261-RY266</f>
        <v>5996927.1151240766</v>
      </c>
      <c r="RZ267" s="4760">
        <f>RY267/RX232</f>
        <v>7.8251480230010009E-2</v>
      </c>
      <c r="SA267" s="4740"/>
      <c r="SB267" s="4720"/>
      <c r="SC267" s="4720"/>
      <c r="SD267" s="4774">
        <f>SD261-SD266</f>
        <v>5645655.9504313599</v>
      </c>
      <c r="SE267" s="4760">
        <f>SD267/SC232</f>
        <v>7.0143204592821015E-2</v>
      </c>
      <c r="SF267" s="4740"/>
      <c r="SG267" s="4720"/>
      <c r="SH267" s="4720"/>
      <c r="SI267" s="4774">
        <f>SI261-SI266</f>
        <v>1816634.6035237159</v>
      </c>
      <c r="SJ267" s="4760">
        <f>SI267/SH232</f>
        <v>2.1624319754559439E-2</v>
      </c>
      <c r="SL267" s="4768"/>
      <c r="SM267" s="4730"/>
      <c r="SN267" s="4730"/>
      <c r="SO267" s="4774">
        <f>SO261-SO266</f>
        <v>2553501.4355712002</v>
      </c>
      <c r="SP267" s="4760">
        <f>SO267/SN232</f>
        <v>7.0399233438856942E-2</v>
      </c>
      <c r="SQ267" s="4776"/>
      <c r="SR267" s="4723"/>
      <c r="SS267" s="4723"/>
      <c r="ST267" s="4774">
        <f>ST261-ST266</f>
        <v>1742003.9105352771</v>
      </c>
      <c r="SU267" s="4760">
        <f>ST267/SS232</f>
        <v>4.8354222445798595E-2</v>
      </c>
      <c r="SV267" s="4748"/>
      <c r="SW267" s="4720"/>
      <c r="SX267" s="4720"/>
      <c r="SY267" s="4774">
        <f>SY261-SY266</f>
        <v>1200881.8555712006</v>
      </c>
      <c r="SZ267" s="4743">
        <f>SY267/SX232</f>
        <v>2.4107173567987163E-2</v>
      </c>
      <c r="TA267" s="4770"/>
      <c r="TB267" s="4720"/>
      <c r="TC267" s="4720"/>
      <c r="TD267" s="4784">
        <f>TD261-TD266</f>
        <v>-1355600.3936693547</v>
      </c>
      <c r="TE267" s="4743">
        <f>TD267/TC232</f>
        <v>-4.3308240659948316E-2</v>
      </c>
      <c r="TF267" s="4771"/>
      <c r="TG267" s="4720"/>
      <c r="TH267" s="4720"/>
      <c r="TI267" s="4784">
        <f>TI261-TI266</f>
        <v>-1696191.9918279573</v>
      </c>
      <c r="TJ267" s="4760">
        <f>TI267/TH232</f>
        <v>-5.3264104021461832E-2</v>
      </c>
      <c r="TK267" s="4772"/>
      <c r="TL267" s="4773"/>
      <c r="TM267" s="4773"/>
      <c r="TN267" s="5305">
        <f>TN261-TN266</f>
        <v>-2037294.7233333304</v>
      </c>
      <c r="TO267" s="4760">
        <f>TN267/TM232</f>
        <v>-6.1981386211452598E-2</v>
      </c>
      <c r="TP267" s="4785"/>
      <c r="TQ267" s="4730"/>
      <c r="TR267" s="4775"/>
      <c r="TS267" s="4786">
        <f>TS261-TS266</f>
        <v>-1902049.4545451617</v>
      </c>
      <c r="TT267" s="4760">
        <f>TS267/TR232</f>
        <v>-5.6312930022496613E-2</v>
      </c>
      <c r="TU267" s="5306"/>
      <c r="TV267" s="4773"/>
      <c r="TW267" s="4773"/>
      <c r="TX267" s="4786">
        <f>TX261-TX266</f>
        <v>-1642843.2140000002</v>
      </c>
      <c r="TY267" s="4760">
        <f>TX267/TW232</f>
        <v>-4.7093892628580554E-2</v>
      </c>
      <c r="TZ267" s="4768"/>
      <c r="UA267" s="4730"/>
      <c r="UB267" s="4730"/>
      <c r="UC267" s="4784">
        <f>UC261-UC266</f>
        <v>-1893857.9328335486</v>
      </c>
      <c r="UD267" s="4760">
        <f>UC267/UB232</f>
        <v>-5.4214453745732458E-2</v>
      </c>
      <c r="UE267" s="4776"/>
      <c r="UF267" s="4730"/>
      <c r="UG267" s="4730"/>
      <c r="UH267" s="6517">
        <f>UH261-UH266</f>
        <v>-1039300.4289999995</v>
      </c>
      <c r="UI267" s="4764">
        <f>UH267/UG232</f>
        <v>-2.9052724115614423E-2</v>
      </c>
      <c r="UJ267" s="4740"/>
      <c r="UK267" s="4720"/>
      <c r="UL267" s="4783"/>
      <c r="UM267" s="4730">
        <f>UM261-UM266</f>
        <v>0</v>
      </c>
      <c r="UN267" s="4764" t="e">
        <f>UM267/UL232</f>
        <v>#DIV/0!</v>
      </c>
      <c r="UO267" s="4768"/>
      <c r="UP267" s="4730"/>
      <c r="UQ267" s="4730"/>
      <c r="UR267" s="4730">
        <f>UR261-UR266</f>
        <v>0</v>
      </c>
      <c r="US267" s="4764" t="e">
        <f>UR267/UQ232</f>
        <v>#DIV/0!</v>
      </c>
      <c r="UT267" s="4740"/>
      <c r="UU267" s="4720"/>
      <c r="UV267" s="4720"/>
      <c r="UW267" s="4786">
        <f>UW261-UW266</f>
        <v>-4223259.1397469901</v>
      </c>
      <c r="UX267" s="4760">
        <f>UW267/UV232</f>
        <v>-1.1813511116792548E-2</v>
      </c>
      <c r="UY267" s="4740"/>
      <c r="UZ267" s="4720"/>
      <c r="VA267" s="4720"/>
      <c r="VB267" s="4774">
        <f>VB261-VB266</f>
        <v>6885142.6555976775</v>
      </c>
      <c r="VC267" s="4760">
        <f>VB267/VA232</f>
        <v>5.6383876089555023E-2</v>
      </c>
      <c r="VD267" s="4740"/>
      <c r="VE267" s="4720"/>
      <c r="VF267" s="4720"/>
      <c r="VG267" s="4774">
        <f>VG261-VG266</f>
        <v>4921382.5225598542</v>
      </c>
      <c r="VH267" s="4760">
        <f>VG267/VF232</f>
        <v>5.1372744278682853E-2</v>
      </c>
      <c r="VI267" s="4740"/>
      <c r="VJ267" s="4720"/>
      <c r="VK267" s="4720"/>
      <c r="VL267" s="4730">
        <f>VL261-VL266</f>
        <v>-4260309.6828237167</v>
      </c>
      <c r="VM267" s="4764">
        <f>VL267/VK232</f>
        <v>-4.1471788183826658E-2</v>
      </c>
      <c r="VN267" s="4740"/>
      <c r="VO267" s="4720"/>
      <c r="VP267" s="4720"/>
      <c r="VQ267" s="4724" t="e">
        <f>#REF!-VQ266</f>
        <v>#REF!</v>
      </c>
      <c r="VR267" s="4764" t="e">
        <f>VQ267/VP232</f>
        <v>#REF!</v>
      </c>
    </row>
    <row r="268" spans="1:590" x14ac:dyDescent="0.3">
      <c r="C268" s="3503"/>
      <c r="D268" s="71"/>
      <c r="E268" s="811"/>
      <c r="F268" s="811"/>
      <c r="AF268" s="71"/>
      <c r="AG268" s="3504"/>
      <c r="AH268" s="3504"/>
      <c r="AI268" s="3504"/>
      <c r="AJ268" s="3504"/>
      <c r="AK268" s="3504"/>
      <c r="AL268" s="67"/>
      <c r="IK268" s="65"/>
      <c r="MD268" s="79"/>
    </row>
    <row r="269" spans="1:590" hidden="1" x14ac:dyDescent="0.3">
      <c r="B269" s="396"/>
      <c r="C269" s="3505"/>
      <c r="D269" s="3506"/>
      <c r="E269" s="391"/>
      <c r="F269" s="391"/>
      <c r="AF269" s="71"/>
      <c r="AG269" s="3504"/>
      <c r="AH269" s="3504"/>
      <c r="AI269" s="3504"/>
      <c r="AJ269" s="3504"/>
      <c r="AK269" s="3504"/>
      <c r="AL269" s="67"/>
      <c r="GF269" s="68"/>
      <c r="GI269" s="79"/>
      <c r="JO269" s="79"/>
      <c r="JS269" s="79"/>
      <c r="JT269" s="79"/>
      <c r="LC269" s="1221"/>
      <c r="LX269" s="79"/>
      <c r="LY269" s="79"/>
      <c r="MD269" s="79"/>
      <c r="NR269" s="101"/>
      <c r="OE269" s="1193"/>
      <c r="OF269" s="1193"/>
      <c r="OG269" s="1193"/>
      <c r="PQ269" s="79"/>
    </row>
    <row r="270" spans="1:590" hidden="1" x14ac:dyDescent="0.3">
      <c r="B270" s="397"/>
      <c r="C270" s="3503"/>
      <c r="D270" s="3507"/>
      <c r="E270" s="407"/>
      <c r="F270" s="811"/>
      <c r="GK270" s="3508"/>
      <c r="LC270" s="410"/>
      <c r="LX270" s="68"/>
      <c r="MD270" s="79"/>
    </row>
    <row r="271" spans="1:590" x14ac:dyDescent="0.3">
      <c r="C271" s="3503"/>
      <c r="D271" s="3509"/>
      <c r="E271" s="407"/>
      <c r="F271" s="407"/>
      <c r="LC271" s="410"/>
      <c r="LY271" s="68"/>
      <c r="MD271" s="68"/>
      <c r="VB271" s="79"/>
    </row>
    <row r="272" spans="1:590" hidden="1" x14ac:dyDescent="0.3">
      <c r="B272" s="66"/>
      <c r="C272" s="3505"/>
      <c r="D272" s="3510"/>
      <c r="E272" s="407"/>
      <c r="F272" s="407"/>
    </row>
    <row r="273" spans="1:574" hidden="1" x14ac:dyDescent="0.3">
      <c r="A273" s="63"/>
      <c r="B273" s="63"/>
      <c r="C273" s="3503"/>
      <c r="D273" s="3511"/>
      <c r="E273" s="283"/>
      <c r="F273" s="283"/>
      <c r="G273" s="63"/>
      <c r="H273" s="63"/>
      <c r="L273" s="63"/>
      <c r="M273" s="63"/>
      <c r="N273" s="63"/>
      <c r="O273" s="63"/>
      <c r="P273" s="63"/>
      <c r="Q273" s="63"/>
      <c r="R273" s="63"/>
      <c r="W273" s="63"/>
      <c r="AA273" s="63"/>
      <c r="AB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V273" s="63"/>
      <c r="AW273" s="63"/>
      <c r="AX273" s="63"/>
      <c r="AY273" s="63"/>
      <c r="AZ273" s="63"/>
      <c r="BA273" s="63"/>
      <c r="BB273" s="63"/>
      <c r="BC273" s="63"/>
      <c r="BD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W273" s="63"/>
      <c r="CJ273" s="63"/>
      <c r="CK273" s="63"/>
      <c r="CL273" s="63"/>
      <c r="CM273" s="63"/>
      <c r="CO273" s="63"/>
      <c r="CP273" s="63"/>
      <c r="CQ273" s="63"/>
      <c r="CT273" s="63"/>
      <c r="CU273" s="63"/>
      <c r="CV273" s="63"/>
      <c r="CY273" s="63"/>
      <c r="DA273" s="63"/>
      <c r="DH273" s="63"/>
      <c r="DI273" s="63"/>
      <c r="DL273" s="63"/>
      <c r="DM273" s="63"/>
      <c r="DN273" s="63"/>
      <c r="DR273" s="63"/>
      <c r="DS273" s="63"/>
      <c r="DX273" s="63"/>
      <c r="DY273" s="63"/>
      <c r="DZ273" s="63"/>
      <c r="EA273" s="63"/>
      <c r="EB273" s="63"/>
      <c r="EC273" s="63"/>
      <c r="ED273" s="63"/>
      <c r="EE273" s="63"/>
      <c r="EG273" s="63"/>
      <c r="EI273" s="63"/>
      <c r="EJ273" s="63"/>
      <c r="EK273" s="63"/>
      <c r="EM273" s="63"/>
      <c r="EN273" s="63"/>
      <c r="EO273" s="63"/>
      <c r="ER273" s="63"/>
      <c r="ES273" s="63"/>
      <c r="ET273" s="63"/>
      <c r="EU273" s="63"/>
      <c r="EV273" s="63"/>
      <c r="EW273" s="63"/>
      <c r="EX273" s="63"/>
      <c r="EY273" s="63"/>
      <c r="FN273" s="63"/>
      <c r="FO273" s="63"/>
      <c r="FP273" s="63"/>
      <c r="FR273" s="63"/>
      <c r="FS273" s="63"/>
      <c r="FT273" s="63"/>
      <c r="FU273" s="63"/>
      <c r="FV273" s="63"/>
      <c r="FX273" s="63"/>
      <c r="GD273" s="63"/>
      <c r="GE273" s="63"/>
      <c r="HW273" s="63"/>
      <c r="HX273" s="63"/>
      <c r="HY273" s="63"/>
      <c r="IA273" s="63"/>
      <c r="II273" s="63"/>
      <c r="IP273" s="63"/>
      <c r="IR273" s="63"/>
    </row>
    <row r="274" spans="1:574" hidden="1" x14ac:dyDescent="0.3">
      <c r="B274" s="91"/>
    </row>
    <row r="275" spans="1:574" hidden="1" x14ac:dyDescent="0.3">
      <c r="B275" s="3512"/>
      <c r="C275" s="3513"/>
      <c r="D275" s="1295"/>
    </row>
    <row r="276" spans="1:574" hidden="1" x14ac:dyDescent="0.3">
      <c r="B276" s="3512"/>
      <c r="C276" s="3513"/>
      <c r="D276" s="3510"/>
      <c r="E276" s="386"/>
    </row>
    <row r="277" spans="1:574" hidden="1" x14ac:dyDescent="0.3">
      <c r="B277" s="3512"/>
      <c r="C277" s="3513"/>
      <c r="D277" s="3512"/>
    </row>
    <row r="278" spans="1:574" hidden="1" x14ac:dyDescent="0.3">
      <c r="B278" s="3512"/>
      <c r="C278" s="3513"/>
      <c r="D278" s="1295"/>
      <c r="E278" s="386"/>
    </row>
    <row r="279" spans="1:574" hidden="1" x14ac:dyDescent="0.3">
      <c r="B279" s="3514"/>
      <c r="C279" s="3515"/>
      <c r="D279" s="1295"/>
    </row>
    <row r="280" spans="1:574" hidden="1" x14ac:dyDescent="0.3">
      <c r="B280" s="3514"/>
      <c r="C280" s="3515"/>
      <c r="D280" s="1295"/>
    </row>
    <row r="281" spans="1:574" hidden="1" x14ac:dyDescent="0.3">
      <c r="B281" s="3514"/>
      <c r="C281" s="3515"/>
      <c r="D281" s="1295"/>
    </row>
    <row r="282" spans="1:574" hidden="1" x14ac:dyDescent="0.3"/>
    <row r="283" spans="1:574" hidden="1" x14ac:dyDescent="0.3"/>
    <row r="284" spans="1:574" x14ac:dyDescent="0.3">
      <c r="B284" s="3516"/>
      <c r="C284" s="3517"/>
      <c r="D284" s="66"/>
      <c r="SR284" s="65" t="s">
        <v>953</v>
      </c>
      <c r="SS284" s="1221">
        <f>122732-4500</f>
        <v>118232</v>
      </c>
      <c r="SW284" s="63" t="s">
        <v>953</v>
      </c>
      <c r="SX284" s="1221">
        <v>114275</v>
      </c>
      <c r="TB284" s="63" t="s">
        <v>953</v>
      </c>
      <c r="TC284" s="1221">
        <v>101922</v>
      </c>
      <c r="TH284" s="65" t="s">
        <v>953</v>
      </c>
      <c r="TI284" s="1221">
        <v>87149</v>
      </c>
      <c r="TM284" s="65" t="s">
        <v>953</v>
      </c>
      <c r="TN284" s="1221">
        <v>96475</v>
      </c>
      <c r="TS284" s="1299">
        <v>0</v>
      </c>
      <c r="VB284" s="79"/>
    </row>
    <row r="285" spans="1:574" x14ac:dyDescent="0.3">
      <c r="B285" s="91"/>
      <c r="C285" s="3513"/>
      <c r="SS285" s="1221">
        <v>150594</v>
      </c>
      <c r="SX285" s="1221">
        <v>12000</v>
      </c>
      <c r="TC285" s="1221">
        <v>12000</v>
      </c>
      <c r="TI285" s="1221">
        <v>7425</v>
      </c>
      <c r="TN285" s="1221">
        <v>81952</v>
      </c>
      <c r="TS285" s="1221">
        <v>28300</v>
      </c>
      <c r="TX285" s="1193"/>
    </row>
    <row r="286" spans="1:574" x14ac:dyDescent="0.3">
      <c r="B286" s="63"/>
      <c r="C286" s="3513"/>
      <c r="SS286" s="1221">
        <v>140150</v>
      </c>
      <c r="SX286" s="1221">
        <f>186400+2950</f>
        <v>189350</v>
      </c>
      <c r="TC286" s="1221">
        <f>(457208*25%)</f>
        <v>114302</v>
      </c>
      <c r="TI286" s="1221">
        <v>91746</v>
      </c>
      <c r="TN286" s="1221">
        <v>128585</v>
      </c>
      <c r="TS286" s="1221">
        <v>66235</v>
      </c>
      <c r="TX286" s="1193">
        <v>78149</v>
      </c>
      <c r="UC286" s="1193">
        <v>86376</v>
      </c>
      <c r="UH286" s="1193">
        <v>77916</v>
      </c>
    </row>
    <row r="287" spans="1:574" x14ac:dyDescent="0.3">
      <c r="B287" s="63"/>
      <c r="C287" s="3513"/>
      <c r="SS287" s="1221">
        <v>139790</v>
      </c>
      <c r="SX287" s="1221">
        <f>109431</f>
        <v>109431</v>
      </c>
      <c r="TC287" s="1221">
        <v>71774</v>
      </c>
      <c r="TI287" s="1221">
        <v>159319</v>
      </c>
      <c r="TN287" s="1221">
        <v>78997</v>
      </c>
      <c r="TS287" s="1221">
        <f>550728</f>
        <v>550728</v>
      </c>
      <c r="TX287" s="1193">
        <v>97325</v>
      </c>
      <c r="UC287" s="1193">
        <v>573591</v>
      </c>
      <c r="UH287" s="1193">
        <v>223337</v>
      </c>
    </row>
    <row r="288" spans="1:574" x14ac:dyDescent="0.3">
      <c r="B288" s="63"/>
      <c r="C288" s="3513"/>
      <c r="SS288" s="1221">
        <v>0</v>
      </c>
      <c r="SX288" s="1221">
        <f>18000+2200</f>
        <v>20200</v>
      </c>
      <c r="TC288" s="1221">
        <v>282911</v>
      </c>
      <c r="TI288" s="1221">
        <f>212086-27212</f>
        <v>184874</v>
      </c>
      <c r="TN288" s="1221">
        <v>48461</v>
      </c>
      <c r="TS288" s="1221">
        <v>180492</v>
      </c>
      <c r="TX288" s="1193">
        <v>636781</v>
      </c>
      <c r="UC288" s="1193">
        <v>109813</v>
      </c>
      <c r="UH288" s="1193">
        <f>136307</f>
        <v>136307</v>
      </c>
    </row>
    <row r="289" spans="2:593" x14ac:dyDescent="0.3">
      <c r="B289" s="63"/>
      <c r="C289" s="3513"/>
      <c r="QI289" s="3518"/>
      <c r="SS289" s="1221">
        <f>280519-35000-65000</f>
        <v>180519</v>
      </c>
      <c r="SX289" s="1221">
        <v>105471</v>
      </c>
      <c r="TC289" s="1221">
        <v>0</v>
      </c>
      <c r="TI289" s="1221">
        <v>0</v>
      </c>
      <c r="TN289" s="1221">
        <v>113699</v>
      </c>
      <c r="TS289" s="1221">
        <v>172648</v>
      </c>
      <c r="TX289" s="1193">
        <v>130876</v>
      </c>
      <c r="UC289" s="1193">
        <v>90349</v>
      </c>
      <c r="UH289" s="1193">
        <v>100483</v>
      </c>
    </row>
    <row r="290" spans="2:593" x14ac:dyDescent="0.3">
      <c r="B290" s="63"/>
      <c r="C290" s="3519"/>
      <c r="SS290" s="1221">
        <v>118516</v>
      </c>
      <c r="SX290" s="1221">
        <f>43200</f>
        <v>43200</v>
      </c>
      <c r="TC290" s="1221">
        <v>208836</v>
      </c>
      <c r="TI290" s="1221">
        <v>194003</v>
      </c>
      <c r="TN290" s="1221">
        <v>75000</v>
      </c>
      <c r="TS290" s="1221">
        <v>128489</v>
      </c>
      <c r="TX290" s="1193">
        <v>118054</v>
      </c>
      <c r="UC290" s="1193">
        <v>111968</v>
      </c>
      <c r="UH290" s="1193">
        <v>22262</v>
      </c>
    </row>
    <row r="291" spans="2:593" x14ac:dyDescent="0.3">
      <c r="B291" s="63"/>
      <c r="C291" s="3513"/>
      <c r="SS291" s="1221">
        <v>171901</v>
      </c>
      <c r="SX291" s="1221"/>
      <c r="TC291" s="1221">
        <f>33211</f>
        <v>33211</v>
      </c>
      <c r="TI291" s="1221">
        <v>0</v>
      </c>
      <c r="TN291" s="1221">
        <v>85000</v>
      </c>
      <c r="TS291" s="1221">
        <v>122112</v>
      </c>
      <c r="TX291" s="1193">
        <v>94000</v>
      </c>
      <c r="UC291" s="1193">
        <v>4645</v>
      </c>
      <c r="UH291" s="1193">
        <f>43000</f>
        <v>43000</v>
      </c>
      <c r="VT291" s="1221">
        <v>888486</v>
      </c>
      <c r="VU291" s="63" t="s">
        <v>994</v>
      </c>
    </row>
    <row r="292" spans="2:593" x14ac:dyDescent="0.3">
      <c r="B292" s="63"/>
      <c r="SS292" s="1193">
        <f>SUM(SS284:SS291)</f>
        <v>1019702</v>
      </c>
      <c r="ST292" s="428">
        <f>SS292*25%</f>
        <v>254925.5</v>
      </c>
      <c r="SX292" s="1221">
        <f>SUM(SX284:SX291)</f>
        <v>593927</v>
      </c>
      <c r="SY292" s="410">
        <f>SX292*25%</f>
        <v>148481.75</v>
      </c>
      <c r="TC292" s="1193">
        <f>SUM(TC284:TC291)</f>
        <v>824956</v>
      </c>
      <c r="TD292" s="428">
        <f>TC292*25%</f>
        <v>206239</v>
      </c>
      <c r="TI292" s="1221">
        <v>238997</v>
      </c>
      <c r="TN292" s="1221">
        <v>214590</v>
      </c>
      <c r="TS292" s="1221">
        <v>70363</v>
      </c>
      <c r="TX292" s="1193">
        <v>37000</v>
      </c>
      <c r="UC292" s="1193">
        <f>33218+9965</f>
        <v>43183</v>
      </c>
      <c r="UH292" s="1193">
        <v>103064</v>
      </c>
    </row>
    <row r="293" spans="2:593" x14ac:dyDescent="0.3">
      <c r="B293" s="63"/>
      <c r="C293" s="3513"/>
      <c r="TI293" s="1221">
        <v>84834</v>
      </c>
      <c r="TN293" s="1221">
        <v>39988</v>
      </c>
      <c r="TS293" s="1299">
        <v>0</v>
      </c>
      <c r="TX293" s="1193">
        <v>60592</v>
      </c>
      <c r="UC293" s="1193">
        <v>126140</v>
      </c>
      <c r="UH293" s="1193">
        <f>283577-35000</f>
        <v>248577</v>
      </c>
    </row>
    <row r="294" spans="2:593" x14ac:dyDescent="0.3">
      <c r="C294" s="3520"/>
      <c r="TI294" s="1221">
        <v>0</v>
      </c>
      <c r="TN294" s="1221">
        <v>0</v>
      </c>
      <c r="TX294" s="65">
        <v>80000</v>
      </c>
      <c r="UC294" s="1193">
        <v>82210</v>
      </c>
      <c r="UH294" s="1193">
        <v>120438</v>
      </c>
    </row>
    <row r="295" spans="2:593" x14ac:dyDescent="0.3">
      <c r="TI295" s="1193">
        <f>SUM(TI284:TI294)</f>
        <v>1048347</v>
      </c>
      <c r="TJ295" s="1193">
        <f>TI295*25%-94560</f>
        <v>167526.75</v>
      </c>
      <c r="TN295" s="1193">
        <f>SUM(TN284:TN294)</f>
        <v>962747</v>
      </c>
      <c r="TO295" s="1193"/>
      <c r="TS295" s="1193">
        <f>SUM(TS284:TS294)</f>
        <v>1319367</v>
      </c>
      <c r="TX295" s="1193">
        <f>SUM(TX284:TX294)</f>
        <v>1332777</v>
      </c>
      <c r="UC295" s="1193">
        <v>221952</v>
      </c>
      <c r="UH295" s="1193">
        <f>312160-30362-3137-1000+11000</f>
        <v>288661</v>
      </c>
    </row>
    <row r="296" spans="2:593" x14ac:dyDescent="0.3">
      <c r="TN296" s="410">
        <f>TN295*25%-34560</f>
        <v>206126.75</v>
      </c>
      <c r="TS296" s="410">
        <f>TS295*25%-34560</f>
        <v>295281.75</v>
      </c>
      <c r="TX296" s="428">
        <f>TX295*25%-34560</f>
        <v>298634.25</v>
      </c>
      <c r="UC296" s="1193">
        <f>SUM(UC286:UC295)-35000</f>
        <v>1415227</v>
      </c>
      <c r="UH296" s="1193">
        <f>SUM(UH286:UH295)</f>
        <v>1364045</v>
      </c>
    </row>
    <row r="297" spans="2:593" x14ac:dyDescent="0.3">
      <c r="UC297" s="1193">
        <f>UC296*25%</f>
        <v>353806.75</v>
      </c>
      <c r="UH297" s="1193">
        <f>UH296*25%</f>
        <v>341011.25</v>
      </c>
    </row>
    <row r="299" spans="2:593" x14ac:dyDescent="0.3">
      <c r="UG299" s="65" t="s">
        <v>1067</v>
      </c>
      <c r="UH299" s="1193">
        <v>69840</v>
      </c>
    </row>
    <row r="300" spans="2:593" x14ac:dyDescent="0.3">
      <c r="UG300" s="65" t="s">
        <v>1068</v>
      </c>
      <c r="UH300" s="1193">
        <f>51000+40000</f>
        <v>91000</v>
      </c>
    </row>
    <row r="301" spans="2:593" x14ac:dyDescent="0.3">
      <c r="UG301" s="65" t="s">
        <v>1069</v>
      </c>
      <c r="UH301" s="1193">
        <f>30000+7850</f>
        <v>37850</v>
      </c>
    </row>
  </sheetData>
  <mergeCells count="200">
    <mergeCell ref="RB3:RB4"/>
    <mergeCell ref="RC3:RF3"/>
    <mergeCell ref="RG3:RK3"/>
    <mergeCell ref="RL3:RP3"/>
    <mergeCell ref="QM3:QM4"/>
    <mergeCell ref="QN3:QQ3"/>
    <mergeCell ref="QR3:QR4"/>
    <mergeCell ref="QS3:QV3"/>
    <mergeCell ref="QW3:QW4"/>
    <mergeCell ref="QX3:RA3"/>
    <mergeCell ref="SM3:SP3"/>
    <mergeCell ref="SQ3:SQ4"/>
    <mergeCell ref="SR3:SU3"/>
    <mergeCell ref="SV3:SV4"/>
    <mergeCell ref="SW3:SZ3"/>
    <mergeCell ref="RQ3:RU3"/>
    <mergeCell ref="RV3:RZ3"/>
    <mergeCell ref="SA3:SE3"/>
    <mergeCell ref="SF3:SJ3"/>
    <mergeCell ref="SL3:SL4"/>
    <mergeCell ref="TL3:TO3"/>
    <mergeCell ref="TP3:TP4"/>
    <mergeCell ref="TQ3:TT3"/>
    <mergeCell ref="TU3:TU4"/>
    <mergeCell ref="TV3:TY3"/>
    <mergeCell ref="TA3:TA4"/>
    <mergeCell ref="TB3:TE3"/>
    <mergeCell ref="TF3:TF4"/>
    <mergeCell ref="TG3:TJ3"/>
    <mergeCell ref="TK3:TK4"/>
    <mergeCell ref="VI3:VM3"/>
    <mergeCell ref="VN3:VR3"/>
    <mergeCell ref="UK3:UN3"/>
    <mergeCell ref="UO3:US3"/>
    <mergeCell ref="UT3:UX3"/>
    <mergeCell ref="UY3:VC3"/>
    <mergeCell ref="VD3:VH3"/>
    <mergeCell ref="TZ3:TZ4"/>
    <mergeCell ref="UA3:UD3"/>
    <mergeCell ref="UE3:UE4"/>
    <mergeCell ref="UF3:UI3"/>
    <mergeCell ref="UJ3:UJ4"/>
    <mergeCell ref="QC3:QC4"/>
    <mergeCell ref="QD3:QG3"/>
    <mergeCell ref="QH3:QH4"/>
    <mergeCell ref="QI3:QL3"/>
    <mergeCell ref="PN3:PN4"/>
    <mergeCell ref="PO3:PR3"/>
    <mergeCell ref="PS3:PS4"/>
    <mergeCell ref="PT3:PW3"/>
    <mergeCell ref="PX3:PX4"/>
    <mergeCell ref="PY3:QB3"/>
    <mergeCell ref="OX3:PB3"/>
    <mergeCell ref="PD3:PD4"/>
    <mergeCell ref="PE3:PH3"/>
    <mergeCell ref="PI3:PI4"/>
    <mergeCell ref="PJ3:PM3"/>
    <mergeCell ref="NY3:OC3"/>
    <mergeCell ref="OD3:OH3"/>
    <mergeCell ref="OI3:OM3"/>
    <mergeCell ref="ON3:OR3"/>
    <mergeCell ref="OS3:OW3"/>
    <mergeCell ref="NK3:NN3"/>
    <mergeCell ref="NO3:NO4"/>
    <mergeCell ref="NP3:NS3"/>
    <mergeCell ref="NT3:NT4"/>
    <mergeCell ref="NU3:NX3"/>
    <mergeCell ref="MZ3:MZ4"/>
    <mergeCell ref="NA3:ND3"/>
    <mergeCell ref="NE3:NE4"/>
    <mergeCell ref="NF3:NI3"/>
    <mergeCell ref="NJ3:NJ4"/>
    <mergeCell ref="ML3:MO3"/>
    <mergeCell ref="MP3:MP4"/>
    <mergeCell ref="MQ3:MT3"/>
    <mergeCell ref="MU3:MU4"/>
    <mergeCell ref="MV3:MY3"/>
    <mergeCell ref="MA3:MA4"/>
    <mergeCell ref="MB3:ME3"/>
    <mergeCell ref="MF3:MF4"/>
    <mergeCell ref="MG3:MJ3"/>
    <mergeCell ref="MK3:MK4"/>
    <mergeCell ref="LI3:LL3"/>
    <mergeCell ref="LM3:LP3"/>
    <mergeCell ref="LQ3:LT3"/>
    <mergeCell ref="LV3:LV4"/>
    <mergeCell ref="LW3:LZ3"/>
    <mergeCell ref="KP3:KP4"/>
    <mergeCell ref="KQ3:KT3"/>
    <mergeCell ref="KU3:KY3"/>
    <mergeCell ref="KZ3:LD3"/>
    <mergeCell ref="LE3:LH3"/>
    <mergeCell ref="KB3:KE3"/>
    <mergeCell ref="KF3:KF4"/>
    <mergeCell ref="KG3:KJ3"/>
    <mergeCell ref="KK3:KK4"/>
    <mergeCell ref="KL3:KO3"/>
    <mergeCell ref="JQ3:JQ4"/>
    <mergeCell ref="JR3:JU3"/>
    <mergeCell ref="JV3:JV4"/>
    <mergeCell ref="JW3:JZ3"/>
    <mergeCell ref="KA3:KA4"/>
    <mergeCell ref="JC3:JF3"/>
    <mergeCell ref="JG3:JG4"/>
    <mergeCell ref="JH3:JK3"/>
    <mergeCell ref="JL3:JL4"/>
    <mergeCell ref="JM3:JP3"/>
    <mergeCell ref="IR3:IR4"/>
    <mergeCell ref="IS3:IV3"/>
    <mergeCell ref="IW3:IW4"/>
    <mergeCell ref="IX3:JA3"/>
    <mergeCell ref="JB3:JB4"/>
    <mergeCell ref="HV3:HZ3"/>
    <mergeCell ref="IA3:ID3"/>
    <mergeCell ref="IE3:IH3"/>
    <mergeCell ref="II3:IL3"/>
    <mergeCell ref="IM3:IP3"/>
    <mergeCell ref="HG3:HG4"/>
    <mergeCell ref="HH3:HK3"/>
    <mergeCell ref="HL3:HL4"/>
    <mergeCell ref="HM3:HP3"/>
    <mergeCell ref="HQ3:HU3"/>
    <mergeCell ref="GS3:GV3"/>
    <mergeCell ref="GW3:GW4"/>
    <mergeCell ref="GX3:HA3"/>
    <mergeCell ref="HB3:HB4"/>
    <mergeCell ref="HC3:HF3"/>
    <mergeCell ref="GH3:GH4"/>
    <mergeCell ref="GI3:GL3"/>
    <mergeCell ref="GM3:GM4"/>
    <mergeCell ref="GN3:GQ3"/>
    <mergeCell ref="GR3:GR4"/>
    <mergeCell ref="FT3:FW3"/>
    <mergeCell ref="FX3:FX4"/>
    <mergeCell ref="FY3:GB3"/>
    <mergeCell ref="GC3:GC4"/>
    <mergeCell ref="GD3:GG3"/>
    <mergeCell ref="FE3:FH3"/>
    <mergeCell ref="FI3:FM3"/>
    <mergeCell ref="FN3:FN4"/>
    <mergeCell ref="FO3:FR3"/>
    <mergeCell ref="FS3:FS4"/>
    <mergeCell ref="DY3:EB3"/>
    <mergeCell ref="EC3:EG3"/>
    <mergeCell ref="EH3:EL3"/>
    <mergeCell ref="EM3:EQ3"/>
    <mergeCell ref="ER3:EV3"/>
    <mergeCell ref="DN3:DN4"/>
    <mergeCell ref="DO3:DR3"/>
    <mergeCell ref="DS3:DS4"/>
    <mergeCell ref="DT3:DW3"/>
    <mergeCell ref="DX3:DX4"/>
    <mergeCell ref="CZ3:DC3"/>
    <mergeCell ref="DD3:DD4"/>
    <mergeCell ref="DE3:DH3"/>
    <mergeCell ref="DI3:DI4"/>
    <mergeCell ref="DJ3:DM3"/>
    <mergeCell ref="CO3:CO4"/>
    <mergeCell ref="CP3:CS3"/>
    <mergeCell ref="CT3:CT4"/>
    <mergeCell ref="CU3:CX3"/>
    <mergeCell ref="CY3:CY4"/>
    <mergeCell ref="AC3:AF3"/>
    <mergeCell ref="AG3:AG4"/>
    <mergeCell ref="AH3:AK3"/>
    <mergeCell ref="AL3:AL4"/>
    <mergeCell ref="BX3:CA3"/>
    <mergeCell ref="CB3:CE3"/>
    <mergeCell ref="CF3:CI3"/>
    <mergeCell ref="CJ3:CJ4"/>
    <mergeCell ref="CK3:CN3"/>
    <mergeCell ref="BA3:BE3"/>
    <mergeCell ref="BF3:BJ3"/>
    <mergeCell ref="BK3:BO3"/>
    <mergeCell ref="BQ3:BS3"/>
    <mergeCell ref="BT3:BW3"/>
    <mergeCell ref="F232:G232"/>
    <mergeCell ref="C261:G261"/>
    <mergeCell ref="C267:G267"/>
    <mergeCell ref="EW3:EZ3"/>
    <mergeCell ref="FA3:FD3"/>
    <mergeCell ref="B3:B4"/>
    <mergeCell ref="C3:C4"/>
    <mergeCell ref="D3:D4"/>
    <mergeCell ref="E3:F3"/>
    <mergeCell ref="G3:G4"/>
    <mergeCell ref="H3:H4"/>
    <mergeCell ref="I3:L3"/>
    <mergeCell ref="M3:M4"/>
    <mergeCell ref="N3:Q3"/>
    <mergeCell ref="R3:R4"/>
    <mergeCell ref="S3:V3"/>
    <mergeCell ref="W3:W4"/>
    <mergeCell ref="X3:AA3"/>
    <mergeCell ref="AM3:AP3"/>
    <mergeCell ref="AQ3:AQ4"/>
    <mergeCell ref="AR3:AU3"/>
    <mergeCell ref="AV3:AV4"/>
    <mergeCell ref="AW3:AZ3"/>
    <mergeCell ref="AB3:AB4"/>
  </mergeCells>
  <conditionalFormatting sqref="CV40">
    <cfRule type="duplicateValues" dxfId="4" priority="5"/>
  </conditionalFormatting>
  <conditionalFormatting sqref="DA42">
    <cfRule type="duplicateValues" dxfId="3" priority="4"/>
  </conditionalFormatting>
  <conditionalFormatting sqref="DA40">
    <cfRule type="duplicateValues" dxfId="2" priority="3"/>
  </conditionalFormatting>
  <conditionalFormatting sqref="DF42">
    <cfRule type="duplicateValues" dxfId="1" priority="2"/>
  </conditionalFormatting>
  <conditionalFormatting sqref="DF40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I661"/>
  <sheetViews>
    <sheetView zoomScale="92" zoomScaleNormal="92" workbookViewId="0">
      <pane xSplit="3" ySplit="4" topLeftCell="YB15" activePane="bottomRight" state="frozen"/>
      <selection pane="topRight" activeCell="D1" sqref="D1"/>
      <selection pane="bottomLeft" activeCell="A5" sqref="A5"/>
      <selection pane="bottomRight" activeCell="YH26" sqref="YH26"/>
    </sheetView>
  </sheetViews>
  <sheetFormatPr defaultColWidth="5.3984375" defaultRowHeight="14" x14ac:dyDescent="0.3"/>
  <cols>
    <col min="1" max="1" width="4.796875" style="1" customWidth="1"/>
    <col min="2" max="2" width="12.296875" style="1" customWidth="1"/>
    <col min="3" max="3" width="8.296875" style="1" customWidth="1"/>
    <col min="4" max="4" width="3.09765625" style="1" hidden="1" customWidth="1"/>
    <col min="5" max="5" width="9" style="172" hidden="1" customWidth="1"/>
    <col min="6" max="6" width="11.69921875" style="1" hidden="1" customWidth="1"/>
    <col min="7" max="7" width="9" style="172" hidden="1" customWidth="1"/>
    <col min="8" max="8" width="11.69921875" style="172" hidden="1" customWidth="1"/>
    <col min="9" max="9" width="8.296875" style="172" hidden="1" customWidth="1"/>
    <col min="10" max="10" width="10.59765625" style="172" hidden="1" customWidth="1"/>
    <col min="11" max="11" width="4.69921875" style="1" hidden="1" customWidth="1"/>
    <col min="12" max="12" width="3.09765625" style="1" hidden="1" customWidth="1"/>
    <col min="13" max="13" width="9" style="1" hidden="1" customWidth="1"/>
    <col min="14" max="14" width="11.69921875" style="1" hidden="1" customWidth="1"/>
    <col min="15" max="15" width="9" style="1" hidden="1" customWidth="1"/>
    <col min="16" max="16" width="11.69921875" style="1" hidden="1" customWidth="1"/>
    <col min="17" max="17" width="8.296875" style="1" hidden="1" customWidth="1"/>
    <col min="18" max="18" width="10.59765625" style="1" hidden="1" customWidth="1"/>
    <col min="19" max="19" width="4.69921875" style="1" hidden="1" customWidth="1"/>
    <col min="20" max="20" width="3.09765625" style="1" hidden="1" customWidth="1"/>
    <col min="21" max="21" width="9" style="1" hidden="1" customWidth="1"/>
    <col min="22" max="22" width="11.69921875" style="1" hidden="1" customWidth="1"/>
    <col min="23" max="23" width="9" style="1" hidden="1" customWidth="1"/>
    <col min="24" max="24" width="11.69921875" style="1" hidden="1" customWidth="1"/>
    <col min="25" max="25" width="9.5" style="1" hidden="1" customWidth="1"/>
    <col min="26" max="26" width="11.8984375" style="1" hidden="1" customWidth="1"/>
    <col min="27" max="27" width="4.69921875" style="1" hidden="1" customWidth="1"/>
    <col min="28" max="28" width="3.09765625" style="1" hidden="1" customWidth="1"/>
    <col min="29" max="29" width="9" style="1" hidden="1" customWidth="1"/>
    <col min="30" max="30" width="11.69921875" style="1" hidden="1" customWidth="1"/>
    <col min="31" max="31" width="9" style="1" hidden="1" customWidth="1"/>
    <col min="32" max="32" width="11.69921875" style="1" hidden="1" customWidth="1"/>
    <col min="33" max="33" width="7.8984375" style="1" hidden="1" customWidth="1"/>
    <col min="34" max="34" width="10.59765625" style="1" hidden="1" customWidth="1"/>
    <col min="35" max="35" width="4.69921875" style="1" hidden="1" customWidth="1"/>
    <col min="36" max="36" width="3.09765625" style="1" hidden="1" customWidth="1"/>
    <col min="37" max="37" width="9" style="1" hidden="1" customWidth="1"/>
    <col min="38" max="38" width="11.69921875" style="1" hidden="1" customWidth="1"/>
    <col min="39" max="39" width="9" style="1" hidden="1" customWidth="1"/>
    <col min="40" max="40" width="11.69921875" style="1" hidden="1" customWidth="1"/>
    <col min="41" max="41" width="8.296875" style="1" hidden="1" customWidth="1"/>
    <col min="42" max="42" width="10.59765625" style="1" hidden="1" customWidth="1"/>
    <col min="43" max="43" width="4.69921875" style="1" hidden="1" customWidth="1"/>
    <col min="44" max="44" width="3.09765625" style="1" hidden="1" customWidth="1"/>
    <col min="45" max="45" width="9" style="1" hidden="1" customWidth="1"/>
    <col min="46" max="46" width="11.69921875" style="1" hidden="1" customWidth="1"/>
    <col min="47" max="47" width="9" style="1" hidden="1" customWidth="1"/>
    <col min="48" max="48" width="11.69921875" style="1" hidden="1" customWidth="1"/>
    <col min="49" max="49" width="8.296875" style="1" hidden="1" customWidth="1"/>
    <col min="50" max="50" width="10.59765625" style="1" hidden="1" customWidth="1"/>
    <col min="51" max="51" width="4.69921875" style="1" hidden="1" customWidth="1"/>
    <col min="52" max="52" width="3.09765625" style="1" hidden="1" customWidth="1"/>
    <col min="53" max="53" width="9" style="1" hidden="1" customWidth="1"/>
    <col min="54" max="54" width="11.69921875" style="1" hidden="1" customWidth="1"/>
    <col min="55" max="55" width="9" style="1" hidden="1" customWidth="1"/>
    <col min="56" max="56" width="11.69921875" style="1" hidden="1" customWidth="1"/>
    <col min="57" max="57" width="7.8984375" style="1" hidden="1" customWidth="1"/>
    <col min="58" max="58" width="10.59765625" style="1" hidden="1" customWidth="1"/>
    <col min="59" max="59" width="4.69921875" style="1" hidden="1" customWidth="1"/>
    <col min="60" max="60" width="3.09765625" style="1" hidden="1" customWidth="1"/>
    <col min="61" max="61" width="9" style="1" hidden="1" customWidth="1"/>
    <col min="62" max="62" width="11.69921875" style="1" hidden="1" customWidth="1"/>
    <col min="63" max="63" width="9" style="1" hidden="1" customWidth="1"/>
    <col min="64" max="64" width="11.69921875" style="1" hidden="1" customWidth="1"/>
    <col min="65" max="65" width="7.8984375" style="1" hidden="1" customWidth="1"/>
    <col min="66" max="66" width="10.59765625" style="1" hidden="1" customWidth="1"/>
    <col min="67" max="67" width="4.69921875" style="1" hidden="1" customWidth="1"/>
    <col min="68" max="68" width="3.09765625" style="1" hidden="1" customWidth="1"/>
    <col min="69" max="69" width="9" style="1" hidden="1" customWidth="1"/>
    <col min="70" max="70" width="11.69921875" style="1" hidden="1" customWidth="1"/>
    <col min="71" max="71" width="9" style="1" hidden="1" customWidth="1"/>
    <col min="72" max="72" width="11.69921875" style="1" hidden="1" customWidth="1"/>
    <col min="73" max="73" width="8.3984375" style="1" hidden="1" customWidth="1"/>
    <col min="74" max="74" width="11.09765625" style="1" hidden="1" customWidth="1"/>
    <col min="75" max="75" width="13.3984375" style="1" hidden="1" customWidth="1"/>
    <col min="76" max="76" width="3.09765625" style="1" hidden="1" customWidth="1"/>
    <col min="77" max="77" width="9" style="1" hidden="1" customWidth="1"/>
    <col min="78" max="78" width="11.69921875" style="1" hidden="1" customWidth="1"/>
    <col min="79" max="79" width="9" style="1" hidden="1" customWidth="1"/>
    <col min="80" max="80" width="11.69921875" style="1" hidden="1" customWidth="1"/>
    <col min="81" max="81" width="7.8984375" style="1" hidden="1" customWidth="1"/>
    <col min="82" max="82" width="10.59765625" style="1" hidden="1" customWidth="1"/>
    <col min="83" max="83" width="4.69921875" style="1" hidden="1" customWidth="1"/>
    <col min="84" max="84" width="3.09765625" style="1" hidden="1" customWidth="1"/>
    <col min="85" max="85" width="9" style="1" hidden="1" customWidth="1"/>
    <col min="86" max="86" width="11.69921875" style="1" hidden="1" customWidth="1"/>
    <col min="87" max="87" width="9" style="1" hidden="1" customWidth="1"/>
    <col min="88" max="88" width="11.69921875" style="1" hidden="1" customWidth="1"/>
    <col min="89" max="89" width="7.8984375" style="1" hidden="1" customWidth="1"/>
    <col min="90" max="90" width="10.59765625" style="1" hidden="1" customWidth="1"/>
    <col min="91" max="91" width="4.69921875" style="276" hidden="1" customWidth="1"/>
    <col min="92" max="92" width="3.09765625" style="1" hidden="1" customWidth="1"/>
    <col min="93" max="93" width="9" style="1" hidden="1" customWidth="1"/>
    <col min="94" max="94" width="11.69921875" style="1" hidden="1" customWidth="1"/>
    <col min="95" max="95" width="9" style="1" hidden="1" customWidth="1"/>
    <col min="96" max="96" width="11.69921875" style="1" hidden="1" customWidth="1"/>
    <col min="97" max="97" width="8.296875" style="1" hidden="1" customWidth="1"/>
    <col min="98" max="98" width="10.59765625" style="1" hidden="1" customWidth="1"/>
    <col min="99" max="99" width="5.296875" style="1" hidden="1" customWidth="1"/>
    <col min="100" max="100" width="4.296875" style="1" hidden="1" customWidth="1"/>
    <col min="101" max="101" width="10.59765625" style="1" hidden="1" customWidth="1"/>
    <col min="102" max="102" width="12.796875" style="1" hidden="1" customWidth="1"/>
    <col min="103" max="103" width="10.59765625" style="1" hidden="1" customWidth="1"/>
    <col min="104" max="104" width="12.796875" style="1" hidden="1" customWidth="1"/>
    <col min="105" max="105" width="9" style="1" hidden="1" customWidth="1"/>
    <col min="106" max="106" width="11.69921875" style="1" hidden="1" customWidth="1"/>
    <col min="107" max="107" width="12.796875" style="1" hidden="1" customWidth="1"/>
    <col min="108" max="108" width="4.59765625" style="1" hidden="1" customWidth="1"/>
    <col min="109" max="109" width="9" style="1" hidden="1" customWidth="1"/>
    <col min="110" max="110" width="11.69921875" style="1" hidden="1" customWidth="1"/>
    <col min="111" max="111" width="9" style="1" hidden="1" customWidth="1"/>
    <col min="112" max="112" width="11.69921875" style="1" hidden="1" customWidth="1"/>
    <col min="113" max="113" width="8.296875" style="1" hidden="1" customWidth="1"/>
    <col min="114" max="114" width="10.59765625" style="1" hidden="1" customWidth="1"/>
    <col min="115" max="115" width="5.3984375" style="277" hidden="1" customWidth="1"/>
    <col min="116" max="116" width="3.09765625" style="1" hidden="1" customWidth="1"/>
    <col min="117" max="117" width="9" style="1" hidden="1" customWidth="1"/>
    <col min="118" max="118" width="11.69921875" style="1" hidden="1" customWidth="1"/>
    <col min="119" max="119" width="9" style="1" hidden="1" customWidth="1"/>
    <col min="120" max="120" width="11.69921875" style="1" hidden="1" customWidth="1"/>
    <col min="121" max="121" width="8.296875" style="1" hidden="1" customWidth="1"/>
    <col min="122" max="122" width="10.59765625" style="1" hidden="1" customWidth="1"/>
    <col min="123" max="123" width="5.3984375" style="277" hidden="1" customWidth="1"/>
    <col min="124" max="124" width="3.09765625" style="1" hidden="1" customWidth="1"/>
    <col min="125" max="125" width="9" style="1" hidden="1" customWidth="1"/>
    <col min="126" max="126" width="11.69921875" style="1" hidden="1" customWidth="1"/>
    <col min="127" max="127" width="9" style="1" hidden="1" customWidth="1"/>
    <col min="128" max="128" width="11.69921875" style="1" hidden="1" customWidth="1"/>
    <col min="129" max="129" width="7.8984375" style="1" hidden="1" customWidth="1"/>
    <col min="130" max="130" width="10.59765625" style="1" hidden="1" customWidth="1"/>
    <col min="131" max="131" width="5.3984375" style="277" hidden="1" customWidth="1"/>
    <col min="132" max="132" width="3.09765625" style="1" hidden="1" customWidth="1"/>
    <col min="133" max="133" width="9" style="1" hidden="1" customWidth="1"/>
    <col min="134" max="134" width="11.69921875" style="1" hidden="1" customWidth="1"/>
    <col min="135" max="135" width="9" style="1" hidden="1" customWidth="1"/>
    <col min="136" max="136" width="11.69921875" style="1" hidden="1" customWidth="1"/>
    <col min="137" max="137" width="7.8984375" style="1" hidden="1" customWidth="1"/>
    <col min="138" max="138" width="10.59765625" style="1" hidden="1" customWidth="1"/>
    <col min="139" max="139" width="5.3984375" style="1" hidden="1" customWidth="1"/>
    <col min="140" max="140" width="3.09765625" style="1" hidden="1" customWidth="1"/>
    <col min="141" max="141" width="9" style="1" hidden="1" customWidth="1"/>
    <col min="142" max="142" width="11.69921875" style="1" hidden="1" customWidth="1"/>
    <col min="143" max="143" width="9" style="1" hidden="1" customWidth="1"/>
    <col min="144" max="144" width="11.69921875" style="1" hidden="1" customWidth="1"/>
    <col min="145" max="145" width="7.8984375" style="1" hidden="1" customWidth="1"/>
    <col min="146" max="146" width="10.59765625" style="1" hidden="1" customWidth="1"/>
    <col min="147" max="147" width="5.3984375" style="1" hidden="1" customWidth="1"/>
    <col min="148" max="148" width="3.09765625" style="1" hidden="1" customWidth="1"/>
    <col min="149" max="149" width="9" style="1" hidden="1" customWidth="1"/>
    <col min="150" max="150" width="11.69921875" style="1" hidden="1" customWidth="1"/>
    <col min="151" max="151" width="9" style="1" hidden="1" customWidth="1"/>
    <col min="152" max="152" width="11.69921875" style="1" hidden="1" customWidth="1"/>
    <col min="153" max="153" width="7.8984375" style="1" hidden="1" customWidth="1"/>
    <col min="154" max="154" width="10.59765625" style="1" hidden="1" customWidth="1"/>
    <col min="155" max="155" width="5.3984375" style="1" hidden="1" customWidth="1"/>
    <col min="156" max="156" width="3.09765625" style="1" hidden="1" customWidth="1"/>
    <col min="157" max="157" width="9" style="1" hidden="1" customWidth="1"/>
    <col min="158" max="158" width="11.69921875" style="1" hidden="1" customWidth="1"/>
    <col min="159" max="159" width="9" style="1" hidden="1" customWidth="1"/>
    <col min="160" max="160" width="11.69921875" style="1" hidden="1" customWidth="1"/>
    <col min="161" max="161" width="7.8984375" style="1" hidden="1" customWidth="1"/>
    <col min="162" max="162" width="10.59765625" style="1" hidden="1" customWidth="1"/>
    <col min="163" max="163" width="5.8984375" style="1" hidden="1" customWidth="1"/>
    <col min="164" max="164" width="3.09765625" style="1" hidden="1" customWidth="1"/>
    <col min="165" max="165" width="9" style="1" hidden="1" customWidth="1"/>
    <col min="166" max="166" width="11.69921875" style="1" hidden="1" customWidth="1"/>
    <col min="167" max="167" width="9" style="1" hidden="1" customWidth="1"/>
    <col min="168" max="168" width="11.69921875" style="1" hidden="1" customWidth="1"/>
    <col min="169" max="169" width="7.8984375" style="1" hidden="1" customWidth="1"/>
    <col min="170" max="170" width="10.59765625" style="1" hidden="1" customWidth="1"/>
    <col min="171" max="171" width="5.8984375" style="1" hidden="1" customWidth="1"/>
    <col min="172" max="172" width="3.09765625" style="1" hidden="1" customWidth="1"/>
    <col min="173" max="173" width="9" style="1" hidden="1" customWidth="1"/>
    <col min="174" max="174" width="11.69921875" style="1" hidden="1" customWidth="1"/>
    <col min="175" max="175" width="9" style="1" hidden="1" customWidth="1"/>
    <col min="176" max="176" width="11.69921875" style="1" hidden="1" customWidth="1"/>
    <col min="177" max="177" width="7.09765625" style="1" hidden="1" customWidth="1"/>
    <col min="178" max="178" width="9.5" style="1" hidden="1" customWidth="1"/>
    <col min="179" max="179" width="7.8984375" style="1" hidden="1" customWidth="1"/>
    <col min="180" max="180" width="10.59765625" style="1" hidden="1" customWidth="1"/>
    <col min="181" max="181" width="5.8984375" style="1" hidden="1" customWidth="1"/>
    <col min="182" max="182" width="3.09765625" style="278" hidden="1" customWidth="1"/>
    <col min="183" max="183" width="9" style="278" hidden="1" customWidth="1"/>
    <col min="184" max="184" width="11.69921875" style="278" hidden="1" customWidth="1"/>
    <col min="185" max="185" width="9" style="278" hidden="1" customWidth="1"/>
    <col min="186" max="186" width="11.69921875" style="278" hidden="1" customWidth="1"/>
    <col min="187" max="187" width="7.09765625" style="278" hidden="1" customWidth="1"/>
    <col min="188" max="188" width="9.5" style="278" hidden="1" customWidth="1"/>
    <col min="189" max="189" width="7.8984375" style="278" hidden="1" customWidth="1"/>
    <col min="190" max="190" width="10.59765625" style="278" hidden="1" customWidth="1"/>
    <col min="191" max="191" width="5.8984375" style="278" hidden="1" customWidth="1"/>
    <col min="192" max="192" width="3.09765625" style="279" hidden="1" customWidth="1"/>
    <col min="193" max="193" width="9" style="279" hidden="1" customWidth="1"/>
    <col min="194" max="194" width="11.69921875" style="279" hidden="1" customWidth="1"/>
    <col min="195" max="195" width="9" style="279" hidden="1" customWidth="1"/>
    <col min="196" max="196" width="11.69921875" style="279" hidden="1" customWidth="1"/>
    <col min="197" max="197" width="7.09765625" style="279" hidden="1" customWidth="1"/>
    <col min="198" max="198" width="9.5" style="279" hidden="1" customWidth="1"/>
    <col min="199" max="199" width="7.8984375" style="279" hidden="1" customWidth="1"/>
    <col min="200" max="200" width="10.59765625" style="279" hidden="1" customWidth="1"/>
    <col min="201" max="201" width="6.3984375" style="279" hidden="1" customWidth="1"/>
    <col min="202" max="202" width="3.09765625" style="1" hidden="1" customWidth="1"/>
    <col min="203" max="203" width="9" style="1" hidden="1" customWidth="1"/>
    <col min="204" max="204" width="11.8984375" style="1" hidden="1" customWidth="1"/>
    <col min="205" max="205" width="9" style="1" hidden="1" customWidth="1"/>
    <col min="206" max="206" width="11.69921875" style="1" hidden="1" customWidth="1"/>
    <col min="207" max="207" width="7.09765625" style="1" hidden="1" customWidth="1"/>
    <col min="208" max="208" width="9.5" style="1" hidden="1" customWidth="1"/>
    <col min="209" max="209" width="7.8984375" style="1" hidden="1" customWidth="1"/>
    <col min="210" max="210" width="10.59765625" style="1" hidden="1" customWidth="1"/>
    <col min="211" max="211" width="5.296875" style="1" hidden="1" customWidth="1"/>
    <col min="212" max="212" width="4" style="1" hidden="1" customWidth="1"/>
    <col min="213" max="213" width="10.59765625" style="1" hidden="1" customWidth="1"/>
    <col min="214" max="214" width="12.796875" style="1" hidden="1" customWidth="1"/>
    <col min="215" max="215" width="10.59765625" style="1" hidden="1" customWidth="1"/>
    <col min="216" max="216" width="12.796875" style="1" hidden="1" customWidth="1"/>
    <col min="217" max="217" width="9" style="1" hidden="1" customWidth="1"/>
    <col min="218" max="218" width="11.69921875" style="1" hidden="1" customWidth="1"/>
    <col min="219" max="219" width="7" style="1" hidden="1" customWidth="1"/>
    <col min="220" max="220" width="3.09765625" style="1" hidden="1" customWidth="1"/>
    <col min="221" max="221" width="10.59765625" style="1" hidden="1" customWidth="1"/>
    <col min="222" max="222" width="12.796875" style="1" hidden="1" customWidth="1"/>
    <col min="223" max="223" width="10.59765625" style="1" hidden="1" customWidth="1"/>
    <col min="224" max="224" width="12.796875" style="1" hidden="1" customWidth="1"/>
    <col min="225" max="225" width="9" style="1" hidden="1" customWidth="1"/>
    <col min="226" max="226" width="11.69921875" style="1" hidden="1" customWidth="1"/>
    <col min="227" max="227" width="4.69921875" style="1" hidden="1" customWidth="1"/>
    <col min="228" max="228" width="4.59765625" style="1" hidden="1" customWidth="1"/>
    <col min="229" max="229" width="10.59765625" style="1" hidden="1" customWidth="1"/>
    <col min="230" max="230" width="12.796875" style="1" hidden="1" customWidth="1"/>
    <col min="231" max="231" width="10.59765625" style="1" hidden="1" customWidth="1"/>
    <col min="232" max="232" width="12.796875" style="1" hidden="1" customWidth="1"/>
    <col min="233" max="233" width="9" style="1" hidden="1" customWidth="1"/>
    <col min="234" max="234" width="11.69921875" style="1" hidden="1" customWidth="1"/>
    <col min="235" max="235" width="4.69921875" style="1" hidden="1" customWidth="1"/>
    <col min="236" max="236" width="3.09765625" style="1" hidden="1" customWidth="1"/>
    <col min="237" max="237" width="10.59765625" style="1" hidden="1" customWidth="1"/>
    <col min="238" max="238" width="12.796875" style="1" hidden="1" customWidth="1"/>
    <col min="239" max="239" width="10.59765625" style="1" hidden="1" customWidth="1"/>
    <col min="240" max="240" width="12.796875" style="1" hidden="1" customWidth="1"/>
    <col min="241" max="241" width="9" style="1" hidden="1" customWidth="1"/>
    <col min="242" max="242" width="11.69921875" style="1" hidden="1" customWidth="1"/>
    <col min="243" max="243" width="4.69921875" style="1" hidden="1" customWidth="1"/>
    <col min="244" max="244" width="4.296875" style="1" hidden="1" customWidth="1"/>
    <col min="245" max="245" width="10.59765625" style="1" hidden="1" customWidth="1"/>
    <col min="246" max="246" width="12.796875" style="1" hidden="1" customWidth="1"/>
    <col min="247" max="247" width="10.59765625" style="1" hidden="1" customWidth="1"/>
    <col min="248" max="248" width="12.796875" style="1" hidden="1" customWidth="1"/>
    <col min="249" max="249" width="9" style="1" hidden="1" customWidth="1"/>
    <col min="250" max="250" width="11.69921875" style="1" hidden="1" customWidth="1"/>
    <col min="251" max="251" width="4.296875" style="1" hidden="1" customWidth="1"/>
    <col min="252" max="252" width="3" style="1" hidden="1" customWidth="1"/>
    <col min="253" max="253" width="4.296875" style="1" hidden="1" customWidth="1"/>
    <col min="254" max="254" width="9" style="1" hidden="1" customWidth="1"/>
    <col min="255" max="255" width="11.69921875" style="1" hidden="1" customWidth="1"/>
    <col min="256" max="256" width="9" style="1" hidden="1" customWidth="1"/>
    <col min="257" max="257" width="11.69921875" style="1" hidden="1" customWidth="1"/>
    <col min="258" max="258" width="7.8984375" style="1" hidden="1" customWidth="1"/>
    <col min="259" max="259" width="9.5" style="1" hidden="1" customWidth="1"/>
    <col min="260" max="260" width="8.296875" style="1" hidden="1" customWidth="1"/>
    <col min="261" max="261" width="10.8984375" style="1" hidden="1" customWidth="1"/>
    <col min="262" max="262" width="5.296875" style="1" hidden="1" customWidth="1"/>
    <col min="263" max="263" width="4.296875" style="2" hidden="1" customWidth="1"/>
    <col min="264" max="264" width="9" style="1" hidden="1" customWidth="1"/>
    <col min="265" max="265" width="11.69921875" style="1" hidden="1" customWidth="1"/>
    <col min="266" max="266" width="9" style="1" hidden="1" customWidth="1"/>
    <col min="267" max="267" width="11.69921875" style="1" hidden="1" customWidth="1"/>
    <col min="268" max="268" width="7.8984375" style="1" hidden="1" customWidth="1"/>
    <col min="269" max="269" width="8.8984375" style="1" hidden="1" customWidth="1"/>
    <col min="270" max="270" width="8.296875" style="1" hidden="1" customWidth="1"/>
    <col min="271" max="271" width="10.59765625" style="1" hidden="1" customWidth="1"/>
    <col min="272" max="272" width="6.09765625" style="1" hidden="1" customWidth="1"/>
    <col min="273" max="273" width="4.296875" style="1" hidden="1" customWidth="1"/>
    <col min="274" max="274" width="9" style="1" hidden="1" customWidth="1"/>
    <col min="275" max="275" width="11.69921875" style="1" hidden="1" customWidth="1"/>
    <col min="276" max="276" width="9" style="1" hidden="1" customWidth="1"/>
    <col min="277" max="277" width="11.69921875" style="1" hidden="1" customWidth="1"/>
    <col min="278" max="278" width="7.8984375" style="1" hidden="1" customWidth="1"/>
    <col min="279" max="279" width="8.8984375" style="1" hidden="1" customWidth="1"/>
    <col min="280" max="280" width="8.296875" style="1" hidden="1" customWidth="1"/>
    <col min="281" max="281" width="10.8984375" style="1" hidden="1" customWidth="1"/>
    <col min="282" max="282" width="6.09765625" style="1" hidden="1" customWidth="1"/>
    <col min="283" max="283" width="4.296875" style="1" hidden="1" customWidth="1"/>
    <col min="284" max="284" width="9" style="1" hidden="1" customWidth="1"/>
    <col min="285" max="285" width="11.69921875" style="1" hidden="1" customWidth="1"/>
    <col min="286" max="286" width="9" style="1" hidden="1" customWidth="1"/>
    <col min="287" max="287" width="11.69921875" style="1" hidden="1" customWidth="1"/>
    <col min="288" max="288" width="7.8984375" style="1" hidden="1" customWidth="1"/>
    <col min="289" max="289" width="8.8984375" style="1" hidden="1" customWidth="1"/>
    <col min="290" max="290" width="8.296875" style="1" hidden="1" customWidth="1"/>
    <col min="291" max="291" width="10.8984375" style="1" hidden="1" customWidth="1"/>
    <col min="292" max="292" width="6.296875" style="1" hidden="1" customWidth="1"/>
    <col min="293" max="293" width="4.296875" style="2" hidden="1" customWidth="1"/>
    <col min="294" max="294" width="9" style="1" hidden="1" customWidth="1"/>
    <col min="295" max="295" width="11.69921875" style="1" hidden="1" customWidth="1"/>
    <col min="296" max="296" width="9" style="1" hidden="1" customWidth="1"/>
    <col min="297" max="297" width="11.69921875" style="1" hidden="1" customWidth="1"/>
    <col min="298" max="298" width="7.8984375" style="1" hidden="1" customWidth="1"/>
    <col min="299" max="299" width="8.8984375" style="1" hidden="1" customWidth="1"/>
    <col min="300" max="300" width="8.296875" style="1" hidden="1" customWidth="1"/>
    <col min="301" max="301" width="10.59765625" style="1" hidden="1" customWidth="1"/>
    <col min="302" max="302" width="6.296875" style="1" hidden="1" customWidth="1"/>
    <col min="303" max="303" width="4.296875" style="1" hidden="1" customWidth="1"/>
    <col min="304" max="304" width="9" style="1" hidden="1" customWidth="1"/>
    <col min="305" max="305" width="11.69921875" style="1" hidden="1" customWidth="1"/>
    <col min="306" max="306" width="9" style="172" hidden="1" customWidth="1"/>
    <col min="307" max="307" width="11.69921875" style="1" hidden="1" customWidth="1"/>
    <col min="308" max="308" width="7.8984375" style="1" hidden="1" customWidth="1"/>
    <col min="309" max="309" width="8.8984375" style="1" hidden="1" customWidth="1"/>
    <col min="310" max="310" width="8.296875" style="1" hidden="1" customWidth="1"/>
    <col min="311" max="311" width="10.8984375" style="1" hidden="1" customWidth="1"/>
    <col min="312" max="312" width="6.296875" style="1" hidden="1" customWidth="1"/>
    <col min="313" max="313" width="4.296875" style="1" hidden="1" customWidth="1"/>
    <col min="314" max="314" width="9" style="1" hidden="1" customWidth="1"/>
    <col min="315" max="315" width="11.69921875" style="1" hidden="1" customWidth="1"/>
    <col min="316" max="316" width="9" style="1" hidden="1" customWidth="1"/>
    <col min="317" max="317" width="11.69921875" style="1" hidden="1" customWidth="1"/>
    <col min="318" max="318" width="7.8984375" style="1" hidden="1" customWidth="1"/>
    <col min="319" max="319" width="8.8984375" style="1" hidden="1" customWidth="1"/>
    <col min="320" max="320" width="8.296875" style="1" hidden="1" customWidth="1"/>
    <col min="321" max="321" width="10.8984375" style="1" hidden="1" customWidth="1"/>
    <col min="322" max="322" width="5.3984375" style="1" hidden="1" customWidth="1"/>
    <col min="323" max="323" width="4.296875" style="1" hidden="1" customWidth="1"/>
    <col min="324" max="324" width="9" style="1" hidden="1" customWidth="1"/>
    <col min="325" max="325" width="11.69921875" style="1" hidden="1" customWidth="1"/>
    <col min="326" max="326" width="9" style="1" hidden="1" customWidth="1"/>
    <col min="327" max="327" width="11.69921875" style="1" hidden="1" customWidth="1"/>
    <col min="328" max="328" width="7.8984375" style="1" hidden="1" customWidth="1"/>
    <col min="329" max="329" width="8.8984375" style="1" hidden="1" customWidth="1"/>
    <col min="330" max="330" width="8.296875" style="1" hidden="1" customWidth="1"/>
    <col min="331" max="331" width="10.8984375" style="1" hidden="1" customWidth="1"/>
    <col min="332" max="332" width="5.3984375" style="1" hidden="1" customWidth="1"/>
    <col min="333" max="333" width="4.296875" style="171" hidden="1" customWidth="1"/>
    <col min="334" max="334" width="9" style="171" hidden="1" customWidth="1"/>
    <col min="335" max="335" width="11.69921875" style="14" hidden="1" customWidth="1"/>
    <col min="336" max="336" width="9" style="171" hidden="1" customWidth="1"/>
    <col min="337" max="337" width="11.69921875" style="1" hidden="1" customWidth="1"/>
    <col min="338" max="338" width="7.8984375" style="1" hidden="1" customWidth="1"/>
    <col min="339" max="339" width="8.8984375" style="1" hidden="1" customWidth="1"/>
    <col min="340" max="340" width="8.296875" style="1" hidden="1" customWidth="1"/>
    <col min="341" max="341" width="10.59765625" style="1" hidden="1" customWidth="1"/>
    <col min="342" max="342" width="5.3984375" style="1" hidden="1" customWidth="1"/>
    <col min="343" max="343" width="4.296875" style="171" hidden="1" customWidth="1"/>
    <col min="344" max="344" width="9" style="171" hidden="1" customWidth="1"/>
    <col min="345" max="345" width="11.69921875" style="171" hidden="1" customWidth="1"/>
    <col min="346" max="346" width="9" style="171" hidden="1" customWidth="1"/>
    <col min="347" max="347" width="11.69921875" style="171" hidden="1" customWidth="1"/>
    <col min="348" max="348" width="8.296875" style="171" hidden="1" customWidth="1"/>
    <col min="349" max="349" width="8.8984375" style="171" hidden="1" customWidth="1"/>
    <col min="350" max="350" width="8.296875" style="1" hidden="1" customWidth="1"/>
    <col min="351" max="351" width="10.8984375" style="1" hidden="1" customWidth="1"/>
    <col min="352" max="352" width="5.69921875" style="1" hidden="1" customWidth="1"/>
    <col min="353" max="353" width="4.296875" style="1" hidden="1" customWidth="1"/>
    <col min="354" max="354" width="9" style="1" hidden="1" customWidth="1"/>
    <col min="355" max="355" width="11.69921875" style="1" hidden="1" customWidth="1"/>
    <col min="356" max="356" width="9" style="1" hidden="1" customWidth="1"/>
    <col min="357" max="357" width="11.69921875" style="1" hidden="1" customWidth="1"/>
    <col min="358" max="358" width="8.296875" style="1" hidden="1" customWidth="1"/>
    <col min="359" max="359" width="8.8984375" style="1" hidden="1" customWidth="1"/>
    <col min="360" max="360" width="8.3984375" style="1" hidden="1" customWidth="1"/>
    <col min="361" max="361" width="11.09765625" style="1" hidden="1" customWidth="1"/>
    <col min="362" max="362" width="6.09765625" style="1" hidden="1" customWidth="1"/>
    <col min="363" max="363" width="4.296875" style="1" hidden="1" customWidth="1"/>
    <col min="364" max="364" width="9.09765625" style="1" hidden="1" customWidth="1"/>
    <col min="365" max="365" width="11.796875" style="1" hidden="1" customWidth="1"/>
    <col min="366" max="366" width="9.09765625" style="1" hidden="1" customWidth="1"/>
    <col min="367" max="367" width="11.796875" style="1" hidden="1" customWidth="1"/>
    <col min="368" max="368" width="8.296875" style="1" hidden="1" customWidth="1"/>
    <col min="369" max="369" width="9" style="1" hidden="1" customWidth="1"/>
    <col min="370" max="370" width="8.296875" style="1" hidden="1" customWidth="1"/>
    <col min="371" max="371" width="10.69921875" style="1" hidden="1" customWidth="1"/>
    <col min="372" max="372" width="6.09765625" style="1" hidden="1" customWidth="1"/>
    <col min="373" max="373" width="4.296875" style="1" hidden="1" customWidth="1"/>
    <col min="374" max="374" width="11.69921875" style="1" hidden="1" customWidth="1"/>
    <col min="375" max="375" width="12.796875" style="1" hidden="1" customWidth="1"/>
    <col min="376" max="376" width="10.59765625" style="1" hidden="1" customWidth="1"/>
    <col min="377" max="377" width="12.796875" style="1" hidden="1" customWidth="1"/>
    <col min="378" max="378" width="9" style="1" hidden="1" customWidth="1"/>
    <col min="379" max="379" width="11.69921875" style="1" hidden="1" customWidth="1"/>
    <col min="380" max="380" width="6.09765625" style="3" hidden="1" customWidth="1"/>
    <col min="381" max="381" width="4.296875" style="1" hidden="1" customWidth="1"/>
    <col min="382" max="382" width="10.59765625" style="1" hidden="1" customWidth="1"/>
    <col min="383" max="383" width="12.796875" style="1" hidden="1" customWidth="1"/>
    <col min="384" max="384" width="10.59765625" style="1" hidden="1" customWidth="1"/>
    <col min="385" max="385" width="12.796875" style="1" hidden="1" customWidth="1"/>
    <col min="386" max="386" width="9" style="1" hidden="1" customWidth="1"/>
    <col min="387" max="387" width="11.69921875" style="1" hidden="1" customWidth="1"/>
    <col min="388" max="388" width="4.59765625" style="3" hidden="1" customWidth="1"/>
    <col min="389" max="389" width="4.296875" style="172" hidden="1" customWidth="1"/>
    <col min="390" max="390" width="10.59765625" style="172" hidden="1" customWidth="1"/>
    <col min="391" max="391" width="12.796875" style="1" hidden="1" customWidth="1"/>
    <col min="392" max="392" width="10.59765625" style="1" hidden="1" customWidth="1"/>
    <col min="393" max="393" width="12.796875" style="1" hidden="1" customWidth="1"/>
    <col min="394" max="394" width="9" style="1" hidden="1" customWidth="1"/>
    <col min="395" max="395" width="11.69921875" style="1" hidden="1" customWidth="1"/>
    <col min="396" max="396" width="4.59765625" style="3" hidden="1" customWidth="1"/>
    <col min="397" max="397" width="4.296875" style="1" hidden="1" customWidth="1"/>
    <col min="398" max="398" width="10.59765625" style="1" hidden="1" customWidth="1"/>
    <col min="399" max="399" width="12.796875" style="1" hidden="1" customWidth="1"/>
    <col min="400" max="400" width="10.59765625" style="1" hidden="1" customWidth="1"/>
    <col min="401" max="401" width="12.796875" style="1" hidden="1" customWidth="1"/>
    <col min="402" max="402" width="9" style="1" hidden="1" customWidth="1"/>
    <col min="403" max="403" width="11.69921875" style="1" hidden="1" customWidth="1"/>
    <col min="404" max="404" width="4.59765625" style="1" hidden="1" customWidth="1"/>
    <col min="405" max="405" width="4.296875" style="1" hidden="1" customWidth="1"/>
    <col min="406" max="406" width="10.59765625" style="1" hidden="1" customWidth="1"/>
    <col min="407" max="407" width="12.796875" style="1" hidden="1" customWidth="1"/>
    <col min="408" max="408" width="10.59765625" style="1" hidden="1" customWidth="1"/>
    <col min="409" max="409" width="12.796875" style="1" hidden="1" customWidth="1"/>
    <col min="410" max="410" width="9" style="1" hidden="1" customWidth="1"/>
    <col min="411" max="411" width="11.69921875" style="1" hidden="1" customWidth="1"/>
    <col min="412" max="412" width="4.59765625" style="1" hidden="1" customWidth="1"/>
    <col min="413" max="413" width="2.09765625" style="1" hidden="1" customWidth="1"/>
    <col min="414" max="414" width="4.296875" style="1" hidden="1" customWidth="1"/>
    <col min="415" max="415" width="9" style="1" hidden="1" customWidth="1"/>
    <col min="416" max="416" width="11.69921875" style="1" hidden="1" customWidth="1"/>
    <col min="417" max="417" width="9" style="1" hidden="1" customWidth="1"/>
    <col min="418" max="418" width="11.69921875" style="1" hidden="1" customWidth="1"/>
    <col min="419" max="419" width="7.8984375" style="1" hidden="1" customWidth="1"/>
    <col min="420" max="420" width="9.8984375" style="1" hidden="1" customWidth="1"/>
    <col min="421" max="421" width="8.296875" style="1" hidden="1" customWidth="1"/>
    <col min="422" max="422" width="10.59765625" style="1" hidden="1" customWidth="1"/>
    <col min="423" max="423" width="5.296875" style="1" hidden="1" customWidth="1"/>
    <col min="424" max="424" width="4.296875" style="1" hidden="1" customWidth="1"/>
    <col min="425" max="425" width="9" style="1" hidden="1" customWidth="1"/>
    <col min="426" max="426" width="11.69921875" style="1" hidden="1" customWidth="1"/>
    <col min="427" max="427" width="9" style="1" hidden="1" customWidth="1"/>
    <col min="428" max="428" width="11.69921875" style="1" hidden="1" customWidth="1"/>
    <col min="429" max="429" width="7.8984375" style="1" hidden="1" customWidth="1"/>
    <col min="430" max="430" width="9.8984375" style="1" hidden="1" customWidth="1"/>
    <col min="431" max="431" width="8.296875" style="1" hidden="1" customWidth="1"/>
    <col min="432" max="432" width="10.59765625" style="1" hidden="1" customWidth="1"/>
    <col min="433" max="433" width="5.69921875" style="1" hidden="1" customWidth="1"/>
    <col min="434" max="434" width="4.296875" style="1" hidden="1" customWidth="1"/>
    <col min="435" max="435" width="9" style="1" hidden="1" customWidth="1"/>
    <col min="436" max="436" width="11.69921875" style="1" hidden="1" customWidth="1"/>
    <col min="437" max="437" width="9" style="1" hidden="1" customWidth="1"/>
    <col min="438" max="438" width="11.69921875" style="1" hidden="1" customWidth="1"/>
    <col min="439" max="439" width="7.8984375" style="1" hidden="1" customWidth="1"/>
    <col min="440" max="440" width="6.8984375" style="1" hidden="1" customWidth="1"/>
    <col min="441" max="441" width="8.296875" style="1" hidden="1" customWidth="1"/>
    <col min="442" max="442" width="10.59765625" style="1" hidden="1" customWidth="1"/>
    <col min="443" max="443" width="5.3984375" style="1" hidden="1" customWidth="1"/>
    <col min="444" max="444" width="4.296875" style="1" hidden="1" customWidth="1"/>
    <col min="445" max="445" width="9" style="1" hidden="1" customWidth="1"/>
    <col min="446" max="446" width="11.69921875" style="1" hidden="1" customWidth="1"/>
    <col min="447" max="447" width="9" style="1" hidden="1" customWidth="1"/>
    <col min="448" max="448" width="11.69921875" style="1" hidden="1" customWidth="1"/>
    <col min="449" max="449" width="7.09765625" style="1" hidden="1" customWidth="1"/>
    <col min="450" max="450" width="6.8984375" style="1" hidden="1" customWidth="1"/>
    <col min="451" max="451" width="8.296875" style="1" hidden="1" customWidth="1"/>
    <col min="452" max="452" width="10.59765625" style="1" hidden="1" customWidth="1"/>
    <col min="453" max="453" width="5.3984375" style="1" hidden="1" customWidth="1"/>
    <col min="454" max="454" width="4.296875" style="1" hidden="1" customWidth="1"/>
    <col min="455" max="455" width="9" style="1" hidden="1" customWidth="1"/>
    <col min="456" max="456" width="11.69921875" style="1" hidden="1" customWidth="1"/>
    <col min="457" max="457" width="9" style="1" hidden="1" customWidth="1"/>
    <col min="458" max="458" width="11.69921875" style="1" hidden="1" customWidth="1"/>
    <col min="459" max="459" width="7.8984375" style="1" hidden="1" customWidth="1"/>
    <col min="460" max="460" width="6.8984375" style="1" hidden="1" customWidth="1"/>
    <col min="461" max="461" width="10.3984375" style="1" hidden="1" customWidth="1"/>
    <col min="462" max="462" width="10.59765625" style="1" hidden="1" customWidth="1"/>
    <col min="463" max="463" width="5.3984375" style="1" hidden="1" customWidth="1"/>
    <col min="464" max="464" width="4.296875" style="1" hidden="1" customWidth="1"/>
    <col min="465" max="465" width="9" style="1" hidden="1" customWidth="1"/>
    <col min="466" max="466" width="11.69921875" style="1" hidden="1" customWidth="1"/>
    <col min="467" max="467" width="9" style="1" hidden="1" customWidth="1"/>
    <col min="468" max="468" width="11.69921875" style="1" hidden="1" customWidth="1"/>
    <col min="469" max="469" width="7.09765625" style="1" hidden="1" customWidth="1"/>
    <col min="470" max="470" width="9.8984375" style="1" hidden="1" customWidth="1"/>
    <col min="471" max="471" width="8.3984375" style="1" hidden="1" customWidth="1"/>
    <col min="472" max="472" width="11.09765625" style="1" hidden="1" customWidth="1"/>
    <col min="473" max="473" width="5.3984375" style="1" hidden="1" customWidth="1"/>
    <col min="474" max="474" width="4.296875" style="1" hidden="1" customWidth="1"/>
    <col min="475" max="475" width="9" style="1" hidden="1" customWidth="1"/>
    <col min="476" max="476" width="11.69921875" style="1" hidden="1" customWidth="1"/>
    <col min="477" max="477" width="9" style="1" hidden="1" customWidth="1"/>
    <col min="478" max="478" width="11.69921875" style="1" hidden="1" customWidth="1"/>
    <col min="479" max="479" width="7.8984375" style="1" hidden="1" customWidth="1"/>
    <col min="480" max="480" width="6.8984375" style="1" hidden="1" customWidth="1"/>
    <col min="481" max="481" width="7.8984375" style="1" hidden="1" customWidth="1"/>
    <col min="482" max="482" width="10.59765625" style="1" hidden="1" customWidth="1"/>
    <col min="483" max="483" width="5.3984375" style="1" hidden="1" customWidth="1"/>
    <col min="484" max="484" width="4.296875" style="1" hidden="1" customWidth="1"/>
    <col min="485" max="485" width="9" style="1" hidden="1" customWidth="1"/>
    <col min="486" max="486" width="11.69921875" style="1" hidden="1" customWidth="1"/>
    <col min="487" max="487" width="9" style="1" hidden="1" customWidth="1"/>
    <col min="488" max="488" width="11.69921875" style="1" hidden="1" customWidth="1"/>
    <col min="489" max="489" width="7.8984375" style="1" hidden="1" customWidth="1"/>
    <col min="490" max="490" width="6.8984375" style="1" hidden="1" customWidth="1"/>
    <col min="491" max="491" width="7.8984375" style="1" hidden="1" customWidth="1"/>
    <col min="492" max="492" width="10.59765625" style="1" hidden="1" customWidth="1"/>
    <col min="493" max="493" width="5.3984375" style="1" hidden="1" customWidth="1"/>
    <col min="494" max="494" width="4.296875" style="1" hidden="1" customWidth="1"/>
    <col min="495" max="495" width="9" style="1" hidden="1" customWidth="1"/>
    <col min="496" max="496" width="11.69921875" style="1" hidden="1" customWidth="1"/>
    <col min="497" max="497" width="9" style="1" hidden="1" customWidth="1"/>
    <col min="498" max="498" width="11.69921875" style="1" hidden="1" customWidth="1"/>
    <col min="499" max="499" width="7.09765625" style="1" hidden="1" customWidth="1"/>
    <col min="500" max="500" width="6.8984375" style="1" hidden="1" customWidth="1"/>
    <col min="501" max="501" width="7.8984375" style="1" hidden="1" customWidth="1"/>
    <col min="502" max="502" width="10.59765625" style="1" hidden="1" customWidth="1"/>
    <col min="503" max="503" width="5.3984375" style="1" hidden="1" customWidth="1"/>
    <col min="504" max="504" width="4.296875" style="1" hidden="1" customWidth="1"/>
    <col min="505" max="505" width="9" style="1" hidden="1" customWidth="1"/>
    <col min="506" max="506" width="11.69921875" style="1" hidden="1" customWidth="1"/>
    <col min="507" max="507" width="9" style="1" hidden="1" customWidth="1"/>
    <col min="508" max="508" width="11.69921875" style="1" hidden="1" customWidth="1"/>
    <col min="509" max="510" width="7.59765625" style="1" hidden="1" customWidth="1"/>
    <col min="511" max="511" width="7.8984375" style="1" hidden="1" customWidth="1"/>
    <col min="512" max="512" width="11.8984375" style="1" hidden="1" customWidth="1"/>
    <col min="513" max="513" width="7.5" style="1" hidden="1" customWidth="1"/>
    <col min="514" max="514" width="4.796875" style="1" hidden="1" customWidth="1"/>
    <col min="515" max="515" width="9" style="1" hidden="1" customWidth="1"/>
    <col min="516" max="516" width="11.69921875" style="1" hidden="1" customWidth="1"/>
    <col min="517" max="517" width="8.796875" style="1" hidden="1" customWidth="1"/>
    <col min="518" max="518" width="11.69921875" style="1" hidden="1" customWidth="1"/>
    <col min="519" max="519" width="7.09765625" style="1" hidden="1" customWidth="1"/>
    <col min="520" max="520" width="6.8984375" style="1" hidden="1" customWidth="1"/>
    <col min="521" max="521" width="8.296875" style="1" hidden="1" customWidth="1"/>
    <col min="522" max="522" width="10.59765625" style="1" hidden="1" customWidth="1"/>
    <col min="523" max="523" width="7.5" style="1" hidden="1" customWidth="1"/>
    <col min="524" max="524" width="4.296875" style="1" customWidth="1"/>
    <col min="525" max="525" width="9" style="1" customWidth="1"/>
    <col min="526" max="526" width="11.69921875" style="1" customWidth="1"/>
    <col min="527" max="527" width="9" style="1" customWidth="1"/>
    <col min="528" max="528" width="11.69921875" style="1" customWidth="1"/>
    <col min="529" max="529" width="7.09765625" style="1" customWidth="1"/>
    <col min="530" max="530" width="6.8984375" style="1" customWidth="1"/>
    <col min="531" max="531" width="8.296875" style="1" customWidth="1"/>
    <col min="532" max="532" width="10.59765625" style="1" customWidth="1"/>
    <col min="533" max="533" width="7.5" style="1" customWidth="1"/>
    <col min="534" max="534" width="4.296875" style="1" bestFit="1" customWidth="1"/>
    <col min="535" max="535" width="10.69921875" style="1" bestFit="1" customWidth="1"/>
    <col min="536" max="536" width="12.8984375" style="1" bestFit="1" customWidth="1"/>
    <col min="537" max="537" width="10.69921875" style="1" bestFit="1" customWidth="1"/>
    <col min="538" max="538" width="12.8984375" style="1" bestFit="1" customWidth="1"/>
    <col min="539" max="539" width="9.09765625" style="1" bestFit="1" customWidth="1"/>
    <col min="540" max="540" width="11.796875" style="1" bestFit="1" customWidth="1"/>
    <col min="541" max="541" width="5.796875" style="1" bestFit="1" customWidth="1"/>
    <col min="542" max="542" width="4.19921875" style="1" hidden="1" customWidth="1"/>
    <col min="543" max="543" width="10.59765625" style="1" hidden="1" customWidth="1"/>
    <col min="544" max="544" width="12.796875" style="1" hidden="1" customWidth="1"/>
    <col min="545" max="545" width="10.59765625" style="1" hidden="1" customWidth="1"/>
    <col min="546" max="546" width="12.796875" style="1" hidden="1" customWidth="1"/>
    <col min="547" max="547" width="9" style="1" hidden="1" customWidth="1"/>
    <col min="548" max="548" width="10.59765625" style="1" hidden="1" customWidth="1"/>
    <col min="549" max="549" width="7.5" style="1" hidden="1" customWidth="1"/>
    <col min="550" max="550" width="4.19921875" style="1" hidden="1" customWidth="1"/>
    <col min="551" max="551" width="10.59765625" style="1" hidden="1" customWidth="1"/>
    <col min="552" max="552" width="12.796875" style="1" hidden="1" customWidth="1"/>
    <col min="553" max="553" width="10.59765625" style="1" hidden="1" customWidth="1"/>
    <col min="554" max="554" width="12.796875" style="1" hidden="1" customWidth="1"/>
    <col min="555" max="555" width="9" style="1" hidden="1" customWidth="1"/>
    <col min="556" max="556" width="10.59765625" style="1" hidden="1" customWidth="1"/>
    <col min="557" max="557" width="7.5" style="1" hidden="1" customWidth="1"/>
    <col min="558" max="558" width="4.19921875" style="1" hidden="1" customWidth="1"/>
    <col min="559" max="559" width="10.59765625" style="1" hidden="1" customWidth="1"/>
    <col min="560" max="560" width="12.796875" style="1" hidden="1" customWidth="1"/>
    <col min="561" max="561" width="10.59765625" style="1" hidden="1" customWidth="1"/>
    <col min="562" max="562" width="12.796875" style="1" hidden="1" customWidth="1"/>
    <col min="563" max="563" width="7.8984375" style="1" hidden="1" customWidth="1"/>
    <col min="564" max="564" width="10.59765625" style="1" hidden="1" customWidth="1"/>
    <col min="565" max="565" width="7.5" style="1" hidden="1" customWidth="1"/>
    <col min="566" max="566" width="5.296875" style="1" hidden="1" customWidth="1"/>
    <col min="567" max="567" width="10.59765625" style="1" hidden="1" customWidth="1"/>
    <col min="568" max="568" width="12.796875" style="1" hidden="1" customWidth="1"/>
    <col min="569" max="569" width="10.59765625" style="1" hidden="1" customWidth="1"/>
    <col min="570" max="570" width="12.796875" style="1" hidden="1" customWidth="1"/>
    <col min="571" max="571" width="7.8984375" style="1" hidden="1" customWidth="1"/>
    <col min="572" max="572" width="10.59765625" style="1" hidden="1" customWidth="1"/>
    <col min="573" max="573" width="7.5" style="1" hidden="1" customWidth="1"/>
    <col min="574" max="574" width="1.296875" style="1" customWidth="1"/>
    <col min="575" max="575" width="4.296875" style="1" customWidth="1"/>
    <col min="576" max="576" width="9" style="1" customWidth="1"/>
    <col min="577" max="577" width="11.5" style="1" customWidth="1"/>
    <col min="578" max="578" width="9" style="1" customWidth="1"/>
    <col min="579" max="579" width="11.69921875" style="1" customWidth="1"/>
    <col min="580" max="580" width="7.09765625" style="1" customWidth="1"/>
    <col min="581" max="581" width="7.09765625" style="3" customWidth="1"/>
    <col min="582" max="582" width="9.296875" style="3" customWidth="1"/>
    <col min="583" max="583" width="10.59765625" style="1" customWidth="1"/>
    <col min="584" max="584" width="5.59765625" style="1" customWidth="1"/>
    <col min="585" max="585" width="4.796875" style="1" customWidth="1"/>
    <col min="586" max="586" width="8.796875" style="1" customWidth="1"/>
    <col min="587" max="587" width="11.69921875" style="1" customWidth="1"/>
    <col min="588" max="588" width="10.3984375" style="1" customWidth="1"/>
    <col min="589" max="589" width="11.69921875" style="1" customWidth="1"/>
    <col min="590" max="590" width="7.09765625" style="1" customWidth="1"/>
    <col min="591" max="591" width="6.69921875" style="1" customWidth="1"/>
    <col min="592" max="592" width="8.296875" style="1" customWidth="1"/>
    <col min="593" max="593" width="10.59765625" style="1" customWidth="1"/>
    <col min="594" max="594" width="5.69921875" style="1" customWidth="1"/>
    <col min="595" max="595" width="4.796875" style="1" customWidth="1"/>
    <col min="596" max="596" width="8.796875" style="1" customWidth="1"/>
    <col min="597" max="597" width="11.69921875" style="1" customWidth="1"/>
    <col min="598" max="598" width="8.796875" style="1" customWidth="1"/>
    <col min="599" max="599" width="11.69921875" style="1" customWidth="1"/>
    <col min="600" max="600" width="7.09765625" style="1" customWidth="1"/>
    <col min="601" max="601" width="6.8984375" style="1" customWidth="1"/>
    <col min="602" max="602" width="7.8984375" style="1" customWidth="1"/>
    <col min="603" max="603" width="10.59765625" style="1" customWidth="1"/>
    <col min="604" max="604" width="5.3984375" style="1" customWidth="1"/>
    <col min="605" max="605" width="4.796875" style="1" customWidth="1"/>
    <col min="606" max="606" width="8.796875" style="1" customWidth="1"/>
    <col min="607" max="607" width="11.69921875" style="1" customWidth="1"/>
    <col min="608" max="608" width="8.796875" style="1" customWidth="1"/>
    <col min="609" max="609" width="11.69921875" style="1" customWidth="1"/>
    <col min="610" max="610" width="8" style="1" bestFit="1" customWidth="1"/>
    <col min="611" max="611" width="7" style="1" customWidth="1"/>
    <col min="612" max="612" width="8.296875" style="1" bestFit="1" customWidth="1"/>
    <col min="613" max="613" width="10.59765625" style="1" customWidth="1"/>
    <col min="614" max="614" width="5.3984375" style="1" customWidth="1"/>
    <col min="615" max="615" width="5.19921875" style="1" customWidth="1"/>
    <col min="616" max="616" width="9.09765625" style="1" bestFit="1" customWidth="1"/>
    <col min="617" max="617" width="11.796875" style="1" bestFit="1" customWidth="1"/>
    <col min="618" max="618" width="9.09765625" style="1" bestFit="1" customWidth="1"/>
    <col min="619" max="619" width="11.796875" style="1" bestFit="1" customWidth="1"/>
    <col min="620" max="620" width="8" style="1" bestFit="1" customWidth="1"/>
    <col min="621" max="621" width="7" style="1" bestFit="1" customWidth="1"/>
    <col min="622" max="622" width="8" style="1" bestFit="1" customWidth="1"/>
    <col min="623" max="623" width="12" style="1" bestFit="1" customWidth="1"/>
    <col min="624" max="624" width="5.5" style="1" bestFit="1" customWidth="1"/>
    <col min="625" max="625" width="4.8984375" style="1" bestFit="1" customWidth="1"/>
    <col min="626" max="626" width="9.09765625" style="1" bestFit="1" customWidth="1"/>
    <col min="627" max="627" width="11.796875" style="1" bestFit="1" customWidth="1"/>
    <col min="628" max="628" width="9.09765625" style="1" bestFit="1" customWidth="1"/>
    <col min="629" max="629" width="11.796875" style="1" bestFit="1" customWidth="1"/>
    <col min="630" max="630" width="7.19921875" style="1" bestFit="1" customWidth="1"/>
    <col min="631" max="631" width="7" style="1" bestFit="1" customWidth="1"/>
    <col min="632" max="632" width="8" style="1" bestFit="1" customWidth="1"/>
    <col min="633" max="633" width="10.69921875" style="1" bestFit="1" customWidth="1"/>
    <col min="634" max="634" width="5.5" style="1" bestFit="1" customWidth="1"/>
    <col min="635" max="635" width="4.8984375" style="1" bestFit="1" customWidth="1"/>
    <col min="636" max="636" width="9" style="1" bestFit="1" customWidth="1"/>
    <col min="637" max="637" width="11.796875" style="1" bestFit="1" customWidth="1"/>
    <col min="638" max="638" width="9" style="1" bestFit="1" customWidth="1"/>
    <col min="639" max="639" width="11.796875" style="1" bestFit="1" customWidth="1"/>
    <col min="640" max="640" width="7.19921875" style="1" bestFit="1" customWidth="1"/>
    <col min="641" max="641" width="6.8984375" style="1" bestFit="1" customWidth="1"/>
    <col min="642" max="642" width="9.3984375" style="1" bestFit="1" customWidth="1"/>
    <col min="643" max="643" width="11" style="1" bestFit="1" customWidth="1"/>
    <col min="644" max="644" width="5.5" style="1" bestFit="1" customWidth="1"/>
    <col min="645" max="645" width="4.8984375" style="1" bestFit="1" customWidth="1"/>
    <col min="646" max="646" width="9" style="1" bestFit="1" customWidth="1"/>
    <col min="647" max="647" width="11.796875" style="1" bestFit="1" customWidth="1"/>
    <col min="648" max="648" width="9" style="1" bestFit="1" customWidth="1"/>
    <col min="649" max="649" width="11.796875" style="1" bestFit="1" customWidth="1"/>
    <col min="650" max="650" width="7.09765625" style="1" bestFit="1" customWidth="1"/>
    <col min="651" max="651" width="5.59765625" style="1" bestFit="1" customWidth="1"/>
    <col min="652" max="652" width="8" style="1" bestFit="1" customWidth="1"/>
    <col min="653" max="653" width="11" style="1" bestFit="1" customWidth="1"/>
    <col min="654" max="654" width="5.3984375" style="1" bestFit="1" customWidth="1"/>
    <col min="655" max="655" width="4.796875" style="1" bestFit="1" customWidth="1"/>
    <col min="656" max="656" width="9.09765625" style="1" bestFit="1" customWidth="1"/>
    <col min="657" max="657" width="11.69921875" style="1" bestFit="1" customWidth="1"/>
    <col min="658" max="658" width="9.09765625" style="1" bestFit="1" customWidth="1"/>
    <col min="659" max="659" width="11.69921875" style="1" bestFit="1" customWidth="1"/>
    <col min="660" max="660" width="7.09765625" style="1" bestFit="1" customWidth="1"/>
    <col min="661" max="661" width="5.59765625" style="1" bestFit="1" customWidth="1"/>
    <col min="662" max="662" width="8.3984375" style="1" bestFit="1" customWidth="1"/>
    <col min="663" max="663" width="10.8984375" style="1" bestFit="1" customWidth="1"/>
    <col min="664" max="664" width="7.5" style="1" bestFit="1" customWidth="1"/>
    <col min="665" max="665" width="4.796875" style="1" bestFit="1" customWidth="1"/>
    <col min="666" max="666" width="8.796875" style="1" bestFit="1" customWidth="1"/>
    <col min="667" max="667" width="11.69921875" style="1" bestFit="1" customWidth="1"/>
    <col min="668" max="668" width="8.796875" style="1" bestFit="1" customWidth="1"/>
    <col min="669" max="669" width="11.69921875" style="1" bestFit="1" customWidth="1"/>
    <col min="670" max="670" width="7.8984375" style="1" bestFit="1" customWidth="1"/>
    <col min="671" max="671" width="5.59765625" style="1" bestFit="1" customWidth="1"/>
    <col min="672" max="672" width="7.8984375" style="1" bestFit="1" customWidth="1"/>
    <col min="673" max="673" width="10.8984375" style="1" bestFit="1" customWidth="1"/>
    <col min="674" max="674" width="8.09765625" style="1" bestFit="1" customWidth="1"/>
    <col min="675" max="679" width="4.796875" style="1" hidden="1" customWidth="1"/>
    <col min="680" max="680" width="6" style="1" hidden="1" customWidth="1"/>
    <col min="681" max="681" width="5.59765625" style="1" hidden="1" customWidth="1"/>
    <col min="682" max="683" width="5" style="1" hidden="1" customWidth="1"/>
    <col min="684" max="684" width="8.09765625" style="1" hidden="1" customWidth="1"/>
    <col min="685" max="689" width="4.796875" style="1" hidden="1" customWidth="1"/>
    <col min="690" max="690" width="6" style="1" hidden="1" customWidth="1"/>
    <col min="691" max="691" width="5.59765625" style="1" hidden="1" customWidth="1"/>
    <col min="692" max="693" width="5" style="1" hidden="1" customWidth="1"/>
    <col min="694" max="694" width="8.09765625" style="1" hidden="1" customWidth="1"/>
    <col min="695" max="695" width="4.796875" style="1" bestFit="1" customWidth="1"/>
    <col min="696" max="696" width="10.69921875" style="1" bestFit="1" customWidth="1"/>
    <col min="697" max="697" width="12.8984375" style="1" bestFit="1" customWidth="1"/>
    <col min="698" max="698" width="10.69921875" style="1" bestFit="1" customWidth="1"/>
    <col min="699" max="699" width="12.8984375" style="1" bestFit="1" customWidth="1"/>
    <col min="700" max="700" width="9.09765625" style="1" bestFit="1" customWidth="1"/>
    <col min="701" max="701" width="11.796875" style="1" bestFit="1" customWidth="1"/>
    <col min="702" max="702" width="5.796875" style="1" bestFit="1" customWidth="1"/>
    <col min="703" max="703" width="4.59765625" style="1" hidden="1" customWidth="1"/>
    <col min="704" max="704" width="10.59765625" style="1" hidden="1" customWidth="1"/>
    <col min="705" max="705" width="12.796875" style="1" hidden="1" customWidth="1"/>
    <col min="706" max="706" width="10.59765625" style="1" hidden="1" customWidth="1"/>
    <col min="707" max="707" width="11.69921875" style="1" hidden="1" customWidth="1"/>
    <col min="708" max="708" width="7.8984375" style="1" hidden="1" customWidth="1"/>
    <col min="709" max="709" width="10.59765625" style="1" hidden="1" customWidth="1"/>
    <col min="710" max="710" width="7.5" style="1" hidden="1" customWidth="1"/>
    <col min="711" max="711" width="4.59765625" style="1" hidden="1" customWidth="1"/>
    <col min="712" max="712" width="10.59765625" style="1" hidden="1" customWidth="1"/>
    <col min="713" max="713" width="12.796875" style="1" hidden="1" customWidth="1"/>
    <col min="714" max="714" width="10.59765625" style="1" hidden="1" customWidth="1"/>
    <col min="715" max="715" width="11.69921875" style="1" hidden="1" customWidth="1"/>
    <col min="716" max="716" width="7.8984375" style="1" hidden="1" customWidth="1"/>
    <col min="717" max="717" width="10.59765625" style="1" hidden="1" customWidth="1"/>
    <col min="718" max="718" width="5.796875" style="1" hidden="1" customWidth="1"/>
    <col min="719" max="719" width="4.59765625" style="1" hidden="1" customWidth="1"/>
    <col min="720" max="723" width="4.796875" style="1" hidden="1" customWidth="1"/>
    <col min="724" max="725" width="5" style="1" hidden="1" customWidth="1"/>
    <col min="726" max="726" width="8.09765625" style="1" hidden="1" customWidth="1"/>
    <col min="727" max="727" width="5.296875" style="1" hidden="1" customWidth="1"/>
    <col min="728" max="733" width="4.796875" style="1" hidden="1" customWidth="1"/>
    <col min="734" max="734" width="8.09765625" style="1" hidden="1" customWidth="1"/>
    <col min="735" max="736" width="5.3984375" style="1"/>
    <col min="737" max="737" width="12.796875" style="1" bestFit="1" customWidth="1"/>
    <col min="738" max="738" width="7" style="1" bestFit="1" customWidth="1"/>
    <col min="739" max="16384" width="5.3984375" style="1"/>
  </cols>
  <sheetData>
    <row r="1" spans="1:734" x14ac:dyDescent="0.3">
      <c r="Z1" s="1">
        <f ca="1">+T:AA</f>
        <v>0</v>
      </c>
      <c r="NN1" s="16"/>
      <c r="RN1" s="16"/>
      <c r="TO1" s="328"/>
      <c r="TP1" s="328"/>
      <c r="TR1" s="16"/>
      <c r="TX1" s="16"/>
      <c r="TY1" s="16"/>
      <c r="TZ1" s="243"/>
      <c r="UA1" s="16"/>
      <c r="UB1" s="16"/>
      <c r="UN1" s="328"/>
      <c r="VP1" s="16"/>
    </row>
    <row r="2" spans="1:734" s="173" customFormat="1" ht="19.350000000000001" customHeight="1" x14ac:dyDescent="0.3">
      <c r="A2" s="6777" t="s">
        <v>0</v>
      </c>
      <c r="B2" s="6789" t="s">
        <v>1</v>
      </c>
      <c r="C2" s="6525"/>
      <c r="D2" s="6779" t="s">
        <v>211</v>
      </c>
      <c r="E2" s="6780"/>
      <c r="F2" s="6780"/>
      <c r="G2" s="6780"/>
      <c r="H2" s="6780"/>
      <c r="I2" s="6780"/>
      <c r="J2" s="6780"/>
      <c r="K2" s="6781"/>
      <c r="L2" s="6780" t="s">
        <v>212</v>
      </c>
      <c r="M2" s="6780"/>
      <c r="N2" s="6780"/>
      <c r="O2" s="6780"/>
      <c r="P2" s="6780"/>
      <c r="Q2" s="6780"/>
      <c r="R2" s="6780"/>
      <c r="S2" s="6781"/>
      <c r="T2" s="6779" t="s">
        <v>213</v>
      </c>
      <c r="U2" s="6780"/>
      <c r="V2" s="6780"/>
      <c r="W2" s="6780"/>
      <c r="X2" s="6780"/>
      <c r="Y2" s="6780"/>
      <c r="Z2" s="6780"/>
      <c r="AA2" s="6781"/>
      <c r="AB2" s="6780" t="s">
        <v>214</v>
      </c>
      <c r="AC2" s="6780"/>
      <c r="AD2" s="6780"/>
      <c r="AE2" s="6780"/>
      <c r="AF2" s="6780"/>
      <c r="AG2" s="6780"/>
      <c r="AH2" s="6780"/>
      <c r="AI2" s="6780"/>
      <c r="AJ2" s="6779" t="s">
        <v>215</v>
      </c>
      <c r="AK2" s="6780"/>
      <c r="AL2" s="6780"/>
      <c r="AM2" s="6780"/>
      <c r="AN2" s="6780"/>
      <c r="AO2" s="6780"/>
      <c r="AP2" s="6780"/>
      <c r="AQ2" s="6781"/>
      <c r="AR2" s="6780" t="s">
        <v>216</v>
      </c>
      <c r="AS2" s="6780"/>
      <c r="AT2" s="6780"/>
      <c r="AU2" s="6780"/>
      <c r="AV2" s="6780"/>
      <c r="AW2" s="6780"/>
      <c r="AX2" s="6780"/>
      <c r="AY2" s="6780"/>
      <c r="AZ2" s="6779" t="s">
        <v>217</v>
      </c>
      <c r="BA2" s="6780"/>
      <c r="BB2" s="6780"/>
      <c r="BC2" s="6780"/>
      <c r="BD2" s="6780"/>
      <c r="BE2" s="6780"/>
      <c r="BF2" s="6780"/>
      <c r="BG2" s="6781"/>
      <c r="BH2" s="6780" t="s">
        <v>218</v>
      </c>
      <c r="BI2" s="6780"/>
      <c r="BJ2" s="6780"/>
      <c r="BK2" s="6780"/>
      <c r="BL2" s="6780"/>
      <c r="BM2" s="6780"/>
      <c r="BN2" s="6780"/>
      <c r="BO2" s="6780"/>
      <c r="BP2" s="6779" t="s">
        <v>219</v>
      </c>
      <c r="BQ2" s="6780"/>
      <c r="BR2" s="6780"/>
      <c r="BS2" s="6780"/>
      <c r="BT2" s="6780"/>
      <c r="BU2" s="6780"/>
      <c r="BV2" s="6780"/>
      <c r="BW2" s="6781"/>
      <c r="BX2" s="6780" t="s">
        <v>220</v>
      </c>
      <c r="BY2" s="6780"/>
      <c r="BZ2" s="6780"/>
      <c r="CA2" s="6780"/>
      <c r="CB2" s="6780"/>
      <c r="CC2" s="6780"/>
      <c r="CD2" s="6780"/>
      <c r="CE2" s="6780"/>
      <c r="CF2" s="6779" t="s">
        <v>221</v>
      </c>
      <c r="CG2" s="6780"/>
      <c r="CH2" s="6780"/>
      <c r="CI2" s="6780"/>
      <c r="CJ2" s="6780"/>
      <c r="CK2" s="6780"/>
      <c r="CL2" s="6780"/>
      <c r="CM2" s="6781"/>
      <c r="CN2" s="6780" t="s">
        <v>206</v>
      </c>
      <c r="CO2" s="6780"/>
      <c r="CP2" s="6780"/>
      <c r="CQ2" s="6780"/>
      <c r="CR2" s="6780"/>
      <c r="CS2" s="6780"/>
      <c r="CT2" s="6780"/>
      <c r="CU2" s="6780"/>
      <c r="CV2" s="6779" t="s">
        <v>2</v>
      </c>
      <c r="CW2" s="6780"/>
      <c r="CX2" s="6780"/>
      <c r="CY2" s="6780"/>
      <c r="CZ2" s="6780"/>
      <c r="DA2" s="6780"/>
      <c r="DB2" s="6780"/>
      <c r="DC2" s="6781"/>
      <c r="DD2" s="6779" t="s">
        <v>222</v>
      </c>
      <c r="DE2" s="6780"/>
      <c r="DF2" s="6780"/>
      <c r="DG2" s="6780"/>
      <c r="DH2" s="6780"/>
      <c r="DI2" s="6780"/>
      <c r="DJ2" s="6780"/>
      <c r="DK2" s="6781"/>
      <c r="DL2" s="6779" t="s">
        <v>223</v>
      </c>
      <c r="DM2" s="6780"/>
      <c r="DN2" s="6780"/>
      <c r="DO2" s="6780"/>
      <c r="DP2" s="6780"/>
      <c r="DQ2" s="6780"/>
      <c r="DR2" s="6780"/>
      <c r="DS2" s="6781"/>
      <c r="DT2" s="6780" t="s">
        <v>224</v>
      </c>
      <c r="DU2" s="6780"/>
      <c r="DV2" s="6780"/>
      <c r="DW2" s="6780"/>
      <c r="DX2" s="6780"/>
      <c r="DY2" s="6780"/>
      <c r="DZ2" s="6780"/>
      <c r="EA2" s="6780"/>
      <c r="EB2" s="6787" t="s">
        <v>225</v>
      </c>
      <c r="EC2" s="6780"/>
      <c r="ED2" s="6780"/>
      <c r="EE2" s="6780"/>
      <c r="EF2" s="6780"/>
      <c r="EG2" s="6780"/>
      <c r="EH2" s="6780"/>
      <c r="EI2" s="6788"/>
      <c r="EJ2" s="6787" t="s">
        <v>226</v>
      </c>
      <c r="EK2" s="6780"/>
      <c r="EL2" s="6780"/>
      <c r="EM2" s="6780"/>
      <c r="EN2" s="6780"/>
      <c r="EO2" s="6780"/>
      <c r="EP2" s="6780"/>
      <c r="EQ2" s="6788"/>
      <c r="ER2" s="6787" t="s">
        <v>227</v>
      </c>
      <c r="ES2" s="6780"/>
      <c r="ET2" s="6780"/>
      <c r="EU2" s="6780"/>
      <c r="EV2" s="6780"/>
      <c r="EW2" s="6780"/>
      <c r="EX2" s="6780"/>
      <c r="EY2" s="6788"/>
      <c r="EZ2" s="6787" t="s">
        <v>228</v>
      </c>
      <c r="FA2" s="6780"/>
      <c r="FB2" s="6780"/>
      <c r="FC2" s="6780"/>
      <c r="FD2" s="6780"/>
      <c r="FE2" s="6780"/>
      <c r="FF2" s="6780"/>
      <c r="FG2" s="6788"/>
      <c r="FH2" s="6780" t="s">
        <v>229</v>
      </c>
      <c r="FI2" s="6780"/>
      <c r="FJ2" s="6780"/>
      <c r="FK2" s="6780"/>
      <c r="FL2" s="6780"/>
      <c r="FM2" s="6780"/>
      <c r="FN2" s="6780"/>
      <c r="FO2" s="6781"/>
      <c r="FP2" s="6780" t="s">
        <v>230</v>
      </c>
      <c r="FQ2" s="6780"/>
      <c r="FR2" s="6780"/>
      <c r="FS2" s="6780"/>
      <c r="FT2" s="6780"/>
      <c r="FU2" s="6780"/>
      <c r="FV2" s="6780"/>
      <c r="FW2" s="6780"/>
      <c r="FX2" s="6780"/>
      <c r="FY2" s="6780"/>
      <c r="FZ2" s="6779" t="s">
        <v>192</v>
      </c>
      <c r="GA2" s="6780"/>
      <c r="GB2" s="6780"/>
      <c r="GC2" s="6780"/>
      <c r="GD2" s="6780"/>
      <c r="GE2" s="6780"/>
      <c r="GF2" s="6780"/>
      <c r="GG2" s="6780"/>
      <c r="GH2" s="6780"/>
      <c r="GI2" s="6781"/>
      <c r="GJ2" s="6780" t="s">
        <v>189</v>
      </c>
      <c r="GK2" s="6780"/>
      <c r="GL2" s="6780"/>
      <c r="GM2" s="6780"/>
      <c r="GN2" s="6780"/>
      <c r="GO2" s="6780"/>
      <c r="GP2" s="6780"/>
      <c r="GQ2" s="6780"/>
      <c r="GR2" s="6780"/>
      <c r="GS2" s="6780"/>
      <c r="GT2" s="6779" t="s">
        <v>3</v>
      </c>
      <c r="GU2" s="6780"/>
      <c r="GV2" s="6780"/>
      <c r="GW2" s="6780"/>
      <c r="GX2" s="6780"/>
      <c r="GY2" s="6780"/>
      <c r="GZ2" s="6780"/>
      <c r="HA2" s="6780"/>
      <c r="HB2" s="6780"/>
      <c r="HC2" s="6781"/>
      <c r="HD2" s="6779" t="s">
        <v>231</v>
      </c>
      <c r="HE2" s="6780"/>
      <c r="HF2" s="6780"/>
      <c r="HG2" s="6780"/>
      <c r="HH2" s="6780"/>
      <c r="HI2" s="6780"/>
      <c r="HJ2" s="6780"/>
      <c r="HK2" s="6781"/>
      <c r="HL2" s="6779" t="s">
        <v>232</v>
      </c>
      <c r="HM2" s="6780"/>
      <c r="HN2" s="6780"/>
      <c r="HO2" s="6780"/>
      <c r="HP2" s="6780"/>
      <c r="HQ2" s="6780"/>
      <c r="HR2" s="6780"/>
      <c r="HS2" s="6781"/>
      <c r="HT2" s="6779" t="s">
        <v>4</v>
      </c>
      <c r="HU2" s="6780"/>
      <c r="HV2" s="6780"/>
      <c r="HW2" s="6780"/>
      <c r="HX2" s="6780"/>
      <c r="HY2" s="6780"/>
      <c r="HZ2" s="6780"/>
      <c r="IA2" s="6781"/>
      <c r="IB2" s="6779" t="s">
        <v>209</v>
      </c>
      <c r="IC2" s="6780"/>
      <c r="ID2" s="6780"/>
      <c r="IE2" s="6780"/>
      <c r="IF2" s="6780"/>
      <c r="IG2" s="6780"/>
      <c r="IH2" s="6780"/>
      <c r="II2" s="6781"/>
      <c r="IJ2" s="6779" t="s">
        <v>210</v>
      </c>
      <c r="IK2" s="6780"/>
      <c r="IL2" s="6780"/>
      <c r="IM2" s="6780"/>
      <c r="IN2" s="6780"/>
      <c r="IO2" s="6780"/>
      <c r="IP2" s="6780"/>
      <c r="IQ2" s="6781"/>
      <c r="IR2" s="6157"/>
      <c r="IS2" s="6779" t="s">
        <v>193</v>
      </c>
      <c r="IT2" s="6780"/>
      <c r="IU2" s="6780"/>
      <c r="IV2" s="6780"/>
      <c r="IW2" s="6780"/>
      <c r="IX2" s="6780"/>
      <c r="IY2" s="6780"/>
      <c r="IZ2" s="6780"/>
      <c r="JA2" s="6780"/>
      <c r="JB2" s="6781"/>
      <c r="JC2" s="6779" t="s">
        <v>194</v>
      </c>
      <c r="JD2" s="6780"/>
      <c r="JE2" s="6780"/>
      <c r="JF2" s="6780"/>
      <c r="JG2" s="6780"/>
      <c r="JH2" s="6780"/>
      <c r="JI2" s="6780"/>
      <c r="JJ2" s="6780"/>
      <c r="JK2" s="6780"/>
      <c r="JL2" s="6781"/>
      <c r="JM2" s="6780" t="s">
        <v>195</v>
      </c>
      <c r="JN2" s="6780"/>
      <c r="JO2" s="6780"/>
      <c r="JP2" s="6780"/>
      <c r="JQ2" s="6780"/>
      <c r="JR2" s="6780"/>
      <c r="JS2" s="6780"/>
      <c r="JT2" s="6780"/>
      <c r="JU2" s="6780"/>
      <c r="JV2" s="6780"/>
      <c r="JW2" s="6779" t="s">
        <v>196</v>
      </c>
      <c r="JX2" s="6780"/>
      <c r="JY2" s="6780"/>
      <c r="JZ2" s="6780"/>
      <c r="KA2" s="6780"/>
      <c r="KB2" s="6780"/>
      <c r="KC2" s="6780"/>
      <c r="KD2" s="6780"/>
      <c r="KE2" s="6780"/>
      <c r="KF2" s="6781"/>
      <c r="KG2" s="6779" t="s">
        <v>38</v>
      </c>
      <c r="KH2" s="6780"/>
      <c r="KI2" s="6780"/>
      <c r="KJ2" s="6780"/>
      <c r="KK2" s="6780"/>
      <c r="KL2" s="6780"/>
      <c r="KM2" s="6780"/>
      <c r="KN2" s="6780"/>
      <c r="KO2" s="6780"/>
      <c r="KP2" s="6781"/>
      <c r="KQ2" s="6779" t="s">
        <v>39</v>
      </c>
      <c r="KR2" s="6780"/>
      <c r="KS2" s="6780"/>
      <c r="KT2" s="6780"/>
      <c r="KU2" s="6780"/>
      <c r="KV2" s="6780"/>
      <c r="KW2" s="6780"/>
      <c r="KX2" s="6780"/>
      <c r="KY2" s="6780"/>
      <c r="KZ2" s="6781"/>
      <c r="LA2" s="6779" t="s">
        <v>197</v>
      </c>
      <c r="LB2" s="6780"/>
      <c r="LC2" s="6780"/>
      <c r="LD2" s="6780"/>
      <c r="LE2" s="6780"/>
      <c r="LF2" s="6780"/>
      <c r="LG2" s="6780"/>
      <c r="LH2" s="6780"/>
      <c r="LI2" s="6780"/>
      <c r="LJ2" s="6781"/>
      <c r="LK2" s="6779" t="s">
        <v>198</v>
      </c>
      <c r="LL2" s="6780"/>
      <c r="LM2" s="6780"/>
      <c r="LN2" s="6780"/>
      <c r="LO2" s="6780"/>
      <c r="LP2" s="6780"/>
      <c r="LQ2" s="6780"/>
      <c r="LR2" s="6780"/>
      <c r="LS2" s="6780"/>
      <c r="LT2" s="6781"/>
      <c r="LU2" s="6779" t="s">
        <v>199</v>
      </c>
      <c r="LV2" s="6780"/>
      <c r="LW2" s="6780"/>
      <c r="LX2" s="6780"/>
      <c r="LY2" s="6780"/>
      <c r="LZ2" s="6780"/>
      <c r="MA2" s="6780"/>
      <c r="MB2" s="6780"/>
      <c r="MC2" s="6780"/>
      <c r="MD2" s="6781"/>
      <c r="ME2" s="6779" t="s">
        <v>207</v>
      </c>
      <c r="MF2" s="6780"/>
      <c r="MG2" s="6780"/>
      <c r="MH2" s="6780"/>
      <c r="MI2" s="6780"/>
      <c r="MJ2" s="6780"/>
      <c r="MK2" s="6780"/>
      <c r="ML2" s="6780"/>
      <c r="MM2" s="6780"/>
      <c r="MN2" s="6781"/>
      <c r="MO2" s="6779" t="s">
        <v>208</v>
      </c>
      <c r="MP2" s="6780"/>
      <c r="MQ2" s="6780"/>
      <c r="MR2" s="6780"/>
      <c r="MS2" s="6780"/>
      <c r="MT2" s="6780"/>
      <c r="MU2" s="6780"/>
      <c r="MV2" s="6780"/>
      <c r="MW2" s="6780"/>
      <c r="MX2" s="6780"/>
      <c r="MY2" s="6779" t="s">
        <v>260</v>
      </c>
      <c r="MZ2" s="6780"/>
      <c r="NA2" s="6780"/>
      <c r="NB2" s="6780"/>
      <c r="NC2" s="6780"/>
      <c r="ND2" s="6780"/>
      <c r="NE2" s="6780"/>
      <c r="NF2" s="6780"/>
      <c r="NG2" s="6780"/>
      <c r="NH2" s="6781"/>
      <c r="NI2" s="6780" t="s">
        <v>200</v>
      </c>
      <c r="NJ2" s="6780"/>
      <c r="NK2" s="6780"/>
      <c r="NL2" s="6780"/>
      <c r="NM2" s="6780"/>
      <c r="NN2" s="6780"/>
      <c r="NO2" s="6780"/>
      <c r="NP2" s="6781"/>
      <c r="NQ2" s="6779" t="s">
        <v>201</v>
      </c>
      <c r="NR2" s="6780"/>
      <c r="NS2" s="6780"/>
      <c r="NT2" s="6780"/>
      <c r="NU2" s="6780"/>
      <c r="NV2" s="6780"/>
      <c r="NW2" s="6780"/>
      <c r="NX2" s="6781"/>
      <c r="NY2" s="6779" t="s">
        <v>202</v>
      </c>
      <c r="NZ2" s="6780"/>
      <c r="OA2" s="6780"/>
      <c r="OB2" s="6780"/>
      <c r="OC2" s="6780"/>
      <c r="OD2" s="6780"/>
      <c r="OE2" s="6780"/>
      <c r="OF2" s="6781"/>
      <c r="OG2" s="6779" t="s">
        <v>203</v>
      </c>
      <c r="OH2" s="6780"/>
      <c r="OI2" s="6780"/>
      <c r="OJ2" s="6780"/>
      <c r="OK2" s="6780"/>
      <c r="OL2" s="6780"/>
      <c r="OM2" s="6780"/>
      <c r="ON2" s="6780"/>
      <c r="OO2" s="6779" t="s">
        <v>204</v>
      </c>
      <c r="OP2" s="6780"/>
      <c r="OQ2" s="6780"/>
      <c r="OR2" s="6780"/>
      <c r="OS2" s="6780"/>
      <c r="OT2" s="6780"/>
      <c r="OU2" s="6780"/>
      <c r="OV2" s="6781"/>
      <c r="OW2" s="6157"/>
      <c r="OX2" s="6779" t="s">
        <v>257</v>
      </c>
      <c r="OY2" s="6780"/>
      <c r="OZ2" s="6780"/>
      <c r="PA2" s="6780"/>
      <c r="PB2" s="6780"/>
      <c r="PC2" s="6780"/>
      <c r="PD2" s="6780"/>
      <c r="PE2" s="6780"/>
      <c r="PF2" s="6780"/>
      <c r="PG2" s="6781"/>
      <c r="PH2" s="6779" t="s">
        <v>259</v>
      </c>
      <c r="PI2" s="6780"/>
      <c r="PJ2" s="6780"/>
      <c r="PK2" s="6780"/>
      <c r="PL2" s="6780"/>
      <c r="PM2" s="6780"/>
      <c r="PN2" s="6780"/>
      <c r="PO2" s="6780"/>
      <c r="PP2" s="6780"/>
      <c r="PQ2" s="6781"/>
      <c r="PR2" s="6780" t="s">
        <v>283</v>
      </c>
      <c r="PS2" s="6780"/>
      <c r="PT2" s="6780"/>
      <c r="PU2" s="6780"/>
      <c r="PV2" s="6780"/>
      <c r="PW2" s="6780"/>
      <c r="PX2" s="6780"/>
      <c r="PY2" s="6780"/>
      <c r="PZ2" s="6780"/>
      <c r="QA2" s="6780"/>
      <c r="QB2" s="6779" t="s">
        <v>448</v>
      </c>
      <c r="QC2" s="6780"/>
      <c r="QD2" s="6780"/>
      <c r="QE2" s="6780"/>
      <c r="QF2" s="6780"/>
      <c r="QG2" s="6780"/>
      <c r="QH2" s="6780"/>
      <c r="QI2" s="6780"/>
      <c r="QJ2" s="6780"/>
      <c r="QK2" s="6781"/>
      <c r="QL2" s="6779" t="s">
        <v>449</v>
      </c>
      <c r="QM2" s="6780"/>
      <c r="QN2" s="6780"/>
      <c r="QO2" s="6780"/>
      <c r="QP2" s="6780"/>
      <c r="QQ2" s="6780"/>
      <c r="QR2" s="6780"/>
      <c r="QS2" s="6780"/>
      <c r="QT2" s="6780"/>
      <c r="QU2" s="6781"/>
      <c r="QV2" s="6779" t="s">
        <v>302</v>
      </c>
      <c r="QW2" s="6780"/>
      <c r="QX2" s="6780"/>
      <c r="QY2" s="6780"/>
      <c r="QZ2" s="6780"/>
      <c r="RA2" s="6780"/>
      <c r="RB2" s="6780"/>
      <c r="RC2" s="6780"/>
      <c r="RD2" s="6780"/>
      <c r="RE2" s="6781"/>
      <c r="RF2" s="6779" t="s">
        <v>450</v>
      </c>
      <c r="RG2" s="6780"/>
      <c r="RH2" s="6780"/>
      <c r="RI2" s="6780"/>
      <c r="RJ2" s="6780"/>
      <c r="RK2" s="6780"/>
      <c r="RL2" s="6780"/>
      <c r="RM2" s="6780"/>
      <c r="RN2" s="6780"/>
      <c r="RO2" s="6781"/>
      <c r="RP2" s="6779" t="s">
        <v>451</v>
      </c>
      <c r="RQ2" s="6780"/>
      <c r="RR2" s="6780"/>
      <c r="RS2" s="6780"/>
      <c r="RT2" s="6780"/>
      <c r="RU2" s="6780"/>
      <c r="RV2" s="6780"/>
      <c r="RW2" s="6780"/>
      <c r="RX2" s="6780"/>
      <c r="RY2" s="6781"/>
      <c r="RZ2" s="6779" t="s">
        <v>452</v>
      </c>
      <c r="SA2" s="6780"/>
      <c r="SB2" s="6780"/>
      <c r="SC2" s="6780"/>
      <c r="SD2" s="6780"/>
      <c r="SE2" s="6780"/>
      <c r="SF2" s="6780"/>
      <c r="SG2" s="6780"/>
      <c r="SH2" s="6780"/>
      <c r="SI2" s="6781"/>
      <c r="SJ2" s="6779" t="s">
        <v>621</v>
      </c>
      <c r="SK2" s="6780"/>
      <c r="SL2" s="6780"/>
      <c r="SM2" s="6780"/>
      <c r="SN2" s="6780"/>
      <c r="SO2" s="6780"/>
      <c r="SP2" s="6780"/>
      <c r="SQ2" s="6780"/>
      <c r="SR2" s="6780"/>
      <c r="SS2" s="6781"/>
      <c r="ST2" s="6779" t="s">
        <v>622</v>
      </c>
      <c r="SU2" s="6780"/>
      <c r="SV2" s="6780"/>
      <c r="SW2" s="6780"/>
      <c r="SX2" s="6780"/>
      <c r="SY2" s="6780"/>
      <c r="SZ2" s="6780"/>
      <c r="TA2" s="6780"/>
      <c r="TB2" s="6780"/>
      <c r="TC2" s="6781"/>
      <c r="TD2" s="6779" t="s">
        <v>533</v>
      </c>
      <c r="TE2" s="6780"/>
      <c r="TF2" s="6780"/>
      <c r="TG2" s="6780"/>
      <c r="TH2" s="6780"/>
      <c r="TI2" s="6780"/>
      <c r="TJ2" s="6780"/>
      <c r="TK2" s="6780"/>
      <c r="TL2" s="6780"/>
      <c r="TM2" s="6781"/>
      <c r="TN2" s="6779" t="s">
        <v>453</v>
      </c>
      <c r="TO2" s="6780"/>
      <c r="TP2" s="6780"/>
      <c r="TQ2" s="6780"/>
      <c r="TR2" s="6780"/>
      <c r="TS2" s="6780"/>
      <c r="TT2" s="6780"/>
      <c r="TU2" s="6781"/>
      <c r="TV2" s="6779" t="s">
        <v>454</v>
      </c>
      <c r="TW2" s="6780"/>
      <c r="TX2" s="6780"/>
      <c r="TY2" s="6780"/>
      <c r="TZ2" s="6780"/>
      <c r="UA2" s="6780"/>
      <c r="UB2" s="6780"/>
      <c r="UC2" s="6781"/>
      <c r="UD2" s="6779" t="s">
        <v>202</v>
      </c>
      <c r="UE2" s="6780"/>
      <c r="UF2" s="6780"/>
      <c r="UG2" s="6780"/>
      <c r="UH2" s="6780"/>
      <c r="UI2" s="6780"/>
      <c r="UJ2" s="6780"/>
      <c r="UK2" s="6781"/>
      <c r="UL2" s="6779" t="s">
        <v>203</v>
      </c>
      <c r="UM2" s="6780"/>
      <c r="UN2" s="6780"/>
      <c r="UO2" s="6780"/>
      <c r="UP2" s="6780"/>
      <c r="UQ2" s="6780"/>
      <c r="UR2" s="6780"/>
      <c r="US2" s="6781"/>
      <c r="UT2" s="6779" t="s">
        <v>204</v>
      </c>
      <c r="UU2" s="6780"/>
      <c r="UV2" s="6780"/>
      <c r="UW2" s="6780"/>
      <c r="UX2" s="6780"/>
      <c r="UY2" s="6780"/>
      <c r="UZ2" s="6780"/>
      <c r="VA2" s="6781"/>
      <c r="VB2" s="6158"/>
      <c r="VC2" s="6779" t="s">
        <v>669</v>
      </c>
      <c r="VD2" s="6780"/>
      <c r="VE2" s="6780"/>
      <c r="VF2" s="6780"/>
      <c r="VG2" s="6780"/>
      <c r="VH2" s="6780"/>
      <c r="VI2" s="6780"/>
      <c r="VJ2" s="6780"/>
      <c r="VK2" s="6780"/>
      <c r="VL2" s="6781"/>
      <c r="VM2" s="6779" t="s">
        <v>939</v>
      </c>
      <c r="VN2" s="6780"/>
      <c r="VO2" s="6780"/>
      <c r="VP2" s="6780"/>
      <c r="VQ2" s="6780"/>
      <c r="VR2" s="6780"/>
      <c r="VS2" s="6780"/>
      <c r="VT2" s="6780"/>
      <c r="VU2" s="6780"/>
      <c r="VV2" s="6781"/>
      <c r="VW2" s="6780" t="s">
        <v>940</v>
      </c>
      <c r="VX2" s="6780"/>
      <c r="VY2" s="6780"/>
      <c r="VZ2" s="6780"/>
      <c r="WA2" s="6780"/>
      <c r="WB2" s="6780"/>
      <c r="WC2" s="6780"/>
      <c r="WD2" s="6780"/>
      <c r="WE2" s="6780"/>
      <c r="WF2" s="6780"/>
      <c r="WG2" s="6779" t="s">
        <v>941</v>
      </c>
      <c r="WH2" s="6780"/>
      <c r="WI2" s="6780"/>
      <c r="WJ2" s="6780"/>
      <c r="WK2" s="6780"/>
      <c r="WL2" s="6780"/>
      <c r="WM2" s="6780"/>
      <c r="WN2" s="6780"/>
      <c r="WO2" s="6780"/>
      <c r="WP2" s="6781"/>
      <c r="WQ2" s="6779" t="s">
        <v>985</v>
      </c>
      <c r="WR2" s="6780"/>
      <c r="WS2" s="6780"/>
      <c r="WT2" s="6780"/>
      <c r="WU2" s="6780"/>
      <c r="WV2" s="6780"/>
      <c r="WW2" s="6780"/>
      <c r="WX2" s="6780"/>
      <c r="WY2" s="6780"/>
      <c r="WZ2" s="6781"/>
      <c r="XA2" s="6779" t="s">
        <v>942</v>
      </c>
      <c r="XB2" s="6780"/>
      <c r="XC2" s="6780"/>
      <c r="XD2" s="6780"/>
      <c r="XE2" s="6780"/>
      <c r="XF2" s="6780"/>
      <c r="XG2" s="6780"/>
      <c r="XH2" s="6780"/>
      <c r="XI2" s="6780"/>
      <c r="XJ2" s="6781"/>
      <c r="XK2" s="6779" t="s">
        <v>923</v>
      </c>
      <c r="XL2" s="6780"/>
      <c r="XM2" s="6780"/>
      <c r="XN2" s="6780"/>
      <c r="XO2" s="6780"/>
      <c r="XP2" s="6780"/>
      <c r="XQ2" s="6780"/>
      <c r="XR2" s="6780"/>
      <c r="XS2" s="6780"/>
      <c r="XT2" s="6781"/>
      <c r="XU2" s="6779" t="s">
        <v>924</v>
      </c>
      <c r="XV2" s="6780"/>
      <c r="XW2" s="6780"/>
      <c r="XX2" s="6780"/>
      <c r="XY2" s="6780"/>
      <c r="XZ2" s="6780"/>
      <c r="YA2" s="6780"/>
      <c r="YB2" s="6780"/>
      <c r="YC2" s="6780"/>
      <c r="YD2" s="6781"/>
      <c r="YE2" s="6779" t="s">
        <v>724</v>
      </c>
      <c r="YF2" s="6780"/>
      <c r="YG2" s="6780"/>
      <c r="YH2" s="6780"/>
      <c r="YI2" s="6780"/>
      <c r="YJ2" s="6780"/>
      <c r="YK2" s="6780"/>
      <c r="YL2" s="6780"/>
      <c r="YM2" s="6780"/>
      <c r="YN2" s="6781"/>
      <c r="YO2" s="6779" t="s">
        <v>725</v>
      </c>
      <c r="YP2" s="6780"/>
      <c r="YQ2" s="6780"/>
      <c r="YR2" s="6780"/>
      <c r="YS2" s="6780"/>
      <c r="YT2" s="6780"/>
      <c r="YU2" s="6780"/>
      <c r="YV2" s="6780"/>
      <c r="YW2" s="6780"/>
      <c r="YX2" s="6781"/>
      <c r="YY2" s="6779" t="s">
        <v>943</v>
      </c>
      <c r="YZ2" s="6780"/>
      <c r="ZA2" s="6780"/>
      <c r="ZB2" s="6780"/>
      <c r="ZC2" s="6780"/>
      <c r="ZD2" s="6780"/>
      <c r="ZE2" s="6780"/>
      <c r="ZF2" s="6780"/>
      <c r="ZG2" s="6780"/>
      <c r="ZH2" s="6781"/>
      <c r="ZI2" s="6779" t="s">
        <v>667</v>
      </c>
      <c r="ZJ2" s="6780"/>
      <c r="ZK2" s="6780"/>
      <c r="ZL2" s="6780"/>
      <c r="ZM2" s="6780"/>
      <c r="ZN2" s="6780"/>
      <c r="ZO2" s="6780"/>
      <c r="ZP2" s="6780"/>
      <c r="ZQ2" s="6780"/>
      <c r="ZR2" s="6781"/>
      <c r="ZS2" s="6799" t="s">
        <v>998</v>
      </c>
      <c r="ZT2" s="6800"/>
      <c r="ZU2" s="6800"/>
      <c r="ZV2" s="6800"/>
      <c r="ZW2" s="6800"/>
      <c r="ZX2" s="6800"/>
      <c r="ZY2" s="6800"/>
      <c r="ZZ2" s="6801"/>
      <c r="AAA2" s="6802" t="s">
        <v>971</v>
      </c>
      <c r="AAB2" s="6803"/>
      <c r="AAC2" s="6803"/>
      <c r="AAD2" s="6803"/>
      <c r="AAE2" s="6803"/>
      <c r="AAF2" s="6803"/>
      <c r="AAG2" s="6803"/>
      <c r="AAH2" s="6804"/>
      <c r="AAI2" s="6802" t="s">
        <v>996</v>
      </c>
      <c r="AAJ2" s="6803"/>
      <c r="AAK2" s="6803"/>
      <c r="AAL2" s="6803"/>
      <c r="AAM2" s="6803"/>
      <c r="AAN2" s="6803"/>
      <c r="AAO2" s="6803"/>
      <c r="AAP2" s="6804"/>
      <c r="AAQ2" s="6802" t="s">
        <v>203</v>
      </c>
      <c r="AAR2" s="6803"/>
      <c r="AAS2" s="6803"/>
      <c r="AAT2" s="6803"/>
      <c r="AAU2" s="6803"/>
      <c r="AAV2" s="6803"/>
      <c r="AAW2" s="6803"/>
      <c r="AAX2" s="6804"/>
      <c r="AAY2" s="6802" t="s">
        <v>204</v>
      </c>
      <c r="AAZ2" s="6803"/>
      <c r="ABA2" s="6803"/>
      <c r="ABB2" s="6803"/>
      <c r="ABC2" s="6803"/>
      <c r="ABD2" s="6803"/>
      <c r="ABE2" s="6803"/>
      <c r="ABF2" s="6804"/>
    </row>
    <row r="3" spans="1:734" s="174" customFormat="1" ht="14" customHeight="1" x14ac:dyDescent="0.3">
      <c r="A3" s="6778"/>
      <c r="B3" s="6790"/>
      <c r="C3" s="6526"/>
      <c r="D3" s="6782" t="s">
        <v>5</v>
      </c>
      <c r="E3" s="6776" t="s">
        <v>6</v>
      </c>
      <c r="F3" s="6776"/>
      <c r="G3" s="6772" t="s">
        <v>7</v>
      </c>
      <c r="H3" s="6773"/>
      <c r="I3" s="6776" t="s">
        <v>8</v>
      </c>
      <c r="J3" s="6776"/>
      <c r="K3" s="6784" t="s">
        <v>9</v>
      </c>
      <c r="L3" s="6521" t="s">
        <v>5</v>
      </c>
      <c r="M3" s="6776" t="s">
        <v>6</v>
      </c>
      <c r="N3" s="6776"/>
      <c r="O3" s="6772" t="s">
        <v>7</v>
      </c>
      <c r="P3" s="6773"/>
      <c r="Q3" s="6786" t="s">
        <v>8</v>
      </c>
      <c r="R3" s="6786"/>
      <c r="S3" s="6159" t="s">
        <v>9</v>
      </c>
      <c r="T3" s="6160" t="s">
        <v>5</v>
      </c>
      <c r="U3" s="6776" t="s">
        <v>6</v>
      </c>
      <c r="V3" s="6776"/>
      <c r="W3" s="6776" t="s">
        <v>7</v>
      </c>
      <c r="X3" s="6776"/>
      <c r="Y3" s="6786" t="s">
        <v>8</v>
      </c>
      <c r="Z3" s="6786"/>
      <c r="AA3" s="6159" t="s">
        <v>9</v>
      </c>
      <c r="AB3" s="6521" t="s">
        <v>5</v>
      </c>
      <c r="AC3" s="6776" t="s">
        <v>6</v>
      </c>
      <c r="AD3" s="6776"/>
      <c r="AE3" s="6776" t="s">
        <v>7</v>
      </c>
      <c r="AF3" s="6776"/>
      <c r="AG3" s="6786" t="s">
        <v>8</v>
      </c>
      <c r="AH3" s="6786"/>
      <c r="AI3" s="6161" t="s">
        <v>9</v>
      </c>
      <c r="AJ3" s="6160" t="s">
        <v>5</v>
      </c>
      <c r="AK3" s="6776" t="s">
        <v>6</v>
      </c>
      <c r="AL3" s="6776"/>
      <c r="AM3" s="6776" t="s">
        <v>7</v>
      </c>
      <c r="AN3" s="6776"/>
      <c r="AO3" s="6786" t="s">
        <v>8</v>
      </c>
      <c r="AP3" s="6786"/>
      <c r="AQ3" s="6159" t="s">
        <v>9</v>
      </c>
      <c r="AR3" s="6521" t="s">
        <v>5</v>
      </c>
      <c r="AS3" s="6776" t="s">
        <v>6</v>
      </c>
      <c r="AT3" s="6776"/>
      <c r="AU3" s="6776" t="s">
        <v>7</v>
      </c>
      <c r="AV3" s="6776"/>
      <c r="AW3" s="6786" t="s">
        <v>8</v>
      </c>
      <c r="AX3" s="6786"/>
      <c r="AY3" s="6161" t="s">
        <v>9</v>
      </c>
      <c r="AZ3" s="6160" t="s">
        <v>5</v>
      </c>
      <c r="BA3" s="6776" t="s">
        <v>6</v>
      </c>
      <c r="BB3" s="6776"/>
      <c r="BC3" s="6776" t="s">
        <v>7</v>
      </c>
      <c r="BD3" s="6776"/>
      <c r="BE3" s="6786" t="s">
        <v>8</v>
      </c>
      <c r="BF3" s="6786"/>
      <c r="BG3" s="6159" t="s">
        <v>9</v>
      </c>
      <c r="BH3" s="6521" t="s">
        <v>5</v>
      </c>
      <c r="BI3" s="6776" t="s">
        <v>6</v>
      </c>
      <c r="BJ3" s="6776"/>
      <c r="BK3" s="6776" t="s">
        <v>7</v>
      </c>
      <c r="BL3" s="6776"/>
      <c r="BM3" s="6786" t="s">
        <v>8</v>
      </c>
      <c r="BN3" s="6786"/>
      <c r="BO3" s="6161" t="s">
        <v>9</v>
      </c>
      <c r="BP3" s="6160" t="s">
        <v>5</v>
      </c>
      <c r="BQ3" s="6776" t="s">
        <v>6</v>
      </c>
      <c r="BR3" s="6776"/>
      <c r="BS3" s="6776" t="s">
        <v>7</v>
      </c>
      <c r="BT3" s="6776"/>
      <c r="BU3" s="6786" t="s">
        <v>8</v>
      </c>
      <c r="BV3" s="6786"/>
      <c r="BW3" s="6159" t="s">
        <v>9</v>
      </c>
      <c r="BX3" s="6521" t="s">
        <v>5</v>
      </c>
      <c r="BY3" s="6776" t="s">
        <v>6</v>
      </c>
      <c r="BZ3" s="6776"/>
      <c r="CA3" s="6776" t="s">
        <v>7</v>
      </c>
      <c r="CB3" s="6776"/>
      <c r="CC3" s="6786" t="s">
        <v>8</v>
      </c>
      <c r="CD3" s="6786"/>
      <c r="CE3" s="6161" t="s">
        <v>9</v>
      </c>
      <c r="CF3" s="6160" t="s">
        <v>5</v>
      </c>
      <c r="CG3" s="6776" t="s">
        <v>6</v>
      </c>
      <c r="CH3" s="6776"/>
      <c r="CI3" s="6776" t="s">
        <v>7</v>
      </c>
      <c r="CJ3" s="6776"/>
      <c r="CK3" s="6786" t="s">
        <v>8</v>
      </c>
      <c r="CL3" s="6786"/>
      <c r="CM3" s="6162" t="s">
        <v>9</v>
      </c>
      <c r="CN3" s="6521" t="s">
        <v>5</v>
      </c>
      <c r="CO3" s="6776" t="s">
        <v>6</v>
      </c>
      <c r="CP3" s="6776"/>
      <c r="CQ3" s="6772" t="s">
        <v>7</v>
      </c>
      <c r="CR3" s="6773"/>
      <c r="CS3" s="6786" t="s">
        <v>8</v>
      </c>
      <c r="CT3" s="6786"/>
      <c r="CU3" s="6161" t="s">
        <v>9</v>
      </c>
      <c r="CV3" s="6160" t="s">
        <v>5</v>
      </c>
      <c r="CW3" s="6776" t="s">
        <v>6</v>
      </c>
      <c r="CX3" s="6776"/>
      <c r="CY3" s="6776" t="s">
        <v>7</v>
      </c>
      <c r="CZ3" s="6776"/>
      <c r="DA3" s="6786" t="s">
        <v>8</v>
      </c>
      <c r="DB3" s="6786"/>
      <c r="DC3" s="6159" t="s">
        <v>9</v>
      </c>
      <c r="DD3" s="6782" t="s">
        <v>5</v>
      </c>
      <c r="DE3" s="6763" t="s">
        <v>6</v>
      </c>
      <c r="DF3" s="6773"/>
      <c r="DG3" s="6772" t="s">
        <v>7</v>
      </c>
      <c r="DH3" s="6773"/>
      <c r="DI3" s="6775" t="s">
        <v>8</v>
      </c>
      <c r="DJ3" s="6775"/>
      <c r="DK3" s="6792" t="s">
        <v>9</v>
      </c>
      <c r="DL3" s="6782" t="s">
        <v>5</v>
      </c>
      <c r="DM3" s="6763" t="s">
        <v>6</v>
      </c>
      <c r="DN3" s="6773"/>
      <c r="DO3" s="6776" t="s">
        <v>7</v>
      </c>
      <c r="DP3" s="6776"/>
      <c r="DQ3" s="6774" t="s">
        <v>8</v>
      </c>
      <c r="DR3" s="6775"/>
      <c r="DS3" s="6792" t="s">
        <v>9</v>
      </c>
      <c r="DT3" s="6521" t="s">
        <v>5</v>
      </c>
      <c r="DU3" s="6763" t="s">
        <v>6</v>
      </c>
      <c r="DV3" s="6773"/>
      <c r="DW3" s="6772" t="s">
        <v>7</v>
      </c>
      <c r="DX3" s="6773"/>
      <c r="DY3" s="6786" t="s">
        <v>8</v>
      </c>
      <c r="DZ3" s="6786"/>
      <c r="EA3" s="6163" t="s">
        <v>9</v>
      </c>
      <c r="EB3" s="6164" t="s">
        <v>5</v>
      </c>
      <c r="EC3" s="6776" t="s">
        <v>6</v>
      </c>
      <c r="ED3" s="6776"/>
      <c r="EE3" s="6772" t="s">
        <v>7</v>
      </c>
      <c r="EF3" s="6773"/>
      <c r="EG3" s="6786" t="s">
        <v>8</v>
      </c>
      <c r="EH3" s="6786"/>
      <c r="EI3" s="6165" t="s">
        <v>9</v>
      </c>
      <c r="EJ3" s="6164" t="s">
        <v>5</v>
      </c>
      <c r="EK3" s="6776" t="s">
        <v>6</v>
      </c>
      <c r="EL3" s="6776"/>
      <c r="EM3" s="6772" t="s">
        <v>7</v>
      </c>
      <c r="EN3" s="6773"/>
      <c r="EO3" s="6786" t="s">
        <v>8</v>
      </c>
      <c r="EP3" s="6786"/>
      <c r="EQ3" s="6165" t="s">
        <v>9</v>
      </c>
      <c r="ER3" s="6164" t="s">
        <v>5</v>
      </c>
      <c r="ES3" s="6776" t="s">
        <v>6</v>
      </c>
      <c r="ET3" s="6776"/>
      <c r="EU3" s="6772" t="s">
        <v>7</v>
      </c>
      <c r="EV3" s="6773"/>
      <c r="EW3" s="6786" t="s">
        <v>8</v>
      </c>
      <c r="EX3" s="6786"/>
      <c r="EY3" s="6165" t="s">
        <v>9</v>
      </c>
      <c r="EZ3" s="6164" t="s">
        <v>5</v>
      </c>
      <c r="FA3" s="6776" t="s">
        <v>6</v>
      </c>
      <c r="FB3" s="6776"/>
      <c r="FC3" s="6772" t="s">
        <v>7</v>
      </c>
      <c r="FD3" s="6773"/>
      <c r="FE3" s="6786" t="s">
        <v>8</v>
      </c>
      <c r="FF3" s="6786"/>
      <c r="FG3" s="6165" t="s">
        <v>9</v>
      </c>
      <c r="FH3" s="6521" t="s">
        <v>5</v>
      </c>
      <c r="FI3" s="6776" t="s">
        <v>6</v>
      </c>
      <c r="FJ3" s="6776"/>
      <c r="FK3" s="6794" t="s">
        <v>7</v>
      </c>
      <c r="FL3" s="6795"/>
      <c r="FM3" s="6786" t="s">
        <v>8</v>
      </c>
      <c r="FN3" s="6786"/>
      <c r="FO3" s="6159" t="s">
        <v>9</v>
      </c>
      <c r="FP3" s="6521" t="s">
        <v>5</v>
      </c>
      <c r="FQ3" s="6776" t="s">
        <v>6</v>
      </c>
      <c r="FR3" s="6776"/>
      <c r="FS3" s="6776" t="s">
        <v>7</v>
      </c>
      <c r="FT3" s="6776"/>
      <c r="FU3" s="6518"/>
      <c r="FV3" s="6518"/>
      <c r="FW3" s="6786" t="s">
        <v>8</v>
      </c>
      <c r="FX3" s="6786"/>
      <c r="FY3" s="6161" t="s">
        <v>9</v>
      </c>
      <c r="FZ3" s="6160" t="s">
        <v>5</v>
      </c>
      <c r="GA3" s="6776" t="s">
        <v>6</v>
      </c>
      <c r="GB3" s="6776"/>
      <c r="GC3" s="6776" t="s">
        <v>7</v>
      </c>
      <c r="GD3" s="6776"/>
      <c r="GE3" s="6518"/>
      <c r="GF3" s="6518"/>
      <c r="GG3" s="6786" t="s">
        <v>8</v>
      </c>
      <c r="GH3" s="6786"/>
      <c r="GI3" s="6159" t="s">
        <v>9</v>
      </c>
      <c r="GJ3" s="6521" t="s">
        <v>5</v>
      </c>
      <c r="GK3" s="6776" t="s">
        <v>6</v>
      </c>
      <c r="GL3" s="6776"/>
      <c r="GM3" s="6776" t="s">
        <v>7</v>
      </c>
      <c r="GN3" s="6776"/>
      <c r="GO3" s="6518"/>
      <c r="GP3" s="6518"/>
      <c r="GQ3" s="6775" t="s">
        <v>8</v>
      </c>
      <c r="GR3" s="6775"/>
      <c r="GS3" s="6161" t="s">
        <v>9</v>
      </c>
      <c r="GT3" s="6160" t="s">
        <v>5</v>
      </c>
      <c r="GU3" s="6776" t="s">
        <v>6</v>
      </c>
      <c r="GV3" s="6776"/>
      <c r="GW3" s="6772" t="s">
        <v>7</v>
      </c>
      <c r="GX3" s="6773"/>
      <c r="GY3" s="6518"/>
      <c r="GZ3" s="6518"/>
      <c r="HA3" s="6786" t="s">
        <v>8</v>
      </c>
      <c r="HB3" s="6786"/>
      <c r="HC3" s="6159" t="s">
        <v>9</v>
      </c>
      <c r="HD3" s="6160" t="s">
        <v>5</v>
      </c>
      <c r="HE3" s="6776" t="s">
        <v>6</v>
      </c>
      <c r="HF3" s="6776"/>
      <c r="HG3" s="6776" t="s">
        <v>7</v>
      </c>
      <c r="HH3" s="6776"/>
      <c r="HI3" s="6786" t="s">
        <v>8</v>
      </c>
      <c r="HJ3" s="6786"/>
      <c r="HK3" s="6159" t="s">
        <v>9</v>
      </c>
      <c r="HL3" s="6160" t="s">
        <v>5</v>
      </c>
      <c r="HM3" s="6776" t="s">
        <v>6</v>
      </c>
      <c r="HN3" s="6776"/>
      <c r="HO3" s="6772" t="s">
        <v>7</v>
      </c>
      <c r="HP3" s="6773"/>
      <c r="HQ3" s="6786" t="s">
        <v>8</v>
      </c>
      <c r="HR3" s="6786"/>
      <c r="HS3" s="6159" t="s">
        <v>9</v>
      </c>
      <c r="HT3" s="6160" t="s">
        <v>5</v>
      </c>
      <c r="HU3" s="6776" t="s">
        <v>6</v>
      </c>
      <c r="HV3" s="6776"/>
      <c r="HW3" s="6776" t="s">
        <v>7</v>
      </c>
      <c r="HX3" s="6776"/>
      <c r="HY3" s="6786" t="s">
        <v>8</v>
      </c>
      <c r="HZ3" s="6786"/>
      <c r="IA3" s="6159" t="s">
        <v>9</v>
      </c>
      <c r="IB3" s="6160" t="s">
        <v>5</v>
      </c>
      <c r="IC3" s="6776" t="s">
        <v>6</v>
      </c>
      <c r="ID3" s="6776"/>
      <c r="IE3" s="6776" t="s">
        <v>7</v>
      </c>
      <c r="IF3" s="6776"/>
      <c r="IG3" s="6786" t="s">
        <v>8</v>
      </c>
      <c r="IH3" s="6786"/>
      <c r="II3" s="6159" t="s">
        <v>9</v>
      </c>
      <c r="IJ3" s="6160" t="s">
        <v>5</v>
      </c>
      <c r="IK3" s="6776" t="s">
        <v>6</v>
      </c>
      <c r="IL3" s="6776"/>
      <c r="IM3" s="6776" t="s">
        <v>7</v>
      </c>
      <c r="IN3" s="6776"/>
      <c r="IO3" s="6786" t="s">
        <v>8</v>
      </c>
      <c r="IP3" s="6786"/>
      <c r="IQ3" s="6159" t="s">
        <v>9</v>
      </c>
      <c r="IR3" s="6166"/>
      <c r="IS3" s="6782" t="s">
        <v>5</v>
      </c>
      <c r="IT3" s="6763" t="s">
        <v>6</v>
      </c>
      <c r="IU3" s="6763"/>
      <c r="IV3" s="6764" t="s">
        <v>7</v>
      </c>
      <c r="IW3" s="6765"/>
      <c r="IX3" s="6519"/>
      <c r="IY3" s="6519"/>
      <c r="IZ3" s="6796" t="s">
        <v>8</v>
      </c>
      <c r="JA3" s="6775"/>
      <c r="JB3" s="6792" t="s">
        <v>9</v>
      </c>
      <c r="JC3" s="6782" t="s">
        <v>5</v>
      </c>
      <c r="JD3" s="6763" t="s">
        <v>6</v>
      </c>
      <c r="JE3" s="6763"/>
      <c r="JF3" s="6764" t="s">
        <v>7</v>
      </c>
      <c r="JG3" s="6765"/>
      <c r="JH3" s="6519"/>
      <c r="JI3" s="6519"/>
      <c r="JJ3" s="6796" t="s">
        <v>8</v>
      </c>
      <c r="JK3" s="6775"/>
      <c r="JL3" s="6792" t="s">
        <v>9</v>
      </c>
      <c r="JM3" s="6521" t="s">
        <v>5</v>
      </c>
      <c r="JN3" s="6763" t="s">
        <v>6</v>
      </c>
      <c r="JO3" s="6763"/>
      <c r="JP3" s="6772" t="s">
        <v>7</v>
      </c>
      <c r="JQ3" s="6773"/>
      <c r="JR3" s="6518"/>
      <c r="JS3" s="6518"/>
      <c r="JT3" s="6796" t="s">
        <v>8</v>
      </c>
      <c r="JU3" s="6775"/>
      <c r="JV3" s="6522" t="s">
        <v>9</v>
      </c>
      <c r="JW3" s="6160" t="s">
        <v>5</v>
      </c>
      <c r="JX3" s="6776" t="s">
        <v>6</v>
      </c>
      <c r="JY3" s="6776"/>
      <c r="JZ3" s="6772" t="s">
        <v>7</v>
      </c>
      <c r="KA3" s="6773"/>
      <c r="KB3" s="6518"/>
      <c r="KC3" s="6518"/>
      <c r="KD3" s="6796" t="s">
        <v>8</v>
      </c>
      <c r="KE3" s="6775"/>
      <c r="KF3" s="6159" t="s">
        <v>9</v>
      </c>
      <c r="KG3" s="6160" t="s">
        <v>5</v>
      </c>
      <c r="KH3" s="6776" t="s">
        <v>6</v>
      </c>
      <c r="KI3" s="6776"/>
      <c r="KJ3" s="6772" t="s">
        <v>7</v>
      </c>
      <c r="KK3" s="6773"/>
      <c r="KL3" s="6518"/>
      <c r="KM3" s="6518"/>
      <c r="KN3" s="6796" t="s">
        <v>8</v>
      </c>
      <c r="KO3" s="6775"/>
      <c r="KP3" s="6159" t="s">
        <v>9</v>
      </c>
      <c r="KQ3" s="6160" t="s">
        <v>5</v>
      </c>
      <c r="KR3" s="6776" t="s">
        <v>6</v>
      </c>
      <c r="KS3" s="6776"/>
      <c r="KT3" s="6772" t="s">
        <v>7</v>
      </c>
      <c r="KU3" s="6773"/>
      <c r="KV3" s="6518"/>
      <c r="KW3" s="6518"/>
      <c r="KX3" s="6796" t="s">
        <v>8</v>
      </c>
      <c r="KY3" s="6775"/>
      <c r="KZ3" s="6159" t="s">
        <v>9</v>
      </c>
      <c r="LA3" s="6160" t="s">
        <v>5</v>
      </c>
      <c r="LB3" s="6776" t="s">
        <v>6</v>
      </c>
      <c r="LC3" s="6776"/>
      <c r="LD3" s="6772" t="s">
        <v>7</v>
      </c>
      <c r="LE3" s="6773"/>
      <c r="LF3" s="6518"/>
      <c r="LG3" s="6518"/>
      <c r="LH3" s="6796" t="s">
        <v>8</v>
      </c>
      <c r="LI3" s="6775"/>
      <c r="LJ3" s="6159" t="s">
        <v>9</v>
      </c>
      <c r="LK3" s="6160" t="s">
        <v>5</v>
      </c>
      <c r="LL3" s="6776" t="s">
        <v>6</v>
      </c>
      <c r="LM3" s="6776"/>
      <c r="LN3" s="6772" t="s">
        <v>7</v>
      </c>
      <c r="LO3" s="6773"/>
      <c r="LP3" s="6518"/>
      <c r="LQ3" s="6518"/>
      <c r="LR3" s="6796" t="s">
        <v>8</v>
      </c>
      <c r="LS3" s="6775"/>
      <c r="LT3" s="6159" t="s">
        <v>9</v>
      </c>
      <c r="LU3" s="6167" t="s">
        <v>5</v>
      </c>
      <c r="LV3" s="6776" t="s">
        <v>6</v>
      </c>
      <c r="LW3" s="6776"/>
      <c r="LX3" s="6772" t="s">
        <v>7</v>
      </c>
      <c r="LY3" s="6773"/>
      <c r="LZ3" s="6518"/>
      <c r="MA3" s="6524"/>
      <c r="MB3" s="6796" t="s">
        <v>8</v>
      </c>
      <c r="MC3" s="6775"/>
      <c r="MD3" s="6159" t="s">
        <v>9</v>
      </c>
      <c r="ME3" s="6167" t="s">
        <v>5</v>
      </c>
      <c r="MF3" s="6763" t="s">
        <v>6</v>
      </c>
      <c r="MG3" s="6773"/>
      <c r="MH3" s="6776" t="s">
        <v>7</v>
      </c>
      <c r="MI3" s="6776"/>
      <c r="MJ3" s="6518"/>
      <c r="MK3" s="6518"/>
      <c r="ML3" s="6786" t="s">
        <v>8</v>
      </c>
      <c r="MM3" s="6786"/>
      <c r="MN3" s="6159" t="s">
        <v>9</v>
      </c>
      <c r="MO3" s="6160" t="s">
        <v>5</v>
      </c>
      <c r="MP3" s="6776" t="s">
        <v>6</v>
      </c>
      <c r="MQ3" s="6776"/>
      <c r="MR3" s="6776" t="s">
        <v>7</v>
      </c>
      <c r="MS3" s="6776"/>
      <c r="MT3" s="6518"/>
      <c r="MU3" s="6518"/>
      <c r="MV3" s="6786" t="s">
        <v>8</v>
      </c>
      <c r="MW3" s="6786"/>
      <c r="MX3" s="6161" t="s">
        <v>9</v>
      </c>
      <c r="MY3" s="6160" t="s">
        <v>5</v>
      </c>
      <c r="MZ3" s="6776" t="s">
        <v>6</v>
      </c>
      <c r="NA3" s="6776"/>
      <c r="NB3" s="6776" t="s">
        <v>7</v>
      </c>
      <c r="NC3" s="6776"/>
      <c r="ND3" s="6518"/>
      <c r="NE3" s="6518"/>
      <c r="NF3" s="6786" t="s">
        <v>280</v>
      </c>
      <c r="NG3" s="6786"/>
      <c r="NH3" s="6159" t="s">
        <v>280</v>
      </c>
      <c r="NI3" s="6521" t="s">
        <v>5</v>
      </c>
      <c r="NJ3" s="6776" t="s">
        <v>6</v>
      </c>
      <c r="NK3" s="6776"/>
      <c r="NL3" s="6797" t="s">
        <v>7</v>
      </c>
      <c r="NM3" s="6798"/>
      <c r="NN3" s="6796" t="s">
        <v>8</v>
      </c>
      <c r="NO3" s="6775"/>
      <c r="NP3" s="6159" t="s">
        <v>9</v>
      </c>
      <c r="NQ3" s="6160" t="s">
        <v>5</v>
      </c>
      <c r="NR3" s="6776" t="s">
        <v>6</v>
      </c>
      <c r="NS3" s="6776"/>
      <c r="NT3" s="6772" t="s">
        <v>7</v>
      </c>
      <c r="NU3" s="6773"/>
      <c r="NV3" s="6786" t="s">
        <v>8</v>
      </c>
      <c r="NW3" s="6786"/>
      <c r="NX3" s="6159" t="s">
        <v>9</v>
      </c>
      <c r="NY3" s="6167" t="s">
        <v>5</v>
      </c>
      <c r="NZ3" s="6776" t="s">
        <v>6</v>
      </c>
      <c r="OA3" s="6776"/>
      <c r="OB3" s="6772" t="s">
        <v>7</v>
      </c>
      <c r="OC3" s="6773"/>
      <c r="OD3" s="6786" t="s">
        <v>8</v>
      </c>
      <c r="OE3" s="6786"/>
      <c r="OF3" s="6159" t="s">
        <v>9</v>
      </c>
      <c r="OG3" s="6160" t="s">
        <v>5</v>
      </c>
      <c r="OH3" s="6776" t="s">
        <v>6</v>
      </c>
      <c r="OI3" s="6776"/>
      <c r="OJ3" s="6776" t="s">
        <v>7</v>
      </c>
      <c r="OK3" s="6776"/>
      <c r="OL3" s="6786" t="s">
        <v>8</v>
      </c>
      <c r="OM3" s="6786"/>
      <c r="ON3" s="6161" t="s">
        <v>9</v>
      </c>
      <c r="OO3" s="6160" t="s">
        <v>5</v>
      </c>
      <c r="OP3" s="6776" t="s">
        <v>6</v>
      </c>
      <c r="OQ3" s="6776"/>
      <c r="OR3" s="6776" t="s">
        <v>7</v>
      </c>
      <c r="OS3" s="6776"/>
      <c r="OT3" s="6786" t="s">
        <v>8</v>
      </c>
      <c r="OU3" s="6786"/>
      <c r="OV3" s="6159" t="s">
        <v>9</v>
      </c>
      <c r="OW3" s="6166"/>
      <c r="OX3" s="6782" t="s">
        <v>5</v>
      </c>
      <c r="OY3" s="6763" t="s">
        <v>6</v>
      </c>
      <c r="OZ3" s="6763"/>
      <c r="PA3" s="6764" t="s">
        <v>7</v>
      </c>
      <c r="PB3" s="6765"/>
      <c r="PC3" s="6519"/>
      <c r="PD3" s="6519"/>
      <c r="PE3" s="6796" t="s">
        <v>8</v>
      </c>
      <c r="PF3" s="6775"/>
      <c r="PG3" s="6792" t="s">
        <v>9</v>
      </c>
      <c r="PH3" s="6782" t="s">
        <v>5</v>
      </c>
      <c r="PI3" s="6763" t="s">
        <v>6</v>
      </c>
      <c r="PJ3" s="6763"/>
      <c r="PK3" s="6764" t="s">
        <v>7</v>
      </c>
      <c r="PL3" s="6765"/>
      <c r="PM3" s="6519"/>
      <c r="PN3" s="6519"/>
      <c r="PO3" s="6796" t="s">
        <v>8</v>
      </c>
      <c r="PP3" s="6775"/>
      <c r="PQ3" s="6792" t="s">
        <v>9</v>
      </c>
      <c r="PR3" s="6521" t="s">
        <v>5</v>
      </c>
      <c r="PS3" s="6763" t="s">
        <v>6</v>
      </c>
      <c r="PT3" s="6763"/>
      <c r="PU3" s="6772" t="s">
        <v>7</v>
      </c>
      <c r="PV3" s="6773"/>
      <c r="PW3" s="6518"/>
      <c r="PX3" s="6518"/>
      <c r="PY3" s="6774" t="s">
        <v>8</v>
      </c>
      <c r="PZ3" s="6775"/>
      <c r="QA3" s="6163" t="s">
        <v>9</v>
      </c>
      <c r="QB3" s="6160" t="s">
        <v>5</v>
      </c>
      <c r="QC3" s="6776" t="s">
        <v>6</v>
      </c>
      <c r="QD3" s="6776"/>
      <c r="QE3" s="6772" t="s">
        <v>7</v>
      </c>
      <c r="QF3" s="6773"/>
      <c r="QG3" s="6518"/>
      <c r="QH3" s="6518"/>
      <c r="QI3" s="6796" t="s">
        <v>8</v>
      </c>
      <c r="QJ3" s="6775"/>
      <c r="QK3" s="6159" t="s">
        <v>9</v>
      </c>
      <c r="QL3" s="6160" t="s">
        <v>5</v>
      </c>
      <c r="QM3" s="6776" t="s">
        <v>6</v>
      </c>
      <c r="QN3" s="6776"/>
      <c r="QO3" s="6772" t="s">
        <v>7</v>
      </c>
      <c r="QP3" s="6773"/>
      <c r="QQ3" s="6518"/>
      <c r="QR3" s="6518"/>
      <c r="QS3" s="6796" t="s">
        <v>8</v>
      </c>
      <c r="QT3" s="6775"/>
      <c r="QU3" s="6159" t="s">
        <v>9</v>
      </c>
      <c r="QV3" s="6160" t="s">
        <v>5</v>
      </c>
      <c r="QW3" s="6776" t="s">
        <v>6</v>
      </c>
      <c r="QX3" s="6776"/>
      <c r="QY3" s="6772" t="s">
        <v>7</v>
      </c>
      <c r="QZ3" s="6773"/>
      <c r="RA3" s="6518"/>
      <c r="RB3" s="6518"/>
      <c r="RC3" s="6774" t="s">
        <v>280</v>
      </c>
      <c r="RD3" s="6775"/>
      <c r="RE3" s="6159" t="s">
        <v>280</v>
      </c>
      <c r="RF3" s="6160" t="s">
        <v>5</v>
      </c>
      <c r="RG3" s="6776" t="s">
        <v>6</v>
      </c>
      <c r="RH3" s="6776"/>
      <c r="RI3" s="6772" t="s">
        <v>7</v>
      </c>
      <c r="RJ3" s="6773"/>
      <c r="RK3" s="6518"/>
      <c r="RL3" s="6518"/>
      <c r="RM3" s="6774" t="s">
        <v>280</v>
      </c>
      <c r="RN3" s="6775"/>
      <c r="RO3" s="6159" t="s">
        <v>280</v>
      </c>
      <c r="RP3" s="6160" t="s">
        <v>5</v>
      </c>
      <c r="RQ3" s="6776" t="s">
        <v>6</v>
      </c>
      <c r="RR3" s="6776"/>
      <c r="RS3" s="6772" t="s">
        <v>7</v>
      </c>
      <c r="RT3" s="6773"/>
      <c r="RU3" s="6518"/>
      <c r="RV3" s="6518"/>
      <c r="RW3" s="6774" t="s">
        <v>280</v>
      </c>
      <c r="RX3" s="6775"/>
      <c r="RY3" s="6159" t="s">
        <v>280</v>
      </c>
      <c r="RZ3" s="6167" t="s">
        <v>5</v>
      </c>
      <c r="SA3" s="6776" t="s">
        <v>6</v>
      </c>
      <c r="SB3" s="6776"/>
      <c r="SC3" s="6772" t="s">
        <v>7</v>
      </c>
      <c r="SD3" s="6773"/>
      <c r="SE3" s="6518"/>
      <c r="SF3" s="6518"/>
      <c r="SG3" s="6774" t="s">
        <v>8</v>
      </c>
      <c r="SH3" s="6775"/>
      <c r="SI3" s="6528" t="s">
        <v>9</v>
      </c>
      <c r="SJ3" s="6167" t="s">
        <v>5</v>
      </c>
      <c r="SK3" s="6776" t="s">
        <v>6</v>
      </c>
      <c r="SL3" s="6776"/>
      <c r="SM3" s="6772" t="s">
        <v>7</v>
      </c>
      <c r="SN3" s="6773"/>
      <c r="SO3" s="6518"/>
      <c r="SP3" s="6518"/>
      <c r="SQ3" s="6774" t="s">
        <v>8</v>
      </c>
      <c r="SR3" s="6775"/>
      <c r="SS3" s="6528" t="s">
        <v>9</v>
      </c>
      <c r="ST3" s="6167" t="s">
        <v>5</v>
      </c>
      <c r="SU3" s="6776" t="s">
        <v>6</v>
      </c>
      <c r="SV3" s="6776"/>
      <c r="SW3" s="6772" t="s">
        <v>7</v>
      </c>
      <c r="SX3" s="6763"/>
      <c r="SY3" s="6168"/>
      <c r="SZ3" s="6520"/>
      <c r="TA3" s="6775" t="s">
        <v>8</v>
      </c>
      <c r="TB3" s="6775"/>
      <c r="TC3" s="6528" t="s">
        <v>9</v>
      </c>
      <c r="TD3" s="6167" t="s">
        <v>5</v>
      </c>
      <c r="TE3" s="6776" t="s">
        <v>6</v>
      </c>
      <c r="TF3" s="6776"/>
      <c r="TG3" s="6772" t="s">
        <v>7</v>
      </c>
      <c r="TH3" s="6763"/>
      <c r="TI3" s="6168"/>
      <c r="TJ3" s="6520"/>
      <c r="TK3" s="6775" t="s">
        <v>8</v>
      </c>
      <c r="TL3" s="6775"/>
      <c r="TM3" s="6528" t="s">
        <v>9</v>
      </c>
      <c r="TN3" s="6160" t="s">
        <v>5</v>
      </c>
      <c r="TO3" s="6776" t="s">
        <v>6</v>
      </c>
      <c r="TP3" s="6776"/>
      <c r="TQ3" s="6772" t="s">
        <v>7</v>
      </c>
      <c r="TR3" s="6773"/>
      <c r="TS3" s="6786" t="s">
        <v>280</v>
      </c>
      <c r="TT3" s="6786"/>
      <c r="TU3" s="6159" t="s">
        <v>9</v>
      </c>
      <c r="TV3" s="6160" t="s">
        <v>5</v>
      </c>
      <c r="TW3" s="6776" t="s">
        <v>6</v>
      </c>
      <c r="TX3" s="6776"/>
      <c r="TY3" s="6772" t="s">
        <v>7</v>
      </c>
      <c r="TZ3" s="6773"/>
      <c r="UA3" s="6786" t="s">
        <v>8</v>
      </c>
      <c r="UB3" s="6786"/>
      <c r="UC3" s="6159" t="s">
        <v>9</v>
      </c>
      <c r="UD3" s="6167" t="s">
        <v>5</v>
      </c>
      <c r="UE3" s="6776" t="s">
        <v>52</v>
      </c>
      <c r="UF3" s="6776"/>
      <c r="UG3" s="6772" t="s">
        <v>7</v>
      </c>
      <c r="UH3" s="6773"/>
      <c r="UI3" s="6786" t="s">
        <v>8</v>
      </c>
      <c r="UJ3" s="6786"/>
      <c r="UK3" s="6159" t="s">
        <v>9</v>
      </c>
      <c r="UL3" s="6160" t="s">
        <v>5</v>
      </c>
      <c r="UM3" s="6776" t="s">
        <v>6</v>
      </c>
      <c r="UN3" s="6776"/>
      <c r="UO3" s="6776" t="s">
        <v>7</v>
      </c>
      <c r="UP3" s="6776"/>
      <c r="UQ3" s="6786" t="s">
        <v>8</v>
      </c>
      <c r="UR3" s="6786"/>
      <c r="US3" s="6159" t="s">
        <v>9</v>
      </c>
      <c r="UT3" s="6160" t="s">
        <v>5</v>
      </c>
      <c r="UU3" s="6776" t="s">
        <v>6</v>
      </c>
      <c r="UV3" s="6776"/>
      <c r="UW3" s="6776" t="s">
        <v>7</v>
      </c>
      <c r="UX3" s="6776"/>
      <c r="UY3" s="6786" t="s">
        <v>8</v>
      </c>
      <c r="UZ3" s="6786"/>
      <c r="VA3" s="6159" t="s">
        <v>9</v>
      </c>
      <c r="VB3" s="6166"/>
      <c r="VC3" s="6782" t="s">
        <v>5</v>
      </c>
      <c r="VD3" s="6763" t="s">
        <v>6</v>
      </c>
      <c r="VE3" s="6763"/>
      <c r="VF3" s="6764" t="s">
        <v>7</v>
      </c>
      <c r="VG3" s="6765"/>
      <c r="VH3" s="6519"/>
      <c r="VI3" s="6519"/>
      <c r="VJ3" s="6796" t="s">
        <v>8</v>
      </c>
      <c r="VK3" s="6775"/>
      <c r="VL3" s="6792" t="s">
        <v>9</v>
      </c>
      <c r="VM3" s="6782" t="s">
        <v>5</v>
      </c>
      <c r="VN3" s="6763" t="s">
        <v>6</v>
      </c>
      <c r="VO3" s="6763"/>
      <c r="VP3" s="6764" t="s">
        <v>7</v>
      </c>
      <c r="VQ3" s="6765"/>
      <c r="VR3" s="6519"/>
      <c r="VS3" s="6519"/>
      <c r="VT3" s="6796" t="s">
        <v>8</v>
      </c>
      <c r="VU3" s="6775"/>
      <c r="VV3" s="6792" t="s">
        <v>9</v>
      </c>
      <c r="VW3" s="6521" t="s">
        <v>5</v>
      </c>
      <c r="VX3" s="6763" t="s">
        <v>6</v>
      </c>
      <c r="VY3" s="6763"/>
      <c r="VZ3" s="6772" t="s">
        <v>7</v>
      </c>
      <c r="WA3" s="6773"/>
      <c r="WB3" s="6518"/>
      <c r="WC3" s="6518"/>
      <c r="WD3" s="6774" t="s">
        <v>8</v>
      </c>
      <c r="WE3" s="6775"/>
      <c r="WF3" s="6163" t="s">
        <v>9</v>
      </c>
      <c r="WG3" s="6160" t="s">
        <v>5</v>
      </c>
      <c r="WH3" s="6776" t="s">
        <v>6</v>
      </c>
      <c r="WI3" s="6776"/>
      <c r="WJ3" s="6772" t="s">
        <v>7</v>
      </c>
      <c r="WK3" s="6773"/>
      <c r="WL3" s="6518"/>
      <c r="WM3" s="6518"/>
      <c r="WN3" s="6796" t="s">
        <v>8</v>
      </c>
      <c r="WO3" s="6775"/>
      <c r="WP3" s="6159" t="s">
        <v>9</v>
      </c>
      <c r="WQ3" s="6160" t="s">
        <v>5</v>
      </c>
      <c r="WR3" s="6776" t="s">
        <v>6</v>
      </c>
      <c r="WS3" s="6776"/>
      <c r="WT3" s="6772" t="s">
        <v>7</v>
      </c>
      <c r="WU3" s="6773"/>
      <c r="WV3" s="6518"/>
      <c r="WW3" s="6518"/>
      <c r="WX3" s="6796" t="s">
        <v>8</v>
      </c>
      <c r="WY3" s="6775"/>
      <c r="WZ3" s="6159" t="s">
        <v>9</v>
      </c>
      <c r="XA3" s="6160" t="s">
        <v>5</v>
      </c>
      <c r="XB3" s="6776" t="s">
        <v>6</v>
      </c>
      <c r="XC3" s="6776"/>
      <c r="XD3" s="6772" t="s">
        <v>7</v>
      </c>
      <c r="XE3" s="6773"/>
      <c r="XF3" s="6518"/>
      <c r="XG3" s="6518"/>
      <c r="XH3" s="6774" t="s">
        <v>280</v>
      </c>
      <c r="XI3" s="6775"/>
      <c r="XJ3" s="6159" t="s">
        <v>280</v>
      </c>
      <c r="XK3" s="6160" t="s">
        <v>5</v>
      </c>
      <c r="XL3" s="6776" t="s">
        <v>6</v>
      </c>
      <c r="XM3" s="6776"/>
      <c r="XN3" s="6772" t="s">
        <v>7</v>
      </c>
      <c r="XO3" s="6773"/>
      <c r="XP3" s="6518"/>
      <c r="XQ3" s="6518"/>
      <c r="XR3" s="6774" t="s">
        <v>280</v>
      </c>
      <c r="XS3" s="6775"/>
      <c r="XT3" s="6159" t="s">
        <v>280</v>
      </c>
      <c r="XU3" s="6160" t="s">
        <v>5</v>
      </c>
      <c r="XV3" s="6776" t="s">
        <v>6</v>
      </c>
      <c r="XW3" s="6776"/>
      <c r="XX3" s="6772" t="s">
        <v>7</v>
      </c>
      <c r="XY3" s="6773"/>
      <c r="XZ3" s="6518"/>
      <c r="YA3" s="6518"/>
      <c r="YB3" s="6774" t="s">
        <v>280</v>
      </c>
      <c r="YC3" s="6775"/>
      <c r="YD3" s="6159" t="s">
        <v>280</v>
      </c>
      <c r="YE3" s="6167" t="s">
        <v>5</v>
      </c>
      <c r="YF3" s="6776" t="s">
        <v>6</v>
      </c>
      <c r="YG3" s="6776"/>
      <c r="YH3" s="6772" t="s">
        <v>7</v>
      </c>
      <c r="YI3" s="6773"/>
      <c r="YJ3" s="6518"/>
      <c r="YK3" s="6518"/>
      <c r="YL3" s="6774" t="s">
        <v>8</v>
      </c>
      <c r="YM3" s="6775"/>
      <c r="YN3" s="6528" t="s">
        <v>9</v>
      </c>
      <c r="YO3" s="6167" t="s">
        <v>5</v>
      </c>
      <c r="YP3" s="6776" t="s">
        <v>6</v>
      </c>
      <c r="YQ3" s="6776"/>
      <c r="YR3" s="6772" t="s">
        <v>7</v>
      </c>
      <c r="YS3" s="6773"/>
      <c r="YT3" s="6518"/>
      <c r="YU3" s="6518"/>
      <c r="YV3" s="6774" t="s">
        <v>8</v>
      </c>
      <c r="YW3" s="6775"/>
      <c r="YX3" s="6528" t="s">
        <v>9</v>
      </c>
      <c r="YY3" s="6167" t="s">
        <v>5</v>
      </c>
      <c r="YZ3" s="6776" t="s">
        <v>6</v>
      </c>
      <c r="ZA3" s="6776"/>
      <c r="ZB3" s="6772" t="s">
        <v>7</v>
      </c>
      <c r="ZC3" s="6763"/>
      <c r="ZD3" s="6168"/>
      <c r="ZE3" s="6520"/>
      <c r="ZF3" s="6775" t="s">
        <v>8</v>
      </c>
      <c r="ZG3" s="6775"/>
      <c r="ZH3" s="6528" t="s">
        <v>9</v>
      </c>
      <c r="ZI3" s="6167" t="s">
        <v>5</v>
      </c>
      <c r="ZJ3" s="6776" t="s">
        <v>6</v>
      </c>
      <c r="ZK3" s="6776"/>
      <c r="ZL3" s="6772" t="s">
        <v>7</v>
      </c>
      <c r="ZM3" s="6763"/>
      <c r="ZN3" s="6168"/>
      <c r="ZO3" s="6520"/>
      <c r="ZP3" s="6775" t="s">
        <v>8</v>
      </c>
      <c r="ZQ3" s="6775"/>
      <c r="ZR3" s="6528" t="s">
        <v>9</v>
      </c>
      <c r="ZS3" s="6160" t="s">
        <v>5</v>
      </c>
      <c r="ZT3" s="6776" t="s">
        <v>6</v>
      </c>
      <c r="ZU3" s="6776"/>
      <c r="ZV3" s="6772" t="s">
        <v>7</v>
      </c>
      <c r="ZW3" s="6773"/>
      <c r="ZX3" s="6786" t="s">
        <v>280</v>
      </c>
      <c r="ZY3" s="6786"/>
      <c r="ZZ3" s="6159" t="s">
        <v>9</v>
      </c>
      <c r="AAA3" s="838" t="s">
        <v>5</v>
      </c>
      <c r="AAB3" s="6805" t="s">
        <v>6</v>
      </c>
      <c r="AAC3" s="6805"/>
      <c r="AAD3" s="6806" t="s">
        <v>7</v>
      </c>
      <c r="AAE3" s="6807"/>
      <c r="AAF3" s="6808" t="s">
        <v>8</v>
      </c>
      <c r="AAG3" s="6808"/>
      <c r="AAH3" s="837" t="s">
        <v>9</v>
      </c>
      <c r="AAI3" s="839" t="s">
        <v>5</v>
      </c>
      <c r="AAJ3" s="6805" t="s">
        <v>52</v>
      </c>
      <c r="AAK3" s="6805"/>
      <c r="AAL3" s="6806" t="s">
        <v>7</v>
      </c>
      <c r="AAM3" s="6807"/>
      <c r="AAN3" s="6808" t="s">
        <v>8</v>
      </c>
      <c r="AAO3" s="6808"/>
      <c r="AAP3" s="837" t="s">
        <v>9</v>
      </c>
      <c r="AAQ3" s="838" t="s">
        <v>5</v>
      </c>
      <c r="AAR3" s="6805" t="s">
        <v>6</v>
      </c>
      <c r="AAS3" s="6805"/>
      <c r="AAT3" s="6805" t="s">
        <v>7</v>
      </c>
      <c r="AAU3" s="6805"/>
      <c r="AAV3" s="6808" t="s">
        <v>8</v>
      </c>
      <c r="AAW3" s="6808"/>
      <c r="AAX3" s="837" t="s">
        <v>9</v>
      </c>
      <c r="AAY3" s="838" t="s">
        <v>5</v>
      </c>
      <c r="AAZ3" s="6805" t="s">
        <v>6</v>
      </c>
      <c r="ABA3" s="6805"/>
      <c r="ABB3" s="6805" t="s">
        <v>7</v>
      </c>
      <c r="ABC3" s="6805"/>
      <c r="ABD3" s="6808" t="s">
        <v>8</v>
      </c>
      <c r="ABE3" s="6808"/>
      <c r="ABF3" s="837" t="s">
        <v>9</v>
      </c>
    </row>
    <row r="4" spans="1:734" s="175" customFormat="1" x14ac:dyDescent="0.3">
      <c r="A4" s="6169"/>
      <c r="B4" s="6791"/>
      <c r="C4" s="6527"/>
      <c r="D4" s="6783"/>
      <c r="E4" s="6170" t="s">
        <v>10</v>
      </c>
      <c r="F4" s="4869" t="s">
        <v>11</v>
      </c>
      <c r="G4" s="6171" t="s">
        <v>10</v>
      </c>
      <c r="H4" s="6172" t="s">
        <v>11</v>
      </c>
      <c r="I4" s="6170" t="s">
        <v>10</v>
      </c>
      <c r="J4" s="6173" t="s">
        <v>11</v>
      </c>
      <c r="K4" s="6785"/>
      <c r="L4" s="6174"/>
      <c r="M4" s="6170" t="s">
        <v>10</v>
      </c>
      <c r="N4" s="4869" t="s">
        <v>11</v>
      </c>
      <c r="O4" s="6171" t="s">
        <v>10</v>
      </c>
      <c r="P4" s="6175" t="s">
        <v>11</v>
      </c>
      <c r="Q4" s="6170" t="s">
        <v>10</v>
      </c>
      <c r="R4" s="6176" t="s">
        <v>11</v>
      </c>
      <c r="S4" s="6523"/>
      <c r="T4" s="6169"/>
      <c r="U4" s="6170" t="s">
        <v>10</v>
      </c>
      <c r="V4" s="4869" t="s">
        <v>11</v>
      </c>
      <c r="W4" s="6170" t="s">
        <v>10</v>
      </c>
      <c r="X4" s="4869" t="s">
        <v>11</v>
      </c>
      <c r="Y4" s="6170" t="s">
        <v>10</v>
      </c>
      <c r="Z4" s="6176" t="s">
        <v>11</v>
      </c>
      <c r="AA4" s="6523"/>
      <c r="AB4" s="6174"/>
      <c r="AC4" s="6170" t="s">
        <v>10</v>
      </c>
      <c r="AD4" s="4869" t="s">
        <v>11</v>
      </c>
      <c r="AE4" s="6170" t="s">
        <v>10</v>
      </c>
      <c r="AF4" s="4869" t="s">
        <v>11</v>
      </c>
      <c r="AG4" s="6170" t="s">
        <v>10</v>
      </c>
      <c r="AH4" s="6176" t="s">
        <v>11</v>
      </c>
      <c r="AI4" s="6177"/>
      <c r="AJ4" s="6169"/>
      <c r="AK4" s="6170" t="s">
        <v>10</v>
      </c>
      <c r="AL4" s="4869" t="s">
        <v>11</v>
      </c>
      <c r="AM4" s="6170" t="s">
        <v>10</v>
      </c>
      <c r="AN4" s="4869" t="s">
        <v>11</v>
      </c>
      <c r="AO4" s="6170" t="s">
        <v>10</v>
      </c>
      <c r="AP4" s="6176" t="s">
        <v>11</v>
      </c>
      <c r="AQ4" s="6523"/>
      <c r="AR4" s="6174"/>
      <c r="AS4" s="6170" t="s">
        <v>10</v>
      </c>
      <c r="AT4" s="4869" t="s">
        <v>11</v>
      </c>
      <c r="AU4" s="6170" t="s">
        <v>10</v>
      </c>
      <c r="AV4" s="4869" t="s">
        <v>11</v>
      </c>
      <c r="AW4" s="6170" t="s">
        <v>10</v>
      </c>
      <c r="AX4" s="6176" t="s">
        <v>11</v>
      </c>
      <c r="AY4" s="6177"/>
      <c r="AZ4" s="6169"/>
      <c r="BA4" s="6170" t="s">
        <v>10</v>
      </c>
      <c r="BB4" s="4869" t="s">
        <v>11</v>
      </c>
      <c r="BC4" s="6170" t="s">
        <v>10</v>
      </c>
      <c r="BD4" s="4869" t="s">
        <v>11</v>
      </c>
      <c r="BE4" s="6170" t="s">
        <v>10</v>
      </c>
      <c r="BF4" s="6176" t="s">
        <v>11</v>
      </c>
      <c r="BG4" s="6523"/>
      <c r="BH4" s="6174"/>
      <c r="BI4" s="6170" t="s">
        <v>10</v>
      </c>
      <c r="BJ4" s="4869" t="s">
        <v>11</v>
      </c>
      <c r="BK4" s="6170" t="s">
        <v>10</v>
      </c>
      <c r="BL4" s="4869" t="s">
        <v>11</v>
      </c>
      <c r="BM4" s="6170" t="s">
        <v>10</v>
      </c>
      <c r="BN4" s="6176" t="s">
        <v>11</v>
      </c>
      <c r="BO4" s="6177"/>
      <c r="BP4" s="6169"/>
      <c r="BQ4" s="6170" t="s">
        <v>10</v>
      </c>
      <c r="BR4" s="4869" t="s">
        <v>11</v>
      </c>
      <c r="BS4" s="6170" t="s">
        <v>10</v>
      </c>
      <c r="BT4" s="4869" t="s">
        <v>11</v>
      </c>
      <c r="BU4" s="6170" t="s">
        <v>10</v>
      </c>
      <c r="BV4" s="6176" t="s">
        <v>11</v>
      </c>
      <c r="BW4" s="6523"/>
      <c r="BX4" s="6174"/>
      <c r="BY4" s="6170" t="s">
        <v>10</v>
      </c>
      <c r="BZ4" s="4869" t="s">
        <v>11</v>
      </c>
      <c r="CA4" s="6170" t="s">
        <v>10</v>
      </c>
      <c r="CB4" s="4869" t="s">
        <v>11</v>
      </c>
      <c r="CC4" s="6170" t="s">
        <v>10</v>
      </c>
      <c r="CD4" s="6176" t="s">
        <v>11</v>
      </c>
      <c r="CE4" s="6177"/>
      <c r="CF4" s="6169"/>
      <c r="CG4" s="6170" t="s">
        <v>10</v>
      </c>
      <c r="CH4" s="4869" t="s">
        <v>11</v>
      </c>
      <c r="CI4" s="6170" t="s">
        <v>10</v>
      </c>
      <c r="CJ4" s="4869" t="s">
        <v>11</v>
      </c>
      <c r="CK4" s="6170" t="s">
        <v>10</v>
      </c>
      <c r="CL4" s="6176" t="s">
        <v>11</v>
      </c>
      <c r="CM4" s="6178"/>
      <c r="CN4" s="6174"/>
      <c r="CO4" s="6170" t="s">
        <v>10</v>
      </c>
      <c r="CP4" s="4869" t="s">
        <v>11</v>
      </c>
      <c r="CQ4" s="6171" t="s">
        <v>10</v>
      </c>
      <c r="CR4" s="6175" t="s">
        <v>11</v>
      </c>
      <c r="CS4" s="6170" t="s">
        <v>10</v>
      </c>
      <c r="CT4" s="6176" t="s">
        <v>11</v>
      </c>
      <c r="CU4" s="6177"/>
      <c r="CV4" s="6169"/>
      <c r="CW4" s="6170" t="s">
        <v>10</v>
      </c>
      <c r="CX4" s="4869" t="s">
        <v>11</v>
      </c>
      <c r="CY4" s="6170" t="s">
        <v>10</v>
      </c>
      <c r="CZ4" s="4869" t="s">
        <v>11</v>
      </c>
      <c r="DA4" s="6170" t="s">
        <v>10</v>
      </c>
      <c r="DB4" s="6176" t="s">
        <v>11</v>
      </c>
      <c r="DC4" s="6523"/>
      <c r="DD4" s="6783"/>
      <c r="DE4" s="6170" t="s">
        <v>10</v>
      </c>
      <c r="DF4" s="6175" t="s">
        <v>11</v>
      </c>
      <c r="DG4" s="6171" t="s">
        <v>10</v>
      </c>
      <c r="DH4" s="6175" t="s">
        <v>11</v>
      </c>
      <c r="DI4" s="6170" t="s">
        <v>10</v>
      </c>
      <c r="DJ4" s="6176" t="s">
        <v>11</v>
      </c>
      <c r="DK4" s="6793"/>
      <c r="DL4" s="6783"/>
      <c r="DM4" s="6170" t="s">
        <v>10</v>
      </c>
      <c r="DN4" s="6175" t="s">
        <v>11</v>
      </c>
      <c r="DO4" s="6170" t="s">
        <v>10</v>
      </c>
      <c r="DP4" s="4869" t="s">
        <v>11</v>
      </c>
      <c r="DQ4" s="6171" t="s">
        <v>10</v>
      </c>
      <c r="DR4" s="6176" t="s">
        <v>11</v>
      </c>
      <c r="DS4" s="6793"/>
      <c r="DT4" s="6174"/>
      <c r="DU4" s="6170" t="s">
        <v>10</v>
      </c>
      <c r="DV4" s="6175" t="s">
        <v>11</v>
      </c>
      <c r="DW4" s="6171" t="s">
        <v>10</v>
      </c>
      <c r="DX4" s="6175" t="s">
        <v>11</v>
      </c>
      <c r="DY4" s="6170" t="s">
        <v>10</v>
      </c>
      <c r="DZ4" s="6176" t="s">
        <v>11</v>
      </c>
      <c r="EA4" s="6177"/>
      <c r="EB4" s="6179"/>
      <c r="EC4" s="6170" t="s">
        <v>10</v>
      </c>
      <c r="ED4" s="4869" t="s">
        <v>11</v>
      </c>
      <c r="EE4" s="6171" t="s">
        <v>10</v>
      </c>
      <c r="EF4" s="6175" t="s">
        <v>11</v>
      </c>
      <c r="EG4" s="6170" t="s">
        <v>10</v>
      </c>
      <c r="EH4" s="6176" t="s">
        <v>11</v>
      </c>
      <c r="EI4" s="6180"/>
      <c r="EJ4" s="6179"/>
      <c r="EK4" s="6170" t="s">
        <v>10</v>
      </c>
      <c r="EL4" s="4869" t="s">
        <v>11</v>
      </c>
      <c r="EM4" s="6171" t="s">
        <v>10</v>
      </c>
      <c r="EN4" s="6175" t="s">
        <v>11</v>
      </c>
      <c r="EO4" s="6170" t="s">
        <v>10</v>
      </c>
      <c r="EP4" s="6176" t="s">
        <v>11</v>
      </c>
      <c r="EQ4" s="6180"/>
      <c r="ER4" s="6179"/>
      <c r="ES4" s="6170" t="s">
        <v>10</v>
      </c>
      <c r="ET4" s="4869" t="s">
        <v>11</v>
      </c>
      <c r="EU4" s="6171" t="s">
        <v>10</v>
      </c>
      <c r="EV4" s="6175" t="s">
        <v>11</v>
      </c>
      <c r="EW4" s="6170" t="s">
        <v>10</v>
      </c>
      <c r="EX4" s="6176" t="s">
        <v>11</v>
      </c>
      <c r="EY4" s="6180"/>
      <c r="EZ4" s="6179"/>
      <c r="FA4" s="6170" t="s">
        <v>10</v>
      </c>
      <c r="FB4" s="4869" t="s">
        <v>11</v>
      </c>
      <c r="FC4" s="6171" t="s">
        <v>10</v>
      </c>
      <c r="FD4" s="6175" t="s">
        <v>11</v>
      </c>
      <c r="FE4" s="6170" t="s">
        <v>10</v>
      </c>
      <c r="FF4" s="6176" t="s">
        <v>11</v>
      </c>
      <c r="FG4" s="6180"/>
      <c r="FH4" s="6174"/>
      <c r="FI4" s="6170" t="s">
        <v>10</v>
      </c>
      <c r="FJ4" s="4869" t="s">
        <v>11</v>
      </c>
      <c r="FK4" s="6181" t="s">
        <v>10</v>
      </c>
      <c r="FL4" s="6182" t="s">
        <v>11</v>
      </c>
      <c r="FM4" s="6170" t="s">
        <v>10</v>
      </c>
      <c r="FN4" s="6176" t="s">
        <v>11</v>
      </c>
      <c r="FO4" s="6523"/>
      <c r="FP4" s="6174"/>
      <c r="FQ4" s="6170" t="s">
        <v>10</v>
      </c>
      <c r="FR4" s="4869" t="s">
        <v>11</v>
      </c>
      <c r="FS4" s="6170" t="s">
        <v>10</v>
      </c>
      <c r="FT4" s="4869" t="s">
        <v>11</v>
      </c>
      <c r="FU4" s="4869" t="s">
        <v>455</v>
      </c>
      <c r="FV4" s="4869" t="s">
        <v>456</v>
      </c>
      <c r="FW4" s="6170" t="s">
        <v>10</v>
      </c>
      <c r="FX4" s="6176" t="s">
        <v>11</v>
      </c>
      <c r="FY4" s="6177"/>
      <c r="FZ4" s="6169"/>
      <c r="GA4" s="6170" t="s">
        <v>10</v>
      </c>
      <c r="GB4" s="4869" t="s">
        <v>11</v>
      </c>
      <c r="GC4" s="6170" t="s">
        <v>10</v>
      </c>
      <c r="GD4" s="4869" t="s">
        <v>11</v>
      </c>
      <c r="GE4" s="4869" t="s">
        <v>455</v>
      </c>
      <c r="GF4" s="4869" t="s">
        <v>456</v>
      </c>
      <c r="GG4" s="6170" t="s">
        <v>10</v>
      </c>
      <c r="GH4" s="6176" t="s">
        <v>11</v>
      </c>
      <c r="GI4" s="6523"/>
      <c r="GJ4" s="6174"/>
      <c r="GK4" s="6170" t="s">
        <v>10</v>
      </c>
      <c r="GL4" s="4869" t="s">
        <v>11</v>
      </c>
      <c r="GM4" s="6170" t="s">
        <v>10</v>
      </c>
      <c r="GN4" s="4869" t="s">
        <v>11</v>
      </c>
      <c r="GO4" s="4869" t="s">
        <v>455</v>
      </c>
      <c r="GP4" s="4869" t="s">
        <v>456</v>
      </c>
      <c r="GQ4" s="6170" t="s">
        <v>10</v>
      </c>
      <c r="GR4" s="6176" t="s">
        <v>11</v>
      </c>
      <c r="GS4" s="6177"/>
      <c r="GT4" s="6169"/>
      <c r="GU4" s="6170" t="s">
        <v>10</v>
      </c>
      <c r="GV4" s="4869" t="s">
        <v>11</v>
      </c>
      <c r="GW4" s="6171" t="s">
        <v>10</v>
      </c>
      <c r="GX4" s="6175" t="s">
        <v>11</v>
      </c>
      <c r="GY4" s="4869" t="s">
        <v>455</v>
      </c>
      <c r="GZ4" s="4869" t="s">
        <v>456</v>
      </c>
      <c r="HA4" s="6170" t="s">
        <v>10</v>
      </c>
      <c r="HB4" s="4869" t="s">
        <v>11</v>
      </c>
      <c r="HC4" s="6523"/>
      <c r="HD4" s="6169"/>
      <c r="HE4" s="6170" t="s">
        <v>10</v>
      </c>
      <c r="HF4" s="4869" t="s">
        <v>11</v>
      </c>
      <c r="HG4" s="6170" t="s">
        <v>10</v>
      </c>
      <c r="HH4" s="4869" t="s">
        <v>11</v>
      </c>
      <c r="HI4" s="6170" t="s">
        <v>10</v>
      </c>
      <c r="HJ4" s="4869" t="s">
        <v>11</v>
      </c>
      <c r="HK4" s="6523"/>
      <c r="HL4" s="6169"/>
      <c r="HM4" s="6170" t="s">
        <v>10</v>
      </c>
      <c r="HN4" s="4869" t="s">
        <v>11</v>
      </c>
      <c r="HO4" s="6171" t="s">
        <v>10</v>
      </c>
      <c r="HP4" s="6175" t="s">
        <v>11</v>
      </c>
      <c r="HQ4" s="6170" t="s">
        <v>10</v>
      </c>
      <c r="HR4" s="6176" t="s">
        <v>11</v>
      </c>
      <c r="HS4" s="6523"/>
      <c r="HT4" s="6169"/>
      <c r="HU4" s="6170" t="s">
        <v>10</v>
      </c>
      <c r="HV4" s="4869" t="s">
        <v>11</v>
      </c>
      <c r="HW4" s="6170" t="s">
        <v>10</v>
      </c>
      <c r="HX4" s="4869" t="s">
        <v>11</v>
      </c>
      <c r="HY4" s="6170" t="s">
        <v>10</v>
      </c>
      <c r="HZ4" s="6176" t="s">
        <v>11</v>
      </c>
      <c r="IA4" s="6523"/>
      <c r="IB4" s="6169"/>
      <c r="IC4" s="6170" t="s">
        <v>10</v>
      </c>
      <c r="ID4" s="4869" t="s">
        <v>11</v>
      </c>
      <c r="IE4" s="6170" t="s">
        <v>10</v>
      </c>
      <c r="IF4" s="4869" t="s">
        <v>11</v>
      </c>
      <c r="IG4" s="6170" t="s">
        <v>10</v>
      </c>
      <c r="IH4" s="6176" t="s">
        <v>11</v>
      </c>
      <c r="II4" s="6523"/>
      <c r="IJ4" s="6169"/>
      <c r="IK4" s="6170" t="s">
        <v>10</v>
      </c>
      <c r="IL4" s="4869" t="s">
        <v>11</v>
      </c>
      <c r="IM4" s="6170" t="s">
        <v>10</v>
      </c>
      <c r="IN4" s="4869" t="s">
        <v>11</v>
      </c>
      <c r="IO4" s="6170" t="s">
        <v>10</v>
      </c>
      <c r="IP4" s="6176" t="s">
        <v>11</v>
      </c>
      <c r="IQ4" s="6523"/>
      <c r="IR4" s="6183"/>
      <c r="IS4" s="6783"/>
      <c r="IT4" s="6170" t="s">
        <v>10</v>
      </c>
      <c r="IU4" s="4869" t="s">
        <v>11</v>
      </c>
      <c r="IV4" s="6184" t="s">
        <v>10</v>
      </c>
      <c r="IW4" s="6185" t="s">
        <v>11</v>
      </c>
      <c r="IX4" s="4869" t="s">
        <v>455</v>
      </c>
      <c r="IY4" s="4869" t="s">
        <v>456</v>
      </c>
      <c r="IZ4" s="6186" t="s">
        <v>10</v>
      </c>
      <c r="JA4" s="4869" t="s">
        <v>11</v>
      </c>
      <c r="JB4" s="6793"/>
      <c r="JC4" s="6783"/>
      <c r="JD4" s="6170" t="s">
        <v>10</v>
      </c>
      <c r="JE4" s="4869" t="s">
        <v>11</v>
      </c>
      <c r="JF4" s="6184" t="s">
        <v>10</v>
      </c>
      <c r="JG4" s="6185" t="s">
        <v>11</v>
      </c>
      <c r="JH4" s="4869" t="s">
        <v>455</v>
      </c>
      <c r="JI4" s="4869" t="s">
        <v>457</v>
      </c>
      <c r="JJ4" s="6186" t="s">
        <v>10</v>
      </c>
      <c r="JK4" s="6176" t="s">
        <v>11</v>
      </c>
      <c r="JL4" s="6793"/>
      <c r="JM4" s="6174"/>
      <c r="JN4" s="6170" t="s">
        <v>10</v>
      </c>
      <c r="JO4" s="4869" t="s">
        <v>11</v>
      </c>
      <c r="JP4" s="6171" t="s">
        <v>10</v>
      </c>
      <c r="JQ4" s="6175" t="s">
        <v>11</v>
      </c>
      <c r="JR4" s="4869" t="s">
        <v>455</v>
      </c>
      <c r="JS4" s="4869" t="s">
        <v>457</v>
      </c>
      <c r="JT4" s="6186" t="s">
        <v>10</v>
      </c>
      <c r="JU4" s="6176" t="s">
        <v>11</v>
      </c>
      <c r="JV4" s="6523"/>
      <c r="JW4" s="6169"/>
      <c r="JX4" s="6170" t="s">
        <v>10</v>
      </c>
      <c r="JY4" s="4869" t="s">
        <v>11</v>
      </c>
      <c r="JZ4" s="6171" t="s">
        <v>10</v>
      </c>
      <c r="KA4" s="6175" t="s">
        <v>11</v>
      </c>
      <c r="KB4" s="4869" t="s">
        <v>455</v>
      </c>
      <c r="KC4" s="4869" t="s">
        <v>457</v>
      </c>
      <c r="KD4" s="6186" t="s">
        <v>10</v>
      </c>
      <c r="KE4" s="6176" t="s">
        <v>11</v>
      </c>
      <c r="KF4" s="6523"/>
      <c r="KG4" s="6169"/>
      <c r="KH4" s="6170" t="s">
        <v>10</v>
      </c>
      <c r="KI4" s="4869" t="s">
        <v>11</v>
      </c>
      <c r="KJ4" s="6171" t="s">
        <v>10</v>
      </c>
      <c r="KK4" s="6175" t="s">
        <v>11</v>
      </c>
      <c r="KL4" s="4869" t="s">
        <v>455</v>
      </c>
      <c r="KM4" s="4869" t="s">
        <v>457</v>
      </c>
      <c r="KN4" s="6186" t="s">
        <v>10</v>
      </c>
      <c r="KO4" s="6176" t="s">
        <v>11</v>
      </c>
      <c r="KP4" s="6523"/>
      <c r="KQ4" s="6169"/>
      <c r="KR4" s="6170" t="s">
        <v>10</v>
      </c>
      <c r="KS4" s="4869" t="s">
        <v>11</v>
      </c>
      <c r="KT4" s="6171" t="s">
        <v>10</v>
      </c>
      <c r="KU4" s="6175" t="s">
        <v>11</v>
      </c>
      <c r="KV4" s="4869" t="s">
        <v>455</v>
      </c>
      <c r="KW4" s="4869" t="s">
        <v>457</v>
      </c>
      <c r="KX4" s="6186" t="s">
        <v>10</v>
      </c>
      <c r="KY4" s="6176" t="s">
        <v>11</v>
      </c>
      <c r="KZ4" s="6523"/>
      <c r="LA4" s="6169"/>
      <c r="LB4" s="6170" t="s">
        <v>10</v>
      </c>
      <c r="LC4" s="4869" t="s">
        <v>11</v>
      </c>
      <c r="LD4" s="6171" t="s">
        <v>10</v>
      </c>
      <c r="LE4" s="6175" t="s">
        <v>11</v>
      </c>
      <c r="LF4" s="4869" t="s">
        <v>455</v>
      </c>
      <c r="LG4" s="4869" t="s">
        <v>457</v>
      </c>
      <c r="LH4" s="6186" t="s">
        <v>10</v>
      </c>
      <c r="LI4" s="6176" t="s">
        <v>11</v>
      </c>
      <c r="LJ4" s="6523"/>
      <c r="LK4" s="6169"/>
      <c r="LL4" s="6170" t="s">
        <v>10</v>
      </c>
      <c r="LM4" s="4869" t="s">
        <v>11</v>
      </c>
      <c r="LN4" s="6171" t="s">
        <v>10</v>
      </c>
      <c r="LO4" s="6175" t="s">
        <v>11</v>
      </c>
      <c r="LP4" s="4869" t="s">
        <v>455</v>
      </c>
      <c r="LQ4" s="4869" t="s">
        <v>457</v>
      </c>
      <c r="LR4" s="6186" t="s">
        <v>10</v>
      </c>
      <c r="LS4" s="6176" t="s">
        <v>11</v>
      </c>
      <c r="LT4" s="6523"/>
      <c r="LU4" s="6187"/>
      <c r="LV4" s="6170" t="s">
        <v>10</v>
      </c>
      <c r="LW4" s="4869" t="s">
        <v>11</v>
      </c>
      <c r="LX4" s="6171" t="s">
        <v>10</v>
      </c>
      <c r="LY4" s="6175" t="s">
        <v>11</v>
      </c>
      <c r="LZ4" s="4869" t="s">
        <v>455</v>
      </c>
      <c r="MA4" s="6188" t="s">
        <v>457</v>
      </c>
      <c r="MB4" s="6186" t="s">
        <v>10</v>
      </c>
      <c r="MC4" s="6176" t="s">
        <v>11</v>
      </c>
      <c r="MD4" s="6523"/>
      <c r="ME4" s="6187"/>
      <c r="MF4" s="6170" t="s">
        <v>10</v>
      </c>
      <c r="MG4" s="6172" t="s">
        <v>11</v>
      </c>
      <c r="MH4" s="6170" t="s">
        <v>10</v>
      </c>
      <c r="MI4" s="6189" t="s">
        <v>11</v>
      </c>
      <c r="MJ4" s="4869" t="s">
        <v>455</v>
      </c>
      <c r="MK4" s="4869" t="s">
        <v>457</v>
      </c>
      <c r="ML4" s="6170" t="s">
        <v>10</v>
      </c>
      <c r="MM4" s="6176" t="s">
        <v>11</v>
      </c>
      <c r="MN4" s="6523"/>
      <c r="MO4" s="6169"/>
      <c r="MP4" s="6170" t="s">
        <v>10</v>
      </c>
      <c r="MQ4" s="4869" t="s">
        <v>11</v>
      </c>
      <c r="MR4" s="6170" t="s">
        <v>10</v>
      </c>
      <c r="MS4" s="4869" t="s">
        <v>11</v>
      </c>
      <c r="MT4" s="4869" t="s">
        <v>455</v>
      </c>
      <c r="MU4" s="4869" t="s">
        <v>457</v>
      </c>
      <c r="MV4" s="6170" t="s">
        <v>10</v>
      </c>
      <c r="MW4" s="6176" t="s">
        <v>11</v>
      </c>
      <c r="MX4" s="6177"/>
      <c r="MY4" s="6169"/>
      <c r="MZ4" s="6170" t="s">
        <v>10</v>
      </c>
      <c r="NA4" s="4869" t="s">
        <v>11</v>
      </c>
      <c r="NB4" s="6170" t="s">
        <v>10</v>
      </c>
      <c r="NC4" s="4869" t="s">
        <v>11</v>
      </c>
      <c r="ND4" s="4869" t="s">
        <v>455</v>
      </c>
      <c r="NE4" s="4869" t="s">
        <v>457</v>
      </c>
      <c r="NF4" s="6170" t="s">
        <v>10</v>
      </c>
      <c r="NG4" s="4869" t="s">
        <v>11</v>
      </c>
      <c r="NH4" s="6523" t="s">
        <v>9</v>
      </c>
      <c r="NI4" s="6174"/>
      <c r="NJ4" s="6170" t="s">
        <v>10</v>
      </c>
      <c r="NK4" s="4869" t="s">
        <v>11</v>
      </c>
      <c r="NL4" s="6186" t="s">
        <v>10</v>
      </c>
      <c r="NM4" s="6188" t="s">
        <v>11</v>
      </c>
      <c r="NN4" s="6186" t="s">
        <v>10</v>
      </c>
      <c r="NO4" s="4869" t="s">
        <v>11</v>
      </c>
      <c r="NP4" s="6523"/>
      <c r="NQ4" s="6169"/>
      <c r="NR4" s="6170" t="s">
        <v>10</v>
      </c>
      <c r="NS4" s="4869" t="s">
        <v>11</v>
      </c>
      <c r="NT4" s="6171" t="s">
        <v>10</v>
      </c>
      <c r="NU4" s="6175" t="s">
        <v>11</v>
      </c>
      <c r="NV4" s="6170" t="s">
        <v>10</v>
      </c>
      <c r="NW4" s="6176" t="s">
        <v>11</v>
      </c>
      <c r="NX4" s="6523"/>
      <c r="NY4" s="6187"/>
      <c r="NZ4" s="6170" t="s">
        <v>10</v>
      </c>
      <c r="OA4" s="4869" t="s">
        <v>11</v>
      </c>
      <c r="OB4" s="6171" t="s">
        <v>10</v>
      </c>
      <c r="OC4" s="6175" t="s">
        <v>11</v>
      </c>
      <c r="OD4" s="6170" t="s">
        <v>10</v>
      </c>
      <c r="OE4" s="6176" t="s">
        <v>11</v>
      </c>
      <c r="OF4" s="6523"/>
      <c r="OG4" s="6169"/>
      <c r="OH4" s="6170" t="s">
        <v>10</v>
      </c>
      <c r="OI4" s="4869" t="s">
        <v>11</v>
      </c>
      <c r="OJ4" s="6170" t="s">
        <v>10</v>
      </c>
      <c r="OK4" s="4869" t="s">
        <v>11</v>
      </c>
      <c r="OL4" s="6170" t="s">
        <v>10</v>
      </c>
      <c r="OM4" s="6176" t="s">
        <v>11</v>
      </c>
      <c r="ON4" s="6177"/>
      <c r="OO4" s="6169"/>
      <c r="OP4" s="6170" t="s">
        <v>10</v>
      </c>
      <c r="OQ4" s="4869" t="s">
        <v>11</v>
      </c>
      <c r="OR4" s="6170" t="s">
        <v>10</v>
      </c>
      <c r="OS4" s="4869" t="s">
        <v>11</v>
      </c>
      <c r="OT4" s="6170" t="s">
        <v>10</v>
      </c>
      <c r="OU4" s="6176" t="s">
        <v>11</v>
      </c>
      <c r="OV4" s="6523"/>
      <c r="OW4" s="6183"/>
      <c r="OX4" s="6783"/>
      <c r="OY4" s="6170" t="s">
        <v>10</v>
      </c>
      <c r="OZ4" s="4869" t="s">
        <v>11</v>
      </c>
      <c r="PA4" s="6184" t="s">
        <v>10</v>
      </c>
      <c r="PB4" s="6185" t="s">
        <v>11</v>
      </c>
      <c r="PC4" s="4869" t="s">
        <v>458</v>
      </c>
      <c r="PD4" s="4869" t="s">
        <v>459</v>
      </c>
      <c r="PE4" s="6186" t="s">
        <v>10</v>
      </c>
      <c r="PF4" s="4869" t="s">
        <v>11</v>
      </c>
      <c r="PG4" s="6793"/>
      <c r="PH4" s="6783"/>
      <c r="PI4" s="6170" t="s">
        <v>10</v>
      </c>
      <c r="PJ4" s="4869" t="s">
        <v>11</v>
      </c>
      <c r="PK4" s="6184" t="s">
        <v>10</v>
      </c>
      <c r="PL4" s="6185" t="s">
        <v>11</v>
      </c>
      <c r="PM4" s="4869" t="s">
        <v>458</v>
      </c>
      <c r="PN4" s="4869" t="s">
        <v>459</v>
      </c>
      <c r="PO4" s="6186" t="s">
        <v>10</v>
      </c>
      <c r="PP4" s="6176" t="s">
        <v>11</v>
      </c>
      <c r="PQ4" s="6793"/>
      <c r="PR4" s="6174"/>
      <c r="PS4" s="6170" t="s">
        <v>10</v>
      </c>
      <c r="PT4" s="4869" t="s">
        <v>11</v>
      </c>
      <c r="PU4" s="6171" t="s">
        <v>10</v>
      </c>
      <c r="PV4" s="6175" t="s">
        <v>11</v>
      </c>
      <c r="PW4" s="4869" t="s">
        <v>458</v>
      </c>
      <c r="PX4" s="4869" t="s">
        <v>944</v>
      </c>
      <c r="PY4" s="6171" t="s">
        <v>10</v>
      </c>
      <c r="PZ4" s="6176" t="s">
        <v>11</v>
      </c>
      <c r="QA4" s="6177"/>
      <c r="QB4" s="6169"/>
      <c r="QC4" s="6170" t="s">
        <v>10</v>
      </c>
      <c r="QD4" s="4869" t="s">
        <v>11</v>
      </c>
      <c r="QE4" s="6171" t="s">
        <v>10</v>
      </c>
      <c r="QF4" s="6175" t="s">
        <v>11</v>
      </c>
      <c r="QG4" s="4869" t="s">
        <v>458</v>
      </c>
      <c r="QH4" s="4869" t="s">
        <v>944</v>
      </c>
      <c r="QI4" s="6186" t="s">
        <v>10</v>
      </c>
      <c r="QJ4" s="6176" t="s">
        <v>11</v>
      </c>
      <c r="QK4" s="6523"/>
      <c r="QL4" s="6169"/>
      <c r="QM4" s="6170" t="s">
        <v>10</v>
      </c>
      <c r="QN4" s="4869" t="s">
        <v>11</v>
      </c>
      <c r="QO4" s="6171" t="s">
        <v>10</v>
      </c>
      <c r="QP4" s="6175" t="s">
        <v>11</v>
      </c>
      <c r="QQ4" s="4869" t="s">
        <v>458</v>
      </c>
      <c r="QR4" s="4869" t="s">
        <v>944</v>
      </c>
      <c r="QS4" s="6186" t="s">
        <v>10</v>
      </c>
      <c r="QT4" s="6176" t="s">
        <v>11</v>
      </c>
      <c r="QU4" s="6523"/>
      <c r="QV4" s="6169"/>
      <c r="QW4" s="6170" t="s">
        <v>10</v>
      </c>
      <c r="QX4" s="4869" t="s">
        <v>11</v>
      </c>
      <c r="QY4" s="6171" t="s">
        <v>10</v>
      </c>
      <c r="QZ4" s="6175" t="s">
        <v>11</v>
      </c>
      <c r="RA4" s="4869" t="s">
        <v>455</v>
      </c>
      <c r="RB4" s="4869" t="s">
        <v>459</v>
      </c>
      <c r="RC4" s="6171" t="s">
        <v>10</v>
      </c>
      <c r="RD4" s="6176" t="s">
        <v>11</v>
      </c>
      <c r="RE4" s="6523" t="s">
        <v>9</v>
      </c>
      <c r="RF4" s="6169"/>
      <c r="RG4" s="6170" t="s">
        <v>10</v>
      </c>
      <c r="RH4" s="4869" t="s">
        <v>11</v>
      </c>
      <c r="RI4" s="6171" t="s">
        <v>10</v>
      </c>
      <c r="RJ4" s="6175" t="s">
        <v>11</v>
      </c>
      <c r="RK4" s="4869" t="s">
        <v>455</v>
      </c>
      <c r="RL4" s="4869" t="s">
        <v>623</v>
      </c>
      <c r="RM4" s="6171" t="s">
        <v>10</v>
      </c>
      <c r="RN4" s="6176" t="s">
        <v>11</v>
      </c>
      <c r="RO4" s="6523" t="s">
        <v>9</v>
      </c>
      <c r="RP4" s="6169"/>
      <c r="RQ4" s="6170" t="s">
        <v>10</v>
      </c>
      <c r="RR4" s="4869" t="s">
        <v>11</v>
      </c>
      <c r="RS4" s="6171" t="s">
        <v>10</v>
      </c>
      <c r="RT4" s="6175" t="s">
        <v>11</v>
      </c>
      <c r="RU4" s="4869" t="s">
        <v>455</v>
      </c>
      <c r="RV4" s="4869" t="s">
        <v>623</v>
      </c>
      <c r="RW4" s="6171" t="s">
        <v>10</v>
      </c>
      <c r="RX4" s="4869" t="s">
        <v>11</v>
      </c>
      <c r="RY4" s="6523" t="s">
        <v>9</v>
      </c>
      <c r="RZ4" s="6187"/>
      <c r="SA4" s="6170" t="s">
        <v>10</v>
      </c>
      <c r="SB4" s="4869" t="s">
        <v>11</v>
      </c>
      <c r="SC4" s="6171" t="s">
        <v>10</v>
      </c>
      <c r="SD4" s="6175" t="s">
        <v>11</v>
      </c>
      <c r="SE4" s="4869" t="s">
        <v>455</v>
      </c>
      <c r="SF4" s="4869" t="s">
        <v>623</v>
      </c>
      <c r="SG4" s="6171" t="s">
        <v>10</v>
      </c>
      <c r="SH4" s="4869" t="s">
        <v>11</v>
      </c>
      <c r="SI4" s="6523"/>
      <c r="SJ4" s="6187"/>
      <c r="SK4" s="6170" t="s">
        <v>10</v>
      </c>
      <c r="SL4" s="4869" t="s">
        <v>11</v>
      </c>
      <c r="SM4" s="6171" t="s">
        <v>10</v>
      </c>
      <c r="SN4" s="6175" t="s">
        <v>11</v>
      </c>
      <c r="SO4" s="4869" t="s">
        <v>455</v>
      </c>
      <c r="SP4" s="4869" t="s">
        <v>623</v>
      </c>
      <c r="SQ4" s="6171" t="s">
        <v>10</v>
      </c>
      <c r="SR4" s="4869" t="s">
        <v>11</v>
      </c>
      <c r="SS4" s="6523"/>
      <c r="ST4" s="6187"/>
      <c r="SU4" s="6170" t="s">
        <v>10</v>
      </c>
      <c r="SV4" s="4869" t="s">
        <v>11</v>
      </c>
      <c r="SW4" s="6171" t="s">
        <v>10</v>
      </c>
      <c r="SX4" s="4869" t="s">
        <v>11</v>
      </c>
      <c r="SY4" s="6190" t="s">
        <v>455</v>
      </c>
      <c r="SZ4" s="6175" t="s">
        <v>623</v>
      </c>
      <c r="TA4" s="6170" t="s">
        <v>10</v>
      </c>
      <c r="TB4" s="4869" t="s">
        <v>11</v>
      </c>
      <c r="TC4" s="6523"/>
      <c r="TD4" s="6187"/>
      <c r="TE4" s="6170" t="s">
        <v>10</v>
      </c>
      <c r="TF4" s="4869" t="s">
        <v>11</v>
      </c>
      <c r="TG4" s="6171" t="s">
        <v>10</v>
      </c>
      <c r="TH4" s="4869" t="s">
        <v>11</v>
      </c>
      <c r="TI4" s="6190" t="s">
        <v>455</v>
      </c>
      <c r="TJ4" s="6175" t="s">
        <v>623</v>
      </c>
      <c r="TK4" s="6170" t="s">
        <v>10</v>
      </c>
      <c r="TL4" s="4869" t="s">
        <v>11</v>
      </c>
      <c r="TM4" s="6523"/>
      <c r="TN4" s="6169"/>
      <c r="TO4" s="6170" t="s">
        <v>10</v>
      </c>
      <c r="TP4" s="4869" t="s">
        <v>11</v>
      </c>
      <c r="TQ4" s="6171" t="s">
        <v>10</v>
      </c>
      <c r="TR4" s="6175" t="s">
        <v>11</v>
      </c>
      <c r="TS4" s="6170" t="s">
        <v>10</v>
      </c>
      <c r="TT4" s="4869" t="s">
        <v>11</v>
      </c>
      <c r="TU4" s="6523"/>
      <c r="TV4" s="6169"/>
      <c r="TW4" s="6170" t="s">
        <v>10</v>
      </c>
      <c r="TX4" s="4869" t="s">
        <v>11</v>
      </c>
      <c r="TY4" s="6171" t="s">
        <v>10</v>
      </c>
      <c r="TZ4" s="6175" t="s">
        <v>11</v>
      </c>
      <c r="UA4" s="6170" t="s">
        <v>10</v>
      </c>
      <c r="UB4" s="4869" t="s">
        <v>11</v>
      </c>
      <c r="UC4" s="6523"/>
      <c r="UD4" s="6187"/>
      <c r="UE4" s="6170" t="s">
        <v>10</v>
      </c>
      <c r="UF4" s="4869" t="s">
        <v>11</v>
      </c>
      <c r="UG4" s="6171" t="s">
        <v>10</v>
      </c>
      <c r="UH4" s="6175" t="s">
        <v>11</v>
      </c>
      <c r="UI4" s="6170" t="s">
        <v>10</v>
      </c>
      <c r="UJ4" s="6176" t="s">
        <v>11</v>
      </c>
      <c r="UK4" s="6523"/>
      <c r="UL4" s="6169"/>
      <c r="UM4" s="6170" t="s">
        <v>10</v>
      </c>
      <c r="UN4" s="4869" t="s">
        <v>11</v>
      </c>
      <c r="UO4" s="6170" t="s">
        <v>10</v>
      </c>
      <c r="UP4" s="4869" t="s">
        <v>11</v>
      </c>
      <c r="UQ4" s="6170" t="s">
        <v>10</v>
      </c>
      <c r="UR4" s="6176" t="s">
        <v>11</v>
      </c>
      <c r="US4" s="6523"/>
      <c r="UT4" s="6169"/>
      <c r="UU4" s="6170" t="s">
        <v>10</v>
      </c>
      <c r="UV4" s="4869" t="s">
        <v>11</v>
      </c>
      <c r="UW4" s="6170" t="s">
        <v>10</v>
      </c>
      <c r="UX4" s="4869" t="s">
        <v>11</v>
      </c>
      <c r="UY4" s="6170" t="s">
        <v>10</v>
      </c>
      <c r="UZ4" s="6176" t="s">
        <v>11</v>
      </c>
      <c r="VA4" s="6523"/>
      <c r="VB4" s="6183"/>
      <c r="VC4" s="6783"/>
      <c r="VD4" s="6170" t="s">
        <v>10</v>
      </c>
      <c r="VE4" s="4869" t="s">
        <v>11</v>
      </c>
      <c r="VF4" s="6184" t="s">
        <v>10</v>
      </c>
      <c r="VG4" s="6185" t="s">
        <v>11</v>
      </c>
      <c r="VH4" s="4869" t="s">
        <v>458</v>
      </c>
      <c r="VI4" s="6175" t="s">
        <v>623</v>
      </c>
      <c r="VJ4" s="6186" t="s">
        <v>10</v>
      </c>
      <c r="VK4" s="4869" t="s">
        <v>11</v>
      </c>
      <c r="VL4" s="6793"/>
      <c r="VM4" s="6783"/>
      <c r="VN4" s="6170" t="s">
        <v>10</v>
      </c>
      <c r="VO4" s="4869" t="s">
        <v>11</v>
      </c>
      <c r="VP4" s="6184" t="s">
        <v>10</v>
      </c>
      <c r="VQ4" s="6185" t="s">
        <v>11</v>
      </c>
      <c r="VR4" s="4869" t="s">
        <v>458</v>
      </c>
      <c r="VS4" s="6175" t="s">
        <v>623</v>
      </c>
      <c r="VT4" s="6186" t="s">
        <v>10</v>
      </c>
      <c r="VU4" s="6176" t="s">
        <v>11</v>
      </c>
      <c r="VV4" s="6793"/>
      <c r="VW4" s="6174"/>
      <c r="VX4" s="6170" t="s">
        <v>10</v>
      </c>
      <c r="VY4" s="4869" t="s">
        <v>11</v>
      </c>
      <c r="VZ4" s="6171" t="s">
        <v>10</v>
      </c>
      <c r="WA4" s="6175" t="s">
        <v>11</v>
      </c>
      <c r="WB4" s="4869" t="s">
        <v>458</v>
      </c>
      <c r="WC4" s="4869" t="s">
        <v>944</v>
      </c>
      <c r="WD4" s="6171" t="s">
        <v>10</v>
      </c>
      <c r="WE4" s="6176" t="s">
        <v>11</v>
      </c>
      <c r="WF4" s="6177"/>
      <c r="WG4" s="6169"/>
      <c r="WH4" s="6170" t="s">
        <v>10</v>
      </c>
      <c r="WI4" s="4869" t="s">
        <v>11</v>
      </c>
      <c r="WJ4" s="6171" t="s">
        <v>10</v>
      </c>
      <c r="WK4" s="6175" t="s">
        <v>11</v>
      </c>
      <c r="WL4" s="4869" t="s">
        <v>458</v>
      </c>
      <c r="WM4" s="4869" t="s">
        <v>944</v>
      </c>
      <c r="WN4" s="6186" t="s">
        <v>10</v>
      </c>
      <c r="WO4" s="6176" t="s">
        <v>11</v>
      </c>
      <c r="WP4" s="6523"/>
      <c r="WQ4" s="6169"/>
      <c r="WR4" s="6170" t="s">
        <v>10</v>
      </c>
      <c r="WS4" s="4869" t="s">
        <v>11</v>
      </c>
      <c r="WT4" s="6171" t="s">
        <v>10</v>
      </c>
      <c r="WU4" s="6175" t="s">
        <v>11</v>
      </c>
      <c r="WV4" s="4869" t="s">
        <v>458</v>
      </c>
      <c r="WW4" s="4869" t="s">
        <v>944</v>
      </c>
      <c r="WX4" s="6186" t="s">
        <v>10</v>
      </c>
      <c r="WY4" s="6176" t="s">
        <v>11</v>
      </c>
      <c r="WZ4" s="6523"/>
      <c r="XA4" s="6169"/>
      <c r="XB4" s="6170" t="s">
        <v>10</v>
      </c>
      <c r="XC4" s="4869" t="s">
        <v>11</v>
      </c>
      <c r="XD4" s="6171" t="s">
        <v>10</v>
      </c>
      <c r="XE4" s="6175" t="s">
        <v>11</v>
      </c>
      <c r="XF4" s="4869" t="s">
        <v>455</v>
      </c>
      <c r="XG4" s="4869" t="s">
        <v>944</v>
      </c>
      <c r="XH4" s="6171" t="s">
        <v>10</v>
      </c>
      <c r="XI4" s="6176" t="s">
        <v>11</v>
      </c>
      <c r="XJ4" s="6523" t="s">
        <v>9</v>
      </c>
      <c r="XK4" s="6169"/>
      <c r="XL4" s="6170" t="s">
        <v>10</v>
      </c>
      <c r="XM4" s="4869" t="s">
        <v>11</v>
      </c>
      <c r="XN4" s="6171" t="s">
        <v>10</v>
      </c>
      <c r="XO4" s="6175" t="s">
        <v>11</v>
      </c>
      <c r="XP4" s="4869" t="s">
        <v>455</v>
      </c>
      <c r="XQ4" s="4869" t="s">
        <v>623</v>
      </c>
      <c r="XR4" s="6171" t="s">
        <v>10</v>
      </c>
      <c r="XS4" s="6176" t="s">
        <v>11</v>
      </c>
      <c r="XT4" s="6523" t="s">
        <v>9</v>
      </c>
      <c r="XU4" s="6169"/>
      <c r="XV4" s="6170" t="s">
        <v>10</v>
      </c>
      <c r="XW4" s="4869" t="s">
        <v>11</v>
      </c>
      <c r="XX4" s="6171" t="s">
        <v>10</v>
      </c>
      <c r="XY4" s="6175" t="s">
        <v>11</v>
      </c>
      <c r="XZ4" s="4869" t="s">
        <v>455</v>
      </c>
      <c r="YA4" s="4869" t="s">
        <v>623</v>
      </c>
      <c r="YB4" s="6171" t="s">
        <v>10</v>
      </c>
      <c r="YC4" s="4869" t="s">
        <v>11</v>
      </c>
      <c r="YD4" s="6523" t="s">
        <v>9</v>
      </c>
      <c r="YE4" s="6187"/>
      <c r="YF4" s="6170" t="s">
        <v>10</v>
      </c>
      <c r="YG4" s="4869" t="s">
        <v>11</v>
      </c>
      <c r="YH4" s="6171" t="s">
        <v>10</v>
      </c>
      <c r="YI4" s="6175" t="s">
        <v>11</v>
      </c>
      <c r="YJ4" s="4869" t="s">
        <v>455</v>
      </c>
      <c r="YK4" s="4869" t="s">
        <v>623</v>
      </c>
      <c r="YL4" s="6171" t="s">
        <v>10</v>
      </c>
      <c r="YM4" s="4869" t="s">
        <v>11</v>
      </c>
      <c r="YN4" s="6523"/>
      <c r="YO4" s="6187"/>
      <c r="YP4" s="6170" t="s">
        <v>10</v>
      </c>
      <c r="YQ4" s="4869" t="s">
        <v>11</v>
      </c>
      <c r="YR4" s="6171" t="s">
        <v>10</v>
      </c>
      <c r="YS4" s="6175" t="s">
        <v>11</v>
      </c>
      <c r="YT4" s="4869" t="s">
        <v>455</v>
      </c>
      <c r="YU4" s="4869" t="s">
        <v>623</v>
      </c>
      <c r="YV4" s="6171" t="s">
        <v>10</v>
      </c>
      <c r="YW4" s="4869" t="s">
        <v>11</v>
      </c>
      <c r="YX4" s="6523"/>
      <c r="YY4" s="6187"/>
      <c r="YZ4" s="6170" t="s">
        <v>10</v>
      </c>
      <c r="ZA4" s="4869" t="s">
        <v>11</v>
      </c>
      <c r="ZB4" s="6171" t="s">
        <v>10</v>
      </c>
      <c r="ZC4" s="4869" t="s">
        <v>11</v>
      </c>
      <c r="ZD4" s="6190" t="s">
        <v>455</v>
      </c>
      <c r="ZE4" s="6175" t="s">
        <v>623</v>
      </c>
      <c r="ZF4" s="6170" t="s">
        <v>10</v>
      </c>
      <c r="ZG4" s="4869" t="s">
        <v>11</v>
      </c>
      <c r="ZH4" s="6523"/>
      <c r="ZI4" s="6187"/>
      <c r="ZJ4" s="6170" t="s">
        <v>10</v>
      </c>
      <c r="ZK4" s="4869" t="s">
        <v>11</v>
      </c>
      <c r="ZL4" s="6171" t="s">
        <v>10</v>
      </c>
      <c r="ZM4" s="4869" t="s">
        <v>11</v>
      </c>
      <c r="ZN4" s="6190" t="s">
        <v>455</v>
      </c>
      <c r="ZO4" s="6175" t="s">
        <v>623</v>
      </c>
      <c r="ZP4" s="6170" t="s">
        <v>10</v>
      </c>
      <c r="ZQ4" s="4869" t="s">
        <v>11</v>
      </c>
      <c r="ZR4" s="6523"/>
      <c r="ZS4" s="6169"/>
      <c r="ZT4" s="6170" t="s">
        <v>10</v>
      </c>
      <c r="ZU4" s="4869" t="s">
        <v>11</v>
      </c>
      <c r="ZV4" s="6171" t="s">
        <v>10</v>
      </c>
      <c r="ZW4" s="6175" t="s">
        <v>11</v>
      </c>
      <c r="ZX4" s="6170" t="s">
        <v>10</v>
      </c>
      <c r="ZY4" s="4869" t="s">
        <v>11</v>
      </c>
      <c r="ZZ4" s="6523"/>
      <c r="AAA4" s="845"/>
      <c r="AAB4" s="840" t="s">
        <v>10</v>
      </c>
      <c r="AAC4" s="841" t="s">
        <v>11</v>
      </c>
      <c r="AAD4" s="842" t="s">
        <v>10</v>
      </c>
      <c r="AAE4" s="843" t="s">
        <v>11</v>
      </c>
      <c r="AAF4" s="840" t="s">
        <v>10</v>
      </c>
      <c r="AAG4" s="841" t="s">
        <v>11</v>
      </c>
      <c r="AAH4" s="844"/>
      <c r="AAI4" s="847"/>
      <c r="AAJ4" s="840" t="s">
        <v>10</v>
      </c>
      <c r="AAK4" s="841" t="s">
        <v>11</v>
      </c>
      <c r="AAL4" s="842" t="s">
        <v>10</v>
      </c>
      <c r="AAM4" s="843" t="s">
        <v>11</v>
      </c>
      <c r="AAN4" s="840" t="s">
        <v>10</v>
      </c>
      <c r="AAO4" s="846" t="s">
        <v>11</v>
      </c>
      <c r="AAP4" s="844"/>
      <c r="AAQ4" s="845"/>
      <c r="AAR4" s="840" t="s">
        <v>10</v>
      </c>
      <c r="AAS4" s="841" t="s">
        <v>11</v>
      </c>
      <c r="AAT4" s="840" t="s">
        <v>10</v>
      </c>
      <c r="AAU4" s="841" t="s">
        <v>11</v>
      </c>
      <c r="AAV4" s="840" t="s">
        <v>10</v>
      </c>
      <c r="AAW4" s="846" t="s">
        <v>11</v>
      </c>
      <c r="AAX4" s="844"/>
      <c r="AAY4" s="845"/>
      <c r="AAZ4" s="840" t="s">
        <v>10</v>
      </c>
      <c r="ABA4" s="841" t="s">
        <v>11</v>
      </c>
      <c r="ABB4" s="840" t="s">
        <v>10</v>
      </c>
      <c r="ABC4" s="841" t="s">
        <v>11</v>
      </c>
      <c r="ABD4" s="840" t="s">
        <v>10</v>
      </c>
      <c r="ABE4" s="846" t="s">
        <v>11</v>
      </c>
      <c r="ABF4" s="844"/>
    </row>
    <row r="5" spans="1:734" s="14" customFormat="1" ht="20.95" customHeight="1" x14ac:dyDescent="0.3">
      <c r="A5" s="5">
        <v>1</v>
      </c>
      <c r="B5" s="6" t="s">
        <v>12</v>
      </c>
      <c r="C5" s="228"/>
      <c r="D5" s="5">
        <v>31</v>
      </c>
      <c r="E5" s="171">
        <v>433415</v>
      </c>
      <c r="F5" s="171">
        <f>E5*70</f>
        <v>30339050</v>
      </c>
      <c r="G5" s="245">
        <v>391853</v>
      </c>
      <c r="H5" s="176">
        <f>G5*70</f>
        <v>27429710</v>
      </c>
      <c r="I5" s="171">
        <f>E5-G5</f>
        <v>41562</v>
      </c>
      <c r="J5" s="171">
        <f>I5*70</f>
        <v>2909340</v>
      </c>
      <c r="K5" s="7">
        <f>I5/G5</f>
        <v>0.10606528468583883</v>
      </c>
      <c r="L5" s="280">
        <v>32</v>
      </c>
      <c r="M5" s="171">
        <v>351902</v>
      </c>
      <c r="N5" s="171">
        <f>M5*70</f>
        <v>24633140</v>
      </c>
      <c r="O5" s="245">
        <v>318321</v>
      </c>
      <c r="P5" s="176">
        <f>O5*70</f>
        <v>22282470</v>
      </c>
      <c r="Q5" s="8">
        <f>M5-O5</f>
        <v>33581</v>
      </c>
      <c r="R5" s="8">
        <f>Q5*70</f>
        <v>2350670</v>
      </c>
      <c r="S5" s="7">
        <f>Q5/O5</f>
        <v>0.10549413956352235</v>
      </c>
      <c r="T5" s="5">
        <v>29</v>
      </c>
      <c r="U5" s="171">
        <v>356903</v>
      </c>
      <c r="V5" s="171">
        <f>U5*70</f>
        <v>24983210</v>
      </c>
      <c r="W5" s="171">
        <v>318606</v>
      </c>
      <c r="X5" s="171">
        <f>W5*70</f>
        <v>22302420</v>
      </c>
      <c r="Y5" s="8">
        <f>U5-W5</f>
        <v>38297</v>
      </c>
      <c r="Z5" s="8">
        <f>Y5*70</f>
        <v>2680790</v>
      </c>
      <c r="AA5" s="7">
        <f>Y5/W5</f>
        <v>0.120201753890385</v>
      </c>
      <c r="AB5" s="280">
        <v>28</v>
      </c>
      <c r="AC5" s="171">
        <v>349923</v>
      </c>
      <c r="AD5" s="171">
        <f>AC5*70</f>
        <v>24494610</v>
      </c>
      <c r="AE5" s="171">
        <v>312290</v>
      </c>
      <c r="AF5" s="171">
        <f>AE5*70</f>
        <v>21860300</v>
      </c>
      <c r="AG5" s="8">
        <f>AC5-AE5</f>
        <v>37633</v>
      </c>
      <c r="AH5" s="8">
        <f>AG5*70</f>
        <v>2634310</v>
      </c>
      <c r="AI5" s="85">
        <f>AG5/AE5</f>
        <v>0.12050658042204361</v>
      </c>
      <c r="AJ5" s="5">
        <v>27</v>
      </c>
      <c r="AK5" s="171">
        <v>342915</v>
      </c>
      <c r="AL5" s="171">
        <f>AK5*70</f>
        <v>24004050</v>
      </c>
      <c r="AM5" s="171">
        <v>302375</v>
      </c>
      <c r="AN5" s="171">
        <f>AM5*70</f>
        <v>21166250</v>
      </c>
      <c r="AO5" s="8">
        <f>AK5-AM5</f>
        <v>40540</v>
      </c>
      <c r="AP5" s="8">
        <f>AO5*70</f>
        <v>2837800</v>
      </c>
      <c r="AQ5" s="7">
        <f>AO5/AM5</f>
        <v>0.13407193054981398</v>
      </c>
      <c r="AR5" s="280">
        <v>27</v>
      </c>
      <c r="AS5" s="171">
        <v>335642</v>
      </c>
      <c r="AT5" s="171">
        <f>AS5*70</f>
        <v>23494940</v>
      </c>
      <c r="AU5" s="171">
        <v>297270</v>
      </c>
      <c r="AV5" s="171">
        <f>AU5*70</f>
        <v>20808900</v>
      </c>
      <c r="AW5" s="8">
        <f>AS5-AU5</f>
        <v>38372</v>
      </c>
      <c r="AX5" s="8">
        <f>AW5*70</f>
        <v>2686040</v>
      </c>
      <c r="AY5" s="85">
        <f>AW5/AU5</f>
        <v>0.12908130655632927</v>
      </c>
      <c r="AZ5" s="5">
        <v>27</v>
      </c>
      <c r="BA5" s="171">
        <v>333128</v>
      </c>
      <c r="BB5" s="171">
        <f>BA5*70</f>
        <v>23318960</v>
      </c>
      <c r="BC5" s="171">
        <v>295296</v>
      </c>
      <c r="BD5" s="171">
        <f>BC5*70</f>
        <v>20670720</v>
      </c>
      <c r="BE5" s="8">
        <f>BA5-BC5</f>
        <v>37832</v>
      </c>
      <c r="BF5" s="8">
        <f>BE5*70</f>
        <v>2648240</v>
      </c>
      <c r="BG5" s="7">
        <f>BE5/BC5</f>
        <v>0.12811551798872994</v>
      </c>
      <c r="BH5" s="280">
        <v>28</v>
      </c>
      <c r="BI5" s="171">
        <v>277068</v>
      </c>
      <c r="BJ5" s="171">
        <f>BI5*70</f>
        <v>19394760</v>
      </c>
      <c r="BK5" s="171">
        <v>246880</v>
      </c>
      <c r="BL5" s="171">
        <f>BK5*70</f>
        <v>17281600</v>
      </c>
      <c r="BM5" s="8">
        <f>BI5-BK5</f>
        <v>30188</v>
      </c>
      <c r="BN5" s="8">
        <f>BM5*70</f>
        <v>2113160</v>
      </c>
      <c r="BO5" s="85">
        <f>BM5/BK5</f>
        <v>0.12227802981205443</v>
      </c>
      <c r="BP5" s="5">
        <v>26</v>
      </c>
      <c r="BQ5" s="171">
        <v>315389</v>
      </c>
      <c r="BR5" s="171">
        <f>BQ5*70</f>
        <v>22077230</v>
      </c>
      <c r="BS5" s="171">
        <v>278415</v>
      </c>
      <c r="BT5" s="171">
        <f>BS5*70</f>
        <v>19489050</v>
      </c>
      <c r="BU5" s="8">
        <f>BQ5-BS5</f>
        <v>36974</v>
      </c>
      <c r="BV5" s="8">
        <f>BU5*70</f>
        <v>2588180</v>
      </c>
      <c r="BW5" s="7">
        <f t="shared" ref="BW5:BW13" si="0">BU5/BS5</f>
        <v>0.13280175277912468</v>
      </c>
      <c r="BX5" s="280">
        <v>26</v>
      </c>
      <c r="BY5" s="171">
        <v>307128</v>
      </c>
      <c r="BZ5" s="171">
        <f>BY5*70</f>
        <v>21498960</v>
      </c>
      <c r="CA5" s="171">
        <v>273792</v>
      </c>
      <c r="CB5" s="171">
        <f>CA5*70</f>
        <v>19165440</v>
      </c>
      <c r="CC5" s="8">
        <f>BY5-CA5</f>
        <v>33336</v>
      </c>
      <c r="CD5" s="8">
        <f>CC5*70</f>
        <v>2333520</v>
      </c>
      <c r="CE5" s="85">
        <f>CC5/CA5</f>
        <v>0.12175666199158486</v>
      </c>
      <c r="CF5" s="5">
        <v>27</v>
      </c>
      <c r="CG5" s="171">
        <v>309466</v>
      </c>
      <c r="CH5" s="171">
        <f>CG5*70</f>
        <v>21662620</v>
      </c>
      <c r="CI5" s="171">
        <v>277651</v>
      </c>
      <c r="CJ5" s="171">
        <f>CI5*70</f>
        <v>19435570</v>
      </c>
      <c r="CK5" s="8">
        <f>CG5-CI5</f>
        <v>31815</v>
      </c>
      <c r="CL5" s="8">
        <f>CK5*70</f>
        <v>2227050</v>
      </c>
      <c r="CM5" s="7">
        <f>CK5/CI5</f>
        <v>0.1145862971860357</v>
      </c>
      <c r="CN5" s="280">
        <v>28</v>
      </c>
      <c r="CO5" s="171">
        <v>370245</v>
      </c>
      <c r="CP5" s="171">
        <f>CO5*70</f>
        <v>25917150</v>
      </c>
      <c r="CQ5" s="245">
        <v>331292</v>
      </c>
      <c r="CR5" s="176">
        <f>CQ5*70</f>
        <v>23190440</v>
      </c>
      <c r="CS5" s="8">
        <f>CO5-CQ5</f>
        <v>38953</v>
      </c>
      <c r="CT5" s="8">
        <f>CS5*70</f>
        <v>2726710</v>
      </c>
      <c r="CU5" s="85">
        <f>CS5/CQ5</f>
        <v>0.11757905412747667</v>
      </c>
      <c r="CV5" s="5">
        <f t="shared" ref="CV5:CW7" si="1">(D5+L5+T5+AB5+AJ5+AR5+AZ5+BH5+BP5+BX5+CF5+CN5)</f>
        <v>336</v>
      </c>
      <c r="CW5" s="246">
        <f t="shared" si="1"/>
        <v>4083124</v>
      </c>
      <c r="CX5" s="171">
        <f>CW5*70</f>
        <v>285818680</v>
      </c>
      <c r="CY5" s="246">
        <f>(G5+O5+W5+AE5+AM5+AU5+BC5+BK5+BS5+CA5+CI5+CQ5)</f>
        <v>3644041</v>
      </c>
      <c r="CZ5" s="171">
        <f>CY5*70</f>
        <v>255082870</v>
      </c>
      <c r="DA5" s="8">
        <f>CW5-CY5</f>
        <v>439083</v>
      </c>
      <c r="DB5" s="8">
        <f>DA5*70</f>
        <v>30735810</v>
      </c>
      <c r="DC5" s="7">
        <f>DA5/CY5</f>
        <v>0.12049343023308465</v>
      </c>
      <c r="DD5" s="5">
        <v>29</v>
      </c>
      <c r="DE5" s="171">
        <v>356772</v>
      </c>
      <c r="DF5" s="176">
        <f>DE5*70</f>
        <v>24974040</v>
      </c>
      <c r="DG5" s="245">
        <v>317517</v>
      </c>
      <c r="DH5" s="176">
        <f>DG5*70</f>
        <v>22226190</v>
      </c>
      <c r="DI5" s="8">
        <f>DE5-DG5</f>
        <v>39255</v>
      </c>
      <c r="DJ5" s="8">
        <f>DI5*70</f>
        <v>2747850</v>
      </c>
      <c r="DK5" s="281">
        <f>DI5/DG5</f>
        <v>0.12363117565358706</v>
      </c>
      <c r="DL5" s="5">
        <v>31</v>
      </c>
      <c r="DM5" s="171">
        <v>304297</v>
      </c>
      <c r="DN5" s="176">
        <f>DM5*70</f>
        <v>21300790</v>
      </c>
      <c r="DO5" s="171">
        <v>268336</v>
      </c>
      <c r="DP5" s="171">
        <f>DO5*70</f>
        <v>18783520</v>
      </c>
      <c r="DQ5" s="282">
        <f>DM5-DO5</f>
        <v>35961</v>
      </c>
      <c r="DR5" s="8">
        <f>DQ5*70</f>
        <v>2517270</v>
      </c>
      <c r="DS5" s="281">
        <f>DQ5/DO5</f>
        <v>0.13401481724405223</v>
      </c>
      <c r="DT5" s="280">
        <v>28</v>
      </c>
      <c r="DU5" s="171">
        <v>336166</v>
      </c>
      <c r="DV5" s="176">
        <f>DU5*70</f>
        <v>23531620</v>
      </c>
      <c r="DW5" s="245">
        <v>297666</v>
      </c>
      <c r="DX5" s="176">
        <f>DW5*70</f>
        <v>20836620</v>
      </c>
      <c r="DY5" s="8">
        <f>DU5-DW5</f>
        <v>38500</v>
      </c>
      <c r="DZ5" s="8">
        <f>DY5*70</f>
        <v>2695000</v>
      </c>
      <c r="EA5" s="283">
        <f>DY5/DW5</f>
        <v>0.12933959538543199</v>
      </c>
      <c r="EB5" s="284">
        <v>28</v>
      </c>
      <c r="EC5" s="171">
        <v>354395</v>
      </c>
      <c r="ED5" s="171">
        <f>EC5*70</f>
        <v>24807650</v>
      </c>
      <c r="EE5" s="245">
        <v>314633</v>
      </c>
      <c r="EF5" s="176">
        <f>EE5*70</f>
        <v>22024310</v>
      </c>
      <c r="EG5" s="8">
        <f>EC5-EE5</f>
        <v>39762</v>
      </c>
      <c r="EH5" s="8">
        <f>EG5*70</f>
        <v>2783340</v>
      </c>
      <c r="EI5" s="285">
        <f>EG5/EE5</f>
        <v>0.12637580927620434</v>
      </c>
      <c r="EJ5" s="284">
        <v>30</v>
      </c>
      <c r="EK5" s="171">
        <v>400150</v>
      </c>
      <c r="EL5" s="171">
        <f>EK5*70</f>
        <v>28010500</v>
      </c>
      <c r="EM5" s="245">
        <v>361288</v>
      </c>
      <c r="EN5" s="176">
        <f>EM5*70</f>
        <v>25290160</v>
      </c>
      <c r="EO5" s="8">
        <f>EK5-EM5</f>
        <v>38862</v>
      </c>
      <c r="EP5" s="8">
        <f>EO5*70</f>
        <v>2720340</v>
      </c>
      <c r="EQ5" s="285">
        <f>EO5/EM5</f>
        <v>0.10756515577600141</v>
      </c>
      <c r="ER5" s="284">
        <v>30</v>
      </c>
      <c r="ES5" s="171">
        <v>363691</v>
      </c>
      <c r="ET5" s="171">
        <f>ES5*70</f>
        <v>25458370</v>
      </c>
      <c r="EU5" s="245">
        <v>326087</v>
      </c>
      <c r="EV5" s="176">
        <f>EU5*70</f>
        <v>22826090</v>
      </c>
      <c r="EW5" s="8">
        <f>ES5-EU5</f>
        <v>37604</v>
      </c>
      <c r="EX5" s="8">
        <f>EW5*70</f>
        <v>2632280</v>
      </c>
      <c r="EY5" s="285">
        <f>EW5/EU5</f>
        <v>0.1153189179574776</v>
      </c>
      <c r="EZ5" s="284">
        <v>30</v>
      </c>
      <c r="FA5" s="171">
        <v>339095</v>
      </c>
      <c r="FB5" s="171">
        <f>FA5*70</f>
        <v>23736650</v>
      </c>
      <c r="FC5" s="245">
        <v>303009</v>
      </c>
      <c r="FD5" s="176">
        <f>FC5*70</f>
        <v>21210630</v>
      </c>
      <c r="FE5" s="8">
        <f>FA5-FC5</f>
        <v>36086</v>
      </c>
      <c r="FF5" s="8">
        <f>FE5*70</f>
        <v>2526020</v>
      </c>
      <c r="FG5" s="285">
        <f>FE5/FC5</f>
        <v>0.11909217217970423</v>
      </c>
      <c r="FH5" s="280">
        <v>29</v>
      </c>
      <c r="FI5" s="171">
        <v>303185</v>
      </c>
      <c r="FJ5" s="171">
        <f>FI5*70</f>
        <v>21222950</v>
      </c>
      <c r="FK5" s="286">
        <v>271045</v>
      </c>
      <c r="FL5" s="287">
        <f>FK5*70</f>
        <v>18973150</v>
      </c>
      <c r="FM5" s="8">
        <f>FI5-FK5</f>
        <v>32140</v>
      </c>
      <c r="FN5" s="8">
        <f>FM5*70</f>
        <v>2249800</v>
      </c>
      <c r="FO5" s="7">
        <f>FM5/FK5</f>
        <v>0.11857809588813666</v>
      </c>
      <c r="FP5" s="280">
        <v>26</v>
      </c>
      <c r="FQ5" s="171">
        <v>291488</v>
      </c>
      <c r="FR5" s="171">
        <f>FQ5*70</f>
        <v>20404160</v>
      </c>
      <c r="FS5" s="171">
        <v>260714</v>
      </c>
      <c r="FT5" s="171">
        <f>FS5*70</f>
        <v>18249980</v>
      </c>
      <c r="FU5" s="849">
        <f>FQ5*3%</f>
        <v>8744.64</v>
      </c>
      <c r="FV5" s="171"/>
      <c r="FW5" s="8">
        <f>FQ5-FS5</f>
        <v>30774</v>
      </c>
      <c r="FX5" s="8">
        <f>FW5*70</f>
        <v>2154180</v>
      </c>
      <c r="FY5" s="85">
        <f>FW5/FS5</f>
        <v>0.11803738963001603</v>
      </c>
      <c r="FZ5" s="5">
        <v>23</v>
      </c>
      <c r="GA5" s="171">
        <v>259275</v>
      </c>
      <c r="GB5" s="171">
        <f>GA5*70</f>
        <v>18149250</v>
      </c>
      <c r="GC5" s="171">
        <v>229893</v>
      </c>
      <c r="GD5" s="171">
        <f>GC5*70</f>
        <v>16092510</v>
      </c>
      <c r="GE5" s="849">
        <f>GA5*3%</f>
        <v>7778.25</v>
      </c>
      <c r="GF5" s="171"/>
      <c r="GG5" s="8">
        <f>GA5-GC5</f>
        <v>29382</v>
      </c>
      <c r="GH5" s="8">
        <f>GG5*70</f>
        <v>2056740</v>
      </c>
      <c r="GI5" s="7">
        <f>GG5/GC5</f>
        <v>0.12780728425832888</v>
      </c>
      <c r="GJ5" s="280">
        <v>23</v>
      </c>
      <c r="GK5" s="288">
        <v>263973</v>
      </c>
      <c r="GL5" s="288">
        <f>GK5*70</f>
        <v>18478110</v>
      </c>
      <c r="GM5" s="288">
        <v>237615</v>
      </c>
      <c r="GN5" s="288">
        <f>GM5*70</f>
        <v>16633050</v>
      </c>
      <c r="GO5" s="850">
        <f>GK5*3%</f>
        <v>7919.19</v>
      </c>
      <c r="GP5" s="288"/>
      <c r="GQ5" s="8">
        <f t="shared" ref="GQ5:GQ12" si="2">GK5-GM5</f>
        <v>26358</v>
      </c>
      <c r="GR5" s="8">
        <f>GQ5*70</f>
        <v>1845060</v>
      </c>
      <c r="GS5" s="85">
        <f>GQ5/GM5</f>
        <v>0.11092734044567894</v>
      </c>
      <c r="GT5" s="5">
        <v>20</v>
      </c>
      <c r="GU5" s="171">
        <v>281096</v>
      </c>
      <c r="GV5" s="171">
        <f>GU5*70</f>
        <v>19676720</v>
      </c>
      <c r="GW5" s="245">
        <v>253062</v>
      </c>
      <c r="GX5" s="176">
        <f>GW5*70</f>
        <v>17714340</v>
      </c>
      <c r="GY5" s="849">
        <f>GU5*3%</f>
        <v>8432.8799999999992</v>
      </c>
      <c r="GZ5" s="171"/>
      <c r="HA5" s="8">
        <f>GU5-GW5</f>
        <v>28034</v>
      </c>
      <c r="HB5" s="8">
        <f>HA5*70</f>
        <v>1962380</v>
      </c>
      <c r="HC5" s="7">
        <f>HB5/GV5</f>
        <v>9.973105273643168E-2</v>
      </c>
      <c r="HD5" s="171">
        <f>(GT5+GJ5+FZ5+FP5+FH5+EZ5+ER5+EJ5+EB5+DT5+DL5+DD5)/12</f>
        <v>27.25</v>
      </c>
      <c r="HE5" s="171">
        <f>GU5+GK5+GA5+FQ5+FI5+FA5+ES5+EK5+EC5+DU5+DM5+DE5</f>
        <v>3853583</v>
      </c>
      <c r="HF5" s="171">
        <f>HE5*70</f>
        <v>269750810</v>
      </c>
      <c r="HG5" s="171">
        <f>GW5+GM5+GC5+FS5+FK5+FC5+EU5+EM5+EE5+DW5+DO5+DG5</f>
        <v>3440865</v>
      </c>
      <c r="HH5" s="171">
        <f>HG5*70</f>
        <v>240860550</v>
      </c>
      <c r="HI5" s="8">
        <f t="shared" ref="HI5:HI18" si="3">HE5-HG5</f>
        <v>412718</v>
      </c>
      <c r="HJ5" s="8">
        <f>HI5*70</f>
        <v>28890260</v>
      </c>
      <c r="HK5" s="7">
        <f>HI5/HG5</f>
        <v>0.11994600195009104</v>
      </c>
      <c r="HL5" s="247">
        <f>(DD5+DL5+DT5)/3</f>
        <v>29.333333333333332</v>
      </c>
      <c r="HM5" s="171">
        <f>DE5+DM5+DU5</f>
        <v>997235</v>
      </c>
      <c r="HN5" s="171">
        <f t="shared" ref="HN5:HN18" si="4">HM5*70</f>
        <v>69806450</v>
      </c>
      <c r="HO5" s="245">
        <f>DG5+DO5+DW5</f>
        <v>883519</v>
      </c>
      <c r="HP5" s="176">
        <f t="shared" ref="HP5:HP13" si="5">HO5*70</f>
        <v>61846330</v>
      </c>
      <c r="HQ5" s="8">
        <f t="shared" ref="HQ5:HQ18" si="6">HM5-HO5</f>
        <v>113716</v>
      </c>
      <c r="HR5" s="8">
        <f t="shared" ref="HR5:HR18" si="7">HQ5*70</f>
        <v>7960120</v>
      </c>
      <c r="HS5" s="7">
        <f>HQ5/HO5</f>
        <v>0.1287080413663996</v>
      </c>
      <c r="HT5" s="247">
        <f>(EB5+EJ5+ER5)/3</f>
        <v>29.333333333333332</v>
      </c>
      <c r="HU5" s="246">
        <f>(EC5+EK5+ES5)</f>
        <v>1118236</v>
      </c>
      <c r="HV5" s="171">
        <f t="shared" ref="HV5:HV16" si="8">HU5*70</f>
        <v>78276520</v>
      </c>
      <c r="HW5" s="289">
        <f>(EE5+EM5+EU5)</f>
        <v>1002008</v>
      </c>
      <c r="HX5" s="290">
        <f t="shared" ref="HX5:HX16" si="9">HW5*70</f>
        <v>70140560</v>
      </c>
      <c r="HY5" s="171">
        <f t="shared" ref="HY5:HY16" si="10">HU5-HW5</f>
        <v>116228</v>
      </c>
      <c r="HZ5" s="171">
        <f t="shared" ref="HZ5:HZ16" si="11">HY5*70</f>
        <v>8135960</v>
      </c>
      <c r="IA5" s="7">
        <f>HY5/HW5</f>
        <v>0.11599508187559381</v>
      </c>
      <c r="IB5" s="247">
        <f>(EZ5+FH5+FP5)/3</f>
        <v>28.333333333333332</v>
      </c>
      <c r="IC5" s="246">
        <f>(FA5+FI5+FQ5)</f>
        <v>933768</v>
      </c>
      <c r="ID5" s="269">
        <f t="shared" ref="ID5:ID15" si="12">IC5*70</f>
        <v>65363760</v>
      </c>
      <c r="IE5" s="291">
        <f>(FC5+FK5+FS5)</f>
        <v>834768</v>
      </c>
      <c r="IF5" s="292">
        <f>IE5*70</f>
        <v>58433760</v>
      </c>
      <c r="IG5" s="8">
        <f>IC5-IE5</f>
        <v>99000</v>
      </c>
      <c r="IH5" s="8">
        <f>IG5*70</f>
        <v>6930000</v>
      </c>
      <c r="II5" s="7">
        <f>IG5/IE5</f>
        <v>0.11859582542694497</v>
      </c>
      <c r="IJ5" s="247">
        <f>(FZ5+GJ5+GT5)/3</f>
        <v>22</v>
      </c>
      <c r="IK5" s="246">
        <f>(GA5+GK5+GU5)</f>
        <v>804344</v>
      </c>
      <c r="IL5" s="171">
        <f>IK5*70</f>
        <v>56304080</v>
      </c>
      <c r="IM5" s="291">
        <f>(GC5+GM5+GW5)</f>
        <v>720570</v>
      </c>
      <c r="IN5" s="292">
        <f>IM5*70</f>
        <v>50439900</v>
      </c>
      <c r="IO5" s="293">
        <f>IK5-IM5</f>
        <v>83774</v>
      </c>
      <c r="IP5" s="294">
        <f>IO5*70</f>
        <v>5864180</v>
      </c>
      <c r="IQ5" s="7">
        <f>IO5/IM5</f>
        <v>0.11626073802683987</v>
      </c>
      <c r="IS5" s="247">
        <v>20</v>
      </c>
      <c r="IT5" s="246">
        <v>230777</v>
      </c>
      <c r="IU5" s="171">
        <f>IT5*80</f>
        <v>18462160</v>
      </c>
      <c r="IV5" s="248">
        <v>206683</v>
      </c>
      <c r="IW5" s="249">
        <f>IV5*80</f>
        <v>16534640</v>
      </c>
      <c r="IX5" s="851">
        <f>IT5*4%</f>
        <v>9231.08</v>
      </c>
      <c r="IY5" s="9">
        <v>2323</v>
      </c>
      <c r="IZ5" s="852">
        <f>(IT5-IV5)-IX5-IY5</f>
        <v>12539.92</v>
      </c>
      <c r="JA5" s="851">
        <f>IZ5*80</f>
        <v>1003193.6</v>
      </c>
      <c r="JB5" s="10">
        <f>JA5/IU5</f>
        <v>5.433782395992668E-2</v>
      </c>
      <c r="JC5" s="11">
        <v>20</v>
      </c>
      <c r="JD5" s="171">
        <v>215188</v>
      </c>
      <c r="JE5" s="171">
        <f>JD5*80</f>
        <v>17215040</v>
      </c>
      <c r="JF5" s="248">
        <v>191991</v>
      </c>
      <c r="JG5" s="249">
        <f>JF5*80</f>
        <v>15359280</v>
      </c>
      <c r="JH5" s="851">
        <f>JD5*4%</f>
        <v>8607.52</v>
      </c>
      <c r="JI5" s="9">
        <v>2323</v>
      </c>
      <c r="JJ5" s="852">
        <f>(JD5-JF5)-JH5-JI5</f>
        <v>12266.48</v>
      </c>
      <c r="JK5" s="851">
        <f>JJ5*80</f>
        <v>981318.39999999991</v>
      </c>
      <c r="JL5" s="10">
        <f t="shared" ref="JL5:JL12" si="13">JK5/JE5</f>
        <v>5.7003550383850396E-2</v>
      </c>
      <c r="JM5" s="14">
        <v>19</v>
      </c>
      <c r="JN5" s="171">
        <v>209666</v>
      </c>
      <c r="JO5" s="171">
        <f>JN5*80</f>
        <v>16773280</v>
      </c>
      <c r="JP5" s="245">
        <v>186847</v>
      </c>
      <c r="JQ5" s="176">
        <f>JP5*80</f>
        <v>14947760</v>
      </c>
      <c r="JR5" s="1517">
        <f>JN5*4%</f>
        <v>8386.64</v>
      </c>
      <c r="JS5" s="171">
        <v>2019</v>
      </c>
      <c r="JT5" s="852">
        <f>(JN5-JP5)-JR5-JS5</f>
        <v>12413.36</v>
      </c>
      <c r="JU5" s="851">
        <f>JT5*80</f>
        <v>993068.8</v>
      </c>
      <c r="JV5" s="10">
        <f t="shared" ref="JV5:JV12" si="14">JU5/JO5</f>
        <v>5.9205402878864485E-2</v>
      </c>
      <c r="JW5" s="13">
        <v>19</v>
      </c>
      <c r="JX5" s="171">
        <v>201542</v>
      </c>
      <c r="JY5" s="171">
        <f>JX5*80</f>
        <v>16123360</v>
      </c>
      <c r="JZ5" s="245">
        <v>176423</v>
      </c>
      <c r="KA5" s="176">
        <f>JZ5*80</f>
        <v>14113840</v>
      </c>
      <c r="KB5" s="1517">
        <f>JX5*4%</f>
        <v>8061.68</v>
      </c>
      <c r="KC5" s="171">
        <v>2019</v>
      </c>
      <c r="KD5" s="852">
        <f>(JX5-JZ5)-KB5-KC5</f>
        <v>15038.32</v>
      </c>
      <c r="KE5" s="849">
        <f>KD5*80</f>
        <v>1203065.6000000001</v>
      </c>
      <c r="KF5" s="10">
        <f t="shared" ref="KF5:KF12" si="15">KE5/JY5</f>
        <v>7.4616308263290035E-2</v>
      </c>
      <c r="KG5" s="11">
        <v>19</v>
      </c>
      <c r="KH5" s="171">
        <v>231580</v>
      </c>
      <c r="KI5" s="171">
        <f>KH5*80</f>
        <v>18526400</v>
      </c>
      <c r="KJ5" s="245">
        <v>203011</v>
      </c>
      <c r="KK5" s="176">
        <f>KJ5*80</f>
        <v>16240880</v>
      </c>
      <c r="KL5" s="1517">
        <f>KH5*4%</f>
        <v>9263.2000000000007</v>
      </c>
      <c r="KM5" s="171">
        <v>2019</v>
      </c>
      <c r="KN5" s="852">
        <f>(KH5-KJ5)-KL5-KM5</f>
        <v>17286.8</v>
      </c>
      <c r="KO5" s="171">
        <f>KN5*80</f>
        <v>1382944</v>
      </c>
      <c r="KP5" s="10">
        <f t="shared" ref="KP5:KP12" si="16">KO5/KI5</f>
        <v>7.4647206149062964E-2</v>
      </c>
      <c r="KQ5" s="13">
        <v>20</v>
      </c>
      <c r="KR5" s="14">
        <v>222319</v>
      </c>
      <c r="KS5" s="171">
        <f>KR5*80</f>
        <v>17785520</v>
      </c>
      <c r="KT5" s="245">
        <v>194769</v>
      </c>
      <c r="KU5" s="176">
        <f>KT5*80</f>
        <v>15581520</v>
      </c>
      <c r="KV5" s="1517">
        <f>KR5*4%</f>
        <v>8892.76</v>
      </c>
      <c r="KW5" s="171">
        <v>2019</v>
      </c>
      <c r="KX5" s="852">
        <f>(KR5-KT5)-KV5-KW5</f>
        <v>16638.239999999998</v>
      </c>
      <c r="KY5" s="849">
        <f>KX5*80</f>
        <v>1331059.1999999997</v>
      </c>
      <c r="KZ5" s="10">
        <f t="shared" ref="KZ5:KZ12" si="17">KY5/KS5</f>
        <v>7.4839487403235871E-2</v>
      </c>
      <c r="LA5" s="251">
        <v>20</v>
      </c>
      <c r="LB5" s="171">
        <v>208824</v>
      </c>
      <c r="LC5" s="171">
        <f>LB5*80</f>
        <v>16705920</v>
      </c>
      <c r="LD5" s="252">
        <v>184779</v>
      </c>
      <c r="LE5" s="176">
        <f>LD5*80</f>
        <v>14782320</v>
      </c>
      <c r="LF5" s="1517">
        <f>LB5*4%</f>
        <v>8352.9600000000009</v>
      </c>
      <c r="LG5" s="171">
        <v>2019</v>
      </c>
      <c r="LH5" s="852">
        <f>(LB5-LD5)-LF5-LG5</f>
        <v>13673.039999999999</v>
      </c>
      <c r="LI5" s="849">
        <f>LH5*80</f>
        <v>1093843.2</v>
      </c>
      <c r="LJ5" s="10">
        <f t="shared" ref="LJ5:LJ12" si="18">LI5/LC5</f>
        <v>6.5476382025054583E-2</v>
      </c>
      <c r="LK5" s="13">
        <v>20</v>
      </c>
      <c r="LL5" s="171">
        <v>202833</v>
      </c>
      <c r="LM5" s="171">
        <f>LL5*80</f>
        <v>16226640</v>
      </c>
      <c r="LN5" s="252">
        <v>179280</v>
      </c>
      <c r="LO5" s="176">
        <f>LN5*80</f>
        <v>14342400</v>
      </c>
      <c r="LP5" s="1517">
        <f>LL5*4%</f>
        <v>8113.3200000000006</v>
      </c>
      <c r="LQ5" s="171">
        <v>2019</v>
      </c>
      <c r="LR5" s="852">
        <f>(LL5-LN5)-LP5-LQ5</f>
        <v>13420.68</v>
      </c>
      <c r="LS5" s="849">
        <f>LR5*80</f>
        <v>1073654.3999999999</v>
      </c>
      <c r="LT5" s="10">
        <f t="shared" ref="LT5:LT12" si="19">LS5/LM5</f>
        <v>6.6166156394669495E-2</v>
      </c>
      <c r="LU5" s="177">
        <v>22</v>
      </c>
      <c r="LV5" s="171">
        <v>220950</v>
      </c>
      <c r="LW5" s="171">
        <f>LV5*80</f>
        <v>17676000</v>
      </c>
      <c r="LX5" s="245">
        <v>195028</v>
      </c>
      <c r="LY5" s="176">
        <f>LX5*80</f>
        <v>15602240</v>
      </c>
      <c r="LZ5" s="1517">
        <f>LV5*4%</f>
        <v>8838</v>
      </c>
      <c r="MA5" s="268">
        <v>2019</v>
      </c>
      <c r="MB5" s="852">
        <f>(LV5-LX5)-LZ5-MA5</f>
        <v>15065</v>
      </c>
      <c r="MC5" s="171">
        <f>MB5*80</f>
        <v>1205200</v>
      </c>
      <c r="MD5" s="10">
        <f t="shared" ref="MD5:MD12" si="20">MC5/LW5</f>
        <v>6.8182846797918084E-2</v>
      </c>
      <c r="ME5" s="177">
        <v>28</v>
      </c>
      <c r="MF5" s="171">
        <v>254986</v>
      </c>
      <c r="MG5" s="176">
        <f>MF5*80</f>
        <v>20398880</v>
      </c>
      <c r="MH5" s="171">
        <v>227922</v>
      </c>
      <c r="MI5" s="176">
        <f>MH5*80</f>
        <v>18233760</v>
      </c>
      <c r="MJ5" s="1517">
        <f>MF5*4%</f>
        <v>10199.44</v>
      </c>
      <c r="MK5" s="268">
        <v>2019</v>
      </c>
      <c r="ML5" s="269">
        <f>(MF5-MH5)-MJ5-MK5</f>
        <v>14845.559999999998</v>
      </c>
      <c r="MM5" s="849">
        <f>ML5*80</f>
        <v>1187644.7999999998</v>
      </c>
      <c r="MN5" s="10">
        <f t="shared" ref="MN5:MN12" si="21">MM5/MG5</f>
        <v>5.8221078804326504E-2</v>
      </c>
      <c r="MO5" s="177">
        <v>28</v>
      </c>
      <c r="MP5" s="171">
        <v>262675</v>
      </c>
      <c r="MQ5" s="176">
        <f>MP5*80</f>
        <v>21014000</v>
      </c>
      <c r="MR5" s="171">
        <v>238348</v>
      </c>
      <c r="MS5" s="171">
        <f>MR5*80</f>
        <v>19067840</v>
      </c>
      <c r="MT5" s="1517">
        <f>MP5*4%</f>
        <v>10507</v>
      </c>
      <c r="MU5" s="268">
        <v>2019</v>
      </c>
      <c r="MV5" s="269">
        <f>(MP5-MR5)-MT5-MU5</f>
        <v>11801</v>
      </c>
      <c r="MW5" s="171">
        <f>MV5*80</f>
        <v>944080</v>
      </c>
      <c r="MX5" s="55">
        <f t="shared" ref="MX5:MX12" si="22">MW5/MQ5</f>
        <v>4.4926239649757303E-2</v>
      </c>
      <c r="MY5" s="177">
        <v>25</v>
      </c>
      <c r="MZ5" s="171">
        <v>260084</v>
      </c>
      <c r="NA5" s="171">
        <f>MZ5*80</f>
        <v>20806720</v>
      </c>
      <c r="NB5" s="852">
        <v>238418</v>
      </c>
      <c r="NC5" s="290">
        <f>NB5*80</f>
        <v>19073440</v>
      </c>
      <c r="ND5" s="849">
        <f>MZ5*4%</f>
        <v>10403.36</v>
      </c>
      <c r="NE5" s="171">
        <v>2014</v>
      </c>
      <c r="NF5" s="852">
        <f>(MZ5-NB5)-ND5-NE5</f>
        <v>9248.64</v>
      </c>
      <c r="NG5" s="60">
        <f>NF5*80</f>
        <v>739891.19999999995</v>
      </c>
      <c r="NH5" s="10">
        <f t="shared" ref="NH5:NH12" si="23">NG5/NA5</f>
        <v>3.556020362652066E-2</v>
      </c>
      <c r="NI5" s="9">
        <v>25</v>
      </c>
      <c r="NJ5" s="9">
        <f t="shared" ref="NJ5:NM7" si="24">MZ5+MP5+MF5+LV5+LL5+LB5+KR5+KH5+JX5+JN5+JD5+IT5</f>
        <v>2721424</v>
      </c>
      <c r="NK5" s="9">
        <f t="shared" si="24"/>
        <v>217713920</v>
      </c>
      <c r="NL5" s="1518">
        <f t="shared" si="24"/>
        <v>2423499</v>
      </c>
      <c r="NM5" s="1519">
        <f t="shared" si="24"/>
        <v>193879920</v>
      </c>
      <c r="NN5" s="1518">
        <f>NF5+MV5+ML5+MB5+LR5+LH5+KX5+KN5+KD5+JT5+JJ5+IZ5</f>
        <v>164237.04000000004</v>
      </c>
      <c r="NO5" s="9">
        <f>NG5+MW5+MM5+MC5+LS5+LI5+KY5+KO5+KE5+JU5+JK5+JA5</f>
        <v>13138963.200000001</v>
      </c>
      <c r="NP5" s="10">
        <f>NO5/NK5</f>
        <v>6.0349669878710564E-2</v>
      </c>
      <c r="NQ5" s="18">
        <f>(IS5+JC5+JM5)/3</f>
        <v>19.666666666666668</v>
      </c>
      <c r="NR5" s="9">
        <f t="shared" ref="NR5:NU7" si="25">IT5+JD5+JN5</f>
        <v>655631</v>
      </c>
      <c r="NS5" s="9">
        <f t="shared" si="25"/>
        <v>52450480</v>
      </c>
      <c r="NT5" s="57">
        <f t="shared" si="25"/>
        <v>585521</v>
      </c>
      <c r="NU5" s="58">
        <f t="shared" si="25"/>
        <v>46841680</v>
      </c>
      <c r="NV5" s="9">
        <f>IZ5+JJ5+JT5</f>
        <v>37219.760000000002</v>
      </c>
      <c r="NW5" s="9">
        <f>JA5+JK5+JU5</f>
        <v>2977580.8</v>
      </c>
      <c r="NX5" s="10">
        <f>NW5/NS5</f>
        <v>5.6769371796025501E-2</v>
      </c>
      <c r="NY5" s="177">
        <f>(JW5+KG5+KQ5)/3</f>
        <v>19.333333333333332</v>
      </c>
      <c r="NZ5" s="171">
        <f>JX5+KH5+KR5</f>
        <v>655441</v>
      </c>
      <c r="OA5" s="171">
        <f>JY5+KI5+KS5</f>
        <v>52435280</v>
      </c>
      <c r="OB5" s="245">
        <f>JZ5+KJ5+KT5</f>
        <v>574203</v>
      </c>
      <c r="OC5" s="176">
        <f>KA5+KK5+KU5</f>
        <v>45936240</v>
      </c>
      <c r="OD5" s="171">
        <f>KD5+KN5+KX5</f>
        <v>48963.360000000001</v>
      </c>
      <c r="OE5" s="171">
        <f>KE5+KO5+KY5</f>
        <v>3917068.8</v>
      </c>
      <c r="OF5" s="10">
        <f>OE5/OA5</f>
        <v>7.4702925206082613E-2</v>
      </c>
      <c r="OG5" s="177">
        <f>(LA5+LK5+LU5)/3</f>
        <v>20.666666666666668</v>
      </c>
      <c r="OH5" s="269">
        <f>LB5+LL5+LV5</f>
        <v>632607</v>
      </c>
      <c r="OI5" s="269">
        <f>LC5+LM5+LW5</f>
        <v>50608560</v>
      </c>
      <c r="OJ5" s="269">
        <f>LD5+LN5+LX5</f>
        <v>559087</v>
      </c>
      <c r="OK5" s="269">
        <f>LE5+LO5+LY5</f>
        <v>44726960</v>
      </c>
      <c r="OL5" s="269">
        <f>LH5+LR5+MB5</f>
        <v>42158.720000000001</v>
      </c>
      <c r="OM5" s="269">
        <f>LI5+LS5+MC5</f>
        <v>3372697.5999999996</v>
      </c>
      <c r="ON5" s="55">
        <f>OM5/OI5</f>
        <v>6.6642828802084067E-2</v>
      </c>
      <c r="OO5" s="177">
        <v>25</v>
      </c>
      <c r="OP5" s="60">
        <f>MF5+MP5+MZ5</f>
        <v>777745</v>
      </c>
      <c r="OQ5" s="60">
        <f>MG5+MQ5+NA5</f>
        <v>62219600</v>
      </c>
      <c r="OR5" s="1520">
        <f>MH5+MR5+NB5</f>
        <v>704688</v>
      </c>
      <c r="OS5" s="1521">
        <f>MI5+MS5+NC5</f>
        <v>56375040</v>
      </c>
      <c r="OT5" s="60">
        <f>ML5+MV5+NF5</f>
        <v>35895.199999999997</v>
      </c>
      <c r="OU5" s="60">
        <f>MM5+MW5+NG5</f>
        <v>2871616</v>
      </c>
      <c r="OV5" s="10">
        <f>OU5/OQ5</f>
        <v>4.6152916444335869E-2</v>
      </c>
      <c r="OX5" s="247">
        <v>23</v>
      </c>
      <c r="OY5" s="246">
        <v>220373</v>
      </c>
      <c r="OZ5" s="171">
        <f>OY5*80</f>
        <v>17629840</v>
      </c>
      <c r="PA5" s="248">
        <v>201991</v>
      </c>
      <c r="PB5" s="249">
        <f>PA5*80</f>
        <v>16159280</v>
      </c>
      <c r="PC5" s="851">
        <f>OY5*4%</f>
        <v>8814.92</v>
      </c>
      <c r="PD5" s="851">
        <v>1776</v>
      </c>
      <c r="PE5" s="267">
        <f>(OY5-PA5)-PC5-PD5</f>
        <v>7791.08</v>
      </c>
      <c r="PF5" s="9">
        <f>PE5*80</f>
        <v>623286.4</v>
      </c>
      <c r="PG5" s="10">
        <f>PF5/OZ5</f>
        <v>3.5354058800306752E-2</v>
      </c>
      <c r="PH5" s="11">
        <v>23</v>
      </c>
      <c r="PI5" s="171">
        <v>208168</v>
      </c>
      <c r="PJ5" s="171">
        <f>PI5*80</f>
        <v>16653440</v>
      </c>
      <c r="PK5" s="248">
        <v>191188</v>
      </c>
      <c r="PL5" s="249">
        <f>PK5*80</f>
        <v>15295040</v>
      </c>
      <c r="PM5" s="851">
        <f>PI5*4%</f>
        <v>8326.7199999999993</v>
      </c>
      <c r="PN5" s="9">
        <v>1298</v>
      </c>
      <c r="PO5" s="267">
        <f>PI5-PK5-PM5-PN5</f>
        <v>7355.2800000000007</v>
      </c>
      <c r="PP5" s="9">
        <f>PO5*80</f>
        <v>588422.40000000002</v>
      </c>
      <c r="PQ5" s="10">
        <f>PP5/PJ5</f>
        <v>3.5333384573997928E-2</v>
      </c>
      <c r="PR5" s="14">
        <v>22</v>
      </c>
      <c r="PS5" s="171">
        <v>206792</v>
      </c>
      <c r="PT5" s="171">
        <f>PS5*80</f>
        <v>16543360</v>
      </c>
      <c r="PU5" s="245">
        <v>190761</v>
      </c>
      <c r="PV5" s="249">
        <f>PU5*80</f>
        <v>15260880</v>
      </c>
      <c r="PW5" s="851">
        <f>PS5*4%</f>
        <v>8271.68</v>
      </c>
      <c r="PX5" s="9">
        <v>786</v>
      </c>
      <c r="PY5" s="245">
        <f>PS5-PU5-PW5-PX5</f>
        <v>6973.32</v>
      </c>
      <c r="PZ5" s="9">
        <f>PY5*80</f>
        <v>557865.6</v>
      </c>
      <c r="QA5" s="10">
        <f>PZ5/PT5</f>
        <v>3.3721420557855236E-2</v>
      </c>
      <c r="QB5" s="13">
        <v>18</v>
      </c>
      <c r="QC5" s="171">
        <v>170603</v>
      </c>
      <c r="QD5" s="171">
        <f>QC5*80</f>
        <v>13648240</v>
      </c>
      <c r="QE5" s="245">
        <v>156848</v>
      </c>
      <c r="QF5" s="249">
        <f>QE5*80</f>
        <v>12547840</v>
      </c>
      <c r="QG5" s="851">
        <f>QC5*4%</f>
        <v>6824.12</v>
      </c>
      <c r="QH5" s="9">
        <v>734</v>
      </c>
      <c r="QI5" s="267">
        <f>QC5-QE5-QG5-QH5</f>
        <v>6196.88</v>
      </c>
      <c r="QJ5" s="9">
        <f>QI5*80</f>
        <v>495750.40000000002</v>
      </c>
      <c r="QK5" s="10">
        <f>QJ5/QD5</f>
        <v>3.6323394078650435E-2</v>
      </c>
      <c r="QL5" s="11">
        <v>18</v>
      </c>
      <c r="QM5" s="171">
        <v>191760</v>
      </c>
      <c r="QN5" s="171">
        <f>QM5*80</f>
        <v>15340800</v>
      </c>
      <c r="QO5" s="245">
        <v>176626</v>
      </c>
      <c r="QP5" s="176">
        <f>QO5*80</f>
        <v>14130080</v>
      </c>
      <c r="QQ5" s="849">
        <f>QM5*4%</f>
        <v>7670.4000000000005</v>
      </c>
      <c r="QR5" s="171">
        <v>717</v>
      </c>
      <c r="QS5" s="267">
        <f>QM5-QO5-QQ5-QR5</f>
        <v>6746.5999999999995</v>
      </c>
      <c r="QT5" s="171">
        <f>QS5*80</f>
        <v>539728</v>
      </c>
      <c r="QU5" s="10">
        <f>QT5/QN5</f>
        <v>3.5182519816437212E-2</v>
      </c>
      <c r="QV5" s="13">
        <v>16</v>
      </c>
      <c r="QW5" s="171">
        <v>149268</v>
      </c>
      <c r="QX5" s="171">
        <f>QW5*80</f>
        <v>11941440</v>
      </c>
      <c r="QY5" s="245">
        <v>138315</v>
      </c>
      <c r="QZ5" s="176">
        <f>QY5*80</f>
        <v>11065200</v>
      </c>
      <c r="RA5" s="849">
        <f>QW5*4%</f>
        <v>5970.72</v>
      </c>
      <c r="RB5" s="171">
        <v>835</v>
      </c>
      <c r="RC5" s="245">
        <f>QW5-QY5-RA5-RB5</f>
        <v>4147.28</v>
      </c>
      <c r="RD5" s="849">
        <f>RC5*80</f>
        <v>331782.39999999997</v>
      </c>
      <c r="RE5" s="10">
        <f>RD5/QX5</f>
        <v>2.7784119838143471E-2</v>
      </c>
      <c r="RF5" s="251">
        <v>19</v>
      </c>
      <c r="RG5" s="171">
        <v>186622</v>
      </c>
      <c r="RH5" s="171">
        <f>RG5*80</f>
        <v>14929760</v>
      </c>
      <c r="RI5" s="252">
        <v>171193</v>
      </c>
      <c r="RJ5" s="176">
        <f>RI5*80</f>
        <v>13695440</v>
      </c>
      <c r="RK5" s="849">
        <f>RG5*4%</f>
        <v>7464.88</v>
      </c>
      <c r="RL5" s="171">
        <f>473</f>
        <v>473</v>
      </c>
      <c r="RM5" s="245">
        <f>RG5-RI5-RK5-RL5</f>
        <v>7491.12</v>
      </c>
      <c r="RN5" s="849">
        <f>RM5*80</f>
        <v>599289.59999999998</v>
      </c>
      <c r="RO5" s="10">
        <f>RN5/RH5</f>
        <v>4.0140605073356837E-2</v>
      </c>
      <c r="RP5" s="13">
        <v>19</v>
      </c>
      <c r="RQ5" s="171">
        <v>171675</v>
      </c>
      <c r="RR5" s="171">
        <f>RQ5*80</f>
        <v>13734000</v>
      </c>
      <c r="RS5" s="252">
        <v>156704</v>
      </c>
      <c r="RT5" s="176">
        <f>RS5*80</f>
        <v>12536320</v>
      </c>
      <c r="RU5" s="849">
        <f>RQ5*4.5%</f>
        <v>7725.375</v>
      </c>
      <c r="RV5" s="171">
        <f>719+500+520</f>
        <v>1739</v>
      </c>
      <c r="RW5" s="245">
        <f>RQ5-RS5-RU5-RV5</f>
        <v>5506.625</v>
      </c>
      <c r="RX5" s="849">
        <f>RW5*80</f>
        <v>440530</v>
      </c>
      <c r="RY5" s="10">
        <f>RX5/RR5</f>
        <v>3.2075870103393037E-2</v>
      </c>
      <c r="RZ5" s="177">
        <v>17</v>
      </c>
      <c r="SA5" s="171">
        <v>142405</v>
      </c>
      <c r="SB5" s="171">
        <f>SA5*80</f>
        <v>11392400</v>
      </c>
      <c r="SC5" s="245">
        <v>128955</v>
      </c>
      <c r="SD5" s="176">
        <f>SC5*80</f>
        <v>10316400</v>
      </c>
      <c r="SE5" s="849">
        <f>SA5*4.5%</f>
        <v>6408.2249999999995</v>
      </c>
      <c r="SF5" s="171">
        <v>906</v>
      </c>
      <c r="SG5" s="245">
        <f>SA5-SC5-SE5-SF5</f>
        <v>6135.7750000000005</v>
      </c>
      <c r="SH5" s="849">
        <f>SG5*80</f>
        <v>490862.00000000006</v>
      </c>
      <c r="SI5" s="10">
        <f>SH5/SB5</f>
        <v>4.3086794705242099E-2</v>
      </c>
      <c r="SJ5" s="177">
        <v>15</v>
      </c>
      <c r="SK5" s="171">
        <v>121917</v>
      </c>
      <c r="SL5" s="176">
        <f>SK5*80</f>
        <v>9753360</v>
      </c>
      <c r="SM5" s="171">
        <v>111999</v>
      </c>
      <c r="SN5" s="176">
        <f>SM5*80</f>
        <v>8959920</v>
      </c>
      <c r="SO5" s="849">
        <f>SK5*4.5%</f>
        <v>5486.2649999999994</v>
      </c>
      <c r="SP5" s="171">
        <f>776+130</f>
        <v>906</v>
      </c>
      <c r="SQ5" s="245">
        <f>SK5-SM5-SO5-SP5</f>
        <v>3525.7350000000006</v>
      </c>
      <c r="SR5" s="849">
        <f>SQ5*80</f>
        <v>282058.80000000005</v>
      </c>
      <c r="SS5" s="10">
        <f t="shared" ref="SS5:SS12" si="26">SR5/SL5</f>
        <v>2.8919141711164158E-2</v>
      </c>
      <c r="ST5" s="177">
        <v>13</v>
      </c>
      <c r="SU5" s="171">
        <v>104156</v>
      </c>
      <c r="SV5" s="176">
        <f t="shared" ref="SV5:SV10" si="27">SU5*80</f>
        <v>8332480</v>
      </c>
      <c r="SW5" s="171">
        <v>95834</v>
      </c>
      <c r="SX5" s="171">
        <f>SW5*80</f>
        <v>7666720</v>
      </c>
      <c r="SY5" s="1522">
        <f>SU5*4.5%</f>
        <v>4687.0199999999995</v>
      </c>
      <c r="SZ5" s="176">
        <v>474</v>
      </c>
      <c r="TA5" s="245">
        <f>SU5-SW5-SY5-SZ5</f>
        <v>3160.9800000000005</v>
      </c>
      <c r="TB5" s="849">
        <f t="shared" ref="TB5:TB10" si="28">TA5*80</f>
        <v>252878.40000000002</v>
      </c>
      <c r="TC5" s="10">
        <f t="shared" ref="TC5:TC10" si="29">TB5/SV5</f>
        <v>3.0348515688006453E-2</v>
      </c>
      <c r="TD5" s="177">
        <v>15</v>
      </c>
      <c r="TE5" s="171">
        <v>115226</v>
      </c>
      <c r="TF5" s="176">
        <f t="shared" ref="TF5:TF10" si="30">TE5*80</f>
        <v>9218080</v>
      </c>
      <c r="TG5" s="171">
        <v>102788</v>
      </c>
      <c r="TH5" s="171">
        <f>TG5*80</f>
        <v>8223040</v>
      </c>
      <c r="TI5" s="1522">
        <f>TE5*4.5%</f>
        <v>5185.17</v>
      </c>
      <c r="TJ5" s="176">
        <v>474</v>
      </c>
      <c r="TK5" s="245">
        <f>TE5-TG5-TI5-TJ5</f>
        <v>6778.83</v>
      </c>
      <c r="TL5" s="849">
        <f t="shared" ref="TL5:TL11" si="31">TK5*80</f>
        <v>542306.4</v>
      </c>
      <c r="TM5" s="10">
        <f t="shared" ref="TM5:TM10" si="32">TL5/TF5</f>
        <v>5.8830732647145612E-2</v>
      </c>
      <c r="TN5" s="59">
        <v>15</v>
      </c>
      <c r="TO5" s="9">
        <f t="shared" ref="TO5:TR16" si="33">TE5+SU5+SK5+SA5+RQ5+RG5+QW5+QM5+QC5+PS5+PI5+OY5</f>
        <v>1988965</v>
      </c>
      <c r="TP5" s="9">
        <f t="shared" si="33"/>
        <v>159117200</v>
      </c>
      <c r="TQ5" s="57">
        <f t="shared" si="33"/>
        <v>1823202</v>
      </c>
      <c r="TR5" s="58">
        <f t="shared" si="33"/>
        <v>145856160</v>
      </c>
      <c r="TS5" s="60">
        <f t="shared" ref="TS5:TT17" si="34">TK5+TA5+SQ5+SG5+RW5+RM5+RC5+QS5+QI5+PY5+PO5+PE5</f>
        <v>71809.50499999999</v>
      </c>
      <c r="TT5" s="9">
        <f t="shared" si="34"/>
        <v>5744760.4000000004</v>
      </c>
      <c r="TU5" s="10">
        <f>TT5/TP5</f>
        <v>3.6103956077658483E-2</v>
      </c>
      <c r="TV5" s="18">
        <v>22</v>
      </c>
      <c r="TW5" s="9">
        <f t="shared" ref="TW5:TZ12" si="35">OY5+PI5+PS5</f>
        <v>635333</v>
      </c>
      <c r="TX5" s="9">
        <f t="shared" si="35"/>
        <v>50826640</v>
      </c>
      <c r="TY5" s="57">
        <f t="shared" si="35"/>
        <v>583940</v>
      </c>
      <c r="TZ5" s="58">
        <f t="shared" si="35"/>
        <v>46715200</v>
      </c>
      <c r="UA5" s="9">
        <f t="shared" ref="UA5:UB8" si="36">PE5+PO5+PY5</f>
        <v>22119.68</v>
      </c>
      <c r="UB5" s="9">
        <f t="shared" si="36"/>
        <v>1769574.3999999999</v>
      </c>
      <c r="UC5" s="10">
        <f>UB5/TX5</f>
        <v>3.4815883953769125E-2</v>
      </c>
      <c r="UD5" s="177">
        <f>(QB5+QL5+QV5)/3</f>
        <v>17.333333333333332</v>
      </c>
      <c r="UE5" s="171">
        <f t="shared" ref="UE5:UH12" si="37">QC5+QM5+QW5</f>
        <v>511631</v>
      </c>
      <c r="UF5" s="171">
        <f t="shared" si="37"/>
        <v>40930480</v>
      </c>
      <c r="UG5" s="245">
        <f t="shared" si="37"/>
        <v>471789</v>
      </c>
      <c r="UH5" s="176">
        <f t="shared" si="37"/>
        <v>37743120</v>
      </c>
      <c r="UI5" s="171">
        <f t="shared" ref="UI5:UJ8" si="38">QI5+QS5+RC5</f>
        <v>17090.759999999998</v>
      </c>
      <c r="UJ5" s="171">
        <f t="shared" si="38"/>
        <v>1367260.8</v>
      </c>
      <c r="UK5" s="10">
        <f t="shared" ref="UK5:UK12" si="39">UJ5/UF5</f>
        <v>3.3404465327550523E-2</v>
      </c>
      <c r="UL5" s="177">
        <v>17</v>
      </c>
      <c r="UM5" s="269">
        <f t="shared" ref="UM5:UP12" si="40">RG5+RQ5+SA5</f>
        <v>500702</v>
      </c>
      <c r="UN5" s="269">
        <f t="shared" si="40"/>
        <v>40056160</v>
      </c>
      <c r="UO5" s="269">
        <f t="shared" si="40"/>
        <v>456852</v>
      </c>
      <c r="UP5" s="269">
        <f t="shared" si="40"/>
        <v>36548160</v>
      </c>
      <c r="UQ5" s="269">
        <f t="shared" ref="UQ5:UR8" si="41">RM5+RW5+SG5</f>
        <v>19133.52</v>
      </c>
      <c r="UR5" s="269">
        <f t="shared" si="41"/>
        <v>1530681.6</v>
      </c>
      <c r="US5" s="10">
        <f>UR5/UN5</f>
        <v>3.8213388402682638E-2</v>
      </c>
      <c r="UT5" s="177">
        <v>28</v>
      </c>
      <c r="UU5" s="60">
        <f t="shared" ref="UU5:UX16" si="42">SK5+SU5+TE5</f>
        <v>341299</v>
      </c>
      <c r="UV5" s="60">
        <f t="shared" si="42"/>
        <v>27303920</v>
      </c>
      <c r="UW5" s="60">
        <f t="shared" si="42"/>
        <v>310621</v>
      </c>
      <c r="UX5" s="60">
        <f t="shared" si="42"/>
        <v>24849680</v>
      </c>
      <c r="UY5" s="60">
        <f>SQ5+TA5+TK5</f>
        <v>13465.545000000002</v>
      </c>
      <c r="UZ5" s="60">
        <f>SR5+TB5+TL5</f>
        <v>1077243.6000000001</v>
      </c>
      <c r="VA5" s="10">
        <f>UZ5/UV5</f>
        <v>3.9453807365389296E-2</v>
      </c>
      <c r="VC5" s="247">
        <v>16</v>
      </c>
      <c r="VD5" s="246">
        <v>139334</v>
      </c>
      <c r="VE5" s="171">
        <f t="shared" ref="VE5:VE10" si="43">VD5*80</f>
        <v>11146720</v>
      </c>
      <c r="VF5" s="248">
        <v>124548</v>
      </c>
      <c r="VG5" s="249">
        <f>VF5*80</f>
        <v>9963840</v>
      </c>
      <c r="VH5" s="851">
        <f>VD5*4.5%</f>
        <v>6270.03</v>
      </c>
      <c r="VI5" s="851">
        <f>446+160</f>
        <v>606</v>
      </c>
      <c r="VJ5" s="267">
        <f>(VD5-VF5)-VH5-VI5</f>
        <v>7909.9700000000012</v>
      </c>
      <c r="VK5" s="9">
        <f>VJ5*80</f>
        <v>632797.60000000009</v>
      </c>
      <c r="VL5" s="10">
        <f>VK5/VE5</f>
        <v>5.6769847991157946E-2</v>
      </c>
      <c r="VM5" s="11">
        <v>20</v>
      </c>
      <c r="VN5" s="171">
        <v>145497</v>
      </c>
      <c r="VO5" s="171">
        <f t="shared" ref="VO5:VO10" si="44">VN5*80</f>
        <v>11639760</v>
      </c>
      <c r="VP5" s="248">
        <v>128219</v>
      </c>
      <c r="VQ5" s="249">
        <f t="shared" ref="VQ5:VQ10" si="45">VP5*80</f>
        <v>10257520</v>
      </c>
      <c r="VR5" s="851">
        <f>VN5*5%</f>
        <v>7274.85</v>
      </c>
      <c r="VS5" s="9">
        <f>565+17</f>
        <v>582</v>
      </c>
      <c r="VT5" s="267">
        <f t="shared" ref="VT5:VT17" si="46">VN5-VP5-VR5-VS5</f>
        <v>9421.15</v>
      </c>
      <c r="VU5" s="9">
        <f t="shared" ref="VU5:VU11" si="47">VT5*80</f>
        <v>753692</v>
      </c>
      <c r="VV5" s="10">
        <f t="shared" ref="VV5:VV10" si="48">VU5/VO5</f>
        <v>6.4751506903922423E-2</v>
      </c>
      <c r="VW5" s="14">
        <v>23</v>
      </c>
      <c r="VX5" s="171">
        <v>148769</v>
      </c>
      <c r="VY5" s="171">
        <f t="shared" ref="VY5:VY10" si="49">VX5*80</f>
        <v>11901520</v>
      </c>
      <c r="VZ5" s="245">
        <v>129827</v>
      </c>
      <c r="WA5" s="249">
        <f>VZ5*80</f>
        <v>10386160</v>
      </c>
      <c r="WB5" s="851">
        <f>VX5*5%</f>
        <v>7438.4500000000007</v>
      </c>
      <c r="WC5" s="9">
        <v>402</v>
      </c>
      <c r="WD5" s="245">
        <f t="shared" ref="WD5:WD17" si="50">VX5-VZ5-WB5-WC5</f>
        <v>11101.55</v>
      </c>
      <c r="WE5" s="9">
        <f t="shared" ref="WE5:WE11" si="51">WD5*80</f>
        <v>888124</v>
      </c>
      <c r="WF5" s="10">
        <f t="shared" ref="WF5:WF10" si="52">WE5/VY5</f>
        <v>7.4622737263811675E-2</v>
      </c>
      <c r="WG5" s="13">
        <v>20</v>
      </c>
      <c r="WH5" s="171">
        <v>186639</v>
      </c>
      <c r="WI5" s="171">
        <f t="shared" ref="WI5:WI10" si="53">WH5*80</f>
        <v>14931120</v>
      </c>
      <c r="WJ5" s="245">
        <v>165430</v>
      </c>
      <c r="WK5" s="249">
        <f t="shared" ref="WK5:WK10" si="54">WJ5*80</f>
        <v>13234400</v>
      </c>
      <c r="WL5" s="851">
        <f>WH5*5%</f>
        <v>9331.9500000000007</v>
      </c>
      <c r="WM5" s="9">
        <f>402+160</f>
        <v>562</v>
      </c>
      <c r="WN5" s="245">
        <f t="shared" ref="WN5:WN17" si="55">WH5-WJ5-WL5-WM5</f>
        <v>11315.05</v>
      </c>
      <c r="WO5" s="9">
        <f t="shared" ref="WO5:WO11" si="56">WN5*80</f>
        <v>905204</v>
      </c>
      <c r="WP5" s="10">
        <f>WO5/WI5</f>
        <v>6.0625324824929411E-2</v>
      </c>
      <c r="WQ5" s="13">
        <v>20</v>
      </c>
      <c r="WR5" s="171">
        <v>163348</v>
      </c>
      <c r="WS5" s="171">
        <f t="shared" ref="WS5:WS10" si="57">WR5*80</f>
        <v>13067840</v>
      </c>
      <c r="WT5" s="245">
        <v>144317</v>
      </c>
      <c r="WU5" s="249">
        <f t="shared" ref="WU5:WU10" si="58">WT5*80</f>
        <v>11545360</v>
      </c>
      <c r="WV5" s="851">
        <f>WR5*5%</f>
        <v>8167.4000000000005</v>
      </c>
      <c r="WW5" s="9">
        <v>317</v>
      </c>
      <c r="WX5" s="245">
        <f t="shared" ref="WX5:WX17" si="59">WR5-WT5-WV5-WW5</f>
        <v>10546.599999999999</v>
      </c>
      <c r="WY5" s="9">
        <f t="shared" ref="WY5:WY11" si="60">WX5*80</f>
        <v>843727.99999999988</v>
      </c>
      <c r="WZ5" s="10">
        <f>WY5/WS5</f>
        <v>6.4565222714695003E-2</v>
      </c>
      <c r="XA5" s="13">
        <v>20</v>
      </c>
      <c r="XB5" s="171">
        <v>136247</v>
      </c>
      <c r="XC5" s="171">
        <f t="shared" ref="XC5:XC17" si="61">XB5*80</f>
        <v>10899760</v>
      </c>
      <c r="XD5" s="245">
        <v>122014</v>
      </c>
      <c r="XE5" s="176">
        <f t="shared" ref="XE5:XE17" si="62">XD5*80</f>
        <v>9761120</v>
      </c>
      <c r="XF5" s="851">
        <f>XB5*5%</f>
        <v>6812.35</v>
      </c>
      <c r="XG5" s="171">
        <v>176</v>
      </c>
      <c r="XH5" s="245">
        <f t="shared" ref="XH5:XH17" si="63">XB5-XD5-XF5-XG5</f>
        <v>7244.65</v>
      </c>
      <c r="XI5" s="849">
        <f t="shared" ref="XI5:XI17" si="64">XH5*80</f>
        <v>579572</v>
      </c>
      <c r="XJ5" s="10">
        <f>XI5/XC5</f>
        <v>5.317291389902163E-2</v>
      </c>
      <c r="XK5" s="251">
        <v>20</v>
      </c>
      <c r="XL5" s="171">
        <v>175613</v>
      </c>
      <c r="XM5" s="171">
        <f t="shared" ref="XM5:XM10" si="65">XL5*80</f>
        <v>14049040</v>
      </c>
      <c r="XN5" s="252">
        <v>149763</v>
      </c>
      <c r="XO5" s="176">
        <f t="shared" ref="XO5:XO12" si="66">XN5*80</f>
        <v>11981040</v>
      </c>
      <c r="XP5" s="849">
        <f>XL5*4%</f>
        <v>7024.52</v>
      </c>
      <c r="XQ5" s="171">
        <v>3073</v>
      </c>
      <c r="XR5" s="3553">
        <f t="shared" ref="XR5:XR12" si="67">XL5-XN5-XP5-XQ5</f>
        <v>15752.48</v>
      </c>
      <c r="XS5" s="849">
        <f t="shared" ref="XS5:XS12" si="68">XR5*80</f>
        <v>1260198.3999999999</v>
      </c>
      <c r="XT5" s="10">
        <f>XS5/XM5</f>
        <v>8.9699965264530529E-2</v>
      </c>
      <c r="XU5" s="13">
        <v>19</v>
      </c>
      <c r="XV5" s="171">
        <v>142542</v>
      </c>
      <c r="XW5" s="171">
        <f t="shared" ref="XW5:XW11" si="69">XV5*80</f>
        <v>11403360</v>
      </c>
      <c r="XX5" s="252">
        <v>123206</v>
      </c>
      <c r="XY5" s="176">
        <f t="shared" ref="XY5:XY12" si="70">XX5*80</f>
        <v>9856480</v>
      </c>
      <c r="XZ5" s="849">
        <f>XV5*4%</f>
        <v>5701.68</v>
      </c>
      <c r="YA5" s="171">
        <v>0</v>
      </c>
      <c r="YB5" s="245">
        <f t="shared" ref="YB5:YB10" si="71">XV5-XX5-XZ5-YA5</f>
        <v>13634.32</v>
      </c>
      <c r="YC5" s="849">
        <f t="shared" ref="YC5:YC10" si="72">YB5*80</f>
        <v>1090745.6000000001</v>
      </c>
      <c r="YD5" s="10">
        <f>YC5/XW5</f>
        <v>9.5651246650110155E-2</v>
      </c>
      <c r="YE5" s="177">
        <v>18</v>
      </c>
      <c r="YF5" s="171">
        <v>145635</v>
      </c>
      <c r="YG5" s="171">
        <f t="shared" ref="YG5:YG12" si="73">YF5*80</f>
        <v>11650800</v>
      </c>
      <c r="YH5" s="245">
        <v>126030</v>
      </c>
      <c r="YI5" s="176">
        <f t="shared" ref="YI5:YI10" si="74">YH5*80</f>
        <v>10082400</v>
      </c>
      <c r="YJ5" s="849">
        <f>YF5*4.5%</f>
        <v>6553.5749999999998</v>
      </c>
      <c r="YK5" s="171"/>
      <c r="YL5" s="245">
        <f>YF5-YH5-YJ5-YK5</f>
        <v>13051.424999999999</v>
      </c>
      <c r="YM5" s="849">
        <f>YL5*80</f>
        <v>1044114</v>
      </c>
      <c r="YN5" s="10">
        <f>YM5/YG5</f>
        <v>8.9617365331136054E-2</v>
      </c>
      <c r="YO5" s="177">
        <v>24</v>
      </c>
      <c r="YP5" s="171">
        <v>182722</v>
      </c>
      <c r="YQ5" s="176">
        <f t="shared" ref="YQ5:YQ10" si="75">YP5*80</f>
        <v>14617760</v>
      </c>
      <c r="YR5" s="171">
        <v>156945</v>
      </c>
      <c r="YS5" s="176">
        <f t="shared" ref="YS5:YS10" si="76">YR5*80</f>
        <v>12555600</v>
      </c>
      <c r="YT5" s="849">
        <f>YP5*4.5%</f>
        <v>8222.49</v>
      </c>
      <c r="YU5" s="171"/>
      <c r="YV5" s="245">
        <f>YP5-YR5-YT5-YU5</f>
        <v>17554.510000000002</v>
      </c>
      <c r="YW5" s="849">
        <f>YV5*80</f>
        <v>1404360.8000000003</v>
      </c>
      <c r="YX5" s="10">
        <f>YW5/YQ5</f>
        <v>9.6072229944943702E-2</v>
      </c>
      <c r="YY5" s="177"/>
      <c r="YZ5" s="171"/>
      <c r="ZA5" s="176">
        <f t="shared" ref="ZA5:ZA10" si="77">YZ5*80</f>
        <v>0</v>
      </c>
      <c r="ZB5" s="171"/>
      <c r="ZC5" s="171">
        <f>ZB5*80</f>
        <v>0</v>
      </c>
      <c r="ZD5" s="1522">
        <f>YZ5*4.5%</f>
        <v>0</v>
      </c>
      <c r="ZE5" s="176"/>
      <c r="ZF5" s="245">
        <f>YZ5-ZB5-ZD5-ZE5</f>
        <v>0</v>
      </c>
      <c r="ZG5" s="849">
        <f t="shared" ref="ZG5:ZG10" si="78">ZF5*80</f>
        <v>0</v>
      </c>
      <c r="ZH5" s="10" t="e">
        <f t="shared" ref="ZH5:ZH10" si="79">ZG5/ZA5</f>
        <v>#DIV/0!</v>
      </c>
      <c r="ZI5" s="177"/>
      <c r="ZJ5" s="171"/>
      <c r="ZK5" s="176">
        <f t="shared" ref="ZK5:ZK10" si="80">ZJ5*80</f>
        <v>0</v>
      </c>
      <c r="ZL5" s="171"/>
      <c r="ZM5" s="171">
        <f>ZL5*80</f>
        <v>0</v>
      </c>
      <c r="ZN5" s="1522">
        <f>ZJ5*4.5%</f>
        <v>0</v>
      </c>
      <c r="ZO5" s="176">
        <v>0</v>
      </c>
      <c r="ZP5" s="245">
        <f>ZJ5-ZL5-ZN5-ZO5</f>
        <v>0</v>
      </c>
      <c r="ZQ5" s="849">
        <f>ZP5*80</f>
        <v>0</v>
      </c>
      <c r="ZR5" s="10" t="e">
        <f t="shared" ref="ZR5:ZR10" si="81">ZQ5/ZK5</f>
        <v>#DIV/0!</v>
      </c>
      <c r="ZS5" s="59"/>
      <c r="ZT5" s="9">
        <f t="shared" ref="ZT5:ZW16" si="82">ZJ5+YZ5+YP5+YF5+XV5+XL5+XB5+WR5+WH5+VX5+VN5+VD5</f>
        <v>1566346</v>
      </c>
      <c r="ZU5" s="9">
        <f t="shared" si="82"/>
        <v>125307680</v>
      </c>
      <c r="ZV5" s="57">
        <f t="shared" si="82"/>
        <v>1370299</v>
      </c>
      <c r="ZW5" s="58">
        <f t="shared" si="82"/>
        <v>109623920</v>
      </c>
      <c r="ZX5" s="60">
        <f>ZP5+ZF5+YV5+YL5+YB5+XR5+XH5+WX5+WN5+WD5+VT5+VJ5</f>
        <v>117531.70499999999</v>
      </c>
      <c r="ZY5" s="9">
        <f t="shared" ref="ZY5:ZY17" si="83">ZQ5+ZG5+YW5+YM5+YC5+XS5+XI5+WY5+WO5+WE5+VU5+VK5</f>
        <v>9402536.4000000004</v>
      </c>
      <c r="ZZ5" s="10">
        <f>ZY5/ZU5</f>
        <v>7.5035595583606687E-2</v>
      </c>
      <c r="AAA5" s="18">
        <v>23</v>
      </c>
      <c r="AAB5" s="9">
        <f t="shared" ref="AAB5:AAE12" si="84">VD5+VN5+VX5</f>
        <v>433600</v>
      </c>
      <c r="AAC5" s="9">
        <f t="shared" si="84"/>
        <v>34688000</v>
      </c>
      <c r="AAD5" s="57">
        <f t="shared" si="84"/>
        <v>382594</v>
      </c>
      <c r="AAE5" s="58">
        <f t="shared" si="84"/>
        <v>30607520</v>
      </c>
      <c r="AAF5" s="9">
        <f t="shared" ref="AAF5:AAG12" si="85">VJ5+VT5+WD5</f>
        <v>28432.670000000002</v>
      </c>
      <c r="AAG5" s="9">
        <f t="shared" si="85"/>
        <v>2274613.6</v>
      </c>
      <c r="AAH5" s="10">
        <f>AAG5/AAC5</f>
        <v>6.5573500922509229E-2</v>
      </c>
      <c r="AAI5" s="177">
        <f>(WG5+WQ5+XA5)/3</f>
        <v>20</v>
      </c>
      <c r="AAJ5" s="171">
        <f t="shared" ref="AAJ5:AAM12" si="86">WH5+WR5+XB5</f>
        <v>486234</v>
      </c>
      <c r="AAK5" s="171">
        <f t="shared" si="86"/>
        <v>38898720</v>
      </c>
      <c r="AAL5" s="245">
        <f t="shared" si="86"/>
        <v>431761</v>
      </c>
      <c r="AAM5" s="176">
        <f t="shared" si="86"/>
        <v>34540880</v>
      </c>
      <c r="AAN5" s="171">
        <f t="shared" ref="AAN5:AAO17" si="87">WN5+WX5+XH5</f>
        <v>29106.299999999996</v>
      </c>
      <c r="AAO5" s="171">
        <f t="shared" si="87"/>
        <v>2328504</v>
      </c>
      <c r="AAP5" s="10">
        <f>AAO5/AAK5</f>
        <v>5.9860684361850464E-2</v>
      </c>
      <c r="AAQ5" s="177">
        <v>17</v>
      </c>
      <c r="AAR5" s="269">
        <f t="shared" ref="AAR5:AAU12" si="88">XL5+XV5+YF5</f>
        <v>463790</v>
      </c>
      <c r="AAS5" s="269">
        <f t="shared" si="88"/>
        <v>37103200</v>
      </c>
      <c r="AAT5" s="269">
        <f t="shared" si="88"/>
        <v>398999</v>
      </c>
      <c r="AAU5" s="269">
        <f t="shared" si="88"/>
        <v>31919920</v>
      </c>
      <c r="AAV5" s="269">
        <f t="shared" ref="AAV5:AAW12" si="89">XR5+YB5+YL5</f>
        <v>42438.224999999999</v>
      </c>
      <c r="AAW5" s="269">
        <f t="shared" si="89"/>
        <v>3395058</v>
      </c>
      <c r="AAX5" s="10">
        <f>AAW5/AAS5</f>
        <v>9.1503104853489725E-2</v>
      </c>
      <c r="AAY5" s="177">
        <v>28</v>
      </c>
      <c r="AAZ5" s="60">
        <f t="shared" ref="AAZ5:ABC16" si="90">YP5+YZ5+ZJ5</f>
        <v>182722</v>
      </c>
      <c r="ABA5" s="60">
        <f t="shared" si="90"/>
        <v>14617760</v>
      </c>
      <c r="ABB5" s="60">
        <f t="shared" si="90"/>
        <v>156945</v>
      </c>
      <c r="ABC5" s="60">
        <f t="shared" si="90"/>
        <v>12555600</v>
      </c>
      <c r="ABD5" s="60">
        <f>YV5+ZF5+ZP5</f>
        <v>17554.510000000002</v>
      </c>
      <c r="ABE5" s="60">
        <f>YW5+ZG5+ZQ5</f>
        <v>1404360.8000000003</v>
      </c>
      <c r="ABF5" s="10">
        <f t="shared" ref="ABF5:ABF10" si="91">ABE5/ABA5</f>
        <v>9.6072229944943702E-2</v>
      </c>
    </row>
    <row r="6" spans="1:734" s="14" customFormat="1" ht="20.95" customHeight="1" x14ac:dyDescent="0.3">
      <c r="A6" s="5">
        <v>2</v>
      </c>
      <c r="B6" s="6" t="s">
        <v>14</v>
      </c>
      <c r="C6" s="228"/>
      <c r="D6" s="5">
        <v>6</v>
      </c>
      <c r="E6" s="171">
        <v>92256</v>
      </c>
      <c r="F6" s="171">
        <f>E6*70</f>
        <v>6457920</v>
      </c>
      <c r="G6" s="245">
        <v>81560</v>
      </c>
      <c r="H6" s="176">
        <f>G6*70</f>
        <v>5709200</v>
      </c>
      <c r="I6" s="171">
        <f>E6-G6</f>
        <v>10696</v>
      </c>
      <c r="J6" s="171">
        <f>I6*70</f>
        <v>748720</v>
      </c>
      <c r="K6" s="7">
        <f>I6/G6</f>
        <v>0.13114271701814614</v>
      </c>
      <c r="L6" s="280">
        <v>5</v>
      </c>
      <c r="M6" s="171">
        <v>76184</v>
      </c>
      <c r="N6" s="171">
        <f>M6*70</f>
        <v>5332880</v>
      </c>
      <c r="O6" s="245">
        <v>66896</v>
      </c>
      <c r="P6" s="176">
        <f>O6*70</f>
        <v>4682720</v>
      </c>
      <c r="Q6" s="8">
        <f>M6-O6</f>
        <v>9288</v>
      </c>
      <c r="R6" s="8">
        <f>Q6*70</f>
        <v>650160</v>
      </c>
      <c r="S6" s="7">
        <f>Q6/O6</f>
        <v>0.13884238220521405</v>
      </c>
      <c r="T6" s="5">
        <v>5</v>
      </c>
      <c r="U6" s="171">
        <v>85184</v>
      </c>
      <c r="V6" s="171">
        <f>U6*70</f>
        <v>5962880</v>
      </c>
      <c r="W6" s="171">
        <v>74800</v>
      </c>
      <c r="X6" s="171">
        <f>W6*70</f>
        <v>5236000</v>
      </c>
      <c r="Y6" s="8">
        <f>U6-W6</f>
        <v>10384</v>
      </c>
      <c r="Z6" s="8">
        <f>Y6*70</f>
        <v>726880</v>
      </c>
      <c r="AA6" s="7">
        <f>Y6/W6</f>
        <v>0.13882352941176471</v>
      </c>
      <c r="AB6" s="280">
        <v>6</v>
      </c>
      <c r="AC6" s="171">
        <v>45872</v>
      </c>
      <c r="AD6" s="171">
        <f>AC6*70</f>
        <v>3211040</v>
      </c>
      <c r="AE6" s="171">
        <v>38464</v>
      </c>
      <c r="AF6" s="171">
        <f>AE6*70</f>
        <v>2692480</v>
      </c>
      <c r="AG6" s="8">
        <f>AC6-AE6</f>
        <v>7408</v>
      </c>
      <c r="AH6" s="8">
        <f>AG6*70</f>
        <v>518560</v>
      </c>
      <c r="AI6" s="85">
        <f>AG6/AE6</f>
        <v>0.19259567387687188</v>
      </c>
      <c r="AJ6" s="5">
        <v>3</v>
      </c>
      <c r="AK6" s="171">
        <v>25776</v>
      </c>
      <c r="AL6" s="171">
        <f>AK6*70</f>
        <v>1804320</v>
      </c>
      <c r="AM6" s="171">
        <v>22680</v>
      </c>
      <c r="AN6" s="171">
        <f>AM6*70</f>
        <v>1587600</v>
      </c>
      <c r="AO6" s="8">
        <f>AK6-AM6</f>
        <v>3096</v>
      </c>
      <c r="AP6" s="8">
        <f>AO6*70</f>
        <v>216720</v>
      </c>
      <c r="AQ6" s="7">
        <f>AO6/AM6</f>
        <v>0.13650793650793649</v>
      </c>
      <c r="AR6" s="280">
        <v>3</v>
      </c>
      <c r="AS6" s="171">
        <v>27464</v>
      </c>
      <c r="AT6" s="171">
        <f>AS6*70</f>
        <v>1922480</v>
      </c>
      <c r="AU6" s="171">
        <v>22256</v>
      </c>
      <c r="AV6" s="171">
        <f>AU6*70</f>
        <v>1557920</v>
      </c>
      <c r="AW6" s="8">
        <f>AS6-AU6</f>
        <v>5208</v>
      </c>
      <c r="AX6" s="8">
        <f>AW6*70</f>
        <v>364560</v>
      </c>
      <c r="AY6" s="85">
        <f>AW6/AU6</f>
        <v>0.23400431344356579</v>
      </c>
      <c r="AZ6" s="5">
        <v>2</v>
      </c>
      <c r="BA6" s="171">
        <v>17736</v>
      </c>
      <c r="BB6" s="171">
        <f>BA6*70</f>
        <v>1241520</v>
      </c>
      <c r="BC6" s="171">
        <v>13448</v>
      </c>
      <c r="BD6" s="171">
        <f>BC6*70</f>
        <v>941360</v>
      </c>
      <c r="BE6" s="8">
        <f>BA6-BC6</f>
        <v>4288</v>
      </c>
      <c r="BF6" s="8">
        <f>BE6*70</f>
        <v>300160</v>
      </c>
      <c r="BG6" s="7">
        <f>BE6/BC6</f>
        <v>0.3188578227245687</v>
      </c>
      <c r="BH6" s="280">
        <v>3</v>
      </c>
      <c r="BI6" s="171">
        <v>16248</v>
      </c>
      <c r="BJ6" s="171">
        <f>BI6*70</f>
        <v>1137360</v>
      </c>
      <c r="BK6" s="171">
        <v>12264</v>
      </c>
      <c r="BL6" s="171">
        <f>BK6*70</f>
        <v>858480</v>
      </c>
      <c r="BM6" s="8">
        <f>BI6-BK6</f>
        <v>3984</v>
      </c>
      <c r="BN6" s="8">
        <f>BM6*70</f>
        <v>278880</v>
      </c>
      <c r="BO6" s="85">
        <f>BM6/BK6</f>
        <v>0.32485322896281799</v>
      </c>
      <c r="BP6" s="5">
        <v>2</v>
      </c>
      <c r="BQ6" s="171">
        <v>15792</v>
      </c>
      <c r="BR6" s="171">
        <f>BQ6*70</f>
        <v>1105440</v>
      </c>
      <c r="BS6" s="171">
        <v>12672</v>
      </c>
      <c r="BT6" s="171">
        <f>BS6*70</f>
        <v>887040</v>
      </c>
      <c r="BU6" s="8">
        <f>BQ6-BS6</f>
        <v>3120</v>
      </c>
      <c r="BV6" s="8">
        <f>BU6*70</f>
        <v>218400</v>
      </c>
      <c r="BW6" s="7">
        <f t="shared" si="0"/>
        <v>0.24621212121212122</v>
      </c>
      <c r="BX6" s="280">
        <v>1</v>
      </c>
      <c r="BY6" s="171">
        <v>11400</v>
      </c>
      <c r="BZ6" s="171">
        <f>BY6*70</f>
        <v>798000</v>
      </c>
      <c r="CA6" s="171">
        <v>9576</v>
      </c>
      <c r="CB6" s="171">
        <f>CA6*70</f>
        <v>670320</v>
      </c>
      <c r="CC6" s="8">
        <f>BY6-CA6</f>
        <v>1824</v>
      </c>
      <c r="CD6" s="8">
        <f>CC6*70</f>
        <v>127680</v>
      </c>
      <c r="CE6" s="85">
        <f>CC6/CA6</f>
        <v>0.19047619047619047</v>
      </c>
      <c r="CF6" s="5">
        <v>1</v>
      </c>
      <c r="CG6" s="171">
        <v>11400</v>
      </c>
      <c r="CH6" s="171">
        <f>CG6*70</f>
        <v>798000</v>
      </c>
      <c r="CI6" s="171">
        <v>9576</v>
      </c>
      <c r="CJ6" s="171">
        <f>CI6*70</f>
        <v>670320</v>
      </c>
      <c r="CK6" s="8">
        <f>CG6-CI6</f>
        <v>1824</v>
      </c>
      <c r="CL6" s="8">
        <f>CK6*70</f>
        <v>127680</v>
      </c>
      <c r="CM6" s="7">
        <f>CK6/CI6</f>
        <v>0.19047619047619047</v>
      </c>
      <c r="CN6" s="280">
        <v>1</v>
      </c>
      <c r="CO6" s="171">
        <v>9792</v>
      </c>
      <c r="CP6" s="171">
        <f>CO6*70</f>
        <v>685440</v>
      </c>
      <c r="CQ6" s="245">
        <v>6624</v>
      </c>
      <c r="CR6" s="176">
        <f>CQ6*70</f>
        <v>463680</v>
      </c>
      <c r="CS6" s="8">
        <f>CO6-CQ6</f>
        <v>3168</v>
      </c>
      <c r="CT6" s="8">
        <f>CS6*70</f>
        <v>221760</v>
      </c>
      <c r="CU6" s="85">
        <f>CS6/CQ6</f>
        <v>0.47826086956521741</v>
      </c>
      <c r="CV6" s="5">
        <f t="shared" si="1"/>
        <v>38</v>
      </c>
      <c r="CW6" s="257">
        <f t="shared" si="1"/>
        <v>435104</v>
      </c>
      <c r="CX6" s="171">
        <f>CW6*70</f>
        <v>30457280</v>
      </c>
      <c r="CY6" s="257">
        <f>(G6+O6+W6+AE6+AM6+AU6+BC6+BK6+BS6+CA6+CI6+CQ6)</f>
        <v>370816</v>
      </c>
      <c r="CZ6" s="171">
        <f>CY6*70</f>
        <v>25957120</v>
      </c>
      <c r="DA6" s="8">
        <f>CW6-CY6</f>
        <v>64288</v>
      </c>
      <c r="DB6" s="8">
        <f>DA6*70</f>
        <v>4500160</v>
      </c>
      <c r="DC6" s="7">
        <f>DA6/CY6</f>
        <v>0.17336900241629272</v>
      </c>
      <c r="DD6" s="5">
        <v>2</v>
      </c>
      <c r="DE6" s="171">
        <v>27712</v>
      </c>
      <c r="DF6" s="176">
        <f>DE6*70</f>
        <v>1939840</v>
      </c>
      <c r="DG6" s="245">
        <v>22256</v>
      </c>
      <c r="DH6" s="176">
        <f>DG6*70</f>
        <v>1557920</v>
      </c>
      <c r="DI6" s="8">
        <f>DE6-DG6</f>
        <v>5456</v>
      </c>
      <c r="DJ6" s="8">
        <f>DI6*70</f>
        <v>381920</v>
      </c>
      <c r="DK6" s="281">
        <f>DI6/DG6</f>
        <v>0.24514737598849748</v>
      </c>
      <c r="DL6" s="5">
        <v>4</v>
      </c>
      <c r="DM6" s="171">
        <v>40384</v>
      </c>
      <c r="DN6" s="176">
        <f>DM6*70</f>
        <v>2826880</v>
      </c>
      <c r="DO6" s="171">
        <v>36160</v>
      </c>
      <c r="DP6" s="171">
        <f>DO6*70</f>
        <v>2531200</v>
      </c>
      <c r="DQ6" s="282">
        <f>DM6-DO6</f>
        <v>4224</v>
      </c>
      <c r="DR6" s="8">
        <f>DQ6*70</f>
        <v>295680</v>
      </c>
      <c r="DS6" s="281">
        <f>DQ6/DO6</f>
        <v>0.1168141592920354</v>
      </c>
      <c r="DT6" s="280">
        <v>4</v>
      </c>
      <c r="DU6" s="171">
        <v>55040</v>
      </c>
      <c r="DV6" s="176">
        <f>DU6*70</f>
        <v>3852800</v>
      </c>
      <c r="DW6" s="245">
        <v>50048</v>
      </c>
      <c r="DX6" s="176">
        <f>DW6*70</f>
        <v>3503360</v>
      </c>
      <c r="DY6" s="8">
        <f>DU6-DW6</f>
        <v>4992</v>
      </c>
      <c r="DZ6" s="8">
        <f>DY6*70</f>
        <v>349440</v>
      </c>
      <c r="EA6" s="283">
        <f>DY6/DW6</f>
        <v>9.9744245524296671E-2</v>
      </c>
      <c r="EB6" s="284">
        <v>3</v>
      </c>
      <c r="EC6" s="171">
        <v>33776</v>
      </c>
      <c r="ED6" s="171">
        <f>EC6*70</f>
        <v>2364320</v>
      </c>
      <c r="EE6" s="245">
        <v>29424</v>
      </c>
      <c r="EF6" s="176">
        <f>EE6*70</f>
        <v>2059680</v>
      </c>
      <c r="EG6" s="8">
        <f>EC6-EE6</f>
        <v>4352</v>
      </c>
      <c r="EH6" s="8">
        <f>EG6*70</f>
        <v>304640</v>
      </c>
      <c r="EI6" s="285">
        <f>EG6/EE6</f>
        <v>0.14790647090810222</v>
      </c>
      <c r="EJ6" s="284">
        <v>5</v>
      </c>
      <c r="EK6" s="171">
        <v>52208</v>
      </c>
      <c r="EL6" s="171">
        <f>EK6*70</f>
        <v>3654560</v>
      </c>
      <c r="EM6" s="245">
        <v>46368</v>
      </c>
      <c r="EN6" s="176">
        <f>EM6*70</f>
        <v>3245760</v>
      </c>
      <c r="EO6" s="8">
        <f>EK6-EM6</f>
        <v>5840</v>
      </c>
      <c r="EP6" s="8">
        <f>EO6*70</f>
        <v>408800</v>
      </c>
      <c r="EQ6" s="285">
        <f>EO6/EM6</f>
        <v>0.12594893029675638</v>
      </c>
      <c r="ER6" s="284">
        <v>7</v>
      </c>
      <c r="ES6" s="171">
        <v>63472</v>
      </c>
      <c r="ET6" s="171">
        <f>ES6*70</f>
        <v>4443040</v>
      </c>
      <c r="EU6" s="245">
        <v>57144</v>
      </c>
      <c r="EV6" s="176">
        <f>EU6*70</f>
        <v>4000080</v>
      </c>
      <c r="EW6" s="8">
        <f>ES6-EU6</f>
        <v>6328</v>
      </c>
      <c r="EX6" s="8">
        <f>EW6*70</f>
        <v>442960</v>
      </c>
      <c r="EY6" s="285">
        <f>EW6/EU6</f>
        <v>0.11073778524429512</v>
      </c>
      <c r="EZ6" s="284">
        <v>7</v>
      </c>
      <c r="FA6" s="171">
        <v>73352</v>
      </c>
      <c r="FB6" s="171">
        <f>FA6*70</f>
        <v>5134640</v>
      </c>
      <c r="FC6" s="245">
        <v>64976</v>
      </c>
      <c r="FD6" s="176">
        <f>FC6*70</f>
        <v>4548320</v>
      </c>
      <c r="FE6" s="8">
        <f>FA6-FC6</f>
        <v>8376</v>
      </c>
      <c r="FF6" s="8">
        <f>FE6*70</f>
        <v>586320</v>
      </c>
      <c r="FG6" s="285">
        <f>FE6/FC6</f>
        <v>0.12890913568086679</v>
      </c>
      <c r="FH6" s="280">
        <v>10</v>
      </c>
      <c r="FI6" s="171">
        <v>90274</v>
      </c>
      <c r="FJ6" s="171">
        <f>FI6*70</f>
        <v>6319180</v>
      </c>
      <c r="FK6" s="286">
        <v>82140</v>
      </c>
      <c r="FL6" s="287">
        <f>FK6*70</f>
        <v>5749800</v>
      </c>
      <c r="FM6" s="8">
        <f>FI6-FK6</f>
        <v>8134</v>
      </c>
      <c r="FN6" s="8">
        <f>FM6*70</f>
        <v>569380</v>
      </c>
      <c r="FO6" s="7">
        <f>FM6/FK6</f>
        <v>9.9026053080107132E-2</v>
      </c>
      <c r="FP6" s="280">
        <v>10</v>
      </c>
      <c r="FQ6" s="171">
        <v>118608</v>
      </c>
      <c r="FR6" s="171">
        <f>FQ6*70</f>
        <v>8302560</v>
      </c>
      <c r="FS6" s="171">
        <v>110960</v>
      </c>
      <c r="FT6" s="171">
        <f>FS6*70</f>
        <v>7767200</v>
      </c>
      <c r="FU6" s="171">
        <v>0</v>
      </c>
      <c r="FV6" s="171"/>
      <c r="FW6" s="8">
        <f>FQ6-FS6</f>
        <v>7648</v>
      </c>
      <c r="FX6" s="8">
        <f>FW6*70</f>
        <v>535360</v>
      </c>
      <c r="FY6" s="85">
        <f>FW6/FS6</f>
        <v>6.8925739005046865E-2</v>
      </c>
      <c r="FZ6" s="5">
        <v>8</v>
      </c>
      <c r="GA6" s="171">
        <v>78320</v>
      </c>
      <c r="GB6" s="171">
        <f>GA6*70</f>
        <v>5482400</v>
      </c>
      <c r="GC6" s="171">
        <v>72056</v>
      </c>
      <c r="GD6" s="171">
        <f>GC6*70</f>
        <v>5043920</v>
      </c>
      <c r="GE6" s="171"/>
      <c r="GF6" s="171"/>
      <c r="GG6" s="8">
        <f>GA6-GC6</f>
        <v>6264</v>
      </c>
      <c r="GH6" s="8">
        <f>GG6*70</f>
        <v>438480</v>
      </c>
      <c r="GI6" s="7">
        <f>GG6/GC6</f>
        <v>8.6932385922060623E-2</v>
      </c>
      <c r="GJ6" s="280">
        <v>13</v>
      </c>
      <c r="GK6" s="288">
        <v>118328</v>
      </c>
      <c r="GL6" s="288">
        <f>GK6*70</f>
        <v>8282960</v>
      </c>
      <c r="GM6" s="288">
        <v>110712</v>
      </c>
      <c r="GN6" s="288">
        <f>GM6*70</f>
        <v>7749840</v>
      </c>
      <c r="GO6" s="288">
        <v>0</v>
      </c>
      <c r="GP6" s="288"/>
      <c r="GQ6" s="8">
        <f t="shared" si="2"/>
        <v>7616</v>
      </c>
      <c r="GR6" s="8">
        <f>GQ6*70</f>
        <v>533120</v>
      </c>
      <c r="GS6" s="85">
        <f>GQ6/GM6</f>
        <v>6.8791097622660599E-2</v>
      </c>
      <c r="GT6" s="5">
        <v>17</v>
      </c>
      <c r="GU6" s="171">
        <v>180480</v>
      </c>
      <c r="GV6" s="171">
        <f>GU6*70</f>
        <v>12633600</v>
      </c>
      <c r="GW6" s="245">
        <v>171884</v>
      </c>
      <c r="GX6" s="176">
        <f>GW6*70</f>
        <v>12031880</v>
      </c>
      <c r="GY6" s="171"/>
      <c r="GZ6" s="171"/>
      <c r="HA6" s="8">
        <f>GU6-GW6</f>
        <v>8596</v>
      </c>
      <c r="HB6" s="8">
        <f>HA6*70</f>
        <v>601720</v>
      </c>
      <c r="HC6" s="7">
        <f>HB6/GV6</f>
        <v>4.7628546099290778E-2</v>
      </c>
      <c r="HD6" s="171">
        <f>(GT6+GJ6+FZ6+FP6+FH6+EZ6+ER6+EJ6+EB6+DT6+DL6+DD6)/12</f>
        <v>7.5</v>
      </c>
      <c r="HE6" s="171">
        <f>GU6+GK6+GA6+FQ6+FI6+FA6+ES6+EK6+EC6+DU6+DM6+DE6</f>
        <v>931954</v>
      </c>
      <c r="HF6" s="171">
        <f>HE6*70</f>
        <v>65236780</v>
      </c>
      <c r="HG6" s="171">
        <f>GW6+GM6+GC6+FS6+FK6+FC6+EU6+EM6+EE6+DW6+DO6+DG6</f>
        <v>854128</v>
      </c>
      <c r="HH6" s="171">
        <f>HG6*70</f>
        <v>59788960</v>
      </c>
      <c r="HI6" s="8">
        <f t="shared" si="3"/>
        <v>77826</v>
      </c>
      <c r="HJ6" s="8">
        <f>HI6*70</f>
        <v>5447820</v>
      </c>
      <c r="HK6" s="7">
        <f>HI6/HG6</f>
        <v>9.1117490586890962E-2</v>
      </c>
      <c r="HL6" s="247">
        <f>(DD6+DL6+DT6)/3</f>
        <v>3.3333333333333335</v>
      </c>
      <c r="HM6" s="171">
        <f>DE6+DM6+DU6</f>
        <v>123136</v>
      </c>
      <c r="HN6" s="171">
        <f t="shared" si="4"/>
        <v>8619520</v>
      </c>
      <c r="HO6" s="245">
        <f>DG6+DO6+DW6</f>
        <v>108464</v>
      </c>
      <c r="HP6" s="176">
        <f t="shared" si="5"/>
        <v>7592480</v>
      </c>
      <c r="HQ6" s="8">
        <f t="shared" si="6"/>
        <v>14672</v>
      </c>
      <c r="HR6" s="8">
        <f t="shared" si="7"/>
        <v>1027040</v>
      </c>
      <c r="HS6" s="7">
        <f>HQ6/HO6</f>
        <v>0.13527068889216698</v>
      </c>
      <c r="HT6" s="5">
        <f>(EB6+EJ6+ER6)/3</f>
        <v>5</v>
      </c>
      <c r="HU6" s="257">
        <f>(EC6+EK6+ES6)</f>
        <v>149456</v>
      </c>
      <c r="HV6" s="171">
        <f t="shared" si="8"/>
        <v>10461920</v>
      </c>
      <c r="HW6" s="295">
        <f>(EE6+EM6+EU6)</f>
        <v>132936</v>
      </c>
      <c r="HX6" s="268">
        <f t="shared" si="9"/>
        <v>9305520</v>
      </c>
      <c r="HY6" s="171">
        <f t="shared" si="10"/>
        <v>16520</v>
      </c>
      <c r="HZ6" s="171">
        <f t="shared" si="11"/>
        <v>1156400</v>
      </c>
      <c r="IA6" s="7">
        <f>HY6/HW6</f>
        <v>0.12427032557019919</v>
      </c>
      <c r="IB6" s="247">
        <f>(EZ6+FH6+FP6)/3</f>
        <v>9</v>
      </c>
      <c r="IC6" s="257">
        <f>(FA6+FI6+FQ6)</f>
        <v>282234</v>
      </c>
      <c r="ID6" s="171">
        <f t="shared" si="12"/>
        <v>19756380</v>
      </c>
      <c r="IE6" s="296">
        <f>(FC6+FK6+FS6)</f>
        <v>258076</v>
      </c>
      <c r="IF6" s="287">
        <f>IE6*70</f>
        <v>18065320</v>
      </c>
      <c r="IG6" s="8">
        <f>IC6-IE6</f>
        <v>24158</v>
      </c>
      <c r="IH6" s="8">
        <f>IG6*70</f>
        <v>1691060</v>
      </c>
      <c r="II6" s="7">
        <f>IG6/IE6</f>
        <v>9.3608084440242406E-2</v>
      </c>
      <c r="IJ6" s="247">
        <f>(FZ6+GJ6+GT6)/3</f>
        <v>12.666666666666666</v>
      </c>
      <c r="IK6" s="257">
        <f>(GA6+GK6+GU6)</f>
        <v>377128</v>
      </c>
      <c r="IL6" s="171">
        <f>IK6*70</f>
        <v>26398960</v>
      </c>
      <c r="IM6" s="296">
        <f>(GC6+GM6+GW6)</f>
        <v>354652</v>
      </c>
      <c r="IN6" s="287">
        <f>IM6*70</f>
        <v>24825640</v>
      </c>
      <c r="IO6" s="297">
        <f>IK6-IM6</f>
        <v>22476</v>
      </c>
      <c r="IP6" s="8">
        <f>IO6*70</f>
        <v>1573320</v>
      </c>
      <c r="IQ6" s="7">
        <f>IO6/IM6</f>
        <v>6.337480121358402E-2</v>
      </c>
      <c r="IS6" s="247">
        <v>23</v>
      </c>
      <c r="IT6" s="257">
        <v>228168</v>
      </c>
      <c r="IU6" s="171">
        <f t="shared" ref="IU6:IU11" si="92">IT6*80</f>
        <v>18253440</v>
      </c>
      <c r="IV6" s="248">
        <v>216928</v>
      </c>
      <c r="IW6" s="249">
        <f t="shared" ref="IW6:IW18" si="93">IV6*80</f>
        <v>17354240</v>
      </c>
      <c r="IX6" s="1523">
        <f>IT6*1%</f>
        <v>2281.6799999999998</v>
      </c>
      <c r="IY6" s="9">
        <v>3342</v>
      </c>
      <c r="IZ6" s="267">
        <f t="shared" ref="IZ6:IZ11" si="94">IT6-IV6-IX6-IY6</f>
        <v>5616.32</v>
      </c>
      <c r="JA6" s="851">
        <f t="shared" ref="JA6:JA11" si="95">IZ6*80</f>
        <v>449305.59999999998</v>
      </c>
      <c r="JB6" s="10">
        <f>JA6/IU6</f>
        <v>2.4614845201781144E-2</v>
      </c>
      <c r="JC6" s="11">
        <v>24</v>
      </c>
      <c r="JD6" s="171">
        <v>267688</v>
      </c>
      <c r="JE6" s="171">
        <f t="shared" ref="JE6:JE11" si="96">JD6*80</f>
        <v>21415040</v>
      </c>
      <c r="JF6" s="248">
        <v>252584</v>
      </c>
      <c r="JG6" s="249">
        <f t="shared" ref="JG6:JG11" si="97">JF6*80</f>
        <v>20206720</v>
      </c>
      <c r="JH6" s="1523">
        <f>JD6*1%</f>
        <v>2676.88</v>
      </c>
      <c r="JI6" s="9">
        <v>3342</v>
      </c>
      <c r="JJ6" s="267">
        <f t="shared" ref="JJ6:JJ11" si="98">JD6-JF6-JH6-JI6</f>
        <v>9085.119999999999</v>
      </c>
      <c r="JK6" s="9">
        <f t="shared" ref="JK6:JK11" si="99">JJ6*80</f>
        <v>726809.59999999986</v>
      </c>
      <c r="JL6" s="10">
        <f t="shared" si="13"/>
        <v>3.3939212814918851E-2</v>
      </c>
      <c r="JM6" s="14">
        <v>27</v>
      </c>
      <c r="JN6" s="171">
        <v>301356</v>
      </c>
      <c r="JO6" s="171">
        <f t="shared" ref="JO6:JO11" si="100">JN6*80</f>
        <v>24108480</v>
      </c>
      <c r="JP6" s="245">
        <v>289388</v>
      </c>
      <c r="JQ6" s="176">
        <f t="shared" ref="JQ6:JQ11" si="101">JP6*80</f>
        <v>23151040</v>
      </c>
      <c r="JR6" s="1523">
        <f>JN6*1%</f>
        <v>3013.56</v>
      </c>
      <c r="JS6" s="171">
        <v>5188</v>
      </c>
      <c r="JT6" s="267">
        <f t="shared" ref="JT6:JT11" si="102">JN6-JP6-JR6-JS6</f>
        <v>3766.4400000000005</v>
      </c>
      <c r="JU6" s="851">
        <f t="shared" ref="JU6:JU18" si="103">JT6*80</f>
        <v>301315.20000000007</v>
      </c>
      <c r="JV6" s="10">
        <f t="shared" si="14"/>
        <v>1.2498307649424605E-2</v>
      </c>
      <c r="JW6" s="13">
        <v>26</v>
      </c>
      <c r="JX6" s="171">
        <v>284704</v>
      </c>
      <c r="JY6" s="171">
        <f t="shared" ref="JY6:JY11" si="104">JX6*80</f>
        <v>22776320</v>
      </c>
      <c r="JZ6" s="245">
        <v>270256</v>
      </c>
      <c r="KA6" s="176">
        <f t="shared" ref="KA6:KA11" si="105">JZ6*80</f>
        <v>21620480</v>
      </c>
      <c r="KB6" s="1523">
        <f>JX6*1%</f>
        <v>2847.04</v>
      </c>
      <c r="KC6" s="171">
        <v>5188</v>
      </c>
      <c r="KD6" s="267">
        <f t="shared" ref="KD6:KD11" si="106">JX6-JZ6-KB6-KC6</f>
        <v>6412.9599999999991</v>
      </c>
      <c r="KE6" s="849">
        <f t="shared" ref="KE6:KE11" si="107">KD6*80</f>
        <v>513036.79999999993</v>
      </c>
      <c r="KF6" s="10">
        <f t="shared" si="15"/>
        <v>2.2525008429807796E-2</v>
      </c>
      <c r="KG6" s="11">
        <v>30</v>
      </c>
      <c r="KH6" s="171">
        <v>369628</v>
      </c>
      <c r="KI6" s="171">
        <f t="shared" ref="KI6:KI11" si="108">KH6*80</f>
        <v>29570240</v>
      </c>
      <c r="KJ6" s="245">
        <v>348092</v>
      </c>
      <c r="KK6" s="176">
        <f t="shared" ref="KK6:KK11" si="109">KJ6*80</f>
        <v>27847360</v>
      </c>
      <c r="KL6" s="1523">
        <f>KH6*1%</f>
        <v>3696.28</v>
      </c>
      <c r="KM6" s="171">
        <f>5188-673</f>
        <v>4515</v>
      </c>
      <c r="KN6" s="267">
        <f t="shared" ref="KN6:KN11" si="110">KH6-KJ6-KL6-KM6</f>
        <v>13324.720000000001</v>
      </c>
      <c r="KO6" s="171">
        <f t="shared" ref="KO6:KO11" si="111">KN6*80</f>
        <v>1065977.6000000001</v>
      </c>
      <c r="KP6" s="10">
        <f t="shared" si="16"/>
        <v>3.6049000616836392E-2</v>
      </c>
      <c r="KQ6" s="13">
        <v>33</v>
      </c>
      <c r="KR6" s="171">
        <v>369528</v>
      </c>
      <c r="KS6" s="171">
        <f t="shared" ref="KS6:KS11" si="112">KR6*80</f>
        <v>29562240</v>
      </c>
      <c r="KT6" s="245">
        <v>348035</v>
      </c>
      <c r="KU6" s="176">
        <f t="shared" ref="KU6:KU11" si="113">KT6*80</f>
        <v>27842800</v>
      </c>
      <c r="KV6" s="1523">
        <f>KR6*1%</f>
        <v>3695.28</v>
      </c>
      <c r="KW6" s="171">
        <f>5188-673</f>
        <v>4515</v>
      </c>
      <c r="KX6" s="267">
        <f t="shared" ref="KX6:KX11" si="114">KR6-KT6-KV6-KW6</f>
        <v>13282.720000000001</v>
      </c>
      <c r="KY6" s="849">
        <f t="shared" ref="KY6:KY11" si="115">KX6*80</f>
        <v>1062617.6000000001</v>
      </c>
      <c r="KZ6" s="10">
        <f t="shared" si="17"/>
        <v>3.5945097529821828E-2</v>
      </c>
      <c r="LA6" s="11">
        <v>30</v>
      </c>
      <c r="LB6" s="171">
        <v>392544</v>
      </c>
      <c r="LC6" s="171">
        <f t="shared" ref="LC6:LC18" si="116">LB6*80</f>
        <v>31403520</v>
      </c>
      <c r="LD6" s="245">
        <v>371916</v>
      </c>
      <c r="LE6" s="176">
        <f t="shared" ref="LE6:LE18" si="117">LD6*80</f>
        <v>29753280</v>
      </c>
      <c r="LF6" s="1523">
        <f>LB6*1%</f>
        <v>3925.44</v>
      </c>
      <c r="LG6" s="171">
        <f>5188-673-1175</f>
        <v>3340</v>
      </c>
      <c r="LH6" s="267">
        <f t="shared" ref="LH6:LH11" si="118">LB6-LD6-LF6-LG6</f>
        <v>13362.560000000001</v>
      </c>
      <c r="LI6" s="849">
        <f t="shared" ref="LI6:LI11" si="119">LH6*80</f>
        <v>1069004.8</v>
      </c>
      <c r="LJ6" s="10">
        <f t="shared" si="18"/>
        <v>3.4040922801010842E-2</v>
      </c>
      <c r="LK6" s="13">
        <v>32</v>
      </c>
      <c r="LL6" s="171">
        <v>354055</v>
      </c>
      <c r="LM6" s="171">
        <f t="shared" ref="LM6:LM11" si="120">LL6*80</f>
        <v>28324400</v>
      </c>
      <c r="LN6" s="245">
        <v>334585</v>
      </c>
      <c r="LO6" s="176">
        <f t="shared" ref="LO6:LO18" si="121">LN6*80</f>
        <v>26766800</v>
      </c>
      <c r="LP6" s="1523">
        <f>LL6*1%</f>
        <v>3540.55</v>
      </c>
      <c r="LQ6" s="171">
        <f>5188-351</f>
        <v>4837</v>
      </c>
      <c r="LR6" s="267">
        <f t="shared" ref="LR6:LR11" si="122">LL6-LN6-LP6-LQ6</f>
        <v>11092.45</v>
      </c>
      <c r="LS6" s="849">
        <f t="shared" ref="LS6:LS18" si="123">LR6*80</f>
        <v>887396</v>
      </c>
      <c r="LT6" s="10">
        <f t="shared" si="19"/>
        <v>3.1329736905283075E-2</v>
      </c>
      <c r="LU6" s="177">
        <v>28</v>
      </c>
      <c r="LV6" s="171">
        <v>338998</v>
      </c>
      <c r="LW6" s="171">
        <f t="shared" ref="LW6:LW11" si="124">LV6*80</f>
        <v>27119840</v>
      </c>
      <c r="LX6" s="245">
        <v>320314</v>
      </c>
      <c r="LY6" s="176">
        <f t="shared" ref="LY6:LY11" si="125">LX6*80</f>
        <v>25625120</v>
      </c>
      <c r="LZ6" s="1523">
        <f>LV6*1%</f>
        <v>3389.98</v>
      </c>
      <c r="MA6" s="268">
        <f>5188-351+12</f>
        <v>4849</v>
      </c>
      <c r="MB6" s="267">
        <f t="shared" ref="MB6:MB11" si="126">LV6-LX6-LZ6-MA6</f>
        <v>10445.02</v>
      </c>
      <c r="MC6" s="171">
        <f t="shared" ref="MC6:MC11" si="127">MB6*80</f>
        <v>835601.60000000009</v>
      </c>
      <c r="MD6" s="10">
        <f t="shared" si="20"/>
        <v>3.081145021504552E-2</v>
      </c>
      <c r="ME6" s="177">
        <v>27</v>
      </c>
      <c r="MF6" s="171">
        <v>322816</v>
      </c>
      <c r="MG6" s="176">
        <f t="shared" ref="MG6:MG18" si="128">MF6*80</f>
        <v>25825280</v>
      </c>
      <c r="MH6" s="171">
        <v>309060</v>
      </c>
      <c r="MI6" s="176">
        <f t="shared" ref="MI6:MI18" si="129">MH6*80</f>
        <v>24724800</v>
      </c>
      <c r="MJ6" s="1523">
        <f>MF6*1%</f>
        <v>3228.16</v>
      </c>
      <c r="MK6" s="268">
        <f>5188-1302</f>
        <v>3886</v>
      </c>
      <c r="ML6" s="171">
        <f t="shared" ref="ML6:ML11" si="130">MF6-MH6-MJ6-MK6</f>
        <v>6641.84</v>
      </c>
      <c r="MM6" s="849">
        <f t="shared" ref="MM6:MM18" si="131">ML6*80</f>
        <v>531347.19999999995</v>
      </c>
      <c r="MN6" s="10">
        <f t="shared" si="21"/>
        <v>2.057469270420301E-2</v>
      </c>
      <c r="MO6" s="13">
        <v>26</v>
      </c>
      <c r="MP6" s="14">
        <v>310011</v>
      </c>
      <c r="MQ6" s="176">
        <f t="shared" ref="MQ6:MQ18" si="132">MP6*80</f>
        <v>24800880</v>
      </c>
      <c r="MR6" s="171">
        <v>296465</v>
      </c>
      <c r="MS6" s="171">
        <f t="shared" ref="MS6:MS18" si="133">MR6*80</f>
        <v>23717200</v>
      </c>
      <c r="MT6" s="1523">
        <f>MP6*1%</f>
        <v>3100.11</v>
      </c>
      <c r="MU6" s="268">
        <f>5188-1602</f>
        <v>3586</v>
      </c>
      <c r="MV6" s="171">
        <f t="shared" ref="MV6:MV11" si="134">MP6-MR6-MT6-MU6</f>
        <v>6859.8899999999994</v>
      </c>
      <c r="MW6" s="171">
        <f t="shared" ref="MW6:MW18" si="135">MV6*80</f>
        <v>548791.19999999995</v>
      </c>
      <c r="MX6" s="55">
        <f t="shared" si="22"/>
        <v>2.2127892236081942E-2</v>
      </c>
      <c r="MY6" s="13">
        <v>30</v>
      </c>
      <c r="MZ6" s="171">
        <f>353152+2304</f>
        <v>355456</v>
      </c>
      <c r="NA6" s="171">
        <f t="shared" ref="NA6:NA12" si="136">MZ6*80</f>
        <v>28436480</v>
      </c>
      <c r="NB6" s="267">
        <f>336570+1920</f>
        <v>338490</v>
      </c>
      <c r="NC6" s="268">
        <f t="shared" ref="NC6:NC12" si="137">NB6*80</f>
        <v>27079200</v>
      </c>
      <c r="ND6" s="1524">
        <f>MZ6*1%</f>
        <v>3554.56</v>
      </c>
      <c r="NE6" s="171">
        <v>2800</v>
      </c>
      <c r="NF6" s="267">
        <f t="shared" ref="NF6:NF12" si="138">MZ6-NB6-ND6-NE6</f>
        <v>10611.44</v>
      </c>
      <c r="NG6" s="9">
        <f>NF6*80</f>
        <v>848915.20000000007</v>
      </c>
      <c r="NH6" s="10">
        <f t="shared" si="23"/>
        <v>2.9853033849477857E-2</v>
      </c>
      <c r="NI6" s="9">
        <v>30</v>
      </c>
      <c r="NJ6" s="9">
        <f t="shared" si="24"/>
        <v>3894952</v>
      </c>
      <c r="NK6" s="9">
        <f t="shared" si="24"/>
        <v>311596160</v>
      </c>
      <c r="NL6" s="1518">
        <f t="shared" si="24"/>
        <v>3696113</v>
      </c>
      <c r="NM6" s="1519">
        <f t="shared" si="24"/>
        <v>295689040</v>
      </c>
      <c r="NN6" s="1518">
        <f t="shared" ref="NN6:NO18" si="139">NF6+MV6+ML6+MB6+LR6+LH6+KX6+KN6+KD6+JT6+JJ6+IZ6</f>
        <v>110501.48000000001</v>
      </c>
      <c r="NO6" s="9">
        <f t="shared" si="139"/>
        <v>8840118.3999999985</v>
      </c>
      <c r="NP6" s="10">
        <f t="shared" ref="NP6:NP12" si="140">NO6/NK6</f>
        <v>2.8370434346816079E-2</v>
      </c>
      <c r="NQ6" s="18">
        <f>(IS6+JC6+JM6)/3</f>
        <v>24.666666666666668</v>
      </c>
      <c r="NR6" s="9">
        <f t="shared" si="25"/>
        <v>797212</v>
      </c>
      <c r="NS6" s="9">
        <f t="shared" si="25"/>
        <v>63776960</v>
      </c>
      <c r="NT6" s="57">
        <f t="shared" si="25"/>
        <v>758900</v>
      </c>
      <c r="NU6" s="58">
        <f t="shared" si="25"/>
        <v>60712000</v>
      </c>
      <c r="NV6" s="9">
        <f>IZ6+JJ6+JT6</f>
        <v>18467.879999999997</v>
      </c>
      <c r="NW6" s="9">
        <f t="shared" ref="NW6:NW12" si="141">JA6+JK6+JU6</f>
        <v>1477430.4</v>
      </c>
      <c r="NX6" s="10">
        <f t="shared" ref="NX6:NX12" si="142">NW6/NS6</f>
        <v>2.3165582053456292E-2</v>
      </c>
      <c r="NY6" s="177">
        <f t="shared" ref="NY6:NY12" si="143">(JW6+KG6+KQ6)/3</f>
        <v>29.666666666666668</v>
      </c>
      <c r="NZ6" s="171">
        <f t="shared" ref="NZ6:OC12" si="144">JX6+KH6+KR6</f>
        <v>1023860</v>
      </c>
      <c r="OA6" s="171">
        <f t="shared" si="144"/>
        <v>81908800</v>
      </c>
      <c r="OB6" s="245">
        <f t="shared" si="144"/>
        <v>966383</v>
      </c>
      <c r="OC6" s="176">
        <f t="shared" si="144"/>
        <v>77310640</v>
      </c>
      <c r="OD6" s="171">
        <f t="shared" ref="OD6:OE12" si="145">KD6+KN6+KX6</f>
        <v>33020.400000000001</v>
      </c>
      <c r="OE6" s="171">
        <f t="shared" si="145"/>
        <v>2641632</v>
      </c>
      <c r="OF6" s="10">
        <f>OE6/OA6</f>
        <v>3.2250893676869882E-2</v>
      </c>
      <c r="OG6" s="177">
        <f t="shared" ref="OG6:OG12" si="146">(LA6+LK6+LU6)/3</f>
        <v>30</v>
      </c>
      <c r="OH6" s="171">
        <f t="shared" ref="OH6:OK12" si="147">LB6+LL6+LV6</f>
        <v>1085597</v>
      </c>
      <c r="OI6" s="171">
        <f t="shared" si="147"/>
        <v>86847760</v>
      </c>
      <c r="OJ6" s="171">
        <f t="shared" si="147"/>
        <v>1026815</v>
      </c>
      <c r="OK6" s="171">
        <f t="shared" si="147"/>
        <v>82145200</v>
      </c>
      <c r="OL6" s="171">
        <f t="shared" ref="OL6:OM12" si="148">LH6+LR6+MB6</f>
        <v>34900.03</v>
      </c>
      <c r="OM6" s="171">
        <f t="shared" si="148"/>
        <v>2792002.4000000004</v>
      </c>
      <c r="ON6" s="55">
        <f t="shared" ref="ON6:ON12" si="149">OM6/OI6</f>
        <v>3.2148237329322024E-2</v>
      </c>
      <c r="OO6" s="13">
        <v>30</v>
      </c>
      <c r="OP6" s="9">
        <f t="shared" ref="OP6:OS16" si="150">MF6+MP6+MZ6</f>
        <v>988283</v>
      </c>
      <c r="OQ6" s="9">
        <f t="shared" si="150"/>
        <v>79062640</v>
      </c>
      <c r="OR6" s="1518">
        <f t="shared" si="150"/>
        <v>944015</v>
      </c>
      <c r="OS6" s="1519">
        <f t="shared" si="150"/>
        <v>75521200</v>
      </c>
      <c r="OT6" s="9">
        <f t="shared" ref="OT6:OU16" si="151">ML6+MV6+NF6</f>
        <v>24113.17</v>
      </c>
      <c r="OU6" s="9">
        <f t="shared" si="151"/>
        <v>1929053.6</v>
      </c>
      <c r="OV6" s="10">
        <f>OU6/OQ6</f>
        <v>2.4399053712347577E-2</v>
      </c>
      <c r="OX6" s="247">
        <v>30</v>
      </c>
      <c r="OY6" s="853">
        <v>372440</v>
      </c>
      <c r="OZ6" s="171">
        <f>OY6*80</f>
        <v>29795200</v>
      </c>
      <c r="PA6" s="854">
        <v>353416</v>
      </c>
      <c r="PB6" s="249">
        <f>PA6*80</f>
        <v>28273280</v>
      </c>
      <c r="PC6" s="851">
        <f>OY6*1%</f>
        <v>3724.4</v>
      </c>
      <c r="PD6" s="9">
        <v>2595</v>
      </c>
      <c r="PE6" s="267">
        <f t="shared" ref="PE6:PE18" si="152">OY6-PA6-PC6-PD6</f>
        <v>12704.6</v>
      </c>
      <c r="PF6" s="9">
        <f>PE6*80</f>
        <v>1016368</v>
      </c>
      <c r="PG6" s="10">
        <f>PF6/OZ6</f>
        <v>3.4111803243475458E-2</v>
      </c>
      <c r="PH6" s="11">
        <v>28</v>
      </c>
      <c r="PI6" s="855">
        <v>399566</v>
      </c>
      <c r="PJ6" s="171">
        <f>PI6*80</f>
        <v>31965280</v>
      </c>
      <c r="PK6" s="854">
        <v>378162</v>
      </c>
      <c r="PL6" s="249">
        <f>PK6*80</f>
        <v>30252960</v>
      </c>
      <c r="PM6" s="851">
        <f>PI6*1%</f>
        <v>3995.6600000000003</v>
      </c>
      <c r="PN6" s="9">
        <v>2980</v>
      </c>
      <c r="PO6" s="267">
        <f t="shared" ref="PO6:PO18" si="153">PI6-PK6-PM6-PN6</f>
        <v>14428.34</v>
      </c>
      <c r="PP6" s="9">
        <f>PO6*80</f>
        <v>1154267.2</v>
      </c>
      <c r="PQ6" s="10">
        <f>PP6/PJ6</f>
        <v>3.6110029381879336E-2</v>
      </c>
      <c r="PR6" s="14">
        <v>27</v>
      </c>
      <c r="PS6" s="171">
        <v>363658</v>
      </c>
      <c r="PT6" s="171">
        <f>PS6*80</f>
        <v>29092640</v>
      </c>
      <c r="PU6" s="245">
        <v>345382</v>
      </c>
      <c r="PV6" s="249">
        <f>PU6*80</f>
        <v>27630560</v>
      </c>
      <c r="PW6" s="851">
        <f>PS6*1%</f>
        <v>3636.58</v>
      </c>
      <c r="PX6" s="9">
        <v>2918</v>
      </c>
      <c r="PY6" s="245">
        <f t="shared" ref="PY6:PY18" si="154">PS6-PU6-PW6-PX6</f>
        <v>11721.42</v>
      </c>
      <c r="PZ6" s="9">
        <f>PY6*80</f>
        <v>937713.6</v>
      </c>
      <c r="QA6" s="10">
        <f>PZ6/PT6</f>
        <v>3.2231987196761791E-2</v>
      </c>
      <c r="QB6" s="13">
        <v>22</v>
      </c>
      <c r="QC6" s="171">
        <v>248362</v>
      </c>
      <c r="QD6" s="171">
        <f>QC6*80</f>
        <v>19868960</v>
      </c>
      <c r="QE6" s="245">
        <v>231818</v>
      </c>
      <c r="QF6" s="249">
        <f>QE6*80</f>
        <v>18545440</v>
      </c>
      <c r="QG6" s="851">
        <f>QC6*1%</f>
        <v>2483.62</v>
      </c>
      <c r="QH6" s="9">
        <v>3066</v>
      </c>
      <c r="QI6" s="267">
        <f t="shared" ref="QI6:QI18" si="155">QC6-QE6-QG6-QH6</f>
        <v>10994.380000000001</v>
      </c>
      <c r="QJ6" s="9">
        <f>QI6*80</f>
        <v>879550.40000000014</v>
      </c>
      <c r="QK6" s="10">
        <f>QJ6/QD6</f>
        <v>4.4267561060065554E-2</v>
      </c>
      <c r="QL6" s="11">
        <v>23</v>
      </c>
      <c r="QM6" s="171">
        <v>311452</v>
      </c>
      <c r="QN6" s="171">
        <f t="shared" ref="QN6:QN18" si="156">QM6*80</f>
        <v>24916160</v>
      </c>
      <c r="QO6" s="245">
        <v>290628</v>
      </c>
      <c r="QP6" s="176">
        <f>QO6*80</f>
        <v>23250240</v>
      </c>
      <c r="QQ6" s="849">
        <f>QM6*1%</f>
        <v>3114.52</v>
      </c>
      <c r="QR6" s="171">
        <v>2508</v>
      </c>
      <c r="QS6" s="267">
        <f t="shared" ref="QS6:QS18" si="157">QM6-QO6-QQ6-QR6</f>
        <v>15201.48</v>
      </c>
      <c r="QT6" s="171">
        <f>QS6*80</f>
        <v>1216118.3999999999</v>
      </c>
      <c r="QU6" s="10">
        <f>QT6/QN6</f>
        <v>4.880841991703376E-2</v>
      </c>
      <c r="QV6" s="13">
        <v>25</v>
      </c>
      <c r="QW6" s="171">
        <v>300780</v>
      </c>
      <c r="QX6" s="171">
        <f t="shared" ref="QX6:QX17" si="158">QW6*80</f>
        <v>24062400</v>
      </c>
      <c r="QY6" s="245">
        <v>281520</v>
      </c>
      <c r="QZ6" s="176">
        <f t="shared" ref="QZ6:QZ17" si="159">QY6*80</f>
        <v>22521600</v>
      </c>
      <c r="RA6" s="849">
        <f>QW6*1%</f>
        <v>3007.8</v>
      </c>
      <c r="RB6" s="171">
        <f>2739+(375)</f>
        <v>3114</v>
      </c>
      <c r="RC6" s="245">
        <f t="shared" ref="RC6:RC17" si="160">QW6-QY6-RA6-RB6</f>
        <v>13138.2</v>
      </c>
      <c r="RD6" s="849">
        <f t="shared" ref="RD6:RD18" si="161">RC6*80</f>
        <v>1051056</v>
      </c>
      <c r="RE6" s="10">
        <f>RD6/QX6</f>
        <v>4.3680430879712746E-2</v>
      </c>
      <c r="RF6" s="11">
        <v>25</v>
      </c>
      <c r="RG6" s="171">
        <v>327076</v>
      </c>
      <c r="RH6" s="171">
        <f>RG6*80</f>
        <v>26166080</v>
      </c>
      <c r="RI6" s="245">
        <v>308992</v>
      </c>
      <c r="RJ6" s="176">
        <f t="shared" ref="RJ6:RJ12" si="162">RI6*80</f>
        <v>24719360</v>
      </c>
      <c r="RK6" s="1524">
        <f>RG6*1%</f>
        <v>3270.76</v>
      </c>
      <c r="RL6" s="171">
        <v>2868</v>
      </c>
      <c r="RM6" s="245">
        <f t="shared" ref="RM6:RM12" si="163">RG6-RI6-RK6-RL6</f>
        <v>11945.24</v>
      </c>
      <c r="RN6" s="171">
        <f t="shared" ref="RN6:RN12" si="164">RM6*80</f>
        <v>955619.2</v>
      </c>
      <c r="RO6" s="10">
        <f>RN6/RH6</f>
        <v>3.6521297802345629E-2</v>
      </c>
      <c r="RP6" s="13">
        <v>23</v>
      </c>
      <c r="RQ6" s="171">
        <v>286808</v>
      </c>
      <c r="RR6" s="171">
        <f t="shared" ref="RR6:RR11" si="165">RQ6*80</f>
        <v>22944640</v>
      </c>
      <c r="RS6" s="245">
        <v>270244</v>
      </c>
      <c r="RT6" s="176">
        <f t="shared" ref="RT6:RT12" si="166">RS6*80</f>
        <v>21619520</v>
      </c>
      <c r="RU6" s="1524">
        <f>RQ6*1%</f>
        <v>2868.08</v>
      </c>
      <c r="RV6" s="171">
        <v>2148</v>
      </c>
      <c r="RW6" s="245">
        <f>RQ6-RS6-RU6-RV6</f>
        <v>11547.92</v>
      </c>
      <c r="RX6" s="171">
        <f>RW6*80</f>
        <v>923833.6</v>
      </c>
      <c r="RY6" s="10">
        <f>RX6/RR6</f>
        <v>4.0263590973752476E-2</v>
      </c>
      <c r="RZ6" s="177">
        <v>22</v>
      </c>
      <c r="SA6" s="171">
        <v>263643</v>
      </c>
      <c r="SB6" s="171">
        <f t="shared" ref="SB6:SB12" si="167">SA6*80</f>
        <v>21091440</v>
      </c>
      <c r="SC6" s="245">
        <v>250225</v>
      </c>
      <c r="SD6" s="176">
        <f>SC6*80</f>
        <v>20018000</v>
      </c>
      <c r="SE6" s="849">
        <f>SA6*1%</f>
        <v>2636.43</v>
      </c>
      <c r="SF6" s="171">
        <v>1957</v>
      </c>
      <c r="SG6" s="245">
        <f t="shared" ref="SG6:SG17" si="168">SA6-SC6-SE6-SF6</f>
        <v>8824.57</v>
      </c>
      <c r="SH6" s="171">
        <f>SG6*80</f>
        <v>705965.6</v>
      </c>
      <c r="SI6" s="10">
        <f>SH6/SB6</f>
        <v>3.3471664333966762E-2</v>
      </c>
      <c r="SJ6" s="177">
        <v>23</v>
      </c>
      <c r="SK6" s="171">
        <v>295580</v>
      </c>
      <c r="SL6" s="176">
        <f>SK6*80</f>
        <v>23646400</v>
      </c>
      <c r="SM6" s="171">
        <v>279356</v>
      </c>
      <c r="SN6" s="176">
        <f>SM6*80</f>
        <v>22348480</v>
      </c>
      <c r="SO6" s="849">
        <f>SK6*1%</f>
        <v>2955.8</v>
      </c>
      <c r="SP6" s="171">
        <v>1957</v>
      </c>
      <c r="SQ6" s="245">
        <f t="shared" ref="SQ6:SQ17" si="169">SK6-SM6-SO6-SP6</f>
        <v>11311.2</v>
      </c>
      <c r="SR6" s="171">
        <f>SQ6*80</f>
        <v>904896</v>
      </c>
      <c r="SS6" s="10">
        <f t="shared" si="26"/>
        <v>3.82678124365654E-2</v>
      </c>
      <c r="ST6" s="13">
        <v>23</v>
      </c>
      <c r="SU6" s="171">
        <v>288612</v>
      </c>
      <c r="SV6" s="176">
        <f t="shared" si="27"/>
        <v>23088960</v>
      </c>
      <c r="SW6" s="171">
        <v>271928</v>
      </c>
      <c r="SX6" s="171">
        <f t="shared" ref="SX6:SX17" si="170">SW6*80</f>
        <v>21754240</v>
      </c>
      <c r="SY6" s="1522">
        <f>SU6*1%</f>
        <v>2886.12</v>
      </c>
      <c r="SZ6" s="176">
        <v>2155</v>
      </c>
      <c r="TA6" s="245">
        <f t="shared" ref="TA6:TA17" si="171">SU6-SW6-SY6-SZ6</f>
        <v>11642.880000000001</v>
      </c>
      <c r="TB6" s="171">
        <f t="shared" si="28"/>
        <v>931430.40000000014</v>
      </c>
      <c r="TC6" s="10">
        <f t="shared" si="29"/>
        <v>4.0340942164566969E-2</v>
      </c>
      <c r="TD6" s="13">
        <v>19</v>
      </c>
      <c r="TE6" s="171">
        <v>224482</v>
      </c>
      <c r="TF6" s="176">
        <f t="shared" si="30"/>
        <v>17958560</v>
      </c>
      <c r="TG6" s="171">
        <v>211758</v>
      </c>
      <c r="TH6" s="171">
        <f t="shared" ref="TH6:TH17" si="172">TG6*80</f>
        <v>16940640</v>
      </c>
      <c r="TI6" s="1522">
        <f>TE6*1%</f>
        <v>2244.8200000000002</v>
      </c>
      <c r="TJ6" s="176">
        <v>2155</v>
      </c>
      <c r="TK6" s="245">
        <f t="shared" ref="TK6:TK17" si="173">TE6-TG6-TI6-TJ6</f>
        <v>8324.18</v>
      </c>
      <c r="TL6" s="171">
        <f t="shared" si="31"/>
        <v>665934.4</v>
      </c>
      <c r="TM6" s="10">
        <f t="shared" si="32"/>
        <v>3.7081725929027719E-2</v>
      </c>
      <c r="TN6" s="59">
        <v>19</v>
      </c>
      <c r="TO6" s="9">
        <f t="shared" si="33"/>
        <v>3682459</v>
      </c>
      <c r="TP6" s="9">
        <f t="shared" si="33"/>
        <v>294596720</v>
      </c>
      <c r="TQ6" s="57">
        <f t="shared" si="33"/>
        <v>3473429</v>
      </c>
      <c r="TR6" s="58">
        <f t="shared" si="33"/>
        <v>277874320</v>
      </c>
      <c r="TS6" s="9">
        <f t="shared" si="34"/>
        <v>141784.41</v>
      </c>
      <c r="TT6" s="9">
        <f t="shared" si="34"/>
        <v>11342752.799999999</v>
      </c>
      <c r="TU6" s="10">
        <f>TT6/TP6</f>
        <v>3.8502644564406552E-2</v>
      </c>
      <c r="TV6" s="18">
        <v>28</v>
      </c>
      <c r="TW6" s="9">
        <f t="shared" si="35"/>
        <v>1135664</v>
      </c>
      <c r="TX6" s="9">
        <f t="shared" si="35"/>
        <v>90853120</v>
      </c>
      <c r="TY6" s="57">
        <f t="shared" si="35"/>
        <v>1076960</v>
      </c>
      <c r="TZ6" s="58">
        <f t="shared" si="35"/>
        <v>86156800</v>
      </c>
      <c r="UA6" s="9">
        <f t="shared" si="36"/>
        <v>38854.36</v>
      </c>
      <c r="UB6" s="9">
        <f t="shared" si="36"/>
        <v>3108348.8000000003</v>
      </c>
      <c r="UC6" s="10">
        <f t="shared" ref="UC6:UC12" si="174">UB6/TX6</f>
        <v>3.4212900998886998E-2</v>
      </c>
      <c r="UD6" s="177">
        <f>(QB6+QL6+QV6)/3</f>
        <v>23.333333333333332</v>
      </c>
      <c r="UE6" s="171">
        <f t="shared" si="37"/>
        <v>860594</v>
      </c>
      <c r="UF6" s="171">
        <f t="shared" si="37"/>
        <v>68847520</v>
      </c>
      <c r="UG6" s="245">
        <f t="shared" si="37"/>
        <v>803966</v>
      </c>
      <c r="UH6" s="176">
        <f t="shared" si="37"/>
        <v>64317280</v>
      </c>
      <c r="UI6" s="171">
        <f t="shared" si="38"/>
        <v>39334.06</v>
      </c>
      <c r="UJ6" s="171">
        <f t="shared" si="38"/>
        <v>3146724.8</v>
      </c>
      <c r="UK6" s="10">
        <f t="shared" si="39"/>
        <v>4.5705710241995642E-2</v>
      </c>
      <c r="UL6" s="177">
        <v>22</v>
      </c>
      <c r="UM6" s="171">
        <f t="shared" si="40"/>
        <v>877527</v>
      </c>
      <c r="UN6" s="171">
        <f t="shared" si="40"/>
        <v>70202160</v>
      </c>
      <c r="UO6" s="171">
        <f t="shared" si="40"/>
        <v>829461</v>
      </c>
      <c r="UP6" s="171">
        <f t="shared" si="40"/>
        <v>66356880</v>
      </c>
      <c r="UQ6" s="171">
        <f t="shared" si="41"/>
        <v>32317.73</v>
      </c>
      <c r="UR6" s="171">
        <f t="shared" si="41"/>
        <v>2585418.4</v>
      </c>
      <c r="US6" s="10">
        <f t="shared" ref="US6:US12" si="175">UR6/UN6</f>
        <v>3.6828188762283096E-2</v>
      </c>
      <c r="UT6" s="13">
        <v>26</v>
      </c>
      <c r="UU6" s="9">
        <f t="shared" si="42"/>
        <v>808674</v>
      </c>
      <c r="UV6" s="9">
        <f t="shared" si="42"/>
        <v>64693920</v>
      </c>
      <c r="UW6" s="9">
        <f t="shared" si="42"/>
        <v>763042</v>
      </c>
      <c r="UX6" s="9">
        <f t="shared" si="42"/>
        <v>61043360</v>
      </c>
      <c r="UY6" s="9">
        <f t="shared" ref="UY6:UZ18" si="176">SQ6+TA6+TK6</f>
        <v>31278.260000000002</v>
      </c>
      <c r="UZ6" s="9">
        <f t="shared" si="176"/>
        <v>2502260.8000000003</v>
      </c>
      <c r="VA6" s="10">
        <f t="shared" ref="VA6:VA12" si="177">UZ6/UV6</f>
        <v>3.8678453863979806E-2</v>
      </c>
      <c r="VC6" s="247">
        <v>19</v>
      </c>
      <c r="VD6" s="257">
        <v>260796</v>
      </c>
      <c r="VE6" s="171">
        <f t="shared" si="43"/>
        <v>20863680</v>
      </c>
      <c r="VF6" s="248">
        <v>243060</v>
      </c>
      <c r="VG6" s="249">
        <f>VF6*80</f>
        <v>19444800</v>
      </c>
      <c r="VH6" s="851">
        <f>VD6*1%</f>
        <v>2607.96</v>
      </c>
      <c r="VI6" s="9">
        <f>672+288+1936</f>
        <v>2896</v>
      </c>
      <c r="VJ6" s="267">
        <f>VD6-VF6-VH6-VI6</f>
        <v>12232.04</v>
      </c>
      <c r="VK6" s="9">
        <f>VJ6*80</f>
        <v>978563.20000000007</v>
      </c>
      <c r="VL6" s="10">
        <f>VK6/VE6</f>
        <v>4.6902713231798038E-2</v>
      </c>
      <c r="VM6" s="11">
        <v>17</v>
      </c>
      <c r="VN6" s="171">
        <v>209618</v>
      </c>
      <c r="VO6" s="171">
        <f t="shared" si="44"/>
        <v>16769440</v>
      </c>
      <c r="VP6" s="248">
        <v>195530</v>
      </c>
      <c r="VQ6" s="249">
        <f t="shared" si="45"/>
        <v>15642400</v>
      </c>
      <c r="VR6" s="851">
        <f>VN6*1%</f>
        <v>2096.1799999999998</v>
      </c>
      <c r="VS6" s="9">
        <f>704+528+2234</f>
        <v>3466</v>
      </c>
      <c r="VT6" s="267">
        <f t="shared" si="46"/>
        <v>8525.82</v>
      </c>
      <c r="VU6" s="9">
        <f t="shared" si="47"/>
        <v>682065.6</v>
      </c>
      <c r="VV6" s="10">
        <f t="shared" si="48"/>
        <v>4.067312921600244E-2</v>
      </c>
      <c r="VW6" s="14">
        <v>18</v>
      </c>
      <c r="VX6" s="171">
        <v>200820</v>
      </c>
      <c r="VY6" s="171">
        <f t="shared" si="49"/>
        <v>16065600</v>
      </c>
      <c r="VZ6" s="245">
        <v>185652</v>
      </c>
      <c r="WA6" s="249">
        <f>VZ6*80</f>
        <v>14852160</v>
      </c>
      <c r="WB6" s="851">
        <f>VX6*1%</f>
        <v>2008.2</v>
      </c>
      <c r="WC6" s="9">
        <v>2666</v>
      </c>
      <c r="WD6" s="245">
        <f t="shared" si="50"/>
        <v>10493.8</v>
      </c>
      <c r="WE6" s="9">
        <f t="shared" si="51"/>
        <v>839504</v>
      </c>
      <c r="WF6" s="10">
        <f t="shared" si="52"/>
        <v>5.2254755502439999E-2</v>
      </c>
      <c r="WG6" s="13">
        <v>19</v>
      </c>
      <c r="WH6" s="171">
        <v>244160</v>
      </c>
      <c r="WI6" s="171">
        <f t="shared" si="53"/>
        <v>19532800</v>
      </c>
      <c r="WJ6" s="245">
        <v>225000</v>
      </c>
      <c r="WK6" s="249">
        <f t="shared" si="54"/>
        <v>18000000</v>
      </c>
      <c r="WL6" s="851">
        <f>WH6*1%</f>
        <v>2441.6</v>
      </c>
      <c r="WM6" s="9">
        <f>608+896+1530</f>
        <v>3034</v>
      </c>
      <c r="WN6" s="245">
        <f t="shared" si="55"/>
        <v>13684.400000000001</v>
      </c>
      <c r="WO6" s="9">
        <f t="shared" si="56"/>
        <v>1094752</v>
      </c>
      <c r="WP6" s="10">
        <f>WO6/WI6</f>
        <v>5.6046854521625167E-2</v>
      </c>
      <c r="WQ6" s="13">
        <v>17</v>
      </c>
      <c r="WR6" s="171">
        <v>205144</v>
      </c>
      <c r="WS6" s="171">
        <f t="shared" si="57"/>
        <v>16411520</v>
      </c>
      <c r="WT6" s="245">
        <v>189584</v>
      </c>
      <c r="WU6" s="249">
        <f t="shared" si="58"/>
        <v>15166720</v>
      </c>
      <c r="WV6" s="851">
        <f>WR6*1%</f>
        <v>2051.44</v>
      </c>
      <c r="WW6" s="9">
        <v>3587</v>
      </c>
      <c r="WX6" s="245">
        <f t="shared" si="59"/>
        <v>9921.56</v>
      </c>
      <c r="WY6" s="9">
        <f t="shared" si="60"/>
        <v>793724.79999999993</v>
      </c>
      <c r="WZ6" s="10">
        <f>WY6/WS6</f>
        <v>4.8363880981164446E-2</v>
      </c>
      <c r="XA6" s="13">
        <v>17</v>
      </c>
      <c r="XB6" s="171">
        <v>196130</v>
      </c>
      <c r="XC6" s="171">
        <f t="shared" si="61"/>
        <v>15690400</v>
      </c>
      <c r="XD6" s="245">
        <v>178211</v>
      </c>
      <c r="XE6" s="176">
        <f t="shared" si="62"/>
        <v>14256880</v>
      </c>
      <c r="XF6" s="851">
        <f>XB6*1%</f>
        <v>1961.3</v>
      </c>
      <c r="XG6" s="171">
        <v>4026</v>
      </c>
      <c r="XH6" s="245">
        <f t="shared" si="63"/>
        <v>11931.7</v>
      </c>
      <c r="XI6" s="849">
        <f t="shared" si="64"/>
        <v>954536</v>
      </c>
      <c r="XJ6" s="10">
        <f>XI6/XC6</f>
        <v>6.0835670218732471E-2</v>
      </c>
      <c r="XK6" s="11">
        <v>17</v>
      </c>
      <c r="XL6" s="171">
        <v>216421</v>
      </c>
      <c r="XM6" s="171">
        <f t="shared" si="65"/>
        <v>17313680</v>
      </c>
      <c r="XN6" s="245">
        <v>197309</v>
      </c>
      <c r="XO6" s="176">
        <f t="shared" si="66"/>
        <v>15784720</v>
      </c>
      <c r="XP6" s="851">
        <f>XL6*1%</f>
        <v>2164.21</v>
      </c>
      <c r="XQ6" s="171">
        <v>2909</v>
      </c>
      <c r="XR6" s="3553">
        <f t="shared" si="67"/>
        <v>14038.79</v>
      </c>
      <c r="XS6" s="171">
        <f t="shared" si="68"/>
        <v>1123103.2000000002</v>
      </c>
      <c r="XT6" s="10">
        <f>XS6/XM6</f>
        <v>6.4867965678007233E-2</v>
      </c>
      <c r="XU6" s="13">
        <v>17</v>
      </c>
      <c r="XV6" s="171">
        <v>172712</v>
      </c>
      <c r="XW6" s="171">
        <f t="shared" si="69"/>
        <v>13816960</v>
      </c>
      <c r="XX6" s="245">
        <v>155411</v>
      </c>
      <c r="XY6" s="176">
        <f t="shared" si="70"/>
        <v>12432880</v>
      </c>
      <c r="XZ6" s="851">
        <f>XV6*1%</f>
        <v>1727.1200000000001</v>
      </c>
      <c r="YA6" s="171">
        <v>0</v>
      </c>
      <c r="YB6" s="245">
        <f t="shared" si="71"/>
        <v>15573.88</v>
      </c>
      <c r="YC6" s="171">
        <f t="shared" si="72"/>
        <v>1245910.3999999999</v>
      </c>
      <c r="YD6" s="10">
        <f>YC6/XW6</f>
        <v>9.0172541572096893E-2</v>
      </c>
      <c r="YE6" s="177">
        <v>21</v>
      </c>
      <c r="YF6" s="171">
        <v>238738</v>
      </c>
      <c r="YG6" s="171">
        <f t="shared" si="73"/>
        <v>19099040</v>
      </c>
      <c r="YH6" s="245">
        <v>219934</v>
      </c>
      <c r="YI6" s="176">
        <f t="shared" si="74"/>
        <v>17594720</v>
      </c>
      <c r="YJ6" s="849">
        <f>YF6*1%</f>
        <v>2387.38</v>
      </c>
      <c r="YK6" s="171"/>
      <c r="YL6" s="245">
        <f>YF6-YH6-YJ6-YK6</f>
        <v>16416.62</v>
      </c>
      <c r="YM6" s="171">
        <f>YL6*80</f>
        <v>1313329.5999999999</v>
      </c>
      <c r="YN6" s="10">
        <f>YM6/YG6</f>
        <v>6.8764168251388549E-2</v>
      </c>
      <c r="YO6" s="177">
        <v>21</v>
      </c>
      <c r="YP6" s="171">
        <v>249200</v>
      </c>
      <c r="YQ6" s="176">
        <f t="shared" si="75"/>
        <v>19936000</v>
      </c>
      <c r="YR6" s="171">
        <v>228807</v>
      </c>
      <c r="YS6" s="176">
        <f t="shared" si="76"/>
        <v>18304560</v>
      </c>
      <c r="YT6" s="849">
        <f>YP6*1%</f>
        <v>2492</v>
      </c>
      <c r="YU6" s="171"/>
      <c r="YV6" s="245">
        <f>YP6-YR6-YT6-YU6</f>
        <v>17901</v>
      </c>
      <c r="YW6" s="171">
        <f>YV6*80</f>
        <v>1432080</v>
      </c>
      <c r="YX6" s="10">
        <f>YW6/YQ6</f>
        <v>7.1833868378812199E-2</v>
      </c>
      <c r="YY6" s="13"/>
      <c r="YZ6" s="171"/>
      <c r="ZA6" s="176">
        <f t="shared" si="77"/>
        <v>0</v>
      </c>
      <c r="ZB6" s="171"/>
      <c r="ZC6" s="171">
        <f t="shared" ref="ZC6:ZC17" si="178">ZB6*80</f>
        <v>0</v>
      </c>
      <c r="ZD6" s="1522">
        <f>YZ6*1%</f>
        <v>0</v>
      </c>
      <c r="ZE6" s="176"/>
      <c r="ZF6" s="245">
        <f t="shared" ref="ZF6:ZF17" si="179">YZ6-ZB6-ZD6-ZE6</f>
        <v>0</v>
      </c>
      <c r="ZG6" s="171">
        <f t="shared" si="78"/>
        <v>0</v>
      </c>
      <c r="ZH6" s="10" t="e">
        <f t="shared" si="79"/>
        <v>#DIV/0!</v>
      </c>
      <c r="ZI6" s="13"/>
      <c r="ZJ6" s="171"/>
      <c r="ZK6" s="176">
        <f t="shared" si="80"/>
        <v>0</v>
      </c>
      <c r="ZL6" s="171"/>
      <c r="ZM6" s="171">
        <f t="shared" ref="ZM6:ZM17" si="180">ZL6*80</f>
        <v>0</v>
      </c>
      <c r="ZN6" s="1522">
        <f>ZJ6*1%</f>
        <v>0</v>
      </c>
      <c r="ZO6" s="176">
        <v>0</v>
      </c>
      <c r="ZP6" s="245">
        <f t="shared" ref="ZP6:ZP17" si="181">ZJ6-ZL6-ZN6-ZO6</f>
        <v>0</v>
      </c>
      <c r="ZQ6" s="171">
        <f t="shared" ref="ZQ6:ZQ11" si="182">ZP6*80</f>
        <v>0</v>
      </c>
      <c r="ZR6" s="10" t="e">
        <f t="shared" si="81"/>
        <v>#DIV/0!</v>
      </c>
      <c r="ZS6" s="59"/>
      <c r="ZT6" s="9">
        <f t="shared" si="82"/>
        <v>2193739</v>
      </c>
      <c r="ZU6" s="9">
        <f t="shared" si="82"/>
        <v>175499120</v>
      </c>
      <c r="ZV6" s="57">
        <f t="shared" si="82"/>
        <v>2018498</v>
      </c>
      <c r="ZW6" s="58">
        <f t="shared" si="82"/>
        <v>161479840</v>
      </c>
      <c r="ZX6" s="9">
        <f t="shared" ref="ZX6:ZX17" si="183">ZP6+ZF6+YV6+YL6+YB6+XR6+XH6+WX6+WN6+WD6+VT6+VJ6</f>
        <v>130719.60999999999</v>
      </c>
      <c r="ZY6" s="9">
        <f t="shared" si="83"/>
        <v>10457568.799999999</v>
      </c>
      <c r="ZZ6" s="10">
        <f>ZY6/ZU6</f>
        <v>5.9587585396439588E-2</v>
      </c>
      <c r="AAA6" s="18">
        <v>18</v>
      </c>
      <c r="AAB6" s="9">
        <f t="shared" si="84"/>
        <v>671234</v>
      </c>
      <c r="AAC6" s="9">
        <f t="shared" si="84"/>
        <v>53698720</v>
      </c>
      <c r="AAD6" s="57">
        <f t="shared" si="84"/>
        <v>624242</v>
      </c>
      <c r="AAE6" s="58">
        <f t="shared" si="84"/>
        <v>49939360</v>
      </c>
      <c r="AAF6" s="9">
        <f t="shared" si="85"/>
        <v>31251.66</v>
      </c>
      <c r="AAG6" s="9">
        <f t="shared" si="85"/>
        <v>2500132.7999999998</v>
      </c>
      <c r="AAH6" s="10">
        <f>AAG6/AAC6</f>
        <v>4.6558517595950144E-2</v>
      </c>
      <c r="AAI6" s="177">
        <f>(WG6+WQ6+XA6)/3</f>
        <v>17.666666666666668</v>
      </c>
      <c r="AAJ6" s="171">
        <f t="shared" si="86"/>
        <v>645434</v>
      </c>
      <c r="AAK6" s="171">
        <f t="shared" si="86"/>
        <v>51634720</v>
      </c>
      <c r="AAL6" s="245">
        <f t="shared" si="86"/>
        <v>592795</v>
      </c>
      <c r="AAM6" s="176">
        <f t="shared" si="86"/>
        <v>47423600</v>
      </c>
      <c r="AAN6" s="171">
        <f t="shared" si="87"/>
        <v>35537.660000000003</v>
      </c>
      <c r="AAO6" s="171">
        <f t="shared" si="87"/>
        <v>2843012.8</v>
      </c>
      <c r="AAP6" s="10">
        <f>AAO6/AAK6</f>
        <v>5.5060099096112071E-2</v>
      </c>
      <c r="AAQ6" s="177">
        <v>22</v>
      </c>
      <c r="AAR6" s="171">
        <f t="shared" si="88"/>
        <v>627871</v>
      </c>
      <c r="AAS6" s="171">
        <f t="shared" si="88"/>
        <v>50229680</v>
      </c>
      <c r="AAT6" s="171">
        <f t="shared" si="88"/>
        <v>572654</v>
      </c>
      <c r="AAU6" s="171">
        <f t="shared" si="88"/>
        <v>45812320</v>
      </c>
      <c r="AAV6" s="171">
        <f t="shared" si="89"/>
        <v>46029.289999999994</v>
      </c>
      <c r="AAW6" s="171">
        <f t="shared" si="89"/>
        <v>3682343.2</v>
      </c>
      <c r="AAX6" s="10">
        <f>AAW6/AAS6</f>
        <v>7.3310106693890945E-2</v>
      </c>
      <c r="AAY6" s="13">
        <v>26</v>
      </c>
      <c r="AAZ6" s="9">
        <f t="shared" si="90"/>
        <v>249200</v>
      </c>
      <c r="ABA6" s="9">
        <f t="shared" si="90"/>
        <v>19936000</v>
      </c>
      <c r="ABB6" s="9">
        <f t="shared" si="90"/>
        <v>228807</v>
      </c>
      <c r="ABC6" s="9">
        <f t="shared" si="90"/>
        <v>18304560</v>
      </c>
      <c r="ABD6" s="9">
        <f t="shared" ref="ABD6:ABE18" si="184">YV6+ZF6+ZP6</f>
        <v>17901</v>
      </c>
      <c r="ABE6" s="9">
        <f t="shared" si="184"/>
        <v>1432080</v>
      </c>
      <c r="ABF6" s="10">
        <f t="shared" si="91"/>
        <v>7.1833868378812199E-2</v>
      </c>
    </row>
    <row r="7" spans="1:734" s="14" customFormat="1" ht="20.95" customHeight="1" x14ac:dyDescent="0.3">
      <c r="A7" s="5">
        <v>3</v>
      </c>
      <c r="B7" s="6" t="s">
        <v>15</v>
      </c>
      <c r="C7" s="228"/>
      <c r="D7" s="5"/>
      <c r="E7" s="171"/>
      <c r="F7" s="171">
        <f>E7*70</f>
        <v>0</v>
      </c>
      <c r="G7" s="245"/>
      <c r="H7" s="176">
        <f>G7*70</f>
        <v>0</v>
      </c>
      <c r="I7" s="171">
        <f>E7-G7</f>
        <v>0</v>
      </c>
      <c r="J7" s="171">
        <f>I7*70</f>
        <v>0</v>
      </c>
      <c r="K7" s="7"/>
      <c r="L7" s="280"/>
      <c r="M7" s="171"/>
      <c r="N7" s="171">
        <f>M7*70</f>
        <v>0</v>
      </c>
      <c r="O7" s="245"/>
      <c r="P7" s="176">
        <f>O7*70</f>
        <v>0</v>
      </c>
      <c r="Q7" s="8">
        <f>M7-O7</f>
        <v>0</v>
      </c>
      <c r="R7" s="8">
        <f>Q7*70</f>
        <v>0</v>
      </c>
      <c r="S7" s="7"/>
      <c r="T7" s="5"/>
      <c r="U7" s="171"/>
      <c r="V7" s="171">
        <f>U7*70</f>
        <v>0</v>
      </c>
      <c r="W7" s="171"/>
      <c r="X7" s="171">
        <f>W7*70</f>
        <v>0</v>
      </c>
      <c r="Y7" s="8">
        <f>U7-W7</f>
        <v>0</v>
      </c>
      <c r="Z7" s="8">
        <f>Y7*70</f>
        <v>0</v>
      </c>
      <c r="AA7" s="7"/>
      <c r="AB7" s="280"/>
      <c r="AC7" s="171"/>
      <c r="AD7" s="171">
        <f>AC7*70</f>
        <v>0</v>
      </c>
      <c r="AE7" s="171"/>
      <c r="AF7" s="171">
        <f>AE7*70</f>
        <v>0</v>
      </c>
      <c r="AG7" s="8">
        <f>AC7-AE7</f>
        <v>0</v>
      </c>
      <c r="AH7" s="8">
        <f>AG7*70</f>
        <v>0</v>
      </c>
      <c r="AI7" s="85"/>
      <c r="AJ7" s="5"/>
      <c r="AK7" s="171"/>
      <c r="AL7" s="171">
        <f>AK7*70</f>
        <v>0</v>
      </c>
      <c r="AM7" s="171"/>
      <c r="AN7" s="171">
        <f>AM7*70</f>
        <v>0</v>
      </c>
      <c r="AO7" s="8">
        <f>AK7-AM7</f>
        <v>0</v>
      </c>
      <c r="AP7" s="8">
        <f>AO7*70</f>
        <v>0</v>
      </c>
      <c r="AQ7" s="7"/>
      <c r="AR7" s="280">
        <v>1</v>
      </c>
      <c r="AS7" s="171">
        <v>12160</v>
      </c>
      <c r="AT7" s="171">
        <f>AS7*70</f>
        <v>851200</v>
      </c>
      <c r="AU7" s="171">
        <v>10640</v>
      </c>
      <c r="AV7" s="171">
        <f>AU7*70</f>
        <v>744800</v>
      </c>
      <c r="AW7" s="8">
        <f>AS7-AU7</f>
        <v>1520</v>
      </c>
      <c r="AX7" s="8">
        <f>AW7*70</f>
        <v>106400</v>
      </c>
      <c r="AY7" s="85">
        <f>AW7/AU7</f>
        <v>0.14285714285714285</v>
      </c>
      <c r="AZ7" s="5">
        <v>1</v>
      </c>
      <c r="BA7" s="171">
        <v>14080</v>
      </c>
      <c r="BB7" s="171">
        <f>BA7*70</f>
        <v>985600</v>
      </c>
      <c r="BC7" s="171">
        <v>12320</v>
      </c>
      <c r="BD7" s="171">
        <f>BC7*70</f>
        <v>862400</v>
      </c>
      <c r="BE7" s="8">
        <f>BA7-BC7</f>
        <v>1760</v>
      </c>
      <c r="BF7" s="8">
        <f>BE7*70</f>
        <v>123200</v>
      </c>
      <c r="BG7" s="7">
        <f>BE7/BC7</f>
        <v>0.14285714285714285</v>
      </c>
      <c r="BH7" s="280">
        <v>2</v>
      </c>
      <c r="BI7" s="171">
        <v>17560</v>
      </c>
      <c r="BJ7" s="171">
        <f>BI7*70</f>
        <v>1229200</v>
      </c>
      <c r="BK7" s="171">
        <v>15680</v>
      </c>
      <c r="BL7" s="171">
        <f>BK7*70</f>
        <v>1097600</v>
      </c>
      <c r="BM7" s="8">
        <f>BI7-BK7</f>
        <v>1880</v>
      </c>
      <c r="BN7" s="8">
        <f>BM7*70</f>
        <v>131600</v>
      </c>
      <c r="BO7" s="85">
        <f>BM7/BK7</f>
        <v>0.11989795918367346</v>
      </c>
      <c r="BP7" s="5">
        <v>2</v>
      </c>
      <c r="BQ7" s="171">
        <v>26880</v>
      </c>
      <c r="BR7" s="171">
        <f>BQ7*70</f>
        <v>1881600</v>
      </c>
      <c r="BS7" s="171">
        <v>23520</v>
      </c>
      <c r="BT7" s="171">
        <f>BS7*70</f>
        <v>1646400</v>
      </c>
      <c r="BU7" s="8">
        <f>BQ7-BS7</f>
        <v>3360</v>
      </c>
      <c r="BV7" s="8">
        <f>BU7*70</f>
        <v>235200</v>
      </c>
      <c r="BW7" s="7">
        <f t="shared" si="0"/>
        <v>0.14285714285714285</v>
      </c>
      <c r="BX7" s="280">
        <v>3</v>
      </c>
      <c r="BY7" s="171">
        <v>25544</v>
      </c>
      <c r="BZ7" s="171">
        <f>BY7*70</f>
        <v>1788080</v>
      </c>
      <c r="CA7" s="171">
        <v>22648</v>
      </c>
      <c r="CB7" s="171">
        <f>CA7*70</f>
        <v>1585360</v>
      </c>
      <c r="CC7" s="8">
        <f>BY7-CA7</f>
        <v>2896</v>
      </c>
      <c r="CD7" s="8">
        <f>CC7*70</f>
        <v>202720</v>
      </c>
      <c r="CE7" s="85">
        <f>CC7/CA7</f>
        <v>0.12787001059696221</v>
      </c>
      <c r="CF7" s="5">
        <v>3</v>
      </c>
      <c r="CG7" s="171">
        <v>31136</v>
      </c>
      <c r="CH7" s="171">
        <f>CG7*70</f>
        <v>2179520</v>
      </c>
      <c r="CI7" s="171">
        <v>27312</v>
      </c>
      <c r="CJ7" s="171">
        <f>CI7*70</f>
        <v>1911840</v>
      </c>
      <c r="CK7" s="8">
        <f>CG7-CI7</f>
        <v>3824</v>
      </c>
      <c r="CL7" s="8">
        <f>CK7*70</f>
        <v>267680</v>
      </c>
      <c r="CM7" s="7">
        <f>CK7/CI7</f>
        <v>0.14001171646162858</v>
      </c>
      <c r="CN7" s="280">
        <v>5</v>
      </c>
      <c r="CO7" s="171">
        <v>53725</v>
      </c>
      <c r="CP7" s="171">
        <f>CO7*70</f>
        <v>3760750</v>
      </c>
      <c r="CQ7" s="245">
        <v>51194</v>
      </c>
      <c r="CR7" s="176">
        <f>CQ7*70</f>
        <v>3583580</v>
      </c>
      <c r="CS7" s="8">
        <f>CO7-CQ7</f>
        <v>2531</v>
      </c>
      <c r="CT7" s="8">
        <f>CS7*70</f>
        <v>177170</v>
      </c>
      <c r="CU7" s="85">
        <f>CS7/CQ7</f>
        <v>4.9439387428214243E-2</v>
      </c>
      <c r="CV7" s="5">
        <f t="shared" si="1"/>
        <v>17</v>
      </c>
      <c r="CW7" s="257">
        <f t="shared" si="1"/>
        <v>181085</v>
      </c>
      <c r="CX7" s="171">
        <f>CW7*70</f>
        <v>12675950</v>
      </c>
      <c r="CY7" s="257">
        <f>(G7+O7+W7+AE7+AM7+AU7+BC7+BK7+BS7+CA7+CI7+CQ7)</f>
        <v>163314</v>
      </c>
      <c r="CZ7" s="171">
        <f>CY7*70</f>
        <v>11431980</v>
      </c>
      <c r="DA7" s="8">
        <f>CW7-CY7</f>
        <v>17771</v>
      </c>
      <c r="DB7" s="8">
        <f>DA7*70</f>
        <v>1243970</v>
      </c>
      <c r="DC7" s="7">
        <f>DA7/CY7</f>
        <v>0.10881492094982671</v>
      </c>
      <c r="DD7" s="5">
        <v>7</v>
      </c>
      <c r="DE7" s="171">
        <v>90860</v>
      </c>
      <c r="DF7" s="176">
        <f>DE7*70</f>
        <v>6360200</v>
      </c>
      <c r="DG7" s="245">
        <v>79080</v>
      </c>
      <c r="DH7" s="176">
        <f>DG7*70</f>
        <v>5535600</v>
      </c>
      <c r="DI7" s="8">
        <f>DE7-DG7</f>
        <v>11780</v>
      </c>
      <c r="DJ7" s="8">
        <f>DI7*70</f>
        <v>824600</v>
      </c>
      <c r="DK7" s="281">
        <f>DI7/DG7</f>
        <v>0.14896307536671724</v>
      </c>
      <c r="DL7" s="5">
        <v>8</v>
      </c>
      <c r="DM7" s="171">
        <v>97600</v>
      </c>
      <c r="DN7" s="176">
        <f>DM7*70</f>
        <v>6832000</v>
      </c>
      <c r="DO7" s="171">
        <v>85280</v>
      </c>
      <c r="DP7" s="171">
        <f>DO7*70</f>
        <v>5969600</v>
      </c>
      <c r="DQ7" s="282">
        <f>DM7-DO7</f>
        <v>12320</v>
      </c>
      <c r="DR7" s="8">
        <f>DQ7*70</f>
        <v>862400</v>
      </c>
      <c r="DS7" s="281">
        <f>DQ7/DO7</f>
        <v>0.14446529080675422</v>
      </c>
      <c r="DT7" s="280">
        <v>8</v>
      </c>
      <c r="DU7" s="171">
        <v>104298</v>
      </c>
      <c r="DV7" s="176">
        <f>DU7*70</f>
        <v>7300860</v>
      </c>
      <c r="DW7" s="245">
        <v>91399</v>
      </c>
      <c r="DX7" s="176">
        <f>DW7*70</f>
        <v>6397930</v>
      </c>
      <c r="DY7" s="8">
        <f>DU7-DW7</f>
        <v>12899</v>
      </c>
      <c r="DZ7" s="8">
        <f>DY7*70</f>
        <v>902930</v>
      </c>
      <c r="EA7" s="283">
        <f>DY7/DW7</f>
        <v>0.14112845873587238</v>
      </c>
      <c r="EB7" s="284">
        <v>9</v>
      </c>
      <c r="EC7" s="171">
        <v>101834</v>
      </c>
      <c r="ED7" s="171">
        <f>EC7*70</f>
        <v>7128380</v>
      </c>
      <c r="EE7" s="245">
        <v>92537</v>
      </c>
      <c r="EF7" s="176">
        <f>EE7*70</f>
        <v>6477590</v>
      </c>
      <c r="EG7" s="8">
        <f>EC7-EE7</f>
        <v>9297</v>
      </c>
      <c r="EH7" s="8">
        <f>EG7*70</f>
        <v>650790</v>
      </c>
      <c r="EI7" s="285">
        <f>EG7/EE7</f>
        <v>0.10046792093973221</v>
      </c>
      <c r="EJ7" s="284">
        <v>7</v>
      </c>
      <c r="EK7" s="171">
        <v>109252</v>
      </c>
      <c r="EL7" s="171">
        <f>EK7*70</f>
        <v>7647640</v>
      </c>
      <c r="EM7" s="245">
        <v>98732</v>
      </c>
      <c r="EN7" s="176">
        <f>EM7*70</f>
        <v>6911240</v>
      </c>
      <c r="EO7" s="8">
        <f>EK7-EM7</f>
        <v>10520</v>
      </c>
      <c r="EP7" s="8">
        <f>EO7*70</f>
        <v>736400</v>
      </c>
      <c r="EQ7" s="285">
        <f>EO7/EM7</f>
        <v>0.10655106753636105</v>
      </c>
      <c r="ER7" s="284">
        <v>9</v>
      </c>
      <c r="ES7" s="171">
        <v>117272</v>
      </c>
      <c r="ET7" s="171">
        <f>ES7*70</f>
        <v>8209040</v>
      </c>
      <c r="EU7" s="245">
        <v>105752</v>
      </c>
      <c r="EV7" s="176">
        <f>EU7*70</f>
        <v>7402640</v>
      </c>
      <c r="EW7" s="8">
        <f>ES7-EU7</f>
        <v>11520</v>
      </c>
      <c r="EX7" s="8">
        <f>EW7*70</f>
        <v>806400</v>
      </c>
      <c r="EY7" s="285">
        <f>EW7/EU7</f>
        <v>0.10893410999319161</v>
      </c>
      <c r="EZ7" s="284">
        <v>11</v>
      </c>
      <c r="FA7" s="171">
        <v>155960</v>
      </c>
      <c r="FB7" s="171">
        <f>FA7*70</f>
        <v>10917200</v>
      </c>
      <c r="FC7" s="245">
        <v>141320</v>
      </c>
      <c r="FD7" s="176">
        <f>FC7*70</f>
        <v>9892400</v>
      </c>
      <c r="FE7" s="8">
        <f>FA7-FC7</f>
        <v>14640</v>
      </c>
      <c r="FF7" s="8">
        <f>FE7*70</f>
        <v>1024800</v>
      </c>
      <c r="FG7" s="285">
        <f>FE7/FC7</f>
        <v>0.10359467874327767</v>
      </c>
      <c r="FH7" s="280">
        <v>13</v>
      </c>
      <c r="FI7" s="171">
        <v>166256</v>
      </c>
      <c r="FJ7" s="171">
        <f>FI7*70</f>
        <v>11637920</v>
      </c>
      <c r="FK7" s="286">
        <v>150992</v>
      </c>
      <c r="FL7" s="287">
        <f>FK7*70</f>
        <v>10569440</v>
      </c>
      <c r="FM7" s="8">
        <f>FI7-FK7</f>
        <v>15264</v>
      </c>
      <c r="FN7" s="8">
        <f>FM7*70</f>
        <v>1068480</v>
      </c>
      <c r="FO7" s="7">
        <f>FM7/FK7</f>
        <v>0.10109144855356575</v>
      </c>
      <c r="FP7" s="280">
        <v>12</v>
      </c>
      <c r="FQ7" s="171">
        <v>159019</v>
      </c>
      <c r="FR7" s="171">
        <f>FQ7*70</f>
        <v>11131330</v>
      </c>
      <c r="FS7" s="171">
        <v>144740</v>
      </c>
      <c r="FT7" s="171">
        <f>FS7*70</f>
        <v>10131800</v>
      </c>
      <c r="FU7" s="171">
        <v>0</v>
      </c>
      <c r="FV7" s="171"/>
      <c r="FW7" s="8">
        <f>FQ7-FS7</f>
        <v>14279</v>
      </c>
      <c r="FX7" s="8">
        <f>FW7*70</f>
        <v>999530</v>
      </c>
      <c r="FY7" s="85">
        <f>FW7/FS7</f>
        <v>9.8652756667127264E-2</v>
      </c>
      <c r="FZ7" s="5">
        <v>12</v>
      </c>
      <c r="GA7" s="171">
        <v>150072</v>
      </c>
      <c r="GB7" s="171">
        <f>GA7*70</f>
        <v>10505040</v>
      </c>
      <c r="GC7" s="171">
        <v>136544</v>
      </c>
      <c r="GD7" s="171">
        <f>GC7*70</f>
        <v>9558080</v>
      </c>
      <c r="GE7" s="171"/>
      <c r="GF7" s="171"/>
      <c r="GG7" s="8">
        <f>GA7-GC7</f>
        <v>13528</v>
      </c>
      <c r="GH7" s="8">
        <f>GG7*70</f>
        <v>946960</v>
      </c>
      <c r="GI7" s="7">
        <f>GG7/GC7</f>
        <v>9.9074291071010082E-2</v>
      </c>
      <c r="GJ7" s="280">
        <v>11</v>
      </c>
      <c r="GK7" s="288">
        <v>112832</v>
      </c>
      <c r="GL7" s="288">
        <f>GK7*70</f>
        <v>7898240</v>
      </c>
      <c r="GM7" s="288">
        <v>101392</v>
      </c>
      <c r="GN7" s="288">
        <f>GM7*70</f>
        <v>7097440</v>
      </c>
      <c r="GO7" s="288">
        <v>0</v>
      </c>
      <c r="GP7" s="288"/>
      <c r="GQ7" s="8">
        <f t="shared" si="2"/>
        <v>11440</v>
      </c>
      <c r="GR7" s="8">
        <f>GQ7*70</f>
        <v>800800</v>
      </c>
      <c r="GS7" s="85">
        <f>GQ7/GM7</f>
        <v>0.11282941454947136</v>
      </c>
      <c r="GT7" s="5">
        <v>10</v>
      </c>
      <c r="GU7" s="171">
        <v>148512</v>
      </c>
      <c r="GV7" s="171">
        <f>GU7*70</f>
        <v>10395840</v>
      </c>
      <c r="GW7" s="245">
        <v>133936</v>
      </c>
      <c r="GX7" s="176">
        <f>GW7*70</f>
        <v>9375520</v>
      </c>
      <c r="GY7" s="171"/>
      <c r="GZ7" s="171"/>
      <c r="HA7" s="8">
        <f>GU7-GW7</f>
        <v>14576</v>
      </c>
      <c r="HB7" s="8">
        <f>HA7*70</f>
        <v>1020320</v>
      </c>
      <c r="HC7" s="7">
        <f>HB7/GV7</f>
        <v>9.8146951088127557E-2</v>
      </c>
      <c r="HD7" s="171">
        <f>(GT7+GJ7+FZ7+FP7+FH7+EZ7+ER7+EJ7+EB7+DT7+DL7+DD7)/12</f>
        <v>9.75</v>
      </c>
      <c r="HE7" s="171">
        <f>GU7+GK7+GA7+FQ7+FI7+FA7+ES7+EK7+EC7+DU7+DM7+DE7</f>
        <v>1513767</v>
      </c>
      <c r="HF7" s="171">
        <f>HE7*70</f>
        <v>105963690</v>
      </c>
      <c r="HG7" s="171">
        <f>GW7+GM7+GC7+FS7+FK7+FC7+EU7+EM7+EE7+DW7+DO7+DG7</f>
        <v>1361704</v>
      </c>
      <c r="HH7" s="171">
        <f>HG7*70</f>
        <v>95319280</v>
      </c>
      <c r="HI7" s="8">
        <f t="shared" si="3"/>
        <v>152063</v>
      </c>
      <c r="HJ7" s="8">
        <f>HI7*70</f>
        <v>10644410</v>
      </c>
      <c r="HK7" s="7">
        <f>HI7/HG7</f>
        <v>0.1116711120772209</v>
      </c>
      <c r="HL7" s="247">
        <f>(DD7+DL7+DT7)/3</f>
        <v>7.666666666666667</v>
      </c>
      <c r="HM7" s="171">
        <f>DE7+DM7+DU7</f>
        <v>292758</v>
      </c>
      <c r="HN7" s="171">
        <f t="shared" si="4"/>
        <v>20493060</v>
      </c>
      <c r="HO7" s="245">
        <f>DG7+DO7+DW7</f>
        <v>255759</v>
      </c>
      <c r="HP7" s="176">
        <f t="shared" si="5"/>
        <v>17903130</v>
      </c>
      <c r="HQ7" s="8">
        <f t="shared" si="6"/>
        <v>36999</v>
      </c>
      <c r="HR7" s="8">
        <f t="shared" si="7"/>
        <v>2589930</v>
      </c>
      <c r="HS7" s="7">
        <f>HQ7/HO7</f>
        <v>0.14466353090213835</v>
      </c>
      <c r="HT7" s="247">
        <f>(EB7+EJ7+ER7)/3</f>
        <v>8.3333333333333339</v>
      </c>
      <c r="HU7" s="257">
        <f>(EC7+EK7+ES7)</f>
        <v>328358</v>
      </c>
      <c r="HV7" s="171">
        <f t="shared" si="8"/>
        <v>22985060</v>
      </c>
      <c r="HW7" s="295">
        <f>(EE7+EM7+EU7)</f>
        <v>297021</v>
      </c>
      <c r="HX7" s="268">
        <f t="shared" si="9"/>
        <v>20791470</v>
      </c>
      <c r="HY7" s="171">
        <f t="shared" si="10"/>
        <v>31337</v>
      </c>
      <c r="HZ7" s="171">
        <f t="shared" si="11"/>
        <v>2193590</v>
      </c>
      <c r="IA7" s="7">
        <f>HY7/HW7</f>
        <v>0.10550432461004441</v>
      </c>
      <c r="IB7" s="247">
        <f>(EZ7+FH7+FP7)/3</f>
        <v>12</v>
      </c>
      <c r="IC7" s="257">
        <f>(FA7+FI7+FQ7)</f>
        <v>481235</v>
      </c>
      <c r="ID7" s="171">
        <f t="shared" si="12"/>
        <v>33686450</v>
      </c>
      <c r="IE7" s="296">
        <f>(FC7+FK7+FS7)</f>
        <v>437052</v>
      </c>
      <c r="IF7" s="287">
        <f>IE7*70</f>
        <v>30593640</v>
      </c>
      <c r="IG7" s="8">
        <f>IC7-IE7</f>
        <v>44183</v>
      </c>
      <c r="IH7" s="8">
        <f>IG7*70</f>
        <v>3092810</v>
      </c>
      <c r="II7" s="7">
        <f>IG7/IE7</f>
        <v>0.10109323375708154</v>
      </c>
      <c r="IJ7" s="247">
        <f>(FZ7+GJ7+GT7)/3</f>
        <v>11</v>
      </c>
      <c r="IK7" s="257">
        <f>(GA7+GK7+GU7)</f>
        <v>411416</v>
      </c>
      <c r="IL7" s="171">
        <f>IK7*70</f>
        <v>28799120</v>
      </c>
      <c r="IM7" s="296">
        <f>(GC7+GM7+GW7)</f>
        <v>371872</v>
      </c>
      <c r="IN7" s="287">
        <f>IM7*70</f>
        <v>26031040</v>
      </c>
      <c r="IO7" s="297">
        <f>IK7-IM7</f>
        <v>39544</v>
      </c>
      <c r="IP7" s="8">
        <f>IO7*70</f>
        <v>2768080</v>
      </c>
      <c r="IQ7" s="7">
        <f>IO7/IM7</f>
        <v>0.10633766457275622</v>
      </c>
      <c r="IS7" s="247">
        <v>9</v>
      </c>
      <c r="IT7" s="257">
        <v>129615</v>
      </c>
      <c r="IU7" s="171">
        <f t="shared" si="92"/>
        <v>10369200</v>
      </c>
      <c r="IV7" s="258">
        <v>117169</v>
      </c>
      <c r="IW7" s="249">
        <f t="shared" si="93"/>
        <v>9373520</v>
      </c>
      <c r="IX7" s="9">
        <v>0</v>
      </c>
      <c r="IY7" s="9">
        <v>2342</v>
      </c>
      <c r="IZ7" s="267">
        <f t="shared" si="94"/>
        <v>10104</v>
      </c>
      <c r="JA7" s="851">
        <f t="shared" si="95"/>
        <v>808320</v>
      </c>
      <c r="JB7" s="10">
        <f>JA7/IU7</f>
        <v>7.795394051614396E-2</v>
      </c>
      <c r="JC7" s="11">
        <v>11</v>
      </c>
      <c r="JD7" s="171">
        <v>148864</v>
      </c>
      <c r="JE7" s="171">
        <f t="shared" si="96"/>
        <v>11909120</v>
      </c>
      <c r="JF7" s="248">
        <v>132528</v>
      </c>
      <c r="JG7" s="249">
        <f t="shared" si="97"/>
        <v>10602240</v>
      </c>
      <c r="JH7" s="9"/>
      <c r="JI7" s="9">
        <v>2342</v>
      </c>
      <c r="JJ7" s="267">
        <f t="shared" si="98"/>
        <v>13994</v>
      </c>
      <c r="JK7" s="9">
        <f t="shared" si="99"/>
        <v>1119520</v>
      </c>
      <c r="JL7" s="10">
        <f t="shared" si="13"/>
        <v>9.4005266552020642E-2</v>
      </c>
      <c r="JM7" s="14">
        <v>14</v>
      </c>
      <c r="JN7" s="171">
        <v>172808</v>
      </c>
      <c r="JO7" s="171">
        <f t="shared" si="100"/>
        <v>13824640</v>
      </c>
      <c r="JP7" s="245">
        <v>151306</v>
      </c>
      <c r="JQ7" s="176">
        <f t="shared" si="101"/>
        <v>12104480</v>
      </c>
      <c r="JR7" s="1515"/>
      <c r="JS7" s="171">
        <v>2490</v>
      </c>
      <c r="JT7" s="267">
        <f t="shared" si="102"/>
        <v>19012</v>
      </c>
      <c r="JU7" s="851">
        <f t="shared" si="103"/>
        <v>1520960</v>
      </c>
      <c r="JV7" s="10">
        <f t="shared" si="14"/>
        <v>0.11001805471968891</v>
      </c>
      <c r="JW7" s="13">
        <v>17</v>
      </c>
      <c r="JX7" s="171">
        <v>180596</v>
      </c>
      <c r="JY7" s="171">
        <f t="shared" si="104"/>
        <v>14447680</v>
      </c>
      <c r="JZ7" s="245">
        <v>155016</v>
      </c>
      <c r="KA7" s="176">
        <f t="shared" si="105"/>
        <v>12401280</v>
      </c>
      <c r="KB7" s="1515"/>
      <c r="KC7" s="171">
        <v>2490</v>
      </c>
      <c r="KD7" s="267">
        <f t="shared" si="106"/>
        <v>23090</v>
      </c>
      <c r="KE7" s="849">
        <f t="shared" si="107"/>
        <v>1847200</v>
      </c>
      <c r="KF7" s="10">
        <f t="shared" si="15"/>
        <v>0.12785443752907041</v>
      </c>
      <c r="KG7" s="11">
        <v>16</v>
      </c>
      <c r="KH7" s="171">
        <v>199998</v>
      </c>
      <c r="KI7" s="171">
        <f t="shared" si="108"/>
        <v>15999840</v>
      </c>
      <c r="KJ7" s="245">
        <v>171607</v>
      </c>
      <c r="KK7" s="176">
        <f t="shared" si="109"/>
        <v>13728560</v>
      </c>
      <c r="KL7" s="1515"/>
      <c r="KM7" s="171">
        <v>2490</v>
      </c>
      <c r="KN7" s="267">
        <f t="shared" si="110"/>
        <v>25901</v>
      </c>
      <c r="KO7" s="171">
        <f t="shared" si="111"/>
        <v>2072080</v>
      </c>
      <c r="KP7" s="10">
        <f t="shared" si="16"/>
        <v>0.12950629506295064</v>
      </c>
      <c r="KQ7" s="13">
        <v>15</v>
      </c>
      <c r="KR7" s="171">
        <v>161904</v>
      </c>
      <c r="KS7" s="171">
        <f t="shared" si="112"/>
        <v>12952320</v>
      </c>
      <c r="KT7" s="245">
        <v>140872</v>
      </c>
      <c r="KU7" s="176">
        <f t="shared" si="113"/>
        <v>11269760</v>
      </c>
      <c r="KV7" s="1515"/>
      <c r="KW7" s="171">
        <f>2490-362</f>
        <v>2128</v>
      </c>
      <c r="KX7" s="267">
        <f t="shared" si="114"/>
        <v>18904</v>
      </c>
      <c r="KY7" s="849">
        <f t="shared" si="115"/>
        <v>1512320</v>
      </c>
      <c r="KZ7" s="10">
        <f t="shared" si="17"/>
        <v>0.11676054946140924</v>
      </c>
      <c r="LA7" s="11">
        <v>12</v>
      </c>
      <c r="LB7" s="171">
        <v>158840</v>
      </c>
      <c r="LC7" s="171">
        <f t="shared" si="116"/>
        <v>12707200</v>
      </c>
      <c r="LD7" s="245">
        <v>133880</v>
      </c>
      <c r="LE7" s="176">
        <f t="shared" si="117"/>
        <v>10710400</v>
      </c>
      <c r="LF7" s="1515"/>
      <c r="LG7" s="171">
        <f>2490-362</f>
        <v>2128</v>
      </c>
      <c r="LH7" s="267">
        <f t="shared" si="118"/>
        <v>22832</v>
      </c>
      <c r="LI7" s="849">
        <f t="shared" si="119"/>
        <v>1826560</v>
      </c>
      <c r="LJ7" s="10">
        <f t="shared" si="18"/>
        <v>0.14374213044573156</v>
      </c>
      <c r="LK7" s="13">
        <v>12</v>
      </c>
      <c r="LL7" s="171">
        <v>150368</v>
      </c>
      <c r="LM7" s="171">
        <f t="shared" si="120"/>
        <v>12029440</v>
      </c>
      <c r="LN7" s="245">
        <v>126920</v>
      </c>
      <c r="LO7" s="176">
        <f t="shared" si="121"/>
        <v>10153600</v>
      </c>
      <c r="LP7" s="1515"/>
      <c r="LQ7" s="171">
        <f>2490-362</f>
        <v>2128</v>
      </c>
      <c r="LR7" s="267">
        <f t="shared" si="122"/>
        <v>21320</v>
      </c>
      <c r="LS7" s="849">
        <f t="shared" si="123"/>
        <v>1705600</v>
      </c>
      <c r="LT7" s="10">
        <f t="shared" si="19"/>
        <v>0.14178548627367524</v>
      </c>
      <c r="LU7" s="177">
        <v>12</v>
      </c>
      <c r="LV7" s="171">
        <v>144272</v>
      </c>
      <c r="LW7" s="171">
        <f t="shared" si="124"/>
        <v>11541760</v>
      </c>
      <c r="LX7" s="245">
        <v>123944</v>
      </c>
      <c r="LY7" s="176">
        <f t="shared" si="125"/>
        <v>9915520</v>
      </c>
      <c r="LZ7" s="1515"/>
      <c r="MA7" s="268">
        <f>2490-362</f>
        <v>2128</v>
      </c>
      <c r="MB7" s="267">
        <f t="shared" si="126"/>
        <v>18200</v>
      </c>
      <c r="MC7" s="171">
        <f t="shared" si="127"/>
        <v>1456000</v>
      </c>
      <c r="MD7" s="10">
        <f t="shared" si="20"/>
        <v>0.12615060441388487</v>
      </c>
      <c r="ME7" s="177">
        <v>12</v>
      </c>
      <c r="MF7" s="171">
        <v>138680</v>
      </c>
      <c r="MG7" s="176">
        <f t="shared" si="128"/>
        <v>11094400</v>
      </c>
      <c r="MH7" s="171">
        <v>121320</v>
      </c>
      <c r="MI7" s="176">
        <f t="shared" si="129"/>
        <v>9705600</v>
      </c>
      <c r="MJ7" s="1515"/>
      <c r="MK7" s="268">
        <f>2090</f>
        <v>2090</v>
      </c>
      <c r="ML7" s="171">
        <f t="shared" si="130"/>
        <v>15270</v>
      </c>
      <c r="MM7" s="849">
        <f t="shared" si="131"/>
        <v>1221600</v>
      </c>
      <c r="MN7" s="10">
        <f t="shared" si="21"/>
        <v>0.11010960484568791</v>
      </c>
      <c r="MO7" s="13">
        <v>13</v>
      </c>
      <c r="MP7" s="14">
        <v>108952</v>
      </c>
      <c r="MQ7" s="176">
        <f t="shared" si="132"/>
        <v>8716160</v>
      </c>
      <c r="MR7" s="171">
        <v>95336</v>
      </c>
      <c r="MS7" s="171">
        <f t="shared" si="133"/>
        <v>7626880</v>
      </c>
      <c r="MT7" s="1515"/>
      <c r="MU7" s="268">
        <f>2090-534</f>
        <v>1556</v>
      </c>
      <c r="MV7" s="171">
        <f t="shared" si="134"/>
        <v>12060</v>
      </c>
      <c r="MW7" s="171">
        <f t="shared" si="135"/>
        <v>964800</v>
      </c>
      <c r="MX7" s="55">
        <f t="shared" si="22"/>
        <v>0.11069094647184081</v>
      </c>
      <c r="MY7" s="13">
        <v>10</v>
      </c>
      <c r="MZ7" s="171">
        <v>131573</v>
      </c>
      <c r="NA7" s="171">
        <f t="shared" si="136"/>
        <v>10525840</v>
      </c>
      <c r="NB7" s="267">
        <v>116464</v>
      </c>
      <c r="NC7" s="268">
        <f t="shared" si="137"/>
        <v>9317120</v>
      </c>
      <c r="ND7" s="171">
        <v>0</v>
      </c>
      <c r="NE7" s="171">
        <f>4658+660</f>
        <v>5318</v>
      </c>
      <c r="NF7" s="267">
        <f t="shared" si="138"/>
        <v>9791</v>
      </c>
      <c r="NG7" s="9">
        <f>NF7*80</f>
        <v>783280</v>
      </c>
      <c r="NH7" s="10">
        <f t="shared" si="23"/>
        <v>7.4414963556352742E-2</v>
      </c>
      <c r="NI7" s="9">
        <v>10</v>
      </c>
      <c r="NJ7" s="9">
        <f t="shared" si="24"/>
        <v>1826470</v>
      </c>
      <c r="NK7" s="9">
        <f t="shared" si="24"/>
        <v>146117600</v>
      </c>
      <c r="NL7" s="1518">
        <f t="shared" si="24"/>
        <v>1586362</v>
      </c>
      <c r="NM7" s="1519">
        <f t="shared" si="24"/>
        <v>126908960</v>
      </c>
      <c r="NN7" s="1518">
        <f t="shared" si="139"/>
        <v>210478</v>
      </c>
      <c r="NO7" s="9">
        <f t="shared" si="139"/>
        <v>16838240</v>
      </c>
      <c r="NP7" s="10">
        <f t="shared" si="140"/>
        <v>0.11523758944849902</v>
      </c>
      <c r="NQ7" s="18">
        <f>(IS7+JC7+JM7)/3</f>
        <v>11.333333333333334</v>
      </c>
      <c r="NR7" s="9">
        <f t="shared" si="25"/>
        <v>451287</v>
      </c>
      <c r="NS7" s="9">
        <f t="shared" si="25"/>
        <v>36102960</v>
      </c>
      <c r="NT7" s="57">
        <f t="shared" si="25"/>
        <v>401003</v>
      </c>
      <c r="NU7" s="58">
        <f t="shared" si="25"/>
        <v>32080240</v>
      </c>
      <c r="NV7" s="9">
        <f>IZ7+JJ7+JT7</f>
        <v>43110</v>
      </c>
      <c r="NW7" s="9">
        <f t="shared" si="141"/>
        <v>3448800</v>
      </c>
      <c r="NX7" s="10">
        <f t="shared" si="142"/>
        <v>9.5526793370959054E-2</v>
      </c>
      <c r="NY7" s="177">
        <f t="shared" si="143"/>
        <v>16</v>
      </c>
      <c r="NZ7" s="171">
        <f t="shared" si="144"/>
        <v>542498</v>
      </c>
      <c r="OA7" s="171">
        <f t="shared" si="144"/>
        <v>43399840</v>
      </c>
      <c r="OB7" s="245">
        <f t="shared" si="144"/>
        <v>467495</v>
      </c>
      <c r="OC7" s="176">
        <f t="shared" si="144"/>
        <v>37399600</v>
      </c>
      <c r="OD7" s="171">
        <f t="shared" si="145"/>
        <v>67895</v>
      </c>
      <c r="OE7" s="171">
        <f t="shared" si="145"/>
        <v>5431600</v>
      </c>
      <c r="OF7" s="10">
        <f>OE7/OA7</f>
        <v>0.12515253512455346</v>
      </c>
      <c r="OG7" s="177">
        <f t="shared" si="146"/>
        <v>12</v>
      </c>
      <c r="OH7" s="171">
        <f t="shared" si="147"/>
        <v>453480</v>
      </c>
      <c r="OI7" s="171">
        <f t="shared" si="147"/>
        <v>36278400</v>
      </c>
      <c r="OJ7" s="171">
        <f t="shared" si="147"/>
        <v>384744</v>
      </c>
      <c r="OK7" s="171">
        <f t="shared" si="147"/>
        <v>30779520</v>
      </c>
      <c r="OL7" s="171">
        <f t="shared" si="148"/>
        <v>62352</v>
      </c>
      <c r="OM7" s="171">
        <f t="shared" si="148"/>
        <v>4988160</v>
      </c>
      <c r="ON7" s="55">
        <f t="shared" si="149"/>
        <v>0.13749669224662608</v>
      </c>
      <c r="OO7" s="13">
        <v>10</v>
      </c>
      <c r="OP7" s="9">
        <f t="shared" si="150"/>
        <v>379205</v>
      </c>
      <c r="OQ7" s="9">
        <f t="shared" si="150"/>
        <v>30336400</v>
      </c>
      <c r="OR7" s="1518">
        <f t="shared" si="150"/>
        <v>333120</v>
      </c>
      <c r="OS7" s="1519">
        <f t="shared" si="150"/>
        <v>26649600</v>
      </c>
      <c r="OT7" s="9">
        <f t="shared" si="151"/>
        <v>37121</v>
      </c>
      <c r="OU7" s="9">
        <f t="shared" si="151"/>
        <v>2969680</v>
      </c>
      <c r="OV7" s="10">
        <f>OU7/OQ7</f>
        <v>9.789164172413338E-2</v>
      </c>
      <c r="OX7" s="247">
        <v>9</v>
      </c>
      <c r="OY7" s="257">
        <v>116504</v>
      </c>
      <c r="OZ7" s="171">
        <f>OY7*80</f>
        <v>9320320</v>
      </c>
      <c r="PA7" s="248">
        <v>102679</v>
      </c>
      <c r="PB7" s="249">
        <f>PA7*80</f>
        <v>8214320</v>
      </c>
      <c r="PC7" s="9"/>
      <c r="PD7" s="9">
        <v>2368</v>
      </c>
      <c r="PE7" s="267">
        <f t="shared" si="152"/>
        <v>11457</v>
      </c>
      <c r="PF7" s="9">
        <f>PE7*80</f>
        <v>916560</v>
      </c>
      <c r="PG7" s="10">
        <f>PF7/OZ7</f>
        <v>9.83399711597885E-2</v>
      </c>
      <c r="PH7" s="11">
        <v>9</v>
      </c>
      <c r="PI7" s="171">
        <v>133832</v>
      </c>
      <c r="PJ7" s="171">
        <f>PI7*80</f>
        <v>10706560</v>
      </c>
      <c r="PK7" s="248">
        <v>117553</v>
      </c>
      <c r="PL7" s="249">
        <f>PK7*80</f>
        <v>9404240</v>
      </c>
      <c r="PM7" s="9">
        <v>0</v>
      </c>
      <c r="PN7" s="9">
        <v>3760</v>
      </c>
      <c r="PO7" s="267">
        <f t="shared" si="153"/>
        <v>12519</v>
      </c>
      <c r="PP7" s="9">
        <f>PO7*80</f>
        <v>1001520</v>
      </c>
      <c r="PQ7" s="10">
        <f>PP7/PJ7</f>
        <v>9.3542650487177956E-2</v>
      </c>
      <c r="PR7" s="14">
        <v>9</v>
      </c>
      <c r="PS7" s="855">
        <f>93872+17052</f>
        <v>110924</v>
      </c>
      <c r="PT7" s="171">
        <f>PS7*80</f>
        <v>8873920</v>
      </c>
      <c r="PU7" s="856">
        <v>98021</v>
      </c>
      <c r="PV7" s="249">
        <f>PU7*80</f>
        <v>7841680</v>
      </c>
      <c r="PW7" s="9">
        <v>0</v>
      </c>
      <c r="PX7" s="9">
        <v>3427</v>
      </c>
      <c r="PY7" s="245">
        <f t="shared" si="154"/>
        <v>9476</v>
      </c>
      <c r="PZ7" s="9">
        <f>PY7*80</f>
        <v>758080</v>
      </c>
      <c r="QA7" s="10">
        <f>PZ7/PT7</f>
        <v>8.5427860517110821E-2</v>
      </c>
      <c r="QB7" s="13">
        <v>9</v>
      </c>
      <c r="QC7" s="445">
        <v>97896</v>
      </c>
      <c r="QD7" s="171">
        <f>QC7*80</f>
        <v>7831680</v>
      </c>
      <c r="QE7" s="444">
        <v>86678</v>
      </c>
      <c r="QF7" s="249">
        <f>QE7*80</f>
        <v>6934240</v>
      </c>
      <c r="QG7" s="9">
        <v>0</v>
      </c>
      <c r="QH7" s="9">
        <v>2453</v>
      </c>
      <c r="QI7" s="267">
        <f t="shared" si="155"/>
        <v>8765</v>
      </c>
      <c r="QJ7" s="9">
        <f>QI7*80</f>
        <v>701200</v>
      </c>
      <c r="QK7" s="10">
        <f>QJ7/QD7</f>
        <v>8.9533790961837056E-2</v>
      </c>
      <c r="QL7" s="11">
        <v>9</v>
      </c>
      <c r="QM7" s="445">
        <f>129983</f>
        <v>129983</v>
      </c>
      <c r="QN7" s="171">
        <f t="shared" si="156"/>
        <v>10398640</v>
      </c>
      <c r="QO7" s="444">
        <f>114291</f>
        <v>114291</v>
      </c>
      <c r="QP7" s="176">
        <f>QO7*80</f>
        <v>9143280</v>
      </c>
      <c r="QQ7" s="171">
        <v>0</v>
      </c>
      <c r="QR7" s="171">
        <v>1987</v>
      </c>
      <c r="QS7" s="267">
        <f t="shared" si="157"/>
        <v>13705</v>
      </c>
      <c r="QT7" s="171">
        <f>QS7*80</f>
        <v>1096400</v>
      </c>
      <c r="QU7" s="10">
        <f>QT7/QN7</f>
        <v>0.10543686482078425</v>
      </c>
      <c r="QV7" s="13">
        <v>7</v>
      </c>
      <c r="QW7" s="171">
        <v>88832</v>
      </c>
      <c r="QX7" s="171">
        <f t="shared" si="158"/>
        <v>7106560</v>
      </c>
      <c r="QY7" s="245">
        <v>77471</v>
      </c>
      <c r="QZ7" s="176">
        <f t="shared" si="159"/>
        <v>6197680</v>
      </c>
      <c r="RA7" s="171">
        <v>0</v>
      </c>
      <c r="RB7" s="171">
        <v>3285</v>
      </c>
      <c r="RC7" s="245">
        <f t="shared" si="160"/>
        <v>8076</v>
      </c>
      <c r="RD7" s="849">
        <f t="shared" si="161"/>
        <v>646080</v>
      </c>
      <c r="RE7" s="10">
        <f>RD7/QX7</f>
        <v>9.0913184438040348E-2</v>
      </c>
      <c r="RF7" s="11">
        <v>7</v>
      </c>
      <c r="RG7" s="171">
        <v>76265</v>
      </c>
      <c r="RH7" s="171">
        <f>RG7*80</f>
        <v>6101200</v>
      </c>
      <c r="RI7" s="245">
        <v>66614</v>
      </c>
      <c r="RJ7" s="176">
        <f t="shared" si="162"/>
        <v>5329120</v>
      </c>
      <c r="RK7" s="171">
        <v>0</v>
      </c>
      <c r="RL7" s="171">
        <v>2512</v>
      </c>
      <c r="RM7" s="245">
        <f t="shared" si="163"/>
        <v>7139</v>
      </c>
      <c r="RN7" s="171">
        <f t="shared" si="164"/>
        <v>571120</v>
      </c>
      <c r="RO7" s="10">
        <f>RN7/RH7</f>
        <v>9.3607814856093888E-2</v>
      </c>
      <c r="RP7" s="13">
        <v>5</v>
      </c>
      <c r="RQ7" s="171">
        <v>60320</v>
      </c>
      <c r="RR7" s="171">
        <f t="shared" si="165"/>
        <v>4825600</v>
      </c>
      <c r="RS7" s="245">
        <v>53048</v>
      </c>
      <c r="RT7" s="176">
        <f t="shared" si="166"/>
        <v>4243840</v>
      </c>
      <c r="RU7" s="171">
        <v>0</v>
      </c>
      <c r="RV7" s="171">
        <v>2164</v>
      </c>
      <c r="RW7" s="245">
        <f>RQ7-RS7-RU7-RV7</f>
        <v>5108</v>
      </c>
      <c r="RX7" s="171">
        <f>RW7*80</f>
        <v>408640</v>
      </c>
      <c r="RY7" s="10">
        <f>RX7/RR7</f>
        <v>8.4681697612732101E-2</v>
      </c>
      <c r="RZ7" s="177">
        <v>5</v>
      </c>
      <c r="SA7" s="171">
        <v>65736</v>
      </c>
      <c r="SB7" s="171">
        <f t="shared" si="167"/>
        <v>5258880</v>
      </c>
      <c r="SC7" s="245">
        <v>58367</v>
      </c>
      <c r="SD7" s="176">
        <f>SC7*80</f>
        <v>4669360</v>
      </c>
      <c r="SE7" s="171">
        <v>0</v>
      </c>
      <c r="SF7" s="171">
        <v>1200</v>
      </c>
      <c r="SG7" s="245">
        <f t="shared" si="168"/>
        <v>6169</v>
      </c>
      <c r="SH7" s="171">
        <f>SG7*80</f>
        <v>493520</v>
      </c>
      <c r="SI7" s="10">
        <f>SH7/SB7</f>
        <v>9.3845077278812222E-2</v>
      </c>
      <c r="SJ7" s="177">
        <v>2</v>
      </c>
      <c r="SK7" s="171">
        <v>28320</v>
      </c>
      <c r="SL7" s="176">
        <f>SK7*80</f>
        <v>2265600</v>
      </c>
      <c r="SM7" s="171">
        <v>25440</v>
      </c>
      <c r="SN7" s="176">
        <f>SM7*80</f>
        <v>2035200</v>
      </c>
      <c r="SO7" s="171">
        <v>0</v>
      </c>
      <c r="SP7" s="171">
        <v>1200</v>
      </c>
      <c r="SQ7" s="245">
        <f t="shared" si="169"/>
        <v>1680</v>
      </c>
      <c r="SR7" s="171">
        <f>SQ7*80</f>
        <v>134400</v>
      </c>
      <c r="SS7" s="10">
        <f t="shared" si="26"/>
        <v>5.9322033898305086E-2</v>
      </c>
      <c r="ST7" s="13">
        <v>2</v>
      </c>
      <c r="SU7" s="171">
        <v>32886</v>
      </c>
      <c r="SV7" s="176">
        <f t="shared" si="27"/>
        <v>2630880</v>
      </c>
      <c r="SW7" s="171">
        <v>29652</v>
      </c>
      <c r="SX7" s="171">
        <f t="shared" si="170"/>
        <v>2372160</v>
      </c>
      <c r="SY7" s="1515"/>
      <c r="SZ7" s="176">
        <v>576</v>
      </c>
      <c r="TA7" s="245">
        <f t="shared" si="171"/>
        <v>2658</v>
      </c>
      <c r="TB7" s="171">
        <f t="shared" si="28"/>
        <v>212640</v>
      </c>
      <c r="TC7" s="10">
        <f t="shared" si="29"/>
        <v>8.0824667031563588E-2</v>
      </c>
      <c r="TD7" s="13">
        <v>2</v>
      </c>
      <c r="TE7" s="171">
        <v>30480</v>
      </c>
      <c r="TF7" s="176">
        <f t="shared" si="30"/>
        <v>2438400</v>
      </c>
      <c r="TG7" s="171">
        <v>27456</v>
      </c>
      <c r="TH7" s="171">
        <f t="shared" si="172"/>
        <v>2196480</v>
      </c>
      <c r="TI7" s="1515">
        <v>0</v>
      </c>
      <c r="TJ7" s="176">
        <v>576</v>
      </c>
      <c r="TK7" s="245">
        <f t="shared" si="173"/>
        <v>2448</v>
      </c>
      <c r="TL7" s="171">
        <f t="shared" si="31"/>
        <v>195840</v>
      </c>
      <c r="TM7" s="10">
        <f t="shared" si="32"/>
        <v>8.0314960629921259E-2</v>
      </c>
      <c r="TN7" s="59">
        <v>2</v>
      </c>
      <c r="TO7" s="9">
        <f t="shared" si="33"/>
        <v>971978</v>
      </c>
      <c r="TP7" s="9">
        <f t="shared" si="33"/>
        <v>77758240</v>
      </c>
      <c r="TQ7" s="57">
        <f t="shared" si="33"/>
        <v>857270</v>
      </c>
      <c r="TR7" s="58">
        <f t="shared" si="33"/>
        <v>68581600</v>
      </c>
      <c r="TS7" s="9">
        <f t="shared" si="34"/>
        <v>89200</v>
      </c>
      <c r="TT7" s="9">
        <f t="shared" si="34"/>
        <v>7136000</v>
      </c>
      <c r="TU7" s="10">
        <f>TT7/TP7</f>
        <v>9.1771624460635942E-2</v>
      </c>
      <c r="TV7" s="18">
        <f t="shared" ref="TV7:TV12" si="185">(OX7+PH7+PR7)/3</f>
        <v>9</v>
      </c>
      <c r="TW7" s="9">
        <f t="shared" si="35"/>
        <v>361260</v>
      </c>
      <c r="TX7" s="9">
        <f t="shared" si="35"/>
        <v>28900800</v>
      </c>
      <c r="TY7" s="57">
        <f t="shared" si="35"/>
        <v>318253</v>
      </c>
      <c r="TZ7" s="58">
        <f t="shared" si="35"/>
        <v>25460240</v>
      </c>
      <c r="UA7" s="9">
        <f t="shared" si="36"/>
        <v>33452</v>
      </c>
      <c r="UB7" s="9">
        <f t="shared" si="36"/>
        <v>2676160</v>
      </c>
      <c r="UC7" s="10">
        <f t="shared" si="174"/>
        <v>9.259812877152189E-2</v>
      </c>
      <c r="UD7" s="177">
        <f>(QB7+QL7+QV7)/3</f>
        <v>8.3333333333333339</v>
      </c>
      <c r="UE7" s="171">
        <f t="shared" si="37"/>
        <v>316711</v>
      </c>
      <c r="UF7" s="171">
        <f t="shared" si="37"/>
        <v>25336880</v>
      </c>
      <c r="UG7" s="245">
        <f t="shared" si="37"/>
        <v>278440</v>
      </c>
      <c r="UH7" s="176">
        <f t="shared" si="37"/>
        <v>22275200</v>
      </c>
      <c r="UI7" s="171">
        <f t="shared" si="38"/>
        <v>30546</v>
      </c>
      <c r="UJ7" s="171">
        <f t="shared" si="38"/>
        <v>2443680</v>
      </c>
      <c r="UK7" s="10">
        <f t="shared" si="39"/>
        <v>9.6447549974582505E-2</v>
      </c>
      <c r="UL7" s="177">
        <v>5</v>
      </c>
      <c r="UM7" s="171">
        <f t="shared" si="40"/>
        <v>202321</v>
      </c>
      <c r="UN7" s="171">
        <f t="shared" si="40"/>
        <v>16185680</v>
      </c>
      <c r="UO7" s="171">
        <f t="shared" si="40"/>
        <v>178029</v>
      </c>
      <c r="UP7" s="171">
        <f t="shared" si="40"/>
        <v>14242320</v>
      </c>
      <c r="UQ7" s="171">
        <f t="shared" si="41"/>
        <v>18416</v>
      </c>
      <c r="UR7" s="171">
        <f t="shared" si="41"/>
        <v>1473280</v>
      </c>
      <c r="US7" s="10">
        <f t="shared" si="175"/>
        <v>9.1023670306097731E-2</v>
      </c>
      <c r="UT7" s="13">
        <v>13</v>
      </c>
      <c r="UU7" s="9">
        <f t="shared" si="42"/>
        <v>91686</v>
      </c>
      <c r="UV7" s="9">
        <f t="shared" si="42"/>
        <v>7334880</v>
      </c>
      <c r="UW7" s="9">
        <f t="shared" si="42"/>
        <v>82548</v>
      </c>
      <c r="UX7" s="9">
        <f t="shared" si="42"/>
        <v>6603840</v>
      </c>
      <c r="UY7" s="9">
        <f t="shared" si="176"/>
        <v>6786</v>
      </c>
      <c r="UZ7" s="9">
        <f t="shared" si="176"/>
        <v>542880</v>
      </c>
      <c r="VA7" s="10">
        <f t="shared" si="177"/>
        <v>7.4013480793141809E-2</v>
      </c>
      <c r="VC7" s="247">
        <v>2</v>
      </c>
      <c r="VD7" s="257">
        <v>28950</v>
      </c>
      <c r="VE7" s="171">
        <f t="shared" si="43"/>
        <v>2316000</v>
      </c>
      <c r="VF7" s="248">
        <v>26028</v>
      </c>
      <c r="VG7" s="249">
        <f>VF7*80</f>
        <v>2082240</v>
      </c>
      <c r="VH7" s="9">
        <v>0</v>
      </c>
      <c r="VI7" s="9">
        <v>605</v>
      </c>
      <c r="VJ7" s="267">
        <f>VD7-VF7-VH7-VI7</f>
        <v>2317</v>
      </c>
      <c r="VK7" s="9">
        <f>VJ7*80</f>
        <v>185360</v>
      </c>
      <c r="VL7" s="10">
        <f>VK7/VE7</f>
        <v>8.0034542314335058E-2</v>
      </c>
      <c r="VM7" s="11">
        <v>2</v>
      </c>
      <c r="VN7" s="171">
        <v>29040</v>
      </c>
      <c r="VO7" s="171">
        <f t="shared" si="44"/>
        <v>2323200</v>
      </c>
      <c r="VP7" s="248">
        <v>26112</v>
      </c>
      <c r="VQ7" s="249">
        <f t="shared" si="45"/>
        <v>2088960</v>
      </c>
      <c r="VR7" s="9">
        <v>0</v>
      </c>
      <c r="VS7" s="9">
        <v>584</v>
      </c>
      <c r="VT7" s="267">
        <f t="shared" si="46"/>
        <v>2344</v>
      </c>
      <c r="VU7" s="9">
        <f t="shared" si="47"/>
        <v>187520</v>
      </c>
      <c r="VV7" s="10">
        <f t="shared" si="48"/>
        <v>8.0716253443526176E-2</v>
      </c>
      <c r="VW7" s="14">
        <v>2</v>
      </c>
      <c r="VX7" s="171">
        <v>29670</v>
      </c>
      <c r="VY7" s="171">
        <f t="shared" si="49"/>
        <v>2373600</v>
      </c>
      <c r="VZ7" s="245">
        <v>26700</v>
      </c>
      <c r="WA7" s="249">
        <f>VZ7*80</f>
        <v>2136000</v>
      </c>
      <c r="WB7" s="9">
        <v>0</v>
      </c>
      <c r="WC7" s="9">
        <v>585</v>
      </c>
      <c r="WD7" s="245">
        <f t="shared" si="50"/>
        <v>2385</v>
      </c>
      <c r="WE7" s="9">
        <f t="shared" si="51"/>
        <v>190800</v>
      </c>
      <c r="WF7" s="10">
        <f t="shared" si="52"/>
        <v>8.0384226491405461E-2</v>
      </c>
      <c r="WG7" s="13">
        <v>2</v>
      </c>
      <c r="WH7" s="171">
        <v>29892</v>
      </c>
      <c r="WI7" s="171">
        <f t="shared" si="53"/>
        <v>2391360</v>
      </c>
      <c r="WJ7" s="245">
        <v>26808</v>
      </c>
      <c r="WK7" s="249">
        <f t="shared" si="54"/>
        <v>2144640</v>
      </c>
      <c r="WL7" s="9">
        <v>0</v>
      </c>
      <c r="WM7" s="9">
        <v>594</v>
      </c>
      <c r="WN7" s="245">
        <f t="shared" si="55"/>
        <v>2490</v>
      </c>
      <c r="WO7" s="9">
        <f t="shared" si="56"/>
        <v>199200</v>
      </c>
      <c r="WP7" s="10">
        <f>WO7/WI7</f>
        <v>8.3299879566439181E-2</v>
      </c>
      <c r="WQ7" s="13">
        <v>2</v>
      </c>
      <c r="WR7" s="171">
        <v>27552</v>
      </c>
      <c r="WS7" s="171">
        <f t="shared" si="57"/>
        <v>2204160</v>
      </c>
      <c r="WT7" s="245">
        <v>24624</v>
      </c>
      <c r="WU7" s="249">
        <f t="shared" si="58"/>
        <v>1969920</v>
      </c>
      <c r="WV7" s="9">
        <v>0</v>
      </c>
      <c r="WW7" s="9">
        <v>617</v>
      </c>
      <c r="WX7" s="245">
        <f t="shared" si="59"/>
        <v>2311</v>
      </c>
      <c r="WY7" s="9">
        <f t="shared" si="60"/>
        <v>184880</v>
      </c>
      <c r="WZ7" s="10">
        <f>WY7/WS7</f>
        <v>8.3877758420441345E-2</v>
      </c>
      <c r="XA7" s="13">
        <v>2</v>
      </c>
      <c r="XB7" s="171">
        <v>28320</v>
      </c>
      <c r="XC7" s="171">
        <f t="shared" si="61"/>
        <v>2265600</v>
      </c>
      <c r="XD7" s="245">
        <v>25440</v>
      </c>
      <c r="XE7" s="176">
        <f t="shared" si="62"/>
        <v>2035200</v>
      </c>
      <c r="XF7" s="171">
        <v>0</v>
      </c>
      <c r="XG7" s="171">
        <v>0</v>
      </c>
      <c r="XH7" s="245">
        <f t="shared" si="63"/>
        <v>2880</v>
      </c>
      <c r="XI7" s="849">
        <f t="shared" si="64"/>
        <v>230400</v>
      </c>
      <c r="XJ7" s="10">
        <f>XI7/XC7</f>
        <v>0.10169491525423729</v>
      </c>
      <c r="XK7" s="11">
        <v>2</v>
      </c>
      <c r="XL7" s="171">
        <v>26304</v>
      </c>
      <c r="XM7" s="171">
        <f t="shared" si="65"/>
        <v>2104320</v>
      </c>
      <c r="XN7" s="245">
        <v>23856</v>
      </c>
      <c r="XO7" s="176">
        <f t="shared" si="66"/>
        <v>1908480</v>
      </c>
      <c r="XP7" s="171">
        <v>0</v>
      </c>
      <c r="XQ7" s="171">
        <v>0</v>
      </c>
      <c r="XR7" s="245">
        <f t="shared" si="67"/>
        <v>2448</v>
      </c>
      <c r="XS7" s="171">
        <f t="shared" si="68"/>
        <v>195840</v>
      </c>
      <c r="XT7" s="10">
        <f>XS7/XM7</f>
        <v>9.3065693430656932E-2</v>
      </c>
      <c r="XU7" s="13">
        <v>2</v>
      </c>
      <c r="XV7" s="171">
        <v>26904</v>
      </c>
      <c r="XW7" s="171">
        <f t="shared" si="69"/>
        <v>2152320</v>
      </c>
      <c r="XX7" s="245">
        <v>24128</v>
      </c>
      <c r="XY7" s="176">
        <f t="shared" si="70"/>
        <v>1930240</v>
      </c>
      <c r="XZ7" s="171">
        <v>0</v>
      </c>
      <c r="YA7" s="171">
        <v>0</v>
      </c>
      <c r="YB7" s="245">
        <f t="shared" si="71"/>
        <v>2776</v>
      </c>
      <c r="YC7" s="171">
        <f t="shared" si="72"/>
        <v>222080</v>
      </c>
      <c r="YD7" s="10">
        <f>YC7/XW7</f>
        <v>0.10318168302111211</v>
      </c>
      <c r="YE7" s="177">
        <v>2</v>
      </c>
      <c r="YF7" s="171">
        <v>25416</v>
      </c>
      <c r="YG7" s="171">
        <f t="shared" si="73"/>
        <v>2033280</v>
      </c>
      <c r="YH7" s="245">
        <v>22680</v>
      </c>
      <c r="YI7" s="176">
        <f t="shared" si="74"/>
        <v>1814400</v>
      </c>
      <c r="YJ7" s="171">
        <v>0</v>
      </c>
      <c r="YK7" s="171"/>
      <c r="YL7" s="245">
        <f>YF7-YH7-YJ7-YK7</f>
        <v>2736</v>
      </c>
      <c r="YM7" s="171">
        <f>YL7*80</f>
        <v>218880</v>
      </c>
      <c r="YN7" s="10">
        <f>YM7/YG7</f>
        <v>0.10764872521246459</v>
      </c>
      <c r="YO7" s="177">
        <v>2</v>
      </c>
      <c r="YP7" s="171">
        <v>19656</v>
      </c>
      <c r="YQ7" s="176">
        <f t="shared" si="75"/>
        <v>1572480</v>
      </c>
      <c r="YR7" s="171">
        <v>17304</v>
      </c>
      <c r="YS7" s="176">
        <f t="shared" si="76"/>
        <v>1384320</v>
      </c>
      <c r="YT7" s="171">
        <v>0</v>
      </c>
      <c r="YU7" s="171"/>
      <c r="YV7" s="245">
        <f>YP7-YR7-YT7-YU7</f>
        <v>2352</v>
      </c>
      <c r="YW7" s="171">
        <f>YV7*80</f>
        <v>188160</v>
      </c>
      <c r="YX7" s="10">
        <f>YW7/YQ7</f>
        <v>0.11965811965811966</v>
      </c>
      <c r="YY7" s="13"/>
      <c r="YZ7" s="171"/>
      <c r="ZA7" s="176">
        <f t="shared" si="77"/>
        <v>0</v>
      </c>
      <c r="ZB7" s="171"/>
      <c r="ZC7" s="171">
        <f t="shared" si="178"/>
        <v>0</v>
      </c>
      <c r="ZD7" s="1515"/>
      <c r="ZE7" s="176"/>
      <c r="ZF7" s="245">
        <f t="shared" si="179"/>
        <v>0</v>
      </c>
      <c r="ZG7" s="171">
        <f t="shared" si="78"/>
        <v>0</v>
      </c>
      <c r="ZH7" s="10" t="e">
        <f t="shared" si="79"/>
        <v>#DIV/0!</v>
      </c>
      <c r="ZI7" s="13"/>
      <c r="ZJ7" s="171"/>
      <c r="ZK7" s="176">
        <f t="shared" si="80"/>
        <v>0</v>
      </c>
      <c r="ZL7" s="171"/>
      <c r="ZM7" s="171">
        <f t="shared" si="180"/>
        <v>0</v>
      </c>
      <c r="ZN7" s="1515">
        <v>0</v>
      </c>
      <c r="ZO7" s="176">
        <v>0</v>
      </c>
      <c r="ZP7" s="245">
        <f t="shared" si="181"/>
        <v>0</v>
      </c>
      <c r="ZQ7" s="171">
        <f t="shared" si="182"/>
        <v>0</v>
      </c>
      <c r="ZR7" s="10" t="e">
        <f t="shared" si="81"/>
        <v>#DIV/0!</v>
      </c>
      <c r="ZS7" s="59"/>
      <c r="ZT7" s="9">
        <f t="shared" si="82"/>
        <v>271704</v>
      </c>
      <c r="ZU7" s="9">
        <f t="shared" si="82"/>
        <v>21736320</v>
      </c>
      <c r="ZV7" s="57">
        <f t="shared" si="82"/>
        <v>243680</v>
      </c>
      <c r="ZW7" s="58">
        <f t="shared" si="82"/>
        <v>19494400</v>
      </c>
      <c r="ZX7" s="9">
        <f t="shared" si="183"/>
        <v>25039</v>
      </c>
      <c r="ZY7" s="9">
        <f t="shared" si="83"/>
        <v>2003120</v>
      </c>
      <c r="ZZ7" s="10">
        <f>ZY7/ZU7</f>
        <v>9.2155433854488711E-2</v>
      </c>
      <c r="AAA7" s="18">
        <v>2</v>
      </c>
      <c r="AAB7" s="9">
        <f t="shared" si="84"/>
        <v>87660</v>
      </c>
      <c r="AAC7" s="9">
        <f t="shared" si="84"/>
        <v>7012800</v>
      </c>
      <c r="AAD7" s="57">
        <f t="shared" si="84"/>
        <v>78840</v>
      </c>
      <c r="AAE7" s="58">
        <f t="shared" si="84"/>
        <v>6307200</v>
      </c>
      <c r="AAF7" s="9">
        <f t="shared" si="85"/>
        <v>7046</v>
      </c>
      <c r="AAG7" s="9">
        <f t="shared" si="85"/>
        <v>563680</v>
      </c>
      <c r="AAH7" s="10">
        <f>AAG7/AAC7</f>
        <v>8.0378736025553274E-2</v>
      </c>
      <c r="AAI7" s="177">
        <f>(WG7+WQ7+XA7)/3</f>
        <v>2</v>
      </c>
      <c r="AAJ7" s="171">
        <f t="shared" si="86"/>
        <v>85764</v>
      </c>
      <c r="AAK7" s="171">
        <f t="shared" si="86"/>
        <v>6861120</v>
      </c>
      <c r="AAL7" s="245">
        <f t="shared" si="86"/>
        <v>76872</v>
      </c>
      <c r="AAM7" s="176">
        <f t="shared" si="86"/>
        <v>6149760</v>
      </c>
      <c r="AAN7" s="171">
        <f t="shared" si="87"/>
        <v>7681</v>
      </c>
      <c r="AAO7" s="171">
        <f t="shared" si="87"/>
        <v>614480</v>
      </c>
      <c r="AAP7" s="10">
        <f>AAO7/AAK7</f>
        <v>8.955972202789049E-2</v>
      </c>
      <c r="AAQ7" s="177">
        <v>5</v>
      </c>
      <c r="AAR7" s="171">
        <f t="shared" si="88"/>
        <v>78624</v>
      </c>
      <c r="AAS7" s="171">
        <f t="shared" si="88"/>
        <v>6289920</v>
      </c>
      <c r="AAT7" s="171">
        <f t="shared" si="88"/>
        <v>70664</v>
      </c>
      <c r="AAU7" s="171">
        <f t="shared" si="88"/>
        <v>5653120</v>
      </c>
      <c r="AAV7" s="171">
        <f t="shared" si="89"/>
        <v>7960</v>
      </c>
      <c r="AAW7" s="171">
        <f t="shared" si="89"/>
        <v>636800</v>
      </c>
      <c r="AAX7" s="10">
        <f>AAW7/AAS7</f>
        <v>0.10124135124135124</v>
      </c>
      <c r="AAY7" s="13">
        <v>13</v>
      </c>
      <c r="AAZ7" s="9">
        <f t="shared" si="90"/>
        <v>19656</v>
      </c>
      <c r="ABA7" s="9">
        <f t="shared" si="90"/>
        <v>1572480</v>
      </c>
      <c r="ABB7" s="9">
        <f t="shared" si="90"/>
        <v>17304</v>
      </c>
      <c r="ABC7" s="9">
        <f t="shared" si="90"/>
        <v>1384320</v>
      </c>
      <c r="ABD7" s="9">
        <f t="shared" si="184"/>
        <v>2352</v>
      </c>
      <c r="ABE7" s="9">
        <f t="shared" si="184"/>
        <v>188160</v>
      </c>
      <c r="ABF7" s="10">
        <f t="shared" si="91"/>
        <v>0.11965811965811966</v>
      </c>
    </row>
    <row r="8" spans="1:734" s="14" customFormat="1" ht="20.95" customHeight="1" x14ac:dyDescent="0.3">
      <c r="A8" s="5">
        <v>4</v>
      </c>
      <c r="B8" s="6" t="s">
        <v>258</v>
      </c>
      <c r="C8" s="228"/>
      <c r="D8" s="5"/>
      <c r="E8" s="171"/>
      <c r="F8" s="171"/>
      <c r="G8" s="245"/>
      <c r="H8" s="176"/>
      <c r="I8" s="171"/>
      <c r="J8" s="171"/>
      <c r="K8" s="7"/>
      <c r="L8" s="280"/>
      <c r="M8" s="171"/>
      <c r="N8" s="171"/>
      <c r="O8" s="245"/>
      <c r="P8" s="176"/>
      <c r="Q8" s="8"/>
      <c r="R8" s="8"/>
      <c r="S8" s="7"/>
      <c r="T8" s="5"/>
      <c r="U8" s="171"/>
      <c r="V8" s="171"/>
      <c r="W8" s="171"/>
      <c r="X8" s="171"/>
      <c r="Y8" s="8"/>
      <c r="Z8" s="8"/>
      <c r="AA8" s="7"/>
      <c r="AB8" s="280"/>
      <c r="AC8" s="171"/>
      <c r="AD8" s="171"/>
      <c r="AE8" s="171"/>
      <c r="AF8" s="171"/>
      <c r="AG8" s="8"/>
      <c r="AH8" s="8"/>
      <c r="AI8" s="85"/>
      <c r="AJ8" s="5"/>
      <c r="AK8" s="171"/>
      <c r="AL8" s="171"/>
      <c r="AM8" s="171"/>
      <c r="AN8" s="171"/>
      <c r="AO8" s="8"/>
      <c r="AP8" s="8"/>
      <c r="AQ8" s="7"/>
      <c r="AR8" s="280"/>
      <c r="AS8" s="171"/>
      <c r="AT8" s="171"/>
      <c r="AU8" s="171"/>
      <c r="AV8" s="171"/>
      <c r="AW8" s="8"/>
      <c r="AX8" s="8"/>
      <c r="AY8" s="85"/>
      <c r="AZ8" s="5"/>
      <c r="BA8" s="171"/>
      <c r="BB8" s="171"/>
      <c r="BC8" s="171"/>
      <c r="BD8" s="171"/>
      <c r="BE8" s="8"/>
      <c r="BF8" s="8"/>
      <c r="BG8" s="7"/>
      <c r="BH8" s="280"/>
      <c r="BI8" s="171"/>
      <c r="BJ8" s="171"/>
      <c r="BK8" s="171"/>
      <c r="BL8" s="171"/>
      <c r="BM8" s="8"/>
      <c r="BN8" s="8"/>
      <c r="BO8" s="85"/>
      <c r="BP8" s="5"/>
      <c r="BQ8" s="171"/>
      <c r="BR8" s="171"/>
      <c r="BS8" s="171"/>
      <c r="BT8" s="171"/>
      <c r="BU8" s="8"/>
      <c r="BV8" s="8"/>
      <c r="BW8" s="7"/>
      <c r="BX8" s="280"/>
      <c r="BY8" s="171"/>
      <c r="BZ8" s="171"/>
      <c r="CA8" s="171"/>
      <c r="CB8" s="171"/>
      <c r="CC8" s="8"/>
      <c r="CD8" s="8"/>
      <c r="CE8" s="85"/>
      <c r="CF8" s="5"/>
      <c r="CG8" s="171"/>
      <c r="CH8" s="171"/>
      <c r="CI8" s="171"/>
      <c r="CJ8" s="171"/>
      <c r="CK8" s="8"/>
      <c r="CL8" s="8"/>
      <c r="CM8" s="7"/>
      <c r="CN8" s="280"/>
      <c r="CO8" s="171"/>
      <c r="CP8" s="171"/>
      <c r="CQ8" s="245"/>
      <c r="CR8" s="176"/>
      <c r="CS8" s="8"/>
      <c r="CT8" s="8"/>
      <c r="CU8" s="85"/>
      <c r="CV8" s="5"/>
      <c r="CW8" s="257"/>
      <c r="CX8" s="171"/>
      <c r="CY8" s="257"/>
      <c r="CZ8" s="171"/>
      <c r="DA8" s="8"/>
      <c r="DB8" s="8"/>
      <c r="DC8" s="7"/>
      <c r="DD8" s="5"/>
      <c r="DE8" s="171"/>
      <c r="DF8" s="176"/>
      <c r="DG8" s="245"/>
      <c r="DH8" s="176"/>
      <c r="DI8" s="8"/>
      <c r="DJ8" s="8"/>
      <c r="DK8" s="281"/>
      <c r="DL8" s="5"/>
      <c r="DM8" s="171"/>
      <c r="DN8" s="176"/>
      <c r="DO8" s="171"/>
      <c r="DP8" s="171"/>
      <c r="DQ8" s="282"/>
      <c r="DR8" s="8"/>
      <c r="DS8" s="281"/>
      <c r="DT8" s="280"/>
      <c r="DU8" s="171"/>
      <c r="DV8" s="176"/>
      <c r="DW8" s="245"/>
      <c r="DX8" s="176"/>
      <c r="DY8" s="8"/>
      <c r="DZ8" s="8"/>
      <c r="EA8" s="283"/>
      <c r="EB8" s="284"/>
      <c r="EC8" s="171"/>
      <c r="ED8" s="171"/>
      <c r="EE8" s="245"/>
      <c r="EF8" s="176"/>
      <c r="EG8" s="8"/>
      <c r="EH8" s="8"/>
      <c r="EI8" s="285"/>
      <c r="EJ8" s="284"/>
      <c r="EK8" s="171"/>
      <c r="EL8" s="171"/>
      <c r="EM8" s="245"/>
      <c r="EN8" s="176"/>
      <c r="EO8" s="8"/>
      <c r="EP8" s="8"/>
      <c r="EQ8" s="285"/>
      <c r="ER8" s="284"/>
      <c r="ES8" s="171"/>
      <c r="ET8" s="171"/>
      <c r="EU8" s="245"/>
      <c r="EV8" s="176"/>
      <c r="EW8" s="8"/>
      <c r="EX8" s="8"/>
      <c r="EY8" s="285"/>
      <c r="EZ8" s="284"/>
      <c r="FA8" s="171"/>
      <c r="FB8" s="171"/>
      <c r="FC8" s="245"/>
      <c r="FD8" s="176"/>
      <c r="FE8" s="8"/>
      <c r="FF8" s="8"/>
      <c r="FG8" s="285"/>
      <c r="FH8" s="280"/>
      <c r="FI8" s="171"/>
      <c r="FJ8" s="171"/>
      <c r="FK8" s="286"/>
      <c r="FL8" s="287"/>
      <c r="FM8" s="8"/>
      <c r="FN8" s="8"/>
      <c r="FO8" s="7"/>
      <c r="FP8" s="280"/>
      <c r="FQ8" s="171"/>
      <c r="FR8" s="171"/>
      <c r="FS8" s="171"/>
      <c r="FT8" s="171"/>
      <c r="FU8" s="171"/>
      <c r="FV8" s="171"/>
      <c r="FW8" s="8"/>
      <c r="FX8" s="8"/>
      <c r="FY8" s="85"/>
      <c r="FZ8" s="5"/>
      <c r="GA8" s="171"/>
      <c r="GB8" s="171"/>
      <c r="GC8" s="171"/>
      <c r="GD8" s="171"/>
      <c r="GE8" s="171"/>
      <c r="GF8" s="171"/>
      <c r="GG8" s="8"/>
      <c r="GH8" s="8"/>
      <c r="GI8" s="7"/>
      <c r="GJ8" s="280"/>
      <c r="GK8" s="288"/>
      <c r="GL8" s="288"/>
      <c r="GM8" s="288"/>
      <c r="GN8" s="288"/>
      <c r="GO8" s="288"/>
      <c r="GP8" s="288"/>
      <c r="GQ8" s="8"/>
      <c r="GR8" s="8"/>
      <c r="GS8" s="85"/>
      <c r="GT8" s="5"/>
      <c r="GU8" s="171"/>
      <c r="GV8" s="171"/>
      <c r="GW8" s="245"/>
      <c r="GX8" s="176"/>
      <c r="GY8" s="171"/>
      <c r="GZ8" s="171"/>
      <c r="HA8" s="8"/>
      <c r="HB8" s="8"/>
      <c r="HC8" s="7"/>
      <c r="HD8" s="171"/>
      <c r="HE8" s="171"/>
      <c r="HF8" s="171"/>
      <c r="HG8" s="171"/>
      <c r="HH8" s="171"/>
      <c r="HI8" s="8"/>
      <c r="HJ8" s="8"/>
      <c r="HK8" s="7"/>
      <c r="HL8" s="247"/>
      <c r="HM8" s="171"/>
      <c r="HN8" s="171"/>
      <c r="HO8" s="245"/>
      <c r="HP8" s="176"/>
      <c r="HQ8" s="8"/>
      <c r="HR8" s="8"/>
      <c r="HS8" s="7"/>
      <c r="HT8" s="247"/>
      <c r="HU8" s="257"/>
      <c r="HV8" s="171"/>
      <c r="HW8" s="295"/>
      <c r="HX8" s="268"/>
      <c r="HY8" s="171"/>
      <c r="HZ8" s="171"/>
      <c r="IA8" s="7"/>
      <c r="IB8" s="247"/>
      <c r="IC8" s="257"/>
      <c r="ID8" s="171"/>
      <c r="IE8" s="296"/>
      <c r="IF8" s="287"/>
      <c r="IG8" s="8"/>
      <c r="IH8" s="8"/>
      <c r="II8" s="7"/>
      <c r="IJ8" s="247"/>
      <c r="IK8" s="257"/>
      <c r="IL8" s="171"/>
      <c r="IM8" s="296"/>
      <c r="IN8" s="287"/>
      <c r="IO8" s="297"/>
      <c r="IP8" s="8"/>
      <c r="IQ8" s="7"/>
      <c r="IS8" s="247"/>
      <c r="IT8" s="257"/>
      <c r="IU8" s="171">
        <f t="shared" si="92"/>
        <v>0</v>
      </c>
      <c r="IV8" s="258"/>
      <c r="IW8" s="249">
        <f t="shared" si="93"/>
        <v>0</v>
      </c>
      <c r="IX8" s="9"/>
      <c r="IY8" s="9">
        <v>0</v>
      </c>
      <c r="IZ8" s="267">
        <f t="shared" si="94"/>
        <v>0</v>
      </c>
      <c r="JA8" s="851">
        <f t="shared" si="95"/>
        <v>0</v>
      </c>
      <c r="JB8" s="10"/>
      <c r="JC8" s="11"/>
      <c r="JD8" s="171"/>
      <c r="JE8" s="171">
        <f t="shared" si="96"/>
        <v>0</v>
      </c>
      <c r="JF8" s="248">
        <v>0</v>
      </c>
      <c r="JG8" s="249">
        <f t="shared" si="97"/>
        <v>0</v>
      </c>
      <c r="JH8" s="9"/>
      <c r="JI8" s="9"/>
      <c r="JJ8" s="267">
        <f t="shared" si="98"/>
        <v>0</v>
      </c>
      <c r="JK8" s="9">
        <f t="shared" si="99"/>
        <v>0</v>
      </c>
      <c r="JL8" s="10"/>
      <c r="JN8" s="171"/>
      <c r="JO8" s="171">
        <f t="shared" si="100"/>
        <v>0</v>
      </c>
      <c r="JP8" s="245"/>
      <c r="JQ8" s="176">
        <f t="shared" si="101"/>
        <v>0</v>
      </c>
      <c r="JR8" s="1515"/>
      <c r="JS8" s="171"/>
      <c r="JT8" s="267">
        <f t="shared" si="102"/>
        <v>0</v>
      </c>
      <c r="JU8" s="851">
        <f t="shared" si="103"/>
        <v>0</v>
      </c>
      <c r="JV8" s="10"/>
      <c r="JW8" s="13"/>
      <c r="JX8" s="171"/>
      <c r="JY8" s="171">
        <f t="shared" si="104"/>
        <v>0</v>
      </c>
      <c r="JZ8" s="245"/>
      <c r="KA8" s="176">
        <f t="shared" si="105"/>
        <v>0</v>
      </c>
      <c r="KB8" s="1515"/>
      <c r="KC8" s="171"/>
      <c r="KD8" s="267">
        <f t="shared" si="106"/>
        <v>0</v>
      </c>
      <c r="KE8" s="849">
        <f t="shared" si="107"/>
        <v>0</v>
      </c>
      <c r="KF8" s="10"/>
      <c r="KG8" s="11"/>
      <c r="KH8" s="171"/>
      <c r="KI8" s="171">
        <f t="shared" si="108"/>
        <v>0</v>
      </c>
      <c r="KJ8" s="245"/>
      <c r="KK8" s="176">
        <f t="shared" si="109"/>
        <v>0</v>
      </c>
      <c r="KL8" s="1515"/>
      <c r="KM8" s="171"/>
      <c r="KN8" s="267">
        <f t="shared" si="110"/>
        <v>0</v>
      </c>
      <c r="KO8" s="171">
        <f t="shared" si="111"/>
        <v>0</v>
      </c>
      <c r="KP8" s="10"/>
      <c r="KQ8" s="13"/>
      <c r="KR8" s="171"/>
      <c r="KS8" s="171">
        <f t="shared" si="112"/>
        <v>0</v>
      </c>
      <c r="KT8" s="245"/>
      <c r="KU8" s="176">
        <f t="shared" si="113"/>
        <v>0</v>
      </c>
      <c r="KV8" s="1515"/>
      <c r="KW8" s="171"/>
      <c r="KX8" s="267">
        <f t="shared" si="114"/>
        <v>0</v>
      </c>
      <c r="KY8" s="849">
        <f t="shared" si="115"/>
        <v>0</v>
      </c>
      <c r="KZ8" s="10"/>
      <c r="LA8" s="11"/>
      <c r="LB8" s="171"/>
      <c r="LC8" s="171">
        <f t="shared" si="116"/>
        <v>0</v>
      </c>
      <c r="LD8" s="245"/>
      <c r="LE8" s="176">
        <f t="shared" si="117"/>
        <v>0</v>
      </c>
      <c r="LF8" s="1515"/>
      <c r="LG8" s="171"/>
      <c r="LH8" s="267">
        <f t="shared" si="118"/>
        <v>0</v>
      </c>
      <c r="LI8" s="849">
        <f t="shared" si="119"/>
        <v>0</v>
      </c>
      <c r="LJ8" s="10"/>
      <c r="LK8" s="13"/>
      <c r="LL8" s="171"/>
      <c r="LM8" s="171">
        <f t="shared" si="120"/>
        <v>0</v>
      </c>
      <c r="LN8" s="245"/>
      <c r="LO8" s="176">
        <f t="shared" si="121"/>
        <v>0</v>
      </c>
      <c r="LP8" s="1515"/>
      <c r="LQ8" s="171"/>
      <c r="LR8" s="267">
        <f t="shared" si="122"/>
        <v>0</v>
      </c>
      <c r="LS8" s="849">
        <f t="shared" si="123"/>
        <v>0</v>
      </c>
      <c r="LT8" s="10"/>
      <c r="LU8" s="177"/>
      <c r="LV8" s="171"/>
      <c r="LW8" s="171">
        <f t="shared" si="124"/>
        <v>0</v>
      </c>
      <c r="LX8" s="245"/>
      <c r="LY8" s="176">
        <f t="shared" si="125"/>
        <v>0</v>
      </c>
      <c r="LZ8" s="1515"/>
      <c r="MA8" s="268"/>
      <c r="MB8" s="267">
        <f t="shared" si="126"/>
        <v>0</v>
      </c>
      <c r="MC8" s="171">
        <f t="shared" si="127"/>
        <v>0</v>
      </c>
      <c r="MD8" s="10"/>
      <c r="ME8" s="177"/>
      <c r="MF8" s="171"/>
      <c r="MG8" s="176">
        <f t="shared" si="128"/>
        <v>0</v>
      </c>
      <c r="MH8" s="171"/>
      <c r="MI8" s="176">
        <f t="shared" si="129"/>
        <v>0</v>
      </c>
      <c r="MJ8" s="1515"/>
      <c r="MK8" s="268"/>
      <c r="ML8" s="171">
        <f t="shared" si="130"/>
        <v>0</v>
      </c>
      <c r="MM8" s="849">
        <f t="shared" si="131"/>
        <v>0</v>
      </c>
      <c r="MN8" s="10"/>
      <c r="MO8" s="13"/>
      <c r="MQ8" s="176">
        <f t="shared" si="132"/>
        <v>0</v>
      </c>
      <c r="MR8" s="171"/>
      <c r="MS8" s="171">
        <f t="shared" si="133"/>
        <v>0</v>
      </c>
      <c r="MT8" s="1515"/>
      <c r="MU8" s="268"/>
      <c r="MV8" s="171">
        <f t="shared" si="134"/>
        <v>0</v>
      </c>
      <c r="MW8" s="171">
        <f t="shared" si="135"/>
        <v>0</v>
      </c>
      <c r="MX8" s="55"/>
      <c r="MY8" s="13"/>
      <c r="MZ8" s="1525">
        <v>0</v>
      </c>
      <c r="NA8" s="171">
        <f t="shared" si="136"/>
        <v>0</v>
      </c>
      <c r="NB8" s="267">
        <v>0</v>
      </c>
      <c r="NC8" s="268">
        <f t="shared" si="137"/>
        <v>0</v>
      </c>
      <c r="ND8" s="171">
        <v>0</v>
      </c>
      <c r="NE8" s="171">
        <v>0</v>
      </c>
      <c r="NF8" s="267">
        <f t="shared" si="138"/>
        <v>0</v>
      </c>
      <c r="NG8" s="9">
        <v>0</v>
      </c>
      <c r="NH8" s="10"/>
      <c r="NI8" s="9"/>
      <c r="NJ8" s="9">
        <f>MZ8+MP8+MF8+LV8+LL8+LB8+KR8+KH8+JX8+JN8+JD8+IT8</f>
        <v>0</v>
      </c>
      <c r="NK8" s="9">
        <f>NA8+MQ8+MG8+LW8+LM8+LC8+KS8+KI8+JY8+JO8+JE8+IU8</f>
        <v>0</v>
      </c>
      <c r="NL8" s="1518">
        <f>NB8+MR8+MH8+LX8+LN8+LD8+KT8+KJ8+JZ8+JP8+JF8+IV8</f>
        <v>0</v>
      </c>
      <c r="NM8" s="1519">
        <f>NC8+MS8+MI8+LY8+LO8+LE8+KU8+KK8+KA8+JQ8+JG8+IW8</f>
        <v>0</v>
      </c>
      <c r="NN8" s="1518">
        <f t="shared" si="139"/>
        <v>0</v>
      </c>
      <c r="NO8" s="9">
        <f t="shared" si="139"/>
        <v>0</v>
      </c>
      <c r="NP8" s="10"/>
      <c r="NQ8" s="18"/>
      <c r="NR8" s="9"/>
      <c r="NS8" s="9"/>
      <c r="NT8" s="57"/>
      <c r="NU8" s="58"/>
      <c r="NV8" s="9"/>
      <c r="NW8" s="9"/>
      <c r="NX8" s="10"/>
      <c r="NY8" s="177"/>
      <c r="NZ8" s="171"/>
      <c r="OA8" s="171"/>
      <c r="OB8" s="245"/>
      <c r="OC8" s="176"/>
      <c r="OD8" s="171"/>
      <c r="OE8" s="171"/>
      <c r="OF8" s="10"/>
      <c r="OG8" s="177"/>
      <c r="OH8" s="171"/>
      <c r="OI8" s="171"/>
      <c r="OJ8" s="171"/>
      <c r="OK8" s="171"/>
      <c r="OL8" s="171"/>
      <c r="OM8" s="171"/>
      <c r="ON8" s="55"/>
      <c r="OO8" s="13"/>
      <c r="OP8" s="9"/>
      <c r="OQ8" s="9"/>
      <c r="OR8" s="1518"/>
      <c r="OS8" s="1519"/>
      <c r="OT8" s="9"/>
      <c r="OU8" s="9"/>
      <c r="OV8" s="10"/>
      <c r="OX8" s="247"/>
      <c r="OY8" s="257"/>
      <c r="OZ8" s="171"/>
      <c r="PA8" s="248"/>
      <c r="PB8" s="249"/>
      <c r="PC8" s="9"/>
      <c r="PD8" s="9"/>
      <c r="PE8" s="267">
        <f t="shared" si="152"/>
        <v>0</v>
      </c>
      <c r="PF8" s="9"/>
      <c r="PG8" s="10"/>
      <c r="PH8" s="11">
        <v>1</v>
      </c>
      <c r="PI8" s="171">
        <v>13023.12</v>
      </c>
      <c r="PJ8" s="171">
        <f>PI8*80</f>
        <v>1041849.6000000001</v>
      </c>
      <c r="PK8" s="248">
        <v>11264</v>
      </c>
      <c r="PL8" s="249">
        <f>PK8*80</f>
        <v>901120</v>
      </c>
      <c r="PM8" s="9">
        <v>0</v>
      </c>
      <c r="PN8" s="9">
        <v>0</v>
      </c>
      <c r="PO8" s="267">
        <f t="shared" si="153"/>
        <v>1759.1200000000008</v>
      </c>
      <c r="PP8" s="9">
        <f>PO8*80</f>
        <v>140729.60000000006</v>
      </c>
      <c r="PQ8" s="10">
        <f>PP8/PJ8</f>
        <v>0.13507669437124134</v>
      </c>
      <c r="PR8" s="14">
        <v>1</v>
      </c>
      <c r="PS8" s="171">
        <v>13023.12</v>
      </c>
      <c r="PT8" s="171">
        <f>PS8*80</f>
        <v>1041849.6000000001</v>
      </c>
      <c r="PU8" s="245">
        <v>11264</v>
      </c>
      <c r="PV8" s="249">
        <f>PU8*80</f>
        <v>901120</v>
      </c>
      <c r="PW8" s="9">
        <v>0</v>
      </c>
      <c r="PX8" s="9"/>
      <c r="PY8" s="245">
        <f t="shared" si="154"/>
        <v>1759.1200000000008</v>
      </c>
      <c r="PZ8" s="9">
        <f>PY8*80</f>
        <v>140729.60000000006</v>
      </c>
      <c r="QA8" s="10">
        <f>PZ8/PT8</f>
        <v>0.13507669437124134</v>
      </c>
      <c r="QB8" s="13">
        <v>1</v>
      </c>
      <c r="QC8" s="171">
        <v>11543.220000000001</v>
      </c>
      <c r="QD8" s="171">
        <f>QC8*80</f>
        <v>923457.60000000009</v>
      </c>
      <c r="QE8" s="245">
        <v>9984</v>
      </c>
      <c r="QF8" s="9">
        <f>QE8*80</f>
        <v>798720</v>
      </c>
      <c r="QG8" s="1518">
        <v>0</v>
      </c>
      <c r="QH8" s="9">
        <v>0</v>
      </c>
      <c r="QI8" s="267">
        <f t="shared" si="155"/>
        <v>1559.2200000000012</v>
      </c>
      <c r="QJ8" s="9">
        <f>QI8*80</f>
        <v>124737.60000000009</v>
      </c>
      <c r="QK8" s="10">
        <f>QJ8/QD8</f>
        <v>0.1350766943712414</v>
      </c>
      <c r="QL8" s="11">
        <v>1</v>
      </c>
      <c r="QM8" s="171">
        <v>13615</v>
      </c>
      <c r="QN8" s="171">
        <f t="shared" si="156"/>
        <v>1089200</v>
      </c>
      <c r="QO8" s="245">
        <v>11776</v>
      </c>
      <c r="QP8" s="176">
        <f>QO8*80</f>
        <v>942080</v>
      </c>
      <c r="QQ8" s="171">
        <v>0</v>
      </c>
      <c r="QR8" s="171"/>
      <c r="QS8" s="267">
        <f t="shared" si="157"/>
        <v>1839</v>
      </c>
      <c r="QT8" s="171">
        <f>QS8*80</f>
        <v>147120</v>
      </c>
      <c r="QU8" s="10">
        <f>QT8/QN8</f>
        <v>0.13507161219243483</v>
      </c>
      <c r="QV8" s="13">
        <v>1</v>
      </c>
      <c r="QW8" s="171">
        <v>11839.2</v>
      </c>
      <c r="QX8" s="171">
        <f t="shared" si="158"/>
        <v>947136</v>
      </c>
      <c r="QY8" s="245">
        <v>10240</v>
      </c>
      <c r="QZ8" s="176">
        <f t="shared" si="159"/>
        <v>819200</v>
      </c>
      <c r="RA8" s="171">
        <v>0</v>
      </c>
      <c r="RB8" s="171"/>
      <c r="RC8" s="245">
        <f t="shared" si="160"/>
        <v>1599.2000000000007</v>
      </c>
      <c r="RD8" s="849">
        <f t="shared" si="161"/>
        <v>127936.00000000006</v>
      </c>
      <c r="RE8" s="10">
        <f>RD8/QX8</f>
        <v>0.13507669437124137</v>
      </c>
      <c r="RF8" s="11">
        <v>1</v>
      </c>
      <c r="RG8" s="171">
        <v>13023</v>
      </c>
      <c r="RH8" s="171">
        <f>RG8*80</f>
        <v>1041840</v>
      </c>
      <c r="RI8" s="245">
        <v>11264</v>
      </c>
      <c r="RJ8" s="176">
        <f t="shared" si="162"/>
        <v>901120</v>
      </c>
      <c r="RK8" s="171">
        <v>0</v>
      </c>
      <c r="RL8" s="171">
        <v>0</v>
      </c>
      <c r="RM8" s="245">
        <f t="shared" si="163"/>
        <v>1759</v>
      </c>
      <c r="RN8" s="171">
        <f t="shared" si="164"/>
        <v>140720</v>
      </c>
      <c r="RO8" s="10">
        <f>RN8/RH8</f>
        <v>0.13506872456423252</v>
      </c>
      <c r="RP8" s="13">
        <v>1</v>
      </c>
      <c r="RQ8" s="171">
        <v>13023.12</v>
      </c>
      <c r="RR8" s="171">
        <f t="shared" si="165"/>
        <v>1041849.6000000001</v>
      </c>
      <c r="RS8" s="245">
        <v>11264</v>
      </c>
      <c r="RT8" s="176">
        <f t="shared" si="166"/>
        <v>901120</v>
      </c>
      <c r="RU8" s="171">
        <v>0</v>
      </c>
      <c r="RV8" s="171">
        <v>0</v>
      </c>
      <c r="RW8" s="245">
        <f>RQ8-RS8-RU8-RV8</f>
        <v>1759.1200000000008</v>
      </c>
      <c r="RX8" s="171">
        <f>RW8*80</f>
        <v>140729.60000000006</v>
      </c>
      <c r="RY8" s="10">
        <f>RX8/RR8</f>
        <v>0.13507669437124134</v>
      </c>
      <c r="RZ8" s="177">
        <v>1</v>
      </c>
      <c r="SA8" s="171">
        <v>10655</v>
      </c>
      <c r="SB8" s="171">
        <f t="shared" si="167"/>
        <v>852400</v>
      </c>
      <c r="SC8" s="245">
        <v>9216</v>
      </c>
      <c r="SD8" s="176">
        <f>SC8*80</f>
        <v>737280</v>
      </c>
      <c r="SE8" s="171">
        <v>0</v>
      </c>
      <c r="SF8" s="171">
        <v>0</v>
      </c>
      <c r="SG8" s="245">
        <f t="shared" si="168"/>
        <v>1439</v>
      </c>
      <c r="SH8" s="171">
        <f>SG8*80</f>
        <v>115120</v>
      </c>
      <c r="SI8" s="10">
        <f>SH8/SB8</f>
        <v>0.13505396527451902</v>
      </c>
      <c r="SJ8" s="177">
        <v>1</v>
      </c>
      <c r="SK8" s="171">
        <v>12431.16</v>
      </c>
      <c r="SL8" s="176">
        <f>SK8*80</f>
        <v>994492.8</v>
      </c>
      <c r="SM8" s="171">
        <v>10752</v>
      </c>
      <c r="SN8" s="176">
        <f>SM8*80</f>
        <v>860160</v>
      </c>
      <c r="SO8" s="171">
        <v>0</v>
      </c>
      <c r="SP8" s="171">
        <v>0</v>
      </c>
      <c r="SQ8" s="245">
        <f t="shared" si="169"/>
        <v>1679.1599999999999</v>
      </c>
      <c r="SR8" s="171">
        <f>SQ8*80</f>
        <v>134332.79999999999</v>
      </c>
      <c r="SS8" s="10">
        <f>SR8/SL8</f>
        <v>0.13507669437124128</v>
      </c>
      <c r="ST8" s="13">
        <v>1</v>
      </c>
      <c r="SU8" s="171">
        <v>12431</v>
      </c>
      <c r="SV8" s="176">
        <f t="shared" si="27"/>
        <v>994480</v>
      </c>
      <c r="SW8" s="171">
        <v>10752</v>
      </c>
      <c r="SX8" s="171">
        <f t="shared" si="170"/>
        <v>860160</v>
      </c>
      <c r="SY8" s="1515"/>
      <c r="SZ8" s="176"/>
      <c r="TA8" s="245">
        <f t="shared" si="171"/>
        <v>1679</v>
      </c>
      <c r="TB8" s="171">
        <f t="shared" si="28"/>
        <v>134320</v>
      </c>
      <c r="TC8" s="10">
        <f t="shared" si="29"/>
        <v>0.13506556190169736</v>
      </c>
      <c r="TD8" s="13">
        <v>1</v>
      </c>
      <c r="TE8" s="171">
        <v>10655.28</v>
      </c>
      <c r="TF8" s="176">
        <f t="shared" si="30"/>
        <v>852422.4</v>
      </c>
      <c r="TG8" s="171">
        <v>9216</v>
      </c>
      <c r="TH8" s="171">
        <f t="shared" si="172"/>
        <v>737280</v>
      </c>
      <c r="TI8" s="1515">
        <v>0</v>
      </c>
      <c r="TJ8" s="176">
        <v>0</v>
      </c>
      <c r="TK8" s="245">
        <f t="shared" si="173"/>
        <v>1439.2800000000007</v>
      </c>
      <c r="TL8" s="171">
        <f t="shared" si="31"/>
        <v>115142.40000000005</v>
      </c>
      <c r="TM8" s="10">
        <f t="shared" si="32"/>
        <v>0.13507669437124137</v>
      </c>
      <c r="TN8" s="59">
        <v>1</v>
      </c>
      <c r="TO8" s="9">
        <f t="shared" si="33"/>
        <v>135262.22</v>
      </c>
      <c r="TP8" s="9">
        <f t="shared" si="33"/>
        <v>10820977.6</v>
      </c>
      <c r="TQ8" s="57">
        <f t="shared" si="33"/>
        <v>116992</v>
      </c>
      <c r="TR8" s="58">
        <f t="shared" si="33"/>
        <v>9359360</v>
      </c>
      <c r="TS8" s="9">
        <f t="shared" si="34"/>
        <v>18270.220000000008</v>
      </c>
      <c r="TT8" s="9">
        <f t="shared" si="34"/>
        <v>1461617.6000000006</v>
      </c>
      <c r="TU8" s="10">
        <f>TT8/TP8</f>
        <v>0.13507260194309992</v>
      </c>
      <c r="TV8" s="18">
        <f t="shared" si="185"/>
        <v>0.66666666666666663</v>
      </c>
      <c r="TW8" s="9">
        <f t="shared" si="35"/>
        <v>26046.240000000002</v>
      </c>
      <c r="TX8" s="9">
        <f t="shared" si="35"/>
        <v>2083699.2000000002</v>
      </c>
      <c r="TY8" s="57">
        <f t="shared" si="35"/>
        <v>22528</v>
      </c>
      <c r="TZ8" s="58">
        <f t="shared" si="35"/>
        <v>1802240</v>
      </c>
      <c r="UA8" s="9">
        <f t="shared" si="36"/>
        <v>3518.2400000000016</v>
      </c>
      <c r="UB8" s="9">
        <f t="shared" si="36"/>
        <v>281459.20000000013</v>
      </c>
      <c r="UC8" s="10">
        <f>UB8/TX8</f>
        <v>0.13507669437124134</v>
      </c>
      <c r="UD8" s="177">
        <f>(QB8+QL8+QV8)/3</f>
        <v>1</v>
      </c>
      <c r="UE8" s="171">
        <f t="shared" si="37"/>
        <v>36997.42</v>
      </c>
      <c r="UF8" s="171">
        <f t="shared" si="37"/>
        <v>2959793.6</v>
      </c>
      <c r="UG8" s="245">
        <f t="shared" si="37"/>
        <v>32000</v>
      </c>
      <c r="UH8" s="176">
        <f t="shared" si="37"/>
        <v>2560000</v>
      </c>
      <c r="UI8" s="171">
        <f t="shared" si="38"/>
        <v>4997.4200000000019</v>
      </c>
      <c r="UJ8" s="171">
        <f t="shared" si="38"/>
        <v>399793.60000000015</v>
      </c>
      <c r="UK8" s="10">
        <f t="shared" si="39"/>
        <v>0.13507482413638577</v>
      </c>
      <c r="UL8" s="177">
        <v>1</v>
      </c>
      <c r="UM8" s="171">
        <f t="shared" si="40"/>
        <v>36701.120000000003</v>
      </c>
      <c r="UN8" s="171">
        <f t="shared" si="40"/>
        <v>2936089.6</v>
      </c>
      <c r="UO8" s="171">
        <f t="shared" si="40"/>
        <v>31744</v>
      </c>
      <c r="UP8" s="171">
        <f t="shared" si="40"/>
        <v>2539520</v>
      </c>
      <c r="UQ8" s="171">
        <f t="shared" si="41"/>
        <v>4957.1200000000008</v>
      </c>
      <c r="UR8" s="171">
        <f t="shared" si="41"/>
        <v>396569.60000000009</v>
      </c>
      <c r="US8" s="10">
        <f t="shared" si="175"/>
        <v>0.13506726770191213</v>
      </c>
      <c r="UT8" s="13">
        <v>14</v>
      </c>
      <c r="UU8" s="9">
        <f t="shared" si="42"/>
        <v>35517.440000000002</v>
      </c>
      <c r="UV8" s="9">
        <f t="shared" si="42"/>
        <v>2841395.2000000002</v>
      </c>
      <c r="UW8" s="9">
        <f t="shared" si="42"/>
        <v>30720</v>
      </c>
      <c r="UX8" s="9">
        <f t="shared" si="42"/>
        <v>2457600</v>
      </c>
      <c r="UY8" s="9">
        <f t="shared" si="176"/>
        <v>4797.4400000000005</v>
      </c>
      <c r="UZ8" s="9">
        <f t="shared" si="176"/>
        <v>383795.20000000007</v>
      </c>
      <c r="VA8" s="10">
        <f t="shared" si="177"/>
        <v>0.13507279803949837</v>
      </c>
      <c r="VC8" s="247">
        <v>1</v>
      </c>
      <c r="VD8" s="257">
        <v>13023</v>
      </c>
      <c r="VE8" s="171">
        <f t="shared" si="43"/>
        <v>1041840</v>
      </c>
      <c r="VF8" s="248">
        <v>11264</v>
      </c>
      <c r="VG8" s="249">
        <f t="shared" ref="VG8:VG17" si="186">VF8*80</f>
        <v>901120</v>
      </c>
      <c r="VH8" s="9">
        <v>0</v>
      </c>
      <c r="VI8" s="9">
        <v>0</v>
      </c>
      <c r="VJ8" s="267">
        <f>VD8-VF8-VH8-VI8</f>
        <v>1759</v>
      </c>
      <c r="VK8" s="9">
        <f t="shared" ref="VK8:VK17" si="187">VJ8*80</f>
        <v>140720</v>
      </c>
      <c r="VL8" s="10">
        <f t="shared" ref="VL8:VL17" si="188">VK8/VE8</f>
        <v>0.13506872456423252</v>
      </c>
      <c r="VM8" s="11">
        <v>1</v>
      </c>
      <c r="VN8" s="171">
        <v>13023.12</v>
      </c>
      <c r="VO8" s="171">
        <f t="shared" si="44"/>
        <v>1041849.6000000001</v>
      </c>
      <c r="VP8" s="248">
        <v>11264</v>
      </c>
      <c r="VQ8" s="249">
        <f t="shared" si="45"/>
        <v>901120</v>
      </c>
      <c r="VR8" s="9">
        <v>0</v>
      </c>
      <c r="VS8" s="9">
        <v>0</v>
      </c>
      <c r="VT8" s="267">
        <f t="shared" si="46"/>
        <v>1759.1200000000008</v>
      </c>
      <c r="VU8" s="9">
        <f t="shared" si="47"/>
        <v>140729.60000000006</v>
      </c>
      <c r="VV8" s="10">
        <f t="shared" si="48"/>
        <v>0.13507669437124134</v>
      </c>
      <c r="VW8" s="14">
        <v>1</v>
      </c>
      <c r="VX8" s="171">
        <v>11839.2</v>
      </c>
      <c r="VY8" s="171">
        <f t="shared" si="49"/>
        <v>947136</v>
      </c>
      <c r="VZ8" s="245">
        <v>10240</v>
      </c>
      <c r="WA8" s="249">
        <f>VZ8*80</f>
        <v>819200</v>
      </c>
      <c r="WB8" s="9">
        <v>0</v>
      </c>
      <c r="WC8" s="9">
        <v>0</v>
      </c>
      <c r="WD8" s="245">
        <f t="shared" si="50"/>
        <v>1599.2000000000007</v>
      </c>
      <c r="WE8" s="9">
        <f t="shared" si="51"/>
        <v>127936.00000000006</v>
      </c>
      <c r="WF8" s="10">
        <f t="shared" si="52"/>
        <v>0.13507669437124137</v>
      </c>
      <c r="WG8" s="13">
        <v>1</v>
      </c>
      <c r="WH8" s="171">
        <v>13023.12</v>
      </c>
      <c r="WI8" s="171">
        <f t="shared" si="53"/>
        <v>1041849.6000000001</v>
      </c>
      <c r="WJ8" s="245">
        <v>11264</v>
      </c>
      <c r="WK8" s="9">
        <f t="shared" si="54"/>
        <v>901120</v>
      </c>
      <c r="WL8" s="1518">
        <v>0</v>
      </c>
      <c r="WM8" s="9">
        <v>0</v>
      </c>
      <c r="WN8" s="245">
        <f t="shared" si="55"/>
        <v>1759.1200000000008</v>
      </c>
      <c r="WO8" s="9">
        <f t="shared" si="56"/>
        <v>140729.60000000006</v>
      </c>
      <c r="WP8" s="10">
        <f>WO8/WI8</f>
        <v>0.13507669437124134</v>
      </c>
      <c r="WQ8" s="13">
        <v>1</v>
      </c>
      <c r="WR8" s="171">
        <v>13023.12</v>
      </c>
      <c r="WS8" s="171">
        <f t="shared" si="57"/>
        <v>1041849.6000000001</v>
      </c>
      <c r="WT8" s="245">
        <v>11264</v>
      </c>
      <c r="WU8" s="9">
        <f t="shared" si="58"/>
        <v>901120</v>
      </c>
      <c r="WV8" s="1518">
        <v>0</v>
      </c>
      <c r="WW8" s="9">
        <v>0</v>
      </c>
      <c r="WX8" s="245">
        <f t="shared" si="59"/>
        <v>1759.1200000000008</v>
      </c>
      <c r="WY8" s="9">
        <f t="shared" si="60"/>
        <v>140729.60000000006</v>
      </c>
      <c r="WZ8" s="10">
        <f>WY8/WS8</f>
        <v>0.13507669437124134</v>
      </c>
      <c r="XA8" s="13">
        <v>1</v>
      </c>
      <c r="XB8" s="171">
        <v>11839.2</v>
      </c>
      <c r="XC8" s="171">
        <f t="shared" si="61"/>
        <v>947136</v>
      </c>
      <c r="XD8" s="245">
        <v>10240</v>
      </c>
      <c r="XE8" s="176">
        <f t="shared" si="62"/>
        <v>819200</v>
      </c>
      <c r="XF8" s="171">
        <v>0</v>
      </c>
      <c r="XG8" s="171">
        <v>0</v>
      </c>
      <c r="XH8" s="245">
        <f t="shared" si="63"/>
        <v>1599.2000000000007</v>
      </c>
      <c r="XI8" s="849">
        <f t="shared" si="64"/>
        <v>127936.00000000006</v>
      </c>
      <c r="XJ8" s="10">
        <f>XI8/XC8</f>
        <v>0.13507669437124137</v>
      </c>
      <c r="XK8" s="11">
        <v>1</v>
      </c>
      <c r="XL8" s="171">
        <v>13615.080000000002</v>
      </c>
      <c r="XM8" s="171">
        <f t="shared" si="65"/>
        <v>1089206.4000000001</v>
      </c>
      <c r="XN8" s="245">
        <v>12696</v>
      </c>
      <c r="XO8" s="176">
        <f t="shared" si="66"/>
        <v>1015680</v>
      </c>
      <c r="XP8" s="171">
        <v>0</v>
      </c>
      <c r="XQ8" s="171">
        <v>0</v>
      </c>
      <c r="XR8" s="245">
        <f t="shared" si="67"/>
        <v>919.08000000000175</v>
      </c>
      <c r="XS8" s="171">
        <f t="shared" si="68"/>
        <v>73526.40000000014</v>
      </c>
      <c r="XT8" s="10">
        <f>XS8/XM8</f>
        <v>6.7504561118994652E-2</v>
      </c>
      <c r="XU8" s="13">
        <v>1</v>
      </c>
      <c r="XV8" s="171">
        <v>11839.2</v>
      </c>
      <c r="XW8" s="171">
        <f t="shared" si="69"/>
        <v>947136</v>
      </c>
      <c r="XX8" s="245">
        <v>11040</v>
      </c>
      <c r="XY8" s="176">
        <f t="shared" si="70"/>
        <v>883200</v>
      </c>
      <c r="XZ8" s="171">
        <v>0</v>
      </c>
      <c r="YA8" s="171">
        <v>0</v>
      </c>
      <c r="YB8" s="245">
        <f t="shared" si="71"/>
        <v>799.20000000000073</v>
      </c>
      <c r="YC8" s="171">
        <f t="shared" si="72"/>
        <v>63936.000000000058</v>
      </c>
      <c r="YD8" s="10">
        <f>YC8/XW8</f>
        <v>6.7504561118994583E-2</v>
      </c>
      <c r="YE8" s="177">
        <v>1</v>
      </c>
      <c r="YF8" s="171">
        <v>12431.16</v>
      </c>
      <c r="YG8" s="171">
        <f t="shared" si="73"/>
        <v>994492.8</v>
      </c>
      <c r="YH8" s="245">
        <v>11592</v>
      </c>
      <c r="YI8" s="176">
        <f t="shared" si="74"/>
        <v>927360</v>
      </c>
      <c r="YJ8" s="171">
        <v>0</v>
      </c>
      <c r="YK8" s="171"/>
      <c r="YL8" s="245">
        <f>YF8-YH8-YJ8-YK8</f>
        <v>839.15999999999985</v>
      </c>
      <c r="YM8" s="171">
        <f>YL8*80</f>
        <v>67132.799999999988</v>
      </c>
      <c r="YN8" s="10">
        <f>YM8/YG8</f>
        <v>6.7504561118994513E-2</v>
      </c>
      <c r="YO8" s="177"/>
      <c r="YP8" s="171">
        <v>0</v>
      </c>
      <c r="YQ8" s="176">
        <f t="shared" si="75"/>
        <v>0</v>
      </c>
      <c r="YR8" s="171">
        <v>0</v>
      </c>
      <c r="YS8" s="176">
        <f t="shared" si="76"/>
        <v>0</v>
      </c>
      <c r="YT8" s="171">
        <v>0</v>
      </c>
      <c r="YU8" s="171"/>
      <c r="YV8" s="245">
        <f>YP8-YR8-YT8-YU8</f>
        <v>0</v>
      </c>
      <c r="YW8" s="171">
        <f>YV8*80</f>
        <v>0</v>
      </c>
      <c r="YX8" s="858">
        <v>0</v>
      </c>
      <c r="YY8" s="13"/>
      <c r="YZ8" s="171"/>
      <c r="ZA8" s="176">
        <f t="shared" si="77"/>
        <v>0</v>
      </c>
      <c r="ZB8" s="171"/>
      <c r="ZC8" s="171">
        <f t="shared" si="178"/>
        <v>0</v>
      </c>
      <c r="ZD8" s="1515"/>
      <c r="ZE8" s="176"/>
      <c r="ZF8" s="245">
        <f t="shared" si="179"/>
        <v>0</v>
      </c>
      <c r="ZG8" s="171">
        <f t="shared" si="78"/>
        <v>0</v>
      </c>
      <c r="ZH8" s="10" t="e">
        <f t="shared" si="79"/>
        <v>#DIV/0!</v>
      </c>
      <c r="ZI8" s="13"/>
      <c r="ZJ8" s="171"/>
      <c r="ZK8" s="176">
        <f t="shared" si="80"/>
        <v>0</v>
      </c>
      <c r="ZL8" s="171"/>
      <c r="ZM8" s="171">
        <f t="shared" si="180"/>
        <v>0</v>
      </c>
      <c r="ZN8" s="1515">
        <v>0</v>
      </c>
      <c r="ZO8" s="176">
        <v>0</v>
      </c>
      <c r="ZP8" s="245">
        <f t="shared" si="181"/>
        <v>0</v>
      </c>
      <c r="ZQ8" s="171">
        <f t="shared" si="182"/>
        <v>0</v>
      </c>
      <c r="ZR8" s="10" t="e">
        <f t="shared" si="81"/>
        <v>#DIV/0!</v>
      </c>
      <c r="ZS8" s="59"/>
      <c r="ZT8" s="9">
        <f t="shared" si="82"/>
        <v>113656.2</v>
      </c>
      <c r="ZU8" s="9">
        <f t="shared" si="82"/>
        <v>9092496</v>
      </c>
      <c r="ZV8" s="57">
        <f t="shared" si="82"/>
        <v>100864</v>
      </c>
      <c r="ZW8" s="58">
        <f t="shared" si="82"/>
        <v>8069120</v>
      </c>
      <c r="ZX8" s="9">
        <f t="shared" si="183"/>
        <v>12792.200000000006</v>
      </c>
      <c r="ZY8" s="9">
        <f t="shared" si="83"/>
        <v>1023376.0000000005</v>
      </c>
      <c r="ZZ8" s="10">
        <f>ZY8/ZU8</f>
        <v>0.11255171297298348</v>
      </c>
      <c r="AAA8" s="18">
        <v>1</v>
      </c>
      <c r="AAB8" s="9">
        <f t="shared" si="84"/>
        <v>37885.320000000007</v>
      </c>
      <c r="AAC8" s="9">
        <f t="shared" si="84"/>
        <v>3030825.6</v>
      </c>
      <c r="AAD8" s="57">
        <f t="shared" si="84"/>
        <v>32768</v>
      </c>
      <c r="AAE8" s="58">
        <f t="shared" si="84"/>
        <v>2621440</v>
      </c>
      <c r="AAF8" s="9">
        <f t="shared" si="85"/>
        <v>5117.3200000000015</v>
      </c>
      <c r="AAG8" s="9">
        <f t="shared" si="85"/>
        <v>409385.60000000015</v>
      </c>
      <c r="AAH8" s="10">
        <f>AAG8/AAC8</f>
        <v>0.13507395476664844</v>
      </c>
      <c r="AAI8" s="177">
        <f>(WG8+WQ8+XA8)/3</f>
        <v>1</v>
      </c>
      <c r="AAJ8" s="171">
        <f t="shared" si="86"/>
        <v>37885.440000000002</v>
      </c>
      <c r="AAK8" s="171">
        <f t="shared" si="86"/>
        <v>3030835.2000000002</v>
      </c>
      <c r="AAL8" s="245">
        <f t="shared" si="86"/>
        <v>32768</v>
      </c>
      <c r="AAM8" s="176">
        <f t="shared" si="86"/>
        <v>2621440</v>
      </c>
      <c r="AAN8" s="171">
        <f t="shared" si="87"/>
        <v>5117.4400000000023</v>
      </c>
      <c r="AAO8" s="171">
        <f t="shared" si="87"/>
        <v>409395.20000000019</v>
      </c>
      <c r="AAP8" s="10">
        <f>AAO8/AAK8</f>
        <v>0.13507669437124134</v>
      </c>
      <c r="AAQ8" s="177">
        <v>1</v>
      </c>
      <c r="AAR8" s="171">
        <f t="shared" si="88"/>
        <v>37885.440000000002</v>
      </c>
      <c r="AAS8" s="171">
        <f t="shared" si="88"/>
        <v>3030835.2000000002</v>
      </c>
      <c r="AAT8" s="171">
        <f t="shared" si="88"/>
        <v>35328</v>
      </c>
      <c r="AAU8" s="171">
        <f t="shared" si="88"/>
        <v>2826240</v>
      </c>
      <c r="AAV8" s="171">
        <f t="shared" si="89"/>
        <v>2557.4400000000023</v>
      </c>
      <c r="AAW8" s="171">
        <f t="shared" si="89"/>
        <v>204595.20000000019</v>
      </c>
      <c r="AAX8" s="10">
        <f>AAW8/AAS8</f>
        <v>6.7504561118994583E-2</v>
      </c>
      <c r="AAY8" s="13">
        <v>14</v>
      </c>
      <c r="AAZ8" s="9">
        <f t="shared" si="90"/>
        <v>0</v>
      </c>
      <c r="ABA8" s="9">
        <f t="shared" si="90"/>
        <v>0</v>
      </c>
      <c r="ABB8" s="9">
        <f t="shared" si="90"/>
        <v>0</v>
      </c>
      <c r="ABC8" s="9">
        <f t="shared" si="90"/>
        <v>0</v>
      </c>
      <c r="ABD8" s="9">
        <f t="shared" si="184"/>
        <v>0</v>
      </c>
      <c r="ABE8" s="9">
        <f t="shared" si="184"/>
        <v>0</v>
      </c>
      <c r="ABF8" s="10" t="e">
        <f t="shared" si="91"/>
        <v>#DIV/0!</v>
      </c>
    </row>
    <row r="9" spans="1:734" s="14" customFormat="1" ht="20.95" customHeight="1" x14ac:dyDescent="0.3">
      <c r="A9" s="5">
        <v>5</v>
      </c>
      <c r="B9" s="6" t="s">
        <v>646</v>
      </c>
      <c r="C9" s="228"/>
      <c r="D9" s="5"/>
      <c r="E9" s="171"/>
      <c r="F9" s="171"/>
      <c r="G9" s="245"/>
      <c r="H9" s="176"/>
      <c r="I9" s="171"/>
      <c r="J9" s="171"/>
      <c r="K9" s="7"/>
      <c r="L9" s="280"/>
      <c r="M9" s="171"/>
      <c r="N9" s="171"/>
      <c r="O9" s="245"/>
      <c r="P9" s="176"/>
      <c r="Q9" s="8"/>
      <c r="R9" s="8"/>
      <c r="S9" s="7"/>
      <c r="T9" s="5"/>
      <c r="U9" s="171"/>
      <c r="V9" s="171"/>
      <c r="W9" s="171"/>
      <c r="X9" s="171"/>
      <c r="Y9" s="8"/>
      <c r="Z9" s="8"/>
      <c r="AA9" s="7"/>
      <c r="AB9" s="280"/>
      <c r="AC9" s="171"/>
      <c r="AD9" s="171"/>
      <c r="AE9" s="171"/>
      <c r="AF9" s="171"/>
      <c r="AG9" s="8"/>
      <c r="AH9" s="8"/>
      <c r="AI9" s="85"/>
      <c r="AJ9" s="5"/>
      <c r="AK9" s="171"/>
      <c r="AL9" s="171"/>
      <c r="AM9" s="171"/>
      <c r="AN9" s="171"/>
      <c r="AO9" s="8"/>
      <c r="AP9" s="8"/>
      <c r="AQ9" s="7"/>
      <c r="AR9" s="280"/>
      <c r="AS9" s="171"/>
      <c r="AT9" s="171"/>
      <c r="AU9" s="171"/>
      <c r="AV9" s="171"/>
      <c r="AW9" s="8"/>
      <c r="AX9" s="8"/>
      <c r="AY9" s="85"/>
      <c r="AZ9" s="5"/>
      <c r="BA9" s="171"/>
      <c r="BB9" s="171"/>
      <c r="BC9" s="171"/>
      <c r="BD9" s="171"/>
      <c r="BE9" s="8"/>
      <c r="BF9" s="8"/>
      <c r="BG9" s="7"/>
      <c r="BH9" s="280"/>
      <c r="BI9" s="171"/>
      <c r="BJ9" s="171"/>
      <c r="BK9" s="171"/>
      <c r="BL9" s="171"/>
      <c r="BM9" s="8"/>
      <c r="BN9" s="8"/>
      <c r="BO9" s="85"/>
      <c r="BP9" s="5"/>
      <c r="BQ9" s="171"/>
      <c r="BR9" s="171"/>
      <c r="BS9" s="171"/>
      <c r="BT9" s="171"/>
      <c r="BU9" s="8"/>
      <c r="BV9" s="8"/>
      <c r="BW9" s="7"/>
      <c r="BX9" s="280"/>
      <c r="BY9" s="171"/>
      <c r="BZ9" s="171"/>
      <c r="CA9" s="171"/>
      <c r="CB9" s="171"/>
      <c r="CC9" s="8"/>
      <c r="CD9" s="8"/>
      <c r="CE9" s="85"/>
      <c r="CF9" s="5"/>
      <c r="CG9" s="171"/>
      <c r="CH9" s="171"/>
      <c r="CI9" s="171"/>
      <c r="CJ9" s="171"/>
      <c r="CK9" s="8"/>
      <c r="CL9" s="8"/>
      <c r="CM9" s="7"/>
      <c r="CN9" s="280"/>
      <c r="CO9" s="171"/>
      <c r="CP9" s="171"/>
      <c r="CQ9" s="245"/>
      <c r="CR9" s="176"/>
      <c r="CS9" s="8"/>
      <c r="CT9" s="8"/>
      <c r="CU9" s="85"/>
      <c r="CV9" s="5"/>
      <c r="CW9" s="257"/>
      <c r="CX9" s="171"/>
      <c r="CY9" s="257"/>
      <c r="CZ9" s="171"/>
      <c r="DA9" s="8"/>
      <c r="DB9" s="8"/>
      <c r="DC9" s="7"/>
      <c r="DD9" s="5"/>
      <c r="DE9" s="171"/>
      <c r="DF9" s="176"/>
      <c r="DG9" s="245"/>
      <c r="DH9" s="176"/>
      <c r="DI9" s="8"/>
      <c r="DJ9" s="8"/>
      <c r="DK9" s="281"/>
      <c r="DL9" s="5"/>
      <c r="DM9" s="171"/>
      <c r="DN9" s="176"/>
      <c r="DO9" s="171"/>
      <c r="DP9" s="171"/>
      <c r="DQ9" s="282"/>
      <c r="DR9" s="8"/>
      <c r="DS9" s="281"/>
      <c r="DT9" s="280"/>
      <c r="DU9" s="171"/>
      <c r="DV9" s="176"/>
      <c r="DW9" s="245"/>
      <c r="DX9" s="176"/>
      <c r="DY9" s="8"/>
      <c r="DZ9" s="8"/>
      <c r="EA9" s="283"/>
      <c r="EB9" s="284"/>
      <c r="EC9" s="171"/>
      <c r="ED9" s="171"/>
      <c r="EE9" s="245"/>
      <c r="EF9" s="176"/>
      <c r="EG9" s="8"/>
      <c r="EH9" s="8"/>
      <c r="EI9" s="285"/>
      <c r="EJ9" s="284"/>
      <c r="EK9" s="171"/>
      <c r="EL9" s="171"/>
      <c r="EM9" s="245"/>
      <c r="EN9" s="176"/>
      <c r="EO9" s="8"/>
      <c r="EP9" s="8"/>
      <c r="EQ9" s="285"/>
      <c r="ER9" s="284"/>
      <c r="ES9" s="171"/>
      <c r="ET9" s="171"/>
      <c r="EU9" s="245"/>
      <c r="EV9" s="176"/>
      <c r="EW9" s="8"/>
      <c r="EX9" s="8"/>
      <c r="EY9" s="285"/>
      <c r="EZ9" s="284"/>
      <c r="FA9" s="171"/>
      <c r="FB9" s="171"/>
      <c r="FC9" s="245"/>
      <c r="FD9" s="176"/>
      <c r="FE9" s="8"/>
      <c r="FF9" s="8"/>
      <c r="FG9" s="285"/>
      <c r="FH9" s="280"/>
      <c r="FI9" s="171"/>
      <c r="FJ9" s="171"/>
      <c r="FK9" s="286"/>
      <c r="FL9" s="287"/>
      <c r="FM9" s="8"/>
      <c r="FN9" s="8"/>
      <c r="FO9" s="7"/>
      <c r="FP9" s="280"/>
      <c r="FQ9" s="171"/>
      <c r="FR9" s="171"/>
      <c r="FS9" s="171"/>
      <c r="FT9" s="171"/>
      <c r="FU9" s="171"/>
      <c r="FV9" s="171"/>
      <c r="FW9" s="8"/>
      <c r="FX9" s="8"/>
      <c r="FY9" s="85"/>
      <c r="FZ9" s="5"/>
      <c r="GA9" s="171"/>
      <c r="GB9" s="171"/>
      <c r="GC9" s="171"/>
      <c r="GD9" s="171"/>
      <c r="GE9" s="171"/>
      <c r="GF9" s="171"/>
      <c r="GG9" s="8"/>
      <c r="GH9" s="8"/>
      <c r="GI9" s="7"/>
      <c r="GJ9" s="280"/>
      <c r="GK9" s="288"/>
      <c r="GL9" s="288"/>
      <c r="GM9" s="288"/>
      <c r="GN9" s="288"/>
      <c r="GO9" s="288"/>
      <c r="GP9" s="288"/>
      <c r="GQ9" s="8"/>
      <c r="GR9" s="8"/>
      <c r="GS9" s="85"/>
      <c r="GT9" s="5"/>
      <c r="GU9" s="171"/>
      <c r="GV9" s="171"/>
      <c r="GW9" s="245"/>
      <c r="GX9" s="176"/>
      <c r="GY9" s="171"/>
      <c r="GZ9" s="171"/>
      <c r="HA9" s="8"/>
      <c r="HB9" s="8"/>
      <c r="HC9" s="7"/>
      <c r="HD9" s="171"/>
      <c r="HE9" s="171"/>
      <c r="HF9" s="171"/>
      <c r="HG9" s="171"/>
      <c r="HH9" s="171"/>
      <c r="HI9" s="8"/>
      <c r="HJ9" s="8"/>
      <c r="HK9" s="7"/>
      <c r="HL9" s="247"/>
      <c r="HM9" s="171"/>
      <c r="HN9" s="171"/>
      <c r="HO9" s="245"/>
      <c r="HP9" s="176"/>
      <c r="HQ9" s="8"/>
      <c r="HR9" s="8"/>
      <c r="HS9" s="7"/>
      <c r="HT9" s="247"/>
      <c r="HU9" s="257"/>
      <c r="HV9" s="171"/>
      <c r="HW9" s="295"/>
      <c r="HX9" s="268"/>
      <c r="HY9" s="171"/>
      <c r="HZ9" s="171"/>
      <c r="IA9" s="7"/>
      <c r="IB9" s="247"/>
      <c r="IC9" s="257"/>
      <c r="ID9" s="171"/>
      <c r="IE9" s="296"/>
      <c r="IF9" s="287"/>
      <c r="IG9" s="8"/>
      <c r="IH9" s="8"/>
      <c r="II9" s="7"/>
      <c r="IJ9" s="247"/>
      <c r="IK9" s="257"/>
      <c r="IL9" s="171"/>
      <c r="IM9" s="296"/>
      <c r="IN9" s="287"/>
      <c r="IO9" s="297"/>
      <c r="IP9" s="8"/>
      <c r="IQ9" s="7"/>
      <c r="IS9" s="247"/>
      <c r="IT9" s="257"/>
      <c r="IU9" s="171"/>
      <c r="IV9" s="258"/>
      <c r="IW9" s="249"/>
      <c r="IX9" s="9"/>
      <c r="IY9" s="9"/>
      <c r="IZ9" s="267"/>
      <c r="JA9" s="851"/>
      <c r="JB9" s="10"/>
      <c r="JC9" s="11"/>
      <c r="JD9" s="171"/>
      <c r="JE9" s="171"/>
      <c r="JF9" s="248"/>
      <c r="JG9" s="249"/>
      <c r="JH9" s="9"/>
      <c r="JI9" s="9"/>
      <c r="JJ9" s="267"/>
      <c r="JK9" s="9"/>
      <c r="JL9" s="10"/>
      <c r="JN9" s="171"/>
      <c r="JO9" s="171"/>
      <c r="JP9" s="245"/>
      <c r="JQ9" s="176"/>
      <c r="JR9" s="1515"/>
      <c r="JS9" s="171"/>
      <c r="JT9" s="267"/>
      <c r="JU9" s="851"/>
      <c r="JV9" s="10"/>
      <c r="JW9" s="13"/>
      <c r="JX9" s="171"/>
      <c r="JY9" s="171"/>
      <c r="JZ9" s="245"/>
      <c r="KA9" s="176"/>
      <c r="KB9" s="1515"/>
      <c r="KC9" s="171"/>
      <c r="KD9" s="267"/>
      <c r="KE9" s="849"/>
      <c r="KF9" s="10"/>
      <c r="KG9" s="11"/>
      <c r="KH9" s="171"/>
      <c r="KI9" s="171"/>
      <c r="KJ9" s="245"/>
      <c r="KK9" s="176"/>
      <c r="KL9" s="1515"/>
      <c r="KM9" s="171"/>
      <c r="KN9" s="267"/>
      <c r="KO9" s="171"/>
      <c r="KP9" s="10"/>
      <c r="KQ9" s="13"/>
      <c r="KR9" s="171"/>
      <c r="KS9" s="171"/>
      <c r="KT9" s="245"/>
      <c r="KU9" s="176"/>
      <c r="KV9" s="1515"/>
      <c r="KW9" s="171"/>
      <c r="KX9" s="267"/>
      <c r="KY9" s="849"/>
      <c r="KZ9" s="10"/>
      <c r="LA9" s="11"/>
      <c r="LB9" s="171"/>
      <c r="LC9" s="171"/>
      <c r="LD9" s="245"/>
      <c r="LE9" s="176"/>
      <c r="LF9" s="1515"/>
      <c r="LG9" s="171"/>
      <c r="LH9" s="267"/>
      <c r="LI9" s="849"/>
      <c r="LJ9" s="10"/>
      <c r="LK9" s="13"/>
      <c r="LL9" s="171"/>
      <c r="LM9" s="171"/>
      <c r="LN9" s="245"/>
      <c r="LO9" s="176"/>
      <c r="LP9" s="1515"/>
      <c r="LQ9" s="171"/>
      <c r="LR9" s="267"/>
      <c r="LS9" s="849"/>
      <c r="LT9" s="10"/>
      <c r="LU9" s="177"/>
      <c r="LV9" s="171"/>
      <c r="LW9" s="171"/>
      <c r="LX9" s="245"/>
      <c r="LY9" s="176"/>
      <c r="LZ9" s="1515"/>
      <c r="MA9" s="268"/>
      <c r="MB9" s="267"/>
      <c r="MC9" s="171"/>
      <c r="MD9" s="10"/>
      <c r="ME9" s="177"/>
      <c r="MF9" s="171"/>
      <c r="MG9" s="176"/>
      <c r="MH9" s="171"/>
      <c r="MI9" s="176"/>
      <c r="MJ9" s="1515"/>
      <c r="MK9" s="268"/>
      <c r="ML9" s="171"/>
      <c r="MM9" s="849"/>
      <c r="MN9" s="10"/>
      <c r="MO9" s="13"/>
      <c r="MQ9" s="176"/>
      <c r="MR9" s="171"/>
      <c r="MS9" s="171"/>
      <c r="MT9" s="1515"/>
      <c r="MU9" s="268"/>
      <c r="MV9" s="171"/>
      <c r="MW9" s="171"/>
      <c r="MX9" s="55"/>
      <c r="MY9" s="13"/>
      <c r="MZ9" s="1525"/>
      <c r="NA9" s="171"/>
      <c r="NB9" s="267"/>
      <c r="NC9" s="268"/>
      <c r="ND9" s="171"/>
      <c r="NE9" s="171"/>
      <c r="NF9" s="267"/>
      <c r="NG9" s="9"/>
      <c r="NH9" s="10"/>
      <c r="NI9" s="9"/>
      <c r="NJ9" s="9"/>
      <c r="NK9" s="9"/>
      <c r="NL9" s="1518"/>
      <c r="NM9" s="1519"/>
      <c r="NN9" s="1518"/>
      <c r="NO9" s="9"/>
      <c r="NP9" s="10"/>
      <c r="NQ9" s="18"/>
      <c r="NR9" s="9"/>
      <c r="NS9" s="9"/>
      <c r="NT9" s="57"/>
      <c r="NU9" s="58"/>
      <c r="NV9" s="9"/>
      <c r="NW9" s="9"/>
      <c r="NX9" s="10"/>
      <c r="NY9" s="177"/>
      <c r="NZ9" s="171"/>
      <c r="OA9" s="171"/>
      <c r="OB9" s="245"/>
      <c r="OC9" s="176"/>
      <c r="OD9" s="171"/>
      <c r="OE9" s="171"/>
      <c r="OF9" s="10"/>
      <c r="OG9" s="177"/>
      <c r="OH9" s="171"/>
      <c r="OI9" s="171"/>
      <c r="OJ9" s="171"/>
      <c r="OK9" s="171"/>
      <c r="OL9" s="171"/>
      <c r="OM9" s="171"/>
      <c r="ON9" s="55"/>
      <c r="OO9" s="13"/>
      <c r="OP9" s="9"/>
      <c r="OQ9" s="9"/>
      <c r="OR9" s="1518"/>
      <c r="OS9" s="1519"/>
      <c r="OT9" s="9"/>
      <c r="OU9" s="9"/>
      <c r="OV9" s="10"/>
      <c r="OX9" s="247"/>
      <c r="OY9" s="257"/>
      <c r="OZ9" s="171"/>
      <c r="PA9" s="248"/>
      <c r="PB9" s="249"/>
      <c r="PC9" s="9"/>
      <c r="PD9" s="9"/>
      <c r="PE9" s="267"/>
      <c r="PF9" s="9"/>
      <c r="PG9" s="10"/>
      <c r="PH9" s="11"/>
      <c r="PI9" s="171"/>
      <c r="PJ9" s="171"/>
      <c r="PK9" s="248"/>
      <c r="PL9" s="249"/>
      <c r="PM9" s="9"/>
      <c r="PN9" s="9"/>
      <c r="PO9" s="267"/>
      <c r="PP9" s="9"/>
      <c r="PQ9" s="10"/>
      <c r="PS9" s="171"/>
      <c r="PT9" s="171"/>
      <c r="PU9" s="245"/>
      <c r="PV9" s="249"/>
      <c r="PW9" s="9"/>
      <c r="PX9" s="9"/>
      <c r="PY9" s="245"/>
      <c r="PZ9" s="9"/>
      <c r="QA9" s="10"/>
      <c r="QB9" s="13"/>
      <c r="QC9" s="171"/>
      <c r="QD9" s="171"/>
      <c r="QE9" s="245"/>
      <c r="QF9" s="9"/>
      <c r="QG9" s="1518">
        <v>0</v>
      </c>
      <c r="QH9" s="9"/>
      <c r="QI9" s="267"/>
      <c r="QJ9" s="9"/>
      <c r="QK9" s="10"/>
      <c r="QL9" s="11"/>
      <c r="QM9" s="171"/>
      <c r="QN9" s="171"/>
      <c r="QO9" s="245"/>
      <c r="QP9" s="176"/>
      <c r="QQ9" s="171"/>
      <c r="QR9" s="171"/>
      <c r="QS9" s="267"/>
      <c r="QT9" s="171"/>
      <c r="QU9" s="10"/>
      <c r="QV9" s="13"/>
      <c r="QW9" s="171"/>
      <c r="QX9" s="171"/>
      <c r="QY9" s="245"/>
      <c r="QZ9" s="176"/>
      <c r="RA9" s="171"/>
      <c r="RB9" s="171"/>
      <c r="RC9" s="245"/>
      <c r="RD9" s="849"/>
      <c r="RE9" s="10"/>
      <c r="RF9" s="11"/>
      <c r="RG9" s="171"/>
      <c r="RH9" s="171"/>
      <c r="RI9" s="245"/>
      <c r="RJ9" s="176"/>
      <c r="RK9" s="171"/>
      <c r="RL9" s="171"/>
      <c r="RM9" s="245"/>
      <c r="RN9" s="171"/>
      <c r="RO9" s="10"/>
      <c r="RP9" s="13"/>
      <c r="RQ9" s="171"/>
      <c r="RR9" s="171"/>
      <c r="RS9" s="245"/>
      <c r="RT9" s="176"/>
      <c r="RU9" s="171"/>
      <c r="RV9" s="171"/>
      <c r="RW9" s="245"/>
      <c r="RX9" s="171"/>
      <c r="RY9" s="10"/>
      <c r="RZ9" s="177"/>
      <c r="SA9" s="171"/>
      <c r="SB9" s="171"/>
      <c r="SC9" s="245"/>
      <c r="SD9" s="176"/>
      <c r="SE9" s="171"/>
      <c r="SF9" s="171"/>
      <c r="SG9" s="245"/>
      <c r="SH9" s="171"/>
      <c r="SI9" s="10"/>
      <c r="SJ9" s="177"/>
      <c r="SK9" s="171"/>
      <c r="SL9" s="176"/>
      <c r="SM9" s="171"/>
      <c r="SN9" s="176"/>
      <c r="SO9" s="171"/>
      <c r="SP9" s="171"/>
      <c r="SQ9" s="245"/>
      <c r="SR9" s="171"/>
      <c r="SS9" s="10"/>
      <c r="ST9" s="13">
        <v>1</v>
      </c>
      <c r="SU9" s="171">
        <v>8400</v>
      </c>
      <c r="SV9" s="176">
        <f t="shared" si="27"/>
        <v>672000</v>
      </c>
      <c r="SW9" s="171">
        <v>7560</v>
      </c>
      <c r="SX9" s="171">
        <f t="shared" si="170"/>
        <v>604800</v>
      </c>
      <c r="SY9" s="1515"/>
      <c r="SZ9" s="176"/>
      <c r="TA9" s="245">
        <f t="shared" si="171"/>
        <v>840</v>
      </c>
      <c r="TB9" s="171">
        <f t="shared" si="28"/>
        <v>67200</v>
      </c>
      <c r="TC9" s="10">
        <f t="shared" si="29"/>
        <v>0.1</v>
      </c>
      <c r="TD9" s="13">
        <v>1</v>
      </c>
      <c r="TE9" s="171">
        <v>8000</v>
      </c>
      <c r="TF9" s="176">
        <f t="shared" si="30"/>
        <v>640000</v>
      </c>
      <c r="TG9" s="171">
        <v>7200</v>
      </c>
      <c r="TH9" s="171">
        <f t="shared" si="172"/>
        <v>576000</v>
      </c>
      <c r="TI9" s="1515">
        <v>0</v>
      </c>
      <c r="TJ9" s="176">
        <v>0</v>
      </c>
      <c r="TK9" s="245">
        <f>TE9-TG9-TI9-TJ9</f>
        <v>800</v>
      </c>
      <c r="TL9" s="171">
        <f t="shared" si="31"/>
        <v>64000</v>
      </c>
      <c r="TM9" s="10">
        <f t="shared" si="32"/>
        <v>0.1</v>
      </c>
      <c r="TN9" s="59">
        <v>1</v>
      </c>
      <c r="TO9" s="9">
        <f t="shared" si="33"/>
        <v>16400</v>
      </c>
      <c r="TP9" s="9">
        <f t="shared" si="33"/>
        <v>1312000</v>
      </c>
      <c r="TQ9" s="57">
        <f t="shared" si="33"/>
        <v>14760</v>
      </c>
      <c r="TR9" s="58">
        <f t="shared" si="33"/>
        <v>1180800</v>
      </c>
      <c r="TS9" s="9">
        <f t="shared" si="34"/>
        <v>1640</v>
      </c>
      <c r="TT9" s="9">
        <f t="shared" si="34"/>
        <v>131200</v>
      </c>
      <c r="TU9" s="10">
        <v>1</v>
      </c>
      <c r="TV9" s="18">
        <f t="shared" si="185"/>
        <v>0</v>
      </c>
      <c r="TW9" s="9">
        <f t="shared" si="35"/>
        <v>0</v>
      </c>
      <c r="TX9" s="9">
        <f t="shared" si="35"/>
        <v>0</v>
      </c>
      <c r="TY9" s="57">
        <f t="shared" si="35"/>
        <v>0</v>
      </c>
      <c r="TZ9" s="58">
        <f t="shared" si="35"/>
        <v>0</v>
      </c>
      <c r="UA9" s="9">
        <f>PE9+PO9+PY9</f>
        <v>0</v>
      </c>
      <c r="UB9" s="9">
        <f>PF9+PP9+PZ9</f>
        <v>0</v>
      </c>
      <c r="UC9" s="10">
        <v>0</v>
      </c>
      <c r="UD9" s="177">
        <v>0</v>
      </c>
      <c r="UE9" s="171">
        <f t="shared" si="37"/>
        <v>0</v>
      </c>
      <c r="UF9" s="171">
        <f t="shared" si="37"/>
        <v>0</v>
      </c>
      <c r="UG9" s="245">
        <f t="shared" si="37"/>
        <v>0</v>
      </c>
      <c r="UH9" s="176">
        <f t="shared" si="37"/>
        <v>0</v>
      </c>
      <c r="UI9" s="171">
        <f>QI9+QS9+RC9</f>
        <v>0</v>
      </c>
      <c r="UJ9" s="171">
        <f>QJ9+QT9+RD9</f>
        <v>0</v>
      </c>
      <c r="UK9" s="10">
        <v>0</v>
      </c>
      <c r="UL9" s="177">
        <v>0</v>
      </c>
      <c r="UM9" s="171">
        <f t="shared" si="40"/>
        <v>0</v>
      </c>
      <c r="UN9" s="171">
        <f t="shared" si="40"/>
        <v>0</v>
      </c>
      <c r="UO9" s="171">
        <f t="shared" si="40"/>
        <v>0</v>
      </c>
      <c r="UP9" s="171">
        <f t="shared" si="40"/>
        <v>0</v>
      </c>
      <c r="UQ9" s="171">
        <f>RM9+RW9+SG9</f>
        <v>0</v>
      </c>
      <c r="UR9" s="171">
        <f>RN9+RX9+SH9</f>
        <v>0</v>
      </c>
      <c r="US9" s="10"/>
      <c r="UT9" s="13">
        <v>15</v>
      </c>
      <c r="UU9" s="9">
        <f t="shared" si="42"/>
        <v>16400</v>
      </c>
      <c r="UV9" s="9">
        <f t="shared" si="42"/>
        <v>1312000</v>
      </c>
      <c r="UW9" s="9">
        <f t="shared" si="42"/>
        <v>14760</v>
      </c>
      <c r="UX9" s="9">
        <f t="shared" si="42"/>
        <v>1180800</v>
      </c>
      <c r="UY9" s="9">
        <f t="shared" si="176"/>
        <v>1640</v>
      </c>
      <c r="UZ9" s="9">
        <f t="shared" si="176"/>
        <v>131200</v>
      </c>
      <c r="VA9" s="10">
        <f t="shared" si="177"/>
        <v>0.1</v>
      </c>
      <c r="VC9" s="247">
        <v>1</v>
      </c>
      <c r="VD9" s="257">
        <v>8800</v>
      </c>
      <c r="VE9" s="171">
        <f t="shared" si="43"/>
        <v>704000</v>
      </c>
      <c r="VF9" s="248">
        <v>7920</v>
      </c>
      <c r="VG9" s="249">
        <f t="shared" si="186"/>
        <v>633600</v>
      </c>
      <c r="VH9" s="9">
        <v>0</v>
      </c>
      <c r="VI9" s="9">
        <v>0</v>
      </c>
      <c r="VJ9" s="267">
        <f>VD9-VF9-VH9-VI9</f>
        <v>880</v>
      </c>
      <c r="VK9" s="9">
        <f t="shared" si="187"/>
        <v>70400</v>
      </c>
      <c r="VL9" s="10">
        <f t="shared" si="188"/>
        <v>0.1</v>
      </c>
      <c r="VM9" s="11">
        <v>1</v>
      </c>
      <c r="VN9" s="171">
        <v>8800</v>
      </c>
      <c r="VO9" s="171">
        <f t="shared" si="44"/>
        <v>704000</v>
      </c>
      <c r="VP9" s="248">
        <v>7920</v>
      </c>
      <c r="VQ9" s="249">
        <f t="shared" si="45"/>
        <v>633600</v>
      </c>
      <c r="VR9" s="9">
        <v>0</v>
      </c>
      <c r="VS9" s="9">
        <v>176</v>
      </c>
      <c r="VT9" s="267">
        <f t="shared" si="46"/>
        <v>704</v>
      </c>
      <c r="VU9" s="9">
        <f t="shared" si="47"/>
        <v>56320</v>
      </c>
      <c r="VV9" s="10">
        <f t="shared" si="48"/>
        <v>0.08</v>
      </c>
      <c r="VW9" s="14">
        <v>1</v>
      </c>
      <c r="VX9" s="171">
        <v>8000</v>
      </c>
      <c r="VY9" s="171">
        <f t="shared" si="49"/>
        <v>640000</v>
      </c>
      <c r="VZ9" s="245">
        <v>7200</v>
      </c>
      <c r="WA9" s="249"/>
      <c r="WB9" s="9">
        <v>0</v>
      </c>
      <c r="WC9" s="9">
        <v>176</v>
      </c>
      <c r="WD9" s="245">
        <f t="shared" si="50"/>
        <v>624</v>
      </c>
      <c r="WE9" s="9">
        <f t="shared" si="51"/>
        <v>49920</v>
      </c>
      <c r="WF9" s="10">
        <f t="shared" si="52"/>
        <v>7.8E-2</v>
      </c>
      <c r="WG9" s="13">
        <v>1</v>
      </c>
      <c r="WH9" s="171">
        <v>8800</v>
      </c>
      <c r="WI9" s="171">
        <f t="shared" si="53"/>
        <v>704000</v>
      </c>
      <c r="WJ9" s="245">
        <v>7920</v>
      </c>
      <c r="WK9" s="9">
        <f t="shared" si="54"/>
        <v>633600</v>
      </c>
      <c r="WL9" s="1518">
        <v>0</v>
      </c>
      <c r="WM9" s="9">
        <v>160</v>
      </c>
      <c r="WN9" s="245">
        <f t="shared" si="55"/>
        <v>720</v>
      </c>
      <c r="WO9" s="9">
        <f t="shared" si="56"/>
        <v>57600</v>
      </c>
      <c r="WP9" s="10">
        <f>WO9/WI9</f>
        <v>8.1818181818181818E-2</v>
      </c>
      <c r="WQ9" s="13">
        <v>1</v>
      </c>
      <c r="WR9" s="171">
        <v>8800</v>
      </c>
      <c r="WS9" s="171">
        <f t="shared" si="57"/>
        <v>704000</v>
      </c>
      <c r="WT9" s="245">
        <v>7920</v>
      </c>
      <c r="WU9" s="9">
        <f t="shared" si="58"/>
        <v>633600</v>
      </c>
      <c r="WV9" s="1518">
        <v>0</v>
      </c>
      <c r="WW9" s="9">
        <v>160</v>
      </c>
      <c r="WX9" s="245">
        <f t="shared" si="59"/>
        <v>720</v>
      </c>
      <c r="WY9" s="9">
        <f t="shared" si="60"/>
        <v>57600</v>
      </c>
      <c r="WZ9" s="10">
        <f>WY9/WS9</f>
        <v>8.1818181818181818E-2</v>
      </c>
      <c r="XA9" s="13">
        <v>1</v>
      </c>
      <c r="XB9" s="171">
        <v>7600</v>
      </c>
      <c r="XC9" s="171">
        <f t="shared" si="61"/>
        <v>608000</v>
      </c>
      <c r="XD9" s="245">
        <v>6840</v>
      </c>
      <c r="XE9" s="176">
        <f t="shared" si="62"/>
        <v>547200</v>
      </c>
      <c r="XF9" s="171">
        <v>0</v>
      </c>
      <c r="XG9" s="171">
        <v>0</v>
      </c>
      <c r="XH9" s="245">
        <f t="shared" si="63"/>
        <v>760</v>
      </c>
      <c r="XI9" s="849">
        <f t="shared" si="64"/>
        <v>60800</v>
      </c>
      <c r="XJ9" s="10">
        <f>XI9/XC9</f>
        <v>0.1</v>
      </c>
      <c r="XK9" s="11">
        <v>1</v>
      </c>
      <c r="XL9" s="171">
        <v>4400</v>
      </c>
      <c r="XM9" s="171">
        <f t="shared" si="65"/>
        <v>352000</v>
      </c>
      <c r="XN9" s="245">
        <v>3960</v>
      </c>
      <c r="XO9" s="176">
        <f t="shared" si="66"/>
        <v>316800</v>
      </c>
      <c r="XP9" s="171">
        <v>0</v>
      </c>
      <c r="XQ9" s="171">
        <v>0</v>
      </c>
      <c r="XR9" s="245">
        <f t="shared" si="67"/>
        <v>440</v>
      </c>
      <c r="XS9" s="171">
        <f t="shared" si="68"/>
        <v>35200</v>
      </c>
      <c r="XT9" s="10">
        <f>XS9/XM9</f>
        <v>0.1</v>
      </c>
      <c r="XU9" s="13">
        <v>1</v>
      </c>
      <c r="XV9" s="171">
        <v>7200</v>
      </c>
      <c r="XW9" s="171">
        <f t="shared" si="69"/>
        <v>576000</v>
      </c>
      <c r="XX9" s="245">
        <v>6480</v>
      </c>
      <c r="XY9" s="176">
        <f t="shared" si="70"/>
        <v>518400</v>
      </c>
      <c r="XZ9" s="171">
        <v>0</v>
      </c>
      <c r="YA9" s="171"/>
      <c r="YB9" s="245">
        <f t="shared" si="71"/>
        <v>720</v>
      </c>
      <c r="YC9" s="171">
        <f t="shared" si="72"/>
        <v>57600</v>
      </c>
      <c r="YD9" s="10">
        <f>YC9/XW9</f>
        <v>0.1</v>
      </c>
      <c r="YE9" s="177">
        <v>1</v>
      </c>
      <c r="YF9" s="171">
        <v>7600</v>
      </c>
      <c r="YG9" s="171">
        <f t="shared" si="73"/>
        <v>608000</v>
      </c>
      <c r="YH9" s="245">
        <v>6840</v>
      </c>
      <c r="YI9" s="176">
        <f t="shared" si="74"/>
        <v>547200</v>
      </c>
      <c r="YJ9" s="171">
        <v>0</v>
      </c>
      <c r="YK9" s="171"/>
      <c r="YL9" s="245">
        <f t="shared" ref="YL9:YL15" si="189">YF9-YH9-YJ9-YK9</f>
        <v>760</v>
      </c>
      <c r="YM9" s="171">
        <f t="shared" ref="YM9:YM15" si="190">YL9*80</f>
        <v>60800</v>
      </c>
      <c r="YN9" s="10">
        <f t="shared" ref="YN9:YN14" si="191">YM9/YG9</f>
        <v>0.1</v>
      </c>
      <c r="YO9" s="177">
        <v>1</v>
      </c>
      <c r="YP9" s="171">
        <v>8400</v>
      </c>
      <c r="YQ9" s="176">
        <f t="shared" si="75"/>
        <v>672000</v>
      </c>
      <c r="YR9" s="171">
        <v>7560</v>
      </c>
      <c r="YS9" s="176">
        <f t="shared" si="76"/>
        <v>604800</v>
      </c>
      <c r="YT9" s="171">
        <v>0</v>
      </c>
      <c r="YU9" s="171"/>
      <c r="YV9" s="245">
        <f t="shared" ref="YV9:YV17" si="192">YP9-YR9-YT9-YU9</f>
        <v>840</v>
      </c>
      <c r="YW9" s="171">
        <f t="shared" ref="YW9:YW15" si="193">YV9*80</f>
        <v>67200</v>
      </c>
      <c r="YX9" s="10">
        <f>YW9/YQ9</f>
        <v>0.1</v>
      </c>
      <c r="YY9" s="13"/>
      <c r="YZ9" s="171"/>
      <c r="ZA9" s="176">
        <f t="shared" si="77"/>
        <v>0</v>
      </c>
      <c r="ZB9" s="171"/>
      <c r="ZC9" s="171">
        <f t="shared" si="178"/>
        <v>0</v>
      </c>
      <c r="ZD9" s="1515"/>
      <c r="ZE9" s="176"/>
      <c r="ZF9" s="245">
        <f t="shared" si="179"/>
        <v>0</v>
      </c>
      <c r="ZG9" s="171">
        <f t="shared" si="78"/>
        <v>0</v>
      </c>
      <c r="ZH9" s="10" t="e">
        <f t="shared" si="79"/>
        <v>#DIV/0!</v>
      </c>
      <c r="ZI9" s="13"/>
      <c r="ZJ9" s="171"/>
      <c r="ZK9" s="176">
        <f t="shared" si="80"/>
        <v>0</v>
      </c>
      <c r="ZL9" s="171"/>
      <c r="ZM9" s="171">
        <f t="shared" si="180"/>
        <v>0</v>
      </c>
      <c r="ZN9" s="1515">
        <v>0</v>
      </c>
      <c r="ZO9" s="176">
        <v>0</v>
      </c>
      <c r="ZP9" s="245">
        <f t="shared" si="181"/>
        <v>0</v>
      </c>
      <c r="ZQ9" s="171">
        <f t="shared" si="182"/>
        <v>0</v>
      </c>
      <c r="ZR9" s="10" t="e">
        <f t="shared" si="81"/>
        <v>#DIV/0!</v>
      </c>
      <c r="ZS9" s="59"/>
      <c r="ZT9" s="9">
        <f t="shared" si="82"/>
        <v>78400</v>
      </c>
      <c r="ZU9" s="9">
        <f t="shared" si="82"/>
        <v>6272000</v>
      </c>
      <c r="ZV9" s="57">
        <f t="shared" si="82"/>
        <v>70560</v>
      </c>
      <c r="ZW9" s="58">
        <f t="shared" si="82"/>
        <v>5068800</v>
      </c>
      <c r="ZX9" s="9">
        <f t="shared" si="183"/>
        <v>7168</v>
      </c>
      <c r="ZY9" s="9">
        <f t="shared" si="83"/>
        <v>573440</v>
      </c>
      <c r="ZZ9" s="10">
        <v>1</v>
      </c>
      <c r="AAA9" s="18">
        <v>1</v>
      </c>
      <c r="AAB9" s="9">
        <f t="shared" si="84"/>
        <v>25600</v>
      </c>
      <c r="AAC9" s="9">
        <f t="shared" si="84"/>
        <v>2048000</v>
      </c>
      <c r="AAD9" s="57">
        <f t="shared" si="84"/>
        <v>23040</v>
      </c>
      <c r="AAE9" s="58">
        <f t="shared" si="84"/>
        <v>1267200</v>
      </c>
      <c r="AAF9" s="9">
        <f t="shared" si="85"/>
        <v>2208</v>
      </c>
      <c r="AAG9" s="9">
        <f t="shared" si="85"/>
        <v>176640</v>
      </c>
      <c r="AAH9" s="10">
        <v>0</v>
      </c>
      <c r="AAI9" s="177">
        <v>0</v>
      </c>
      <c r="AAJ9" s="171">
        <f t="shared" si="86"/>
        <v>25200</v>
      </c>
      <c r="AAK9" s="171">
        <f t="shared" si="86"/>
        <v>2016000</v>
      </c>
      <c r="AAL9" s="245">
        <f t="shared" si="86"/>
        <v>22680</v>
      </c>
      <c r="AAM9" s="176">
        <f t="shared" si="86"/>
        <v>1814400</v>
      </c>
      <c r="AAN9" s="171">
        <f t="shared" si="87"/>
        <v>2200</v>
      </c>
      <c r="AAO9" s="171">
        <f t="shared" si="87"/>
        <v>176000</v>
      </c>
      <c r="AAP9" s="10">
        <v>0</v>
      </c>
      <c r="AAQ9" s="177">
        <v>0</v>
      </c>
      <c r="AAR9" s="171">
        <f t="shared" si="88"/>
        <v>19200</v>
      </c>
      <c r="AAS9" s="171">
        <f t="shared" si="88"/>
        <v>1536000</v>
      </c>
      <c r="AAT9" s="171">
        <f t="shared" si="88"/>
        <v>17280</v>
      </c>
      <c r="AAU9" s="171">
        <f t="shared" si="88"/>
        <v>1382400</v>
      </c>
      <c r="AAV9" s="171">
        <f t="shared" si="89"/>
        <v>1920</v>
      </c>
      <c r="AAW9" s="171">
        <f t="shared" si="89"/>
        <v>153600</v>
      </c>
      <c r="AAX9" s="10"/>
      <c r="AAY9" s="13">
        <v>15</v>
      </c>
      <c r="AAZ9" s="9">
        <f t="shared" si="90"/>
        <v>8400</v>
      </c>
      <c r="ABA9" s="9">
        <f t="shared" si="90"/>
        <v>672000</v>
      </c>
      <c r="ABB9" s="9">
        <f t="shared" si="90"/>
        <v>7560</v>
      </c>
      <c r="ABC9" s="9">
        <f t="shared" si="90"/>
        <v>604800</v>
      </c>
      <c r="ABD9" s="9">
        <f t="shared" si="184"/>
        <v>840</v>
      </c>
      <c r="ABE9" s="9">
        <f t="shared" si="184"/>
        <v>67200</v>
      </c>
      <c r="ABF9" s="10">
        <f t="shared" si="91"/>
        <v>0.1</v>
      </c>
    </row>
    <row r="10" spans="1:734" s="14" customFormat="1" ht="15.6" x14ac:dyDescent="0.3">
      <c r="A10" s="5">
        <v>6</v>
      </c>
      <c r="B10" s="6" t="s">
        <v>13</v>
      </c>
      <c r="C10" s="228"/>
      <c r="D10" s="5">
        <v>9</v>
      </c>
      <c r="E10" s="171">
        <v>122888</v>
      </c>
      <c r="F10" s="171">
        <f>E10*70</f>
        <v>8602160</v>
      </c>
      <c r="G10" s="245">
        <v>111416</v>
      </c>
      <c r="H10" s="176">
        <f>G10*70</f>
        <v>7799120</v>
      </c>
      <c r="I10" s="171">
        <f>E10-G10</f>
        <v>11472</v>
      </c>
      <c r="J10" s="171">
        <f>I10*70</f>
        <v>803040</v>
      </c>
      <c r="K10" s="7">
        <f>I10/G10</f>
        <v>0.10296546277015868</v>
      </c>
      <c r="L10" s="280">
        <v>9</v>
      </c>
      <c r="M10" s="171">
        <v>103584</v>
      </c>
      <c r="N10" s="171">
        <f>M10*70</f>
        <v>7250880</v>
      </c>
      <c r="O10" s="245">
        <v>95040</v>
      </c>
      <c r="P10" s="176">
        <f>O10*70</f>
        <v>6652800</v>
      </c>
      <c r="Q10" s="8">
        <f>M10-O10</f>
        <v>8544</v>
      </c>
      <c r="R10" s="8">
        <f>Q10*70</f>
        <v>598080</v>
      </c>
      <c r="S10" s="7">
        <f>Q10/O10</f>
        <v>8.9898989898989895E-2</v>
      </c>
      <c r="T10" s="5">
        <v>8</v>
      </c>
      <c r="U10" s="171">
        <v>110880</v>
      </c>
      <c r="V10" s="171">
        <f>U10*70</f>
        <v>7761600</v>
      </c>
      <c r="W10" s="171">
        <v>102080</v>
      </c>
      <c r="X10" s="171">
        <f>W10*70</f>
        <v>7145600</v>
      </c>
      <c r="Y10" s="8">
        <f>U10-W10</f>
        <v>8800</v>
      </c>
      <c r="Z10" s="8">
        <f>Y10*70</f>
        <v>616000</v>
      </c>
      <c r="AA10" s="7">
        <f>Y10/W10</f>
        <v>8.6206896551724144E-2</v>
      </c>
      <c r="AB10" s="280">
        <v>7</v>
      </c>
      <c r="AC10" s="171">
        <v>99440</v>
      </c>
      <c r="AD10" s="171">
        <f>AC10*70</f>
        <v>6960800</v>
      </c>
      <c r="AE10" s="171">
        <v>91408</v>
      </c>
      <c r="AF10" s="171">
        <f>AE10*70</f>
        <v>6398560</v>
      </c>
      <c r="AG10" s="8">
        <f>AC10-AE10</f>
        <v>8032</v>
      </c>
      <c r="AH10" s="8">
        <f>AG10*70</f>
        <v>562240</v>
      </c>
      <c r="AI10" s="85">
        <f>AG10/AE10</f>
        <v>8.7869770698407137E-2</v>
      </c>
      <c r="AJ10" s="5">
        <v>7</v>
      </c>
      <c r="AK10" s="171">
        <v>91480</v>
      </c>
      <c r="AL10" s="171">
        <f>AK10*70</f>
        <v>6403600</v>
      </c>
      <c r="AM10" s="171">
        <v>84040</v>
      </c>
      <c r="AN10" s="171">
        <f>AM10*70</f>
        <v>5882800</v>
      </c>
      <c r="AO10" s="8">
        <f>AK10-AM10</f>
        <v>7440</v>
      </c>
      <c r="AP10" s="8">
        <f>AO10*70</f>
        <v>520800</v>
      </c>
      <c r="AQ10" s="7">
        <f>AO10/AM10</f>
        <v>8.8529271775345073E-2</v>
      </c>
      <c r="AR10" s="280">
        <v>7</v>
      </c>
      <c r="AS10" s="171">
        <v>90440</v>
      </c>
      <c r="AT10" s="171">
        <f>AS10*70</f>
        <v>6330800</v>
      </c>
      <c r="AU10" s="171">
        <v>83040</v>
      </c>
      <c r="AV10" s="171">
        <f>AU10*70</f>
        <v>5812800</v>
      </c>
      <c r="AW10" s="8">
        <f>AS10-AU10</f>
        <v>7400</v>
      </c>
      <c r="AX10" s="8">
        <f>AW10*70</f>
        <v>518000</v>
      </c>
      <c r="AY10" s="85">
        <f>AW10/AU10</f>
        <v>8.9113680154142588E-2</v>
      </c>
      <c r="AZ10" s="5">
        <v>6</v>
      </c>
      <c r="BA10" s="171">
        <v>77166</v>
      </c>
      <c r="BB10" s="171">
        <f>BA10*70</f>
        <v>5401620</v>
      </c>
      <c r="BC10" s="171">
        <v>71454</v>
      </c>
      <c r="BD10" s="171">
        <f>BC10*70</f>
        <v>5001780</v>
      </c>
      <c r="BE10" s="8">
        <f>BA10-BC10</f>
        <v>5712</v>
      </c>
      <c r="BF10" s="8">
        <f>BE10*70</f>
        <v>399840</v>
      </c>
      <c r="BG10" s="7">
        <f>BE10/BC10</f>
        <v>7.9939541523217736E-2</v>
      </c>
      <c r="BH10" s="280">
        <v>5</v>
      </c>
      <c r="BI10" s="171">
        <v>42414</v>
      </c>
      <c r="BJ10" s="171">
        <f>BI10*70</f>
        <v>2968980</v>
      </c>
      <c r="BK10" s="171">
        <v>39694</v>
      </c>
      <c r="BL10" s="171">
        <f>BK10*70</f>
        <v>2778580</v>
      </c>
      <c r="BM10" s="8">
        <f>BI10-BK10</f>
        <v>2720</v>
      </c>
      <c r="BN10" s="8">
        <f>BM10*70</f>
        <v>190400</v>
      </c>
      <c r="BO10" s="85">
        <f>BM10/BK10</f>
        <v>6.8524210208091907E-2</v>
      </c>
      <c r="BP10" s="5">
        <v>2</v>
      </c>
      <c r="BQ10" s="171">
        <v>32208</v>
      </c>
      <c r="BR10" s="171">
        <f>BQ10*70</f>
        <v>2254560</v>
      </c>
      <c r="BS10" s="171">
        <v>29920</v>
      </c>
      <c r="BT10" s="171">
        <f>BS10*70</f>
        <v>2094400</v>
      </c>
      <c r="BU10" s="8">
        <f>BQ10-BS10</f>
        <v>2288</v>
      </c>
      <c r="BV10" s="8">
        <f>BU10*70</f>
        <v>160160</v>
      </c>
      <c r="BW10" s="7">
        <f>BU10/BS10</f>
        <v>7.6470588235294124E-2</v>
      </c>
      <c r="BX10" s="280">
        <v>2</v>
      </c>
      <c r="BY10" s="171">
        <v>27816</v>
      </c>
      <c r="BZ10" s="171">
        <f>BY10*70</f>
        <v>1947120</v>
      </c>
      <c r="CA10" s="171">
        <v>25840</v>
      </c>
      <c r="CB10" s="171">
        <f>CA10*70</f>
        <v>1808800</v>
      </c>
      <c r="CC10" s="8">
        <f>BY10-CA10</f>
        <v>1976</v>
      </c>
      <c r="CD10" s="8">
        <f>CC10*70</f>
        <v>138320</v>
      </c>
      <c r="CE10" s="85">
        <f>CC10/CA10</f>
        <v>7.6470588235294124E-2</v>
      </c>
      <c r="CF10" s="5">
        <v>3</v>
      </c>
      <c r="CG10" s="171">
        <v>35544</v>
      </c>
      <c r="CH10" s="171">
        <f>CG10*70</f>
        <v>2488080</v>
      </c>
      <c r="CI10" s="171">
        <v>32784</v>
      </c>
      <c r="CJ10" s="171">
        <f>CI10*70</f>
        <v>2294880</v>
      </c>
      <c r="CK10" s="8">
        <f>CG10-CI10</f>
        <v>2760</v>
      </c>
      <c r="CL10" s="8">
        <f>CK10*70</f>
        <v>193200</v>
      </c>
      <c r="CM10" s="7">
        <f>CK10/CI10</f>
        <v>8.4187408491947294E-2</v>
      </c>
      <c r="CN10" s="280">
        <v>5</v>
      </c>
      <c r="CO10" s="171">
        <v>63164</v>
      </c>
      <c r="CP10" s="171">
        <f>CO10*70</f>
        <v>4421480</v>
      </c>
      <c r="CQ10" s="245">
        <v>58356</v>
      </c>
      <c r="CR10" s="176">
        <f>CQ10*70</f>
        <v>4084920</v>
      </c>
      <c r="CS10" s="8">
        <f>CO10-CQ10</f>
        <v>4808</v>
      </c>
      <c r="CT10" s="8">
        <f>CS10*70</f>
        <v>336560</v>
      </c>
      <c r="CU10" s="85">
        <f>CS10/CQ10</f>
        <v>8.2390842415518542E-2</v>
      </c>
      <c r="CV10" s="5">
        <f>(D10+L10+T10+AB10+AJ10+AR10+AZ10+BH10+BP10+BX10+CF10+CN10)</f>
        <v>70</v>
      </c>
      <c r="CW10" s="257">
        <f>(E10+M10+U10+AC10+AK10+AS10+BA10+BI10+BQ10+BY10+CG10+CO10)</f>
        <v>897024</v>
      </c>
      <c r="CX10" s="171">
        <f>CW10*70</f>
        <v>62791680</v>
      </c>
      <c r="CY10" s="257">
        <f>(G10+O10+W10+AE10+AM10+AU10+BC10+BK10+BS10+CA10+CI10+CQ10)</f>
        <v>825072</v>
      </c>
      <c r="CZ10" s="171">
        <f>CY10*70</f>
        <v>57755040</v>
      </c>
      <c r="DA10" s="8">
        <f>CW10-CY10</f>
        <v>71952</v>
      </c>
      <c r="DB10" s="8">
        <f>DA10*70</f>
        <v>5036640</v>
      </c>
      <c r="DC10" s="7">
        <f>DA10/CY10</f>
        <v>8.7206934667519928E-2</v>
      </c>
      <c r="DD10" s="5">
        <v>4</v>
      </c>
      <c r="DE10" s="171">
        <v>54384</v>
      </c>
      <c r="DF10" s="176">
        <f>DE10*70</f>
        <v>3806880</v>
      </c>
      <c r="DG10" s="245">
        <v>50688</v>
      </c>
      <c r="DH10" s="176">
        <f>DG10*70</f>
        <v>3548160</v>
      </c>
      <c r="DI10" s="8">
        <f>DE10-DG10</f>
        <v>3696</v>
      </c>
      <c r="DJ10" s="8">
        <f>DI10*70</f>
        <v>258720</v>
      </c>
      <c r="DK10" s="281">
        <f>DI10/DG10</f>
        <v>7.2916666666666671E-2</v>
      </c>
      <c r="DL10" s="5">
        <v>6</v>
      </c>
      <c r="DM10" s="171">
        <v>64784</v>
      </c>
      <c r="DN10" s="176">
        <f>DM10*70</f>
        <v>4534880</v>
      </c>
      <c r="DO10" s="171">
        <v>60008</v>
      </c>
      <c r="DP10" s="171">
        <f>DO10*70</f>
        <v>4200560</v>
      </c>
      <c r="DQ10" s="282">
        <f>DM10-DO10</f>
        <v>4776</v>
      </c>
      <c r="DR10" s="8">
        <f>DQ10*70</f>
        <v>334320</v>
      </c>
      <c r="DS10" s="281">
        <f>DQ10/DO10</f>
        <v>7.9589388081589121E-2</v>
      </c>
      <c r="DT10" s="280">
        <v>6</v>
      </c>
      <c r="DU10" s="171">
        <v>78512</v>
      </c>
      <c r="DV10" s="176">
        <f>DU10*70</f>
        <v>5495840</v>
      </c>
      <c r="DW10" s="245">
        <v>72808</v>
      </c>
      <c r="DX10" s="176">
        <f>DW10*70</f>
        <v>5096560</v>
      </c>
      <c r="DY10" s="8">
        <f>DU10-DW10</f>
        <v>5704</v>
      </c>
      <c r="DZ10" s="8">
        <f>DY10*70</f>
        <v>399280</v>
      </c>
      <c r="EA10" s="283">
        <f>DY10/DW10</f>
        <v>7.8343039226458633E-2</v>
      </c>
      <c r="EB10" s="284">
        <v>7</v>
      </c>
      <c r="EC10" s="171">
        <v>74368</v>
      </c>
      <c r="ED10" s="171">
        <f>EC10*70</f>
        <v>5205760</v>
      </c>
      <c r="EE10" s="245">
        <v>68968</v>
      </c>
      <c r="EF10" s="176">
        <f>EE10*70</f>
        <v>4827760</v>
      </c>
      <c r="EG10" s="8">
        <f>EC10-EE10</f>
        <v>5400</v>
      </c>
      <c r="EH10" s="8">
        <f>EG10*70</f>
        <v>378000</v>
      </c>
      <c r="EI10" s="285">
        <f>EG10/EE10</f>
        <v>7.8297181301473145E-2</v>
      </c>
      <c r="EJ10" s="284">
        <v>8</v>
      </c>
      <c r="EK10" s="171">
        <v>89864</v>
      </c>
      <c r="EL10" s="171">
        <f>EK10*70</f>
        <v>6290480</v>
      </c>
      <c r="EM10" s="245">
        <v>82824</v>
      </c>
      <c r="EN10" s="176">
        <f>EM10*70</f>
        <v>5797680</v>
      </c>
      <c r="EO10" s="8">
        <f>EK10-EM10</f>
        <v>7040</v>
      </c>
      <c r="EP10" s="8">
        <f>EO10*70</f>
        <v>492800</v>
      </c>
      <c r="EQ10" s="285">
        <f>EO10/EM10</f>
        <v>8.4999517048198595E-2</v>
      </c>
      <c r="ER10" s="284">
        <v>8</v>
      </c>
      <c r="ES10" s="171">
        <v>98872</v>
      </c>
      <c r="ET10" s="171">
        <f>ES10*70</f>
        <v>6921040</v>
      </c>
      <c r="EU10" s="245">
        <v>90944</v>
      </c>
      <c r="EV10" s="176">
        <f>EU10*70</f>
        <v>6366080</v>
      </c>
      <c r="EW10" s="8">
        <f>ES10-EU10</f>
        <v>7928</v>
      </c>
      <c r="EX10" s="8">
        <f>EW10*70</f>
        <v>554960</v>
      </c>
      <c r="EY10" s="285">
        <f>EW10/EU10</f>
        <v>8.7174524982406756E-2</v>
      </c>
      <c r="EZ10" s="284">
        <v>8</v>
      </c>
      <c r="FA10" s="171">
        <v>89240</v>
      </c>
      <c r="FB10" s="171">
        <f>FA10*70</f>
        <v>6246800</v>
      </c>
      <c r="FC10" s="245">
        <v>82272</v>
      </c>
      <c r="FD10" s="176">
        <f>FC10*70</f>
        <v>5759040</v>
      </c>
      <c r="FE10" s="8">
        <f>FA10-FC10</f>
        <v>6968</v>
      </c>
      <c r="FF10" s="8">
        <f>FE10*70</f>
        <v>487760</v>
      </c>
      <c r="FG10" s="285">
        <f>FE10/FC10</f>
        <v>8.4694671334111238E-2</v>
      </c>
      <c r="FH10" s="280">
        <v>10</v>
      </c>
      <c r="FI10" s="171">
        <v>97978</v>
      </c>
      <c r="FJ10" s="171">
        <f>FI10*70</f>
        <v>6858460</v>
      </c>
      <c r="FK10" s="286">
        <v>90040</v>
      </c>
      <c r="FL10" s="287">
        <f>FK10*70</f>
        <v>6302800</v>
      </c>
      <c r="FM10" s="8">
        <f>FI10-FK10</f>
        <v>7938</v>
      </c>
      <c r="FN10" s="8">
        <f>FM10*70</f>
        <v>555660</v>
      </c>
      <c r="FO10" s="7">
        <f>FM10/FK10</f>
        <v>8.8160817414482451E-2</v>
      </c>
      <c r="FP10" s="280">
        <v>11</v>
      </c>
      <c r="FQ10" s="171">
        <v>118114</v>
      </c>
      <c r="FR10" s="171">
        <f>FQ10*70</f>
        <v>8267980</v>
      </c>
      <c r="FS10" s="171">
        <v>107104</v>
      </c>
      <c r="FT10" s="171">
        <f>FS10*70</f>
        <v>7497280</v>
      </c>
      <c r="FU10" s="171">
        <v>0</v>
      </c>
      <c r="FV10" s="171"/>
      <c r="FW10" s="8">
        <f>FQ10-FS10</f>
        <v>11010</v>
      </c>
      <c r="FX10" s="8">
        <f>FW10*70</f>
        <v>770700</v>
      </c>
      <c r="FY10" s="85">
        <f>FW10/FS10</f>
        <v>0.10279728114729608</v>
      </c>
      <c r="FZ10" s="5">
        <v>11</v>
      </c>
      <c r="GA10" s="171">
        <v>123176</v>
      </c>
      <c r="GB10" s="171">
        <f>GA10*70</f>
        <v>8622320</v>
      </c>
      <c r="GC10" s="171">
        <v>111848</v>
      </c>
      <c r="GD10" s="171">
        <f>GC10*70</f>
        <v>7829360</v>
      </c>
      <c r="GE10" s="171"/>
      <c r="GF10" s="171"/>
      <c r="GG10" s="8">
        <f>GA10-GC10</f>
        <v>11328</v>
      </c>
      <c r="GH10" s="8">
        <f>GG10*70</f>
        <v>792960</v>
      </c>
      <c r="GI10" s="7">
        <f>GG10/GC10</f>
        <v>0.1012803089907732</v>
      </c>
      <c r="GJ10" s="280">
        <v>13</v>
      </c>
      <c r="GK10" s="288">
        <v>138416</v>
      </c>
      <c r="GL10" s="288">
        <f>GK10*70</f>
        <v>9689120</v>
      </c>
      <c r="GM10" s="288">
        <v>126008</v>
      </c>
      <c r="GN10" s="288">
        <f>GM10*70</f>
        <v>8820560</v>
      </c>
      <c r="GO10" s="288">
        <v>0</v>
      </c>
      <c r="GP10" s="288"/>
      <c r="GQ10" s="8">
        <f>GK10-GM10</f>
        <v>12408</v>
      </c>
      <c r="GR10" s="8">
        <f>GQ10*70</f>
        <v>868560</v>
      </c>
      <c r="GS10" s="85">
        <f>GQ10/GM10</f>
        <v>9.8469938416608463E-2</v>
      </c>
      <c r="GT10" s="5">
        <v>14</v>
      </c>
      <c r="GU10" s="171">
        <v>176200</v>
      </c>
      <c r="GV10" s="171">
        <f>GU10*70</f>
        <v>12334000</v>
      </c>
      <c r="GW10" s="245">
        <v>160264</v>
      </c>
      <c r="GX10" s="176">
        <f>GW10*70</f>
        <v>11218480</v>
      </c>
      <c r="GY10" s="171"/>
      <c r="GZ10" s="171"/>
      <c r="HA10" s="8">
        <f>GU10-GW10</f>
        <v>15936</v>
      </c>
      <c r="HB10" s="8">
        <f>HA10*70</f>
        <v>1115520</v>
      </c>
      <c r="HC10" s="7">
        <f>HB10/GV10</f>
        <v>9.0442678774120322E-2</v>
      </c>
      <c r="HD10" s="171">
        <f>(GT10+GJ10+FZ10+FP10+FH10+EZ10+ER10+EJ10+EB10+DT10+DL10+DD10)/12</f>
        <v>8.8333333333333339</v>
      </c>
      <c r="HE10" s="171">
        <f>GU10+GK10+GA10+FQ10+FI10+FA10+ES10+EK10+EC10+DU10+DM10+DE10</f>
        <v>1203908</v>
      </c>
      <c r="HF10" s="171">
        <f>HE10*70</f>
        <v>84273560</v>
      </c>
      <c r="HG10" s="171">
        <f>GW10+GM10+GC10+FS10+FK10+FC10+EU10+EM10+EE10+DW10+DO10+DG10</f>
        <v>1103776</v>
      </c>
      <c r="HH10" s="171">
        <f>HG10*70</f>
        <v>77264320</v>
      </c>
      <c r="HI10" s="8">
        <f>HE10-HG10</f>
        <v>100132</v>
      </c>
      <c r="HJ10" s="8">
        <f>HI10*70</f>
        <v>7009240</v>
      </c>
      <c r="HK10" s="7">
        <f>HI10/HG10</f>
        <v>9.0717681848490994E-2</v>
      </c>
      <c r="HL10" s="247">
        <f>(DD10+DL10+DT10)/3</f>
        <v>5.333333333333333</v>
      </c>
      <c r="HM10" s="171">
        <f>DE10+DM10+DU10</f>
        <v>197680</v>
      </c>
      <c r="HN10" s="171">
        <f>HM10*70</f>
        <v>13837600</v>
      </c>
      <c r="HO10" s="245">
        <f>DG10+DO10+DW10</f>
        <v>183504</v>
      </c>
      <c r="HP10" s="176">
        <f>HO10*70</f>
        <v>12845280</v>
      </c>
      <c r="HQ10" s="8">
        <f>HM10-HO10</f>
        <v>14176</v>
      </c>
      <c r="HR10" s="8">
        <f>HQ10*70</f>
        <v>992320</v>
      </c>
      <c r="HS10" s="7">
        <f>HQ10/HO10</f>
        <v>7.7251722033307171E-2</v>
      </c>
      <c r="HT10" s="247">
        <f>(EB10+EJ10+ER10)/3</f>
        <v>7.666666666666667</v>
      </c>
      <c r="HU10" s="257">
        <f>(EC10+EK10+ES10)</f>
        <v>263104</v>
      </c>
      <c r="HV10" s="171">
        <f>HU10*70</f>
        <v>18417280</v>
      </c>
      <c r="HW10" s="295">
        <f>(EE10+EM10+EU10)</f>
        <v>242736</v>
      </c>
      <c r="HX10" s="268">
        <f>HW10*70</f>
        <v>16991520</v>
      </c>
      <c r="HY10" s="171">
        <f>HU10-HW10</f>
        <v>20368</v>
      </c>
      <c r="HZ10" s="171">
        <f>HY10*70</f>
        <v>1425760</v>
      </c>
      <c r="IA10" s="7">
        <f>HY10/HW10</f>
        <v>8.3910091622173888E-2</v>
      </c>
      <c r="IB10" s="247">
        <f>(EZ10+FH10+FP10)/3</f>
        <v>9.6666666666666661</v>
      </c>
      <c r="IC10" s="257">
        <f>(FA10+FI10+FQ10)</f>
        <v>305332</v>
      </c>
      <c r="ID10" s="171">
        <f>IC10*70</f>
        <v>21373240</v>
      </c>
      <c r="IE10" s="296">
        <f>(FC10+FK10+FS10)</f>
        <v>279416</v>
      </c>
      <c r="IF10" s="287">
        <f>IE10*70</f>
        <v>19559120</v>
      </c>
      <c r="IG10" s="8">
        <f>IC10-IE10</f>
        <v>25916</v>
      </c>
      <c r="IH10" s="8">
        <f>IG10*70</f>
        <v>1814120</v>
      </c>
      <c r="II10" s="7">
        <f>IG10/IE10</f>
        <v>9.275059409625791E-2</v>
      </c>
      <c r="IJ10" s="247">
        <f>(FZ10+GJ10+GT10)/3</f>
        <v>12.666666666666666</v>
      </c>
      <c r="IK10" s="257">
        <f>(GA10+GK10+GU10)</f>
        <v>437792</v>
      </c>
      <c r="IL10" s="171">
        <f>IK10*70</f>
        <v>30645440</v>
      </c>
      <c r="IM10" s="296">
        <f>(GC10+GM10+GW10)</f>
        <v>398120</v>
      </c>
      <c r="IN10" s="287">
        <f>IM10*70</f>
        <v>27868400</v>
      </c>
      <c r="IO10" s="297">
        <f>IK10-IM10</f>
        <v>39672</v>
      </c>
      <c r="IP10" s="8">
        <f>IO10*70</f>
        <v>2777040</v>
      </c>
      <c r="IQ10" s="7">
        <f>IO10/IM10</f>
        <v>9.9648347231990356E-2</v>
      </c>
      <c r="IS10" s="247">
        <v>17</v>
      </c>
      <c r="IT10" s="257">
        <v>161168</v>
      </c>
      <c r="IU10" s="171">
        <f>IT10*80</f>
        <v>12893440</v>
      </c>
      <c r="IV10" s="248">
        <v>146344</v>
      </c>
      <c r="IW10" s="249">
        <f>IV10*80</f>
        <v>11707520</v>
      </c>
      <c r="IX10" s="9">
        <v>0</v>
      </c>
      <c r="IY10" s="9">
        <f>1585+1280</f>
        <v>2865</v>
      </c>
      <c r="IZ10" s="267">
        <f>IT10-IV10-IX10-IY10</f>
        <v>11959</v>
      </c>
      <c r="JA10" s="851">
        <f>IZ10*80</f>
        <v>956720</v>
      </c>
      <c r="JB10" s="10">
        <f>JA10/IU10</f>
        <v>7.4202074853568945E-2</v>
      </c>
      <c r="JC10" s="11">
        <v>14</v>
      </c>
      <c r="JD10" s="171">
        <v>164256</v>
      </c>
      <c r="JE10" s="171">
        <f>JD10*80</f>
        <v>13140480</v>
      </c>
      <c r="JF10" s="248">
        <v>148584</v>
      </c>
      <c r="JG10" s="249">
        <f>JF10*80</f>
        <v>11886720</v>
      </c>
      <c r="JH10" s="9"/>
      <c r="JI10" s="9">
        <f>1585+680</f>
        <v>2265</v>
      </c>
      <c r="JJ10" s="267">
        <f>JD10-JF10-JH10-JI10</f>
        <v>13407</v>
      </c>
      <c r="JK10" s="9">
        <f>JJ10*80</f>
        <v>1072560</v>
      </c>
      <c r="JL10" s="10">
        <f>JK10/JE10</f>
        <v>8.162258912916423E-2</v>
      </c>
      <c r="JM10" s="14">
        <v>14</v>
      </c>
      <c r="JN10" s="171">
        <v>150248</v>
      </c>
      <c r="JO10" s="171">
        <f>JN10*80</f>
        <v>12019840</v>
      </c>
      <c r="JP10" s="245">
        <v>136408</v>
      </c>
      <c r="JQ10" s="176">
        <f>JP10*80</f>
        <v>10912640</v>
      </c>
      <c r="JR10" s="1515">
        <v>0</v>
      </c>
      <c r="JS10" s="171">
        <v>3711</v>
      </c>
      <c r="JT10" s="267">
        <f>JN10-JP10-JR10-JS10</f>
        <v>10129</v>
      </c>
      <c r="JU10" s="851">
        <f>JT10*80</f>
        <v>810320</v>
      </c>
      <c r="JV10" s="10">
        <f>JU10/JO10</f>
        <v>6.7415206857994778E-2</v>
      </c>
      <c r="JW10" s="13">
        <v>11</v>
      </c>
      <c r="JX10" s="171">
        <v>103368</v>
      </c>
      <c r="JY10" s="171">
        <f>JX10*80</f>
        <v>8269440</v>
      </c>
      <c r="JZ10" s="245">
        <v>94316</v>
      </c>
      <c r="KA10" s="176">
        <f>JZ10*80</f>
        <v>7545280</v>
      </c>
      <c r="KB10" s="1515">
        <v>0</v>
      </c>
      <c r="KC10" s="171">
        <v>3711</v>
      </c>
      <c r="KD10" s="267">
        <f>JX10-JZ10-KB10-KC10</f>
        <v>5341</v>
      </c>
      <c r="KE10" s="849">
        <f>KD10*80</f>
        <v>427280</v>
      </c>
      <c r="KF10" s="10">
        <f>KE10/JY10</f>
        <v>5.1669762402290847E-2</v>
      </c>
      <c r="KG10" s="11">
        <v>9</v>
      </c>
      <c r="KH10" s="257">
        <v>89676</v>
      </c>
      <c r="KI10" s="171">
        <f>KH10*80</f>
        <v>7174080</v>
      </c>
      <c r="KJ10" s="245">
        <v>81888</v>
      </c>
      <c r="KK10" s="176">
        <f>KJ10*80</f>
        <v>6551040</v>
      </c>
      <c r="KL10" s="1515">
        <v>0</v>
      </c>
      <c r="KM10" s="171">
        <v>3711</v>
      </c>
      <c r="KN10" s="267">
        <f>KH10-KJ10-KL10-KM10</f>
        <v>4077</v>
      </c>
      <c r="KO10" s="171">
        <f>KN10*80</f>
        <v>326160</v>
      </c>
      <c r="KP10" s="10">
        <f>KO10/KI10</f>
        <v>4.546366920915295E-2</v>
      </c>
      <c r="KQ10" s="13">
        <v>13</v>
      </c>
      <c r="KR10" s="14">
        <v>90958</v>
      </c>
      <c r="KS10" s="171">
        <f>KR10*80</f>
        <v>7276640</v>
      </c>
      <c r="KT10" s="245">
        <v>82782</v>
      </c>
      <c r="KU10" s="176">
        <f>KT10*80</f>
        <v>6622560</v>
      </c>
      <c r="KV10" s="1515">
        <v>0</v>
      </c>
      <c r="KW10" s="171">
        <v>3711</v>
      </c>
      <c r="KX10" s="267">
        <f>KR10-KT10-KV10-KW10</f>
        <v>4465</v>
      </c>
      <c r="KY10" s="849">
        <f>KX10*80</f>
        <v>357200</v>
      </c>
      <c r="KZ10" s="10">
        <f>KY10/KS10</f>
        <v>4.9088590338397943E-2</v>
      </c>
      <c r="LA10" s="11">
        <v>9</v>
      </c>
      <c r="LB10" s="171">
        <v>97828</v>
      </c>
      <c r="LC10" s="171">
        <f>LB10*80</f>
        <v>7826240</v>
      </c>
      <c r="LD10" s="245">
        <v>87134</v>
      </c>
      <c r="LE10" s="176">
        <f>LD10*80</f>
        <v>6970720</v>
      </c>
      <c r="LF10" s="1515">
        <v>0</v>
      </c>
      <c r="LG10" s="171">
        <v>3711</v>
      </c>
      <c r="LH10" s="267">
        <f>LB10-LD10-LF10-LG10</f>
        <v>6983</v>
      </c>
      <c r="LI10" s="849">
        <f>LH10*80</f>
        <v>558640</v>
      </c>
      <c r="LJ10" s="10">
        <f>LI10/LC10</f>
        <v>7.1380381894754055E-2</v>
      </c>
      <c r="LK10" s="13">
        <v>9</v>
      </c>
      <c r="LL10" s="171">
        <v>94912</v>
      </c>
      <c r="LM10" s="171">
        <f>LL10*80</f>
        <v>7592960</v>
      </c>
      <c r="LN10" s="245">
        <v>84432</v>
      </c>
      <c r="LO10" s="176">
        <f>LN10*80</f>
        <v>6754560</v>
      </c>
      <c r="LP10" s="1515">
        <v>0</v>
      </c>
      <c r="LQ10" s="171">
        <v>3711</v>
      </c>
      <c r="LR10" s="267">
        <f>LL10-LN10-LP10-LQ10</f>
        <v>6769</v>
      </c>
      <c r="LS10" s="849">
        <f>LR10*80</f>
        <v>541520</v>
      </c>
      <c r="LT10" s="10">
        <f>LS10/LM10</f>
        <v>7.1318695212407288E-2</v>
      </c>
      <c r="LU10" s="177">
        <v>6</v>
      </c>
      <c r="LV10" s="171">
        <v>71536</v>
      </c>
      <c r="LW10" s="171">
        <f>LV10*80</f>
        <v>5722880</v>
      </c>
      <c r="LX10" s="245">
        <v>64472</v>
      </c>
      <c r="LY10" s="176">
        <f>LX10*80</f>
        <v>5157760</v>
      </c>
      <c r="LZ10" s="1515">
        <v>0</v>
      </c>
      <c r="MA10" s="268">
        <v>3711</v>
      </c>
      <c r="MB10" s="267">
        <f>LV10-LX10-LZ10-MA10</f>
        <v>3353</v>
      </c>
      <c r="MC10" s="171">
        <f>MB10*80</f>
        <v>268240</v>
      </c>
      <c r="MD10" s="10">
        <f>MC10/LW10</f>
        <v>4.6871505256094834E-2</v>
      </c>
      <c r="ME10" s="177">
        <v>6</v>
      </c>
      <c r="MF10" s="171">
        <v>66808</v>
      </c>
      <c r="MG10" s="176">
        <f>MF10*80</f>
        <v>5344640</v>
      </c>
      <c r="MH10" s="171">
        <v>61104</v>
      </c>
      <c r="MI10" s="176">
        <f>MH10*80</f>
        <v>4888320</v>
      </c>
      <c r="MJ10" s="1515">
        <v>0</v>
      </c>
      <c r="MK10" s="268">
        <v>3011</v>
      </c>
      <c r="ML10" s="171">
        <f>MF10-MH10-MJ10-MK10</f>
        <v>2693</v>
      </c>
      <c r="MM10" s="849">
        <f>ML10*80</f>
        <v>215440</v>
      </c>
      <c r="MN10" s="10">
        <f>MM10/MG10</f>
        <v>4.0309543767213504E-2</v>
      </c>
      <c r="MO10" s="13">
        <v>6</v>
      </c>
      <c r="MP10" s="171">
        <v>65088</v>
      </c>
      <c r="MQ10" s="176">
        <f>MP10*80</f>
        <v>5207040</v>
      </c>
      <c r="MR10" s="171">
        <v>59152</v>
      </c>
      <c r="MS10" s="171">
        <f>MR10*80</f>
        <v>4732160</v>
      </c>
      <c r="MT10" s="1515">
        <v>0</v>
      </c>
      <c r="MU10" s="268">
        <v>2511</v>
      </c>
      <c r="MV10" s="171">
        <f>MP10-MR10-MT10-MU10</f>
        <v>3425</v>
      </c>
      <c r="MW10" s="171">
        <f>MV10*80</f>
        <v>274000</v>
      </c>
      <c r="MX10" s="55">
        <f>MW10/MQ10</f>
        <v>5.2621066863323497E-2</v>
      </c>
      <c r="MY10" s="13">
        <v>6</v>
      </c>
      <c r="MZ10" s="171">
        <v>73916</v>
      </c>
      <c r="NA10" s="171">
        <f>MZ10*80</f>
        <v>5913280</v>
      </c>
      <c r="NB10" s="267">
        <v>67104</v>
      </c>
      <c r="NC10" s="268">
        <f>NB10*80</f>
        <v>5368320</v>
      </c>
      <c r="ND10" s="171">
        <v>0</v>
      </c>
      <c r="NE10" s="171">
        <f>565+736</f>
        <v>1301</v>
      </c>
      <c r="NF10" s="267">
        <f>MZ10-NB10-ND10-NE10</f>
        <v>5511</v>
      </c>
      <c r="NG10" s="9">
        <f>NF10*80</f>
        <v>440880</v>
      </c>
      <c r="NH10" s="10">
        <f>NG10/NA10</f>
        <v>7.455760593105687E-2</v>
      </c>
      <c r="NI10" s="9">
        <v>6</v>
      </c>
      <c r="NJ10" s="9">
        <f t="shared" ref="NJ10:NM18" si="194">MZ10+MP10+MF10+LV10+LL10+LB10+KR10+KH10+JX10+JN10+JD10+IT10</f>
        <v>1229762</v>
      </c>
      <c r="NK10" s="9">
        <f t="shared" si="194"/>
        <v>98380960</v>
      </c>
      <c r="NL10" s="1518">
        <f t="shared" si="194"/>
        <v>1113720</v>
      </c>
      <c r="NM10" s="1519">
        <f t="shared" si="194"/>
        <v>89097600</v>
      </c>
      <c r="NN10" s="1518">
        <f>NF10+MV10+ML10+MB10+LR10+LH10+KX10+KN10+KD10+JT10+JJ10+IZ10</f>
        <v>78112</v>
      </c>
      <c r="NO10" s="9">
        <f>NG10+MW10+MM10+MC10+LS10+LI10+KY10+KO10+KE10+JU10+JK10+JA10</f>
        <v>6248960</v>
      </c>
      <c r="NP10" s="10">
        <f>NO10/NK10</f>
        <v>6.351798152813308E-2</v>
      </c>
      <c r="NQ10" s="18">
        <f>(IS10+JC10+JM10)/3</f>
        <v>15</v>
      </c>
      <c r="NR10" s="9">
        <f>IT10+JD10+JN10</f>
        <v>475672</v>
      </c>
      <c r="NS10" s="9">
        <f>IU10+JE10+JO10</f>
        <v>38053760</v>
      </c>
      <c r="NT10" s="57">
        <f>IV10+JF10+JP10</f>
        <v>431336</v>
      </c>
      <c r="NU10" s="58">
        <f>IW10+JG10+JQ10</f>
        <v>34506880</v>
      </c>
      <c r="NV10" s="9">
        <f>IZ10+JJ10+JT10</f>
        <v>35495</v>
      </c>
      <c r="NW10" s="9">
        <f>JA10+JK10+JU10</f>
        <v>2839600</v>
      </c>
      <c r="NX10" s="10">
        <f>NW10/NS10</f>
        <v>7.4620747069409174E-2</v>
      </c>
      <c r="NY10" s="177">
        <f>(JW10+KG10+KQ10)/3</f>
        <v>11</v>
      </c>
      <c r="NZ10" s="171">
        <f t="shared" ref="NZ10:OC11" si="195">JX10+KH10+KR10</f>
        <v>284002</v>
      </c>
      <c r="OA10" s="171">
        <f t="shared" si="195"/>
        <v>22720160</v>
      </c>
      <c r="OB10" s="245">
        <f t="shared" si="195"/>
        <v>258986</v>
      </c>
      <c r="OC10" s="176">
        <f t="shared" si="195"/>
        <v>20718880</v>
      </c>
      <c r="OD10" s="171">
        <f>KD10+KN10+KX10</f>
        <v>13883</v>
      </c>
      <c r="OE10" s="171">
        <f>KE10+KO10+KY10</f>
        <v>1110640</v>
      </c>
      <c r="OF10" s="10">
        <f>OE10/OA10</f>
        <v>4.8883458567193186E-2</v>
      </c>
      <c r="OG10" s="177">
        <f>(LA10+LK10+LU10)/3</f>
        <v>8</v>
      </c>
      <c r="OH10" s="171">
        <f t="shared" ref="OH10:OK11" si="196">LB10+LL10+LV10</f>
        <v>264276</v>
      </c>
      <c r="OI10" s="171">
        <f t="shared" si="196"/>
        <v>21142080</v>
      </c>
      <c r="OJ10" s="171">
        <f t="shared" si="196"/>
        <v>236038</v>
      </c>
      <c r="OK10" s="171">
        <f t="shared" si="196"/>
        <v>18883040</v>
      </c>
      <c r="OL10" s="171">
        <f>LH10+LR10+MB10</f>
        <v>17105</v>
      </c>
      <c r="OM10" s="171">
        <f>LI10+LS10+MC10</f>
        <v>1368400</v>
      </c>
      <c r="ON10" s="55">
        <f>OM10/OI10</f>
        <v>6.4724000665970421E-2</v>
      </c>
      <c r="OO10" s="13">
        <v>6</v>
      </c>
      <c r="OP10" s="9">
        <f t="shared" ref="OP10:OS11" si="197">MF10+MP10+MZ10</f>
        <v>205812</v>
      </c>
      <c r="OQ10" s="9">
        <f t="shared" si="197"/>
        <v>16464960</v>
      </c>
      <c r="OR10" s="1518">
        <f t="shared" si="197"/>
        <v>187360</v>
      </c>
      <c r="OS10" s="1519">
        <f t="shared" si="197"/>
        <v>14988800</v>
      </c>
      <c r="OT10" s="9">
        <f>ML10+MV10+NF10</f>
        <v>11629</v>
      </c>
      <c r="OU10" s="9">
        <f>MM10+MW10+NG10</f>
        <v>930320</v>
      </c>
      <c r="OV10" s="10">
        <f>OU10/OQ10</f>
        <v>5.6503022175577712E-2</v>
      </c>
      <c r="OX10" s="247">
        <v>6</v>
      </c>
      <c r="OY10" s="257">
        <v>60586</v>
      </c>
      <c r="OZ10" s="171">
        <f>OY10*80</f>
        <v>4846880</v>
      </c>
      <c r="PA10" s="248">
        <v>55000</v>
      </c>
      <c r="PB10" s="249">
        <f>PA10*80</f>
        <v>4400000</v>
      </c>
      <c r="PC10" s="9"/>
      <c r="PD10" s="9">
        <f>584+699</f>
        <v>1283</v>
      </c>
      <c r="PE10" s="267">
        <f>OY10-PA10-PC10-PD10</f>
        <v>4303</v>
      </c>
      <c r="PF10" s="9">
        <f>PE10*80</f>
        <v>344240</v>
      </c>
      <c r="PG10" s="10">
        <f>PF10/OZ10</f>
        <v>7.102300861585184E-2</v>
      </c>
      <c r="PH10" s="11">
        <v>6</v>
      </c>
      <c r="PI10" s="171">
        <v>72864</v>
      </c>
      <c r="PJ10" s="171">
        <f>PI10*80</f>
        <v>5829120</v>
      </c>
      <c r="PK10" s="248">
        <v>66176</v>
      </c>
      <c r="PL10" s="249">
        <f>PK10*80</f>
        <v>5294080</v>
      </c>
      <c r="PM10" s="9">
        <v>0</v>
      </c>
      <c r="PN10" s="9">
        <f>526+690</f>
        <v>1216</v>
      </c>
      <c r="PO10" s="267">
        <f>PI10-PK10-PM10-PN10</f>
        <v>5472</v>
      </c>
      <c r="PP10" s="9">
        <f>PO10*80</f>
        <v>437760</v>
      </c>
      <c r="PQ10" s="10">
        <f>PP10/PJ10</f>
        <v>7.5098814229249009E-2</v>
      </c>
      <c r="PR10" s="14">
        <v>6</v>
      </c>
      <c r="PS10" s="171">
        <v>64944</v>
      </c>
      <c r="PT10" s="171">
        <f>PS10*80</f>
        <v>5195520</v>
      </c>
      <c r="PU10" s="245">
        <f>53072+5808</f>
        <v>58880</v>
      </c>
      <c r="PV10" s="249">
        <f>PU10*80</f>
        <v>4710400</v>
      </c>
      <c r="PW10" s="9">
        <v>0</v>
      </c>
      <c r="PX10" s="9">
        <f>642.4+809</f>
        <v>1451.4</v>
      </c>
      <c r="PY10" s="245">
        <f>PS10-PU10-PW10-PX10</f>
        <v>4612.6000000000004</v>
      </c>
      <c r="PZ10" s="9">
        <f>PY10*80</f>
        <v>369008</v>
      </c>
      <c r="QA10" s="10">
        <f>PZ10/PT10</f>
        <v>7.1024267060852422E-2</v>
      </c>
      <c r="QB10" s="13">
        <v>2</v>
      </c>
      <c r="QC10" s="171">
        <v>22677</v>
      </c>
      <c r="QD10" s="171">
        <f>QC10*80</f>
        <v>1814160</v>
      </c>
      <c r="QE10" s="245">
        <v>19853</v>
      </c>
      <c r="QF10" s="249">
        <f>QE10*80</f>
        <v>1588240</v>
      </c>
      <c r="QG10" s="9">
        <v>0</v>
      </c>
      <c r="QH10" s="9">
        <v>555</v>
      </c>
      <c r="QI10" s="267">
        <f>QC10-QE10-QG10-QH10</f>
        <v>2269</v>
      </c>
      <c r="QJ10" s="9">
        <f>QI10*80</f>
        <v>181520</v>
      </c>
      <c r="QK10" s="10">
        <f>QJ10/QD10</f>
        <v>0.10005732680689686</v>
      </c>
      <c r="QL10" s="11">
        <v>2</v>
      </c>
      <c r="QM10" s="257">
        <v>25050</v>
      </c>
      <c r="QN10" s="171">
        <f>QM10*80</f>
        <v>2004000</v>
      </c>
      <c r="QO10" s="245">
        <v>21896</v>
      </c>
      <c r="QP10" s="176">
        <f>QO10*80</f>
        <v>1751680</v>
      </c>
      <c r="QQ10" s="171">
        <v>0</v>
      </c>
      <c r="QR10" s="171">
        <v>0</v>
      </c>
      <c r="QS10" s="267">
        <f>QM10-QO10-QQ10-QR10</f>
        <v>3154</v>
      </c>
      <c r="QT10" s="171">
        <f>QS10*80</f>
        <v>252320</v>
      </c>
      <c r="QU10" s="10">
        <f>QT10/QN10</f>
        <v>0.12590818363273454</v>
      </c>
      <c r="QV10" s="13">
        <v>2</v>
      </c>
      <c r="QW10" s="171">
        <v>22908</v>
      </c>
      <c r="QX10" s="171">
        <f>QW10*80</f>
        <v>1832640</v>
      </c>
      <c r="QY10" s="245">
        <v>20048</v>
      </c>
      <c r="QZ10" s="176">
        <f>QY10*80</f>
        <v>1603840</v>
      </c>
      <c r="RA10" s="171">
        <v>0</v>
      </c>
      <c r="RB10" s="171">
        <v>0</v>
      </c>
      <c r="RC10" s="245">
        <f>QW10-QY10-RA10-RB10</f>
        <v>2860</v>
      </c>
      <c r="RD10" s="849">
        <f>RC10*80</f>
        <v>228800</v>
      </c>
      <c r="RE10" s="10">
        <f>RD10/QX10</f>
        <v>0.1248472149467435</v>
      </c>
      <c r="RF10" s="11">
        <v>2</v>
      </c>
      <c r="RG10" s="171">
        <v>24720</v>
      </c>
      <c r="RH10" s="171">
        <f>RG10*80</f>
        <v>1977600</v>
      </c>
      <c r="RI10" s="245">
        <v>21616</v>
      </c>
      <c r="RJ10" s="176">
        <f>RI10*80</f>
        <v>1729280</v>
      </c>
      <c r="RK10" s="171">
        <v>0</v>
      </c>
      <c r="RL10" s="171">
        <v>0</v>
      </c>
      <c r="RM10" s="245">
        <f>RG10-RI10-RK10-RL10</f>
        <v>3104</v>
      </c>
      <c r="RN10" s="171">
        <f>RM10*80</f>
        <v>248320</v>
      </c>
      <c r="RO10" s="10">
        <f>RN10/RH10</f>
        <v>0.1255663430420712</v>
      </c>
      <c r="RP10" s="13">
        <v>2</v>
      </c>
      <c r="RQ10" s="171">
        <v>24192</v>
      </c>
      <c r="RR10" s="171">
        <f>RQ10*80</f>
        <v>1935360</v>
      </c>
      <c r="RS10" s="245">
        <v>19992</v>
      </c>
      <c r="RT10" s="176">
        <f>RS10*80</f>
        <v>1599360</v>
      </c>
      <c r="RU10" s="171">
        <v>0</v>
      </c>
      <c r="RV10" s="171">
        <v>0</v>
      </c>
      <c r="RW10" s="245">
        <f>RQ10-RS10-RU10-RV10</f>
        <v>4200</v>
      </c>
      <c r="RX10" s="171">
        <f>RW10*80</f>
        <v>336000</v>
      </c>
      <c r="RY10" s="10">
        <f>RX10/RR10</f>
        <v>0.1736111111111111</v>
      </c>
      <c r="RZ10" s="177">
        <v>2</v>
      </c>
      <c r="SA10" s="171">
        <v>23040</v>
      </c>
      <c r="SB10" s="171">
        <f>SA10*80</f>
        <v>1843200</v>
      </c>
      <c r="SC10" s="245">
        <v>20160</v>
      </c>
      <c r="SD10" s="176">
        <f>SC10*80</f>
        <v>1612800</v>
      </c>
      <c r="SE10" s="171">
        <v>0</v>
      </c>
      <c r="SF10" s="171">
        <v>0</v>
      </c>
      <c r="SG10" s="245">
        <f>SA10-SC10-SE10-SF10</f>
        <v>2880</v>
      </c>
      <c r="SH10" s="171">
        <f>SG10*80</f>
        <v>230400</v>
      </c>
      <c r="SI10" s="10">
        <f>SH10/SB10</f>
        <v>0.125</v>
      </c>
      <c r="SJ10" s="177">
        <v>2</v>
      </c>
      <c r="SK10" s="171">
        <v>23928</v>
      </c>
      <c r="SL10" s="176">
        <f>SK10*80</f>
        <v>1914240</v>
      </c>
      <c r="SM10" s="171">
        <v>20944</v>
      </c>
      <c r="SN10" s="176">
        <f>SM10*80</f>
        <v>1675520</v>
      </c>
      <c r="SO10" s="171">
        <v>0</v>
      </c>
      <c r="SP10" s="171">
        <v>0</v>
      </c>
      <c r="SQ10" s="245">
        <f>SK10-SM10-SO10-SP10</f>
        <v>2984</v>
      </c>
      <c r="SR10" s="171">
        <f>SQ10*80</f>
        <v>238720</v>
      </c>
      <c r="SS10" s="10">
        <f>SR10/SL10</f>
        <v>0.12470745570043464</v>
      </c>
      <c r="ST10" s="13">
        <v>2</v>
      </c>
      <c r="SU10" s="171">
        <v>23040</v>
      </c>
      <c r="SV10" s="176">
        <f t="shared" si="27"/>
        <v>1843200</v>
      </c>
      <c r="SW10" s="171">
        <v>20160</v>
      </c>
      <c r="SX10" s="171">
        <f>SW10*80</f>
        <v>1612800</v>
      </c>
      <c r="SY10" s="1515">
        <v>0</v>
      </c>
      <c r="SZ10" s="176"/>
      <c r="TA10" s="245">
        <f>SU10-SW10-SY10-SZ10</f>
        <v>2880</v>
      </c>
      <c r="TB10" s="171">
        <f t="shared" si="28"/>
        <v>230400</v>
      </c>
      <c r="TC10" s="10">
        <f t="shared" si="29"/>
        <v>0.125</v>
      </c>
      <c r="TD10" s="13">
        <v>2</v>
      </c>
      <c r="TE10" s="171">
        <v>23009</v>
      </c>
      <c r="TF10" s="176">
        <f t="shared" si="30"/>
        <v>1840720</v>
      </c>
      <c r="TG10" s="171">
        <v>20720</v>
      </c>
      <c r="TH10" s="171">
        <f>TG10*80</f>
        <v>1657600</v>
      </c>
      <c r="TI10" s="1515">
        <v>0</v>
      </c>
      <c r="TJ10" s="176"/>
      <c r="TK10" s="245">
        <f>TE10-TG10-TI10-TJ10</f>
        <v>2289</v>
      </c>
      <c r="TL10" s="171">
        <f t="shared" si="31"/>
        <v>183120</v>
      </c>
      <c r="TM10" s="10">
        <f t="shared" si="32"/>
        <v>9.9482811073927591E-2</v>
      </c>
      <c r="TN10" s="59">
        <v>2</v>
      </c>
      <c r="TO10" s="9">
        <f t="shared" si="33"/>
        <v>410958</v>
      </c>
      <c r="TP10" s="9">
        <f t="shared" si="33"/>
        <v>32876640</v>
      </c>
      <c r="TQ10" s="57">
        <f t="shared" si="33"/>
        <v>365445</v>
      </c>
      <c r="TR10" s="58">
        <f t="shared" si="33"/>
        <v>29235600</v>
      </c>
      <c r="TS10" s="9">
        <f>TK10+TA10+SQ10+SG10+RW10+RM10+RC10+QS10+QI10+PY10+PO10+PE10</f>
        <v>41007.599999999999</v>
      </c>
      <c r="TT10" s="9">
        <f>TL10+TB10+SR10+SH10+RX10+RN10+RD10+QT10+QJ10+PZ10+PP10+PF10</f>
        <v>3280608</v>
      </c>
      <c r="TU10" s="10">
        <f>TT10/TP10</f>
        <v>9.9785379527834964E-2</v>
      </c>
      <c r="TV10" s="18">
        <f t="shared" si="185"/>
        <v>6</v>
      </c>
      <c r="TW10" s="9">
        <f t="shared" si="35"/>
        <v>198394</v>
      </c>
      <c r="TX10" s="9">
        <f t="shared" si="35"/>
        <v>15871520</v>
      </c>
      <c r="TY10" s="57">
        <f t="shared" si="35"/>
        <v>180056</v>
      </c>
      <c r="TZ10" s="58">
        <f t="shared" si="35"/>
        <v>14404480</v>
      </c>
      <c r="UA10" s="9">
        <f t="shared" ref="UA10:UB12" si="198">PE10+PO10+PY10</f>
        <v>14387.6</v>
      </c>
      <c r="UB10" s="9">
        <f t="shared" si="198"/>
        <v>1151008</v>
      </c>
      <c r="UC10" s="10">
        <f>UB10/TX10</f>
        <v>7.2520338316682961E-2</v>
      </c>
      <c r="UD10" s="177">
        <f>(QB10+QL10+QV10)/3</f>
        <v>2</v>
      </c>
      <c r="UE10" s="171">
        <f t="shared" si="37"/>
        <v>70635</v>
      </c>
      <c r="UF10" s="171">
        <f t="shared" si="37"/>
        <v>5650800</v>
      </c>
      <c r="UG10" s="245">
        <f t="shared" si="37"/>
        <v>61797</v>
      </c>
      <c r="UH10" s="176">
        <f t="shared" si="37"/>
        <v>4943760</v>
      </c>
      <c r="UI10" s="171">
        <f>QI10+QS10+RC10</f>
        <v>8283</v>
      </c>
      <c r="UJ10" s="171">
        <f>QJ10+QT10+RD10</f>
        <v>662640</v>
      </c>
      <c r="UK10" s="10">
        <f>UJ10/UF10</f>
        <v>0.11726481206200892</v>
      </c>
      <c r="UL10" s="177">
        <v>2</v>
      </c>
      <c r="UM10" s="171">
        <f t="shared" si="40"/>
        <v>71952</v>
      </c>
      <c r="UN10" s="171">
        <f t="shared" si="40"/>
        <v>5756160</v>
      </c>
      <c r="UO10" s="171">
        <f t="shared" si="40"/>
        <v>61768</v>
      </c>
      <c r="UP10" s="171">
        <f t="shared" si="40"/>
        <v>4941440</v>
      </c>
      <c r="UQ10" s="171">
        <f t="shared" ref="UQ10:UR12" si="199">RM10+RW10+SG10</f>
        <v>10184</v>
      </c>
      <c r="UR10" s="171">
        <f t="shared" si="199"/>
        <v>814720</v>
      </c>
      <c r="US10" s="10">
        <f>UR10/UN10</f>
        <v>0.14153880364687568</v>
      </c>
      <c r="UT10" s="13">
        <v>6</v>
      </c>
      <c r="UU10" s="9">
        <f t="shared" si="42"/>
        <v>69977</v>
      </c>
      <c r="UV10" s="9">
        <f t="shared" si="42"/>
        <v>5598160</v>
      </c>
      <c r="UW10" s="9">
        <f t="shared" si="42"/>
        <v>61824</v>
      </c>
      <c r="UX10" s="9">
        <f t="shared" si="42"/>
        <v>4945920</v>
      </c>
      <c r="UY10" s="9">
        <f>SQ10+TA10+TK10</f>
        <v>8153</v>
      </c>
      <c r="UZ10" s="9">
        <f>SR10+TB10+TL10</f>
        <v>652240</v>
      </c>
      <c r="VA10" s="10">
        <f>UZ10/UV10</f>
        <v>0.11650971033339526</v>
      </c>
      <c r="VC10" s="247">
        <v>2</v>
      </c>
      <c r="VD10" s="257">
        <v>20369</v>
      </c>
      <c r="VE10" s="171">
        <f t="shared" si="43"/>
        <v>1629520</v>
      </c>
      <c r="VF10" s="248">
        <v>18480</v>
      </c>
      <c r="VG10" s="249">
        <f>VF10*80</f>
        <v>1478400</v>
      </c>
      <c r="VH10" s="9">
        <v>0</v>
      </c>
      <c r="VI10" s="9">
        <v>0</v>
      </c>
      <c r="VJ10" s="267">
        <f>VD10-VF10-VH10-VI10</f>
        <v>1889</v>
      </c>
      <c r="VK10" s="9">
        <f>VJ10*80</f>
        <v>151120</v>
      </c>
      <c r="VL10" s="10">
        <f>VK10/VE10</f>
        <v>9.2738966075899654E-2</v>
      </c>
      <c r="VM10" s="11">
        <v>1</v>
      </c>
      <c r="VN10" s="171">
        <v>13042</v>
      </c>
      <c r="VO10" s="171">
        <f t="shared" si="44"/>
        <v>1043360</v>
      </c>
      <c r="VP10" s="248">
        <v>12320</v>
      </c>
      <c r="VQ10" s="249">
        <f t="shared" si="45"/>
        <v>985600</v>
      </c>
      <c r="VR10" s="9">
        <v>0</v>
      </c>
      <c r="VS10" s="9">
        <v>0</v>
      </c>
      <c r="VT10" s="267">
        <f t="shared" si="46"/>
        <v>722</v>
      </c>
      <c r="VU10" s="9">
        <f t="shared" si="47"/>
        <v>57760</v>
      </c>
      <c r="VV10" s="10">
        <f t="shared" si="48"/>
        <v>5.5359607422174516E-2</v>
      </c>
      <c r="VW10" s="14">
        <v>1</v>
      </c>
      <c r="VX10" s="171">
        <v>8892</v>
      </c>
      <c r="VY10" s="171">
        <f t="shared" si="49"/>
        <v>711360</v>
      </c>
      <c r="VZ10" s="245">
        <v>8400</v>
      </c>
      <c r="WA10" s="249">
        <f>VZ10*80</f>
        <v>672000</v>
      </c>
      <c r="WB10" s="9">
        <v>0</v>
      </c>
      <c r="WC10" s="9">
        <v>0</v>
      </c>
      <c r="WD10" s="245">
        <f t="shared" si="50"/>
        <v>492</v>
      </c>
      <c r="WE10" s="9">
        <f t="shared" si="51"/>
        <v>39360</v>
      </c>
      <c r="WF10" s="10">
        <f t="shared" si="52"/>
        <v>5.5330634278002701E-2</v>
      </c>
      <c r="WG10" s="13"/>
      <c r="WH10" s="171">
        <v>0</v>
      </c>
      <c r="WI10" s="171">
        <f t="shared" si="53"/>
        <v>0</v>
      </c>
      <c r="WJ10" s="245">
        <v>0</v>
      </c>
      <c r="WK10" s="249">
        <f t="shared" si="54"/>
        <v>0</v>
      </c>
      <c r="WL10" s="9">
        <v>0</v>
      </c>
      <c r="WM10" s="9">
        <v>0</v>
      </c>
      <c r="WN10" s="245">
        <f t="shared" si="55"/>
        <v>0</v>
      </c>
      <c r="WO10" s="9">
        <f t="shared" si="56"/>
        <v>0</v>
      </c>
      <c r="WP10" s="858">
        <v>0</v>
      </c>
      <c r="WQ10" s="13"/>
      <c r="WR10" s="171">
        <v>0</v>
      </c>
      <c r="WS10" s="171">
        <f t="shared" si="57"/>
        <v>0</v>
      </c>
      <c r="WT10" s="245">
        <v>0</v>
      </c>
      <c r="WU10" s="249">
        <f t="shared" si="58"/>
        <v>0</v>
      </c>
      <c r="WV10" s="9">
        <v>0</v>
      </c>
      <c r="WW10" s="9"/>
      <c r="WX10" s="245">
        <f t="shared" si="59"/>
        <v>0</v>
      </c>
      <c r="WY10" s="9">
        <f t="shared" si="60"/>
        <v>0</v>
      </c>
      <c r="WZ10" s="858">
        <v>0</v>
      </c>
      <c r="XA10" s="13"/>
      <c r="XB10" s="171"/>
      <c r="XC10" s="171">
        <f t="shared" si="61"/>
        <v>0</v>
      </c>
      <c r="XD10" s="245"/>
      <c r="XE10" s="176">
        <f t="shared" si="62"/>
        <v>0</v>
      </c>
      <c r="XF10" s="171">
        <v>0</v>
      </c>
      <c r="XG10" s="171">
        <v>0</v>
      </c>
      <c r="XH10" s="245">
        <f t="shared" si="63"/>
        <v>0</v>
      </c>
      <c r="XI10" s="849">
        <f t="shared" si="64"/>
        <v>0</v>
      </c>
      <c r="XJ10" s="10"/>
      <c r="XK10" s="11"/>
      <c r="XL10" s="171"/>
      <c r="XM10" s="171">
        <f t="shared" si="65"/>
        <v>0</v>
      </c>
      <c r="XN10" s="245"/>
      <c r="XO10" s="176">
        <f t="shared" si="66"/>
        <v>0</v>
      </c>
      <c r="XP10" s="171">
        <v>0</v>
      </c>
      <c r="XQ10" s="171">
        <v>0</v>
      </c>
      <c r="XR10" s="245">
        <f t="shared" si="67"/>
        <v>0</v>
      </c>
      <c r="XS10" s="171">
        <f t="shared" si="68"/>
        <v>0</v>
      </c>
      <c r="XT10" s="858">
        <v>0</v>
      </c>
      <c r="XU10" s="13">
        <v>1</v>
      </c>
      <c r="XV10" s="171">
        <v>1752</v>
      </c>
      <c r="XW10" s="171">
        <f t="shared" si="69"/>
        <v>140160</v>
      </c>
      <c r="XX10" s="245">
        <v>1560</v>
      </c>
      <c r="XY10" s="176">
        <f t="shared" si="70"/>
        <v>124800</v>
      </c>
      <c r="XZ10" s="171">
        <v>0</v>
      </c>
      <c r="YA10" s="171">
        <v>0</v>
      </c>
      <c r="YB10" s="245">
        <f t="shared" si="71"/>
        <v>192</v>
      </c>
      <c r="YC10" s="171">
        <f t="shared" si="72"/>
        <v>15360</v>
      </c>
      <c r="YD10" s="858">
        <v>0</v>
      </c>
      <c r="YE10" s="177">
        <v>1</v>
      </c>
      <c r="YF10" s="171">
        <v>12264</v>
      </c>
      <c r="YG10" s="171">
        <f t="shared" si="73"/>
        <v>981120</v>
      </c>
      <c r="YH10" s="245">
        <v>10920</v>
      </c>
      <c r="YI10" s="176">
        <f t="shared" si="74"/>
        <v>873600</v>
      </c>
      <c r="YJ10" s="171">
        <v>0</v>
      </c>
      <c r="YK10" s="171"/>
      <c r="YL10" s="245">
        <f t="shared" si="189"/>
        <v>1344</v>
      </c>
      <c r="YM10" s="171">
        <f t="shared" si="190"/>
        <v>107520</v>
      </c>
      <c r="YN10" s="10">
        <f t="shared" si="191"/>
        <v>0.1095890410958904</v>
      </c>
      <c r="YO10" s="177">
        <v>2</v>
      </c>
      <c r="YP10" s="171">
        <v>23664</v>
      </c>
      <c r="YQ10" s="176">
        <f t="shared" si="75"/>
        <v>1893120</v>
      </c>
      <c r="YR10" s="171">
        <v>20496</v>
      </c>
      <c r="YS10" s="176">
        <f t="shared" si="76"/>
        <v>1639680</v>
      </c>
      <c r="YT10" s="171">
        <v>0</v>
      </c>
      <c r="YU10" s="171"/>
      <c r="YV10" s="245">
        <f t="shared" si="192"/>
        <v>3168</v>
      </c>
      <c r="YW10" s="171">
        <f t="shared" si="193"/>
        <v>253440</v>
      </c>
      <c r="YX10" s="10">
        <f>YW10/YQ10</f>
        <v>0.13387423935091278</v>
      </c>
      <c r="YY10" s="13"/>
      <c r="YZ10" s="171"/>
      <c r="ZA10" s="176">
        <f t="shared" si="77"/>
        <v>0</v>
      </c>
      <c r="ZB10" s="171"/>
      <c r="ZC10" s="171">
        <f>ZB10*80</f>
        <v>0</v>
      </c>
      <c r="ZD10" s="1515">
        <v>0</v>
      </c>
      <c r="ZE10" s="176"/>
      <c r="ZF10" s="245">
        <f>YZ10-ZB10-ZD10-ZE10</f>
        <v>0</v>
      </c>
      <c r="ZG10" s="171">
        <f t="shared" si="78"/>
        <v>0</v>
      </c>
      <c r="ZH10" s="10" t="e">
        <f t="shared" si="79"/>
        <v>#DIV/0!</v>
      </c>
      <c r="ZI10" s="13"/>
      <c r="ZJ10" s="171"/>
      <c r="ZK10" s="176">
        <f t="shared" si="80"/>
        <v>0</v>
      </c>
      <c r="ZL10" s="171"/>
      <c r="ZM10" s="171">
        <f>ZL10*80</f>
        <v>0</v>
      </c>
      <c r="ZN10" s="1515">
        <v>0</v>
      </c>
      <c r="ZO10" s="176">
        <v>0</v>
      </c>
      <c r="ZP10" s="245">
        <f>ZJ10-ZL10-ZN10-ZO10</f>
        <v>0</v>
      </c>
      <c r="ZQ10" s="171">
        <f>ZP10*80</f>
        <v>0</v>
      </c>
      <c r="ZR10" s="10" t="e">
        <f t="shared" si="81"/>
        <v>#DIV/0!</v>
      </c>
      <c r="ZS10" s="59"/>
      <c r="ZT10" s="9">
        <f>ZJ10+YZ10+YP10+YF10+XV10+XL10+XB10+WR10+WH10+VX10+VN10+VD10</f>
        <v>79983</v>
      </c>
      <c r="ZU10" s="9">
        <f>ZK10+ZA10+YQ10+YG10+XW10+XM10+XC10+WS10+WI10+VY10+VO10+VE10</f>
        <v>6398640</v>
      </c>
      <c r="ZV10" s="57">
        <f>ZL10+ZB10+YR10+YH10+XX10+XN10+XD10+WT10+WJ10+VZ10+VP10+VF10</f>
        <v>72176</v>
      </c>
      <c r="ZW10" s="58">
        <f>ZM10+ZC10+YS10+YI10+XY10+XO10+XE10+WU10+WK10+WA10+VQ10+VG10</f>
        <v>5774080</v>
      </c>
      <c r="ZX10" s="9">
        <f>ZP10+ZF10+YV10+YL10+YB10+XR10+XH10+WX10+WN10+WD10+VT10+VJ10</f>
        <v>7807</v>
      </c>
      <c r="ZY10" s="9">
        <f>ZQ10+ZG10+YW10+YM10+YC10+XS10+XI10+WY10+WO10+WE10+VU10+VK10</f>
        <v>624560</v>
      </c>
      <c r="ZZ10" s="10">
        <f>ZY10/ZU10</f>
        <v>9.7608241751372171E-2</v>
      </c>
      <c r="AAA10" s="18">
        <v>1</v>
      </c>
      <c r="AAB10" s="9">
        <f>VD10+VN10+VX10</f>
        <v>42303</v>
      </c>
      <c r="AAC10" s="9">
        <f>VE10+VO10+VY10</f>
        <v>3384240</v>
      </c>
      <c r="AAD10" s="57">
        <f>VF10+VP10+VZ10</f>
        <v>39200</v>
      </c>
      <c r="AAE10" s="58">
        <f>VG10+VQ10+WA10</f>
        <v>3136000</v>
      </c>
      <c r="AAF10" s="9">
        <f t="shared" si="85"/>
        <v>3103</v>
      </c>
      <c r="AAG10" s="9">
        <f t="shared" si="85"/>
        <v>248240</v>
      </c>
      <c r="AAH10" s="10">
        <f>AAG10/AAC10</f>
        <v>7.3351771741956839E-2</v>
      </c>
      <c r="AAI10" s="177">
        <f>(WG10+WQ10+XA10)/3</f>
        <v>0</v>
      </c>
      <c r="AAJ10" s="171">
        <f>WH10+WR10+XB10</f>
        <v>0</v>
      </c>
      <c r="AAK10" s="171">
        <f>WI10+WS10+XC10</f>
        <v>0</v>
      </c>
      <c r="AAL10" s="245">
        <f>WJ10+WT10+XD10</f>
        <v>0</v>
      </c>
      <c r="AAM10" s="176">
        <f>WK10+WU10+XE10</f>
        <v>0</v>
      </c>
      <c r="AAN10" s="171">
        <f>WN10+WX10+XH10</f>
        <v>0</v>
      </c>
      <c r="AAO10" s="171">
        <f>WO10+WY10+XI10</f>
        <v>0</v>
      </c>
      <c r="AAP10" s="858">
        <v>0</v>
      </c>
      <c r="AAQ10" s="177">
        <v>2</v>
      </c>
      <c r="AAR10" s="171">
        <f>XL10+XV10+YF10</f>
        <v>14016</v>
      </c>
      <c r="AAS10" s="171">
        <f>XM10+XW10+YG10</f>
        <v>1121280</v>
      </c>
      <c r="AAT10" s="171">
        <f>XN10+XX10+YH10</f>
        <v>12480</v>
      </c>
      <c r="AAU10" s="171">
        <f>XO10+XY10+YI10</f>
        <v>998400</v>
      </c>
      <c r="AAV10" s="171">
        <f t="shared" si="89"/>
        <v>1536</v>
      </c>
      <c r="AAW10" s="171">
        <f t="shared" si="89"/>
        <v>122880</v>
      </c>
      <c r="AAX10" s="10">
        <f>AAW10/AAS10</f>
        <v>0.1095890410958904</v>
      </c>
      <c r="AAY10" s="13">
        <v>6</v>
      </c>
      <c r="AAZ10" s="9">
        <f>YP10+YZ10+ZJ10</f>
        <v>23664</v>
      </c>
      <c r="ABA10" s="9">
        <f>YQ10+ZA10+ZK10</f>
        <v>1893120</v>
      </c>
      <c r="ABB10" s="9">
        <f>YR10+ZB10+ZL10</f>
        <v>20496</v>
      </c>
      <c r="ABC10" s="9">
        <f>YS10+ZC10+ZM10</f>
        <v>1639680</v>
      </c>
      <c r="ABD10" s="9">
        <f>YV10+ZF10+ZP10</f>
        <v>3168</v>
      </c>
      <c r="ABE10" s="9">
        <f>YW10+ZG10+ZQ10</f>
        <v>253440</v>
      </c>
      <c r="ABF10" s="10">
        <f t="shared" si="91"/>
        <v>0.13387423935091278</v>
      </c>
    </row>
    <row r="11" spans="1:734" s="14" customFormat="1" ht="15.6" hidden="1" x14ac:dyDescent="0.3">
      <c r="A11" s="5"/>
      <c r="B11" s="6" t="s">
        <v>17</v>
      </c>
      <c r="C11" s="228"/>
      <c r="D11" s="5"/>
      <c r="E11" s="171"/>
      <c r="F11" s="171"/>
      <c r="G11" s="245"/>
      <c r="H11" s="176"/>
      <c r="I11" s="171"/>
      <c r="J11" s="171"/>
      <c r="K11" s="7"/>
      <c r="L11" s="280"/>
      <c r="M11" s="171"/>
      <c r="N11" s="171"/>
      <c r="O11" s="245"/>
      <c r="P11" s="176"/>
      <c r="Q11" s="8"/>
      <c r="R11" s="8"/>
      <c r="S11" s="7"/>
      <c r="T11" s="5"/>
      <c r="U11" s="171"/>
      <c r="V11" s="171"/>
      <c r="W11" s="171"/>
      <c r="X11" s="171"/>
      <c r="Y11" s="8"/>
      <c r="Z11" s="8"/>
      <c r="AA11" s="7"/>
      <c r="AB11" s="280"/>
      <c r="AC11" s="171"/>
      <c r="AD11" s="171"/>
      <c r="AE11" s="171"/>
      <c r="AF11" s="171"/>
      <c r="AG11" s="8"/>
      <c r="AH11" s="8"/>
      <c r="AI11" s="85"/>
      <c r="AJ11" s="5"/>
      <c r="AK11" s="171"/>
      <c r="AL11" s="171"/>
      <c r="AM11" s="171"/>
      <c r="AN11" s="171"/>
      <c r="AO11" s="8"/>
      <c r="AP11" s="8"/>
      <c r="AQ11" s="7"/>
      <c r="AR11" s="280"/>
      <c r="AS11" s="171"/>
      <c r="AT11" s="171"/>
      <c r="AU11" s="171"/>
      <c r="AV11" s="171"/>
      <c r="AW11" s="8"/>
      <c r="AX11" s="8"/>
      <c r="AY11" s="85"/>
      <c r="AZ11" s="5"/>
      <c r="BA11" s="171"/>
      <c r="BB11" s="171"/>
      <c r="BC11" s="171"/>
      <c r="BD11" s="171"/>
      <c r="BE11" s="8"/>
      <c r="BF11" s="8"/>
      <c r="BG11" s="7"/>
      <c r="BH11" s="280"/>
      <c r="BI11" s="171"/>
      <c r="BJ11" s="171"/>
      <c r="BK11" s="171"/>
      <c r="BL11" s="171"/>
      <c r="BM11" s="8"/>
      <c r="BN11" s="8"/>
      <c r="BO11" s="85"/>
      <c r="BP11" s="5"/>
      <c r="BQ11" s="171"/>
      <c r="BR11" s="171"/>
      <c r="BS11" s="171"/>
      <c r="BT11" s="171"/>
      <c r="BU11" s="8"/>
      <c r="BV11" s="8"/>
      <c r="BW11" s="7"/>
      <c r="BX11" s="280"/>
      <c r="BY11" s="171"/>
      <c r="BZ11" s="171"/>
      <c r="CA11" s="171"/>
      <c r="CB11" s="171"/>
      <c r="CC11" s="8"/>
      <c r="CD11" s="8"/>
      <c r="CE11" s="85"/>
      <c r="CF11" s="5"/>
      <c r="CG11" s="171"/>
      <c r="CH11" s="171"/>
      <c r="CI11" s="171"/>
      <c r="CJ11" s="171"/>
      <c r="CK11" s="8"/>
      <c r="CL11" s="8"/>
      <c r="CM11" s="7"/>
      <c r="CN11" s="280"/>
      <c r="CO11" s="171"/>
      <c r="CP11" s="171"/>
      <c r="CQ11" s="245"/>
      <c r="CR11" s="176"/>
      <c r="CS11" s="8"/>
      <c r="CT11" s="8"/>
      <c r="CU11" s="85"/>
      <c r="CV11" s="5"/>
      <c r="CW11" s="257"/>
      <c r="CX11" s="171"/>
      <c r="CY11" s="257"/>
      <c r="CZ11" s="171"/>
      <c r="DA11" s="8"/>
      <c r="DB11" s="8"/>
      <c r="DC11" s="7"/>
      <c r="DD11" s="5"/>
      <c r="DE11" s="171"/>
      <c r="DF11" s="176"/>
      <c r="DG11" s="245"/>
      <c r="DH11" s="176"/>
      <c r="DI11" s="8"/>
      <c r="DJ11" s="8"/>
      <c r="DK11" s="281"/>
      <c r="DL11" s="5"/>
      <c r="DM11" s="171"/>
      <c r="DN11" s="176"/>
      <c r="DO11" s="171"/>
      <c r="DP11" s="171"/>
      <c r="DQ11" s="282"/>
      <c r="DR11" s="8"/>
      <c r="DS11" s="281"/>
      <c r="DT11" s="280"/>
      <c r="DU11" s="171"/>
      <c r="DV11" s="176"/>
      <c r="DW11" s="245"/>
      <c r="DX11" s="176"/>
      <c r="DY11" s="8"/>
      <c r="DZ11" s="8"/>
      <c r="EA11" s="283"/>
      <c r="EB11" s="284"/>
      <c r="EC11" s="171"/>
      <c r="ED11" s="171"/>
      <c r="EE11" s="245"/>
      <c r="EF11" s="176"/>
      <c r="EG11" s="8"/>
      <c r="EH11" s="8"/>
      <c r="EI11" s="285"/>
      <c r="EJ11" s="284"/>
      <c r="EK11" s="171"/>
      <c r="EL11" s="171"/>
      <c r="EM11" s="245"/>
      <c r="EN11" s="176"/>
      <c r="EO11" s="8"/>
      <c r="EP11" s="8"/>
      <c r="EQ11" s="285"/>
      <c r="ER11" s="284"/>
      <c r="ES11" s="171"/>
      <c r="ET11" s="171"/>
      <c r="EU11" s="245"/>
      <c r="EV11" s="176"/>
      <c r="EW11" s="8"/>
      <c r="EX11" s="8"/>
      <c r="EY11" s="285"/>
      <c r="EZ11" s="284"/>
      <c r="FA11" s="171"/>
      <c r="FB11" s="171"/>
      <c r="FC11" s="245"/>
      <c r="FD11" s="176"/>
      <c r="FE11" s="8"/>
      <c r="FF11" s="8"/>
      <c r="FG11" s="285"/>
      <c r="FH11" s="280"/>
      <c r="FI11" s="171"/>
      <c r="FJ11" s="171"/>
      <c r="FK11" s="286"/>
      <c r="FL11" s="287"/>
      <c r="FM11" s="8"/>
      <c r="FN11" s="8"/>
      <c r="FO11" s="7"/>
      <c r="FP11" s="280"/>
      <c r="FQ11" s="171"/>
      <c r="FR11" s="171"/>
      <c r="FS11" s="171"/>
      <c r="FT11" s="171"/>
      <c r="FU11" s="171"/>
      <c r="FV11" s="171"/>
      <c r="FW11" s="8"/>
      <c r="FX11" s="8"/>
      <c r="FY11" s="85"/>
      <c r="FZ11" s="5"/>
      <c r="GA11" s="171"/>
      <c r="GB11" s="171"/>
      <c r="GC11" s="171"/>
      <c r="GD11" s="171"/>
      <c r="GE11" s="171"/>
      <c r="GF11" s="171"/>
      <c r="GG11" s="8"/>
      <c r="GH11" s="8"/>
      <c r="GI11" s="7"/>
      <c r="GJ11" s="280"/>
      <c r="GK11" s="288"/>
      <c r="GL11" s="288"/>
      <c r="GM11" s="288"/>
      <c r="GN11" s="288"/>
      <c r="GO11" s="288"/>
      <c r="GP11" s="288"/>
      <c r="GQ11" s="8"/>
      <c r="GR11" s="8"/>
      <c r="GS11" s="85"/>
      <c r="GT11" s="5"/>
      <c r="GU11" s="171"/>
      <c r="GV11" s="171"/>
      <c r="GW11" s="245"/>
      <c r="GX11" s="176"/>
      <c r="GY11" s="171"/>
      <c r="GZ11" s="171"/>
      <c r="HA11" s="8"/>
      <c r="HB11" s="8"/>
      <c r="HC11" s="7"/>
      <c r="HD11" s="171"/>
      <c r="HE11" s="171"/>
      <c r="HF11" s="171"/>
      <c r="HG11" s="171"/>
      <c r="HH11" s="171"/>
      <c r="HI11" s="8"/>
      <c r="HJ11" s="8"/>
      <c r="HK11" s="7"/>
      <c r="HL11" s="5"/>
      <c r="HM11" s="171"/>
      <c r="HN11" s="171"/>
      <c r="HO11" s="245"/>
      <c r="HP11" s="176"/>
      <c r="HQ11" s="8"/>
      <c r="HR11" s="8"/>
      <c r="HS11" s="7"/>
      <c r="HT11" s="5"/>
      <c r="HU11" s="257"/>
      <c r="HV11" s="171"/>
      <c r="HW11" s="295"/>
      <c r="HX11" s="268"/>
      <c r="HY11" s="171"/>
      <c r="HZ11" s="171"/>
      <c r="IA11" s="7"/>
      <c r="IB11" s="247"/>
      <c r="IC11" s="257"/>
      <c r="ID11" s="171"/>
      <c r="IE11" s="296"/>
      <c r="IF11" s="287"/>
      <c r="IG11" s="8"/>
      <c r="IH11" s="8"/>
      <c r="II11" s="7"/>
      <c r="IJ11" s="247"/>
      <c r="IK11" s="257"/>
      <c r="IL11" s="171"/>
      <c r="IM11" s="296"/>
      <c r="IN11" s="287"/>
      <c r="IO11" s="297"/>
      <c r="IP11" s="8"/>
      <c r="IQ11" s="7"/>
      <c r="IS11" s="247"/>
      <c r="IT11" s="257"/>
      <c r="IU11" s="171">
        <f t="shared" si="92"/>
        <v>0</v>
      </c>
      <c r="IV11" s="258"/>
      <c r="IW11" s="249">
        <f t="shared" si="93"/>
        <v>0</v>
      </c>
      <c r="IX11" s="9"/>
      <c r="IY11" s="9">
        <v>1571</v>
      </c>
      <c r="IZ11" s="267">
        <f t="shared" si="94"/>
        <v>-1571</v>
      </c>
      <c r="JA11" s="851">
        <f t="shared" si="95"/>
        <v>-125680</v>
      </c>
      <c r="JB11" s="10"/>
      <c r="JC11" s="11">
        <v>1</v>
      </c>
      <c r="JD11" s="171">
        <v>4560</v>
      </c>
      <c r="JE11" s="171">
        <f t="shared" si="96"/>
        <v>364800</v>
      </c>
      <c r="JF11" s="248">
        <v>3600</v>
      </c>
      <c r="JG11" s="249">
        <f t="shared" si="97"/>
        <v>288000</v>
      </c>
      <c r="JH11" s="9"/>
      <c r="JI11" s="9"/>
      <c r="JJ11" s="267">
        <f t="shared" si="98"/>
        <v>960</v>
      </c>
      <c r="JK11" s="9">
        <f t="shared" si="99"/>
        <v>76800</v>
      </c>
      <c r="JL11" s="10">
        <f>JK11/JE11</f>
        <v>0.21052631578947367</v>
      </c>
      <c r="JM11" s="14">
        <v>1</v>
      </c>
      <c r="JN11" s="171">
        <v>14080</v>
      </c>
      <c r="JO11" s="171">
        <f t="shared" si="100"/>
        <v>1126400</v>
      </c>
      <c r="JP11" s="245">
        <v>12848</v>
      </c>
      <c r="JQ11" s="176">
        <f t="shared" si="101"/>
        <v>1027840</v>
      </c>
      <c r="JR11" s="1515"/>
      <c r="JS11" s="171"/>
      <c r="JT11" s="267">
        <f t="shared" si="102"/>
        <v>1232</v>
      </c>
      <c r="JU11" s="851">
        <f t="shared" si="103"/>
        <v>98560</v>
      </c>
      <c r="JV11" s="10">
        <f>JU11/JO11</f>
        <v>8.7499999999999994E-2</v>
      </c>
      <c r="JW11" s="13">
        <v>1</v>
      </c>
      <c r="JX11" s="171">
        <v>15200</v>
      </c>
      <c r="JY11" s="171">
        <f t="shared" si="104"/>
        <v>1216000</v>
      </c>
      <c r="JZ11" s="245">
        <v>12000</v>
      </c>
      <c r="KA11" s="176">
        <f t="shared" si="105"/>
        <v>960000</v>
      </c>
      <c r="KB11" s="1515"/>
      <c r="KC11" s="171"/>
      <c r="KD11" s="267">
        <f t="shared" si="106"/>
        <v>3200</v>
      </c>
      <c r="KE11" s="849">
        <f t="shared" si="107"/>
        <v>256000</v>
      </c>
      <c r="KF11" s="10">
        <f>KE11/JY11</f>
        <v>0.21052631578947367</v>
      </c>
      <c r="KG11" s="11">
        <v>1</v>
      </c>
      <c r="KH11" s="171">
        <v>17480</v>
      </c>
      <c r="KI11" s="171">
        <f t="shared" si="108"/>
        <v>1398400</v>
      </c>
      <c r="KJ11" s="245">
        <v>13800</v>
      </c>
      <c r="KK11" s="176">
        <f t="shared" si="109"/>
        <v>1104000</v>
      </c>
      <c r="KL11" s="1515"/>
      <c r="KM11" s="171"/>
      <c r="KN11" s="267">
        <f t="shared" si="110"/>
        <v>3680</v>
      </c>
      <c r="KO11" s="171">
        <f t="shared" si="111"/>
        <v>294400</v>
      </c>
      <c r="KP11" s="10">
        <f>KO11/KI11</f>
        <v>0.21052631578947367</v>
      </c>
      <c r="KQ11" s="13">
        <v>2</v>
      </c>
      <c r="KR11" s="171">
        <v>19560</v>
      </c>
      <c r="KS11" s="171">
        <f t="shared" si="112"/>
        <v>1564800</v>
      </c>
      <c r="KT11" s="245">
        <v>15600</v>
      </c>
      <c r="KU11" s="176">
        <f t="shared" si="113"/>
        <v>1248000</v>
      </c>
      <c r="KV11" s="1515"/>
      <c r="KW11" s="171"/>
      <c r="KX11" s="267">
        <f t="shared" si="114"/>
        <v>3960</v>
      </c>
      <c r="KY11" s="849">
        <f t="shared" si="115"/>
        <v>316800</v>
      </c>
      <c r="KZ11" s="10">
        <f>KY11/KS11</f>
        <v>0.20245398773006135</v>
      </c>
      <c r="LA11" s="11">
        <v>2</v>
      </c>
      <c r="LB11" s="171">
        <v>31080</v>
      </c>
      <c r="LC11" s="171">
        <f t="shared" si="116"/>
        <v>2486400</v>
      </c>
      <c r="LD11" s="245">
        <v>25200</v>
      </c>
      <c r="LE11" s="176">
        <f t="shared" si="117"/>
        <v>2016000</v>
      </c>
      <c r="LF11" s="1515"/>
      <c r="LG11" s="171"/>
      <c r="LH11" s="267">
        <f t="shared" si="118"/>
        <v>5880</v>
      </c>
      <c r="LI11" s="849">
        <f t="shared" si="119"/>
        <v>470400</v>
      </c>
      <c r="LJ11" s="10">
        <f>LI11/LC11</f>
        <v>0.1891891891891892</v>
      </c>
      <c r="LK11" s="13">
        <v>2</v>
      </c>
      <c r="LL11" s="171">
        <v>22000</v>
      </c>
      <c r="LM11" s="171">
        <f t="shared" si="120"/>
        <v>1760000</v>
      </c>
      <c r="LN11" s="245">
        <v>18400</v>
      </c>
      <c r="LO11" s="176">
        <f t="shared" si="121"/>
        <v>1472000</v>
      </c>
      <c r="LP11" s="1515"/>
      <c r="LQ11" s="171"/>
      <c r="LR11" s="267">
        <f t="shared" si="122"/>
        <v>3600</v>
      </c>
      <c r="LS11" s="849">
        <f t="shared" si="123"/>
        <v>288000</v>
      </c>
      <c r="LT11" s="10">
        <f>LS11/LM11</f>
        <v>0.16363636363636364</v>
      </c>
      <c r="LU11" s="177">
        <v>1</v>
      </c>
      <c r="LV11" s="171">
        <v>14400</v>
      </c>
      <c r="LW11" s="171">
        <f t="shared" si="124"/>
        <v>1152000</v>
      </c>
      <c r="LX11" s="245">
        <v>12000</v>
      </c>
      <c r="LY11" s="176">
        <f t="shared" si="125"/>
        <v>960000</v>
      </c>
      <c r="LZ11" s="1515"/>
      <c r="MA11" s="268"/>
      <c r="MB11" s="267">
        <f t="shared" si="126"/>
        <v>2400</v>
      </c>
      <c r="MC11" s="171">
        <f t="shared" si="127"/>
        <v>192000</v>
      </c>
      <c r="MD11" s="10">
        <f>MC11/LW11</f>
        <v>0.16666666666666666</v>
      </c>
      <c r="ME11" s="177">
        <v>1</v>
      </c>
      <c r="MF11" s="171">
        <v>14400</v>
      </c>
      <c r="MG11" s="176">
        <f t="shared" si="128"/>
        <v>1152000</v>
      </c>
      <c r="MH11" s="171">
        <v>12000</v>
      </c>
      <c r="MI11" s="176">
        <f t="shared" si="129"/>
        <v>960000</v>
      </c>
      <c r="MJ11" s="1515"/>
      <c r="MK11" s="268"/>
      <c r="ML11" s="171">
        <f t="shared" si="130"/>
        <v>2400</v>
      </c>
      <c r="MM11" s="849">
        <f t="shared" si="131"/>
        <v>192000</v>
      </c>
      <c r="MN11" s="10">
        <f>MM11/MG11</f>
        <v>0.16666666666666666</v>
      </c>
      <c r="MO11" s="13">
        <v>1</v>
      </c>
      <c r="MP11" s="14">
        <v>12160</v>
      </c>
      <c r="MQ11" s="176">
        <f t="shared" si="132"/>
        <v>972800</v>
      </c>
      <c r="MR11" s="171">
        <v>12000</v>
      </c>
      <c r="MS11" s="171">
        <f t="shared" si="133"/>
        <v>960000</v>
      </c>
      <c r="MT11" s="1515"/>
      <c r="MU11" s="268"/>
      <c r="MV11" s="171">
        <f t="shared" si="134"/>
        <v>160</v>
      </c>
      <c r="MW11" s="171">
        <f t="shared" si="135"/>
        <v>12800</v>
      </c>
      <c r="MX11" s="55">
        <f>MW11/MQ11</f>
        <v>1.3157894736842105E-2</v>
      </c>
      <c r="MY11" s="13">
        <v>1</v>
      </c>
      <c r="MZ11" s="14">
        <v>2160</v>
      </c>
      <c r="NA11" s="171">
        <f t="shared" si="136"/>
        <v>172800</v>
      </c>
      <c r="NB11" s="267">
        <v>1800</v>
      </c>
      <c r="NC11" s="268">
        <f t="shared" si="137"/>
        <v>144000</v>
      </c>
      <c r="ND11" s="171">
        <v>0</v>
      </c>
      <c r="NE11" s="171">
        <f>224+576</f>
        <v>800</v>
      </c>
      <c r="NF11" s="267">
        <f t="shared" si="138"/>
        <v>-440</v>
      </c>
      <c r="NG11" s="9">
        <f>NF11*80</f>
        <v>-35200</v>
      </c>
      <c r="NH11" s="10">
        <f>NG11/NA11</f>
        <v>-0.20370370370370369</v>
      </c>
      <c r="NI11" s="9">
        <f>(MY11+MO11+ME11+LU11+LK11+LA11+KQ11+KG11+JW11+JM11+JC11+IS11)/12</f>
        <v>1.1666666666666667</v>
      </c>
      <c r="NJ11" s="9">
        <f t="shared" si="194"/>
        <v>167080</v>
      </c>
      <c r="NK11" s="9">
        <f t="shared" si="194"/>
        <v>13366400</v>
      </c>
      <c r="NL11" s="1518">
        <f t="shared" si="194"/>
        <v>139248</v>
      </c>
      <c r="NM11" s="1519">
        <f t="shared" si="194"/>
        <v>11139840</v>
      </c>
      <c r="NN11" s="1518">
        <f t="shared" si="139"/>
        <v>25461</v>
      </c>
      <c r="NO11" s="9">
        <f t="shared" si="139"/>
        <v>2036880</v>
      </c>
      <c r="NP11" s="10">
        <f>NO11/NK11</f>
        <v>0.15238807756763229</v>
      </c>
      <c r="NQ11" s="18">
        <f>(IS11+JC11+JM11)/3</f>
        <v>0.66666666666666663</v>
      </c>
      <c r="NR11" s="9">
        <f t="shared" ref="NR11:NU12" si="200">IT11+JD11+JN11</f>
        <v>18640</v>
      </c>
      <c r="NS11" s="9">
        <f t="shared" si="200"/>
        <v>1491200</v>
      </c>
      <c r="NT11" s="57">
        <f t="shared" si="200"/>
        <v>16448</v>
      </c>
      <c r="NU11" s="58">
        <f t="shared" si="200"/>
        <v>1315840</v>
      </c>
      <c r="NV11" s="9">
        <f>IZ11+JJ11+JT11</f>
        <v>621</v>
      </c>
      <c r="NW11" s="9">
        <f>JA11+JK11+JU11</f>
        <v>49680</v>
      </c>
      <c r="NX11" s="10">
        <f>NW11/NS11</f>
        <v>3.3315450643776827E-2</v>
      </c>
      <c r="NY11" s="177">
        <f>(JW11+KG11+KQ11)/3</f>
        <v>1.3333333333333333</v>
      </c>
      <c r="NZ11" s="171">
        <f t="shared" si="195"/>
        <v>52240</v>
      </c>
      <c r="OA11" s="171">
        <f t="shared" si="195"/>
        <v>4179200</v>
      </c>
      <c r="OB11" s="245">
        <f t="shared" si="195"/>
        <v>41400</v>
      </c>
      <c r="OC11" s="176">
        <f t="shared" si="195"/>
        <v>3312000</v>
      </c>
      <c r="OD11" s="171">
        <f>KD11+KN11+KX11</f>
        <v>10840</v>
      </c>
      <c r="OE11" s="171">
        <f>KE11+KO11+KY11</f>
        <v>867200</v>
      </c>
      <c r="OF11" s="10">
        <f>OE11/OA11</f>
        <v>0.20750382848392038</v>
      </c>
      <c r="OG11" s="177">
        <f>(LA11+LK11+LU11)/3</f>
        <v>1.6666666666666667</v>
      </c>
      <c r="OH11" s="171">
        <f t="shared" si="196"/>
        <v>67480</v>
      </c>
      <c r="OI11" s="171">
        <f t="shared" si="196"/>
        <v>5398400</v>
      </c>
      <c r="OJ11" s="171">
        <f t="shared" si="196"/>
        <v>55600</v>
      </c>
      <c r="OK11" s="171">
        <f t="shared" si="196"/>
        <v>4448000</v>
      </c>
      <c r="OL11" s="171">
        <f>LH11+LR11+MB11</f>
        <v>11880</v>
      </c>
      <c r="OM11" s="171">
        <f>LI11+LS11+MC11</f>
        <v>950400</v>
      </c>
      <c r="ON11" s="55">
        <f>OM11/OI11</f>
        <v>0.17605216360403084</v>
      </c>
      <c r="OO11" s="13">
        <v>1</v>
      </c>
      <c r="OP11" s="9">
        <f t="shared" si="197"/>
        <v>28720</v>
      </c>
      <c r="OQ11" s="9">
        <f t="shared" si="197"/>
        <v>2297600</v>
      </c>
      <c r="OR11" s="1518">
        <f t="shared" si="197"/>
        <v>25800</v>
      </c>
      <c r="OS11" s="1519">
        <f t="shared" si="197"/>
        <v>2064000</v>
      </c>
      <c r="OT11" s="9">
        <f>ML11+MV11+NF11</f>
        <v>2120</v>
      </c>
      <c r="OU11" s="9">
        <f>MM11+MW11+NG11</f>
        <v>169600</v>
      </c>
      <c r="OV11" s="10">
        <f>OU11/OQ11</f>
        <v>7.3816155988857934E-2</v>
      </c>
      <c r="OX11" s="247"/>
      <c r="OY11" s="257">
        <v>0</v>
      </c>
      <c r="OZ11" s="171">
        <f>OY11*75</f>
        <v>0</v>
      </c>
      <c r="PA11" s="857">
        <v>0</v>
      </c>
      <c r="PB11" s="249">
        <f>PA11*75</f>
        <v>0</v>
      </c>
      <c r="PC11" s="9"/>
      <c r="PD11" s="9">
        <v>108</v>
      </c>
      <c r="PE11" s="267">
        <f t="shared" si="152"/>
        <v>-108</v>
      </c>
      <c r="PF11" s="9">
        <f>PE11*75</f>
        <v>-8100</v>
      </c>
      <c r="PG11" s="10"/>
      <c r="PH11" s="11"/>
      <c r="PI11" s="171"/>
      <c r="PJ11" s="171">
        <f>PI11*75</f>
        <v>0</v>
      </c>
      <c r="PK11" s="248"/>
      <c r="PL11" s="249">
        <f>PK11*75</f>
        <v>0</v>
      </c>
      <c r="PM11" s="9"/>
      <c r="PN11" s="9"/>
      <c r="PO11" s="267">
        <f t="shared" si="153"/>
        <v>0</v>
      </c>
      <c r="PP11" s="9">
        <f>PO11*75</f>
        <v>0</v>
      </c>
      <c r="PQ11" s="10"/>
      <c r="PS11" s="171"/>
      <c r="PT11" s="171">
        <f>PS11*75</f>
        <v>0</v>
      </c>
      <c r="PU11" s="245"/>
      <c r="PV11" s="249">
        <f>PU11*75</f>
        <v>0</v>
      </c>
      <c r="PW11" s="9"/>
      <c r="PX11" s="171"/>
      <c r="PY11" s="245">
        <f t="shared" si="154"/>
        <v>0</v>
      </c>
      <c r="PZ11" s="9">
        <f>PY11*75</f>
        <v>0</v>
      </c>
      <c r="QA11" s="10"/>
      <c r="QB11" s="13"/>
      <c r="QC11" s="171"/>
      <c r="QD11" s="171">
        <f>QC11*75</f>
        <v>0</v>
      </c>
      <c r="QE11" s="245"/>
      <c r="QF11" s="176">
        <f>QE11*75</f>
        <v>0</v>
      </c>
      <c r="QG11" s="9">
        <v>0</v>
      </c>
      <c r="QH11" s="171"/>
      <c r="QI11" s="267">
        <f>QC11-QE11-QG11-QH11</f>
        <v>0</v>
      </c>
      <c r="QJ11" s="171">
        <f>QI11*75</f>
        <v>0</v>
      </c>
      <c r="QK11" s="10"/>
      <c r="QL11" s="11"/>
      <c r="QM11" s="171"/>
      <c r="QN11" s="171">
        <f>QM11*80</f>
        <v>0</v>
      </c>
      <c r="QO11" s="245"/>
      <c r="QP11" s="176">
        <f>QO11*75</f>
        <v>0</v>
      </c>
      <c r="QQ11" s="171"/>
      <c r="QR11" s="171"/>
      <c r="QS11" s="267">
        <f>QM11-QO11-QQ11-QR11</f>
        <v>0</v>
      </c>
      <c r="QT11" s="171">
        <f>QS11*75</f>
        <v>0</v>
      </c>
      <c r="QU11" s="10"/>
      <c r="QV11" s="13"/>
      <c r="QW11" s="171"/>
      <c r="QX11" s="171">
        <f>QW11*80</f>
        <v>0</v>
      </c>
      <c r="QY11" s="245"/>
      <c r="QZ11" s="176">
        <f>QY11*80</f>
        <v>0</v>
      </c>
      <c r="RA11" s="171"/>
      <c r="RB11" s="171"/>
      <c r="RC11" s="245">
        <f>QW11-QY11-RA11-RB11</f>
        <v>0</v>
      </c>
      <c r="RD11" s="849">
        <f>RC11*80</f>
        <v>0</v>
      </c>
      <c r="RE11" s="10"/>
      <c r="RF11" s="11"/>
      <c r="RG11" s="171"/>
      <c r="RH11" s="171">
        <f>RG11*75</f>
        <v>0</v>
      </c>
      <c r="RI11" s="245"/>
      <c r="RJ11" s="176">
        <f t="shared" si="162"/>
        <v>0</v>
      </c>
      <c r="RK11" s="171"/>
      <c r="RL11" s="171"/>
      <c r="RM11" s="245">
        <f>RG11-RI11-RK11-RL11</f>
        <v>0</v>
      </c>
      <c r="RN11" s="171">
        <f t="shared" si="164"/>
        <v>0</v>
      </c>
      <c r="RO11" s="858">
        <v>0</v>
      </c>
      <c r="RP11" s="13"/>
      <c r="RQ11" s="171"/>
      <c r="RR11" s="171">
        <f t="shared" si="165"/>
        <v>0</v>
      </c>
      <c r="RS11" s="245"/>
      <c r="RT11" s="176">
        <f t="shared" si="166"/>
        <v>0</v>
      </c>
      <c r="RU11" s="171"/>
      <c r="RV11" s="171">
        <v>0</v>
      </c>
      <c r="RW11" s="245">
        <f>RQ11-RS11</f>
        <v>0</v>
      </c>
      <c r="RX11" s="171">
        <f>RW11*75</f>
        <v>0</v>
      </c>
      <c r="RY11" s="858">
        <v>0</v>
      </c>
      <c r="RZ11" s="177"/>
      <c r="SA11" s="171"/>
      <c r="SB11" s="171">
        <f t="shared" si="167"/>
        <v>0</v>
      </c>
      <c r="SC11" s="245"/>
      <c r="SD11" s="176">
        <f>SC11*75</f>
        <v>0</v>
      </c>
      <c r="SE11" s="171"/>
      <c r="SF11" s="171"/>
      <c r="SG11" s="245">
        <f t="shared" si="168"/>
        <v>0</v>
      </c>
      <c r="SH11" s="171">
        <f>SG11*75</f>
        <v>0</v>
      </c>
      <c r="SI11" s="10"/>
      <c r="SJ11" s="177"/>
      <c r="SK11" s="171"/>
      <c r="SL11" s="176">
        <f>SK11*75</f>
        <v>0</v>
      </c>
      <c r="SM11" s="171"/>
      <c r="SN11" s="176">
        <f>SM11*75</f>
        <v>0</v>
      </c>
      <c r="SO11" s="171"/>
      <c r="SP11" s="171"/>
      <c r="SQ11" s="245">
        <f t="shared" si="169"/>
        <v>0</v>
      </c>
      <c r="SR11" s="171">
        <f>SQ11*75</f>
        <v>0</v>
      </c>
      <c r="SS11" s="858">
        <v>0</v>
      </c>
      <c r="ST11" s="13"/>
      <c r="SV11" s="176">
        <f>SU11*75</f>
        <v>0</v>
      </c>
      <c r="SW11" s="171"/>
      <c r="SX11" s="171">
        <f t="shared" si="170"/>
        <v>0</v>
      </c>
      <c r="SY11" s="1515"/>
      <c r="SZ11" s="176"/>
      <c r="TA11" s="245">
        <f t="shared" si="171"/>
        <v>0</v>
      </c>
      <c r="TB11" s="171">
        <f>TA11*75</f>
        <v>0</v>
      </c>
      <c r="TC11" s="858">
        <v>0</v>
      </c>
      <c r="TD11" s="13"/>
      <c r="TF11" s="176">
        <f>TE11*75</f>
        <v>0</v>
      </c>
      <c r="TG11" s="171"/>
      <c r="TH11" s="171">
        <f t="shared" si="172"/>
        <v>0</v>
      </c>
      <c r="TI11" s="1515"/>
      <c r="TJ11" s="176"/>
      <c r="TK11" s="245">
        <f>TE11-TG11-TI11-TJ11</f>
        <v>0</v>
      </c>
      <c r="TL11" s="171">
        <f t="shared" si="31"/>
        <v>0</v>
      </c>
      <c r="TM11" s="858">
        <v>0</v>
      </c>
      <c r="TN11" s="59"/>
      <c r="TO11" s="9">
        <f t="shared" si="33"/>
        <v>0</v>
      </c>
      <c r="TP11" s="9">
        <f t="shared" si="33"/>
        <v>0</v>
      </c>
      <c r="TQ11" s="57">
        <f t="shared" si="33"/>
        <v>0</v>
      </c>
      <c r="TR11" s="58">
        <f t="shared" si="33"/>
        <v>0</v>
      </c>
      <c r="TS11" s="9">
        <f t="shared" si="34"/>
        <v>-108</v>
      </c>
      <c r="TT11" s="9">
        <f t="shared" si="34"/>
        <v>-8100</v>
      </c>
      <c r="TU11" s="10">
        <v>1</v>
      </c>
      <c r="TV11" s="18">
        <f t="shared" si="185"/>
        <v>0</v>
      </c>
      <c r="TW11" s="9">
        <f t="shared" si="35"/>
        <v>0</v>
      </c>
      <c r="TX11" s="9">
        <f t="shared" si="35"/>
        <v>0</v>
      </c>
      <c r="TY11" s="57">
        <f t="shared" si="35"/>
        <v>0</v>
      </c>
      <c r="TZ11" s="58">
        <f t="shared" si="35"/>
        <v>0</v>
      </c>
      <c r="UA11" s="9">
        <f t="shared" si="198"/>
        <v>-108</v>
      </c>
      <c r="UB11" s="9">
        <f t="shared" si="198"/>
        <v>-8100</v>
      </c>
      <c r="UC11" s="858">
        <v>0</v>
      </c>
      <c r="UD11" s="177"/>
      <c r="UE11" s="171">
        <f t="shared" si="37"/>
        <v>0</v>
      </c>
      <c r="UF11" s="171">
        <f t="shared" si="37"/>
        <v>0</v>
      </c>
      <c r="UG11" s="245">
        <f t="shared" si="37"/>
        <v>0</v>
      </c>
      <c r="UH11" s="176">
        <f t="shared" si="37"/>
        <v>0</v>
      </c>
      <c r="UI11" s="171">
        <f t="shared" ref="UI11:UJ17" si="201">QI11+QS11+RC11</f>
        <v>0</v>
      </c>
      <c r="UJ11" s="171">
        <f t="shared" si="201"/>
        <v>0</v>
      </c>
      <c r="UK11" s="858">
        <v>0</v>
      </c>
      <c r="UL11" s="177"/>
      <c r="UM11" s="171">
        <f t="shared" si="40"/>
        <v>0</v>
      </c>
      <c r="UN11" s="171">
        <f t="shared" si="40"/>
        <v>0</v>
      </c>
      <c r="UO11" s="171">
        <f t="shared" si="40"/>
        <v>0</v>
      </c>
      <c r="UP11" s="171">
        <f t="shared" si="40"/>
        <v>0</v>
      </c>
      <c r="UQ11" s="171">
        <f t="shared" si="199"/>
        <v>0</v>
      </c>
      <c r="UR11" s="171">
        <f t="shared" si="199"/>
        <v>0</v>
      </c>
      <c r="US11" s="858">
        <v>0</v>
      </c>
      <c r="UT11" s="13">
        <v>1</v>
      </c>
      <c r="UU11" s="9">
        <f t="shared" si="42"/>
        <v>0</v>
      </c>
      <c r="UV11" s="9">
        <f t="shared" si="42"/>
        <v>0</v>
      </c>
      <c r="UW11" s="9">
        <f t="shared" si="42"/>
        <v>0</v>
      </c>
      <c r="UX11" s="9">
        <f t="shared" si="42"/>
        <v>0</v>
      </c>
      <c r="UY11" s="9">
        <f t="shared" si="176"/>
        <v>0</v>
      </c>
      <c r="UZ11" s="9">
        <f t="shared" si="176"/>
        <v>0</v>
      </c>
      <c r="VA11" s="858">
        <v>0</v>
      </c>
      <c r="VC11" s="247"/>
      <c r="VD11" s="257">
        <v>0</v>
      </c>
      <c r="VE11" s="171">
        <f>VD11*75</f>
        <v>0</v>
      </c>
      <c r="VF11" s="857">
        <v>0</v>
      </c>
      <c r="VG11" s="249">
        <f t="shared" si="186"/>
        <v>0</v>
      </c>
      <c r="VH11" s="9">
        <v>0</v>
      </c>
      <c r="VI11" s="9">
        <v>0</v>
      </c>
      <c r="VJ11" s="267">
        <f t="shared" ref="VJ11:VJ17" si="202">VD11-VF11-VH11-VI11</f>
        <v>0</v>
      </c>
      <c r="VK11" s="9">
        <f t="shared" si="187"/>
        <v>0</v>
      </c>
      <c r="VL11" s="858">
        <v>0</v>
      </c>
      <c r="VM11" s="11"/>
      <c r="VN11" s="171"/>
      <c r="VO11" s="171">
        <f>VN11*75</f>
        <v>0</v>
      </c>
      <c r="VP11" s="248"/>
      <c r="VQ11" s="249">
        <f>VP11*75</f>
        <v>0</v>
      </c>
      <c r="VR11" s="9"/>
      <c r="VS11" s="9"/>
      <c r="VT11" s="267">
        <f t="shared" si="46"/>
        <v>0</v>
      </c>
      <c r="VU11" s="9">
        <f t="shared" si="47"/>
        <v>0</v>
      </c>
      <c r="VV11" s="858">
        <v>0</v>
      </c>
      <c r="VW11" s="1525">
        <v>0</v>
      </c>
      <c r="VX11" s="171">
        <v>0</v>
      </c>
      <c r="VY11" s="171">
        <f>VX11*75</f>
        <v>0</v>
      </c>
      <c r="VZ11" s="245">
        <v>0</v>
      </c>
      <c r="WA11" s="249">
        <f>VZ11*75</f>
        <v>0</v>
      </c>
      <c r="WB11" s="9">
        <v>0</v>
      </c>
      <c r="WC11" s="9">
        <v>0</v>
      </c>
      <c r="WD11" s="245">
        <f t="shared" si="50"/>
        <v>0</v>
      </c>
      <c r="WE11" s="9">
        <f t="shared" si="51"/>
        <v>0</v>
      </c>
      <c r="WF11" s="858">
        <v>0</v>
      </c>
      <c r="WG11" s="13"/>
      <c r="WH11" s="171">
        <v>0</v>
      </c>
      <c r="WI11" s="171">
        <f>WH11*75</f>
        <v>0</v>
      </c>
      <c r="WJ11" s="245">
        <v>0</v>
      </c>
      <c r="WK11" s="176">
        <f>WJ11*75</f>
        <v>0</v>
      </c>
      <c r="WL11" s="9">
        <v>0</v>
      </c>
      <c r="WM11" s="171">
        <v>0</v>
      </c>
      <c r="WN11" s="245">
        <f t="shared" si="55"/>
        <v>0</v>
      </c>
      <c r="WO11" s="9">
        <f t="shared" si="56"/>
        <v>0</v>
      </c>
      <c r="WP11" s="858">
        <v>0</v>
      </c>
      <c r="WQ11" s="13"/>
      <c r="WR11" s="171">
        <v>0</v>
      </c>
      <c r="WS11" s="171">
        <f>WR11*75</f>
        <v>0</v>
      </c>
      <c r="WT11" s="245">
        <v>0</v>
      </c>
      <c r="WU11" s="176">
        <f>WT11*75</f>
        <v>0</v>
      </c>
      <c r="WV11" s="9">
        <v>0</v>
      </c>
      <c r="WW11" s="171">
        <v>0</v>
      </c>
      <c r="WX11" s="245">
        <f t="shared" si="59"/>
        <v>0</v>
      </c>
      <c r="WY11" s="9">
        <f t="shared" si="60"/>
        <v>0</v>
      </c>
      <c r="WZ11" s="858">
        <v>0</v>
      </c>
      <c r="XA11" s="13"/>
      <c r="XB11" s="171"/>
      <c r="XC11" s="171">
        <f t="shared" si="61"/>
        <v>0</v>
      </c>
      <c r="XD11" s="245"/>
      <c r="XE11" s="176">
        <f t="shared" si="62"/>
        <v>0</v>
      </c>
      <c r="XF11" s="171"/>
      <c r="XG11" s="171"/>
      <c r="XH11" s="245">
        <f t="shared" si="63"/>
        <v>0</v>
      </c>
      <c r="XI11" s="849">
        <f t="shared" si="64"/>
        <v>0</v>
      </c>
      <c r="XJ11" s="10"/>
      <c r="XK11" s="11"/>
      <c r="XL11" s="171"/>
      <c r="XM11" s="171">
        <f>XL11*75</f>
        <v>0</v>
      </c>
      <c r="XN11" s="245"/>
      <c r="XO11" s="176">
        <f t="shared" si="66"/>
        <v>0</v>
      </c>
      <c r="XP11" s="171"/>
      <c r="XQ11" s="171"/>
      <c r="XR11" s="245">
        <f t="shared" si="67"/>
        <v>0</v>
      </c>
      <c r="XS11" s="171">
        <f t="shared" si="68"/>
        <v>0</v>
      </c>
      <c r="XT11" s="858">
        <v>0</v>
      </c>
      <c r="XU11" s="13"/>
      <c r="XV11" s="171"/>
      <c r="XW11" s="171">
        <f t="shared" si="69"/>
        <v>0</v>
      </c>
      <c r="XX11" s="245"/>
      <c r="XY11" s="176">
        <f t="shared" si="70"/>
        <v>0</v>
      </c>
      <c r="XZ11" s="171"/>
      <c r="YA11" s="171">
        <v>0</v>
      </c>
      <c r="YB11" s="245">
        <f>XV11-XX11</f>
        <v>0</v>
      </c>
      <c r="YC11" s="171">
        <f>YB11*75</f>
        <v>0</v>
      </c>
      <c r="YD11" s="858">
        <v>0</v>
      </c>
      <c r="YE11" s="177"/>
      <c r="YF11" s="171"/>
      <c r="YG11" s="171">
        <f t="shared" si="73"/>
        <v>0</v>
      </c>
      <c r="YH11" s="245"/>
      <c r="YI11" s="176">
        <f>YH11*75</f>
        <v>0</v>
      </c>
      <c r="YJ11" s="171"/>
      <c r="YK11" s="171"/>
      <c r="YL11" s="245">
        <f t="shared" si="189"/>
        <v>0</v>
      </c>
      <c r="YM11" s="171">
        <f t="shared" si="190"/>
        <v>0</v>
      </c>
      <c r="YN11" s="10" t="e">
        <f t="shared" si="191"/>
        <v>#DIV/0!</v>
      </c>
      <c r="YO11" s="177"/>
      <c r="YP11" s="171"/>
      <c r="YQ11" s="176">
        <f>YP11*75</f>
        <v>0</v>
      </c>
      <c r="YR11" s="171"/>
      <c r="YS11" s="176">
        <f>YR11*75</f>
        <v>0</v>
      </c>
      <c r="YT11" s="171"/>
      <c r="YU11" s="171"/>
      <c r="YV11" s="245">
        <f t="shared" si="192"/>
        <v>0</v>
      </c>
      <c r="YW11" s="171">
        <f t="shared" si="193"/>
        <v>0</v>
      </c>
      <c r="YX11" s="858">
        <v>0</v>
      </c>
      <c r="YY11" s="13"/>
      <c r="ZA11" s="176">
        <f>YZ11*75</f>
        <v>0</v>
      </c>
      <c r="ZB11" s="171"/>
      <c r="ZC11" s="171">
        <f t="shared" si="178"/>
        <v>0</v>
      </c>
      <c r="ZD11" s="1515"/>
      <c r="ZE11" s="176"/>
      <c r="ZF11" s="245">
        <f t="shared" si="179"/>
        <v>0</v>
      </c>
      <c r="ZG11" s="171">
        <f>ZF11*75</f>
        <v>0</v>
      </c>
      <c r="ZH11" s="858">
        <v>0</v>
      </c>
      <c r="ZI11" s="13"/>
      <c r="ZK11" s="176">
        <f>ZJ11*75</f>
        <v>0</v>
      </c>
      <c r="ZL11" s="171"/>
      <c r="ZM11" s="171">
        <f t="shared" si="180"/>
        <v>0</v>
      </c>
      <c r="ZN11" s="1515">
        <v>0</v>
      </c>
      <c r="ZO11" s="176">
        <v>0</v>
      </c>
      <c r="ZP11" s="245">
        <f t="shared" si="181"/>
        <v>0</v>
      </c>
      <c r="ZQ11" s="171">
        <f t="shared" si="182"/>
        <v>0</v>
      </c>
      <c r="ZR11" s="858">
        <v>0</v>
      </c>
      <c r="ZS11" s="59"/>
      <c r="ZT11" s="9">
        <f t="shared" si="82"/>
        <v>0</v>
      </c>
      <c r="ZU11" s="9">
        <f t="shared" si="82"/>
        <v>0</v>
      </c>
      <c r="ZV11" s="57">
        <f t="shared" si="82"/>
        <v>0</v>
      </c>
      <c r="ZW11" s="58">
        <f t="shared" si="82"/>
        <v>0</v>
      </c>
      <c r="ZX11" s="9">
        <f t="shared" si="183"/>
        <v>0</v>
      </c>
      <c r="ZY11" s="9">
        <f t="shared" si="83"/>
        <v>0</v>
      </c>
      <c r="ZZ11" s="10">
        <v>1</v>
      </c>
      <c r="AAA11" s="298">
        <v>0</v>
      </c>
      <c r="AAB11" s="9">
        <f t="shared" si="84"/>
        <v>0</v>
      </c>
      <c r="AAC11" s="9">
        <f t="shared" si="84"/>
        <v>0</v>
      </c>
      <c r="AAD11" s="57">
        <f t="shared" si="84"/>
        <v>0</v>
      </c>
      <c r="AAE11" s="58">
        <f t="shared" si="84"/>
        <v>0</v>
      </c>
      <c r="AAF11" s="9">
        <f t="shared" si="85"/>
        <v>0</v>
      </c>
      <c r="AAG11" s="9">
        <f t="shared" si="85"/>
        <v>0</v>
      </c>
      <c r="AAH11" s="858">
        <v>0</v>
      </c>
      <c r="AAI11" s="177"/>
      <c r="AAJ11" s="171">
        <f t="shared" si="86"/>
        <v>0</v>
      </c>
      <c r="AAK11" s="171">
        <f t="shared" si="86"/>
        <v>0</v>
      </c>
      <c r="AAL11" s="245">
        <f t="shared" si="86"/>
        <v>0</v>
      </c>
      <c r="AAM11" s="176">
        <f t="shared" si="86"/>
        <v>0</v>
      </c>
      <c r="AAN11" s="171">
        <f t="shared" si="87"/>
        <v>0</v>
      </c>
      <c r="AAO11" s="171">
        <f t="shared" si="87"/>
        <v>0</v>
      </c>
      <c r="AAP11" s="858">
        <v>0</v>
      </c>
      <c r="AAQ11" s="177"/>
      <c r="AAR11" s="171">
        <f t="shared" si="88"/>
        <v>0</v>
      </c>
      <c r="AAS11" s="171">
        <f t="shared" si="88"/>
        <v>0</v>
      </c>
      <c r="AAT11" s="171">
        <f t="shared" si="88"/>
        <v>0</v>
      </c>
      <c r="AAU11" s="171">
        <f t="shared" si="88"/>
        <v>0</v>
      </c>
      <c r="AAV11" s="171">
        <f t="shared" si="89"/>
        <v>0</v>
      </c>
      <c r="AAW11" s="171">
        <f t="shared" si="89"/>
        <v>0</v>
      </c>
      <c r="AAX11" s="858">
        <v>0</v>
      </c>
      <c r="AAY11" s="13">
        <v>1</v>
      </c>
      <c r="AAZ11" s="9">
        <f t="shared" si="90"/>
        <v>0</v>
      </c>
      <c r="ABA11" s="9">
        <f t="shared" si="90"/>
        <v>0</v>
      </c>
      <c r="ABB11" s="9">
        <f t="shared" si="90"/>
        <v>0</v>
      </c>
      <c r="ABC11" s="9">
        <f t="shared" si="90"/>
        <v>0</v>
      </c>
      <c r="ABD11" s="9">
        <f t="shared" si="184"/>
        <v>0</v>
      </c>
      <c r="ABE11" s="9">
        <f t="shared" si="184"/>
        <v>0</v>
      </c>
      <c r="ABF11" s="858">
        <v>0</v>
      </c>
    </row>
    <row r="12" spans="1:734" s="14" customFormat="1" ht="15.6" hidden="1" x14ac:dyDescent="0.3">
      <c r="A12" s="5">
        <v>6</v>
      </c>
      <c r="B12" s="6" t="s">
        <v>16</v>
      </c>
      <c r="C12" s="228"/>
      <c r="D12" s="5">
        <v>1</v>
      </c>
      <c r="E12" s="171">
        <v>14080</v>
      </c>
      <c r="F12" s="171">
        <f>E12*70</f>
        <v>985600</v>
      </c>
      <c r="G12" s="245">
        <v>12848</v>
      </c>
      <c r="H12" s="176">
        <f>G12*70</f>
        <v>899360</v>
      </c>
      <c r="I12" s="171">
        <f>E12-G12</f>
        <v>1232</v>
      </c>
      <c r="J12" s="171">
        <f>I12*70</f>
        <v>86240</v>
      </c>
      <c r="K12" s="7">
        <f>I12/G12</f>
        <v>9.5890410958904104E-2</v>
      </c>
      <c r="L12" s="280">
        <v>1</v>
      </c>
      <c r="M12" s="171">
        <v>12800</v>
      </c>
      <c r="N12" s="171">
        <f>M12*70</f>
        <v>896000</v>
      </c>
      <c r="O12" s="245">
        <v>11680</v>
      </c>
      <c r="P12" s="176">
        <f>O12*70</f>
        <v>817600</v>
      </c>
      <c r="Q12" s="8">
        <f>M12-O12</f>
        <v>1120</v>
      </c>
      <c r="R12" s="8">
        <f>Q12*70</f>
        <v>78400</v>
      </c>
      <c r="S12" s="7">
        <f>Q12/O12</f>
        <v>9.5890410958904104E-2</v>
      </c>
      <c r="T12" s="5">
        <v>1</v>
      </c>
      <c r="U12" s="171">
        <v>13024</v>
      </c>
      <c r="V12" s="171">
        <f>U12*70</f>
        <v>911680</v>
      </c>
      <c r="W12" s="171">
        <v>11820</v>
      </c>
      <c r="X12" s="171">
        <f>W12*70</f>
        <v>827400</v>
      </c>
      <c r="Y12" s="8">
        <f>U12-W12</f>
        <v>1204</v>
      </c>
      <c r="Z12" s="8">
        <f>Y12*70</f>
        <v>84280</v>
      </c>
      <c r="AA12" s="7">
        <f>Y12/W12</f>
        <v>0.10186125211505923</v>
      </c>
      <c r="AB12" s="280">
        <v>1</v>
      </c>
      <c r="AC12" s="171">
        <v>13024</v>
      </c>
      <c r="AD12" s="171">
        <f>AC12*70</f>
        <v>911680</v>
      </c>
      <c r="AE12" s="171">
        <v>11820</v>
      </c>
      <c r="AF12" s="171">
        <f>AE12*70</f>
        <v>827400</v>
      </c>
      <c r="AG12" s="8">
        <f>AC12-AE12</f>
        <v>1204</v>
      </c>
      <c r="AH12" s="8">
        <f>AG12*70</f>
        <v>84280</v>
      </c>
      <c r="AI12" s="85">
        <f>AG12/AE12</f>
        <v>0.10186125211505923</v>
      </c>
      <c r="AJ12" s="5">
        <v>1</v>
      </c>
      <c r="AK12" s="171">
        <v>12432</v>
      </c>
      <c r="AL12" s="171">
        <f>AK12*70</f>
        <v>870240</v>
      </c>
      <c r="AM12" s="171">
        <v>11283</v>
      </c>
      <c r="AN12" s="171">
        <f>AM12*70</f>
        <v>789810</v>
      </c>
      <c r="AO12" s="8">
        <f>AK12-AM12</f>
        <v>1149</v>
      </c>
      <c r="AP12" s="8">
        <f>AO12*70</f>
        <v>80430</v>
      </c>
      <c r="AQ12" s="7">
        <f>AO12/AM12</f>
        <v>0.10183461845253922</v>
      </c>
      <c r="AR12" s="280">
        <v>1</v>
      </c>
      <c r="AS12" s="171">
        <v>13440</v>
      </c>
      <c r="AT12" s="171">
        <f>AS12*70</f>
        <v>940800</v>
      </c>
      <c r="AU12" s="171">
        <v>12264</v>
      </c>
      <c r="AV12" s="171">
        <f>AU12*70</f>
        <v>858480</v>
      </c>
      <c r="AW12" s="8">
        <f>AS12-AU12</f>
        <v>1176</v>
      </c>
      <c r="AX12" s="8">
        <f>AW12*70</f>
        <v>82320</v>
      </c>
      <c r="AY12" s="85">
        <f>AW12/AU12</f>
        <v>9.5890410958904104E-2</v>
      </c>
      <c r="AZ12" s="5">
        <v>1</v>
      </c>
      <c r="BA12" s="171">
        <v>14080</v>
      </c>
      <c r="BB12" s="171">
        <f>BA12*70</f>
        <v>985600</v>
      </c>
      <c r="BC12" s="171">
        <v>12848</v>
      </c>
      <c r="BD12" s="171">
        <f>BC12*70</f>
        <v>899360</v>
      </c>
      <c r="BE12" s="8">
        <f>BA12-BC12</f>
        <v>1232</v>
      </c>
      <c r="BF12" s="8">
        <f>BE12*70</f>
        <v>86240</v>
      </c>
      <c r="BG12" s="7">
        <f>BE12/BC12</f>
        <v>9.5890410958904104E-2</v>
      </c>
      <c r="BH12" s="280">
        <v>1</v>
      </c>
      <c r="BI12" s="171">
        <v>12160</v>
      </c>
      <c r="BJ12" s="171">
        <f>BI12*70</f>
        <v>851200</v>
      </c>
      <c r="BK12" s="171">
        <v>11096</v>
      </c>
      <c r="BL12" s="171">
        <f>BK12*70</f>
        <v>776720</v>
      </c>
      <c r="BM12" s="8">
        <f>BI12-BK12</f>
        <v>1064</v>
      </c>
      <c r="BN12" s="8">
        <f>BM12*70</f>
        <v>74480</v>
      </c>
      <c r="BO12" s="85">
        <f>BM12/BK12</f>
        <v>9.5890410958904104E-2</v>
      </c>
      <c r="BP12" s="5">
        <v>1</v>
      </c>
      <c r="BQ12" s="171">
        <v>14080</v>
      </c>
      <c r="BR12" s="171">
        <f>BQ12*70</f>
        <v>985600</v>
      </c>
      <c r="BS12" s="171">
        <v>12848</v>
      </c>
      <c r="BT12" s="171">
        <f>BS12*70</f>
        <v>899360</v>
      </c>
      <c r="BU12" s="8">
        <f>BQ12-BS12</f>
        <v>1232</v>
      </c>
      <c r="BV12" s="8">
        <f>BU12*70</f>
        <v>86240</v>
      </c>
      <c r="BW12" s="7">
        <f t="shared" si="0"/>
        <v>9.5890410958904104E-2</v>
      </c>
      <c r="BX12" s="280">
        <v>1</v>
      </c>
      <c r="BY12" s="171">
        <v>7040</v>
      </c>
      <c r="BZ12" s="171">
        <f>BY12*70</f>
        <v>492800</v>
      </c>
      <c r="CA12" s="171">
        <v>6424</v>
      </c>
      <c r="CB12" s="171">
        <f>CA12*70</f>
        <v>449680</v>
      </c>
      <c r="CC12" s="8">
        <f>BY12-CA12</f>
        <v>616</v>
      </c>
      <c r="CD12" s="8">
        <f>CC12*70</f>
        <v>43120</v>
      </c>
      <c r="CE12" s="85">
        <f>CC12/CA12</f>
        <v>9.5890410958904104E-2</v>
      </c>
      <c r="CF12" s="5">
        <v>1</v>
      </c>
      <c r="CG12" s="171">
        <v>8960</v>
      </c>
      <c r="CH12" s="171">
        <f>CG12*70</f>
        <v>627200</v>
      </c>
      <c r="CI12" s="171">
        <v>8176</v>
      </c>
      <c r="CJ12" s="171">
        <f>CI12*70</f>
        <v>572320</v>
      </c>
      <c r="CK12" s="8">
        <f>CG12-CI12</f>
        <v>784</v>
      </c>
      <c r="CL12" s="8">
        <f>CK12*70</f>
        <v>54880</v>
      </c>
      <c r="CM12" s="7">
        <f>CK12/CI12</f>
        <v>9.5890410958904104E-2</v>
      </c>
      <c r="CN12" s="280">
        <v>1</v>
      </c>
      <c r="CO12" s="171">
        <v>14720</v>
      </c>
      <c r="CP12" s="171">
        <f>CO12*70</f>
        <v>1030400</v>
      </c>
      <c r="CQ12" s="245">
        <v>13432</v>
      </c>
      <c r="CR12" s="176">
        <f>CQ12*70</f>
        <v>940240</v>
      </c>
      <c r="CS12" s="8">
        <f>CO12-CQ12</f>
        <v>1288</v>
      </c>
      <c r="CT12" s="8">
        <f>CS12*70</f>
        <v>90160</v>
      </c>
      <c r="CU12" s="85">
        <f>CS12/CQ12</f>
        <v>9.5890410958904104E-2</v>
      </c>
      <c r="CV12" s="5">
        <f>(D12+L12+T12+AB12+AJ12+AR12+AZ12+BH12+BP12+BX12+CF12+CN12)</f>
        <v>12</v>
      </c>
      <c r="CW12" s="257">
        <f>(E12+M12+U12+AC12+AK12+AS12+BA12+BI12+BQ12+BY12+CG12+CO12)</f>
        <v>149840</v>
      </c>
      <c r="CX12" s="171">
        <f>CW12*70</f>
        <v>10488800</v>
      </c>
      <c r="CY12" s="257">
        <f>(G12+O12+W12+AE12+AM12+AU12+BC12+BK12+BS12+CA12+CI12+CQ12)</f>
        <v>136539</v>
      </c>
      <c r="CZ12" s="171">
        <f>CY12*70</f>
        <v>9557730</v>
      </c>
      <c r="DA12" s="8">
        <f>CW12-CY12</f>
        <v>13301</v>
      </c>
      <c r="DB12" s="8">
        <f>DA12*70</f>
        <v>931070</v>
      </c>
      <c r="DC12" s="7">
        <f>DA12/CY12</f>
        <v>9.7415390474516445E-2</v>
      </c>
      <c r="DD12" s="5">
        <v>1</v>
      </c>
      <c r="DE12" s="171">
        <v>14080</v>
      </c>
      <c r="DF12" s="176">
        <f>DE12*70</f>
        <v>985600</v>
      </c>
      <c r="DG12" s="245">
        <v>12848</v>
      </c>
      <c r="DH12" s="176">
        <f>DG12*70</f>
        <v>899360</v>
      </c>
      <c r="DI12" s="8">
        <f>DE12-DG12</f>
        <v>1232</v>
      </c>
      <c r="DJ12" s="8">
        <f>DI12*70</f>
        <v>86240</v>
      </c>
      <c r="DK12" s="281">
        <f>DI12/DG12</f>
        <v>9.5890410958904104E-2</v>
      </c>
      <c r="DL12" s="5">
        <v>1</v>
      </c>
      <c r="DM12" s="171">
        <v>12800</v>
      </c>
      <c r="DN12" s="176">
        <f>DM12*70</f>
        <v>896000</v>
      </c>
      <c r="DO12" s="171">
        <v>11680</v>
      </c>
      <c r="DP12" s="171">
        <f>DO12*70</f>
        <v>817600</v>
      </c>
      <c r="DQ12" s="282">
        <f>DM12-DO12</f>
        <v>1120</v>
      </c>
      <c r="DR12" s="8">
        <f>DQ12*70</f>
        <v>78400</v>
      </c>
      <c r="DS12" s="281">
        <f>DQ12/DO12</f>
        <v>9.5890410958904104E-2</v>
      </c>
      <c r="DT12" s="280">
        <v>1</v>
      </c>
      <c r="DU12" s="171">
        <v>14080</v>
      </c>
      <c r="DV12" s="176">
        <f>DU12*70</f>
        <v>985600</v>
      </c>
      <c r="DW12" s="245">
        <v>12848</v>
      </c>
      <c r="DX12" s="176">
        <f>DW12*70</f>
        <v>899360</v>
      </c>
      <c r="DY12" s="8">
        <f>DU12-DW12</f>
        <v>1232</v>
      </c>
      <c r="DZ12" s="8">
        <f>DY12*70</f>
        <v>86240</v>
      </c>
      <c r="EA12" s="283">
        <f>DY12/DW12</f>
        <v>9.5890410958904104E-2</v>
      </c>
      <c r="EB12" s="284">
        <v>1</v>
      </c>
      <c r="EC12" s="171">
        <v>13440</v>
      </c>
      <c r="ED12" s="171">
        <f>EC12*70</f>
        <v>940800</v>
      </c>
      <c r="EE12" s="245">
        <v>12264</v>
      </c>
      <c r="EF12" s="176">
        <f>EE12*70</f>
        <v>858480</v>
      </c>
      <c r="EG12" s="8">
        <f>EC12-EE12</f>
        <v>1176</v>
      </c>
      <c r="EH12" s="8">
        <f>EG12*70</f>
        <v>82320</v>
      </c>
      <c r="EI12" s="285">
        <f>EG12/EE12</f>
        <v>9.5890410958904104E-2</v>
      </c>
      <c r="EJ12" s="284">
        <v>1</v>
      </c>
      <c r="EK12" s="171">
        <v>14080</v>
      </c>
      <c r="EL12" s="171">
        <f>EK12*70</f>
        <v>985600</v>
      </c>
      <c r="EM12" s="245">
        <v>12848</v>
      </c>
      <c r="EN12" s="176">
        <f>EM12*70</f>
        <v>899360</v>
      </c>
      <c r="EO12" s="8">
        <f>EK12-EM12</f>
        <v>1232</v>
      </c>
      <c r="EP12" s="8">
        <f>EO12*70</f>
        <v>86240</v>
      </c>
      <c r="EQ12" s="285">
        <f>EO12/EM12</f>
        <v>9.5890410958904104E-2</v>
      </c>
      <c r="ER12" s="284">
        <v>1</v>
      </c>
      <c r="ES12" s="171">
        <v>13440</v>
      </c>
      <c r="ET12" s="171">
        <f>ES12*70</f>
        <v>940800</v>
      </c>
      <c r="EU12" s="245">
        <v>12264</v>
      </c>
      <c r="EV12" s="176">
        <f>EU12*70</f>
        <v>858480</v>
      </c>
      <c r="EW12" s="8">
        <f>ES12-EU12</f>
        <v>1176</v>
      </c>
      <c r="EX12" s="8">
        <f>EW12*70</f>
        <v>82320</v>
      </c>
      <c r="EY12" s="285">
        <f>EW12/EU12</f>
        <v>9.5890410958904104E-2</v>
      </c>
      <c r="EZ12" s="284">
        <v>1</v>
      </c>
      <c r="FA12" s="171">
        <v>13440</v>
      </c>
      <c r="FB12" s="171">
        <f>FA12*70</f>
        <v>940800</v>
      </c>
      <c r="FC12" s="245">
        <v>12264</v>
      </c>
      <c r="FD12" s="176">
        <f>FC12*70</f>
        <v>858480</v>
      </c>
      <c r="FE12" s="8">
        <f>FA12-FC12</f>
        <v>1176</v>
      </c>
      <c r="FF12" s="8">
        <f>FE12*70</f>
        <v>82320</v>
      </c>
      <c r="FG12" s="285">
        <f>FE12/FC12</f>
        <v>9.5890410958904104E-2</v>
      </c>
      <c r="FH12" s="280">
        <v>1</v>
      </c>
      <c r="FI12" s="171">
        <v>6400</v>
      </c>
      <c r="FJ12" s="171">
        <f>FI12*70</f>
        <v>448000</v>
      </c>
      <c r="FK12" s="286">
        <v>5840</v>
      </c>
      <c r="FL12" s="287">
        <f>FK12*70</f>
        <v>408800</v>
      </c>
      <c r="FM12" s="8">
        <f>FI12-FK12</f>
        <v>560</v>
      </c>
      <c r="FN12" s="8">
        <f>FM12*70</f>
        <v>39200</v>
      </c>
      <c r="FO12" s="7">
        <f>FM12/FK12</f>
        <v>9.5890410958904104E-2</v>
      </c>
      <c r="FP12" s="280">
        <v>1</v>
      </c>
      <c r="FQ12" s="171">
        <v>7040</v>
      </c>
      <c r="FR12" s="171">
        <f>FQ12*70</f>
        <v>492800</v>
      </c>
      <c r="FS12" s="171">
        <v>6424</v>
      </c>
      <c r="FT12" s="171">
        <f>FS12*70</f>
        <v>449680</v>
      </c>
      <c r="FU12" s="171"/>
      <c r="FV12" s="171"/>
      <c r="FW12" s="8">
        <f>FQ12-FS12</f>
        <v>616</v>
      </c>
      <c r="FX12" s="8">
        <f>FW12*70</f>
        <v>43120</v>
      </c>
      <c r="FY12" s="85">
        <f>FW12/FS12</f>
        <v>9.5890410958904104E-2</v>
      </c>
      <c r="FZ12" s="5">
        <v>1</v>
      </c>
      <c r="GA12" s="171">
        <v>12160</v>
      </c>
      <c r="GB12" s="171">
        <f>GA12*70</f>
        <v>851200</v>
      </c>
      <c r="GC12" s="171">
        <v>11096</v>
      </c>
      <c r="GD12" s="171">
        <f>GC12*70</f>
        <v>776720</v>
      </c>
      <c r="GE12" s="171"/>
      <c r="GF12" s="171"/>
      <c r="GG12" s="8">
        <f>GA12-GC12</f>
        <v>1064</v>
      </c>
      <c r="GH12" s="8">
        <f>GG12*70</f>
        <v>74480</v>
      </c>
      <c r="GI12" s="7">
        <f>GG12/GC12</f>
        <v>9.5890410958904104E-2</v>
      </c>
      <c r="GJ12" s="280">
        <v>1</v>
      </c>
      <c r="GK12" s="288">
        <v>12160</v>
      </c>
      <c r="GL12" s="288">
        <f>GK12*70</f>
        <v>851200</v>
      </c>
      <c r="GM12" s="288">
        <v>11096</v>
      </c>
      <c r="GN12" s="288">
        <f>GM12*70</f>
        <v>776720</v>
      </c>
      <c r="GO12" s="288"/>
      <c r="GP12" s="288"/>
      <c r="GQ12" s="8">
        <f t="shared" si="2"/>
        <v>1064</v>
      </c>
      <c r="GR12" s="8">
        <f>GQ12*70</f>
        <v>74480</v>
      </c>
      <c r="GS12" s="85">
        <f>GQ12/GM12</f>
        <v>9.5890410958904104E-2</v>
      </c>
      <c r="GT12" s="5">
        <v>1</v>
      </c>
      <c r="GU12" s="171">
        <v>14080</v>
      </c>
      <c r="GV12" s="171">
        <f>GU12*70</f>
        <v>985600</v>
      </c>
      <c r="GW12" s="245">
        <v>12848</v>
      </c>
      <c r="GX12" s="176">
        <f>GW12*70</f>
        <v>899360</v>
      </c>
      <c r="GY12" s="171"/>
      <c r="GZ12" s="171"/>
      <c r="HA12" s="8">
        <f>GU12-GW12</f>
        <v>1232</v>
      </c>
      <c r="HB12" s="8">
        <f>HA12*70</f>
        <v>86240</v>
      </c>
      <c r="HC12" s="7">
        <f>HB12/GV12</f>
        <v>8.7499999999999994E-2</v>
      </c>
      <c r="HD12" s="171">
        <f>(GT12+GJ12+FZ12+FP12+FH12+EZ12+ER12+EJ12+EB12+DT12+DL12+DD12)/12</f>
        <v>1</v>
      </c>
      <c r="HE12" s="171">
        <f>GU12+GK12+GA12+FQ12+FI12+FA12+ES12+EK12+EC12+DU12+DM12+DE12</f>
        <v>147200</v>
      </c>
      <c r="HF12" s="171">
        <f t="shared" ref="HF12:HF18" si="203">HE12*70</f>
        <v>10304000</v>
      </c>
      <c r="HG12" s="171">
        <f>GW12+GM12+GC12+FS12+FK12+FC12+EU12+EM12+EE12+DW12+DO12+DG12</f>
        <v>134320</v>
      </c>
      <c r="HH12" s="171">
        <f>HG12*70</f>
        <v>9402400</v>
      </c>
      <c r="HI12" s="8">
        <f t="shared" si="3"/>
        <v>12880</v>
      </c>
      <c r="HJ12" s="8">
        <f>HI12*70</f>
        <v>901600</v>
      </c>
      <c r="HK12" s="7">
        <f>HI12/HG12</f>
        <v>9.5890410958904104E-2</v>
      </c>
      <c r="HL12" s="5">
        <f>(DD12+DL12+DT12)/3</f>
        <v>1</v>
      </c>
      <c r="HM12" s="171">
        <f>DE12+DM12+DU12</f>
        <v>40960</v>
      </c>
      <c r="HN12" s="171">
        <f t="shared" si="4"/>
        <v>2867200</v>
      </c>
      <c r="HO12" s="245">
        <f>DG12+DO12+DW12</f>
        <v>37376</v>
      </c>
      <c r="HP12" s="176">
        <f t="shared" si="5"/>
        <v>2616320</v>
      </c>
      <c r="HQ12" s="8">
        <f t="shared" si="6"/>
        <v>3584</v>
      </c>
      <c r="HR12" s="8">
        <f t="shared" si="7"/>
        <v>250880</v>
      </c>
      <c r="HS12" s="7">
        <f>HQ12/HO12</f>
        <v>9.5890410958904104E-2</v>
      </c>
      <c r="HT12" s="5">
        <f>(EB12+EJ12+ER12)/3</f>
        <v>1</v>
      </c>
      <c r="HU12" s="257">
        <f>(EC12+EK12+ES12)</f>
        <v>40960</v>
      </c>
      <c r="HV12" s="171">
        <f t="shared" si="8"/>
        <v>2867200</v>
      </c>
      <c r="HW12" s="295">
        <f>(EE12+EM12+EU12)</f>
        <v>37376</v>
      </c>
      <c r="HX12" s="268">
        <f t="shared" si="9"/>
        <v>2616320</v>
      </c>
      <c r="HY12" s="171">
        <f t="shared" si="10"/>
        <v>3584</v>
      </c>
      <c r="HZ12" s="171">
        <f t="shared" si="11"/>
        <v>250880</v>
      </c>
      <c r="IA12" s="7">
        <f>HY12/HW12</f>
        <v>9.5890410958904104E-2</v>
      </c>
      <c r="IB12" s="247">
        <f>(EZ12+FH12+FP12)/3</f>
        <v>1</v>
      </c>
      <c r="IC12" s="257">
        <f>(FA12+FI12+FQ12)</f>
        <v>26880</v>
      </c>
      <c r="ID12" s="171">
        <f t="shared" si="12"/>
        <v>1881600</v>
      </c>
      <c r="IE12" s="296">
        <f>(FC12+FK12+FS12)</f>
        <v>24528</v>
      </c>
      <c r="IF12" s="287">
        <f>IE12*70</f>
        <v>1716960</v>
      </c>
      <c r="IG12" s="8">
        <f>IC12-IE12</f>
        <v>2352</v>
      </c>
      <c r="IH12" s="8">
        <f>IG12*70</f>
        <v>164640</v>
      </c>
      <c r="II12" s="7">
        <f>IG12/IE12</f>
        <v>9.5890410958904104E-2</v>
      </c>
      <c r="IJ12" s="247">
        <f>(FZ12+GJ12+GT12)/3</f>
        <v>1</v>
      </c>
      <c r="IK12" s="257">
        <f>(GA12+GK12+GU12)</f>
        <v>38400</v>
      </c>
      <c r="IL12" s="171">
        <f>IK12*70</f>
        <v>2688000</v>
      </c>
      <c r="IM12" s="296">
        <f>(GC12+GM12+GW12)</f>
        <v>35040</v>
      </c>
      <c r="IN12" s="287">
        <f>IM12*70</f>
        <v>2452800</v>
      </c>
      <c r="IO12" s="296">
        <f>(GG12+GQ12+HA12)</f>
        <v>3360</v>
      </c>
      <c r="IP12" s="8">
        <f>IO12*70</f>
        <v>235200</v>
      </c>
      <c r="IQ12" s="7">
        <f>IO12/IM12</f>
        <v>9.5890410958904104E-2</v>
      </c>
      <c r="IS12" s="247">
        <v>1</v>
      </c>
      <c r="IT12" s="257">
        <v>12800</v>
      </c>
      <c r="IU12" s="171">
        <f>IT12*75</f>
        <v>960000</v>
      </c>
      <c r="IV12" s="258">
        <v>11680</v>
      </c>
      <c r="IW12" s="249">
        <f t="shared" si="93"/>
        <v>934400</v>
      </c>
      <c r="IX12" s="9"/>
      <c r="IY12" s="9"/>
      <c r="IZ12" s="267">
        <f>IT12-IV12</f>
        <v>1120</v>
      </c>
      <c r="JA12" s="9">
        <f>IZ12*75</f>
        <v>84000</v>
      </c>
      <c r="JB12" s="10">
        <f>JA12/IU12</f>
        <v>8.7499999999999994E-2</v>
      </c>
      <c r="JC12" s="11">
        <v>1</v>
      </c>
      <c r="JD12" s="171">
        <v>13440</v>
      </c>
      <c r="JE12" s="171">
        <f>JD12*75</f>
        <v>1008000</v>
      </c>
      <c r="JF12" s="248">
        <v>12264</v>
      </c>
      <c r="JG12" s="249">
        <f>JF12*75</f>
        <v>919800</v>
      </c>
      <c r="JH12" s="9"/>
      <c r="JI12" s="9"/>
      <c r="JJ12" s="267">
        <f>JD12-JF12</f>
        <v>1176</v>
      </c>
      <c r="JK12" s="9">
        <f>JJ12*75</f>
        <v>88200</v>
      </c>
      <c r="JL12" s="10">
        <f t="shared" si="13"/>
        <v>8.7499999999999994E-2</v>
      </c>
      <c r="JM12" s="14">
        <v>1</v>
      </c>
      <c r="JN12" s="171">
        <v>16720</v>
      </c>
      <c r="JO12" s="171">
        <f>JN12*75</f>
        <v>1254000</v>
      </c>
      <c r="JP12" s="245">
        <v>13200</v>
      </c>
      <c r="JQ12" s="176">
        <f>JP12*75</f>
        <v>990000</v>
      </c>
      <c r="JR12" s="1515"/>
      <c r="JS12" s="171"/>
      <c r="JT12" s="267">
        <f>JN12-JP12</f>
        <v>3520</v>
      </c>
      <c r="JU12" s="851">
        <f t="shared" si="103"/>
        <v>281600</v>
      </c>
      <c r="JV12" s="10">
        <f t="shared" si="14"/>
        <v>0.22456140350877193</v>
      </c>
      <c r="JW12" s="13">
        <v>1</v>
      </c>
      <c r="JX12" s="171">
        <v>12800</v>
      </c>
      <c r="JY12" s="171">
        <f>JX12*75</f>
        <v>960000</v>
      </c>
      <c r="JZ12" s="245">
        <v>11680</v>
      </c>
      <c r="KA12" s="176">
        <f>JZ12*75</f>
        <v>876000</v>
      </c>
      <c r="KB12" s="1515"/>
      <c r="KC12" s="171"/>
      <c r="KD12" s="267">
        <f>JX12-JZ12</f>
        <v>1120</v>
      </c>
      <c r="KE12" s="171">
        <f>KD12*75</f>
        <v>84000</v>
      </c>
      <c r="KF12" s="10">
        <f t="shared" si="15"/>
        <v>8.7499999999999994E-2</v>
      </c>
      <c r="KG12" s="11">
        <v>1</v>
      </c>
      <c r="KH12" s="171">
        <v>13440</v>
      </c>
      <c r="KI12" s="171">
        <f>KH12*75</f>
        <v>1008000</v>
      </c>
      <c r="KJ12" s="245">
        <v>12264</v>
      </c>
      <c r="KK12" s="176">
        <f>KJ12*75</f>
        <v>919800</v>
      </c>
      <c r="KL12" s="1515"/>
      <c r="KM12" s="171"/>
      <c r="KN12" s="267">
        <f>KH12-KJ12</f>
        <v>1176</v>
      </c>
      <c r="KO12" s="171">
        <f>KN12*75</f>
        <v>88200</v>
      </c>
      <c r="KP12" s="10">
        <f t="shared" si="16"/>
        <v>8.7499999999999994E-2</v>
      </c>
      <c r="KQ12" s="13">
        <v>1</v>
      </c>
      <c r="KR12" s="171">
        <v>13440</v>
      </c>
      <c r="KS12" s="171">
        <f>KR12*75</f>
        <v>1008000</v>
      </c>
      <c r="KT12" s="245">
        <v>12264</v>
      </c>
      <c r="KU12" s="176">
        <f>KT12*75</f>
        <v>919800</v>
      </c>
      <c r="KV12" s="1515"/>
      <c r="KW12" s="171"/>
      <c r="KX12" s="267">
        <f>KR12-KT12</f>
        <v>1176</v>
      </c>
      <c r="KY12" s="171">
        <f>KX12*75</f>
        <v>88200</v>
      </c>
      <c r="KZ12" s="10">
        <f t="shared" si="17"/>
        <v>8.7499999999999994E-2</v>
      </c>
      <c r="LA12" s="11">
        <v>1</v>
      </c>
      <c r="LB12" s="171">
        <v>13440</v>
      </c>
      <c r="LC12" s="171">
        <f t="shared" si="116"/>
        <v>1075200</v>
      </c>
      <c r="LD12" s="245">
        <v>12264</v>
      </c>
      <c r="LE12" s="176">
        <f t="shared" si="117"/>
        <v>981120</v>
      </c>
      <c r="LF12" s="1515"/>
      <c r="LG12" s="171"/>
      <c r="LH12" s="267">
        <f>LB12-LD12</f>
        <v>1176</v>
      </c>
      <c r="LI12" s="171">
        <f>LH12*75</f>
        <v>88200</v>
      </c>
      <c r="LJ12" s="10">
        <f t="shared" si="18"/>
        <v>8.203125E-2</v>
      </c>
      <c r="LK12" s="13">
        <v>1</v>
      </c>
      <c r="LL12" s="171">
        <v>12800</v>
      </c>
      <c r="LM12" s="171">
        <f>LL12*75</f>
        <v>960000</v>
      </c>
      <c r="LN12" s="245">
        <v>11680</v>
      </c>
      <c r="LO12" s="176">
        <f t="shared" si="121"/>
        <v>934400</v>
      </c>
      <c r="LP12" s="1515"/>
      <c r="LQ12" s="171"/>
      <c r="LR12" s="267">
        <f>LL12-LN12</f>
        <v>1120</v>
      </c>
      <c r="LS12" s="849">
        <f t="shared" si="123"/>
        <v>89600</v>
      </c>
      <c r="LT12" s="10">
        <f t="shared" si="19"/>
        <v>9.3333333333333338E-2</v>
      </c>
      <c r="LU12" s="177">
        <v>1</v>
      </c>
      <c r="LV12" s="171">
        <v>13440</v>
      </c>
      <c r="LW12" s="171">
        <f>LV12*75</f>
        <v>1008000</v>
      </c>
      <c r="LX12" s="245">
        <v>12264</v>
      </c>
      <c r="LY12" s="176">
        <f>LX12*75</f>
        <v>919800</v>
      </c>
      <c r="LZ12" s="1515"/>
      <c r="MA12" s="268"/>
      <c r="MB12" s="267">
        <f>LV12-LX12</f>
        <v>1176</v>
      </c>
      <c r="MC12" s="171">
        <f>MB12*75</f>
        <v>88200</v>
      </c>
      <c r="MD12" s="10">
        <f t="shared" si="20"/>
        <v>8.7499999999999994E-2</v>
      </c>
      <c r="ME12" s="177">
        <v>1</v>
      </c>
      <c r="MF12" s="171">
        <v>12800</v>
      </c>
      <c r="MG12" s="176">
        <f t="shared" si="128"/>
        <v>1024000</v>
      </c>
      <c r="MH12" s="171">
        <v>11680</v>
      </c>
      <c r="MI12" s="176">
        <f t="shared" si="129"/>
        <v>934400</v>
      </c>
      <c r="MJ12" s="1515"/>
      <c r="MK12" s="268"/>
      <c r="ML12" s="171">
        <f>MF12-MH12</f>
        <v>1120</v>
      </c>
      <c r="MM12" s="849">
        <f t="shared" si="131"/>
        <v>89600</v>
      </c>
      <c r="MN12" s="10">
        <f t="shared" si="21"/>
        <v>8.7499999999999994E-2</v>
      </c>
      <c r="MO12" s="13">
        <v>1</v>
      </c>
      <c r="MP12" s="14">
        <v>14400</v>
      </c>
      <c r="MQ12" s="176">
        <f t="shared" si="132"/>
        <v>1152000</v>
      </c>
      <c r="MR12" s="171">
        <v>11096</v>
      </c>
      <c r="MS12" s="171">
        <f t="shared" si="133"/>
        <v>887680</v>
      </c>
      <c r="MT12" s="1515"/>
      <c r="MU12" s="268"/>
      <c r="MV12" s="171">
        <f>MP12-MR12</f>
        <v>3304</v>
      </c>
      <c r="MW12" s="171">
        <f t="shared" si="135"/>
        <v>264320</v>
      </c>
      <c r="MX12" s="55">
        <f t="shared" si="22"/>
        <v>0.22944444444444445</v>
      </c>
      <c r="MY12" s="13">
        <v>1</v>
      </c>
      <c r="MZ12" s="14">
        <v>14720</v>
      </c>
      <c r="NA12" s="171">
        <f t="shared" si="136"/>
        <v>1177600</v>
      </c>
      <c r="NB12" s="267">
        <v>13432</v>
      </c>
      <c r="NC12" s="268">
        <f t="shared" si="137"/>
        <v>1074560</v>
      </c>
      <c r="ND12" s="171">
        <v>0</v>
      </c>
      <c r="NE12" s="171">
        <v>0</v>
      </c>
      <c r="NF12" s="267">
        <f t="shared" si="138"/>
        <v>1288</v>
      </c>
      <c r="NG12" s="9">
        <f>NF12*80</f>
        <v>103040</v>
      </c>
      <c r="NH12" s="10">
        <f t="shared" si="23"/>
        <v>8.7499999999999994E-2</v>
      </c>
      <c r="NI12" s="9">
        <f>(MY12+MO12+ME12+LU12+LK12+LA12+KQ12+KG12+JW12+JM12+JC12+IS12)/12</f>
        <v>1</v>
      </c>
      <c r="NJ12" s="9">
        <f t="shared" si="194"/>
        <v>164240</v>
      </c>
      <c r="NK12" s="9">
        <f t="shared" si="194"/>
        <v>12594800</v>
      </c>
      <c r="NL12" s="1518">
        <f t="shared" si="194"/>
        <v>145768</v>
      </c>
      <c r="NM12" s="1519">
        <f t="shared" si="194"/>
        <v>11291760</v>
      </c>
      <c r="NN12" s="1518">
        <f t="shared" si="139"/>
        <v>18472</v>
      </c>
      <c r="NO12" s="9">
        <f t="shared" si="139"/>
        <v>1437160</v>
      </c>
      <c r="NP12" s="10">
        <f t="shared" si="140"/>
        <v>0.11410740940705688</v>
      </c>
      <c r="NQ12" s="18">
        <f>(IS12+JC12+JM12)/3</f>
        <v>1</v>
      </c>
      <c r="NR12" s="9">
        <f t="shared" si="200"/>
        <v>42960</v>
      </c>
      <c r="NS12" s="9">
        <f t="shared" si="200"/>
        <v>3222000</v>
      </c>
      <c r="NT12" s="57">
        <f t="shared" si="200"/>
        <v>37144</v>
      </c>
      <c r="NU12" s="58">
        <f t="shared" si="200"/>
        <v>2844200</v>
      </c>
      <c r="NV12" s="9">
        <f>IZ12+JJ12+JT12</f>
        <v>5816</v>
      </c>
      <c r="NW12" s="9">
        <f t="shared" si="141"/>
        <v>453800</v>
      </c>
      <c r="NX12" s="10">
        <f t="shared" si="142"/>
        <v>0.14084419615145871</v>
      </c>
      <c r="NY12" s="177">
        <f t="shared" si="143"/>
        <v>1</v>
      </c>
      <c r="NZ12" s="171">
        <f t="shared" si="144"/>
        <v>39680</v>
      </c>
      <c r="OA12" s="171">
        <f t="shared" si="144"/>
        <v>2976000</v>
      </c>
      <c r="OB12" s="245">
        <f t="shared" si="144"/>
        <v>36208</v>
      </c>
      <c r="OC12" s="176">
        <f t="shared" si="144"/>
        <v>2715600</v>
      </c>
      <c r="OD12" s="171">
        <f t="shared" si="145"/>
        <v>3472</v>
      </c>
      <c r="OE12" s="171">
        <f t="shared" si="145"/>
        <v>260400</v>
      </c>
      <c r="OF12" s="10">
        <f>OE12/OA12</f>
        <v>8.7499999999999994E-2</v>
      </c>
      <c r="OG12" s="177">
        <f t="shared" si="146"/>
        <v>1</v>
      </c>
      <c r="OH12" s="171">
        <f t="shared" si="147"/>
        <v>39680</v>
      </c>
      <c r="OI12" s="171">
        <f t="shared" si="147"/>
        <v>3043200</v>
      </c>
      <c r="OJ12" s="171">
        <f t="shared" si="147"/>
        <v>36208</v>
      </c>
      <c r="OK12" s="171">
        <f t="shared" si="147"/>
        <v>2835320</v>
      </c>
      <c r="OL12" s="171">
        <f t="shared" si="148"/>
        <v>3472</v>
      </c>
      <c r="OM12" s="171">
        <f t="shared" si="148"/>
        <v>266000</v>
      </c>
      <c r="ON12" s="55">
        <f t="shared" si="149"/>
        <v>8.7407991587802311E-2</v>
      </c>
      <c r="OO12" s="13">
        <v>1</v>
      </c>
      <c r="OP12" s="9">
        <f t="shared" si="150"/>
        <v>41920</v>
      </c>
      <c r="OQ12" s="9">
        <f t="shared" si="150"/>
        <v>3353600</v>
      </c>
      <c r="OR12" s="1518">
        <f t="shared" si="150"/>
        <v>36208</v>
      </c>
      <c r="OS12" s="1519">
        <f t="shared" si="150"/>
        <v>2896640</v>
      </c>
      <c r="OT12" s="9">
        <f t="shared" si="151"/>
        <v>5712</v>
      </c>
      <c r="OU12" s="9">
        <f t="shared" si="151"/>
        <v>456960</v>
      </c>
      <c r="OV12" s="10">
        <f>OU12/OQ12</f>
        <v>0.13625954198473283</v>
      </c>
      <c r="OX12" s="247"/>
      <c r="OY12" s="257">
        <v>0</v>
      </c>
      <c r="OZ12" s="171">
        <f>OY12*75</f>
        <v>0</v>
      </c>
      <c r="PA12" s="857">
        <v>0</v>
      </c>
      <c r="PB12" s="249">
        <f>PA12*75</f>
        <v>0</v>
      </c>
      <c r="PC12" s="9"/>
      <c r="PD12" s="9"/>
      <c r="PE12" s="267">
        <f t="shared" si="152"/>
        <v>0</v>
      </c>
      <c r="PF12" s="9">
        <f>PE12*75</f>
        <v>0</v>
      </c>
      <c r="PG12" s="10"/>
      <c r="PH12" s="11"/>
      <c r="PI12" s="171"/>
      <c r="PJ12" s="171">
        <f>PI12*75</f>
        <v>0</v>
      </c>
      <c r="PK12" s="248"/>
      <c r="PL12" s="249">
        <f>PK12*75</f>
        <v>0</v>
      </c>
      <c r="PM12" s="9"/>
      <c r="PN12" s="9"/>
      <c r="PO12" s="267">
        <f t="shared" si="153"/>
        <v>0</v>
      </c>
      <c r="PP12" s="9">
        <f>PO12*75</f>
        <v>0</v>
      </c>
      <c r="PQ12" s="10"/>
      <c r="PS12" s="171"/>
      <c r="PT12" s="171">
        <f>PS12*75</f>
        <v>0</v>
      </c>
      <c r="PU12" s="245"/>
      <c r="PV12" s="249">
        <f>PU12*75</f>
        <v>0</v>
      </c>
      <c r="PW12" s="9"/>
      <c r="PX12" s="171"/>
      <c r="PY12" s="245">
        <f t="shared" si="154"/>
        <v>0</v>
      </c>
      <c r="PZ12" s="9">
        <f>PY12*75</f>
        <v>0</v>
      </c>
      <c r="QA12" s="10"/>
      <c r="QB12" s="13"/>
      <c r="QC12" s="171"/>
      <c r="QD12" s="171">
        <f>QC12*75</f>
        <v>0</v>
      </c>
      <c r="QE12" s="245"/>
      <c r="QF12" s="176">
        <f>QE12*75</f>
        <v>0</v>
      </c>
      <c r="QG12" s="171"/>
      <c r="QH12" s="171"/>
      <c r="QI12" s="267">
        <f t="shared" si="155"/>
        <v>0</v>
      </c>
      <c r="QJ12" s="171">
        <f>QI12*75</f>
        <v>0</v>
      </c>
      <c r="QK12" s="10"/>
      <c r="QL12" s="11"/>
      <c r="QM12" s="171"/>
      <c r="QN12" s="171">
        <f t="shared" si="156"/>
        <v>0</v>
      </c>
      <c r="QO12" s="245"/>
      <c r="QP12" s="176">
        <f t="shared" ref="QP12:QP17" si="204">QO12*75</f>
        <v>0</v>
      </c>
      <c r="QQ12" s="171"/>
      <c r="QR12" s="171"/>
      <c r="QS12" s="267">
        <f t="shared" si="157"/>
        <v>0</v>
      </c>
      <c r="QT12" s="171">
        <f>QS12*75</f>
        <v>0</v>
      </c>
      <c r="QU12" s="10"/>
      <c r="QV12" s="13"/>
      <c r="QW12" s="171"/>
      <c r="QX12" s="171">
        <f t="shared" si="158"/>
        <v>0</v>
      </c>
      <c r="QY12" s="245"/>
      <c r="QZ12" s="176">
        <f t="shared" si="159"/>
        <v>0</v>
      </c>
      <c r="RA12" s="171"/>
      <c r="RB12" s="171"/>
      <c r="RC12" s="245">
        <f t="shared" si="160"/>
        <v>0</v>
      </c>
      <c r="RD12" s="849">
        <f t="shared" si="161"/>
        <v>0</v>
      </c>
      <c r="RE12" s="10"/>
      <c r="RF12" s="11"/>
      <c r="RG12" s="171"/>
      <c r="RH12" s="171">
        <f>RG12*75</f>
        <v>0</v>
      </c>
      <c r="RI12" s="245"/>
      <c r="RJ12" s="176">
        <f t="shared" si="162"/>
        <v>0</v>
      </c>
      <c r="RK12" s="171"/>
      <c r="RL12" s="171"/>
      <c r="RM12" s="245">
        <f t="shared" si="163"/>
        <v>0</v>
      </c>
      <c r="RN12" s="171">
        <f t="shared" si="164"/>
        <v>0</v>
      </c>
      <c r="RO12" s="858">
        <v>0</v>
      </c>
      <c r="RP12" s="13"/>
      <c r="RQ12" s="171"/>
      <c r="RR12" s="171">
        <f>RQ12*75</f>
        <v>0</v>
      </c>
      <c r="RS12" s="245"/>
      <c r="RT12" s="176">
        <f t="shared" si="166"/>
        <v>0</v>
      </c>
      <c r="RU12" s="171"/>
      <c r="RV12" s="171">
        <v>0</v>
      </c>
      <c r="RW12" s="245">
        <f>RQ12-RS12</f>
        <v>0</v>
      </c>
      <c r="RX12" s="171">
        <f>RW12*75</f>
        <v>0</v>
      </c>
      <c r="RY12" s="858">
        <v>0</v>
      </c>
      <c r="RZ12" s="177"/>
      <c r="SA12" s="171"/>
      <c r="SB12" s="171">
        <f t="shared" si="167"/>
        <v>0</v>
      </c>
      <c r="SC12" s="245"/>
      <c r="SD12" s="176">
        <f>SC12*75</f>
        <v>0</v>
      </c>
      <c r="SE12" s="171"/>
      <c r="SF12" s="171"/>
      <c r="SG12" s="245">
        <f t="shared" si="168"/>
        <v>0</v>
      </c>
      <c r="SH12" s="171">
        <f>SG12*75</f>
        <v>0</v>
      </c>
      <c r="SI12" s="10"/>
      <c r="SJ12" s="177"/>
      <c r="SK12" s="171"/>
      <c r="SL12" s="176">
        <f>SK12*75</f>
        <v>0</v>
      </c>
      <c r="SM12" s="171"/>
      <c r="SN12" s="176">
        <f>SM12*75</f>
        <v>0</v>
      </c>
      <c r="SO12" s="171"/>
      <c r="SP12" s="171"/>
      <c r="SQ12" s="245">
        <f t="shared" si="169"/>
        <v>0</v>
      </c>
      <c r="SR12" s="171">
        <f>SQ12*75</f>
        <v>0</v>
      </c>
      <c r="SS12" s="10" t="e">
        <f t="shared" si="26"/>
        <v>#DIV/0!</v>
      </c>
      <c r="ST12" s="13"/>
      <c r="SV12" s="176">
        <f>SU12*75</f>
        <v>0</v>
      </c>
      <c r="SW12" s="171"/>
      <c r="SX12" s="171">
        <f t="shared" si="170"/>
        <v>0</v>
      </c>
      <c r="SY12" s="1515"/>
      <c r="SZ12" s="176"/>
      <c r="TA12" s="245">
        <f t="shared" si="171"/>
        <v>0</v>
      </c>
      <c r="TB12" s="171">
        <f>TA12*75</f>
        <v>0</v>
      </c>
      <c r="TC12" s="10" t="e">
        <f>TB12/SV12</f>
        <v>#DIV/0!</v>
      </c>
      <c r="TD12" s="13"/>
      <c r="TF12" s="176">
        <f>TE12*75</f>
        <v>0</v>
      </c>
      <c r="TG12" s="171"/>
      <c r="TH12" s="171">
        <f t="shared" si="172"/>
        <v>0</v>
      </c>
      <c r="TI12" s="1515"/>
      <c r="TJ12" s="176"/>
      <c r="TK12" s="245">
        <f t="shared" si="173"/>
        <v>0</v>
      </c>
      <c r="TL12" s="171">
        <f>TK12*75</f>
        <v>0</v>
      </c>
      <c r="TM12" s="10" t="e">
        <f>TL12/TF12</f>
        <v>#DIV/0!</v>
      </c>
      <c r="TN12" s="59"/>
      <c r="TO12" s="9">
        <f t="shared" si="33"/>
        <v>0</v>
      </c>
      <c r="TP12" s="9">
        <f t="shared" si="33"/>
        <v>0</v>
      </c>
      <c r="TQ12" s="57">
        <f t="shared" si="33"/>
        <v>0</v>
      </c>
      <c r="TR12" s="58">
        <f t="shared" si="33"/>
        <v>0</v>
      </c>
      <c r="TS12" s="57">
        <f t="shared" si="34"/>
        <v>0</v>
      </c>
      <c r="TT12" s="57">
        <f t="shared" si="34"/>
        <v>0</v>
      </c>
      <c r="TU12" s="10"/>
      <c r="TV12" s="18">
        <f t="shared" si="185"/>
        <v>0</v>
      </c>
      <c r="TW12" s="9">
        <f t="shared" si="35"/>
        <v>0</v>
      </c>
      <c r="TX12" s="9">
        <f t="shared" si="35"/>
        <v>0</v>
      </c>
      <c r="TY12" s="57">
        <f t="shared" si="35"/>
        <v>0</v>
      </c>
      <c r="TZ12" s="58">
        <f t="shared" si="35"/>
        <v>0</v>
      </c>
      <c r="UA12" s="9">
        <f t="shared" si="198"/>
        <v>0</v>
      </c>
      <c r="UB12" s="9">
        <f t="shared" si="198"/>
        <v>0</v>
      </c>
      <c r="UC12" s="10" t="e">
        <f t="shared" si="174"/>
        <v>#DIV/0!</v>
      </c>
      <c r="UD12" s="177">
        <f>(QB12+QL12+QV12)/3</f>
        <v>0</v>
      </c>
      <c r="UE12" s="171">
        <f t="shared" si="37"/>
        <v>0</v>
      </c>
      <c r="UF12" s="171">
        <f t="shared" si="37"/>
        <v>0</v>
      </c>
      <c r="UG12" s="245">
        <f t="shared" si="37"/>
        <v>0</v>
      </c>
      <c r="UH12" s="176">
        <f t="shared" si="37"/>
        <v>0</v>
      </c>
      <c r="UI12" s="171">
        <f t="shared" si="201"/>
        <v>0</v>
      </c>
      <c r="UJ12" s="171">
        <f t="shared" si="201"/>
        <v>0</v>
      </c>
      <c r="UK12" s="10" t="e">
        <f t="shared" si="39"/>
        <v>#DIV/0!</v>
      </c>
      <c r="UL12" s="177">
        <f>(RF12+RP12+RZ12)/3</f>
        <v>0</v>
      </c>
      <c r="UM12" s="171">
        <f t="shared" si="40"/>
        <v>0</v>
      </c>
      <c r="UN12" s="171">
        <f t="shared" si="40"/>
        <v>0</v>
      </c>
      <c r="UO12" s="171">
        <f t="shared" si="40"/>
        <v>0</v>
      </c>
      <c r="UP12" s="171">
        <f t="shared" si="40"/>
        <v>0</v>
      </c>
      <c r="UQ12" s="171">
        <f t="shared" si="199"/>
        <v>0</v>
      </c>
      <c r="UR12" s="171">
        <f t="shared" si="199"/>
        <v>0</v>
      </c>
      <c r="US12" s="10" t="e">
        <f t="shared" si="175"/>
        <v>#DIV/0!</v>
      </c>
      <c r="UT12" s="13">
        <v>1</v>
      </c>
      <c r="UU12" s="9">
        <f t="shared" si="42"/>
        <v>0</v>
      </c>
      <c r="UV12" s="9">
        <f t="shared" si="42"/>
        <v>0</v>
      </c>
      <c r="UW12" s="9">
        <f t="shared" si="42"/>
        <v>0</v>
      </c>
      <c r="UX12" s="9">
        <f t="shared" si="42"/>
        <v>0</v>
      </c>
      <c r="UY12" s="9">
        <f t="shared" si="176"/>
        <v>0</v>
      </c>
      <c r="UZ12" s="9">
        <f t="shared" si="176"/>
        <v>0</v>
      </c>
      <c r="VA12" s="10" t="e">
        <f t="shared" si="177"/>
        <v>#DIV/0!</v>
      </c>
      <c r="VC12" s="247"/>
      <c r="VD12" s="257">
        <v>0</v>
      </c>
      <c r="VE12" s="171">
        <f>VD12*75</f>
        <v>0</v>
      </c>
      <c r="VF12" s="857">
        <v>0</v>
      </c>
      <c r="VG12" s="249">
        <f t="shared" si="186"/>
        <v>0</v>
      </c>
      <c r="VH12" s="9"/>
      <c r="VI12" s="9"/>
      <c r="VJ12" s="267">
        <f t="shared" si="202"/>
        <v>0</v>
      </c>
      <c r="VK12" s="9">
        <f t="shared" si="187"/>
        <v>0</v>
      </c>
      <c r="VL12" s="858" t="e">
        <f t="shared" si="188"/>
        <v>#DIV/0!</v>
      </c>
      <c r="VM12" s="11"/>
      <c r="VN12" s="171"/>
      <c r="VO12" s="171">
        <f>VN12*75</f>
        <v>0</v>
      </c>
      <c r="VP12" s="248"/>
      <c r="VQ12" s="249">
        <f>VP12*75</f>
        <v>0</v>
      </c>
      <c r="VR12" s="9"/>
      <c r="VS12" s="9"/>
      <c r="VT12" s="267">
        <f t="shared" si="46"/>
        <v>0</v>
      </c>
      <c r="VU12" s="9">
        <f>VT12*75</f>
        <v>0</v>
      </c>
      <c r="VV12" s="10"/>
      <c r="VX12" s="171"/>
      <c r="VY12" s="171">
        <f>VX12*75</f>
        <v>0</v>
      </c>
      <c r="VZ12" s="245"/>
      <c r="WA12" s="249">
        <f>VZ12*75</f>
        <v>0</v>
      </c>
      <c r="WB12" s="9"/>
      <c r="WC12" s="9"/>
      <c r="WD12" s="245">
        <f t="shared" si="50"/>
        <v>0</v>
      </c>
      <c r="WE12" s="9">
        <f>WD12*75</f>
        <v>0</v>
      </c>
      <c r="WF12" s="10"/>
      <c r="WG12" s="13"/>
      <c r="WH12" s="171"/>
      <c r="WI12" s="171">
        <f>WH12*75</f>
        <v>0</v>
      </c>
      <c r="WJ12" s="245"/>
      <c r="WK12" s="176">
        <f>WJ12*75</f>
        <v>0</v>
      </c>
      <c r="WL12" s="171"/>
      <c r="WM12" s="171"/>
      <c r="WN12" s="267">
        <f t="shared" si="55"/>
        <v>0</v>
      </c>
      <c r="WO12" s="171">
        <f>WN12*75</f>
        <v>0</v>
      </c>
      <c r="WP12" s="10"/>
      <c r="WQ12" s="13"/>
      <c r="WR12" s="171"/>
      <c r="WS12" s="171">
        <f>WR12*75</f>
        <v>0</v>
      </c>
      <c r="WT12" s="245"/>
      <c r="WU12" s="176">
        <f>WT12*75</f>
        <v>0</v>
      </c>
      <c r="WV12" s="171"/>
      <c r="WW12" s="171"/>
      <c r="WX12" s="267">
        <f t="shared" si="59"/>
        <v>0</v>
      </c>
      <c r="WY12" s="171">
        <f>WX12*75</f>
        <v>0</v>
      </c>
      <c r="WZ12" s="10"/>
      <c r="XA12" s="13"/>
      <c r="XB12" s="171"/>
      <c r="XC12" s="171">
        <f t="shared" si="61"/>
        <v>0</v>
      </c>
      <c r="XD12" s="245"/>
      <c r="XE12" s="176">
        <f t="shared" si="62"/>
        <v>0</v>
      </c>
      <c r="XF12" s="171"/>
      <c r="XG12" s="171"/>
      <c r="XH12" s="245">
        <f t="shared" si="63"/>
        <v>0</v>
      </c>
      <c r="XI12" s="849">
        <f t="shared" si="64"/>
        <v>0</v>
      </c>
      <c r="XJ12" s="10"/>
      <c r="XK12" s="11"/>
      <c r="XL12" s="171"/>
      <c r="XM12" s="171">
        <f>XL12*75</f>
        <v>0</v>
      </c>
      <c r="XN12" s="245"/>
      <c r="XO12" s="176">
        <f t="shared" si="66"/>
        <v>0</v>
      </c>
      <c r="XP12" s="171"/>
      <c r="XQ12" s="171"/>
      <c r="XR12" s="245">
        <f t="shared" si="67"/>
        <v>0</v>
      </c>
      <c r="XS12" s="171">
        <f t="shared" si="68"/>
        <v>0</v>
      </c>
      <c r="XT12" s="858">
        <v>0</v>
      </c>
      <c r="XU12" s="13"/>
      <c r="XV12" s="171"/>
      <c r="XW12" s="171">
        <f>XV12*75</f>
        <v>0</v>
      </c>
      <c r="XX12" s="245"/>
      <c r="XY12" s="176">
        <f t="shared" si="70"/>
        <v>0</v>
      </c>
      <c r="XZ12" s="171"/>
      <c r="YA12" s="171">
        <v>0</v>
      </c>
      <c r="YB12" s="245">
        <f>XV12-XX12</f>
        <v>0</v>
      </c>
      <c r="YC12" s="171">
        <f>YB12*75</f>
        <v>0</v>
      </c>
      <c r="YD12" s="858">
        <v>0</v>
      </c>
      <c r="YE12" s="177"/>
      <c r="YF12" s="171"/>
      <c r="YG12" s="171">
        <f t="shared" si="73"/>
        <v>0</v>
      </c>
      <c r="YH12" s="245"/>
      <c r="YI12" s="176">
        <f>YH12*75</f>
        <v>0</v>
      </c>
      <c r="YJ12" s="171"/>
      <c r="YK12" s="171"/>
      <c r="YL12" s="245">
        <f t="shared" si="189"/>
        <v>0</v>
      </c>
      <c r="YM12" s="171">
        <f t="shared" si="190"/>
        <v>0</v>
      </c>
      <c r="YN12" s="10" t="e">
        <f t="shared" si="191"/>
        <v>#DIV/0!</v>
      </c>
      <c r="YO12" s="177"/>
      <c r="YP12" s="171"/>
      <c r="YQ12" s="176">
        <f>YP12*75</f>
        <v>0</v>
      </c>
      <c r="YR12" s="171"/>
      <c r="YS12" s="176">
        <f>YR12*75</f>
        <v>0</v>
      </c>
      <c r="YT12" s="171"/>
      <c r="YU12" s="171"/>
      <c r="YV12" s="245">
        <f t="shared" si="192"/>
        <v>0</v>
      </c>
      <c r="YW12" s="171">
        <f t="shared" si="193"/>
        <v>0</v>
      </c>
      <c r="YX12" s="10" t="e">
        <f>YW12/YQ12</f>
        <v>#DIV/0!</v>
      </c>
      <c r="YY12" s="13"/>
      <c r="ZA12" s="176">
        <f>YZ12*75</f>
        <v>0</v>
      </c>
      <c r="ZB12" s="171"/>
      <c r="ZC12" s="171">
        <f t="shared" si="178"/>
        <v>0</v>
      </c>
      <c r="ZD12" s="1515"/>
      <c r="ZE12" s="176"/>
      <c r="ZF12" s="245">
        <f t="shared" si="179"/>
        <v>0</v>
      </c>
      <c r="ZG12" s="171">
        <f>ZF12*75</f>
        <v>0</v>
      </c>
      <c r="ZH12" s="10" t="e">
        <f>ZG12/ZA12</f>
        <v>#DIV/0!</v>
      </c>
      <c r="ZI12" s="13"/>
      <c r="ZK12" s="176">
        <f>ZJ12*75</f>
        <v>0</v>
      </c>
      <c r="ZL12" s="171"/>
      <c r="ZM12" s="171">
        <f t="shared" si="180"/>
        <v>0</v>
      </c>
      <c r="ZN12" s="1515">
        <v>0</v>
      </c>
      <c r="ZO12" s="176">
        <v>0</v>
      </c>
      <c r="ZP12" s="245">
        <f t="shared" si="181"/>
        <v>0</v>
      </c>
      <c r="ZQ12" s="171">
        <f>ZP12*75</f>
        <v>0</v>
      </c>
      <c r="ZR12" s="10" t="e">
        <f>ZQ12/ZK12</f>
        <v>#DIV/0!</v>
      </c>
      <c r="ZS12" s="59"/>
      <c r="ZT12" s="9">
        <f t="shared" si="82"/>
        <v>0</v>
      </c>
      <c r="ZU12" s="9">
        <f t="shared" si="82"/>
        <v>0</v>
      </c>
      <c r="ZV12" s="57">
        <f t="shared" si="82"/>
        <v>0</v>
      </c>
      <c r="ZW12" s="58">
        <f t="shared" si="82"/>
        <v>0</v>
      </c>
      <c r="ZX12" s="57">
        <f t="shared" si="183"/>
        <v>0</v>
      </c>
      <c r="ZY12" s="57">
        <f t="shared" si="83"/>
        <v>0</v>
      </c>
      <c r="ZZ12" s="10"/>
      <c r="AAA12" s="18">
        <f>(VC12+VM12+VW12)/3</f>
        <v>0</v>
      </c>
      <c r="AAB12" s="9">
        <f t="shared" si="84"/>
        <v>0</v>
      </c>
      <c r="AAC12" s="9">
        <f t="shared" si="84"/>
        <v>0</v>
      </c>
      <c r="AAD12" s="57">
        <f t="shared" si="84"/>
        <v>0</v>
      </c>
      <c r="AAE12" s="58">
        <f t="shared" si="84"/>
        <v>0</v>
      </c>
      <c r="AAF12" s="9">
        <f t="shared" si="85"/>
        <v>0</v>
      </c>
      <c r="AAG12" s="9">
        <f t="shared" si="85"/>
        <v>0</v>
      </c>
      <c r="AAH12" s="10" t="e">
        <f>AAG12/AAC12</f>
        <v>#DIV/0!</v>
      </c>
      <c r="AAI12" s="177">
        <f>(WG12+WQ12+XA12)/3</f>
        <v>0</v>
      </c>
      <c r="AAJ12" s="171">
        <f t="shared" si="86"/>
        <v>0</v>
      </c>
      <c r="AAK12" s="171">
        <f t="shared" si="86"/>
        <v>0</v>
      </c>
      <c r="AAL12" s="245">
        <f t="shared" si="86"/>
        <v>0</v>
      </c>
      <c r="AAM12" s="176">
        <f t="shared" si="86"/>
        <v>0</v>
      </c>
      <c r="AAN12" s="171">
        <f t="shared" si="87"/>
        <v>0</v>
      </c>
      <c r="AAO12" s="171">
        <f t="shared" si="87"/>
        <v>0</v>
      </c>
      <c r="AAP12" s="10" t="e">
        <f>AAO12/AAK12</f>
        <v>#DIV/0!</v>
      </c>
      <c r="AAQ12" s="177">
        <f>(XK12+XU12+YE12)/3</f>
        <v>0</v>
      </c>
      <c r="AAR12" s="171">
        <f t="shared" si="88"/>
        <v>0</v>
      </c>
      <c r="AAS12" s="171">
        <f t="shared" si="88"/>
        <v>0</v>
      </c>
      <c r="AAT12" s="171">
        <f t="shared" si="88"/>
        <v>0</v>
      </c>
      <c r="AAU12" s="171">
        <f t="shared" si="88"/>
        <v>0</v>
      </c>
      <c r="AAV12" s="171">
        <f t="shared" si="89"/>
        <v>0</v>
      </c>
      <c r="AAW12" s="171">
        <f t="shared" si="89"/>
        <v>0</v>
      </c>
      <c r="AAX12" s="10" t="e">
        <f>AAW12/AAS12</f>
        <v>#DIV/0!</v>
      </c>
      <c r="AAY12" s="13">
        <v>1</v>
      </c>
      <c r="AAZ12" s="9">
        <f t="shared" si="90"/>
        <v>0</v>
      </c>
      <c r="ABA12" s="9">
        <f t="shared" si="90"/>
        <v>0</v>
      </c>
      <c r="ABB12" s="9">
        <f t="shared" si="90"/>
        <v>0</v>
      </c>
      <c r="ABC12" s="9">
        <f t="shared" si="90"/>
        <v>0</v>
      </c>
      <c r="ABD12" s="9">
        <f t="shared" si="184"/>
        <v>0</v>
      </c>
      <c r="ABE12" s="9">
        <f t="shared" si="184"/>
        <v>0</v>
      </c>
      <c r="ABF12" s="10" t="e">
        <f>ABE12/ABA12</f>
        <v>#DIV/0!</v>
      </c>
    </row>
    <row r="13" spans="1:734" s="14" customFormat="1" ht="15.05" hidden="1" x14ac:dyDescent="0.3">
      <c r="A13" s="5">
        <v>8</v>
      </c>
      <c r="B13" s="259" t="s">
        <v>205</v>
      </c>
      <c r="C13" s="260"/>
      <c r="D13" s="5"/>
      <c r="E13" s="171"/>
      <c r="F13" s="171">
        <f>E13*70</f>
        <v>0</v>
      </c>
      <c r="G13" s="245"/>
      <c r="H13" s="176">
        <f>G13*70</f>
        <v>0</v>
      </c>
      <c r="I13" s="171">
        <f>E13-G13</f>
        <v>0</v>
      </c>
      <c r="J13" s="171">
        <f>I13*70</f>
        <v>0</v>
      </c>
      <c r="K13" s="7"/>
      <c r="L13" s="280"/>
      <c r="M13" s="171"/>
      <c r="N13" s="171">
        <f>M13*70</f>
        <v>0</v>
      </c>
      <c r="O13" s="245"/>
      <c r="P13" s="176">
        <f>O13*70</f>
        <v>0</v>
      </c>
      <c r="Q13" s="8">
        <f>M13-O13</f>
        <v>0</v>
      </c>
      <c r="R13" s="8">
        <f>Q13*70</f>
        <v>0</v>
      </c>
      <c r="S13" s="7"/>
      <c r="T13" s="5"/>
      <c r="U13" s="171"/>
      <c r="V13" s="171">
        <f>U13*70</f>
        <v>0</v>
      </c>
      <c r="W13" s="171"/>
      <c r="X13" s="171">
        <f>W13*70</f>
        <v>0</v>
      </c>
      <c r="Y13" s="8">
        <f>U13-W13</f>
        <v>0</v>
      </c>
      <c r="Z13" s="8">
        <f>Y13*70</f>
        <v>0</v>
      </c>
      <c r="AA13" s="7"/>
      <c r="AB13" s="280"/>
      <c r="AC13" s="171"/>
      <c r="AD13" s="171">
        <f>AC13*70</f>
        <v>0</v>
      </c>
      <c r="AE13" s="171"/>
      <c r="AF13" s="171">
        <f>AE13*70</f>
        <v>0</v>
      </c>
      <c r="AG13" s="8">
        <f>AC13-AE13</f>
        <v>0</v>
      </c>
      <c r="AH13" s="8">
        <f>AG13*70</f>
        <v>0</v>
      </c>
      <c r="AI13" s="85"/>
      <c r="AJ13" s="5"/>
      <c r="AK13" s="171"/>
      <c r="AL13" s="171">
        <f>AK13*70</f>
        <v>0</v>
      </c>
      <c r="AM13" s="171"/>
      <c r="AN13" s="171">
        <f>AM13*70</f>
        <v>0</v>
      </c>
      <c r="AO13" s="8">
        <f>AK13-AM13</f>
        <v>0</v>
      </c>
      <c r="AP13" s="8">
        <f>AO13*70</f>
        <v>0</v>
      </c>
      <c r="AQ13" s="7"/>
      <c r="AR13" s="280">
        <v>1</v>
      </c>
      <c r="AS13" s="171">
        <v>624</v>
      </c>
      <c r="AT13" s="171">
        <f>AS13*70</f>
        <v>43680</v>
      </c>
      <c r="AU13" s="171"/>
      <c r="AV13" s="171">
        <f>AU13*70</f>
        <v>0</v>
      </c>
      <c r="AW13" s="8">
        <f>AS13-AU13</f>
        <v>624</v>
      </c>
      <c r="AX13" s="8">
        <f>AW13*70</f>
        <v>43680</v>
      </c>
      <c r="AY13" s="85"/>
      <c r="AZ13" s="5"/>
      <c r="BA13" s="171"/>
      <c r="BB13" s="171">
        <f>BA13*70</f>
        <v>0</v>
      </c>
      <c r="BC13" s="171"/>
      <c r="BD13" s="171">
        <f>BC13*70</f>
        <v>0</v>
      </c>
      <c r="BE13" s="8">
        <f>BA13-BC13</f>
        <v>0</v>
      </c>
      <c r="BF13" s="8">
        <f>BE13*70</f>
        <v>0</v>
      </c>
      <c r="BG13" s="7"/>
      <c r="BH13" s="280"/>
      <c r="BI13" s="171"/>
      <c r="BJ13" s="171">
        <f>BI13*70</f>
        <v>0</v>
      </c>
      <c r="BK13" s="171"/>
      <c r="BL13" s="171">
        <f>BK13*70</f>
        <v>0</v>
      </c>
      <c r="BM13" s="8">
        <f>BI13-BK13</f>
        <v>0</v>
      </c>
      <c r="BN13" s="8">
        <f>BM13*70</f>
        <v>0</v>
      </c>
      <c r="BO13" s="85"/>
      <c r="BP13" s="5"/>
      <c r="BQ13" s="171"/>
      <c r="BR13" s="171">
        <f>BQ13*70</f>
        <v>0</v>
      </c>
      <c r="BS13" s="171"/>
      <c r="BT13" s="171">
        <f>BS13*70</f>
        <v>0</v>
      </c>
      <c r="BU13" s="8">
        <f>BQ13-BS13</f>
        <v>0</v>
      </c>
      <c r="BV13" s="8">
        <f>BU13*70</f>
        <v>0</v>
      </c>
      <c r="BW13" s="7" t="e">
        <f t="shared" si="0"/>
        <v>#DIV/0!</v>
      </c>
      <c r="BX13" s="280"/>
      <c r="BY13" s="171"/>
      <c r="BZ13" s="171">
        <f>BY13*70</f>
        <v>0</v>
      </c>
      <c r="CA13" s="171"/>
      <c r="CB13" s="171">
        <f>CA13*70</f>
        <v>0</v>
      </c>
      <c r="CC13" s="8">
        <f>BY13-CA13</f>
        <v>0</v>
      </c>
      <c r="CD13" s="8">
        <f>CC13*70</f>
        <v>0</v>
      </c>
      <c r="CE13" s="85"/>
      <c r="CF13" s="5"/>
      <c r="CG13" s="171"/>
      <c r="CH13" s="171">
        <f>CG13*70</f>
        <v>0</v>
      </c>
      <c r="CI13" s="171"/>
      <c r="CJ13" s="171">
        <f>CI13*70</f>
        <v>0</v>
      </c>
      <c r="CK13" s="8">
        <f>CG13-CI13</f>
        <v>0</v>
      </c>
      <c r="CL13" s="8">
        <f>CK13*70</f>
        <v>0</v>
      </c>
      <c r="CM13" s="7"/>
      <c r="CN13" s="280"/>
      <c r="CO13" s="171"/>
      <c r="CP13" s="171"/>
      <c r="CQ13" s="245"/>
      <c r="CR13" s="176"/>
      <c r="CS13" s="8"/>
      <c r="CT13" s="8"/>
      <c r="CU13" s="85"/>
      <c r="CV13" s="5"/>
      <c r="CW13" s="257"/>
      <c r="CX13" s="171"/>
      <c r="CY13" s="257"/>
      <c r="CZ13" s="171"/>
      <c r="DA13" s="8"/>
      <c r="DB13" s="8"/>
      <c r="DC13" s="7"/>
      <c r="DD13" s="298"/>
      <c r="DE13" s="171"/>
      <c r="DF13" s="176"/>
      <c r="DG13" s="245"/>
      <c r="DH13" s="176"/>
      <c r="DI13" s="8"/>
      <c r="DJ13" s="8"/>
      <c r="DK13" s="281"/>
      <c r="DL13" s="5"/>
      <c r="DM13" s="171"/>
      <c r="DN13" s="176"/>
      <c r="DO13" s="171"/>
      <c r="DP13" s="171"/>
      <c r="DQ13" s="282"/>
      <c r="DR13" s="8"/>
      <c r="DS13" s="281"/>
      <c r="DT13" s="280"/>
      <c r="DU13" s="171"/>
      <c r="DV13" s="176"/>
      <c r="DW13" s="245"/>
      <c r="DX13" s="176"/>
      <c r="DY13" s="8"/>
      <c r="DZ13" s="8"/>
      <c r="EA13" s="283"/>
      <c r="EB13" s="284"/>
      <c r="EC13" s="171"/>
      <c r="ED13" s="171"/>
      <c r="EE13" s="245"/>
      <c r="EF13" s="176"/>
      <c r="EG13" s="8"/>
      <c r="EH13" s="8"/>
      <c r="EI13" s="285"/>
      <c r="EJ13" s="284"/>
      <c r="EK13" s="171"/>
      <c r="EL13" s="171"/>
      <c r="EM13" s="245"/>
      <c r="EN13" s="176"/>
      <c r="EO13" s="8"/>
      <c r="EP13" s="8"/>
      <c r="EQ13" s="285"/>
      <c r="ER13" s="284"/>
      <c r="ES13" s="171"/>
      <c r="ET13" s="171"/>
      <c r="EU13" s="245"/>
      <c r="EV13" s="176"/>
      <c r="EW13" s="8"/>
      <c r="EX13" s="8"/>
      <c r="EY13" s="285"/>
      <c r="EZ13" s="284"/>
      <c r="FA13" s="171"/>
      <c r="FB13" s="171"/>
      <c r="FC13" s="245"/>
      <c r="FD13" s="176"/>
      <c r="FE13" s="8"/>
      <c r="FF13" s="8"/>
      <c r="FG13" s="285"/>
      <c r="FH13" s="280"/>
      <c r="FI13" s="171"/>
      <c r="FJ13" s="171"/>
      <c r="FK13" s="286"/>
      <c r="FL13" s="287"/>
      <c r="FM13" s="8"/>
      <c r="FN13" s="8"/>
      <c r="FO13" s="7"/>
      <c r="FP13" s="280"/>
      <c r="FQ13" s="171"/>
      <c r="FR13" s="171"/>
      <c r="FS13" s="171"/>
      <c r="FT13" s="171"/>
      <c r="FU13" s="171"/>
      <c r="FV13" s="171"/>
      <c r="FW13" s="8"/>
      <c r="FX13" s="8"/>
      <c r="FY13" s="85"/>
      <c r="FZ13" s="5"/>
      <c r="GA13" s="171"/>
      <c r="GB13" s="171"/>
      <c r="GC13" s="171"/>
      <c r="GD13" s="171"/>
      <c r="GE13" s="171"/>
      <c r="GF13" s="171"/>
      <c r="GG13" s="8"/>
      <c r="GH13" s="8"/>
      <c r="GI13" s="7"/>
      <c r="GJ13" s="280"/>
      <c r="GK13" s="288"/>
      <c r="GL13" s="288"/>
      <c r="GM13" s="288"/>
      <c r="GN13" s="288"/>
      <c r="GO13" s="288"/>
      <c r="GP13" s="288"/>
      <c r="GQ13" s="8"/>
      <c r="GR13" s="8"/>
      <c r="GS13" s="85"/>
      <c r="GT13" s="5"/>
      <c r="GU13" s="171"/>
      <c r="GV13" s="171"/>
      <c r="GW13" s="245"/>
      <c r="GX13" s="176"/>
      <c r="GY13" s="171"/>
      <c r="GZ13" s="171"/>
      <c r="HA13" s="8"/>
      <c r="HB13" s="8"/>
      <c r="HC13" s="7"/>
      <c r="HD13" s="171"/>
      <c r="HE13" s="171"/>
      <c r="HF13" s="171"/>
      <c r="HG13" s="171"/>
      <c r="HH13" s="171"/>
      <c r="HI13" s="8"/>
      <c r="HJ13" s="8"/>
      <c r="HK13" s="7"/>
      <c r="HL13" s="5"/>
      <c r="HM13" s="171">
        <f>DE13+DM13+DU13</f>
        <v>0</v>
      </c>
      <c r="HN13" s="171">
        <f t="shared" si="4"/>
        <v>0</v>
      </c>
      <c r="HO13" s="245">
        <f>DG13+DO13+DW13</f>
        <v>0</v>
      </c>
      <c r="HP13" s="176">
        <f t="shared" si="5"/>
        <v>0</v>
      </c>
      <c r="HQ13" s="8">
        <f t="shared" si="6"/>
        <v>0</v>
      </c>
      <c r="HR13" s="8">
        <f t="shared" si="7"/>
        <v>0</v>
      </c>
      <c r="HS13" s="7"/>
      <c r="HT13" s="298">
        <f t="shared" ref="HT13:HU16" si="205">(EB13+EJ13+ER13)</f>
        <v>0</v>
      </c>
      <c r="HU13" s="257">
        <f t="shared" si="205"/>
        <v>0</v>
      </c>
      <c r="HV13" s="171">
        <f t="shared" si="8"/>
        <v>0</v>
      </c>
      <c r="HW13" s="295">
        <f>(EE13+EM13+EU13)</f>
        <v>0</v>
      </c>
      <c r="HX13" s="268">
        <f t="shared" si="9"/>
        <v>0</v>
      </c>
      <c r="HY13" s="171">
        <f t="shared" si="10"/>
        <v>0</v>
      </c>
      <c r="HZ13" s="171">
        <f t="shared" si="11"/>
        <v>0</v>
      </c>
      <c r="IA13" s="7"/>
      <c r="IB13" s="247"/>
      <c r="IC13" s="257">
        <f>(FA13+FI13+FQ13)</f>
        <v>0</v>
      </c>
      <c r="ID13" s="171">
        <f t="shared" si="12"/>
        <v>0</v>
      </c>
      <c r="IE13" s="296">
        <f>(FC13+FK13+FS13)</f>
        <v>0</v>
      </c>
      <c r="IF13" s="287">
        <f>IE13*70</f>
        <v>0</v>
      </c>
      <c r="IG13" s="8">
        <f>IC13-IE13</f>
        <v>0</v>
      </c>
      <c r="IH13" s="8">
        <f>IG13*70</f>
        <v>0</v>
      </c>
      <c r="II13" s="7"/>
      <c r="IJ13" s="247"/>
      <c r="IK13" s="257"/>
      <c r="IL13" s="171"/>
      <c r="IM13" s="296"/>
      <c r="IN13" s="287"/>
      <c r="IO13" s="297"/>
      <c r="IP13" s="8"/>
      <c r="IQ13" s="7"/>
      <c r="IS13" s="247"/>
      <c r="IT13" s="257"/>
      <c r="IU13" s="171"/>
      <c r="IV13" s="258"/>
      <c r="IW13" s="249">
        <f t="shared" si="93"/>
        <v>0</v>
      </c>
      <c r="IX13" s="9"/>
      <c r="IY13" s="9"/>
      <c r="IZ13" s="267"/>
      <c r="JA13" s="9"/>
      <c r="JB13" s="261"/>
      <c r="JC13" s="11"/>
      <c r="JD13" s="171"/>
      <c r="JF13" s="248"/>
      <c r="JG13" s="249"/>
      <c r="JH13" s="9"/>
      <c r="JI13" s="9"/>
      <c r="JJ13" s="267"/>
      <c r="JL13" s="261"/>
      <c r="JN13" s="171"/>
      <c r="JO13" s="171">
        <f>JN13*75</f>
        <v>0</v>
      </c>
      <c r="JP13" s="245"/>
      <c r="JQ13" s="176">
        <f>JP13*75</f>
        <v>0</v>
      </c>
      <c r="JR13" s="1515"/>
      <c r="JS13" s="171"/>
      <c r="JT13" s="267"/>
      <c r="JU13" s="851">
        <f t="shared" si="103"/>
        <v>0</v>
      </c>
      <c r="JV13" s="261"/>
      <c r="JW13" s="13"/>
      <c r="JX13" s="171"/>
      <c r="JY13" s="171"/>
      <c r="JZ13" s="245"/>
      <c r="KA13" s="176"/>
      <c r="KB13" s="1515"/>
      <c r="KC13" s="171"/>
      <c r="KD13" s="267"/>
      <c r="KE13" s="171"/>
      <c r="KF13" s="261"/>
      <c r="KG13" s="11"/>
      <c r="KJ13" s="262"/>
      <c r="KK13" s="263"/>
      <c r="KL13" s="1515"/>
      <c r="KM13" s="171"/>
      <c r="KN13" s="267"/>
      <c r="KP13" s="261"/>
      <c r="KQ13" s="13"/>
      <c r="KR13" s="171"/>
      <c r="KT13" s="245"/>
      <c r="KU13" s="263"/>
      <c r="KV13" s="1515"/>
      <c r="KW13" s="171"/>
      <c r="KX13" s="267"/>
      <c r="KZ13" s="261"/>
      <c r="LA13" s="13"/>
      <c r="LB13" s="171"/>
      <c r="LC13" s="171">
        <f t="shared" si="116"/>
        <v>0</v>
      </c>
      <c r="LD13" s="245"/>
      <c r="LE13" s="176">
        <f t="shared" si="117"/>
        <v>0</v>
      </c>
      <c r="LF13" s="1515"/>
      <c r="LG13" s="171"/>
      <c r="LH13" s="267"/>
      <c r="LJ13" s="261"/>
      <c r="LK13" s="13"/>
      <c r="LN13" s="245"/>
      <c r="LO13" s="176">
        <f t="shared" si="121"/>
        <v>0</v>
      </c>
      <c r="LP13" s="1515"/>
      <c r="LQ13" s="171"/>
      <c r="LR13" s="267"/>
      <c r="LS13" s="849">
        <f t="shared" si="123"/>
        <v>0</v>
      </c>
      <c r="LT13" s="261"/>
      <c r="LU13" s="177"/>
      <c r="LV13" s="171"/>
      <c r="LX13" s="245"/>
      <c r="LY13" s="263"/>
      <c r="LZ13" s="1515"/>
      <c r="MA13" s="268"/>
      <c r="MB13" s="267"/>
      <c r="MD13" s="261"/>
      <c r="ME13" s="177"/>
      <c r="MF13" s="171"/>
      <c r="MG13" s="176">
        <f t="shared" si="128"/>
        <v>0</v>
      </c>
      <c r="MH13" s="171"/>
      <c r="MI13" s="176">
        <f t="shared" si="129"/>
        <v>0</v>
      </c>
      <c r="MJ13" s="1515"/>
      <c r="MK13" s="268"/>
      <c r="ML13" s="171"/>
      <c r="MM13" s="849">
        <f t="shared" si="131"/>
        <v>0</v>
      </c>
      <c r="MN13" s="10"/>
      <c r="MO13" s="13"/>
      <c r="MQ13" s="176">
        <f t="shared" si="132"/>
        <v>0</v>
      </c>
      <c r="MS13" s="171">
        <f t="shared" si="133"/>
        <v>0</v>
      </c>
      <c r="MT13" s="1515"/>
      <c r="MU13" s="268"/>
      <c r="MV13" s="171"/>
      <c r="MW13" s="171">
        <f t="shared" si="135"/>
        <v>0</v>
      </c>
      <c r="MX13" s="55"/>
      <c r="MY13" s="13"/>
      <c r="NA13" s="171"/>
      <c r="NB13" s="1526"/>
      <c r="NC13" s="268"/>
      <c r="ND13" s="171"/>
      <c r="NE13" s="171"/>
      <c r="NF13" s="267"/>
      <c r="NG13" s="9"/>
      <c r="NH13" s="10"/>
      <c r="NJ13" s="9">
        <f t="shared" si="194"/>
        <v>0</v>
      </c>
      <c r="NK13" s="9">
        <f t="shared" si="194"/>
        <v>0</v>
      </c>
      <c r="NL13" s="1518">
        <f t="shared" si="194"/>
        <v>0</v>
      </c>
      <c r="NM13" s="1519">
        <f t="shared" si="194"/>
        <v>0</v>
      </c>
      <c r="NN13" s="1518">
        <f t="shared" si="139"/>
        <v>0</v>
      </c>
      <c r="NO13" s="9">
        <f t="shared" si="139"/>
        <v>0</v>
      </c>
      <c r="NP13" s="10"/>
      <c r="NQ13" s="13"/>
      <c r="NT13" s="57"/>
      <c r="NU13" s="58"/>
      <c r="NV13" s="9"/>
      <c r="NW13" s="9"/>
      <c r="NX13" s="10"/>
      <c r="NY13" s="177"/>
      <c r="NZ13" s="171"/>
      <c r="OA13" s="171"/>
      <c r="OB13" s="245"/>
      <c r="OC13" s="176"/>
      <c r="OD13" s="171"/>
      <c r="OE13" s="171"/>
      <c r="OF13" s="10"/>
      <c r="OG13" s="13"/>
      <c r="OO13" s="59"/>
      <c r="OP13" s="9">
        <f t="shared" si="150"/>
        <v>0</v>
      </c>
      <c r="OQ13" s="9">
        <f t="shared" si="150"/>
        <v>0</v>
      </c>
      <c r="OR13" s="1518">
        <f t="shared" si="150"/>
        <v>0</v>
      </c>
      <c r="OS13" s="1519">
        <f t="shared" si="150"/>
        <v>0</v>
      </c>
      <c r="OT13" s="9">
        <f t="shared" si="151"/>
        <v>0</v>
      </c>
      <c r="OU13" s="9">
        <f t="shared" si="151"/>
        <v>0</v>
      </c>
      <c r="OV13" s="261"/>
      <c r="OX13" s="247"/>
      <c r="OY13" s="257"/>
      <c r="OZ13" s="171"/>
      <c r="PA13" s="258"/>
      <c r="PB13" s="249"/>
      <c r="PC13" s="9"/>
      <c r="PD13" s="9"/>
      <c r="PE13" s="267">
        <f t="shared" si="152"/>
        <v>0</v>
      </c>
      <c r="PF13" s="9"/>
      <c r="PG13" s="261"/>
      <c r="PH13" s="11"/>
      <c r="PI13" s="171"/>
      <c r="PK13" s="248"/>
      <c r="PL13" s="249"/>
      <c r="PM13" s="9"/>
      <c r="PN13" s="9"/>
      <c r="PO13" s="267">
        <f t="shared" si="153"/>
        <v>0</v>
      </c>
      <c r="PQ13" s="261"/>
      <c r="PS13" s="171"/>
      <c r="PU13" s="245"/>
      <c r="PV13" s="249"/>
      <c r="PW13" s="9"/>
      <c r="PX13" s="171"/>
      <c r="PY13" s="245">
        <f t="shared" si="154"/>
        <v>0</v>
      </c>
      <c r="QA13" s="261"/>
      <c r="QB13" s="13"/>
      <c r="QC13" s="171"/>
      <c r="QD13" s="171"/>
      <c r="QE13" s="245"/>
      <c r="QF13" s="176"/>
      <c r="QG13" s="171"/>
      <c r="QH13" s="171"/>
      <c r="QI13" s="267">
        <f t="shared" si="155"/>
        <v>0</v>
      </c>
      <c r="QJ13" s="171"/>
      <c r="QK13" s="261"/>
      <c r="QL13" s="11"/>
      <c r="QN13" s="171">
        <f t="shared" si="156"/>
        <v>0</v>
      </c>
      <c r="QO13" s="262"/>
      <c r="QP13" s="176">
        <f t="shared" si="204"/>
        <v>0</v>
      </c>
      <c r="QQ13" s="171"/>
      <c r="QR13" s="171"/>
      <c r="QS13" s="267">
        <f t="shared" si="157"/>
        <v>0</v>
      </c>
      <c r="QU13" s="261"/>
      <c r="QV13" s="13"/>
      <c r="QW13" s="171"/>
      <c r="QX13" s="171">
        <f t="shared" si="158"/>
        <v>0</v>
      </c>
      <c r="QY13" s="245"/>
      <c r="QZ13" s="176">
        <f t="shared" si="159"/>
        <v>0</v>
      </c>
      <c r="RA13" s="171"/>
      <c r="RB13" s="171"/>
      <c r="RC13" s="245">
        <f t="shared" si="160"/>
        <v>0</v>
      </c>
      <c r="RD13" s="849">
        <f t="shared" si="161"/>
        <v>0</v>
      </c>
      <c r="RE13" s="261"/>
      <c r="RF13" s="13"/>
      <c r="RG13" s="171"/>
      <c r="RI13" s="245"/>
      <c r="RJ13" s="263"/>
      <c r="RM13" s="245"/>
      <c r="RO13" s="261"/>
      <c r="RP13" s="13"/>
      <c r="RS13" s="245"/>
      <c r="RT13" s="263"/>
      <c r="RW13" s="262"/>
      <c r="RY13" s="261"/>
      <c r="RZ13" s="177"/>
      <c r="SA13" s="171"/>
      <c r="SC13" s="245"/>
      <c r="SD13" s="263"/>
      <c r="SG13" s="245">
        <f t="shared" si="168"/>
        <v>0</v>
      </c>
      <c r="SI13" s="261"/>
      <c r="SJ13" s="177"/>
      <c r="SK13" s="171"/>
      <c r="SL13" s="176"/>
      <c r="SM13" s="171"/>
      <c r="SN13" s="176"/>
      <c r="SO13" s="171"/>
      <c r="SP13" s="171"/>
      <c r="SQ13" s="245">
        <f t="shared" si="169"/>
        <v>0</v>
      </c>
      <c r="SR13" s="171"/>
      <c r="SS13" s="10"/>
      <c r="ST13" s="13"/>
      <c r="SV13" s="176"/>
      <c r="SX13" s="171">
        <f t="shared" si="170"/>
        <v>0</v>
      </c>
      <c r="SY13" s="1515"/>
      <c r="SZ13" s="176"/>
      <c r="TA13" s="245">
        <f t="shared" si="171"/>
        <v>0</v>
      </c>
      <c r="TB13" s="171"/>
      <c r="TC13" s="10"/>
      <c r="TD13" s="13"/>
      <c r="TF13" s="176"/>
      <c r="TH13" s="171">
        <f t="shared" si="172"/>
        <v>0</v>
      </c>
      <c r="TI13" s="1515"/>
      <c r="TJ13" s="176"/>
      <c r="TK13" s="245">
        <f t="shared" si="173"/>
        <v>0</v>
      </c>
      <c r="TL13" s="171"/>
      <c r="TM13" s="10"/>
      <c r="TN13" s="13"/>
      <c r="TO13" s="9">
        <f t="shared" si="33"/>
        <v>0</v>
      </c>
      <c r="TP13" s="9">
        <f t="shared" si="33"/>
        <v>0</v>
      </c>
      <c r="TQ13" s="57">
        <f t="shared" si="33"/>
        <v>0</v>
      </c>
      <c r="TR13" s="58">
        <f t="shared" si="33"/>
        <v>0</v>
      </c>
      <c r="TS13" s="57">
        <f t="shared" si="34"/>
        <v>0</v>
      </c>
      <c r="TT13" s="57">
        <f t="shared" si="34"/>
        <v>0</v>
      </c>
      <c r="TU13" s="10"/>
      <c r="TV13" s="13"/>
      <c r="TY13" s="57"/>
      <c r="TZ13" s="58"/>
      <c r="UA13" s="9"/>
      <c r="UB13" s="9"/>
      <c r="UC13" s="10"/>
      <c r="UD13" s="177"/>
      <c r="UE13" s="171"/>
      <c r="UF13" s="171">
        <f>QD13+QN13+QX13</f>
        <v>0</v>
      </c>
      <c r="UG13" s="245"/>
      <c r="UH13" s="176"/>
      <c r="UI13" s="171">
        <f t="shared" si="201"/>
        <v>0</v>
      </c>
      <c r="UJ13" s="171">
        <f t="shared" si="201"/>
        <v>0</v>
      </c>
      <c r="UK13" s="10"/>
      <c r="UL13" s="13"/>
      <c r="US13" s="261"/>
      <c r="UT13" s="59">
        <f>SJ13+ST13+TD13</f>
        <v>0</v>
      </c>
      <c r="UU13" s="9">
        <f t="shared" si="42"/>
        <v>0</v>
      </c>
      <c r="UV13" s="9">
        <f t="shared" si="42"/>
        <v>0</v>
      </c>
      <c r="UW13" s="9">
        <f t="shared" si="42"/>
        <v>0</v>
      </c>
      <c r="UX13" s="9">
        <f t="shared" si="42"/>
        <v>0</v>
      </c>
      <c r="UY13" s="9">
        <f t="shared" si="176"/>
        <v>0</v>
      </c>
      <c r="UZ13" s="9">
        <f t="shared" si="176"/>
        <v>0</v>
      </c>
      <c r="VA13" s="261"/>
      <c r="VC13" s="247"/>
      <c r="VD13" s="257"/>
      <c r="VE13" s="171"/>
      <c r="VF13" s="258"/>
      <c r="VG13" s="249">
        <f t="shared" si="186"/>
        <v>0</v>
      </c>
      <c r="VH13" s="9"/>
      <c r="VI13" s="9"/>
      <c r="VJ13" s="267">
        <f t="shared" si="202"/>
        <v>0</v>
      </c>
      <c r="VK13" s="9">
        <f t="shared" si="187"/>
        <v>0</v>
      </c>
      <c r="VL13" s="858" t="e">
        <f t="shared" si="188"/>
        <v>#DIV/0!</v>
      </c>
      <c r="VM13" s="11"/>
      <c r="VN13" s="171"/>
      <c r="VP13" s="248"/>
      <c r="VQ13" s="249"/>
      <c r="VR13" s="9"/>
      <c r="VS13" s="9"/>
      <c r="VT13" s="267">
        <f t="shared" si="46"/>
        <v>0</v>
      </c>
      <c r="VV13" s="261"/>
      <c r="VX13" s="171"/>
      <c r="VZ13" s="245"/>
      <c r="WA13" s="249"/>
      <c r="WB13" s="9"/>
      <c r="WC13" s="9"/>
      <c r="WD13" s="245">
        <f t="shared" si="50"/>
        <v>0</v>
      </c>
      <c r="WF13" s="261"/>
      <c r="WG13" s="13"/>
      <c r="WH13" s="171"/>
      <c r="WI13" s="171"/>
      <c r="WJ13" s="245"/>
      <c r="WK13" s="176"/>
      <c r="WL13" s="171"/>
      <c r="WM13" s="171"/>
      <c r="WN13" s="267">
        <f t="shared" si="55"/>
        <v>0</v>
      </c>
      <c r="WO13" s="171"/>
      <c r="WP13" s="261"/>
      <c r="WQ13" s="13"/>
      <c r="WR13" s="171"/>
      <c r="WS13" s="171"/>
      <c r="WT13" s="245"/>
      <c r="WU13" s="176"/>
      <c r="WV13" s="171"/>
      <c r="WW13" s="171"/>
      <c r="WX13" s="267">
        <f t="shared" si="59"/>
        <v>0</v>
      </c>
      <c r="WY13" s="171"/>
      <c r="WZ13" s="261"/>
      <c r="XA13" s="13"/>
      <c r="XB13" s="171"/>
      <c r="XC13" s="171">
        <f t="shared" si="61"/>
        <v>0</v>
      </c>
      <c r="XD13" s="245"/>
      <c r="XE13" s="176">
        <f t="shared" si="62"/>
        <v>0</v>
      </c>
      <c r="XF13" s="171"/>
      <c r="XG13" s="171"/>
      <c r="XH13" s="245">
        <f t="shared" si="63"/>
        <v>0</v>
      </c>
      <c r="XI13" s="849">
        <f t="shared" si="64"/>
        <v>0</v>
      </c>
      <c r="XJ13" s="261"/>
      <c r="XK13" s="13"/>
      <c r="XL13" s="171"/>
      <c r="XN13" s="245"/>
      <c r="XO13" s="263"/>
      <c r="XR13" s="245"/>
      <c r="XT13" s="261"/>
      <c r="XU13" s="13"/>
      <c r="XX13" s="245"/>
      <c r="XY13" s="263"/>
      <c r="YB13" s="262"/>
      <c r="YD13" s="261"/>
      <c r="YE13" s="177"/>
      <c r="YF13" s="171"/>
      <c r="YH13" s="245"/>
      <c r="YI13" s="263"/>
      <c r="YL13" s="245">
        <f t="shared" si="189"/>
        <v>0</v>
      </c>
      <c r="YM13" s="171">
        <f t="shared" si="190"/>
        <v>0</v>
      </c>
      <c r="YN13" s="10" t="e">
        <f t="shared" si="191"/>
        <v>#DIV/0!</v>
      </c>
      <c r="YO13" s="177"/>
      <c r="YP13" s="171"/>
      <c r="YQ13" s="176"/>
      <c r="YR13" s="171"/>
      <c r="YS13" s="176"/>
      <c r="YT13" s="171"/>
      <c r="YU13" s="171"/>
      <c r="YV13" s="245">
        <f t="shared" si="192"/>
        <v>0</v>
      </c>
      <c r="YW13" s="171">
        <f t="shared" si="193"/>
        <v>0</v>
      </c>
      <c r="YX13" s="10"/>
      <c r="YY13" s="13"/>
      <c r="ZA13" s="176"/>
      <c r="ZC13" s="171">
        <f t="shared" si="178"/>
        <v>0</v>
      </c>
      <c r="ZD13" s="1515"/>
      <c r="ZE13" s="176"/>
      <c r="ZF13" s="245">
        <f t="shared" si="179"/>
        <v>0</v>
      </c>
      <c r="ZG13" s="171"/>
      <c r="ZH13" s="10"/>
      <c r="ZI13" s="13"/>
      <c r="ZK13" s="176"/>
      <c r="ZM13" s="171">
        <f t="shared" si="180"/>
        <v>0</v>
      </c>
      <c r="ZN13" s="1515">
        <v>0</v>
      </c>
      <c r="ZO13" s="176">
        <v>0</v>
      </c>
      <c r="ZP13" s="245">
        <f t="shared" si="181"/>
        <v>0</v>
      </c>
      <c r="ZQ13" s="171"/>
      <c r="ZR13" s="10"/>
      <c r="ZS13" s="13"/>
      <c r="ZT13" s="9">
        <f t="shared" si="82"/>
        <v>0</v>
      </c>
      <c r="ZU13" s="9">
        <f t="shared" si="82"/>
        <v>0</v>
      </c>
      <c r="ZV13" s="57">
        <f t="shared" si="82"/>
        <v>0</v>
      </c>
      <c r="ZW13" s="58">
        <f t="shared" si="82"/>
        <v>0</v>
      </c>
      <c r="ZX13" s="57">
        <f t="shared" si="183"/>
        <v>0</v>
      </c>
      <c r="ZY13" s="57">
        <f t="shared" si="83"/>
        <v>0</v>
      </c>
      <c r="ZZ13" s="10"/>
      <c r="AAA13" s="13"/>
      <c r="AAD13" s="57"/>
      <c r="AAE13" s="58"/>
      <c r="AAF13" s="9"/>
      <c r="AAG13" s="9"/>
      <c r="AAH13" s="10"/>
      <c r="AAI13" s="177"/>
      <c r="AAJ13" s="171"/>
      <c r="AAK13" s="171">
        <f>WI13+WS13+XC13</f>
        <v>0</v>
      </c>
      <c r="AAL13" s="245"/>
      <c r="AAM13" s="176"/>
      <c r="AAN13" s="171">
        <f t="shared" si="87"/>
        <v>0</v>
      </c>
      <c r="AAO13" s="171">
        <f t="shared" si="87"/>
        <v>0</v>
      </c>
      <c r="AAP13" s="10"/>
      <c r="AAQ13" s="13"/>
      <c r="AAX13" s="261"/>
      <c r="AAY13" s="59">
        <f>YO13+YY13+ZI13</f>
        <v>0</v>
      </c>
      <c r="AAZ13" s="9">
        <f t="shared" si="90"/>
        <v>0</v>
      </c>
      <c r="ABA13" s="9">
        <f t="shared" si="90"/>
        <v>0</v>
      </c>
      <c r="ABB13" s="9">
        <f t="shared" si="90"/>
        <v>0</v>
      </c>
      <c r="ABC13" s="9">
        <f t="shared" si="90"/>
        <v>0</v>
      </c>
      <c r="ABD13" s="9">
        <f t="shared" si="184"/>
        <v>0</v>
      </c>
      <c r="ABE13" s="9">
        <f t="shared" si="184"/>
        <v>0</v>
      </c>
      <c r="ABF13" s="261"/>
    </row>
    <row r="14" spans="1:734" s="14" customFormat="1" hidden="1" x14ac:dyDescent="0.3">
      <c r="A14" s="5"/>
      <c r="B14" s="259" t="s">
        <v>205</v>
      </c>
      <c r="C14" s="69" t="s">
        <v>190</v>
      </c>
      <c r="D14" s="5"/>
      <c r="E14" s="171"/>
      <c r="F14" s="171"/>
      <c r="G14" s="245"/>
      <c r="H14" s="176"/>
      <c r="I14" s="171"/>
      <c r="J14" s="171"/>
      <c r="K14" s="7"/>
      <c r="L14" s="280"/>
      <c r="M14" s="171"/>
      <c r="N14" s="171"/>
      <c r="O14" s="245"/>
      <c r="P14" s="176"/>
      <c r="Q14" s="8"/>
      <c r="R14" s="8"/>
      <c r="S14" s="7"/>
      <c r="T14" s="5"/>
      <c r="U14" s="171"/>
      <c r="V14" s="171"/>
      <c r="W14" s="171"/>
      <c r="X14" s="171"/>
      <c r="Y14" s="8"/>
      <c r="Z14" s="8"/>
      <c r="AA14" s="7"/>
      <c r="AB14" s="280"/>
      <c r="AC14" s="171"/>
      <c r="AD14" s="171"/>
      <c r="AE14" s="171"/>
      <c r="AF14" s="171"/>
      <c r="AG14" s="8"/>
      <c r="AH14" s="8"/>
      <c r="AI14" s="85"/>
      <c r="AJ14" s="5"/>
      <c r="AK14" s="171"/>
      <c r="AL14" s="171"/>
      <c r="AM14" s="171"/>
      <c r="AN14" s="171"/>
      <c r="AO14" s="8"/>
      <c r="AP14" s="8"/>
      <c r="AQ14" s="7"/>
      <c r="AR14" s="280"/>
      <c r="AS14" s="171"/>
      <c r="AT14" s="171"/>
      <c r="AU14" s="171"/>
      <c r="AV14" s="171"/>
      <c r="AW14" s="8"/>
      <c r="AX14" s="8"/>
      <c r="AY14" s="85"/>
      <c r="AZ14" s="5"/>
      <c r="BA14" s="171"/>
      <c r="BB14" s="171"/>
      <c r="BC14" s="171"/>
      <c r="BD14" s="171"/>
      <c r="BE14" s="8"/>
      <c r="BF14" s="8"/>
      <c r="BG14" s="7"/>
      <c r="BH14" s="280"/>
      <c r="BI14" s="171"/>
      <c r="BJ14" s="171"/>
      <c r="BK14" s="171"/>
      <c r="BL14" s="171"/>
      <c r="BM14" s="8"/>
      <c r="BN14" s="8"/>
      <c r="BO14" s="85"/>
      <c r="BP14" s="5"/>
      <c r="BQ14" s="171"/>
      <c r="BR14" s="171"/>
      <c r="BS14" s="171"/>
      <c r="BT14" s="171"/>
      <c r="BU14" s="8"/>
      <c r="BV14" s="8"/>
      <c r="BW14" s="7"/>
      <c r="BX14" s="280"/>
      <c r="BY14" s="171"/>
      <c r="BZ14" s="171"/>
      <c r="CA14" s="171"/>
      <c r="CB14" s="171"/>
      <c r="CC14" s="8"/>
      <c r="CD14" s="8"/>
      <c r="CE14" s="85"/>
      <c r="CF14" s="5"/>
      <c r="CG14" s="171"/>
      <c r="CH14" s="171"/>
      <c r="CI14" s="171"/>
      <c r="CJ14" s="171"/>
      <c r="CK14" s="8"/>
      <c r="CL14" s="8"/>
      <c r="CM14" s="7"/>
      <c r="CN14" s="280"/>
      <c r="CO14" s="171"/>
      <c r="CP14" s="171"/>
      <c r="CQ14" s="245"/>
      <c r="CR14" s="176"/>
      <c r="CS14" s="8"/>
      <c r="CT14" s="8"/>
      <c r="CU14" s="85"/>
      <c r="CV14" s="5"/>
      <c r="CW14" s="257"/>
      <c r="CX14" s="171"/>
      <c r="CY14" s="257"/>
      <c r="CZ14" s="171"/>
      <c r="DA14" s="8"/>
      <c r="DB14" s="8"/>
      <c r="DC14" s="7"/>
      <c r="DD14" s="298"/>
      <c r="DE14" s="171"/>
      <c r="DF14" s="176"/>
      <c r="DG14" s="245"/>
      <c r="DH14" s="176"/>
      <c r="DI14" s="8"/>
      <c r="DJ14" s="8"/>
      <c r="DK14" s="281"/>
      <c r="DL14" s="5"/>
      <c r="DM14" s="171"/>
      <c r="DN14" s="176"/>
      <c r="DO14" s="171"/>
      <c r="DP14" s="171"/>
      <c r="DQ14" s="282"/>
      <c r="DR14" s="8"/>
      <c r="DS14" s="281"/>
      <c r="DT14" s="280"/>
      <c r="DU14" s="171"/>
      <c r="DV14" s="176"/>
      <c r="DW14" s="245"/>
      <c r="DX14" s="176"/>
      <c r="DY14" s="8"/>
      <c r="DZ14" s="8"/>
      <c r="EA14" s="283"/>
      <c r="EB14" s="284"/>
      <c r="EC14" s="171">
        <v>3000</v>
      </c>
      <c r="ED14" s="171">
        <f>EC14*70</f>
        <v>210000</v>
      </c>
      <c r="EE14" s="245"/>
      <c r="EF14" s="176"/>
      <c r="EG14" s="8">
        <f>EC14-EE14</f>
        <v>3000</v>
      </c>
      <c r="EH14" s="8">
        <f>EG14*70</f>
        <v>210000</v>
      </c>
      <c r="EI14" s="285"/>
      <c r="EJ14" s="284"/>
      <c r="EK14" s="171">
        <v>3200</v>
      </c>
      <c r="EL14" s="171">
        <f>EK14*70</f>
        <v>224000</v>
      </c>
      <c r="EM14" s="245"/>
      <c r="EN14" s="176">
        <f>EM14*70</f>
        <v>0</v>
      </c>
      <c r="EO14" s="8">
        <f>EK14-EM14</f>
        <v>3200</v>
      </c>
      <c r="EP14" s="8">
        <f>EO14*70</f>
        <v>224000</v>
      </c>
      <c r="EQ14" s="285">
        <v>0</v>
      </c>
      <c r="ER14" s="284"/>
      <c r="ES14" s="171"/>
      <c r="ET14" s="171"/>
      <c r="EU14" s="245"/>
      <c r="EV14" s="176"/>
      <c r="EW14" s="8"/>
      <c r="EX14" s="8"/>
      <c r="EY14" s="285"/>
      <c r="EZ14" s="284"/>
      <c r="FA14" s="171"/>
      <c r="FB14" s="171"/>
      <c r="FC14" s="245"/>
      <c r="FD14" s="176"/>
      <c r="FE14" s="8"/>
      <c r="FF14" s="8"/>
      <c r="FG14" s="285"/>
      <c r="FH14" s="280"/>
      <c r="FI14" s="171"/>
      <c r="FJ14" s="171"/>
      <c r="FK14" s="286"/>
      <c r="FL14" s="287"/>
      <c r="FM14" s="8"/>
      <c r="FN14" s="8"/>
      <c r="FO14" s="7"/>
      <c r="FP14" s="280"/>
      <c r="FQ14" s="171"/>
      <c r="FR14" s="171"/>
      <c r="FS14" s="171"/>
      <c r="FT14" s="171"/>
      <c r="FU14" s="171"/>
      <c r="FV14" s="171"/>
      <c r="FW14" s="8"/>
      <c r="FX14" s="8"/>
      <c r="FY14" s="85"/>
      <c r="FZ14" s="5"/>
      <c r="GA14" s="171"/>
      <c r="GB14" s="171"/>
      <c r="GC14" s="171"/>
      <c r="GD14" s="171"/>
      <c r="GE14" s="171"/>
      <c r="GF14" s="171"/>
      <c r="GG14" s="8"/>
      <c r="GH14" s="8"/>
      <c r="GI14" s="7"/>
      <c r="GJ14" s="280"/>
      <c r="GK14" s="288"/>
      <c r="GL14" s="288"/>
      <c r="GM14" s="288"/>
      <c r="GN14" s="288"/>
      <c r="GO14" s="288"/>
      <c r="GP14" s="288"/>
      <c r="GQ14" s="8"/>
      <c r="GR14" s="8"/>
      <c r="GS14" s="85"/>
      <c r="GT14" s="5"/>
      <c r="GU14" s="171"/>
      <c r="GV14" s="171"/>
      <c r="GW14" s="245"/>
      <c r="GX14" s="176"/>
      <c r="GY14" s="171"/>
      <c r="GZ14" s="171"/>
      <c r="HA14" s="8"/>
      <c r="HB14" s="8"/>
      <c r="HC14" s="7"/>
      <c r="HD14" s="171"/>
      <c r="HE14" s="171">
        <f>GU14+GK14+GA14+FQ14+FI14+FA14+ES14+EK14+EC14+DU14+DM14+DE14</f>
        <v>6200</v>
      </c>
      <c r="HF14" s="171">
        <f t="shared" si="203"/>
        <v>434000</v>
      </c>
      <c r="HG14" s="171"/>
      <c r="HH14" s="171"/>
      <c r="HI14" s="8">
        <f t="shared" si="3"/>
        <v>6200</v>
      </c>
      <c r="HJ14" s="8">
        <f>HI14*70</f>
        <v>434000</v>
      </c>
      <c r="HK14" s="7"/>
      <c r="HL14" s="5"/>
      <c r="HM14" s="171"/>
      <c r="HN14" s="171"/>
      <c r="HO14" s="245"/>
      <c r="HP14" s="176"/>
      <c r="HQ14" s="8"/>
      <c r="HR14" s="8"/>
      <c r="HS14" s="7"/>
      <c r="HT14" s="298">
        <f t="shared" si="205"/>
        <v>0</v>
      </c>
      <c r="HU14" s="257">
        <f t="shared" si="205"/>
        <v>6200</v>
      </c>
      <c r="HV14" s="171">
        <f t="shared" si="8"/>
        <v>434000</v>
      </c>
      <c r="HW14" s="295">
        <f>(EE14+EM14+EU14)</f>
        <v>0</v>
      </c>
      <c r="HX14" s="268">
        <f t="shared" si="9"/>
        <v>0</v>
      </c>
      <c r="HY14" s="171">
        <f t="shared" si="10"/>
        <v>6200</v>
      </c>
      <c r="HZ14" s="171">
        <f t="shared" si="11"/>
        <v>434000</v>
      </c>
      <c r="IA14" s="7"/>
      <c r="IB14" s="247"/>
      <c r="IC14" s="257">
        <f>(FA14+FI14+FQ14)</f>
        <v>0</v>
      </c>
      <c r="ID14" s="171">
        <f t="shared" si="12"/>
        <v>0</v>
      </c>
      <c r="IE14" s="296">
        <f>(FC14+FK14+FS14)</f>
        <v>0</v>
      </c>
      <c r="IF14" s="287">
        <f>IE14*70</f>
        <v>0</v>
      </c>
      <c r="IG14" s="8">
        <f>IC14-IE14</f>
        <v>0</v>
      </c>
      <c r="IH14" s="8">
        <f>IG14*70</f>
        <v>0</v>
      </c>
      <c r="II14" s="7"/>
      <c r="IJ14" s="247"/>
      <c r="IK14" s="257"/>
      <c r="IL14" s="171"/>
      <c r="IM14" s="296"/>
      <c r="IN14" s="287"/>
      <c r="IO14" s="297"/>
      <c r="IP14" s="8"/>
      <c r="IQ14" s="7"/>
      <c r="IS14" s="247"/>
      <c r="IT14" s="257"/>
      <c r="IU14" s="171"/>
      <c r="IV14" s="258"/>
      <c r="IW14" s="249">
        <f t="shared" si="93"/>
        <v>0</v>
      </c>
      <c r="IX14" s="9"/>
      <c r="IY14" s="9"/>
      <c r="IZ14" s="267"/>
      <c r="JA14" s="9"/>
      <c r="JB14" s="261"/>
      <c r="JC14" s="11"/>
      <c r="JF14" s="248"/>
      <c r="JG14" s="249"/>
      <c r="JH14" s="9"/>
      <c r="JI14" s="9"/>
      <c r="JJ14" s="267"/>
      <c r="JL14" s="261"/>
      <c r="JN14" s="171"/>
      <c r="JO14" s="171"/>
      <c r="JP14" s="245"/>
      <c r="JQ14" s="176"/>
      <c r="JR14" s="1515"/>
      <c r="JS14" s="171"/>
      <c r="JT14" s="267"/>
      <c r="JU14" s="851">
        <f t="shared" si="103"/>
        <v>0</v>
      </c>
      <c r="JV14" s="261"/>
      <c r="JW14" s="13"/>
      <c r="JX14" s="171"/>
      <c r="JY14" s="171"/>
      <c r="JZ14" s="245"/>
      <c r="KA14" s="176"/>
      <c r="KB14" s="1515"/>
      <c r="KC14" s="171"/>
      <c r="KD14" s="267"/>
      <c r="KE14" s="171"/>
      <c r="KF14" s="261"/>
      <c r="KG14" s="11"/>
      <c r="KJ14" s="262"/>
      <c r="KK14" s="263"/>
      <c r="KL14" s="1515"/>
      <c r="KM14" s="171"/>
      <c r="KN14" s="267"/>
      <c r="KP14" s="261"/>
      <c r="KQ14" s="13"/>
      <c r="KR14" s="171"/>
      <c r="KT14" s="245"/>
      <c r="KU14" s="263"/>
      <c r="KV14" s="1515"/>
      <c r="KW14" s="171"/>
      <c r="KX14" s="267"/>
      <c r="KZ14" s="261"/>
      <c r="LA14" s="13"/>
      <c r="LB14" s="171"/>
      <c r="LC14" s="171">
        <f t="shared" si="116"/>
        <v>0</v>
      </c>
      <c r="LD14" s="245"/>
      <c r="LE14" s="176">
        <f t="shared" si="117"/>
        <v>0</v>
      </c>
      <c r="LF14" s="1515"/>
      <c r="LG14" s="171"/>
      <c r="LH14" s="267"/>
      <c r="LJ14" s="261"/>
      <c r="LK14" s="13"/>
      <c r="LN14" s="245"/>
      <c r="LO14" s="176">
        <f t="shared" si="121"/>
        <v>0</v>
      </c>
      <c r="LP14" s="1515"/>
      <c r="LQ14" s="171"/>
      <c r="LR14" s="267"/>
      <c r="LS14" s="849">
        <f t="shared" si="123"/>
        <v>0</v>
      </c>
      <c r="LT14" s="261"/>
      <c r="LU14" s="177"/>
      <c r="LV14" s="171"/>
      <c r="LX14" s="245"/>
      <c r="LY14" s="263"/>
      <c r="LZ14" s="1515"/>
      <c r="MA14" s="268"/>
      <c r="MB14" s="267"/>
      <c r="MD14" s="261"/>
      <c r="ME14" s="177"/>
      <c r="MF14" s="171"/>
      <c r="MG14" s="176">
        <f t="shared" si="128"/>
        <v>0</v>
      </c>
      <c r="MH14" s="171"/>
      <c r="MI14" s="176">
        <f t="shared" si="129"/>
        <v>0</v>
      </c>
      <c r="MJ14" s="1515"/>
      <c r="MK14" s="268"/>
      <c r="ML14" s="171"/>
      <c r="MM14" s="849">
        <f t="shared" si="131"/>
        <v>0</v>
      </c>
      <c r="MN14" s="10"/>
      <c r="MO14" s="13"/>
      <c r="MQ14" s="176">
        <f t="shared" si="132"/>
        <v>0</v>
      </c>
      <c r="MS14" s="171">
        <f t="shared" si="133"/>
        <v>0</v>
      </c>
      <c r="MT14" s="1515"/>
      <c r="MU14" s="268"/>
      <c r="MV14" s="171"/>
      <c r="MW14" s="171">
        <f t="shared" si="135"/>
        <v>0</v>
      </c>
      <c r="MX14" s="55"/>
      <c r="MY14" s="13"/>
      <c r="NA14" s="171"/>
      <c r="NB14" s="1526"/>
      <c r="NC14" s="268"/>
      <c r="ND14" s="171"/>
      <c r="NE14" s="171"/>
      <c r="NF14" s="267"/>
      <c r="NG14" s="9"/>
      <c r="NH14" s="10"/>
      <c r="NJ14" s="9">
        <f t="shared" si="194"/>
        <v>0</v>
      </c>
      <c r="NK14" s="9">
        <f t="shared" si="194"/>
        <v>0</v>
      </c>
      <c r="NL14" s="1518">
        <f t="shared" si="194"/>
        <v>0</v>
      </c>
      <c r="NM14" s="1519">
        <f t="shared" si="194"/>
        <v>0</v>
      </c>
      <c r="NN14" s="1518">
        <f t="shared" si="139"/>
        <v>0</v>
      </c>
      <c r="NO14" s="9">
        <f t="shared" si="139"/>
        <v>0</v>
      </c>
      <c r="NP14" s="10"/>
      <c r="NQ14" s="13"/>
      <c r="NT14" s="262"/>
      <c r="NU14" s="263"/>
      <c r="NX14" s="10"/>
      <c r="NY14" s="177"/>
      <c r="NZ14" s="171"/>
      <c r="OA14" s="171"/>
      <c r="OB14" s="245"/>
      <c r="OC14" s="176"/>
      <c r="OD14" s="171"/>
      <c r="OE14" s="171"/>
      <c r="OF14" s="10"/>
      <c r="OG14" s="13"/>
      <c r="OO14" s="59"/>
      <c r="OP14" s="9">
        <f t="shared" si="150"/>
        <v>0</v>
      </c>
      <c r="OQ14" s="9">
        <f t="shared" si="150"/>
        <v>0</v>
      </c>
      <c r="OR14" s="1518">
        <f t="shared" si="150"/>
        <v>0</v>
      </c>
      <c r="OS14" s="1519">
        <f t="shared" si="150"/>
        <v>0</v>
      </c>
      <c r="OT14" s="9">
        <f t="shared" si="151"/>
        <v>0</v>
      </c>
      <c r="OU14" s="9">
        <f t="shared" si="151"/>
        <v>0</v>
      </c>
      <c r="OV14" s="261"/>
      <c r="OX14" s="247"/>
      <c r="OY14" s="257"/>
      <c r="OZ14" s="171"/>
      <c r="PA14" s="258"/>
      <c r="PB14" s="249"/>
      <c r="PC14" s="9"/>
      <c r="PD14" s="9"/>
      <c r="PE14" s="267">
        <f t="shared" si="152"/>
        <v>0</v>
      </c>
      <c r="PF14" s="9"/>
      <c r="PG14" s="261"/>
      <c r="PH14" s="11"/>
      <c r="PK14" s="248"/>
      <c r="PL14" s="249"/>
      <c r="PM14" s="9"/>
      <c r="PN14" s="9"/>
      <c r="PO14" s="267">
        <f t="shared" si="153"/>
        <v>0</v>
      </c>
      <c r="PQ14" s="261"/>
      <c r="PS14" s="171"/>
      <c r="PU14" s="245"/>
      <c r="PV14" s="249"/>
      <c r="PW14" s="9"/>
      <c r="PX14" s="171"/>
      <c r="PY14" s="245">
        <f t="shared" si="154"/>
        <v>0</v>
      </c>
      <c r="QA14" s="261"/>
      <c r="QB14" s="13"/>
      <c r="QC14" s="171"/>
      <c r="QD14" s="171"/>
      <c r="QE14" s="245"/>
      <c r="QF14" s="176"/>
      <c r="QG14" s="171"/>
      <c r="QH14" s="171"/>
      <c r="QI14" s="267">
        <f t="shared" si="155"/>
        <v>0</v>
      </c>
      <c r="QJ14" s="171"/>
      <c r="QK14" s="261"/>
      <c r="QL14" s="11"/>
      <c r="QN14" s="171">
        <f t="shared" si="156"/>
        <v>0</v>
      </c>
      <c r="QO14" s="262"/>
      <c r="QP14" s="176">
        <f t="shared" si="204"/>
        <v>0</v>
      </c>
      <c r="QQ14" s="171"/>
      <c r="QR14" s="171"/>
      <c r="QS14" s="267">
        <f t="shared" si="157"/>
        <v>0</v>
      </c>
      <c r="QU14" s="261"/>
      <c r="QV14" s="13"/>
      <c r="QW14" s="171"/>
      <c r="QX14" s="171">
        <f t="shared" si="158"/>
        <v>0</v>
      </c>
      <c r="QY14" s="245"/>
      <c r="QZ14" s="176">
        <f t="shared" si="159"/>
        <v>0</v>
      </c>
      <c r="RA14" s="171"/>
      <c r="RB14" s="171"/>
      <c r="RC14" s="245">
        <f t="shared" si="160"/>
        <v>0</v>
      </c>
      <c r="RD14" s="849">
        <f t="shared" si="161"/>
        <v>0</v>
      </c>
      <c r="RE14" s="261"/>
      <c r="RF14" s="13"/>
      <c r="RG14" s="171"/>
      <c r="RI14" s="245"/>
      <c r="RJ14" s="263"/>
      <c r="RM14" s="245"/>
      <c r="RO14" s="261"/>
      <c r="RP14" s="13"/>
      <c r="RS14" s="245"/>
      <c r="RT14" s="263"/>
      <c r="RW14" s="262"/>
      <c r="RY14" s="261"/>
      <c r="RZ14" s="177"/>
      <c r="SA14" s="171"/>
      <c r="SC14" s="245"/>
      <c r="SD14" s="263"/>
      <c r="SG14" s="245">
        <f t="shared" si="168"/>
        <v>0</v>
      </c>
      <c r="SI14" s="261"/>
      <c r="SJ14" s="177"/>
      <c r="SK14" s="171"/>
      <c r="SL14" s="176"/>
      <c r="SM14" s="171"/>
      <c r="SN14" s="176"/>
      <c r="SO14" s="171"/>
      <c r="SP14" s="171"/>
      <c r="SQ14" s="245">
        <f t="shared" si="169"/>
        <v>0</v>
      </c>
      <c r="SR14" s="171"/>
      <c r="SS14" s="10"/>
      <c r="ST14" s="13"/>
      <c r="SV14" s="176"/>
      <c r="SX14" s="171">
        <f t="shared" si="170"/>
        <v>0</v>
      </c>
      <c r="SY14" s="1515"/>
      <c r="SZ14" s="176"/>
      <c r="TA14" s="245">
        <f t="shared" si="171"/>
        <v>0</v>
      </c>
      <c r="TB14" s="171"/>
      <c r="TC14" s="10"/>
      <c r="TD14" s="13"/>
      <c r="TF14" s="176"/>
      <c r="TH14" s="171">
        <f t="shared" si="172"/>
        <v>0</v>
      </c>
      <c r="TI14" s="1515"/>
      <c r="TJ14" s="176"/>
      <c r="TK14" s="245">
        <f t="shared" si="173"/>
        <v>0</v>
      </c>
      <c r="TL14" s="171"/>
      <c r="TM14" s="10"/>
      <c r="TN14" s="13"/>
      <c r="TO14" s="9">
        <f t="shared" si="33"/>
        <v>0</v>
      </c>
      <c r="TP14" s="9">
        <f t="shared" si="33"/>
        <v>0</v>
      </c>
      <c r="TQ14" s="57">
        <f t="shared" si="33"/>
        <v>0</v>
      </c>
      <c r="TR14" s="58">
        <f t="shared" si="33"/>
        <v>0</v>
      </c>
      <c r="TS14" s="57">
        <f t="shared" si="34"/>
        <v>0</v>
      </c>
      <c r="TT14" s="57">
        <f t="shared" si="34"/>
        <v>0</v>
      </c>
      <c r="TU14" s="10"/>
      <c r="TV14" s="13"/>
      <c r="TY14" s="262"/>
      <c r="TZ14" s="263"/>
      <c r="UC14" s="10"/>
      <c r="UD14" s="177"/>
      <c r="UE14" s="171"/>
      <c r="UF14" s="171">
        <f>QD14+QN14+QX14</f>
        <v>0</v>
      </c>
      <c r="UG14" s="245"/>
      <c r="UH14" s="176"/>
      <c r="UI14" s="171">
        <f t="shared" si="201"/>
        <v>0</v>
      </c>
      <c r="UJ14" s="171">
        <f t="shared" si="201"/>
        <v>0</v>
      </c>
      <c r="UK14" s="10"/>
      <c r="UL14" s="13"/>
      <c r="US14" s="261"/>
      <c r="UT14" s="59">
        <f>SJ14+ST14+TD14</f>
        <v>0</v>
      </c>
      <c r="UU14" s="9">
        <f t="shared" si="42"/>
        <v>0</v>
      </c>
      <c r="UV14" s="9">
        <f t="shared" si="42"/>
        <v>0</v>
      </c>
      <c r="UW14" s="9">
        <f t="shared" si="42"/>
        <v>0</v>
      </c>
      <c r="UX14" s="9">
        <f t="shared" si="42"/>
        <v>0</v>
      </c>
      <c r="UY14" s="9">
        <f t="shared" si="176"/>
        <v>0</v>
      </c>
      <c r="UZ14" s="9">
        <f t="shared" si="176"/>
        <v>0</v>
      </c>
      <c r="VA14" s="261"/>
      <c r="VC14" s="247"/>
      <c r="VD14" s="257"/>
      <c r="VE14" s="171"/>
      <c r="VF14" s="258"/>
      <c r="VG14" s="249">
        <f t="shared" si="186"/>
        <v>0</v>
      </c>
      <c r="VH14" s="9"/>
      <c r="VI14" s="9"/>
      <c r="VJ14" s="267">
        <f t="shared" si="202"/>
        <v>0</v>
      </c>
      <c r="VK14" s="9">
        <f t="shared" si="187"/>
        <v>0</v>
      </c>
      <c r="VL14" s="858" t="e">
        <f t="shared" si="188"/>
        <v>#DIV/0!</v>
      </c>
      <c r="VM14" s="11"/>
      <c r="VP14" s="248"/>
      <c r="VQ14" s="249"/>
      <c r="VR14" s="9"/>
      <c r="VS14" s="9"/>
      <c r="VT14" s="267">
        <f t="shared" si="46"/>
        <v>0</v>
      </c>
      <c r="VV14" s="261"/>
      <c r="VX14" s="171"/>
      <c r="VZ14" s="245"/>
      <c r="WA14" s="249"/>
      <c r="WB14" s="9"/>
      <c r="WC14" s="9"/>
      <c r="WD14" s="245">
        <f t="shared" si="50"/>
        <v>0</v>
      </c>
      <c r="WF14" s="261"/>
      <c r="WG14" s="13"/>
      <c r="WH14" s="171"/>
      <c r="WI14" s="171"/>
      <c r="WJ14" s="245"/>
      <c r="WK14" s="176"/>
      <c r="WL14" s="171"/>
      <c r="WM14" s="171"/>
      <c r="WN14" s="267">
        <f t="shared" si="55"/>
        <v>0</v>
      </c>
      <c r="WO14" s="171"/>
      <c r="WP14" s="261"/>
      <c r="WQ14" s="13"/>
      <c r="WR14" s="171"/>
      <c r="WS14" s="171"/>
      <c r="WT14" s="245"/>
      <c r="WU14" s="176"/>
      <c r="WV14" s="171"/>
      <c r="WW14" s="171"/>
      <c r="WX14" s="267">
        <f t="shared" si="59"/>
        <v>0</v>
      </c>
      <c r="WY14" s="171"/>
      <c r="WZ14" s="261"/>
      <c r="XA14" s="13"/>
      <c r="XB14" s="171"/>
      <c r="XC14" s="171">
        <f t="shared" si="61"/>
        <v>0</v>
      </c>
      <c r="XD14" s="245"/>
      <c r="XE14" s="176">
        <f t="shared" si="62"/>
        <v>0</v>
      </c>
      <c r="XF14" s="171"/>
      <c r="XG14" s="171"/>
      <c r="XH14" s="245">
        <f t="shared" si="63"/>
        <v>0</v>
      </c>
      <c r="XI14" s="849">
        <f t="shared" si="64"/>
        <v>0</v>
      </c>
      <c r="XJ14" s="261"/>
      <c r="XK14" s="13"/>
      <c r="XL14" s="171"/>
      <c r="XN14" s="245"/>
      <c r="XO14" s="263"/>
      <c r="XR14" s="245"/>
      <c r="XT14" s="261"/>
      <c r="XU14" s="13"/>
      <c r="XX14" s="245"/>
      <c r="XY14" s="263"/>
      <c r="YB14" s="262"/>
      <c r="YD14" s="261"/>
      <c r="YE14" s="177"/>
      <c r="YF14" s="171"/>
      <c r="YH14" s="245"/>
      <c r="YI14" s="263"/>
      <c r="YL14" s="245">
        <f t="shared" si="189"/>
        <v>0</v>
      </c>
      <c r="YM14" s="171">
        <f t="shared" si="190"/>
        <v>0</v>
      </c>
      <c r="YN14" s="10" t="e">
        <f t="shared" si="191"/>
        <v>#DIV/0!</v>
      </c>
      <c r="YO14" s="177"/>
      <c r="YP14" s="171"/>
      <c r="YQ14" s="176"/>
      <c r="YR14" s="171"/>
      <c r="YS14" s="176"/>
      <c r="YT14" s="171"/>
      <c r="YU14" s="171"/>
      <c r="YV14" s="245">
        <f t="shared" si="192"/>
        <v>0</v>
      </c>
      <c r="YW14" s="171">
        <f t="shared" si="193"/>
        <v>0</v>
      </c>
      <c r="YX14" s="10"/>
      <c r="YY14" s="13"/>
      <c r="ZA14" s="176"/>
      <c r="ZC14" s="171">
        <f t="shared" si="178"/>
        <v>0</v>
      </c>
      <c r="ZD14" s="1515"/>
      <c r="ZE14" s="176"/>
      <c r="ZF14" s="245">
        <f t="shared" si="179"/>
        <v>0</v>
      </c>
      <c r="ZG14" s="171"/>
      <c r="ZH14" s="10"/>
      <c r="ZI14" s="13"/>
      <c r="ZK14" s="176"/>
      <c r="ZM14" s="171">
        <f t="shared" si="180"/>
        <v>0</v>
      </c>
      <c r="ZN14" s="1515">
        <v>0</v>
      </c>
      <c r="ZO14" s="176">
        <v>0</v>
      </c>
      <c r="ZP14" s="245">
        <f t="shared" si="181"/>
        <v>0</v>
      </c>
      <c r="ZQ14" s="171"/>
      <c r="ZR14" s="10"/>
      <c r="ZS14" s="13"/>
      <c r="ZT14" s="9">
        <f t="shared" si="82"/>
        <v>0</v>
      </c>
      <c r="ZU14" s="9">
        <f t="shared" si="82"/>
        <v>0</v>
      </c>
      <c r="ZV14" s="57">
        <f t="shared" si="82"/>
        <v>0</v>
      </c>
      <c r="ZW14" s="58">
        <f t="shared" si="82"/>
        <v>0</v>
      </c>
      <c r="ZX14" s="57">
        <f t="shared" si="183"/>
        <v>0</v>
      </c>
      <c r="ZY14" s="57">
        <f t="shared" si="83"/>
        <v>0</v>
      </c>
      <c r="ZZ14" s="10"/>
      <c r="AAA14" s="13"/>
      <c r="AAD14" s="262"/>
      <c r="AAE14" s="263"/>
      <c r="AAH14" s="10"/>
      <c r="AAI14" s="177"/>
      <c r="AAJ14" s="171"/>
      <c r="AAK14" s="171">
        <f>WI14+WS14+XC14</f>
        <v>0</v>
      </c>
      <c r="AAL14" s="245"/>
      <c r="AAM14" s="176"/>
      <c r="AAN14" s="171">
        <f t="shared" si="87"/>
        <v>0</v>
      </c>
      <c r="AAO14" s="171">
        <f t="shared" si="87"/>
        <v>0</v>
      </c>
      <c r="AAP14" s="10"/>
      <c r="AAQ14" s="13"/>
      <c r="AAX14" s="261"/>
      <c r="AAY14" s="59">
        <f>YO14+YY14+ZI14</f>
        <v>0</v>
      </c>
      <c r="AAZ14" s="9">
        <f t="shared" si="90"/>
        <v>0</v>
      </c>
      <c r="ABA14" s="9">
        <f t="shared" si="90"/>
        <v>0</v>
      </c>
      <c r="ABB14" s="9">
        <f t="shared" si="90"/>
        <v>0</v>
      </c>
      <c r="ABC14" s="9">
        <f t="shared" si="90"/>
        <v>0</v>
      </c>
      <c r="ABD14" s="9">
        <f t="shared" si="184"/>
        <v>0</v>
      </c>
      <c r="ABE14" s="9">
        <f t="shared" si="184"/>
        <v>0</v>
      </c>
      <c r="ABF14" s="261"/>
    </row>
    <row r="15" spans="1:734" s="14" customFormat="1" ht="15.6" x14ac:dyDescent="0.3">
      <c r="A15" s="5"/>
      <c r="B15" s="229" t="s">
        <v>13</v>
      </c>
      <c r="C15" s="69" t="s">
        <v>190</v>
      </c>
      <c r="D15" s="5"/>
      <c r="E15" s="171"/>
      <c r="F15" s="171"/>
      <c r="G15" s="245"/>
      <c r="H15" s="176"/>
      <c r="I15" s="171"/>
      <c r="J15" s="171"/>
      <c r="K15" s="7"/>
      <c r="L15" s="280"/>
      <c r="M15" s="171"/>
      <c r="N15" s="171"/>
      <c r="O15" s="245"/>
      <c r="P15" s="176"/>
      <c r="Q15" s="8"/>
      <c r="R15" s="8"/>
      <c r="S15" s="7"/>
      <c r="T15" s="5"/>
      <c r="U15" s="171"/>
      <c r="V15" s="171"/>
      <c r="W15" s="171"/>
      <c r="X15" s="171"/>
      <c r="Y15" s="8"/>
      <c r="Z15" s="8"/>
      <c r="AA15" s="7"/>
      <c r="AB15" s="280"/>
      <c r="AC15" s="171"/>
      <c r="AD15" s="171"/>
      <c r="AE15" s="171"/>
      <c r="AF15" s="171"/>
      <c r="AG15" s="8"/>
      <c r="AH15" s="8"/>
      <c r="AI15" s="85"/>
      <c r="AJ15" s="5"/>
      <c r="AK15" s="171"/>
      <c r="AL15" s="171"/>
      <c r="AM15" s="171"/>
      <c r="AN15" s="171"/>
      <c r="AO15" s="8"/>
      <c r="AP15" s="8"/>
      <c r="AQ15" s="7"/>
      <c r="AR15" s="280"/>
      <c r="AS15" s="171"/>
      <c r="AT15" s="171"/>
      <c r="AU15" s="171"/>
      <c r="AV15" s="171"/>
      <c r="AW15" s="8"/>
      <c r="AX15" s="8"/>
      <c r="AY15" s="85"/>
      <c r="AZ15" s="5"/>
      <c r="BA15" s="171"/>
      <c r="BB15" s="171"/>
      <c r="BC15" s="171"/>
      <c r="BD15" s="171"/>
      <c r="BE15" s="8"/>
      <c r="BF15" s="8"/>
      <c r="BG15" s="7"/>
      <c r="BH15" s="280"/>
      <c r="BI15" s="171"/>
      <c r="BJ15" s="171"/>
      <c r="BK15" s="171"/>
      <c r="BL15" s="171"/>
      <c r="BM15" s="8"/>
      <c r="BN15" s="8"/>
      <c r="BO15" s="85"/>
      <c r="BP15" s="5"/>
      <c r="BQ15" s="171"/>
      <c r="BR15" s="171"/>
      <c r="BS15" s="171"/>
      <c r="BT15" s="171"/>
      <c r="BU15" s="8"/>
      <c r="BV15" s="8"/>
      <c r="BW15" s="7"/>
      <c r="BX15" s="280"/>
      <c r="BY15" s="171"/>
      <c r="BZ15" s="171"/>
      <c r="CA15" s="171"/>
      <c r="CB15" s="171"/>
      <c r="CC15" s="8"/>
      <c r="CD15" s="8"/>
      <c r="CE15" s="85"/>
      <c r="CF15" s="5"/>
      <c r="CG15" s="171"/>
      <c r="CH15" s="171"/>
      <c r="CI15" s="171"/>
      <c r="CJ15" s="171"/>
      <c r="CK15" s="8"/>
      <c r="CL15" s="8"/>
      <c r="CM15" s="7"/>
      <c r="CN15" s="280"/>
      <c r="CO15" s="171"/>
      <c r="CP15" s="171"/>
      <c r="CQ15" s="245"/>
      <c r="CR15" s="176"/>
      <c r="CS15" s="8"/>
      <c r="CT15" s="8"/>
      <c r="CU15" s="85"/>
      <c r="CV15" s="5"/>
      <c r="CW15" s="257"/>
      <c r="CX15" s="171"/>
      <c r="CY15" s="257"/>
      <c r="CZ15" s="171"/>
      <c r="DA15" s="8"/>
      <c r="DB15" s="8"/>
      <c r="DC15" s="7"/>
      <c r="DD15" s="298">
        <v>0</v>
      </c>
      <c r="DE15" s="171">
        <v>0</v>
      </c>
      <c r="DF15" s="176">
        <f>DE15*70</f>
        <v>0</v>
      </c>
      <c r="DG15" s="245">
        <v>0</v>
      </c>
      <c r="DH15" s="176">
        <f>DG15*70</f>
        <v>0</v>
      </c>
      <c r="DI15" s="8">
        <f>DE15-DG15</f>
        <v>0</v>
      </c>
      <c r="DJ15" s="8">
        <f>DI15*70</f>
        <v>0</v>
      </c>
      <c r="DK15" s="281"/>
      <c r="DL15" s="5"/>
      <c r="DM15" s="171">
        <v>3000</v>
      </c>
      <c r="DN15" s="176">
        <f>DM15*70</f>
        <v>210000</v>
      </c>
      <c r="DO15" s="171">
        <v>0</v>
      </c>
      <c r="DP15" s="171">
        <f>DO15*70</f>
        <v>0</v>
      </c>
      <c r="DQ15" s="282">
        <f>DM15-DO15</f>
        <v>3000</v>
      </c>
      <c r="DR15" s="8">
        <f>DQ15*70</f>
        <v>210000</v>
      </c>
      <c r="DS15" s="281"/>
      <c r="DT15" s="280"/>
      <c r="DU15" s="171"/>
      <c r="DV15" s="176"/>
      <c r="DW15" s="245"/>
      <c r="DX15" s="176"/>
      <c r="DY15" s="8"/>
      <c r="DZ15" s="8"/>
      <c r="EA15" s="283"/>
      <c r="EB15" s="284"/>
      <c r="EC15" s="171"/>
      <c r="ED15" s="171"/>
      <c r="EE15" s="245"/>
      <c r="EF15" s="176"/>
      <c r="EG15" s="8"/>
      <c r="EH15" s="8"/>
      <c r="EI15" s="285"/>
      <c r="EJ15" s="284"/>
      <c r="EK15" s="171"/>
      <c r="EL15" s="171"/>
      <c r="EM15" s="245"/>
      <c r="EN15" s="176"/>
      <c r="EO15" s="8"/>
      <c r="EP15" s="8"/>
      <c r="EQ15" s="285"/>
      <c r="ER15" s="284"/>
      <c r="ES15" s="171"/>
      <c r="ET15" s="171"/>
      <c r="EU15" s="245"/>
      <c r="EV15" s="176"/>
      <c r="EW15" s="8"/>
      <c r="EX15" s="8"/>
      <c r="EY15" s="285"/>
      <c r="EZ15" s="284"/>
      <c r="FA15" s="171"/>
      <c r="FB15" s="171"/>
      <c r="FC15" s="245"/>
      <c r="FD15" s="176"/>
      <c r="FE15" s="8"/>
      <c r="FF15" s="8"/>
      <c r="FG15" s="285"/>
      <c r="FH15" s="280"/>
      <c r="FI15" s="171"/>
      <c r="FJ15" s="171"/>
      <c r="FK15" s="286"/>
      <c r="FL15" s="287"/>
      <c r="FM15" s="8"/>
      <c r="FN15" s="8"/>
      <c r="FO15" s="7"/>
      <c r="FP15" s="280"/>
      <c r="FQ15" s="171"/>
      <c r="FR15" s="171"/>
      <c r="FS15" s="171"/>
      <c r="FT15" s="171"/>
      <c r="FU15" s="171"/>
      <c r="FV15" s="171"/>
      <c r="FW15" s="8"/>
      <c r="FX15" s="8"/>
      <c r="FY15" s="85"/>
      <c r="FZ15" s="5"/>
      <c r="GA15" s="171"/>
      <c r="GB15" s="171"/>
      <c r="GC15" s="171"/>
      <c r="GD15" s="171"/>
      <c r="GE15" s="171"/>
      <c r="GF15" s="171"/>
      <c r="GG15" s="8"/>
      <c r="GH15" s="8"/>
      <c r="GI15" s="7"/>
      <c r="GJ15" s="280"/>
      <c r="GK15" s="288"/>
      <c r="GL15" s="288"/>
      <c r="GM15" s="288"/>
      <c r="GN15" s="288"/>
      <c r="GO15" s="288"/>
      <c r="GP15" s="288"/>
      <c r="GQ15" s="8"/>
      <c r="GR15" s="8"/>
      <c r="GS15" s="85"/>
      <c r="GT15" s="5"/>
      <c r="GU15" s="171"/>
      <c r="GV15" s="171"/>
      <c r="GW15" s="245"/>
      <c r="GX15" s="176"/>
      <c r="GY15" s="171"/>
      <c r="GZ15" s="171"/>
      <c r="HA15" s="8"/>
      <c r="HB15" s="8"/>
      <c r="HC15" s="7"/>
      <c r="HD15" s="171"/>
      <c r="HE15" s="171">
        <f>GU15+GK15+GA15+FQ15+FI15+FA15+ES15+EK15+EC15+DU15+DM15+DE15</f>
        <v>3000</v>
      </c>
      <c r="HF15" s="171">
        <f t="shared" si="203"/>
        <v>210000</v>
      </c>
      <c r="HG15" s="171"/>
      <c r="HH15" s="171"/>
      <c r="HI15" s="8">
        <f t="shared" si="3"/>
        <v>3000</v>
      </c>
      <c r="HJ15" s="8">
        <f>HI15*70</f>
        <v>210000</v>
      </c>
      <c r="HK15" s="7"/>
      <c r="HL15" s="5"/>
      <c r="HM15" s="171">
        <f>DE15+DM15+DU15</f>
        <v>3000</v>
      </c>
      <c r="HN15" s="171">
        <f t="shared" si="4"/>
        <v>210000</v>
      </c>
      <c r="HO15" s="245">
        <f>DG15+DO15+DW15</f>
        <v>0</v>
      </c>
      <c r="HP15" s="176"/>
      <c r="HQ15" s="8">
        <f t="shared" si="6"/>
        <v>3000</v>
      </c>
      <c r="HR15" s="8">
        <f t="shared" si="7"/>
        <v>210000</v>
      </c>
      <c r="HS15" s="7"/>
      <c r="HT15" s="298">
        <f t="shared" si="205"/>
        <v>0</v>
      </c>
      <c r="HU15" s="257">
        <f t="shared" si="205"/>
        <v>0</v>
      </c>
      <c r="HV15" s="171">
        <f t="shared" si="8"/>
        <v>0</v>
      </c>
      <c r="HW15" s="295">
        <f>(EE15+EM15+EU15)</f>
        <v>0</v>
      </c>
      <c r="HX15" s="268">
        <f t="shared" si="9"/>
        <v>0</v>
      </c>
      <c r="HY15" s="171">
        <f t="shared" si="10"/>
        <v>0</v>
      </c>
      <c r="HZ15" s="171">
        <f t="shared" si="11"/>
        <v>0</v>
      </c>
      <c r="IA15" s="7"/>
      <c r="IB15" s="5"/>
      <c r="IC15" s="257">
        <f>(FA15+FI15+FQ15)</f>
        <v>0</v>
      </c>
      <c r="ID15" s="171">
        <f t="shared" si="12"/>
        <v>0</v>
      </c>
      <c r="IE15" s="296">
        <f>(FC15+FK15+FS15)</f>
        <v>0</v>
      </c>
      <c r="IF15" s="287">
        <f>IE15*70</f>
        <v>0</v>
      </c>
      <c r="IG15" s="8">
        <f>IC15-IE15</f>
        <v>0</v>
      </c>
      <c r="IH15" s="8">
        <f>IG15*70</f>
        <v>0</v>
      </c>
      <c r="II15" s="7"/>
      <c r="IJ15" s="247"/>
      <c r="IK15" s="257"/>
      <c r="IL15" s="171"/>
      <c r="IM15" s="296"/>
      <c r="IN15" s="287"/>
      <c r="IO15" s="297"/>
      <c r="IP15" s="8"/>
      <c r="IQ15" s="7"/>
      <c r="IS15" s="247"/>
      <c r="IT15" s="257"/>
      <c r="IU15" s="171"/>
      <c r="IV15" s="258"/>
      <c r="IW15" s="249">
        <f t="shared" si="93"/>
        <v>0</v>
      </c>
      <c r="IX15" s="9"/>
      <c r="IY15" s="9"/>
      <c r="IZ15" s="267"/>
      <c r="JA15" s="9"/>
      <c r="JB15" s="261"/>
      <c r="JC15" s="11"/>
      <c r="JF15" s="248"/>
      <c r="JG15" s="249"/>
      <c r="JH15" s="9"/>
      <c r="JI15" s="9"/>
      <c r="JJ15" s="267"/>
      <c r="JL15" s="261"/>
      <c r="JP15" s="262"/>
      <c r="JQ15" s="263"/>
      <c r="JR15" s="1515"/>
      <c r="JT15" s="267"/>
      <c r="JU15" s="851">
        <f t="shared" si="103"/>
        <v>0</v>
      </c>
      <c r="JV15" s="261"/>
      <c r="JW15" s="13"/>
      <c r="JX15" s="171"/>
      <c r="JY15" s="171"/>
      <c r="JZ15" s="245"/>
      <c r="KA15" s="176"/>
      <c r="KB15" s="1515"/>
      <c r="KD15" s="267"/>
      <c r="KE15" s="171"/>
      <c r="KF15" s="261"/>
      <c r="KG15" s="11"/>
      <c r="KJ15" s="262"/>
      <c r="KK15" s="263"/>
      <c r="KL15" s="1515"/>
      <c r="KN15" s="267"/>
      <c r="KP15" s="261"/>
      <c r="KQ15" s="13"/>
      <c r="KR15" s="171"/>
      <c r="KT15" s="245"/>
      <c r="KU15" s="263"/>
      <c r="KV15" s="1515"/>
      <c r="KX15" s="267"/>
      <c r="KZ15" s="261"/>
      <c r="LA15" s="13"/>
      <c r="LB15" s="171"/>
      <c r="LC15" s="171">
        <f t="shared" si="116"/>
        <v>0</v>
      </c>
      <c r="LD15" s="245"/>
      <c r="LE15" s="176">
        <f t="shared" si="117"/>
        <v>0</v>
      </c>
      <c r="LF15" s="1515"/>
      <c r="LH15" s="267"/>
      <c r="LJ15" s="261"/>
      <c r="LK15" s="13"/>
      <c r="LN15" s="245"/>
      <c r="LO15" s="176">
        <f t="shared" si="121"/>
        <v>0</v>
      </c>
      <c r="LP15" s="1515"/>
      <c r="LR15" s="267"/>
      <c r="LS15" s="849">
        <f t="shared" si="123"/>
        <v>0</v>
      </c>
      <c r="LT15" s="261"/>
      <c r="LU15" s="177"/>
      <c r="LV15" s="171"/>
      <c r="LX15" s="245"/>
      <c r="LY15" s="263"/>
      <c r="LZ15" s="1515"/>
      <c r="MA15" s="1527"/>
      <c r="MB15" s="267"/>
      <c r="MD15" s="261"/>
      <c r="ME15" s="177"/>
      <c r="MF15" s="171"/>
      <c r="MG15" s="176">
        <f t="shared" si="128"/>
        <v>0</v>
      </c>
      <c r="MH15" s="171"/>
      <c r="MI15" s="176">
        <f t="shared" si="129"/>
        <v>0</v>
      </c>
      <c r="MJ15" s="1515"/>
      <c r="MK15" s="1527"/>
      <c r="ML15" s="171"/>
      <c r="MM15" s="849">
        <f t="shared" si="131"/>
        <v>0</v>
      </c>
      <c r="MN15" s="10"/>
      <c r="MO15" s="13"/>
      <c r="MQ15" s="176">
        <f t="shared" si="132"/>
        <v>0</v>
      </c>
      <c r="MR15" s="1526"/>
      <c r="MS15" s="171">
        <f t="shared" si="133"/>
        <v>0</v>
      </c>
      <c r="MT15" s="1515"/>
      <c r="MU15" s="1527"/>
      <c r="MV15" s="171"/>
      <c r="MW15" s="171">
        <f t="shared" si="135"/>
        <v>0</v>
      </c>
      <c r="MX15" s="55"/>
      <c r="MY15" s="13"/>
      <c r="NA15" s="171"/>
      <c r="NB15" s="1526"/>
      <c r="NC15" s="268"/>
      <c r="ND15" s="171"/>
      <c r="NE15" s="171"/>
      <c r="NF15" s="267"/>
      <c r="NG15" s="9"/>
      <c r="NH15" s="10"/>
      <c r="NJ15" s="9">
        <f t="shared" si="194"/>
        <v>0</v>
      </c>
      <c r="NK15" s="9">
        <f t="shared" si="194"/>
        <v>0</v>
      </c>
      <c r="NL15" s="1518">
        <f t="shared" si="194"/>
        <v>0</v>
      </c>
      <c r="NM15" s="1519">
        <f t="shared" si="194"/>
        <v>0</v>
      </c>
      <c r="NN15" s="1518">
        <f t="shared" si="139"/>
        <v>0</v>
      </c>
      <c r="NO15" s="9">
        <f t="shared" si="139"/>
        <v>0</v>
      </c>
      <c r="NP15" s="10"/>
      <c r="NQ15" s="13"/>
      <c r="NT15" s="262"/>
      <c r="NU15" s="263"/>
      <c r="NX15" s="10"/>
      <c r="NY15" s="177"/>
      <c r="NZ15" s="171"/>
      <c r="OA15" s="171"/>
      <c r="OB15" s="245"/>
      <c r="OC15" s="176"/>
      <c r="OD15" s="171"/>
      <c r="OE15" s="171"/>
      <c r="OF15" s="10"/>
      <c r="OG15" s="13"/>
      <c r="OO15" s="59"/>
      <c r="OP15" s="9">
        <f t="shared" si="150"/>
        <v>0</v>
      </c>
      <c r="OQ15" s="9">
        <f t="shared" si="150"/>
        <v>0</v>
      </c>
      <c r="OR15" s="1518">
        <f t="shared" si="150"/>
        <v>0</v>
      </c>
      <c r="OS15" s="1519">
        <f t="shared" si="150"/>
        <v>0</v>
      </c>
      <c r="OT15" s="9">
        <f t="shared" si="151"/>
        <v>0</v>
      </c>
      <c r="OU15" s="9">
        <f t="shared" si="151"/>
        <v>0</v>
      </c>
      <c r="OV15" s="261"/>
      <c r="OX15" s="247"/>
      <c r="OY15" s="257"/>
      <c r="OZ15" s="171"/>
      <c r="PA15" s="258"/>
      <c r="PB15" s="249"/>
      <c r="PC15" s="9"/>
      <c r="PD15" s="9"/>
      <c r="PE15" s="267">
        <f t="shared" si="152"/>
        <v>0</v>
      </c>
      <c r="PF15" s="9"/>
      <c r="PG15" s="261"/>
      <c r="PH15" s="11"/>
      <c r="PK15" s="248"/>
      <c r="PL15" s="249"/>
      <c r="PM15" s="9"/>
      <c r="PN15" s="9"/>
      <c r="PO15" s="267">
        <f t="shared" si="153"/>
        <v>0</v>
      </c>
      <c r="PQ15" s="261"/>
      <c r="PU15" s="262"/>
      <c r="PV15" s="249"/>
      <c r="PW15" s="9"/>
      <c r="PX15" s="171"/>
      <c r="PY15" s="245">
        <f t="shared" si="154"/>
        <v>0</v>
      </c>
      <c r="QA15" s="261"/>
      <c r="QB15" s="13"/>
      <c r="QC15" s="171"/>
      <c r="QD15" s="171"/>
      <c r="QE15" s="245"/>
      <c r="QF15" s="176"/>
      <c r="QG15" s="171"/>
      <c r="QH15" s="171"/>
      <c r="QI15" s="267">
        <f t="shared" si="155"/>
        <v>0</v>
      </c>
      <c r="QJ15" s="171"/>
      <c r="QK15" s="261"/>
      <c r="QL15" s="11"/>
      <c r="QN15" s="171">
        <f t="shared" si="156"/>
        <v>0</v>
      </c>
      <c r="QO15" s="262"/>
      <c r="QP15" s="176">
        <f t="shared" si="204"/>
        <v>0</v>
      </c>
      <c r="QQ15" s="171"/>
      <c r="QR15" s="171"/>
      <c r="QS15" s="267">
        <f t="shared" si="157"/>
        <v>0</v>
      </c>
      <c r="QU15" s="261"/>
      <c r="QV15" s="13"/>
      <c r="QW15" s="171"/>
      <c r="QX15" s="171">
        <f t="shared" si="158"/>
        <v>0</v>
      </c>
      <c r="QY15" s="245"/>
      <c r="QZ15" s="176">
        <f t="shared" si="159"/>
        <v>0</v>
      </c>
      <c r="RA15" s="171"/>
      <c r="RB15" s="171"/>
      <c r="RC15" s="245">
        <f t="shared" si="160"/>
        <v>0</v>
      </c>
      <c r="RD15" s="849">
        <f t="shared" si="161"/>
        <v>0</v>
      </c>
      <c r="RE15" s="261"/>
      <c r="RF15" s="13"/>
      <c r="RG15" s="171"/>
      <c r="RI15" s="245"/>
      <c r="RJ15" s="263"/>
      <c r="RM15" s="245"/>
      <c r="RO15" s="261"/>
      <c r="RP15" s="13"/>
      <c r="RS15" s="245"/>
      <c r="RT15" s="263"/>
      <c r="RW15" s="262"/>
      <c r="RY15" s="261"/>
      <c r="RZ15" s="177"/>
      <c r="SA15" s="171"/>
      <c r="SC15" s="245"/>
      <c r="SD15" s="263"/>
      <c r="SG15" s="245">
        <f t="shared" si="168"/>
        <v>0</v>
      </c>
      <c r="SI15" s="261"/>
      <c r="SJ15" s="177"/>
      <c r="SK15" s="171"/>
      <c r="SL15" s="176"/>
      <c r="SM15" s="171"/>
      <c r="SN15" s="176"/>
      <c r="SO15" s="171"/>
      <c r="SP15" s="171"/>
      <c r="SQ15" s="245">
        <f t="shared" si="169"/>
        <v>0</v>
      </c>
      <c r="SR15" s="171"/>
      <c r="SS15" s="10"/>
      <c r="ST15" s="13"/>
      <c r="SV15" s="171"/>
      <c r="SW15" s="1526"/>
      <c r="SX15" s="171">
        <f t="shared" si="170"/>
        <v>0</v>
      </c>
      <c r="SY15" s="1515"/>
      <c r="SZ15" s="176"/>
      <c r="TA15" s="245">
        <f t="shared" si="171"/>
        <v>0</v>
      </c>
      <c r="TB15" s="171"/>
      <c r="TC15" s="10"/>
      <c r="TD15" s="13"/>
      <c r="TF15" s="171"/>
      <c r="TG15" s="1526"/>
      <c r="TH15" s="171">
        <f t="shared" si="172"/>
        <v>0</v>
      </c>
      <c r="TI15" s="1515"/>
      <c r="TJ15" s="176"/>
      <c r="TK15" s="245">
        <f t="shared" si="173"/>
        <v>0</v>
      </c>
      <c r="TL15" s="171"/>
      <c r="TM15" s="10"/>
      <c r="TN15" s="13"/>
      <c r="TO15" s="9">
        <f t="shared" si="33"/>
        <v>0</v>
      </c>
      <c r="TP15" s="9">
        <f t="shared" si="33"/>
        <v>0</v>
      </c>
      <c r="TQ15" s="57">
        <f t="shared" si="33"/>
        <v>0</v>
      </c>
      <c r="TR15" s="58">
        <f t="shared" si="33"/>
        <v>0</v>
      </c>
      <c r="TS15" s="57">
        <f t="shared" si="34"/>
        <v>0</v>
      </c>
      <c r="TT15" s="57">
        <f t="shared" si="34"/>
        <v>0</v>
      </c>
      <c r="TU15" s="10"/>
      <c r="TV15" s="13"/>
      <c r="TY15" s="262"/>
      <c r="TZ15" s="263"/>
      <c r="UC15" s="10"/>
      <c r="UD15" s="177"/>
      <c r="UE15" s="171"/>
      <c r="UF15" s="171">
        <f>QD15+QN15+QX15</f>
        <v>0</v>
      </c>
      <c r="UG15" s="245"/>
      <c r="UH15" s="176"/>
      <c r="UI15" s="171">
        <f t="shared" si="201"/>
        <v>0</v>
      </c>
      <c r="UJ15" s="171">
        <f t="shared" si="201"/>
        <v>0</v>
      </c>
      <c r="UK15" s="10"/>
      <c r="UL15" s="13"/>
      <c r="US15" s="261"/>
      <c r="UT15" s="59">
        <f>SJ15+ST15+TD15</f>
        <v>0</v>
      </c>
      <c r="UU15" s="9">
        <f t="shared" si="42"/>
        <v>0</v>
      </c>
      <c r="UV15" s="9">
        <f t="shared" si="42"/>
        <v>0</v>
      </c>
      <c r="UW15" s="9">
        <f t="shared" si="42"/>
        <v>0</v>
      </c>
      <c r="UX15" s="9">
        <f t="shared" si="42"/>
        <v>0</v>
      </c>
      <c r="UY15" s="9">
        <f t="shared" si="176"/>
        <v>0</v>
      </c>
      <c r="UZ15" s="9">
        <f t="shared" si="176"/>
        <v>0</v>
      </c>
      <c r="VA15" s="261"/>
      <c r="VC15" s="247"/>
      <c r="VD15" s="257"/>
      <c r="VE15" s="171"/>
      <c r="VF15" s="258"/>
      <c r="VG15" s="249">
        <f t="shared" si="186"/>
        <v>0</v>
      </c>
      <c r="VH15" s="9"/>
      <c r="VI15" s="9"/>
      <c r="VJ15" s="267">
        <f t="shared" si="202"/>
        <v>0</v>
      </c>
      <c r="VK15" s="9">
        <f t="shared" si="187"/>
        <v>0</v>
      </c>
      <c r="VL15" s="858" t="e">
        <f t="shared" si="188"/>
        <v>#DIV/0!</v>
      </c>
      <c r="VM15" s="11"/>
      <c r="VP15" s="248"/>
      <c r="VQ15" s="249"/>
      <c r="VR15" s="9"/>
      <c r="VS15" s="9"/>
      <c r="VT15" s="267">
        <f t="shared" si="46"/>
        <v>0</v>
      </c>
      <c r="VV15" s="261"/>
      <c r="VZ15" s="262"/>
      <c r="WA15" s="249"/>
      <c r="WB15" s="9"/>
      <c r="WC15" s="9"/>
      <c r="WD15" s="245">
        <f t="shared" si="50"/>
        <v>0</v>
      </c>
      <c r="WF15" s="261"/>
      <c r="WG15" s="13"/>
      <c r="WH15" s="171"/>
      <c r="WI15" s="171"/>
      <c r="WJ15" s="245"/>
      <c r="WK15" s="176"/>
      <c r="WL15" s="171"/>
      <c r="WM15" s="171"/>
      <c r="WN15" s="267">
        <f t="shared" si="55"/>
        <v>0</v>
      </c>
      <c r="WO15" s="171"/>
      <c r="WP15" s="261"/>
      <c r="WQ15" s="13"/>
      <c r="WR15" s="171"/>
      <c r="WS15" s="171"/>
      <c r="WT15" s="245"/>
      <c r="WU15" s="176"/>
      <c r="WV15" s="171"/>
      <c r="WW15" s="171"/>
      <c r="WX15" s="267">
        <f t="shared" si="59"/>
        <v>0</v>
      </c>
      <c r="WY15" s="171"/>
      <c r="WZ15" s="261"/>
      <c r="XA15" s="13"/>
      <c r="XB15" s="171"/>
      <c r="XC15" s="171">
        <f t="shared" si="61"/>
        <v>0</v>
      </c>
      <c r="XD15" s="245"/>
      <c r="XE15" s="176">
        <f t="shared" si="62"/>
        <v>0</v>
      </c>
      <c r="XF15" s="171"/>
      <c r="XG15" s="171"/>
      <c r="XH15" s="245">
        <f t="shared" si="63"/>
        <v>0</v>
      </c>
      <c r="XI15" s="849">
        <f t="shared" si="64"/>
        <v>0</v>
      </c>
      <c r="XJ15" s="261"/>
      <c r="XK15" s="13"/>
      <c r="XL15" s="171"/>
      <c r="XN15" s="245"/>
      <c r="XO15" s="263"/>
      <c r="XR15" s="245"/>
      <c r="XT15" s="261"/>
      <c r="XU15" s="13"/>
      <c r="XV15" s="14">
        <v>4500</v>
      </c>
      <c r="XW15" s="171">
        <f>XV15*80</f>
        <v>360000</v>
      </c>
      <c r="XX15" s="245"/>
      <c r="XY15" s="263"/>
      <c r="YB15" s="245">
        <f>XV15-XX15-XZ15-YA15</f>
        <v>4500</v>
      </c>
      <c r="YC15" s="171">
        <f>YB15*80</f>
        <v>360000</v>
      </c>
      <c r="YD15" s="858">
        <v>0</v>
      </c>
      <c r="YE15" s="177"/>
      <c r="YF15" s="171"/>
      <c r="YH15" s="245"/>
      <c r="YI15" s="263"/>
      <c r="YL15" s="245">
        <f t="shared" si="189"/>
        <v>0</v>
      </c>
      <c r="YM15" s="171">
        <f t="shared" si="190"/>
        <v>0</v>
      </c>
      <c r="YN15" s="858">
        <v>0</v>
      </c>
      <c r="YO15" s="177"/>
      <c r="YP15" s="171"/>
      <c r="YQ15" s="176"/>
      <c r="YR15" s="171"/>
      <c r="YS15" s="176"/>
      <c r="YT15" s="171"/>
      <c r="YU15" s="171"/>
      <c r="YV15" s="245">
        <f t="shared" si="192"/>
        <v>0</v>
      </c>
      <c r="YW15" s="171">
        <f t="shared" si="193"/>
        <v>0</v>
      </c>
      <c r="YX15" s="10"/>
      <c r="YY15" s="13"/>
      <c r="ZA15" s="171"/>
      <c r="ZB15" s="1526"/>
      <c r="ZC15" s="171">
        <f t="shared" si="178"/>
        <v>0</v>
      </c>
      <c r="ZD15" s="1515"/>
      <c r="ZE15" s="176"/>
      <c r="ZF15" s="245">
        <f t="shared" si="179"/>
        <v>0</v>
      </c>
      <c r="ZG15" s="171"/>
      <c r="ZH15" s="10"/>
      <c r="ZI15" s="13"/>
      <c r="ZK15" s="171"/>
      <c r="ZL15" s="1526"/>
      <c r="ZM15" s="171">
        <f t="shared" si="180"/>
        <v>0</v>
      </c>
      <c r="ZN15" s="1515">
        <v>0</v>
      </c>
      <c r="ZO15" s="176">
        <v>0</v>
      </c>
      <c r="ZP15" s="245">
        <f t="shared" si="181"/>
        <v>0</v>
      </c>
      <c r="ZQ15" s="171"/>
      <c r="ZR15" s="10"/>
      <c r="ZS15" s="13"/>
      <c r="ZT15" s="9">
        <f t="shared" si="82"/>
        <v>4500</v>
      </c>
      <c r="ZU15" s="9">
        <f t="shared" si="82"/>
        <v>360000</v>
      </c>
      <c r="ZV15" s="57">
        <f t="shared" si="82"/>
        <v>0</v>
      </c>
      <c r="ZW15" s="58">
        <f t="shared" si="82"/>
        <v>0</v>
      </c>
      <c r="ZX15" s="57">
        <f t="shared" si="183"/>
        <v>4500</v>
      </c>
      <c r="ZY15" s="9">
        <f t="shared" si="83"/>
        <v>360000</v>
      </c>
      <c r="ZZ15" s="10">
        <f>ZY15/ZU15</f>
        <v>1</v>
      </c>
      <c r="AAA15" s="13"/>
      <c r="AAD15" s="262"/>
      <c r="AAE15" s="263"/>
      <c r="AAH15" s="10"/>
      <c r="AAI15" s="177"/>
      <c r="AAJ15" s="171"/>
      <c r="AAK15" s="171">
        <f>WI15+WS15+XC15</f>
        <v>0</v>
      </c>
      <c r="AAL15" s="245"/>
      <c r="AAM15" s="176"/>
      <c r="AAN15" s="171">
        <f t="shared" si="87"/>
        <v>0</v>
      </c>
      <c r="AAO15" s="171">
        <f t="shared" si="87"/>
        <v>0</v>
      </c>
      <c r="AAP15" s="10"/>
      <c r="AAQ15" s="13"/>
      <c r="AAX15" s="261"/>
      <c r="AAY15" s="59">
        <f>YO15+YY15+ZI15</f>
        <v>0</v>
      </c>
      <c r="AAZ15" s="9">
        <f t="shared" si="90"/>
        <v>0</v>
      </c>
      <c r="ABA15" s="9">
        <f t="shared" si="90"/>
        <v>0</v>
      </c>
      <c r="ABB15" s="9">
        <f t="shared" si="90"/>
        <v>0</v>
      </c>
      <c r="ABC15" s="9">
        <f t="shared" si="90"/>
        <v>0</v>
      </c>
      <c r="ABD15" s="9">
        <f t="shared" si="184"/>
        <v>0</v>
      </c>
      <c r="ABE15" s="9">
        <f t="shared" si="184"/>
        <v>0</v>
      </c>
      <c r="ABF15" s="261"/>
    </row>
    <row r="16" spans="1:734" s="14" customFormat="1" ht="15.6" hidden="1" x14ac:dyDescent="0.3">
      <c r="A16" s="5"/>
      <c r="B16" s="229" t="s">
        <v>15</v>
      </c>
      <c r="C16" s="69" t="s">
        <v>190</v>
      </c>
      <c r="D16" s="5"/>
      <c r="E16" s="171"/>
      <c r="F16" s="171"/>
      <c r="G16" s="245"/>
      <c r="H16" s="176"/>
      <c r="I16" s="171"/>
      <c r="J16" s="171"/>
      <c r="K16" s="7"/>
      <c r="L16" s="280"/>
      <c r="M16" s="171"/>
      <c r="N16" s="171"/>
      <c r="O16" s="245"/>
      <c r="P16" s="176"/>
      <c r="Q16" s="8"/>
      <c r="R16" s="8"/>
      <c r="S16" s="7"/>
      <c r="T16" s="5"/>
      <c r="U16" s="171"/>
      <c r="V16" s="171"/>
      <c r="W16" s="171"/>
      <c r="X16" s="171"/>
      <c r="Y16" s="8"/>
      <c r="Z16" s="8"/>
      <c r="AA16" s="7"/>
      <c r="AB16" s="280"/>
      <c r="AC16" s="171"/>
      <c r="AD16" s="171"/>
      <c r="AE16" s="171"/>
      <c r="AF16" s="171"/>
      <c r="AG16" s="8"/>
      <c r="AH16" s="8"/>
      <c r="AI16" s="85"/>
      <c r="AJ16" s="5"/>
      <c r="AK16" s="171"/>
      <c r="AL16" s="171"/>
      <c r="AM16" s="171"/>
      <c r="AN16" s="171"/>
      <c r="AO16" s="8"/>
      <c r="AP16" s="8"/>
      <c r="AQ16" s="7"/>
      <c r="AR16" s="280"/>
      <c r="AS16" s="171"/>
      <c r="AT16" s="171"/>
      <c r="AU16" s="171"/>
      <c r="AV16" s="171"/>
      <c r="AW16" s="8"/>
      <c r="AX16" s="8"/>
      <c r="AY16" s="85"/>
      <c r="AZ16" s="5"/>
      <c r="BA16" s="171"/>
      <c r="BB16" s="171"/>
      <c r="BC16" s="171"/>
      <c r="BD16" s="171"/>
      <c r="BE16" s="8"/>
      <c r="BF16" s="8"/>
      <c r="BG16" s="7"/>
      <c r="BH16" s="280"/>
      <c r="BI16" s="171"/>
      <c r="BJ16" s="171"/>
      <c r="BK16" s="171"/>
      <c r="BL16" s="171"/>
      <c r="BM16" s="8"/>
      <c r="BN16" s="8"/>
      <c r="BO16" s="85"/>
      <c r="BP16" s="5"/>
      <c r="BQ16" s="171"/>
      <c r="BR16" s="171"/>
      <c r="BS16" s="171"/>
      <c r="BT16" s="171"/>
      <c r="BU16" s="8"/>
      <c r="BV16" s="8"/>
      <c r="BW16" s="7"/>
      <c r="BX16" s="280"/>
      <c r="BY16" s="171"/>
      <c r="BZ16" s="171"/>
      <c r="CA16" s="171"/>
      <c r="CB16" s="171"/>
      <c r="CC16" s="8"/>
      <c r="CD16" s="8"/>
      <c r="CE16" s="85"/>
      <c r="CF16" s="5"/>
      <c r="CG16" s="171"/>
      <c r="CH16" s="171"/>
      <c r="CI16" s="171"/>
      <c r="CJ16" s="171"/>
      <c r="CK16" s="8"/>
      <c r="CL16" s="8"/>
      <c r="CM16" s="7"/>
      <c r="CN16" s="280"/>
      <c r="CO16" s="171"/>
      <c r="CP16" s="171"/>
      <c r="CQ16" s="245"/>
      <c r="CR16" s="176"/>
      <c r="CS16" s="8"/>
      <c r="CT16" s="8"/>
      <c r="CU16" s="85"/>
      <c r="CV16" s="5"/>
      <c r="CW16" s="280"/>
      <c r="CX16" s="171"/>
      <c r="CY16" s="257"/>
      <c r="CZ16" s="171"/>
      <c r="DA16" s="8"/>
      <c r="DB16" s="8"/>
      <c r="DC16" s="7"/>
      <c r="DD16" s="298">
        <v>0</v>
      </c>
      <c r="DE16" s="171">
        <v>0</v>
      </c>
      <c r="DF16" s="176">
        <f>DE16*70</f>
        <v>0</v>
      </c>
      <c r="DG16" s="245">
        <v>0</v>
      </c>
      <c r="DH16" s="176">
        <f>DG16*70</f>
        <v>0</v>
      </c>
      <c r="DI16" s="8">
        <f>DE16-DG16</f>
        <v>0</v>
      </c>
      <c r="DJ16" s="8">
        <f>DI16*70</f>
        <v>0</v>
      </c>
      <c r="DK16" s="281"/>
      <c r="DL16" s="5"/>
      <c r="DM16" s="171">
        <v>10000</v>
      </c>
      <c r="DN16" s="176">
        <f>DM16*70</f>
        <v>700000</v>
      </c>
      <c r="DO16" s="171">
        <v>0</v>
      </c>
      <c r="DP16" s="171">
        <f>DO16*70</f>
        <v>0</v>
      </c>
      <c r="DQ16" s="282">
        <f>DM16-DO16</f>
        <v>10000</v>
      </c>
      <c r="DR16" s="8">
        <f>DQ16*70</f>
        <v>700000</v>
      </c>
      <c r="DS16" s="281"/>
      <c r="DT16" s="280"/>
      <c r="DU16" s="171"/>
      <c r="DV16" s="176"/>
      <c r="DW16" s="245"/>
      <c r="DX16" s="176"/>
      <c r="DY16" s="8"/>
      <c r="DZ16" s="8"/>
      <c r="EA16" s="283"/>
      <c r="EB16" s="284"/>
      <c r="EC16" s="171"/>
      <c r="ED16" s="171"/>
      <c r="EE16" s="245"/>
      <c r="EF16" s="176"/>
      <c r="EG16" s="8"/>
      <c r="EH16" s="8"/>
      <c r="EI16" s="285"/>
      <c r="EJ16" s="284"/>
      <c r="EK16" s="171"/>
      <c r="EL16" s="171"/>
      <c r="EM16" s="245"/>
      <c r="EN16" s="176"/>
      <c r="EO16" s="8"/>
      <c r="EP16" s="8"/>
      <c r="EQ16" s="285"/>
      <c r="ER16" s="284"/>
      <c r="ES16" s="171"/>
      <c r="ET16" s="171"/>
      <c r="EU16" s="245"/>
      <c r="EV16" s="176"/>
      <c r="EW16" s="8"/>
      <c r="EX16" s="8"/>
      <c r="EY16" s="285"/>
      <c r="EZ16" s="284"/>
      <c r="FA16" s="171"/>
      <c r="FB16" s="171"/>
      <c r="FC16" s="245"/>
      <c r="FD16" s="176"/>
      <c r="FE16" s="8"/>
      <c r="FF16" s="8"/>
      <c r="FG16" s="285"/>
      <c r="FH16" s="280"/>
      <c r="FI16" s="171"/>
      <c r="FJ16" s="171"/>
      <c r="FK16" s="286"/>
      <c r="FL16" s="287"/>
      <c r="FM16" s="8"/>
      <c r="FN16" s="8"/>
      <c r="FO16" s="7"/>
      <c r="FP16" s="280"/>
      <c r="FQ16" s="171"/>
      <c r="FR16" s="171"/>
      <c r="FS16" s="171"/>
      <c r="FT16" s="171"/>
      <c r="FU16" s="171"/>
      <c r="FV16" s="171"/>
      <c r="FW16" s="8"/>
      <c r="FX16" s="8"/>
      <c r="FY16" s="85"/>
      <c r="FZ16" s="5"/>
      <c r="GA16" s="171"/>
      <c r="GB16" s="171"/>
      <c r="GC16" s="171"/>
      <c r="GD16" s="171"/>
      <c r="GE16" s="171"/>
      <c r="GF16" s="171"/>
      <c r="GG16" s="8"/>
      <c r="GH16" s="8"/>
      <c r="GI16" s="7"/>
      <c r="GJ16" s="280"/>
      <c r="GK16" s="288"/>
      <c r="GL16" s="288"/>
      <c r="GM16" s="288"/>
      <c r="GN16" s="288"/>
      <c r="GO16" s="288"/>
      <c r="GP16" s="288"/>
      <c r="GQ16" s="8"/>
      <c r="GR16" s="8"/>
      <c r="GS16" s="85"/>
      <c r="GT16" s="5"/>
      <c r="GU16" s="171"/>
      <c r="GV16" s="171"/>
      <c r="GW16" s="245"/>
      <c r="GX16" s="176"/>
      <c r="GY16" s="171"/>
      <c r="GZ16" s="171"/>
      <c r="HA16" s="8"/>
      <c r="HB16" s="8"/>
      <c r="HC16" s="7"/>
      <c r="HD16" s="171"/>
      <c r="HE16" s="171">
        <f>GU16+GK16+GA16+FQ16+FI16+FA16+ES16+EK16+EC16+DU16+DM16+DE16</f>
        <v>10000</v>
      </c>
      <c r="HF16" s="171">
        <f t="shared" si="203"/>
        <v>700000</v>
      </c>
      <c r="HG16" s="171"/>
      <c r="HH16" s="171"/>
      <c r="HI16" s="8">
        <f t="shared" si="3"/>
        <v>10000</v>
      </c>
      <c r="HJ16" s="8">
        <f>HI16*70</f>
        <v>700000</v>
      </c>
      <c r="HK16" s="7"/>
      <c r="HL16" s="5"/>
      <c r="HM16" s="171">
        <f>DE16+DM16+DU16</f>
        <v>10000</v>
      </c>
      <c r="HN16" s="171">
        <f t="shared" si="4"/>
        <v>700000</v>
      </c>
      <c r="HO16" s="245">
        <f>DG16+DO16+DW16</f>
        <v>0</v>
      </c>
      <c r="HP16" s="176"/>
      <c r="HQ16" s="8">
        <f t="shared" si="6"/>
        <v>10000</v>
      </c>
      <c r="HR16" s="8">
        <f t="shared" si="7"/>
        <v>700000</v>
      </c>
      <c r="HS16" s="7"/>
      <c r="HT16" s="298">
        <f t="shared" si="205"/>
        <v>0</v>
      </c>
      <c r="HU16" s="257">
        <f t="shared" si="205"/>
        <v>0</v>
      </c>
      <c r="HV16" s="171">
        <f t="shared" si="8"/>
        <v>0</v>
      </c>
      <c r="HW16" s="295">
        <f>(EE16+EM16+EU16)</f>
        <v>0</v>
      </c>
      <c r="HX16" s="268">
        <f t="shared" si="9"/>
        <v>0</v>
      </c>
      <c r="HY16" s="171">
        <f t="shared" si="10"/>
        <v>0</v>
      </c>
      <c r="HZ16" s="171">
        <f t="shared" si="11"/>
        <v>0</v>
      </c>
      <c r="IA16" s="7"/>
      <c r="IB16" s="5"/>
      <c r="IC16" s="171"/>
      <c r="ID16" s="171"/>
      <c r="IE16" s="286"/>
      <c r="IF16" s="287"/>
      <c r="IG16" s="8"/>
      <c r="IH16" s="8"/>
      <c r="II16" s="7"/>
      <c r="IJ16" s="247"/>
      <c r="IK16" s="257"/>
      <c r="IL16" s="171"/>
      <c r="IM16" s="286"/>
      <c r="IN16" s="287"/>
      <c r="IO16" s="297"/>
      <c r="IP16" s="8"/>
      <c r="IQ16" s="7"/>
      <c r="IS16" s="247"/>
      <c r="IT16" s="257"/>
      <c r="IU16" s="171"/>
      <c r="IV16" s="258"/>
      <c r="IW16" s="249">
        <f t="shared" si="93"/>
        <v>0</v>
      </c>
      <c r="IX16" s="9"/>
      <c r="IY16" s="9"/>
      <c r="IZ16" s="267">
        <f>IT16-IV16</f>
        <v>0</v>
      </c>
      <c r="JA16" s="9"/>
      <c r="JB16" s="261"/>
      <c r="JC16" s="11"/>
      <c r="JF16" s="248"/>
      <c r="JG16" s="249"/>
      <c r="JH16" s="9"/>
      <c r="JI16" s="9"/>
      <c r="JJ16" s="267">
        <f>JD16-JF16</f>
        <v>0</v>
      </c>
      <c r="JL16" s="261"/>
      <c r="JP16" s="262"/>
      <c r="JQ16" s="263"/>
      <c r="JR16" s="1515"/>
      <c r="JT16" s="267">
        <f>JN16-JP16</f>
        <v>0</v>
      </c>
      <c r="JU16" s="851">
        <f t="shared" si="103"/>
        <v>0</v>
      </c>
      <c r="JV16" s="261"/>
      <c r="JW16" s="13"/>
      <c r="JX16" s="171"/>
      <c r="JY16" s="171"/>
      <c r="JZ16" s="245"/>
      <c r="KA16" s="176"/>
      <c r="KB16" s="1515"/>
      <c r="KD16" s="267">
        <f>JX16-JZ16</f>
        <v>0</v>
      </c>
      <c r="KE16" s="171"/>
      <c r="KF16" s="261"/>
      <c r="KG16" s="11"/>
      <c r="KJ16" s="262"/>
      <c r="KK16" s="263"/>
      <c r="KL16" s="1515"/>
      <c r="KN16" s="267">
        <f>KH16-KJ16</f>
        <v>0</v>
      </c>
      <c r="KP16" s="261"/>
      <c r="KQ16" s="13"/>
      <c r="KR16" s="171"/>
      <c r="KT16" s="245"/>
      <c r="KU16" s="263"/>
      <c r="KV16" s="1515"/>
      <c r="KX16" s="267">
        <f>KR16-KT16</f>
        <v>0</v>
      </c>
      <c r="KZ16" s="261"/>
      <c r="LA16" s="13"/>
      <c r="LB16" s="171"/>
      <c r="LC16" s="171">
        <f t="shared" si="116"/>
        <v>0</v>
      </c>
      <c r="LD16" s="245"/>
      <c r="LE16" s="176">
        <f t="shared" si="117"/>
        <v>0</v>
      </c>
      <c r="LF16" s="1515"/>
      <c r="LH16" s="267">
        <f>LB16-LD16</f>
        <v>0</v>
      </c>
      <c r="LJ16" s="261"/>
      <c r="LK16" s="13"/>
      <c r="LN16" s="245"/>
      <c r="LO16" s="176">
        <f t="shared" si="121"/>
        <v>0</v>
      </c>
      <c r="LP16" s="1515"/>
      <c r="LR16" s="267">
        <f>LL16-LN16</f>
        <v>0</v>
      </c>
      <c r="LS16" s="849">
        <f t="shared" si="123"/>
        <v>0</v>
      </c>
      <c r="LT16" s="261"/>
      <c r="LU16" s="177"/>
      <c r="LV16" s="171"/>
      <c r="LX16" s="245"/>
      <c r="LY16" s="263"/>
      <c r="LZ16" s="1515"/>
      <c r="MA16" s="1527"/>
      <c r="MB16" s="267">
        <f>LV16-LX16</f>
        <v>0</v>
      </c>
      <c r="MD16" s="261"/>
      <c r="ME16" s="177"/>
      <c r="MF16" s="171">
        <v>10000</v>
      </c>
      <c r="MG16" s="176">
        <f t="shared" si="128"/>
        <v>800000</v>
      </c>
      <c r="MH16" s="171">
        <v>0</v>
      </c>
      <c r="MI16" s="176">
        <f t="shared" si="129"/>
        <v>0</v>
      </c>
      <c r="MJ16" s="1515"/>
      <c r="MK16" s="1527"/>
      <c r="ML16" s="171">
        <f>MF16-MH16</f>
        <v>10000</v>
      </c>
      <c r="MM16" s="849">
        <f t="shared" si="131"/>
        <v>800000</v>
      </c>
      <c r="MN16" s="10">
        <f>MM16/MG16</f>
        <v>1</v>
      </c>
      <c r="MO16" s="13"/>
      <c r="MQ16" s="176">
        <f t="shared" si="132"/>
        <v>0</v>
      </c>
      <c r="MR16" s="1526"/>
      <c r="MS16" s="171">
        <f t="shared" si="133"/>
        <v>0</v>
      </c>
      <c r="MT16" s="1515"/>
      <c r="MU16" s="1527"/>
      <c r="MV16" s="171">
        <f>MP16-MR16</f>
        <v>0</v>
      </c>
      <c r="MW16" s="171">
        <f t="shared" si="135"/>
        <v>0</v>
      </c>
      <c r="MX16" s="55"/>
      <c r="MY16" s="13"/>
      <c r="NB16" s="1526"/>
      <c r="NC16" s="268"/>
      <c r="ND16" s="171"/>
      <c r="NE16" s="171"/>
      <c r="NF16" s="267"/>
      <c r="NG16" s="9"/>
      <c r="NH16" s="10"/>
      <c r="NJ16" s="9">
        <f t="shared" si="194"/>
        <v>10000</v>
      </c>
      <c r="NK16" s="9">
        <f t="shared" si="194"/>
        <v>800000</v>
      </c>
      <c r="NL16" s="1518">
        <f t="shared" si="194"/>
        <v>0</v>
      </c>
      <c r="NM16" s="1519">
        <f t="shared" si="194"/>
        <v>0</v>
      </c>
      <c r="NN16" s="1518">
        <f t="shared" si="139"/>
        <v>10000</v>
      </c>
      <c r="NO16" s="9">
        <f t="shared" si="139"/>
        <v>800000</v>
      </c>
      <c r="NP16" s="10"/>
      <c r="NQ16" s="13"/>
      <c r="NT16" s="262"/>
      <c r="NU16" s="263"/>
      <c r="NX16" s="10"/>
      <c r="NY16" s="177"/>
      <c r="NZ16" s="171"/>
      <c r="OA16" s="171"/>
      <c r="OB16" s="245"/>
      <c r="OC16" s="176"/>
      <c r="OD16" s="171"/>
      <c r="OE16" s="171"/>
      <c r="OF16" s="10"/>
      <c r="OG16" s="13"/>
      <c r="OO16" s="59"/>
      <c r="OP16" s="9">
        <f t="shared" si="150"/>
        <v>10000</v>
      </c>
      <c r="OQ16" s="9">
        <f t="shared" si="150"/>
        <v>800000</v>
      </c>
      <c r="OR16" s="1518">
        <f t="shared" si="150"/>
        <v>0</v>
      </c>
      <c r="OS16" s="1519">
        <f t="shared" si="150"/>
        <v>0</v>
      </c>
      <c r="OT16" s="9">
        <f t="shared" si="151"/>
        <v>10000</v>
      </c>
      <c r="OU16" s="9">
        <f t="shared" si="151"/>
        <v>800000</v>
      </c>
      <c r="OV16" s="261"/>
      <c r="OX16" s="247"/>
      <c r="OY16" s="257"/>
      <c r="OZ16" s="171"/>
      <c r="PA16" s="258"/>
      <c r="PB16" s="249"/>
      <c r="PC16" s="9"/>
      <c r="PD16" s="9"/>
      <c r="PE16" s="267">
        <f t="shared" si="152"/>
        <v>0</v>
      </c>
      <c r="PF16" s="9"/>
      <c r="PG16" s="261"/>
      <c r="PH16" s="11"/>
      <c r="PK16" s="248"/>
      <c r="PL16" s="249"/>
      <c r="PM16" s="9"/>
      <c r="PN16" s="9"/>
      <c r="PO16" s="267">
        <f t="shared" si="153"/>
        <v>0</v>
      </c>
      <c r="PQ16" s="261"/>
      <c r="PU16" s="262"/>
      <c r="PV16" s="249"/>
      <c r="PW16" s="9"/>
      <c r="PX16" s="171"/>
      <c r="PY16" s="245">
        <f t="shared" si="154"/>
        <v>0</v>
      </c>
      <c r="QA16" s="261"/>
      <c r="QB16" s="13"/>
      <c r="QC16" s="171"/>
      <c r="QD16" s="171"/>
      <c r="QE16" s="245"/>
      <c r="QF16" s="176"/>
      <c r="QG16" s="171"/>
      <c r="QH16" s="171"/>
      <c r="QI16" s="267">
        <f t="shared" si="155"/>
        <v>0</v>
      </c>
      <c r="QJ16" s="171"/>
      <c r="QK16" s="261"/>
      <c r="QL16" s="11"/>
      <c r="QN16" s="171">
        <f t="shared" si="156"/>
        <v>0</v>
      </c>
      <c r="QO16" s="262"/>
      <c r="QP16" s="176">
        <f t="shared" si="204"/>
        <v>0</v>
      </c>
      <c r="QQ16" s="171"/>
      <c r="QR16" s="171"/>
      <c r="QS16" s="267">
        <f t="shared" si="157"/>
        <v>0</v>
      </c>
      <c r="QU16" s="261"/>
      <c r="QV16" s="13"/>
      <c r="QW16" s="171"/>
      <c r="QX16" s="171">
        <f t="shared" si="158"/>
        <v>0</v>
      </c>
      <c r="QY16" s="245"/>
      <c r="QZ16" s="176">
        <f t="shared" si="159"/>
        <v>0</v>
      </c>
      <c r="RA16" s="171"/>
      <c r="RB16" s="171"/>
      <c r="RC16" s="245">
        <f t="shared" si="160"/>
        <v>0</v>
      </c>
      <c r="RD16" s="849">
        <f t="shared" si="161"/>
        <v>0</v>
      </c>
      <c r="RE16" s="261"/>
      <c r="RF16" s="13"/>
      <c r="RG16" s="171"/>
      <c r="RI16" s="245"/>
      <c r="RJ16" s="263"/>
      <c r="RM16" s="245"/>
      <c r="RO16" s="261"/>
      <c r="RP16" s="13"/>
      <c r="RS16" s="245"/>
      <c r="RT16" s="263"/>
      <c r="RW16" s="262"/>
      <c r="RY16" s="261"/>
      <c r="RZ16" s="177"/>
      <c r="SA16" s="171"/>
      <c r="SC16" s="245"/>
      <c r="SD16" s="263"/>
      <c r="SG16" s="245">
        <f t="shared" si="168"/>
        <v>0</v>
      </c>
      <c r="SI16" s="261"/>
      <c r="SJ16" s="177"/>
      <c r="SK16" s="171"/>
      <c r="SL16" s="176">
        <f>SK16*75</f>
        <v>0</v>
      </c>
      <c r="SM16" s="171"/>
      <c r="SN16" s="176">
        <v>0</v>
      </c>
      <c r="SO16" s="171"/>
      <c r="SP16" s="171"/>
      <c r="SQ16" s="245">
        <f t="shared" si="169"/>
        <v>0</v>
      </c>
      <c r="SR16" s="171">
        <f>SQ16*75</f>
        <v>0</v>
      </c>
      <c r="SS16" s="10" t="e">
        <f>SR16/SL16</f>
        <v>#DIV/0!</v>
      </c>
      <c r="ST16" s="13"/>
      <c r="SW16" s="1526"/>
      <c r="SX16" s="171">
        <f t="shared" si="170"/>
        <v>0</v>
      </c>
      <c r="SY16" s="1515"/>
      <c r="SZ16" s="176"/>
      <c r="TA16" s="245">
        <f t="shared" si="171"/>
        <v>0</v>
      </c>
      <c r="TB16" s="171">
        <f>TA16*75</f>
        <v>0</v>
      </c>
      <c r="TC16" s="10" t="e">
        <f>TB16/SV16</f>
        <v>#DIV/0!</v>
      </c>
      <c r="TD16" s="13"/>
      <c r="TG16" s="1526"/>
      <c r="TH16" s="171">
        <f t="shared" si="172"/>
        <v>0</v>
      </c>
      <c r="TI16" s="1515"/>
      <c r="TJ16" s="176"/>
      <c r="TK16" s="245">
        <f t="shared" si="173"/>
        <v>0</v>
      </c>
      <c r="TL16" s="171">
        <f>TK16*75</f>
        <v>0</v>
      </c>
      <c r="TM16" s="10" t="e">
        <f>TL16/TF16</f>
        <v>#DIV/0!</v>
      </c>
      <c r="TN16" s="13"/>
      <c r="TO16" s="9">
        <f t="shared" si="33"/>
        <v>0</v>
      </c>
      <c r="TP16" s="9">
        <f t="shared" si="33"/>
        <v>0</v>
      </c>
      <c r="TQ16" s="57">
        <f t="shared" si="33"/>
        <v>0</v>
      </c>
      <c r="TR16" s="58">
        <f t="shared" si="33"/>
        <v>0</v>
      </c>
      <c r="TS16" s="57">
        <f t="shared" si="34"/>
        <v>0</v>
      </c>
      <c r="TT16" s="57">
        <f t="shared" si="34"/>
        <v>0</v>
      </c>
      <c r="TU16" s="10"/>
      <c r="TV16" s="13"/>
      <c r="TY16" s="262"/>
      <c r="TZ16" s="263"/>
      <c r="UC16" s="10"/>
      <c r="UD16" s="177"/>
      <c r="UE16" s="171"/>
      <c r="UF16" s="171">
        <f>QD16+QN16+QX16</f>
        <v>0</v>
      </c>
      <c r="UG16" s="245"/>
      <c r="UH16" s="176"/>
      <c r="UI16" s="171">
        <f t="shared" si="201"/>
        <v>0</v>
      </c>
      <c r="UJ16" s="171">
        <f t="shared" si="201"/>
        <v>0</v>
      </c>
      <c r="UK16" s="10"/>
      <c r="UL16" s="13"/>
      <c r="US16" s="261"/>
      <c r="UT16" s="59">
        <f>SJ16+ST16+TD16</f>
        <v>0</v>
      </c>
      <c r="UU16" s="9">
        <f t="shared" si="42"/>
        <v>0</v>
      </c>
      <c r="UV16" s="9">
        <f t="shared" si="42"/>
        <v>0</v>
      </c>
      <c r="UW16" s="9">
        <f t="shared" si="42"/>
        <v>0</v>
      </c>
      <c r="UX16" s="9">
        <f t="shared" si="42"/>
        <v>0</v>
      </c>
      <c r="UY16" s="9">
        <f t="shared" si="176"/>
        <v>0</v>
      </c>
      <c r="UZ16" s="9">
        <f t="shared" si="176"/>
        <v>0</v>
      </c>
      <c r="VA16" s="261"/>
      <c r="VC16" s="247"/>
      <c r="VD16" s="257"/>
      <c r="VE16" s="171"/>
      <c r="VF16" s="258"/>
      <c r="VG16" s="249">
        <f t="shared" si="186"/>
        <v>0</v>
      </c>
      <c r="VH16" s="9"/>
      <c r="VI16" s="9"/>
      <c r="VJ16" s="267">
        <f t="shared" si="202"/>
        <v>0</v>
      </c>
      <c r="VK16" s="9">
        <f t="shared" si="187"/>
        <v>0</v>
      </c>
      <c r="VL16" s="858" t="e">
        <f t="shared" si="188"/>
        <v>#DIV/0!</v>
      </c>
      <c r="VM16" s="11"/>
      <c r="VP16" s="248"/>
      <c r="VQ16" s="249"/>
      <c r="VR16" s="9"/>
      <c r="VS16" s="9"/>
      <c r="VT16" s="267">
        <f t="shared" si="46"/>
        <v>0</v>
      </c>
      <c r="VV16" s="261"/>
      <c r="VZ16" s="262"/>
      <c r="WA16" s="249"/>
      <c r="WB16" s="9"/>
      <c r="WC16" s="9"/>
      <c r="WD16" s="245">
        <f t="shared" si="50"/>
        <v>0</v>
      </c>
      <c r="WF16" s="261"/>
      <c r="WG16" s="13"/>
      <c r="WH16" s="171"/>
      <c r="WI16" s="171"/>
      <c r="WJ16" s="245"/>
      <c r="WK16" s="176"/>
      <c r="WL16" s="171"/>
      <c r="WM16" s="171"/>
      <c r="WN16" s="267">
        <f t="shared" si="55"/>
        <v>0</v>
      </c>
      <c r="WO16" s="171"/>
      <c r="WP16" s="261"/>
      <c r="WQ16" s="13"/>
      <c r="WR16" s="171"/>
      <c r="WS16" s="171"/>
      <c r="WT16" s="245"/>
      <c r="WU16" s="176"/>
      <c r="WV16" s="171"/>
      <c r="WW16" s="171"/>
      <c r="WX16" s="267">
        <f t="shared" si="59"/>
        <v>0</v>
      </c>
      <c r="WY16" s="171"/>
      <c r="WZ16" s="261"/>
      <c r="XA16" s="13"/>
      <c r="XB16" s="171"/>
      <c r="XC16" s="171">
        <f t="shared" si="61"/>
        <v>0</v>
      </c>
      <c r="XD16" s="245"/>
      <c r="XE16" s="176">
        <f t="shared" si="62"/>
        <v>0</v>
      </c>
      <c r="XF16" s="171"/>
      <c r="XG16" s="171"/>
      <c r="XH16" s="245">
        <f t="shared" si="63"/>
        <v>0</v>
      </c>
      <c r="XI16" s="849">
        <f t="shared" si="64"/>
        <v>0</v>
      </c>
      <c r="XJ16" s="261"/>
      <c r="XK16" s="13"/>
      <c r="XL16" s="171"/>
      <c r="XN16" s="245"/>
      <c r="XO16" s="263"/>
      <c r="XR16" s="245"/>
      <c r="XT16" s="261"/>
      <c r="XU16" s="13"/>
      <c r="XX16" s="245"/>
      <c r="XY16" s="263"/>
      <c r="YB16" s="262"/>
      <c r="YD16" s="261"/>
      <c r="YE16" s="177"/>
      <c r="YF16" s="171"/>
      <c r="YH16" s="245"/>
      <c r="YI16" s="263"/>
      <c r="YL16" s="245">
        <f>YF16-YH16-YJ16-YK16</f>
        <v>0</v>
      </c>
      <c r="YN16" s="261"/>
      <c r="YO16" s="177"/>
      <c r="YP16" s="171"/>
      <c r="YQ16" s="176">
        <f>YP16*75</f>
        <v>0</v>
      </c>
      <c r="YR16" s="171"/>
      <c r="YS16" s="176">
        <v>0</v>
      </c>
      <c r="YT16" s="171"/>
      <c r="YU16" s="171"/>
      <c r="YV16" s="245">
        <f t="shared" si="192"/>
        <v>0</v>
      </c>
      <c r="YW16" s="171">
        <f>YV16*75</f>
        <v>0</v>
      </c>
      <c r="YX16" s="10" t="e">
        <f>YW16/YQ16</f>
        <v>#DIV/0!</v>
      </c>
      <c r="YY16" s="13"/>
      <c r="ZB16" s="1526"/>
      <c r="ZC16" s="171">
        <f t="shared" si="178"/>
        <v>0</v>
      </c>
      <c r="ZD16" s="1515"/>
      <c r="ZE16" s="176"/>
      <c r="ZF16" s="245">
        <f t="shared" si="179"/>
        <v>0</v>
      </c>
      <c r="ZG16" s="171">
        <f>ZF16*75</f>
        <v>0</v>
      </c>
      <c r="ZH16" s="10" t="e">
        <f>ZG16/ZA16</f>
        <v>#DIV/0!</v>
      </c>
      <c r="ZI16" s="13"/>
      <c r="ZL16" s="1526"/>
      <c r="ZM16" s="171">
        <f t="shared" si="180"/>
        <v>0</v>
      </c>
      <c r="ZN16" s="1515">
        <v>0</v>
      </c>
      <c r="ZO16" s="176">
        <v>0</v>
      </c>
      <c r="ZP16" s="245">
        <f t="shared" si="181"/>
        <v>0</v>
      </c>
      <c r="ZQ16" s="171">
        <f>ZP16*75</f>
        <v>0</v>
      </c>
      <c r="ZR16" s="10" t="e">
        <f>ZQ16/ZK16</f>
        <v>#DIV/0!</v>
      </c>
      <c r="ZS16" s="13"/>
      <c r="ZT16" s="9">
        <f t="shared" si="82"/>
        <v>0</v>
      </c>
      <c r="ZU16" s="9">
        <f t="shared" si="82"/>
        <v>0</v>
      </c>
      <c r="ZV16" s="57">
        <f t="shared" si="82"/>
        <v>0</v>
      </c>
      <c r="ZW16" s="58">
        <f t="shared" si="82"/>
        <v>0</v>
      </c>
      <c r="ZX16" s="57">
        <f t="shared" si="183"/>
        <v>0</v>
      </c>
      <c r="ZY16" s="57">
        <f t="shared" si="83"/>
        <v>0</v>
      </c>
      <c r="ZZ16" s="10"/>
      <c r="AAA16" s="13"/>
      <c r="AAD16" s="262"/>
      <c r="AAE16" s="263"/>
      <c r="AAH16" s="10"/>
      <c r="AAI16" s="177"/>
      <c r="AAJ16" s="171"/>
      <c r="AAK16" s="171">
        <f>WI16+WS16+XC16</f>
        <v>0</v>
      </c>
      <c r="AAL16" s="245"/>
      <c r="AAM16" s="176"/>
      <c r="AAN16" s="171">
        <f t="shared" si="87"/>
        <v>0</v>
      </c>
      <c r="AAO16" s="171">
        <f t="shared" si="87"/>
        <v>0</v>
      </c>
      <c r="AAP16" s="10"/>
      <c r="AAQ16" s="13"/>
      <c r="AAX16" s="261"/>
      <c r="AAY16" s="59">
        <f>YO16+YY16+ZI16</f>
        <v>0</v>
      </c>
      <c r="AAZ16" s="9">
        <f t="shared" si="90"/>
        <v>0</v>
      </c>
      <c r="ABA16" s="9">
        <f t="shared" si="90"/>
        <v>0</v>
      </c>
      <c r="ABB16" s="9">
        <f t="shared" si="90"/>
        <v>0</v>
      </c>
      <c r="ABC16" s="9">
        <f t="shared" si="90"/>
        <v>0</v>
      </c>
      <c r="ABD16" s="9">
        <f t="shared" si="184"/>
        <v>0</v>
      </c>
      <c r="ABE16" s="9">
        <f t="shared" si="184"/>
        <v>0</v>
      </c>
      <c r="ABF16" s="261"/>
    </row>
    <row r="17" spans="1:737" s="14" customFormat="1" ht="15.6" hidden="1" x14ac:dyDescent="0.3">
      <c r="A17" s="5"/>
      <c r="B17" s="229"/>
      <c r="C17" s="69"/>
      <c r="D17" s="5"/>
      <c r="E17" s="171"/>
      <c r="F17" s="171"/>
      <c r="G17" s="245"/>
      <c r="H17" s="176"/>
      <c r="I17" s="171"/>
      <c r="J17" s="171"/>
      <c r="K17" s="7"/>
      <c r="L17" s="280"/>
      <c r="M17" s="171"/>
      <c r="N17" s="171"/>
      <c r="O17" s="245"/>
      <c r="P17" s="176"/>
      <c r="Q17" s="8"/>
      <c r="R17" s="8"/>
      <c r="S17" s="7"/>
      <c r="T17" s="5"/>
      <c r="U17" s="171"/>
      <c r="V17" s="171"/>
      <c r="W17" s="171"/>
      <c r="X17" s="171"/>
      <c r="Y17" s="8"/>
      <c r="Z17" s="8"/>
      <c r="AA17" s="7"/>
      <c r="AB17" s="280"/>
      <c r="AC17" s="171"/>
      <c r="AD17" s="171"/>
      <c r="AE17" s="171"/>
      <c r="AF17" s="171"/>
      <c r="AG17" s="8"/>
      <c r="AH17" s="8"/>
      <c r="AI17" s="85"/>
      <c r="AJ17" s="5"/>
      <c r="AK17" s="171"/>
      <c r="AL17" s="171"/>
      <c r="AM17" s="171"/>
      <c r="AN17" s="171"/>
      <c r="AO17" s="8"/>
      <c r="AP17" s="8"/>
      <c r="AQ17" s="7"/>
      <c r="AR17" s="280"/>
      <c r="AS17" s="171"/>
      <c r="AT17" s="171"/>
      <c r="AU17" s="171"/>
      <c r="AV17" s="171"/>
      <c r="AW17" s="8"/>
      <c r="AX17" s="8"/>
      <c r="AY17" s="85"/>
      <c r="AZ17" s="5"/>
      <c r="BA17" s="171"/>
      <c r="BB17" s="171"/>
      <c r="BC17" s="171"/>
      <c r="BD17" s="171"/>
      <c r="BE17" s="8"/>
      <c r="BF17" s="8"/>
      <c r="BG17" s="7"/>
      <c r="BH17" s="280"/>
      <c r="BI17" s="171"/>
      <c r="BJ17" s="171"/>
      <c r="BK17" s="171"/>
      <c r="BL17" s="171"/>
      <c r="BM17" s="8"/>
      <c r="BN17" s="8"/>
      <c r="BO17" s="85"/>
      <c r="BP17" s="5"/>
      <c r="BQ17" s="171"/>
      <c r="BR17" s="171"/>
      <c r="BS17" s="171"/>
      <c r="BT17" s="171"/>
      <c r="BU17" s="8"/>
      <c r="BV17" s="8"/>
      <c r="BW17" s="7"/>
      <c r="BX17" s="280"/>
      <c r="BY17" s="171"/>
      <c r="BZ17" s="171"/>
      <c r="CA17" s="171"/>
      <c r="CB17" s="171"/>
      <c r="CC17" s="8"/>
      <c r="CD17" s="8"/>
      <c r="CE17" s="85"/>
      <c r="CF17" s="5"/>
      <c r="CG17" s="171"/>
      <c r="CH17" s="171"/>
      <c r="CI17" s="171"/>
      <c r="CJ17" s="171"/>
      <c r="CK17" s="8"/>
      <c r="CL17" s="8"/>
      <c r="CM17" s="7"/>
      <c r="CN17" s="280"/>
      <c r="CO17" s="171"/>
      <c r="CP17" s="171"/>
      <c r="CQ17" s="245"/>
      <c r="CR17" s="176"/>
      <c r="CS17" s="8"/>
      <c r="CT17" s="8"/>
      <c r="CU17" s="85"/>
      <c r="CV17" s="5"/>
      <c r="CW17" s="280"/>
      <c r="CX17" s="171"/>
      <c r="CY17" s="257"/>
      <c r="CZ17" s="171"/>
      <c r="DA17" s="8"/>
      <c r="DB17" s="8"/>
      <c r="DC17" s="7"/>
      <c r="DD17" s="298"/>
      <c r="DE17" s="171"/>
      <c r="DF17" s="176"/>
      <c r="DG17" s="245"/>
      <c r="DH17" s="176"/>
      <c r="DI17" s="8"/>
      <c r="DJ17" s="8"/>
      <c r="DK17" s="281"/>
      <c r="DL17" s="5"/>
      <c r="DM17" s="171"/>
      <c r="DN17" s="176"/>
      <c r="DO17" s="171"/>
      <c r="DP17" s="171"/>
      <c r="DQ17" s="282"/>
      <c r="DR17" s="8"/>
      <c r="DS17" s="281"/>
      <c r="DT17" s="280"/>
      <c r="DU17" s="171"/>
      <c r="DV17" s="176"/>
      <c r="DW17" s="245"/>
      <c r="DX17" s="176"/>
      <c r="DY17" s="8"/>
      <c r="DZ17" s="8"/>
      <c r="EA17" s="283"/>
      <c r="EB17" s="284"/>
      <c r="EC17" s="171"/>
      <c r="ED17" s="171"/>
      <c r="EE17" s="245"/>
      <c r="EF17" s="176"/>
      <c r="EG17" s="8"/>
      <c r="EH17" s="8"/>
      <c r="EI17" s="285"/>
      <c r="EJ17" s="284"/>
      <c r="EK17" s="171"/>
      <c r="EL17" s="171"/>
      <c r="EM17" s="245"/>
      <c r="EN17" s="176"/>
      <c r="EO17" s="8"/>
      <c r="EP17" s="8"/>
      <c r="EQ17" s="285"/>
      <c r="ER17" s="284"/>
      <c r="ES17" s="171"/>
      <c r="ET17" s="171"/>
      <c r="EU17" s="245"/>
      <c r="EV17" s="176"/>
      <c r="EW17" s="8"/>
      <c r="EX17" s="8"/>
      <c r="EY17" s="285"/>
      <c r="EZ17" s="284"/>
      <c r="FA17" s="171"/>
      <c r="FB17" s="171"/>
      <c r="FC17" s="245"/>
      <c r="FD17" s="176"/>
      <c r="FE17" s="8"/>
      <c r="FF17" s="8"/>
      <c r="FG17" s="285"/>
      <c r="FH17" s="280"/>
      <c r="FI17" s="171"/>
      <c r="FJ17" s="171"/>
      <c r="FK17" s="286"/>
      <c r="FL17" s="287"/>
      <c r="FM17" s="8"/>
      <c r="FN17" s="8"/>
      <c r="FO17" s="7"/>
      <c r="FP17" s="280"/>
      <c r="FQ17" s="171"/>
      <c r="FR17" s="171"/>
      <c r="FS17" s="171"/>
      <c r="FT17" s="171"/>
      <c r="FU17" s="171"/>
      <c r="FV17" s="171"/>
      <c r="FW17" s="8"/>
      <c r="FX17" s="8"/>
      <c r="FY17" s="85"/>
      <c r="FZ17" s="5"/>
      <c r="GA17" s="171"/>
      <c r="GB17" s="171"/>
      <c r="GC17" s="171"/>
      <c r="GD17" s="171"/>
      <c r="GE17" s="171"/>
      <c r="GF17" s="171"/>
      <c r="GG17" s="8"/>
      <c r="GH17" s="8"/>
      <c r="GI17" s="7"/>
      <c r="GJ17" s="280"/>
      <c r="GK17" s="288"/>
      <c r="GL17" s="288"/>
      <c r="GM17" s="288"/>
      <c r="GN17" s="288"/>
      <c r="GO17" s="288"/>
      <c r="GP17" s="288"/>
      <c r="GQ17" s="8"/>
      <c r="GR17" s="8"/>
      <c r="GS17" s="85"/>
      <c r="GT17" s="5"/>
      <c r="GU17" s="171"/>
      <c r="GV17" s="171"/>
      <c r="GW17" s="245"/>
      <c r="GX17" s="176"/>
      <c r="GY17" s="171"/>
      <c r="GZ17" s="171"/>
      <c r="HA17" s="8"/>
      <c r="HB17" s="8"/>
      <c r="HC17" s="7"/>
      <c r="HD17" s="171"/>
      <c r="HE17" s="171"/>
      <c r="HF17" s="171"/>
      <c r="HG17" s="171"/>
      <c r="HH17" s="171"/>
      <c r="HI17" s="8"/>
      <c r="HJ17" s="8"/>
      <c r="HK17" s="7"/>
      <c r="HL17" s="5"/>
      <c r="HM17" s="171"/>
      <c r="HN17" s="171"/>
      <c r="HO17" s="245"/>
      <c r="HP17" s="176"/>
      <c r="HQ17" s="8"/>
      <c r="HR17" s="8"/>
      <c r="HS17" s="7"/>
      <c r="HT17" s="298"/>
      <c r="HU17" s="257"/>
      <c r="HV17" s="171"/>
      <c r="HW17" s="295"/>
      <c r="HX17" s="268"/>
      <c r="HY17" s="171"/>
      <c r="HZ17" s="171"/>
      <c r="IA17" s="7"/>
      <c r="IB17" s="5"/>
      <c r="IC17" s="171"/>
      <c r="ID17" s="171"/>
      <c r="IE17" s="171"/>
      <c r="IF17" s="171"/>
      <c r="IG17" s="8"/>
      <c r="IH17" s="8"/>
      <c r="II17" s="7"/>
      <c r="IJ17" s="247"/>
      <c r="IK17" s="257"/>
      <c r="IL17" s="171"/>
      <c r="IM17" s="171"/>
      <c r="IN17" s="171"/>
      <c r="IO17" s="8"/>
      <c r="IP17" s="8"/>
      <c r="IQ17" s="7"/>
      <c r="IS17" s="247"/>
      <c r="IT17" s="257"/>
      <c r="IU17" s="171"/>
      <c r="IV17" s="258"/>
      <c r="IW17" s="249">
        <f t="shared" si="93"/>
        <v>0</v>
      </c>
      <c r="IX17" s="9"/>
      <c r="IY17" s="9"/>
      <c r="IZ17" s="267"/>
      <c r="JA17" s="9"/>
      <c r="JB17" s="261"/>
      <c r="JC17" s="11"/>
      <c r="JF17" s="248"/>
      <c r="JG17" s="249"/>
      <c r="JH17" s="9"/>
      <c r="JI17" s="9"/>
      <c r="JJ17" s="267"/>
      <c r="JL17" s="261"/>
      <c r="JP17" s="262"/>
      <c r="JQ17" s="263"/>
      <c r="JR17" s="1515"/>
      <c r="JT17" s="267"/>
      <c r="JU17" s="851">
        <f t="shared" si="103"/>
        <v>0</v>
      </c>
      <c r="JV17" s="261"/>
      <c r="JW17" s="13"/>
      <c r="JX17" s="171"/>
      <c r="JY17" s="171"/>
      <c r="JZ17" s="245"/>
      <c r="KA17" s="176"/>
      <c r="KB17" s="1515"/>
      <c r="KD17" s="267"/>
      <c r="KE17" s="171"/>
      <c r="KF17" s="261"/>
      <c r="KG17" s="11"/>
      <c r="KJ17" s="262"/>
      <c r="KK17" s="263"/>
      <c r="KL17" s="1515"/>
      <c r="KN17" s="267"/>
      <c r="KP17" s="261"/>
      <c r="KQ17" s="13"/>
      <c r="KR17" s="171"/>
      <c r="KT17" s="245"/>
      <c r="KU17" s="263"/>
      <c r="KV17" s="1515"/>
      <c r="KX17" s="267"/>
      <c r="KZ17" s="261"/>
      <c r="LA17" s="13"/>
      <c r="LB17" s="171"/>
      <c r="LC17" s="171">
        <f t="shared" si="116"/>
        <v>0</v>
      </c>
      <c r="LD17" s="245"/>
      <c r="LE17" s="176">
        <f t="shared" si="117"/>
        <v>0</v>
      </c>
      <c r="LF17" s="1515"/>
      <c r="LH17" s="267"/>
      <c r="LJ17" s="261"/>
      <c r="LK17" s="13"/>
      <c r="LN17" s="245"/>
      <c r="LO17" s="176">
        <f t="shared" si="121"/>
        <v>0</v>
      </c>
      <c r="LP17" s="1515"/>
      <c r="LR17" s="267"/>
      <c r="LS17" s="849">
        <f t="shared" si="123"/>
        <v>0</v>
      </c>
      <c r="LT17" s="261"/>
      <c r="LU17" s="177"/>
      <c r="LV17" s="171"/>
      <c r="LX17" s="245"/>
      <c r="LY17" s="263"/>
      <c r="LZ17" s="1515"/>
      <c r="MA17" s="1527"/>
      <c r="MB17" s="267"/>
      <c r="MD17" s="261"/>
      <c r="ME17" s="177"/>
      <c r="MF17" s="171"/>
      <c r="MG17" s="176">
        <f t="shared" si="128"/>
        <v>0</v>
      </c>
      <c r="MH17" s="171"/>
      <c r="MI17" s="176">
        <f t="shared" si="129"/>
        <v>0</v>
      </c>
      <c r="MJ17" s="1515"/>
      <c r="MK17" s="1527"/>
      <c r="ML17" s="171"/>
      <c r="MM17" s="849">
        <f t="shared" si="131"/>
        <v>0</v>
      </c>
      <c r="MN17" s="10"/>
      <c r="MO17" s="13"/>
      <c r="MQ17" s="176">
        <f t="shared" si="132"/>
        <v>0</v>
      </c>
      <c r="MR17" s="1526"/>
      <c r="MS17" s="171">
        <f t="shared" si="133"/>
        <v>0</v>
      </c>
      <c r="MT17" s="1515"/>
      <c r="MU17" s="1527"/>
      <c r="MV17" s="171"/>
      <c r="MW17" s="171">
        <f t="shared" si="135"/>
        <v>0</v>
      </c>
      <c r="MX17" s="55"/>
      <c r="MY17" s="13"/>
      <c r="NB17" s="1526"/>
      <c r="NC17" s="268"/>
      <c r="ND17" s="171"/>
      <c r="NE17" s="171"/>
      <c r="NF17" s="267"/>
      <c r="NG17" s="9"/>
      <c r="NH17" s="10"/>
      <c r="NJ17" s="9">
        <f t="shared" si="194"/>
        <v>0</v>
      </c>
      <c r="NK17" s="9">
        <f t="shared" si="194"/>
        <v>0</v>
      </c>
      <c r="NL17" s="1518">
        <f t="shared" si="194"/>
        <v>0</v>
      </c>
      <c r="NM17" s="1519">
        <f t="shared" si="194"/>
        <v>0</v>
      </c>
      <c r="NN17" s="1518">
        <f t="shared" si="139"/>
        <v>0</v>
      </c>
      <c r="NO17" s="9">
        <f t="shared" si="139"/>
        <v>0</v>
      </c>
      <c r="NP17" s="10"/>
      <c r="NQ17" s="13"/>
      <c r="NT17" s="262"/>
      <c r="NU17" s="263"/>
      <c r="NX17" s="10"/>
      <c r="NY17" s="177"/>
      <c r="NZ17" s="171"/>
      <c r="OA17" s="171"/>
      <c r="OB17" s="245"/>
      <c r="OC17" s="176"/>
      <c r="OD17" s="171"/>
      <c r="OE17" s="171"/>
      <c r="OF17" s="10"/>
      <c r="OG17" s="13"/>
      <c r="OO17" s="59"/>
      <c r="OP17" s="9"/>
      <c r="OQ17" s="9"/>
      <c r="OR17" s="1518"/>
      <c r="OS17" s="1519"/>
      <c r="OT17" s="9"/>
      <c r="OU17" s="9"/>
      <c r="OV17" s="261"/>
      <c r="OX17" s="247"/>
      <c r="OY17" s="257"/>
      <c r="OZ17" s="171"/>
      <c r="PA17" s="258"/>
      <c r="PB17" s="249"/>
      <c r="PC17" s="9"/>
      <c r="PD17" s="9"/>
      <c r="PE17" s="267">
        <f t="shared" si="152"/>
        <v>0</v>
      </c>
      <c r="PF17" s="9"/>
      <c r="PG17" s="261"/>
      <c r="PH17" s="11"/>
      <c r="PK17" s="248"/>
      <c r="PL17" s="249"/>
      <c r="PM17" s="9"/>
      <c r="PN17" s="9"/>
      <c r="PO17" s="267">
        <f t="shared" si="153"/>
        <v>0</v>
      </c>
      <c r="PQ17" s="261"/>
      <c r="PU17" s="262"/>
      <c r="PV17" s="249"/>
      <c r="PW17" s="9"/>
      <c r="PX17" s="171"/>
      <c r="PY17" s="245">
        <f t="shared" si="154"/>
        <v>0</v>
      </c>
      <c r="QB17" s="13"/>
      <c r="QC17" s="171"/>
      <c r="QD17" s="171"/>
      <c r="QE17" s="245"/>
      <c r="QF17" s="176"/>
      <c r="QG17" s="171"/>
      <c r="QH17" s="171"/>
      <c r="QI17" s="267">
        <f t="shared" si="155"/>
        <v>0</v>
      </c>
      <c r="QJ17" s="171"/>
      <c r="QK17" s="261"/>
      <c r="QL17" s="11"/>
      <c r="QN17" s="171">
        <f t="shared" si="156"/>
        <v>0</v>
      </c>
      <c r="QO17" s="262"/>
      <c r="QP17" s="176">
        <f t="shared" si="204"/>
        <v>0</v>
      </c>
      <c r="QQ17" s="171"/>
      <c r="QR17" s="171"/>
      <c r="QS17" s="267">
        <f t="shared" si="157"/>
        <v>0</v>
      </c>
      <c r="QU17" s="261"/>
      <c r="QV17" s="13"/>
      <c r="QW17" s="171"/>
      <c r="QX17" s="171">
        <f t="shared" si="158"/>
        <v>0</v>
      </c>
      <c r="QY17" s="245"/>
      <c r="QZ17" s="176">
        <f t="shared" si="159"/>
        <v>0</v>
      </c>
      <c r="RA17" s="171"/>
      <c r="RB17" s="171"/>
      <c r="RC17" s="245">
        <f t="shared" si="160"/>
        <v>0</v>
      </c>
      <c r="RD17" s="849">
        <f t="shared" si="161"/>
        <v>0</v>
      </c>
      <c r="RE17" s="261"/>
      <c r="RF17" s="13"/>
      <c r="RG17" s="171"/>
      <c r="RI17" s="245"/>
      <c r="RJ17" s="263"/>
      <c r="RM17" s="245"/>
      <c r="RO17" s="261"/>
      <c r="RP17" s="13"/>
      <c r="RS17" s="245"/>
      <c r="RT17" s="263"/>
      <c r="RW17" s="262"/>
      <c r="RY17" s="261"/>
      <c r="RZ17" s="177"/>
      <c r="SA17" s="171"/>
      <c r="SC17" s="245"/>
      <c r="SD17" s="263"/>
      <c r="SG17" s="245">
        <f t="shared" si="168"/>
        <v>0</v>
      </c>
      <c r="SI17" s="261"/>
      <c r="SJ17" s="177"/>
      <c r="SK17" s="171"/>
      <c r="SL17" s="176"/>
      <c r="SM17" s="171"/>
      <c r="SN17" s="176"/>
      <c r="SO17" s="171"/>
      <c r="SP17" s="171"/>
      <c r="SQ17" s="245">
        <f t="shared" si="169"/>
        <v>0</v>
      </c>
      <c r="SR17" s="171"/>
      <c r="SS17" s="10"/>
      <c r="ST17" s="13"/>
      <c r="SW17" s="1526"/>
      <c r="SX17" s="171">
        <f t="shared" si="170"/>
        <v>0</v>
      </c>
      <c r="SY17" s="1515"/>
      <c r="SZ17" s="176"/>
      <c r="TA17" s="245">
        <f t="shared" si="171"/>
        <v>0</v>
      </c>
      <c r="TB17" s="171"/>
      <c r="TC17" s="10"/>
      <c r="TD17" s="13"/>
      <c r="TG17" s="1526"/>
      <c r="TH17" s="171">
        <f t="shared" si="172"/>
        <v>0</v>
      </c>
      <c r="TI17" s="1515"/>
      <c r="TJ17" s="176"/>
      <c r="TK17" s="245">
        <f t="shared" si="173"/>
        <v>0</v>
      </c>
      <c r="TL17" s="171"/>
      <c r="TM17" s="10"/>
      <c r="TN17" s="13"/>
      <c r="TO17" s="9"/>
      <c r="TP17" s="9"/>
      <c r="TQ17" s="57"/>
      <c r="TR17" s="58"/>
      <c r="TS17" s="57">
        <f t="shared" si="34"/>
        <v>0</v>
      </c>
      <c r="TT17" s="57">
        <f t="shared" si="34"/>
        <v>0</v>
      </c>
      <c r="TU17" s="10"/>
      <c r="TV17" s="13"/>
      <c r="TY17" s="262"/>
      <c r="TZ17" s="263"/>
      <c r="UC17" s="10"/>
      <c r="UD17" s="177"/>
      <c r="UE17" s="171"/>
      <c r="UF17" s="171">
        <f>QD17+QN17+QX17</f>
        <v>0</v>
      </c>
      <c r="UG17" s="245"/>
      <c r="UH17" s="176"/>
      <c r="UI17" s="171">
        <f t="shared" si="201"/>
        <v>0</v>
      </c>
      <c r="UJ17" s="171">
        <f t="shared" si="201"/>
        <v>0</v>
      </c>
      <c r="UK17" s="10"/>
      <c r="UL17" s="13"/>
      <c r="US17" s="261"/>
      <c r="UT17" s="59"/>
      <c r="UU17" s="9"/>
      <c r="UV17" s="9"/>
      <c r="UW17" s="9"/>
      <c r="UX17" s="9"/>
      <c r="UY17" s="9">
        <f t="shared" si="176"/>
        <v>0</v>
      </c>
      <c r="UZ17" s="9">
        <f t="shared" si="176"/>
        <v>0</v>
      </c>
      <c r="VA17" s="261"/>
      <c r="VC17" s="247"/>
      <c r="VD17" s="257"/>
      <c r="VE17" s="171"/>
      <c r="VF17" s="258"/>
      <c r="VG17" s="249">
        <f t="shared" si="186"/>
        <v>0</v>
      </c>
      <c r="VH17" s="9"/>
      <c r="VI17" s="9"/>
      <c r="VJ17" s="267">
        <f t="shared" si="202"/>
        <v>0</v>
      </c>
      <c r="VK17" s="9">
        <f t="shared" si="187"/>
        <v>0</v>
      </c>
      <c r="VL17" s="858" t="e">
        <f t="shared" si="188"/>
        <v>#DIV/0!</v>
      </c>
      <c r="VM17" s="11"/>
      <c r="VP17" s="248"/>
      <c r="VQ17" s="249"/>
      <c r="VR17" s="9"/>
      <c r="VS17" s="9"/>
      <c r="VT17" s="267">
        <f t="shared" si="46"/>
        <v>0</v>
      </c>
      <c r="VV17" s="261"/>
      <c r="VZ17" s="262"/>
      <c r="WA17" s="249"/>
      <c r="WB17" s="9"/>
      <c r="WC17" s="9"/>
      <c r="WD17" s="245">
        <f t="shared" si="50"/>
        <v>0</v>
      </c>
      <c r="WG17" s="13"/>
      <c r="WH17" s="171"/>
      <c r="WI17" s="171"/>
      <c r="WJ17" s="245"/>
      <c r="WK17" s="176"/>
      <c r="WL17" s="171"/>
      <c r="WM17" s="171"/>
      <c r="WN17" s="267">
        <f t="shared" si="55"/>
        <v>0</v>
      </c>
      <c r="WO17" s="171"/>
      <c r="WP17" s="261"/>
      <c r="WQ17" s="13"/>
      <c r="WR17" s="171"/>
      <c r="WS17" s="171"/>
      <c r="WT17" s="245"/>
      <c r="WU17" s="176"/>
      <c r="WV17" s="171"/>
      <c r="WW17" s="171"/>
      <c r="WX17" s="267">
        <f t="shared" si="59"/>
        <v>0</v>
      </c>
      <c r="WY17" s="171"/>
      <c r="WZ17" s="261"/>
      <c r="XA17" s="13"/>
      <c r="XB17" s="171"/>
      <c r="XC17" s="171">
        <f t="shared" si="61"/>
        <v>0</v>
      </c>
      <c r="XD17" s="245"/>
      <c r="XE17" s="176">
        <f t="shared" si="62"/>
        <v>0</v>
      </c>
      <c r="XF17" s="171"/>
      <c r="XG17" s="171"/>
      <c r="XH17" s="245">
        <f t="shared" si="63"/>
        <v>0</v>
      </c>
      <c r="XI17" s="849">
        <f t="shared" si="64"/>
        <v>0</v>
      </c>
      <c r="XJ17" s="261"/>
      <c r="XK17" s="13"/>
      <c r="XL17" s="171"/>
      <c r="XN17" s="245"/>
      <c r="XO17" s="263"/>
      <c r="XR17" s="245"/>
      <c r="XT17" s="261"/>
      <c r="XU17" s="13"/>
      <c r="XX17" s="245"/>
      <c r="XY17" s="263"/>
      <c r="YB17" s="262"/>
      <c r="YD17" s="261"/>
      <c r="YE17" s="177"/>
      <c r="YF17" s="171"/>
      <c r="YH17" s="245"/>
      <c r="YI17" s="263"/>
      <c r="YL17" s="245">
        <f>YF17-YH17-YJ17-YK17</f>
        <v>0</v>
      </c>
      <c r="YN17" s="261"/>
      <c r="YO17" s="177"/>
      <c r="YP17" s="171"/>
      <c r="YQ17" s="176"/>
      <c r="YR17" s="171"/>
      <c r="YS17" s="176"/>
      <c r="YT17" s="171"/>
      <c r="YU17" s="171"/>
      <c r="YV17" s="245">
        <f t="shared" si="192"/>
        <v>0</v>
      </c>
      <c r="YW17" s="171"/>
      <c r="YX17" s="10"/>
      <c r="YY17" s="13"/>
      <c r="ZB17" s="1526"/>
      <c r="ZC17" s="171">
        <f t="shared" si="178"/>
        <v>0</v>
      </c>
      <c r="ZD17" s="1515"/>
      <c r="ZE17" s="176"/>
      <c r="ZF17" s="245">
        <f t="shared" si="179"/>
        <v>0</v>
      </c>
      <c r="ZG17" s="171"/>
      <c r="ZH17" s="10"/>
      <c r="ZI17" s="13"/>
      <c r="ZL17" s="1526"/>
      <c r="ZM17" s="171">
        <f t="shared" si="180"/>
        <v>0</v>
      </c>
      <c r="ZN17" s="1515">
        <v>0</v>
      </c>
      <c r="ZO17" s="176">
        <v>0</v>
      </c>
      <c r="ZP17" s="245">
        <f t="shared" si="181"/>
        <v>0</v>
      </c>
      <c r="ZQ17" s="171"/>
      <c r="ZR17" s="10"/>
      <c r="ZS17" s="13"/>
      <c r="ZT17" s="9"/>
      <c r="ZU17" s="9"/>
      <c r="ZV17" s="57"/>
      <c r="ZW17" s="58"/>
      <c r="ZX17" s="57">
        <f t="shared" si="183"/>
        <v>0</v>
      </c>
      <c r="ZY17" s="57">
        <f t="shared" si="83"/>
        <v>0</v>
      </c>
      <c r="ZZ17" s="10"/>
      <c r="AAA17" s="13"/>
      <c r="AAD17" s="262"/>
      <c r="AAE17" s="263"/>
      <c r="AAH17" s="10"/>
      <c r="AAI17" s="177"/>
      <c r="AAJ17" s="171"/>
      <c r="AAK17" s="171">
        <f>WI17+WS17+XC17</f>
        <v>0</v>
      </c>
      <c r="AAL17" s="245"/>
      <c r="AAM17" s="176"/>
      <c r="AAN17" s="171">
        <f t="shared" si="87"/>
        <v>0</v>
      </c>
      <c r="AAO17" s="171">
        <f t="shared" si="87"/>
        <v>0</v>
      </c>
      <c r="AAP17" s="10"/>
      <c r="AAQ17" s="13"/>
      <c r="AAX17" s="261"/>
      <c r="AAY17" s="59"/>
      <c r="AAZ17" s="9"/>
      <c r="ABA17" s="9"/>
      <c r="ABB17" s="9"/>
      <c r="ABC17" s="9"/>
      <c r="ABD17" s="9">
        <f t="shared" si="184"/>
        <v>0</v>
      </c>
      <c r="ABE17" s="9">
        <f t="shared" si="184"/>
        <v>0</v>
      </c>
      <c r="ABF17" s="261"/>
    </row>
    <row r="18" spans="1:737" s="14" customFormat="1" x14ac:dyDescent="0.3">
      <c r="A18" s="5"/>
      <c r="D18" s="13"/>
      <c r="E18" s="171"/>
      <c r="F18" s="171">
        <f>E18*70</f>
        <v>0</v>
      </c>
      <c r="G18" s="245"/>
      <c r="H18" s="176">
        <f>G18*70</f>
        <v>0</v>
      </c>
      <c r="I18" s="171">
        <f>E18-G18</f>
        <v>0</v>
      </c>
      <c r="J18" s="171">
        <f>I18*70</f>
        <v>0</v>
      </c>
      <c r="K18" s="7"/>
      <c r="M18" s="171"/>
      <c r="N18" s="171">
        <f>M18*70</f>
        <v>0</v>
      </c>
      <c r="O18" s="245"/>
      <c r="P18" s="176">
        <f>O18*70</f>
        <v>0</v>
      </c>
      <c r="Q18" s="8">
        <f>M18-O18</f>
        <v>0</v>
      </c>
      <c r="R18" s="8">
        <f>Q18*70</f>
        <v>0</v>
      </c>
      <c r="S18" s="261"/>
      <c r="T18" s="13"/>
      <c r="U18" s="171"/>
      <c r="V18" s="171">
        <f>U18*70</f>
        <v>0</v>
      </c>
      <c r="W18" s="171"/>
      <c r="X18" s="171">
        <f>W18*70</f>
        <v>0</v>
      </c>
      <c r="Y18" s="8">
        <f>U18-W18</f>
        <v>0</v>
      </c>
      <c r="Z18" s="8">
        <f>Y18*70</f>
        <v>0</v>
      </c>
      <c r="AA18" s="261"/>
      <c r="AC18" s="171"/>
      <c r="AD18" s="171">
        <f>AC18*70</f>
        <v>0</v>
      </c>
      <c r="AE18" s="171"/>
      <c r="AF18" s="171">
        <f>AE18*70</f>
        <v>0</v>
      </c>
      <c r="AG18" s="8">
        <f>AC18-AE18</f>
        <v>0</v>
      </c>
      <c r="AH18" s="8">
        <f>AG18*70</f>
        <v>0</v>
      </c>
      <c r="AJ18" s="13"/>
      <c r="AK18" s="171"/>
      <c r="AL18" s="171">
        <f>AK18*70</f>
        <v>0</v>
      </c>
      <c r="AM18" s="171"/>
      <c r="AN18" s="171">
        <f>AM18*70</f>
        <v>0</v>
      </c>
      <c r="AO18" s="8">
        <f>AK18-AM18</f>
        <v>0</v>
      </c>
      <c r="AP18" s="8">
        <f>AO18*70</f>
        <v>0</v>
      </c>
      <c r="AQ18" s="261"/>
      <c r="AS18" s="171"/>
      <c r="AT18" s="171">
        <f>AS18*70</f>
        <v>0</v>
      </c>
      <c r="AU18" s="171"/>
      <c r="AV18" s="171">
        <f>AU18*70</f>
        <v>0</v>
      </c>
      <c r="AW18" s="8">
        <f>AS18-AU18</f>
        <v>0</v>
      </c>
      <c r="AX18" s="8">
        <f>AW18*70</f>
        <v>0</v>
      </c>
      <c r="AZ18" s="13"/>
      <c r="BA18" s="171"/>
      <c r="BB18" s="171">
        <f>BA18*70</f>
        <v>0</v>
      </c>
      <c r="BC18" s="171"/>
      <c r="BD18" s="171">
        <f>BC18*70</f>
        <v>0</v>
      </c>
      <c r="BE18" s="8">
        <f>BA18-BC18</f>
        <v>0</v>
      </c>
      <c r="BF18" s="8">
        <f>BE18*70</f>
        <v>0</v>
      </c>
      <c r="BG18" s="261"/>
      <c r="BI18" s="171"/>
      <c r="BJ18" s="171">
        <f>BI18*70</f>
        <v>0</v>
      </c>
      <c r="BK18" s="171"/>
      <c r="BL18" s="171">
        <f>BK18*70</f>
        <v>0</v>
      </c>
      <c r="BM18" s="8">
        <f>BI18-BK18</f>
        <v>0</v>
      </c>
      <c r="BN18" s="8">
        <f>BM18*70</f>
        <v>0</v>
      </c>
      <c r="BP18" s="13"/>
      <c r="BQ18" s="171"/>
      <c r="BR18" s="171">
        <f>BQ18*70</f>
        <v>0</v>
      </c>
      <c r="BS18" s="171"/>
      <c r="BT18" s="171">
        <f>BS18*70</f>
        <v>0</v>
      </c>
      <c r="BU18" s="8">
        <f>BQ18-BS18</f>
        <v>0</v>
      </c>
      <c r="BV18" s="8">
        <f>BU18*70</f>
        <v>0</v>
      </c>
      <c r="BW18" s="261"/>
      <c r="BY18" s="171"/>
      <c r="BZ18" s="171">
        <f>BY18*70</f>
        <v>0</v>
      </c>
      <c r="CA18" s="171"/>
      <c r="CB18" s="171">
        <f>CA18*70</f>
        <v>0</v>
      </c>
      <c r="CC18" s="8">
        <f>BY18-CA18</f>
        <v>0</v>
      </c>
      <c r="CD18" s="8">
        <f>CC18*70</f>
        <v>0</v>
      </c>
      <c r="CF18" s="13"/>
      <c r="CG18" s="171"/>
      <c r="CH18" s="171">
        <f>CG18*70</f>
        <v>0</v>
      </c>
      <c r="CI18" s="171"/>
      <c r="CJ18" s="171">
        <f>CI18*70</f>
        <v>0</v>
      </c>
      <c r="CK18" s="8">
        <f>CG18-CI18</f>
        <v>0</v>
      </c>
      <c r="CL18" s="8">
        <f>CK18*70</f>
        <v>0</v>
      </c>
      <c r="CM18" s="70"/>
      <c r="CO18" s="171"/>
      <c r="CP18" s="171">
        <f>CO18*70</f>
        <v>0</v>
      </c>
      <c r="CQ18" s="245"/>
      <c r="CR18" s="176">
        <f>CQ18*70</f>
        <v>0</v>
      </c>
      <c r="CS18" s="8">
        <f>CO18-CQ18</f>
        <v>0</v>
      </c>
      <c r="CT18" s="8">
        <f>CS18*70</f>
        <v>0</v>
      </c>
      <c r="CV18" s="13"/>
      <c r="CW18" s="171"/>
      <c r="CX18" s="171">
        <f>CW18*70</f>
        <v>0</v>
      </c>
      <c r="CY18" s="171"/>
      <c r="CZ18" s="171">
        <f>CY18*70</f>
        <v>0</v>
      </c>
      <c r="DA18" s="8">
        <f>CW18-CY18</f>
        <v>0</v>
      </c>
      <c r="DB18" s="8">
        <f>DA18*70</f>
        <v>0</v>
      </c>
      <c r="DC18" s="261"/>
      <c r="DD18" s="298">
        <v>0</v>
      </c>
      <c r="DE18" s="171">
        <v>0</v>
      </c>
      <c r="DF18" s="176">
        <f>DE18*70</f>
        <v>0</v>
      </c>
      <c r="DG18" s="245">
        <v>0</v>
      </c>
      <c r="DH18" s="176">
        <f>DG18*70</f>
        <v>0</v>
      </c>
      <c r="DI18" s="8">
        <f>DE18-DG18</f>
        <v>0</v>
      </c>
      <c r="DJ18" s="8">
        <f>DI18*70</f>
        <v>0</v>
      </c>
      <c r="DK18" s="1528"/>
      <c r="DL18" s="13"/>
      <c r="DM18" s="171">
        <v>0</v>
      </c>
      <c r="DN18" s="176">
        <f>DM18*70</f>
        <v>0</v>
      </c>
      <c r="DO18" s="171">
        <v>0</v>
      </c>
      <c r="DP18" s="171">
        <f>DO18*70</f>
        <v>0</v>
      </c>
      <c r="DQ18" s="282">
        <f>DM18-DO18</f>
        <v>0</v>
      </c>
      <c r="DR18" s="8">
        <f>DQ18*70</f>
        <v>0</v>
      </c>
      <c r="DS18" s="1528"/>
      <c r="DU18" s="171"/>
      <c r="DV18" s="176">
        <f>DU18*70</f>
        <v>0</v>
      </c>
      <c r="DW18" s="245"/>
      <c r="DX18" s="176">
        <f>DW18*70</f>
        <v>0</v>
      </c>
      <c r="DY18" s="8">
        <f>DU18-DW18</f>
        <v>0</v>
      </c>
      <c r="DZ18" s="8">
        <f>DY18*70</f>
        <v>0</v>
      </c>
      <c r="EA18" s="848"/>
      <c r="EB18" s="262"/>
      <c r="EC18" s="171"/>
      <c r="ED18" s="171">
        <f>EC18*70</f>
        <v>0</v>
      </c>
      <c r="EE18" s="245"/>
      <c r="EF18" s="176">
        <f>EE18*70</f>
        <v>0</v>
      </c>
      <c r="EG18" s="8">
        <f>EC18-EE18</f>
        <v>0</v>
      </c>
      <c r="EH18" s="8">
        <f>EG18*70</f>
        <v>0</v>
      </c>
      <c r="EI18" s="263"/>
      <c r="EJ18" s="262"/>
      <c r="EK18" s="171"/>
      <c r="EL18" s="171">
        <f>EK18*70</f>
        <v>0</v>
      </c>
      <c r="EM18" s="245"/>
      <c r="EN18" s="176">
        <f>EM18*70</f>
        <v>0</v>
      </c>
      <c r="EO18" s="8">
        <f>EK18-EM18</f>
        <v>0</v>
      </c>
      <c r="EP18" s="8">
        <f>EO18*70</f>
        <v>0</v>
      </c>
      <c r="EQ18" s="263"/>
      <c r="ER18" s="262"/>
      <c r="ES18" s="171"/>
      <c r="ET18" s="171">
        <f>ES18*70</f>
        <v>0</v>
      </c>
      <c r="EU18" s="245"/>
      <c r="EV18" s="176">
        <f>EU18*70</f>
        <v>0</v>
      </c>
      <c r="EW18" s="8">
        <f>ES18-EU18</f>
        <v>0</v>
      </c>
      <c r="EX18" s="8">
        <f>EW18*70</f>
        <v>0</v>
      </c>
      <c r="EY18" s="263"/>
      <c r="EZ18" s="262"/>
      <c r="FA18" s="171"/>
      <c r="FB18" s="171">
        <f>FA18*70</f>
        <v>0</v>
      </c>
      <c r="FC18" s="245"/>
      <c r="FD18" s="176">
        <f>FC18*70</f>
        <v>0</v>
      </c>
      <c r="FE18" s="8">
        <f>FA18-FC18</f>
        <v>0</v>
      </c>
      <c r="FF18" s="8">
        <f>FE18*70</f>
        <v>0</v>
      </c>
      <c r="FG18" s="263"/>
      <c r="FI18" s="171"/>
      <c r="FJ18" s="171">
        <f>FI18*70</f>
        <v>0</v>
      </c>
      <c r="FK18" s="286"/>
      <c r="FL18" s="287">
        <f>FK18*70</f>
        <v>0</v>
      </c>
      <c r="FM18" s="8">
        <f>FI18-FK18</f>
        <v>0</v>
      </c>
      <c r="FN18" s="8">
        <f>FM18*70</f>
        <v>0</v>
      </c>
      <c r="FO18" s="261"/>
      <c r="FQ18" s="171"/>
      <c r="FR18" s="171">
        <f>FQ18*70</f>
        <v>0</v>
      </c>
      <c r="FS18" s="171"/>
      <c r="FT18" s="171">
        <f>FS18*70</f>
        <v>0</v>
      </c>
      <c r="FU18" s="171"/>
      <c r="FV18" s="171"/>
      <c r="FW18" s="8">
        <f>FQ18-FS18</f>
        <v>0</v>
      </c>
      <c r="FX18" s="8">
        <f>FW18*70</f>
        <v>0</v>
      </c>
      <c r="FZ18" s="1529"/>
      <c r="GA18" s="171"/>
      <c r="GB18" s="171">
        <f>GA18*70</f>
        <v>0</v>
      </c>
      <c r="GC18" s="171"/>
      <c r="GD18" s="171">
        <f>GC18*70</f>
        <v>0</v>
      </c>
      <c r="GE18" s="171"/>
      <c r="GF18" s="171"/>
      <c r="GG18" s="8">
        <f>GA18-GC18</f>
        <v>0</v>
      </c>
      <c r="GH18" s="8">
        <f>GG18*70</f>
        <v>0</v>
      </c>
      <c r="GI18" s="1530"/>
      <c r="GJ18" s="1531"/>
      <c r="GK18" s="288"/>
      <c r="GL18" s="288"/>
      <c r="GM18" s="288"/>
      <c r="GN18" s="288"/>
      <c r="GO18" s="288"/>
      <c r="GP18" s="288"/>
      <c r="GQ18" s="288"/>
      <c r="GR18" s="288"/>
      <c r="GS18" s="1531"/>
      <c r="GT18" s="13"/>
      <c r="GU18" s="171"/>
      <c r="GV18" s="171">
        <f>GU18*70</f>
        <v>0</v>
      </c>
      <c r="GW18" s="245"/>
      <c r="GX18" s="176">
        <f>GW18*70</f>
        <v>0</v>
      </c>
      <c r="GY18" s="171"/>
      <c r="GZ18" s="171"/>
      <c r="HA18" s="8">
        <f>GU18-GW18</f>
        <v>0</v>
      </c>
      <c r="HB18" s="8">
        <f>HA18*70</f>
        <v>0</v>
      </c>
      <c r="HC18" s="261"/>
      <c r="HD18" s="13"/>
      <c r="HE18" s="171"/>
      <c r="HF18" s="171">
        <f t="shared" si="203"/>
        <v>0</v>
      </c>
      <c r="HG18" s="171"/>
      <c r="HH18" s="171">
        <f>HG18*70</f>
        <v>0</v>
      </c>
      <c r="HI18" s="8">
        <f t="shared" si="3"/>
        <v>0</v>
      </c>
      <c r="HJ18" s="8">
        <f>HI18*70</f>
        <v>0</v>
      </c>
      <c r="HK18" s="7" t="e">
        <f>HI18/HG18</f>
        <v>#DIV/0!</v>
      </c>
      <c r="HL18" s="5"/>
      <c r="HM18" s="171">
        <f>DE18+DM18+DU18</f>
        <v>0</v>
      </c>
      <c r="HN18" s="171">
        <f t="shared" si="4"/>
        <v>0</v>
      </c>
      <c r="HO18" s="245">
        <f>DG18+DO18+DW18</f>
        <v>0</v>
      </c>
      <c r="HP18" s="176">
        <f>HO18*70</f>
        <v>0</v>
      </c>
      <c r="HQ18" s="8">
        <f t="shared" si="6"/>
        <v>0</v>
      </c>
      <c r="HR18" s="8">
        <f t="shared" si="7"/>
        <v>0</v>
      </c>
      <c r="HS18" s="261"/>
      <c r="HT18" s="13"/>
      <c r="HU18" s="171"/>
      <c r="HV18" s="171">
        <f>HU18*70</f>
        <v>0</v>
      </c>
      <c r="HW18" s="267"/>
      <c r="HX18" s="268">
        <f>HW18*70</f>
        <v>0</v>
      </c>
      <c r="HY18" s="171">
        <f>HU18-HW18</f>
        <v>0</v>
      </c>
      <c r="HZ18" s="171">
        <f>HY18*70</f>
        <v>0</v>
      </c>
      <c r="IA18" s="261"/>
      <c r="IB18" s="13"/>
      <c r="IC18" s="171"/>
      <c r="ID18" s="171">
        <f>IC18*70</f>
        <v>0</v>
      </c>
      <c r="IE18" s="299"/>
      <c r="IF18" s="300">
        <f>IE18*70</f>
        <v>0</v>
      </c>
      <c r="IG18" s="8">
        <f>IC18-IE18</f>
        <v>0</v>
      </c>
      <c r="IH18" s="8">
        <f>IG18*70</f>
        <v>0</v>
      </c>
      <c r="II18" s="261"/>
      <c r="IJ18" s="13"/>
      <c r="IK18" s="171"/>
      <c r="IL18" s="171">
        <f>IK18*70</f>
        <v>0</v>
      </c>
      <c r="IM18" s="171"/>
      <c r="IN18" s="171">
        <f>IM18*70</f>
        <v>0</v>
      </c>
      <c r="IO18" s="8">
        <f>IK18-IM18</f>
        <v>0</v>
      </c>
      <c r="IP18" s="8">
        <f>IO18*70</f>
        <v>0</v>
      </c>
      <c r="IQ18" s="261"/>
      <c r="IS18" s="13"/>
      <c r="IV18" s="258"/>
      <c r="IW18" s="249">
        <f t="shared" si="93"/>
        <v>0</v>
      </c>
      <c r="IZ18" s="1526"/>
      <c r="JB18" s="261"/>
      <c r="JC18" s="11"/>
      <c r="JF18" s="258"/>
      <c r="JG18" s="860"/>
      <c r="JJ18" s="1526"/>
      <c r="JL18" s="261"/>
      <c r="JP18" s="262"/>
      <c r="JQ18" s="263"/>
      <c r="JR18" s="1515"/>
      <c r="JT18" s="1526"/>
      <c r="JU18" s="851">
        <f t="shared" si="103"/>
        <v>0</v>
      </c>
      <c r="JV18" s="261"/>
      <c r="JW18" s="13"/>
      <c r="JZ18" s="262"/>
      <c r="KA18" s="263"/>
      <c r="KB18" s="1515"/>
      <c r="KD18" s="1526"/>
      <c r="KF18" s="261"/>
      <c r="KG18" s="11"/>
      <c r="KJ18" s="262"/>
      <c r="KK18" s="263"/>
      <c r="KL18" s="1515"/>
      <c r="KN18" s="1526"/>
      <c r="KP18" s="261"/>
      <c r="KQ18" s="13"/>
      <c r="KT18" s="245"/>
      <c r="KU18" s="263"/>
      <c r="KV18" s="1515"/>
      <c r="KX18" s="1526"/>
      <c r="KZ18" s="261"/>
      <c r="LA18" s="13"/>
      <c r="LB18" s="171"/>
      <c r="LC18" s="171">
        <f t="shared" si="116"/>
        <v>0</v>
      </c>
      <c r="LD18" s="245"/>
      <c r="LE18" s="176">
        <f t="shared" si="117"/>
        <v>0</v>
      </c>
      <c r="LF18" s="1515"/>
      <c r="LH18" s="1526"/>
      <c r="LJ18" s="261"/>
      <c r="LK18" s="13"/>
      <c r="LN18" s="245"/>
      <c r="LO18" s="176">
        <f t="shared" si="121"/>
        <v>0</v>
      </c>
      <c r="LP18" s="1515"/>
      <c r="LR18" s="1526"/>
      <c r="LS18" s="849">
        <f t="shared" si="123"/>
        <v>0</v>
      </c>
      <c r="LT18" s="261"/>
      <c r="LU18" s="177"/>
      <c r="LV18" s="171"/>
      <c r="LX18" s="245"/>
      <c r="LY18" s="263"/>
      <c r="LZ18" s="1515"/>
      <c r="MA18" s="1527"/>
      <c r="MB18" s="1526"/>
      <c r="MD18" s="261"/>
      <c r="ME18" s="177"/>
      <c r="MF18" s="171"/>
      <c r="MG18" s="176">
        <f t="shared" si="128"/>
        <v>0</v>
      </c>
      <c r="MH18" s="171"/>
      <c r="MI18" s="176">
        <f t="shared" si="129"/>
        <v>0</v>
      </c>
      <c r="MJ18" s="1515"/>
      <c r="MK18" s="1527"/>
      <c r="MM18" s="849">
        <f t="shared" si="131"/>
        <v>0</v>
      </c>
      <c r="MN18" s="261"/>
      <c r="MO18" s="13"/>
      <c r="MQ18" s="176">
        <f t="shared" si="132"/>
        <v>0</v>
      </c>
      <c r="MR18" s="1526"/>
      <c r="MS18" s="171">
        <f t="shared" si="133"/>
        <v>0</v>
      </c>
      <c r="MT18" s="1515"/>
      <c r="MU18" s="1527"/>
      <c r="MW18" s="171">
        <f t="shared" si="135"/>
        <v>0</v>
      </c>
      <c r="MY18" s="13"/>
      <c r="NB18" s="1526"/>
      <c r="NC18" s="1527"/>
      <c r="ND18" s="347"/>
      <c r="NF18" s="267"/>
      <c r="NG18" s="9"/>
      <c r="NH18" s="261"/>
      <c r="NJ18" s="9">
        <f t="shared" si="194"/>
        <v>0</v>
      </c>
      <c r="NK18" s="9">
        <f t="shared" si="194"/>
        <v>0</v>
      </c>
      <c r="NL18" s="1518">
        <f t="shared" si="194"/>
        <v>0</v>
      </c>
      <c r="NM18" s="1519">
        <f t="shared" si="194"/>
        <v>0</v>
      </c>
      <c r="NN18" s="1518">
        <f t="shared" si="139"/>
        <v>0</v>
      </c>
      <c r="NO18" s="9">
        <f t="shared" si="139"/>
        <v>0</v>
      </c>
      <c r="NP18" s="10"/>
      <c r="NQ18" s="13"/>
      <c r="NT18" s="262"/>
      <c r="NU18" s="263"/>
      <c r="NX18" s="10"/>
      <c r="NY18" s="177"/>
      <c r="NZ18" s="171"/>
      <c r="OB18" s="262"/>
      <c r="OC18" s="263"/>
      <c r="OF18" s="10"/>
      <c r="OG18" s="13"/>
      <c r="OO18" s="13"/>
      <c r="OR18" s="1526"/>
      <c r="OS18" s="1527"/>
      <c r="OV18" s="261"/>
      <c r="OX18" s="13"/>
      <c r="PA18" s="258"/>
      <c r="PB18" s="860"/>
      <c r="PE18" s="267">
        <f t="shared" si="152"/>
        <v>0</v>
      </c>
      <c r="PG18" s="261"/>
      <c r="PH18" s="11"/>
      <c r="PK18" s="258"/>
      <c r="PL18" s="860"/>
      <c r="PO18" s="267">
        <f t="shared" si="153"/>
        <v>0</v>
      </c>
      <c r="PQ18" s="261"/>
      <c r="PU18" s="262"/>
      <c r="PV18" s="860"/>
      <c r="PY18" s="245">
        <f t="shared" si="154"/>
        <v>0</v>
      </c>
      <c r="QB18" s="13"/>
      <c r="QE18" s="262"/>
      <c r="QF18" s="263"/>
      <c r="QI18" s="267">
        <f t="shared" si="155"/>
        <v>0</v>
      </c>
      <c r="QK18" s="261"/>
      <c r="QL18" s="11"/>
      <c r="QN18" s="171">
        <f t="shared" si="156"/>
        <v>0</v>
      </c>
      <c r="QO18" s="262"/>
      <c r="QP18" s="1532">
        <v>0</v>
      </c>
      <c r="QQ18" s="1525"/>
      <c r="QR18" s="171"/>
      <c r="QS18" s="267">
        <f t="shared" si="157"/>
        <v>0</v>
      </c>
      <c r="QT18" s="1525">
        <v>0</v>
      </c>
      <c r="QU18" s="261"/>
      <c r="QV18" s="13"/>
      <c r="QX18" s="171"/>
      <c r="QY18" s="245"/>
      <c r="QZ18" s="176"/>
      <c r="RA18" s="171"/>
      <c r="RB18" s="171"/>
      <c r="RC18" s="245"/>
      <c r="RD18" s="849">
        <f t="shared" si="161"/>
        <v>0</v>
      </c>
      <c r="RE18" s="261"/>
      <c r="RF18" s="13"/>
      <c r="RG18" s="171"/>
      <c r="RI18" s="245"/>
      <c r="RJ18" s="263"/>
      <c r="RM18" s="245"/>
      <c r="RO18" s="261"/>
      <c r="RP18" s="13"/>
      <c r="RS18" s="245"/>
      <c r="RT18" s="263"/>
      <c r="RW18" s="262"/>
      <c r="RY18" s="261"/>
      <c r="RZ18" s="177"/>
      <c r="SA18" s="171"/>
      <c r="SC18" s="245"/>
      <c r="SD18" s="263"/>
      <c r="SG18" s="245"/>
      <c r="SI18" s="261"/>
      <c r="SJ18" s="177"/>
      <c r="SK18" s="171"/>
      <c r="SL18" s="176"/>
      <c r="SM18" s="171"/>
      <c r="SN18" s="176"/>
      <c r="SO18" s="171"/>
      <c r="SP18" s="171"/>
      <c r="SQ18" s="245"/>
      <c r="SS18" s="261"/>
      <c r="ST18" s="13"/>
      <c r="SW18" s="1526"/>
      <c r="SY18" s="1515"/>
      <c r="SZ18" s="263"/>
      <c r="TA18" s="245"/>
      <c r="TC18" s="261"/>
      <c r="TD18" s="13"/>
      <c r="TG18" s="1526"/>
      <c r="TI18" s="1515"/>
      <c r="TJ18" s="263"/>
      <c r="TK18" s="245"/>
      <c r="TM18" s="261"/>
      <c r="TN18" s="13"/>
      <c r="TQ18" s="262"/>
      <c r="TR18" s="263"/>
      <c r="TU18" s="10"/>
      <c r="TV18" s="13"/>
      <c r="TY18" s="262"/>
      <c r="TZ18" s="263"/>
      <c r="UC18" s="10"/>
      <c r="UD18" s="177"/>
      <c r="UE18" s="171"/>
      <c r="UG18" s="262"/>
      <c r="UH18" s="263"/>
      <c r="UK18" s="10"/>
      <c r="UL18" s="13"/>
      <c r="US18" s="261"/>
      <c r="UT18" s="13"/>
      <c r="UY18" s="3554">
        <f t="shared" si="176"/>
        <v>0</v>
      </c>
      <c r="UZ18" s="3554">
        <f t="shared" si="176"/>
        <v>0</v>
      </c>
      <c r="VA18" s="261"/>
      <c r="VC18" s="13"/>
      <c r="VF18" s="258"/>
      <c r="VG18" s="860"/>
      <c r="VJ18" s="267"/>
      <c r="VK18" s="9"/>
      <c r="VL18" s="858"/>
      <c r="VM18" s="11"/>
      <c r="VP18" s="258"/>
      <c r="VQ18" s="860"/>
      <c r="VT18" s="267"/>
      <c r="VV18" s="261"/>
      <c r="VZ18" s="262"/>
      <c r="WA18" s="860"/>
      <c r="WD18" s="245"/>
      <c r="WG18" s="13"/>
      <c r="WJ18" s="262"/>
      <c r="WK18" s="263"/>
      <c r="WN18" s="267"/>
      <c r="WP18" s="261"/>
      <c r="WQ18" s="13"/>
      <c r="WT18" s="262"/>
      <c r="WU18" s="263"/>
      <c r="WX18" s="267"/>
      <c r="WZ18" s="261"/>
      <c r="XA18" s="13"/>
      <c r="XC18" s="171"/>
      <c r="XD18" s="245"/>
      <c r="XE18" s="176"/>
      <c r="XF18" s="171"/>
      <c r="XG18" s="171"/>
      <c r="XH18" s="245"/>
      <c r="XI18" s="849"/>
      <c r="XJ18" s="261"/>
      <c r="XK18" s="13"/>
      <c r="XL18" s="171"/>
      <c r="XN18" s="245"/>
      <c r="XO18" s="263"/>
      <c r="XR18" s="245"/>
      <c r="XT18" s="261"/>
      <c r="XU18" s="13"/>
      <c r="XX18" s="245"/>
      <c r="XY18" s="263"/>
      <c r="YB18" s="262"/>
      <c r="YD18" s="261"/>
      <c r="YE18" s="177"/>
      <c r="YF18" s="171"/>
      <c r="YH18" s="245"/>
      <c r="YI18" s="263"/>
      <c r="YL18" s="245"/>
      <c r="YN18" s="261"/>
      <c r="YO18" s="177"/>
      <c r="YP18" s="171"/>
      <c r="YQ18" s="176"/>
      <c r="YR18" s="171"/>
      <c r="YS18" s="176"/>
      <c r="YT18" s="171"/>
      <c r="YU18" s="171"/>
      <c r="YV18" s="245"/>
      <c r="YX18" s="261"/>
      <c r="YY18" s="13"/>
      <c r="ZB18" s="1526"/>
      <c r="ZD18" s="1515"/>
      <c r="ZE18" s="263"/>
      <c r="ZF18" s="245"/>
      <c r="ZH18" s="261"/>
      <c r="ZI18" s="13"/>
      <c r="ZL18" s="1526"/>
      <c r="ZN18" s="1515"/>
      <c r="ZO18" s="263"/>
      <c r="ZP18" s="245"/>
      <c r="ZR18" s="261"/>
      <c r="ZS18" s="13"/>
      <c r="ZV18" s="262"/>
      <c r="ZW18" s="263"/>
      <c r="ZZ18" s="10"/>
      <c r="AAA18" s="13"/>
      <c r="AAD18" s="262"/>
      <c r="AAE18" s="263"/>
      <c r="AAH18" s="10"/>
      <c r="AAI18" s="177"/>
      <c r="AAJ18" s="171"/>
      <c r="AAL18" s="262"/>
      <c r="AAM18" s="263"/>
      <c r="AAP18" s="10"/>
      <c r="AAQ18" s="13"/>
      <c r="AAX18" s="261"/>
      <c r="AAY18" s="13"/>
      <c r="ABD18" s="3554">
        <f t="shared" si="184"/>
        <v>0</v>
      </c>
      <c r="ABE18" s="3554">
        <f t="shared" si="184"/>
        <v>0</v>
      </c>
      <c r="ABF18" s="261"/>
    </row>
    <row r="19" spans="1:737" s="20" customFormat="1" ht="18.3" customHeight="1" x14ac:dyDescent="0.3">
      <c r="A19" s="6191"/>
      <c r="B19" s="6192" t="s">
        <v>168</v>
      </c>
      <c r="C19" s="6192"/>
      <c r="D19" s="6193">
        <f t="shared" ref="D19:J19" si="206">SUM(D5:D18)</f>
        <v>47</v>
      </c>
      <c r="E19" s="6194">
        <f t="shared" si="206"/>
        <v>662639</v>
      </c>
      <c r="F19" s="6194">
        <f t="shared" si="206"/>
        <v>46384730</v>
      </c>
      <c r="G19" s="6195">
        <f t="shared" si="206"/>
        <v>597677</v>
      </c>
      <c r="H19" s="6196">
        <f t="shared" si="206"/>
        <v>41837390</v>
      </c>
      <c r="I19" s="6194">
        <f t="shared" si="206"/>
        <v>64962</v>
      </c>
      <c r="J19" s="6194">
        <f t="shared" si="206"/>
        <v>4547340</v>
      </c>
      <c r="K19" s="6197">
        <f>J19/F19</f>
        <v>9.803528014499599E-2</v>
      </c>
      <c r="L19" s="6198">
        <f t="shared" ref="L19:R19" si="207">SUM(L5:L18)</f>
        <v>47</v>
      </c>
      <c r="M19" s="6194">
        <f t="shared" si="207"/>
        <v>544470</v>
      </c>
      <c r="N19" s="6194">
        <f t="shared" si="207"/>
        <v>38112900</v>
      </c>
      <c r="O19" s="6195">
        <f t="shared" si="207"/>
        <v>491937</v>
      </c>
      <c r="P19" s="6196">
        <f t="shared" si="207"/>
        <v>34435590</v>
      </c>
      <c r="Q19" s="6194">
        <f t="shared" si="207"/>
        <v>52533</v>
      </c>
      <c r="R19" s="6194">
        <f t="shared" si="207"/>
        <v>3677310</v>
      </c>
      <c r="S19" s="6197">
        <f>R19/N19</f>
        <v>9.6484654801917466E-2</v>
      </c>
      <c r="T19" s="6191">
        <f t="shared" ref="T19:Z19" si="208">SUM(T5:T18)</f>
        <v>43</v>
      </c>
      <c r="U19" s="6194">
        <f t="shared" si="208"/>
        <v>565991</v>
      </c>
      <c r="V19" s="6194">
        <f t="shared" si="208"/>
        <v>39619370</v>
      </c>
      <c r="W19" s="6194">
        <f t="shared" si="208"/>
        <v>507306</v>
      </c>
      <c r="X19" s="6194">
        <f t="shared" si="208"/>
        <v>35511420</v>
      </c>
      <c r="Y19" s="6194">
        <f t="shared" si="208"/>
        <v>58685</v>
      </c>
      <c r="Z19" s="6194">
        <f t="shared" si="208"/>
        <v>4107950</v>
      </c>
      <c r="AA19" s="6197">
        <f>Z19/V19</f>
        <v>0.10368539429072193</v>
      </c>
      <c r="AB19" s="6191">
        <f t="shared" ref="AB19:AH19" si="209">SUM(AB5:AB18)</f>
        <v>42</v>
      </c>
      <c r="AC19" s="6194">
        <f t="shared" si="209"/>
        <v>508259</v>
      </c>
      <c r="AD19" s="6194">
        <f t="shared" si="209"/>
        <v>35578130</v>
      </c>
      <c r="AE19" s="6194">
        <f t="shared" si="209"/>
        <v>453982</v>
      </c>
      <c r="AF19" s="6194">
        <f t="shared" si="209"/>
        <v>31778740</v>
      </c>
      <c r="AG19" s="6194">
        <f t="shared" si="209"/>
        <v>54277</v>
      </c>
      <c r="AH19" s="6194">
        <f t="shared" si="209"/>
        <v>3799390</v>
      </c>
      <c r="AI19" s="6199">
        <f>AH19/AD19</f>
        <v>0.10679004208484257</v>
      </c>
      <c r="AJ19" s="6191">
        <f t="shared" ref="AJ19:AP19" si="210">SUM(AJ5:AJ18)</f>
        <v>38</v>
      </c>
      <c r="AK19" s="6194">
        <f t="shared" si="210"/>
        <v>472603</v>
      </c>
      <c r="AL19" s="6194">
        <f t="shared" si="210"/>
        <v>33082210</v>
      </c>
      <c r="AM19" s="6194">
        <f t="shared" si="210"/>
        <v>420378</v>
      </c>
      <c r="AN19" s="6194">
        <f t="shared" si="210"/>
        <v>29426460</v>
      </c>
      <c r="AO19" s="6194">
        <f t="shared" si="210"/>
        <v>52225</v>
      </c>
      <c r="AP19" s="6194">
        <f t="shared" si="210"/>
        <v>3655750</v>
      </c>
      <c r="AQ19" s="6200">
        <f>AP19/AL19</f>
        <v>0.11050501160593564</v>
      </c>
      <c r="AR19" s="6201">
        <f t="shared" ref="AR19:AX19" si="211">SUM(AR5:AR18)</f>
        <v>40</v>
      </c>
      <c r="AS19" s="6194">
        <f t="shared" si="211"/>
        <v>479770</v>
      </c>
      <c r="AT19" s="6194">
        <f t="shared" si="211"/>
        <v>33583900</v>
      </c>
      <c r="AU19" s="6194">
        <f t="shared" si="211"/>
        <v>425470</v>
      </c>
      <c r="AV19" s="6194">
        <f t="shared" si="211"/>
        <v>29782900</v>
      </c>
      <c r="AW19" s="6194">
        <f t="shared" si="211"/>
        <v>54300</v>
      </c>
      <c r="AX19" s="6194">
        <f t="shared" si="211"/>
        <v>3801000</v>
      </c>
      <c r="AY19" s="6199">
        <f>AX19/AT19</f>
        <v>0.11317923171519687</v>
      </c>
      <c r="AZ19" s="6191">
        <f t="shared" ref="AZ19:BF19" si="212">SUM(AZ5:AZ18)</f>
        <v>37</v>
      </c>
      <c r="BA19" s="6194">
        <f t="shared" si="212"/>
        <v>456190</v>
      </c>
      <c r="BB19" s="6194">
        <f t="shared" si="212"/>
        <v>31933300</v>
      </c>
      <c r="BC19" s="6194">
        <f t="shared" si="212"/>
        <v>405366</v>
      </c>
      <c r="BD19" s="6194">
        <f t="shared" si="212"/>
        <v>28375620</v>
      </c>
      <c r="BE19" s="6194">
        <f t="shared" si="212"/>
        <v>50824</v>
      </c>
      <c r="BF19" s="6194">
        <f t="shared" si="212"/>
        <v>3557680</v>
      </c>
      <c r="BG19" s="6200">
        <f>BF19/BB19</f>
        <v>0.11140971963436287</v>
      </c>
      <c r="BH19" s="6201">
        <f t="shared" ref="BH19:BN19" si="213">SUM(BH5:BH18)</f>
        <v>39</v>
      </c>
      <c r="BI19" s="6194">
        <f t="shared" si="213"/>
        <v>365450</v>
      </c>
      <c r="BJ19" s="6194">
        <f t="shared" si="213"/>
        <v>25581500</v>
      </c>
      <c r="BK19" s="6194">
        <f t="shared" si="213"/>
        <v>325614</v>
      </c>
      <c r="BL19" s="6194">
        <f t="shared" si="213"/>
        <v>22792980</v>
      </c>
      <c r="BM19" s="6194">
        <f t="shared" si="213"/>
        <v>39836</v>
      </c>
      <c r="BN19" s="6194">
        <f t="shared" si="213"/>
        <v>2788520</v>
      </c>
      <c r="BO19" s="6199">
        <f>BN19/BJ19</f>
        <v>0.10900533588726229</v>
      </c>
      <c r="BP19" s="6191">
        <f t="shared" ref="BP19:BV19" si="214">SUM(BP5:BP18)</f>
        <v>33</v>
      </c>
      <c r="BQ19" s="6194">
        <f t="shared" si="214"/>
        <v>404349</v>
      </c>
      <c r="BR19" s="6194">
        <f t="shared" si="214"/>
        <v>28304430</v>
      </c>
      <c r="BS19" s="6194">
        <f t="shared" si="214"/>
        <v>357375</v>
      </c>
      <c r="BT19" s="6194">
        <f t="shared" si="214"/>
        <v>25016250</v>
      </c>
      <c r="BU19" s="6194">
        <f t="shared" si="214"/>
        <v>46974</v>
      </c>
      <c r="BV19" s="6194">
        <f t="shared" si="214"/>
        <v>3288180</v>
      </c>
      <c r="BW19" s="6199">
        <f>BV19/BR19</f>
        <v>0.1161719207911977</v>
      </c>
      <c r="BX19" s="6201">
        <f t="shared" ref="BX19:CD19" si="215">SUM(BX5:BX18)</f>
        <v>33</v>
      </c>
      <c r="BY19" s="6194">
        <f t="shared" si="215"/>
        <v>378928</v>
      </c>
      <c r="BZ19" s="6194">
        <f t="shared" si="215"/>
        <v>26524960</v>
      </c>
      <c r="CA19" s="6194">
        <f t="shared" si="215"/>
        <v>338280</v>
      </c>
      <c r="CB19" s="6194">
        <f t="shared" si="215"/>
        <v>23679600</v>
      </c>
      <c r="CC19" s="6194">
        <f t="shared" si="215"/>
        <v>40648</v>
      </c>
      <c r="CD19" s="6194">
        <f t="shared" si="215"/>
        <v>2845360</v>
      </c>
      <c r="CE19" s="6199">
        <f>CD19/BZ19</f>
        <v>0.10727103829751299</v>
      </c>
      <c r="CF19" s="6191">
        <f t="shared" ref="CF19:CL19" si="216">SUM(CF5:CF18)</f>
        <v>35</v>
      </c>
      <c r="CG19" s="6194">
        <f t="shared" si="216"/>
        <v>396506</v>
      </c>
      <c r="CH19" s="6194">
        <f t="shared" si="216"/>
        <v>27755420</v>
      </c>
      <c r="CI19" s="6194">
        <f t="shared" si="216"/>
        <v>355499</v>
      </c>
      <c r="CJ19" s="6194">
        <f t="shared" si="216"/>
        <v>24884930</v>
      </c>
      <c r="CK19" s="6194">
        <f t="shared" si="216"/>
        <v>41007</v>
      </c>
      <c r="CL19" s="6194">
        <f t="shared" si="216"/>
        <v>2870490</v>
      </c>
      <c r="CM19" s="6200">
        <f>CL19/CH19</f>
        <v>0.10342088139902045</v>
      </c>
      <c r="CN19" s="6201">
        <f t="shared" ref="CN19:CT19" si="217">SUM(CN5:CN18)</f>
        <v>40</v>
      </c>
      <c r="CO19" s="6194">
        <f t="shared" si="217"/>
        <v>511646</v>
      </c>
      <c r="CP19" s="6194">
        <f t="shared" si="217"/>
        <v>35815220</v>
      </c>
      <c r="CQ19" s="6195">
        <f t="shared" si="217"/>
        <v>460898</v>
      </c>
      <c r="CR19" s="6196">
        <f t="shared" si="217"/>
        <v>32262860</v>
      </c>
      <c r="CS19" s="6194">
        <f t="shared" si="217"/>
        <v>50748</v>
      </c>
      <c r="CT19" s="6194">
        <f t="shared" si="217"/>
        <v>3552360</v>
      </c>
      <c r="CU19" s="6199">
        <f>CT19/CP19</f>
        <v>9.9185765157941239E-2</v>
      </c>
      <c r="CV19" s="6191">
        <f t="shared" ref="CV19:DB19" si="218">SUM(CV5:CV18)</f>
        <v>473</v>
      </c>
      <c r="CW19" s="6194">
        <f t="shared" si="218"/>
        <v>5746177</v>
      </c>
      <c r="CX19" s="6194">
        <f t="shared" si="218"/>
        <v>402232390</v>
      </c>
      <c r="CY19" s="6194">
        <f t="shared" si="218"/>
        <v>5139782</v>
      </c>
      <c r="CZ19" s="6194">
        <f t="shared" si="218"/>
        <v>359784740</v>
      </c>
      <c r="DA19" s="6194">
        <f t="shared" si="218"/>
        <v>606395</v>
      </c>
      <c r="DB19" s="6194">
        <f t="shared" si="218"/>
        <v>42447650</v>
      </c>
      <c r="DC19" s="6197">
        <f>DB19/CX19</f>
        <v>0.10553016379411911</v>
      </c>
      <c r="DD19" s="6193">
        <f t="shared" ref="DD19:DJ19" si="219">SUM(DD5:DD18)</f>
        <v>43</v>
      </c>
      <c r="DE19" s="6194">
        <f t="shared" si="219"/>
        <v>543808</v>
      </c>
      <c r="DF19" s="6196">
        <f t="shared" si="219"/>
        <v>38066560</v>
      </c>
      <c r="DG19" s="6195">
        <f t="shared" si="219"/>
        <v>482389</v>
      </c>
      <c r="DH19" s="6196">
        <f t="shared" si="219"/>
        <v>33767230</v>
      </c>
      <c r="DI19" s="6194">
        <f t="shared" si="219"/>
        <v>61419</v>
      </c>
      <c r="DJ19" s="6194">
        <f t="shared" si="219"/>
        <v>4299330</v>
      </c>
      <c r="DK19" s="6200">
        <f>DJ19/DF19</f>
        <v>0.1129424355654937</v>
      </c>
      <c r="DL19" s="6193">
        <f t="shared" ref="DL19:DR19" si="220">SUM(DL5:DL18)</f>
        <v>50</v>
      </c>
      <c r="DM19" s="6194">
        <f t="shared" si="220"/>
        <v>532865</v>
      </c>
      <c r="DN19" s="6196">
        <f t="shared" si="220"/>
        <v>37300550</v>
      </c>
      <c r="DO19" s="6194">
        <f t="shared" si="220"/>
        <v>461464</v>
      </c>
      <c r="DP19" s="6194">
        <f t="shared" si="220"/>
        <v>32302480</v>
      </c>
      <c r="DQ19" s="6195">
        <f t="shared" si="220"/>
        <v>71401</v>
      </c>
      <c r="DR19" s="6194">
        <f t="shared" si="220"/>
        <v>4998070</v>
      </c>
      <c r="DS19" s="6200">
        <f>SUM(DR5:DR12)/SUM(DN5:DN12)</f>
        <v>0.11233878026025987</v>
      </c>
      <c r="DT19" s="6201">
        <f t="shared" ref="DT19:DZ19" si="221">SUM(DT5:DT18)</f>
        <v>47</v>
      </c>
      <c r="DU19" s="6194">
        <f t="shared" si="221"/>
        <v>588096</v>
      </c>
      <c r="DV19" s="6196">
        <f t="shared" si="221"/>
        <v>41166720</v>
      </c>
      <c r="DW19" s="6195">
        <f t="shared" si="221"/>
        <v>524769</v>
      </c>
      <c r="DX19" s="6196">
        <f t="shared" si="221"/>
        <v>36733830</v>
      </c>
      <c r="DY19" s="6194">
        <f t="shared" si="221"/>
        <v>63327</v>
      </c>
      <c r="DZ19" s="6194">
        <f t="shared" si="221"/>
        <v>4432890</v>
      </c>
      <c r="EA19" s="6200">
        <f>DZ19/DV19</f>
        <v>0.10768139895527261</v>
      </c>
      <c r="EB19" s="6202">
        <f t="shared" ref="EB19:EH19" si="222">SUM(EB5:EB18)</f>
        <v>48</v>
      </c>
      <c r="EC19" s="6194">
        <f t="shared" si="222"/>
        <v>580813</v>
      </c>
      <c r="ED19" s="6194">
        <f t="shared" si="222"/>
        <v>40656910</v>
      </c>
      <c r="EE19" s="6195">
        <f t="shared" si="222"/>
        <v>517826</v>
      </c>
      <c r="EF19" s="6196">
        <f t="shared" si="222"/>
        <v>36247820</v>
      </c>
      <c r="EG19" s="6194">
        <f t="shared" si="222"/>
        <v>62987</v>
      </c>
      <c r="EH19" s="6194">
        <f t="shared" si="222"/>
        <v>4409090</v>
      </c>
      <c r="EI19" s="6203">
        <f>SUM(EH5:EH13)/SUM(ED5:ED13)</f>
        <v>0.10381732498230396</v>
      </c>
      <c r="EJ19" s="6202">
        <f t="shared" ref="EJ19:EP19" si="223">SUM(EJ5:EJ18)</f>
        <v>51</v>
      </c>
      <c r="EK19" s="6194">
        <f t="shared" si="223"/>
        <v>668754</v>
      </c>
      <c r="EL19" s="6194">
        <f t="shared" si="223"/>
        <v>46812780</v>
      </c>
      <c r="EM19" s="6195">
        <f t="shared" si="223"/>
        <v>602060</v>
      </c>
      <c r="EN19" s="6196">
        <f t="shared" si="223"/>
        <v>42144200</v>
      </c>
      <c r="EO19" s="6194">
        <f t="shared" si="223"/>
        <v>66694</v>
      </c>
      <c r="EP19" s="6194">
        <f t="shared" si="223"/>
        <v>4668580</v>
      </c>
      <c r="EQ19" s="6203">
        <f>SUM(EP5:EP13)/SUM(EL5:EL13)</f>
        <v>9.54002229721405E-2</v>
      </c>
      <c r="ER19" s="6202">
        <f t="shared" ref="ER19:EX19" si="224">SUM(ER5:ER18)</f>
        <v>55</v>
      </c>
      <c r="ES19" s="6194">
        <f t="shared" si="224"/>
        <v>656747</v>
      </c>
      <c r="ET19" s="6194">
        <f t="shared" si="224"/>
        <v>45972290</v>
      </c>
      <c r="EU19" s="6195">
        <f t="shared" si="224"/>
        <v>592191</v>
      </c>
      <c r="EV19" s="6196">
        <f t="shared" si="224"/>
        <v>41453370</v>
      </c>
      <c r="EW19" s="6194">
        <f t="shared" si="224"/>
        <v>64556</v>
      </c>
      <c r="EX19" s="6194">
        <f t="shared" si="224"/>
        <v>4518920</v>
      </c>
      <c r="EY19" s="6203">
        <f>EW19/ES19</f>
        <v>9.8296604324039541E-2</v>
      </c>
      <c r="EZ19" s="6202">
        <f t="shared" ref="EZ19:FF19" si="225">SUM(EZ5:EZ18)</f>
        <v>57</v>
      </c>
      <c r="FA19" s="6194">
        <f t="shared" si="225"/>
        <v>671087</v>
      </c>
      <c r="FB19" s="6194">
        <f t="shared" si="225"/>
        <v>46976090</v>
      </c>
      <c r="FC19" s="6195">
        <f t="shared" si="225"/>
        <v>603841</v>
      </c>
      <c r="FD19" s="6196">
        <f t="shared" si="225"/>
        <v>42268870</v>
      </c>
      <c r="FE19" s="6194">
        <f t="shared" si="225"/>
        <v>67246</v>
      </c>
      <c r="FF19" s="6194">
        <f t="shared" si="225"/>
        <v>4707220</v>
      </c>
      <c r="FG19" s="6203">
        <f>FF19/FB19</f>
        <v>0.10020459344317503</v>
      </c>
      <c r="FH19" s="6201">
        <f t="shared" ref="FH19:FN19" si="226">SUM(FH5:FH18)</f>
        <v>63</v>
      </c>
      <c r="FI19" s="6194">
        <f t="shared" si="226"/>
        <v>664093</v>
      </c>
      <c r="FJ19" s="6194">
        <f t="shared" si="226"/>
        <v>46486510</v>
      </c>
      <c r="FK19" s="6204">
        <f t="shared" si="226"/>
        <v>600057</v>
      </c>
      <c r="FL19" s="6205">
        <f t="shared" si="226"/>
        <v>42003990</v>
      </c>
      <c r="FM19" s="6194">
        <f t="shared" si="226"/>
        <v>64036</v>
      </c>
      <c r="FN19" s="6194">
        <f t="shared" si="226"/>
        <v>4482520</v>
      </c>
      <c r="FO19" s="6200">
        <f>FN19/FJ19</f>
        <v>9.6426253551836871E-2</v>
      </c>
      <c r="FP19" s="6201">
        <f>SUM(FP5:FP18)</f>
        <v>60</v>
      </c>
      <c r="FQ19" s="6194">
        <f>SUM(FQ5:FQ18)</f>
        <v>694269</v>
      </c>
      <c r="FR19" s="6194">
        <f>SUM(FR5:FR18)</f>
        <v>48598830</v>
      </c>
      <c r="FS19" s="6194">
        <f>SUM(FS5:FS18)</f>
        <v>629942</v>
      </c>
      <c r="FT19" s="6194">
        <f>SUM(FT5:FT18)</f>
        <v>44095940</v>
      </c>
      <c r="FU19" s="6194"/>
      <c r="FV19" s="6194"/>
      <c r="FW19" s="6194">
        <f>SUM(FW5:FW18)</f>
        <v>64327</v>
      </c>
      <c r="FX19" s="6194">
        <f>SUM(FX5:FX18)</f>
        <v>4502890</v>
      </c>
      <c r="FY19" s="6200">
        <f>FX19/FR19</f>
        <v>9.2654288179365635E-2</v>
      </c>
      <c r="FZ19" s="6191">
        <f>SUM(FZ5:FZ18)</f>
        <v>55</v>
      </c>
      <c r="GA19" s="6194">
        <f>SUM(GA5:GA18)</f>
        <v>623003</v>
      </c>
      <c r="GB19" s="6194">
        <f>SUM(GB5:GB18)</f>
        <v>43610210</v>
      </c>
      <c r="GC19" s="6194">
        <f>SUM(GC5:GC18)</f>
        <v>561437</v>
      </c>
      <c r="GD19" s="6194">
        <f>SUM(GD5:GD18)</f>
        <v>39300590</v>
      </c>
      <c r="GE19" s="6194"/>
      <c r="GF19" s="6194"/>
      <c r="GG19" s="6194">
        <f>SUM(GG5:GG18)</f>
        <v>61566</v>
      </c>
      <c r="GH19" s="6194">
        <f>SUM(GH5:GH18)</f>
        <v>4309620</v>
      </c>
      <c r="GI19" s="6200">
        <f>GH19/GB19</f>
        <v>9.8821353990269714E-2</v>
      </c>
      <c r="GJ19" s="6201">
        <f t="shared" ref="GJ19:GR19" si="227">SUM(GJ5:GJ18)</f>
        <v>61</v>
      </c>
      <c r="GK19" s="6194">
        <f t="shared" si="227"/>
        <v>645709</v>
      </c>
      <c r="GL19" s="6194">
        <f t="shared" si="227"/>
        <v>45199630</v>
      </c>
      <c r="GM19" s="6194">
        <f t="shared" si="227"/>
        <v>586823</v>
      </c>
      <c r="GN19" s="6194">
        <f t="shared" si="227"/>
        <v>41077610</v>
      </c>
      <c r="GO19" s="6194">
        <f t="shared" si="227"/>
        <v>7919.19</v>
      </c>
      <c r="GP19" s="6194">
        <f t="shared" si="227"/>
        <v>0</v>
      </c>
      <c r="GQ19" s="6194">
        <f t="shared" si="227"/>
        <v>58886</v>
      </c>
      <c r="GR19" s="6194">
        <f t="shared" si="227"/>
        <v>4122020</v>
      </c>
      <c r="GS19" s="6200">
        <f>GR19/GL19</f>
        <v>9.1195879258303664E-2</v>
      </c>
      <c r="GT19" s="6191">
        <f t="shared" ref="GT19:GY19" si="228">SUM(GT5:GT18)</f>
        <v>62</v>
      </c>
      <c r="GU19" s="6194">
        <f t="shared" si="228"/>
        <v>800368</v>
      </c>
      <c r="GV19" s="6194">
        <f t="shared" si="228"/>
        <v>56025760</v>
      </c>
      <c r="GW19" s="6195">
        <f t="shared" si="228"/>
        <v>731994</v>
      </c>
      <c r="GX19" s="6196">
        <f t="shared" si="228"/>
        <v>51239580</v>
      </c>
      <c r="GY19" s="6195">
        <f t="shared" si="228"/>
        <v>8432.8799999999992</v>
      </c>
      <c r="GZ19" s="6194"/>
      <c r="HA19" s="6194">
        <f>SUM(HA5:HA18)</f>
        <v>68374</v>
      </c>
      <c r="HB19" s="6194">
        <f>SUM(HB5:HB18)</f>
        <v>4786180</v>
      </c>
      <c r="HC19" s="6200">
        <f>HB19/GV19</f>
        <v>8.5428203026607766E-2</v>
      </c>
      <c r="HD19" s="6206">
        <f t="shared" ref="HD19:HJ19" si="229">SUM(HD5:HD18)</f>
        <v>54.333333333333336</v>
      </c>
      <c r="HE19" s="6194">
        <f t="shared" si="229"/>
        <v>7669612</v>
      </c>
      <c r="HF19" s="6194">
        <f t="shared" si="229"/>
        <v>536872840</v>
      </c>
      <c r="HG19" s="6194">
        <f t="shared" si="229"/>
        <v>6894793</v>
      </c>
      <c r="HH19" s="6194">
        <f t="shared" si="229"/>
        <v>482635510</v>
      </c>
      <c r="HI19" s="6194">
        <f t="shared" si="229"/>
        <v>774819</v>
      </c>
      <c r="HJ19" s="6194">
        <f t="shared" si="229"/>
        <v>54237330</v>
      </c>
      <c r="HK19" s="6200">
        <f>HJ19/HF19</f>
        <v>0.10102453683445786</v>
      </c>
      <c r="HL19" s="6206">
        <f t="shared" ref="HL19:HR19" si="230">SUM(HL5:HL18)</f>
        <v>46.666666666666664</v>
      </c>
      <c r="HM19" s="6194">
        <f t="shared" si="230"/>
        <v>1664769</v>
      </c>
      <c r="HN19" s="6194">
        <f t="shared" si="230"/>
        <v>116533830</v>
      </c>
      <c r="HO19" s="6195">
        <f t="shared" si="230"/>
        <v>1468622</v>
      </c>
      <c r="HP19" s="6196">
        <f t="shared" si="230"/>
        <v>102803540</v>
      </c>
      <c r="HQ19" s="6194">
        <f t="shared" si="230"/>
        <v>196147</v>
      </c>
      <c r="HR19" s="6194">
        <f t="shared" si="230"/>
        <v>13730290</v>
      </c>
      <c r="HS19" s="6200">
        <f>SUM(HR5:HR12)/SUM(HN5:HN12)</f>
        <v>0.11087930576248858</v>
      </c>
      <c r="HT19" s="6206">
        <f t="shared" ref="HT19:HZ19" si="231">SUM(HT5:HT18)</f>
        <v>51.333333333333329</v>
      </c>
      <c r="HU19" s="6194">
        <f t="shared" si="231"/>
        <v>1906314</v>
      </c>
      <c r="HV19" s="6194">
        <f t="shared" si="231"/>
        <v>133441980</v>
      </c>
      <c r="HW19" s="6207">
        <f t="shared" si="231"/>
        <v>1712077</v>
      </c>
      <c r="HX19" s="6208">
        <f t="shared" si="231"/>
        <v>119845390</v>
      </c>
      <c r="HY19" s="6194">
        <f t="shared" si="231"/>
        <v>194237</v>
      </c>
      <c r="HZ19" s="6194">
        <f t="shared" si="231"/>
        <v>13596590</v>
      </c>
      <c r="IA19" s="6200">
        <f>HY19/HW19</f>
        <v>0.11345108894050911</v>
      </c>
      <c r="IB19" s="6191">
        <f t="shared" ref="IB19:IH19" si="232">SUM(IB5:IB18)</f>
        <v>59.999999999999993</v>
      </c>
      <c r="IC19" s="6194">
        <f t="shared" si="232"/>
        <v>2029449</v>
      </c>
      <c r="ID19" s="6194">
        <f t="shared" si="232"/>
        <v>142061430</v>
      </c>
      <c r="IE19" s="6209">
        <f t="shared" si="232"/>
        <v>1833840</v>
      </c>
      <c r="IF19" s="6210">
        <f t="shared" si="232"/>
        <v>128368800</v>
      </c>
      <c r="IG19" s="6194">
        <f t="shared" si="232"/>
        <v>195609</v>
      </c>
      <c r="IH19" s="6194">
        <f t="shared" si="232"/>
        <v>13692630</v>
      </c>
      <c r="II19" s="6200">
        <f>IG19/IC19</f>
        <v>9.6385275017997499E-2</v>
      </c>
      <c r="IJ19" s="6211">
        <f t="shared" ref="IJ19:IP19" si="233">SUM(IJ5:IJ18)</f>
        <v>59.333333333333329</v>
      </c>
      <c r="IK19" s="6194">
        <f t="shared" si="233"/>
        <v>2069080</v>
      </c>
      <c r="IL19" s="6194">
        <f t="shared" si="233"/>
        <v>144835600</v>
      </c>
      <c r="IM19" s="6194">
        <f t="shared" si="233"/>
        <v>1880254</v>
      </c>
      <c r="IN19" s="6194">
        <f t="shared" si="233"/>
        <v>131617780</v>
      </c>
      <c r="IO19" s="6194">
        <f t="shared" si="233"/>
        <v>188826</v>
      </c>
      <c r="IP19" s="6194">
        <f t="shared" si="233"/>
        <v>13217820</v>
      </c>
      <c r="IQ19" s="6200">
        <f>IP19/IL19</f>
        <v>9.1260850232953772E-2</v>
      </c>
      <c r="IR19" s="6212"/>
      <c r="IS19" s="6211">
        <f t="shared" ref="IS19:JA19" si="234">SUM(IS5:IS18)</f>
        <v>70</v>
      </c>
      <c r="IT19" s="6194">
        <f t="shared" si="234"/>
        <v>762528</v>
      </c>
      <c r="IU19" s="6194">
        <f t="shared" si="234"/>
        <v>60938240</v>
      </c>
      <c r="IV19" s="6213">
        <f t="shared" si="234"/>
        <v>698804</v>
      </c>
      <c r="IW19" s="6214">
        <f t="shared" si="234"/>
        <v>55904320</v>
      </c>
      <c r="IX19" s="6194">
        <f t="shared" si="234"/>
        <v>11512.76</v>
      </c>
      <c r="IY19" s="6194">
        <f t="shared" si="234"/>
        <v>12443</v>
      </c>
      <c r="IZ19" s="6207">
        <f t="shared" si="234"/>
        <v>39768.239999999998</v>
      </c>
      <c r="JA19" s="6194">
        <f t="shared" si="234"/>
        <v>3175859.2</v>
      </c>
      <c r="JB19" s="6200">
        <f>JA19/IU19</f>
        <v>5.2116030919173252E-2</v>
      </c>
      <c r="JC19" s="6215">
        <f t="shared" ref="JC19:JK19" si="235">SUM(JC5:JC18)</f>
        <v>71</v>
      </c>
      <c r="JD19" s="6194">
        <f t="shared" si="235"/>
        <v>813996</v>
      </c>
      <c r="JE19" s="6194">
        <f t="shared" si="235"/>
        <v>65052480</v>
      </c>
      <c r="JF19" s="6213">
        <f t="shared" si="235"/>
        <v>741551</v>
      </c>
      <c r="JG19" s="6214">
        <f t="shared" si="235"/>
        <v>59262760</v>
      </c>
      <c r="JH19" s="6213">
        <f t="shared" si="235"/>
        <v>11284.400000000001</v>
      </c>
      <c r="JI19" s="6214">
        <f t="shared" si="235"/>
        <v>10272</v>
      </c>
      <c r="JJ19" s="6207">
        <f t="shared" si="235"/>
        <v>50888.6</v>
      </c>
      <c r="JK19" s="6194">
        <f t="shared" si="235"/>
        <v>4065208</v>
      </c>
      <c r="JL19" s="6200">
        <f>JK19/JE19</f>
        <v>6.2491207099252787E-2</v>
      </c>
      <c r="JM19" s="6194">
        <f t="shared" ref="JM19:JU19" si="236">SUM(JM5:JM18)</f>
        <v>76</v>
      </c>
      <c r="JN19" s="6194">
        <f t="shared" si="236"/>
        <v>864878</v>
      </c>
      <c r="JO19" s="6194">
        <f t="shared" si="236"/>
        <v>69106640</v>
      </c>
      <c r="JP19" s="6195">
        <f t="shared" si="236"/>
        <v>789997</v>
      </c>
      <c r="JQ19" s="6196">
        <f t="shared" si="236"/>
        <v>63133760</v>
      </c>
      <c r="JR19" s="6194">
        <f t="shared" si="236"/>
        <v>11400.199999999999</v>
      </c>
      <c r="JS19" s="6208">
        <f t="shared" si="236"/>
        <v>13408</v>
      </c>
      <c r="JT19" s="6207">
        <f t="shared" si="236"/>
        <v>50072.800000000003</v>
      </c>
      <c r="JU19" s="6194">
        <f t="shared" si="236"/>
        <v>4005824</v>
      </c>
      <c r="JV19" s="6200">
        <f>JU19/JO19</f>
        <v>5.7965833673869836E-2</v>
      </c>
      <c r="JW19" s="6211">
        <f t="shared" ref="JW19:KE19" si="237">SUM(JW5:JW18)</f>
        <v>75</v>
      </c>
      <c r="JX19" s="6194">
        <f t="shared" si="237"/>
        <v>798210</v>
      </c>
      <c r="JY19" s="6194">
        <f t="shared" si="237"/>
        <v>63792800</v>
      </c>
      <c r="JZ19" s="6195">
        <f t="shared" si="237"/>
        <v>719691</v>
      </c>
      <c r="KA19" s="6196">
        <f t="shared" si="237"/>
        <v>57516880</v>
      </c>
      <c r="KB19" s="6194">
        <f t="shared" si="237"/>
        <v>10908.720000000001</v>
      </c>
      <c r="KC19" s="6208">
        <f t="shared" si="237"/>
        <v>13408</v>
      </c>
      <c r="KD19" s="6207">
        <f t="shared" si="237"/>
        <v>54202.28</v>
      </c>
      <c r="KE19" s="6194">
        <f t="shared" si="237"/>
        <v>4330582.4000000004</v>
      </c>
      <c r="KF19" s="6200">
        <f>KE19/JY19</f>
        <v>6.7885128102230977E-2</v>
      </c>
      <c r="KG19" s="6215">
        <f t="shared" ref="KG19:KO19" si="238">SUM(KG5:KG18)</f>
        <v>76</v>
      </c>
      <c r="KH19" s="6194">
        <f t="shared" si="238"/>
        <v>921802</v>
      </c>
      <c r="KI19" s="6194">
        <f t="shared" si="238"/>
        <v>73676960</v>
      </c>
      <c r="KJ19" s="6195">
        <f t="shared" si="238"/>
        <v>830662</v>
      </c>
      <c r="KK19" s="6196">
        <f t="shared" si="238"/>
        <v>66391640</v>
      </c>
      <c r="KL19" s="6194">
        <f t="shared" si="238"/>
        <v>12959.480000000001</v>
      </c>
      <c r="KM19" s="6208">
        <f t="shared" si="238"/>
        <v>12735</v>
      </c>
      <c r="KN19" s="6207">
        <f t="shared" si="238"/>
        <v>65445.520000000004</v>
      </c>
      <c r="KO19" s="6194">
        <f t="shared" si="238"/>
        <v>5229761.5999999996</v>
      </c>
      <c r="KP19" s="6200">
        <f>KO19/KI19</f>
        <v>7.0982320660352968E-2</v>
      </c>
      <c r="KQ19" s="6211">
        <f t="shared" ref="KQ19:KY19" si="239">SUM(KQ5:KQ18)</f>
        <v>84</v>
      </c>
      <c r="KR19" s="6194">
        <f t="shared" si="239"/>
        <v>877709</v>
      </c>
      <c r="KS19" s="6194">
        <f t="shared" si="239"/>
        <v>70149520</v>
      </c>
      <c r="KT19" s="6195">
        <f t="shared" si="239"/>
        <v>794322</v>
      </c>
      <c r="KU19" s="6196">
        <f t="shared" si="239"/>
        <v>63484440</v>
      </c>
      <c r="KV19" s="6194">
        <f t="shared" si="239"/>
        <v>12588.04</v>
      </c>
      <c r="KW19" s="6208">
        <f t="shared" si="239"/>
        <v>12373</v>
      </c>
      <c r="KX19" s="6207">
        <f t="shared" si="239"/>
        <v>58425.96</v>
      </c>
      <c r="KY19" s="6194">
        <f t="shared" si="239"/>
        <v>4668196.8</v>
      </c>
      <c r="KZ19" s="6200">
        <f>KY19/KS19</f>
        <v>6.6546382640964616E-2</v>
      </c>
      <c r="LA19" s="6211">
        <f t="shared" ref="LA19:LI19" si="240">SUM(LA5:LA18)</f>
        <v>74</v>
      </c>
      <c r="LB19" s="6194">
        <f t="shared" si="240"/>
        <v>902556</v>
      </c>
      <c r="LC19" s="6194">
        <f t="shared" si="240"/>
        <v>72204480</v>
      </c>
      <c r="LD19" s="6195">
        <f t="shared" si="240"/>
        <v>815173</v>
      </c>
      <c r="LE19" s="6196">
        <f t="shared" si="240"/>
        <v>65213840</v>
      </c>
      <c r="LF19" s="6194">
        <f t="shared" si="240"/>
        <v>12278.400000000001</v>
      </c>
      <c r="LG19" s="6208">
        <f t="shared" si="240"/>
        <v>11198</v>
      </c>
      <c r="LH19" s="6207">
        <f t="shared" si="240"/>
        <v>63906.6</v>
      </c>
      <c r="LI19" s="6194">
        <f t="shared" si="240"/>
        <v>5106648</v>
      </c>
      <c r="LJ19" s="6200">
        <f>LI19/LC19</f>
        <v>7.072480821134644E-2</v>
      </c>
      <c r="LK19" s="6211">
        <f t="shared" ref="LK19:LS19" si="241">SUM(LK5:LK18)</f>
        <v>76</v>
      </c>
      <c r="LL19" s="6194">
        <f t="shared" si="241"/>
        <v>836968</v>
      </c>
      <c r="LM19" s="6194">
        <f t="shared" si="241"/>
        <v>66893440</v>
      </c>
      <c r="LN19" s="6195">
        <f t="shared" si="241"/>
        <v>755297</v>
      </c>
      <c r="LO19" s="6196">
        <f t="shared" si="241"/>
        <v>60423760</v>
      </c>
      <c r="LP19" s="6194">
        <f t="shared" si="241"/>
        <v>11653.87</v>
      </c>
      <c r="LQ19" s="6208">
        <f t="shared" si="241"/>
        <v>12695</v>
      </c>
      <c r="LR19" s="6207">
        <f t="shared" si="241"/>
        <v>57322.130000000005</v>
      </c>
      <c r="LS19" s="6194">
        <f t="shared" si="241"/>
        <v>4585770.4000000004</v>
      </c>
      <c r="LT19" s="6200">
        <f>LS19/LM19</f>
        <v>6.8553364874044453E-2</v>
      </c>
      <c r="LU19" s="6211">
        <f t="shared" ref="LU19:MC19" si="242">SUM(LU5:LU18)</f>
        <v>70</v>
      </c>
      <c r="LV19" s="6194">
        <f t="shared" si="242"/>
        <v>803596</v>
      </c>
      <c r="LW19" s="6194">
        <f t="shared" si="242"/>
        <v>64220480</v>
      </c>
      <c r="LX19" s="6195">
        <f t="shared" si="242"/>
        <v>728022</v>
      </c>
      <c r="LY19" s="6196">
        <f t="shared" si="242"/>
        <v>58180440</v>
      </c>
      <c r="LZ19" s="6194">
        <f t="shared" si="242"/>
        <v>12227.98</v>
      </c>
      <c r="MA19" s="6208">
        <f t="shared" si="242"/>
        <v>12707</v>
      </c>
      <c r="MB19" s="6207">
        <f t="shared" si="242"/>
        <v>50639.020000000004</v>
      </c>
      <c r="MC19" s="6194">
        <f t="shared" si="242"/>
        <v>4045241.6</v>
      </c>
      <c r="MD19" s="6200">
        <f>MC19/LW19</f>
        <v>6.2989899795205515E-2</v>
      </c>
      <c r="ME19" s="6211">
        <f t="shared" ref="ME19:MM19" si="243">SUM(ME5:ME18)</f>
        <v>75</v>
      </c>
      <c r="MF19" s="6194">
        <f t="shared" si="243"/>
        <v>820490</v>
      </c>
      <c r="MG19" s="6196">
        <f t="shared" si="243"/>
        <v>65639200</v>
      </c>
      <c r="MH19" s="6194">
        <f t="shared" si="243"/>
        <v>743086</v>
      </c>
      <c r="MI19" s="6196">
        <f t="shared" si="243"/>
        <v>59446880</v>
      </c>
      <c r="MJ19" s="6196">
        <f t="shared" si="243"/>
        <v>13427.6</v>
      </c>
      <c r="MK19" s="6196">
        <f t="shared" si="243"/>
        <v>11006</v>
      </c>
      <c r="ML19" s="6194">
        <f t="shared" si="243"/>
        <v>52970.399999999994</v>
      </c>
      <c r="MM19" s="6194">
        <f t="shared" si="243"/>
        <v>4237632</v>
      </c>
      <c r="MN19" s="6200">
        <f>MM19/MG19</f>
        <v>6.4559470560274959E-2</v>
      </c>
      <c r="MO19" s="6211">
        <f t="shared" ref="MO19:MW19" si="244">SUM(MO5:MO18)</f>
        <v>75</v>
      </c>
      <c r="MP19" s="6194">
        <f t="shared" si="244"/>
        <v>773286</v>
      </c>
      <c r="MQ19" s="6194">
        <f t="shared" si="244"/>
        <v>61862880</v>
      </c>
      <c r="MR19" s="6207">
        <f t="shared" si="244"/>
        <v>712397</v>
      </c>
      <c r="MS19" s="6194">
        <f t="shared" si="244"/>
        <v>56991760</v>
      </c>
      <c r="MT19" s="6194">
        <f t="shared" si="244"/>
        <v>13607.11</v>
      </c>
      <c r="MU19" s="6194">
        <f t="shared" si="244"/>
        <v>9672</v>
      </c>
      <c r="MV19" s="6194">
        <f t="shared" si="244"/>
        <v>37609.89</v>
      </c>
      <c r="MW19" s="6194">
        <f t="shared" si="244"/>
        <v>3008791.2</v>
      </c>
      <c r="MX19" s="6199">
        <f>MW19/MQ19</f>
        <v>4.8636455334766182E-2</v>
      </c>
      <c r="MY19" s="6211">
        <f t="shared" ref="MY19:NG19" si="245">SUM(MY5:MY18)</f>
        <v>73</v>
      </c>
      <c r="MZ19" s="6194">
        <f t="shared" si="245"/>
        <v>837909</v>
      </c>
      <c r="NA19" s="6194">
        <f t="shared" si="245"/>
        <v>67032720</v>
      </c>
      <c r="NB19" s="6207">
        <f t="shared" si="245"/>
        <v>775708</v>
      </c>
      <c r="NC19" s="6208">
        <f t="shared" si="245"/>
        <v>62056640</v>
      </c>
      <c r="ND19" s="6194">
        <f t="shared" si="245"/>
        <v>13957.92</v>
      </c>
      <c r="NE19" s="6194">
        <f t="shared" si="245"/>
        <v>12233</v>
      </c>
      <c r="NF19" s="6207">
        <f t="shared" si="245"/>
        <v>36010.080000000002</v>
      </c>
      <c r="NG19" s="6194">
        <f t="shared" si="245"/>
        <v>2880806.4</v>
      </c>
      <c r="NH19" s="6200">
        <f>NG19/NA19</f>
        <v>4.297612270544892E-2</v>
      </c>
      <c r="NI19" s="6194">
        <f t="shared" ref="NI19:NO19" si="246">SUM(NI5:NI18)</f>
        <v>73.166666666666671</v>
      </c>
      <c r="NJ19" s="6194">
        <f t="shared" si="246"/>
        <v>10013928</v>
      </c>
      <c r="NK19" s="6194">
        <f t="shared" si="246"/>
        <v>800569840</v>
      </c>
      <c r="NL19" s="6207">
        <f t="shared" si="246"/>
        <v>9104710</v>
      </c>
      <c r="NM19" s="6208">
        <f t="shared" si="246"/>
        <v>728007120</v>
      </c>
      <c r="NN19" s="6207">
        <f t="shared" si="246"/>
        <v>617261.52</v>
      </c>
      <c r="NO19" s="6194">
        <f t="shared" si="246"/>
        <v>49340321.600000001</v>
      </c>
      <c r="NP19" s="6200">
        <f>NO19/NK19</f>
        <v>6.1631501881210013E-2</v>
      </c>
      <c r="NQ19" s="6211">
        <f t="shared" ref="NQ19:NW19" si="247">SUM(NQ5:NQ18)</f>
        <v>72.333333333333343</v>
      </c>
      <c r="NR19" s="6194">
        <f t="shared" si="247"/>
        <v>2441402</v>
      </c>
      <c r="NS19" s="6194">
        <f t="shared" si="247"/>
        <v>195097360</v>
      </c>
      <c r="NT19" s="6195">
        <f t="shared" si="247"/>
        <v>2230352</v>
      </c>
      <c r="NU19" s="6196">
        <f t="shared" si="247"/>
        <v>178300840</v>
      </c>
      <c r="NV19" s="6194">
        <f t="shared" si="247"/>
        <v>140729.64000000001</v>
      </c>
      <c r="NW19" s="6194">
        <f t="shared" si="247"/>
        <v>11246891.199999999</v>
      </c>
      <c r="NX19" s="6200">
        <f>NW19/NS19</f>
        <v>5.7647582724850807E-2</v>
      </c>
      <c r="NY19" s="6211">
        <f t="shared" ref="NY19:OE19" si="248">SUM(NY5:NY18)</f>
        <v>78.333333333333329</v>
      </c>
      <c r="NZ19" s="6194">
        <f t="shared" si="248"/>
        <v>2597721</v>
      </c>
      <c r="OA19" s="6194">
        <f t="shared" si="248"/>
        <v>207619280</v>
      </c>
      <c r="OB19" s="6195">
        <f t="shared" si="248"/>
        <v>2344675</v>
      </c>
      <c r="OC19" s="6196">
        <f t="shared" si="248"/>
        <v>187392960</v>
      </c>
      <c r="OD19" s="6194">
        <f t="shared" si="248"/>
        <v>178073.76</v>
      </c>
      <c r="OE19" s="6194">
        <f t="shared" si="248"/>
        <v>14228540.800000001</v>
      </c>
      <c r="OF19" s="6200">
        <f>OE19/OA19</f>
        <v>6.8531885863393802E-2</v>
      </c>
      <c r="OG19" s="6211">
        <f t="shared" ref="OG19:OM19" si="249">SUM(OG5:OG18)</f>
        <v>73.333333333333343</v>
      </c>
      <c r="OH19" s="6194">
        <f t="shared" si="249"/>
        <v>2543120</v>
      </c>
      <c r="OI19" s="6194">
        <f t="shared" si="249"/>
        <v>203318400</v>
      </c>
      <c r="OJ19" s="6216">
        <f t="shared" si="249"/>
        <v>2298492</v>
      </c>
      <c r="OK19" s="6217">
        <f t="shared" si="249"/>
        <v>183818040</v>
      </c>
      <c r="OL19" s="6194">
        <f t="shared" si="249"/>
        <v>171867.75</v>
      </c>
      <c r="OM19" s="6194">
        <f t="shared" si="249"/>
        <v>13737660</v>
      </c>
      <c r="ON19" s="6199">
        <f>OM19/OI19</f>
        <v>6.7567224609282786E-2</v>
      </c>
      <c r="OO19" s="6211">
        <f t="shared" ref="OO19:OU19" si="250">SUM(OO5:OO18)</f>
        <v>73</v>
      </c>
      <c r="OP19" s="6194">
        <f t="shared" si="250"/>
        <v>2431685</v>
      </c>
      <c r="OQ19" s="6194">
        <f t="shared" si="250"/>
        <v>194534800</v>
      </c>
      <c r="OR19" s="6207">
        <f t="shared" si="250"/>
        <v>2231191</v>
      </c>
      <c r="OS19" s="6208">
        <f t="shared" si="250"/>
        <v>178495280</v>
      </c>
      <c r="OT19" s="6194">
        <f t="shared" si="250"/>
        <v>126590.37</v>
      </c>
      <c r="OU19" s="6194">
        <f t="shared" si="250"/>
        <v>10127229.6</v>
      </c>
      <c r="OV19" s="6200">
        <f>OU19/OQ19</f>
        <v>5.2058704149591739E-2</v>
      </c>
      <c r="OW19" s="6212"/>
      <c r="OX19" s="6211">
        <f t="shared" ref="OX19:PF19" si="251">SUM(OX5:OX18)</f>
        <v>68</v>
      </c>
      <c r="OY19" s="6194">
        <f t="shared" si="251"/>
        <v>769903</v>
      </c>
      <c r="OZ19" s="6194">
        <f t="shared" si="251"/>
        <v>61592240</v>
      </c>
      <c r="PA19" s="6213">
        <f t="shared" si="251"/>
        <v>713086</v>
      </c>
      <c r="PB19" s="6214">
        <f t="shared" si="251"/>
        <v>57046880</v>
      </c>
      <c r="PC19" s="6194">
        <f t="shared" si="251"/>
        <v>12539.32</v>
      </c>
      <c r="PD19" s="6194">
        <f t="shared" si="251"/>
        <v>8130</v>
      </c>
      <c r="PE19" s="6207">
        <f t="shared" si="251"/>
        <v>36147.68</v>
      </c>
      <c r="PF19" s="6194">
        <f t="shared" si="251"/>
        <v>2892354.4</v>
      </c>
      <c r="PG19" s="6200">
        <f>PF19/OZ19</f>
        <v>4.695972089990557E-2</v>
      </c>
      <c r="PH19" s="6215">
        <f t="shared" ref="PH19:PP19" si="252">SUM(PH5:PH18)</f>
        <v>67</v>
      </c>
      <c r="PI19" s="6194">
        <f t="shared" si="252"/>
        <v>827453.12</v>
      </c>
      <c r="PJ19" s="6194">
        <f t="shared" si="252"/>
        <v>66196249.600000001</v>
      </c>
      <c r="PK19" s="6213">
        <f t="shared" si="252"/>
        <v>764343</v>
      </c>
      <c r="PL19" s="6214">
        <f t="shared" si="252"/>
        <v>61147440</v>
      </c>
      <c r="PM19" s="6194">
        <f t="shared" si="252"/>
        <v>12322.38</v>
      </c>
      <c r="PN19" s="6194">
        <f t="shared" si="252"/>
        <v>9254</v>
      </c>
      <c r="PO19" s="6207">
        <f t="shared" si="252"/>
        <v>41533.740000000005</v>
      </c>
      <c r="PP19" s="6194">
        <f t="shared" si="252"/>
        <v>3322699.2</v>
      </c>
      <c r="PQ19" s="6200">
        <f>PP19/PJ19</f>
        <v>5.0194674472917575E-2</v>
      </c>
      <c r="PR19" s="6194">
        <f t="shared" ref="PR19:PZ19" si="253">SUM(PR5:PR18)</f>
        <v>65</v>
      </c>
      <c r="PS19" s="6194">
        <f t="shared" si="253"/>
        <v>759341.12</v>
      </c>
      <c r="PT19" s="6194">
        <f t="shared" si="253"/>
        <v>60747289.600000001</v>
      </c>
      <c r="PU19" s="6195">
        <f t="shared" si="253"/>
        <v>704308</v>
      </c>
      <c r="PV19" s="6214">
        <f t="shared" si="253"/>
        <v>56344640</v>
      </c>
      <c r="PW19" s="6194">
        <f t="shared" si="253"/>
        <v>11908.26</v>
      </c>
      <c r="PX19" s="6194">
        <f t="shared" si="253"/>
        <v>8582.4</v>
      </c>
      <c r="PY19" s="6195">
        <f t="shared" si="253"/>
        <v>34542.46</v>
      </c>
      <c r="PZ19" s="6194">
        <f t="shared" si="253"/>
        <v>2763396.8000000003</v>
      </c>
      <c r="QA19" s="6199">
        <f>PZ19/PT19</f>
        <v>4.549004273599723E-2</v>
      </c>
      <c r="QB19" s="6211">
        <f t="shared" ref="QB19:QJ19" si="254">SUM(QB5:QB18)</f>
        <v>52</v>
      </c>
      <c r="QC19" s="6194">
        <f t="shared" si="254"/>
        <v>551081.22</v>
      </c>
      <c r="QD19" s="6194">
        <f t="shared" si="254"/>
        <v>44086497.600000001</v>
      </c>
      <c r="QE19" s="6195">
        <f t="shared" si="254"/>
        <v>505181</v>
      </c>
      <c r="QF19" s="6196">
        <f t="shared" si="254"/>
        <v>40414480</v>
      </c>
      <c r="QG19" s="6194">
        <f t="shared" si="254"/>
        <v>9307.74</v>
      </c>
      <c r="QH19" s="6194">
        <f t="shared" si="254"/>
        <v>6808</v>
      </c>
      <c r="QI19" s="6207">
        <f t="shared" si="254"/>
        <v>29784.480000000003</v>
      </c>
      <c r="QJ19" s="6194">
        <f t="shared" si="254"/>
        <v>2382758.4000000004</v>
      </c>
      <c r="QK19" s="6200">
        <f>QJ19/QD19</f>
        <v>5.4047350769819383E-2</v>
      </c>
      <c r="QL19" s="6215">
        <f t="shared" ref="QL19:QT19" si="255">SUM(QL5:QL18)</f>
        <v>53</v>
      </c>
      <c r="QM19" s="6194">
        <f t="shared" si="255"/>
        <v>671860</v>
      </c>
      <c r="QN19" s="6194">
        <f t="shared" si="255"/>
        <v>53748800</v>
      </c>
      <c r="QO19" s="6195">
        <f t="shared" si="255"/>
        <v>615217</v>
      </c>
      <c r="QP19" s="6196">
        <f t="shared" si="255"/>
        <v>49217360</v>
      </c>
      <c r="QQ19" s="6194">
        <f t="shared" si="255"/>
        <v>10784.92</v>
      </c>
      <c r="QR19" s="6194">
        <f t="shared" si="255"/>
        <v>5212</v>
      </c>
      <c r="QS19" s="6207">
        <f t="shared" si="255"/>
        <v>40646.080000000002</v>
      </c>
      <c r="QT19" s="6194">
        <f t="shared" si="255"/>
        <v>3251686.4</v>
      </c>
      <c r="QU19" s="6200">
        <f>QT19/QN19</f>
        <v>6.0497841812282321E-2</v>
      </c>
      <c r="QV19" s="6211">
        <f t="shared" ref="QV19:RD19" si="256">SUM(QV5:QV18)</f>
        <v>51</v>
      </c>
      <c r="QW19" s="6194">
        <f t="shared" si="256"/>
        <v>573627.19999999995</v>
      </c>
      <c r="QX19" s="6194">
        <f t="shared" si="256"/>
        <v>45890176</v>
      </c>
      <c r="QY19" s="6195">
        <f t="shared" si="256"/>
        <v>527594</v>
      </c>
      <c r="QZ19" s="6196">
        <f t="shared" si="256"/>
        <v>42207520</v>
      </c>
      <c r="RA19" s="6196">
        <f t="shared" si="256"/>
        <v>8978.52</v>
      </c>
      <c r="RB19" s="6194">
        <f t="shared" si="256"/>
        <v>7234</v>
      </c>
      <c r="RC19" s="6195">
        <f t="shared" si="256"/>
        <v>29820.68</v>
      </c>
      <c r="RD19" s="6194">
        <f t="shared" si="256"/>
        <v>2385654.4</v>
      </c>
      <c r="RE19" s="6200">
        <f>RD19/QX19</f>
        <v>5.1986168019926532E-2</v>
      </c>
      <c r="RF19" s="6211">
        <f t="shared" ref="RF19:RN19" si="257">SUM(RF5:RF18)</f>
        <v>54</v>
      </c>
      <c r="RG19" s="6194">
        <f t="shared" si="257"/>
        <v>627706</v>
      </c>
      <c r="RH19" s="6194">
        <f t="shared" si="257"/>
        <v>50216480</v>
      </c>
      <c r="RI19" s="6195">
        <f t="shared" si="257"/>
        <v>579679</v>
      </c>
      <c r="RJ19" s="6196">
        <f t="shared" si="257"/>
        <v>46374320</v>
      </c>
      <c r="RK19" s="6195">
        <f t="shared" si="257"/>
        <v>10735.64</v>
      </c>
      <c r="RL19" s="6194">
        <f t="shared" si="257"/>
        <v>5853</v>
      </c>
      <c r="RM19" s="6218">
        <f t="shared" si="257"/>
        <v>31438.36</v>
      </c>
      <c r="RN19" s="6194">
        <f t="shared" si="257"/>
        <v>2515068.7999999998</v>
      </c>
      <c r="RO19" s="6200">
        <f>RN19/RH19</f>
        <v>5.0084530018830467E-2</v>
      </c>
      <c r="RP19" s="6211">
        <f t="shared" ref="RP19:RX19" si="258">SUM(RP5:RP18)</f>
        <v>50</v>
      </c>
      <c r="RQ19" s="6194">
        <f t="shared" si="258"/>
        <v>556018.12</v>
      </c>
      <c r="RR19" s="6194">
        <f t="shared" si="258"/>
        <v>44481449.600000001</v>
      </c>
      <c r="RS19" s="6195">
        <f t="shared" si="258"/>
        <v>511252</v>
      </c>
      <c r="RT19" s="6196">
        <f t="shared" si="258"/>
        <v>40900160</v>
      </c>
      <c r="RU19" s="6195">
        <f t="shared" si="258"/>
        <v>10593.455</v>
      </c>
      <c r="RV19" s="6196">
        <f t="shared" si="258"/>
        <v>6051</v>
      </c>
      <c r="RW19" s="6195">
        <f t="shared" si="258"/>
        <v>28121.665000000001</v>
      </c>
      <c r="RX19" s="6194">
        <f t="shared" si="258"/>
        <v>2249733.2000000002</v>
      </c>
      <c r="RY19" s="6200">
        <f>RX19/RR19</f>
        <v>5.0576885875589811E-2</v>
      </c>
      <c r="RZ19" s="6211">
        <f t="shared" ref="RZ19:SH19" si="259">SUM(RZ5:RZ18)</f>
        <v>47</v>
      </c>
      <c r="SA19" s="6194">
        <f t="shared" si="259"/>
        <v>505479</v>
      </c>
      <c r="SB19" s="6194">
        <f t="shared" si="259"/>
        <v>40438320</v>
      </c>
      <c r="SC19" s="6195">
        <f t="shared" si="259"/>
        <v>466923</v>
      </c>
      <c r="SD19" s="6196">
        <f t="shared" si="259"/>
        <v>37353840</v>
      </c>
      <c r="SE19" s="6195">
        <f t="shared" si="259"/>
        <v>9044.6549999999988</v>
      </c>
      <c r="SF19" s="6196">
        <f t="shared" si="259"/>
        <v>4063</v>
      </c>
      <c r="SG19" s="6195">
        <f t="shared" si="259"/>
        <v>25448.345000000001</v>
      </c>
      <c r="SH19" s="6194">
        <f t="shared" si="259"/>
        <v>2035867.6</v>
      </c>
      <c r="SI19" s="6200">
        <f>SH19/SB19</f>
        <v>5.0345009387135771E-2</v>
      </c>
      <c r="SJ19" s="6211">
        <f t="shared" ref="SJ19:SR19" si="260">SUM(SJ5:SJ18)</f>
        <v>43</v>
      </c>
      <c r="SK19" s="6194">
        <f t="shared" si="260"/>
        <v>482176.16</v>
      </c>
      <c r="SL19" s="6194">
        <f t="shared" si="260"/>
        <v>38574092.799999997</v>
      </c>
      <c r="SM19" s="6195">
        <f t="shared" si="260"/>
        <v>448491</v>
      </c>
      <c r="SN19" s="6196">
        <f t="shared" si="260"/>
        <v>35879280</v>
      </c>
      <c r="SO19" s="6195">
        <f t="shared" si="260"/>
        <v>8442.0649999999987</v>
      </c>
      <c r="SP19" s="6194">
        <f t="shared" si="260"/>
        <v>4063</v>
      </c>
      <c r="SQ19" s="6195">
        <f t="shared" si="260"/>
        <v>21180.095000000001</v>
      </c>
      <c r="SR19" s="6194">
        <f t="shared" si="260"/>
        <v>1694407.6</v>
      </c>
      <c r="SS19" s="6200">
        <f>SR19/SL19</f>
        <v>4.3926051839643009E-2</v>
      </c>
      <c r="ST19" s="6211">
        <f t="shared" ref="ST19:TB19" si="261">SUM(ST5:ST18)</f>
        <v>42</v>
      </c>
      <c r="SU19" s="6194">
        <f t="shared" si="261"/>
        <v>469525</v>
      </c>
      <c r="SV19" s="6194">
        <f t="shared" si="261"/>
        <v>37562000</v>
      </c>
      <c r="SW19" s="6195">
        <f t="shared" si="261"/>
        <v>435886</v>
      </c>
      <c r="SX19" s="6194">
        <f t="shared" si="261"/>
        <v>34870880</v>
      </c>
      <c r="SY19" s="6216">
        <f t="shared" si="261"/>
        <v>7573.1399999999994</v>
      </c>
      <c r="SZ19" s="6196">
        <f t="shared" si="261"/>
        <v>3205</v>
      </c>
      <c r="TA19" s="6194">
        <f t="shared" si="261"/>
        <v>22860.86</v>
      </c>
      <c r="TB19" s="6194">
        <f t="shared" si="261"/>
        <v>1828868.8000000003</v>
      </c>
      <c r="TC19" s="6200">
        <f>TB19/SV19</f>
        <v>4.8689334966189241E-2</v>
      </c>
      <c r="TD19" s="6211">
        <f t="shared" ref="TD19:TL19" si="262">SUM(TD5:TD18)</f>
        <v>40</v>
      </c>
      <c r="TE19" s="6194">
        <f t="shared" si="262"/>
        <v>411852.28</v>
      </c>
      <c r="TF19" s="6194">
        <f t="shared" si="262"/>
        <v>32948182.399999999</v>
      </c>
      <c r="TG19" s="6195">
        <f t="shared" si="262"/>
        <v>379138</v>
      </c>
      <c r="TH19" s="6194">
        <f t="shared" si="262"/>
        <v>30331040</v>
      </c>
      <c r="TI19" s="6216">
        <f t="shared" si="262"/>
        <v>7429.99</v>
      </c>
      <c r="TJ19" s="6196">
        <f t="shared" si="262"/>
        <v>3205</v>
      </c>
      <c r="TK19" s="6194">
        <f t="shared" si="262"/>
        <v>22079.29</v>
      </c>
      <c r="TL19" s="6194">
        <f t="shared" si="262"/>
        <v>1766343.2000000002</v>
      </c>
      <c r="TM19" s="6200">
        <f>TL19/TF19</f>
        <v>5.3609731139524108E-2</v>
      </c>
      <c r="TN19" s="6211">
        <f t="shared" ref="TN19:TT19" si="263">SUM(TN5:TN18)</f>
        <v>40</v>
      </c>
      <c r="TO19" s="6194">
        <f t="shared" si="263"/>
        <v>7206022.2199999997</v>
      </c>
      <c r="TP19" s="6194">
        <f t="shared" si="263"/>
        <v>576481777.60000002</v>
      </c>
      <c r="TQ19" s="6195">
        <f t="shared" si="263"/>
        <v>6651098</v>
      </c>
      <c r="TR19" s="6196">
        <f t="shared" si="263"/>
        <v>532087840</v>
      </c>
      <c r="TS19" s="6194">
        <f t="shared" si="263"/>
        <v>363603.73499999999</v>
      </c>
      <c r="TT19" s="6194">
        <f t="shared" si="263"/>
        <v>29088838.800000001</v>
      </c>
      <c r="TU19" s="6200">
        <f>TT19/TP19</f>
        <v>5.045925115118504E-2</v>
      </c>
      <c r="TV19" s="6211">
        <f t="shared" ref="TV19:UB19" si="264">SUM(TV5:TV18)</f>
        <v>65.666666666666657</v>
      </c>
      <c r="TW19" s="6194">
        <f t="shared" si="264"/>
        <v>2356697.2400000002</v>
      </c>
      <c r="TX19" s="6194">
        <f t="shared" si="264"/>
        <v>188535779.19999999</v>
      </c>
      <c r="TY19" s="6195">
        <f t="shared" si="264"/>
        <v>2181737</v>
      </c>
      <c r="TZ19" s="6196">
        <f t="shared" si="264"/>
        <v>174538960</v>
      </c>
      <c r="UA19" s="6194">
        <f t="shared" si="264"/>
        <v>112223.88000000002</v>
      </c>
      <c r="UB19" s="6194">
        <f t="shared" si="264"/>
        <v>8978450.4000000004</v>
      </c>
      <c r="UC19" s="6200">
        <f>UB19/TX19</f>
        <v>4.762199746964528E-2</v>
      </c>
      <c r="UD19" s="6211">
        <f t="shared" ref="UD19:UJ19" si="265">SUM(UD5:UD18)</f>
        <v>52</v>
      </c>
      <c r="UE19" s="6194">
        <f t="shared" si="265"/>
        <v>1796568.42</v>
      </c>
      <c r="UF19" s="6194">
        <f t="shared" si="265"/>
        <v>143725473.59999999</v>
      </c>
      <c r="UG19" s="6195">
        <f t="shared" si="265"/>
        <v>1647992</v>
      </c>
      <c r="UH19" s="6196">
        <f t="shared" si="265"/>
        <v>131839360</v>
      </c>
      <c r="UI19" s="6194">
        <f t="shared" si="265"/>
        <v>100251.23999999999</v>
      </c>
      <c r="UJ19" s="6194">
        <f t="shared" si="265"/>
        <v>8020099.2000000002</v>
      </c>
      <c r="UK19" s="6200">
        <f>UJ19/UF19</f>
        <v>5.5801515201964871E-2</v>
      </c>
      <c r="UL19" s="6211">
        <f t="shared" ref="UL19:UR19" si="266">SUM(UL5:UL18)</f>
        <v>47</v>
      </c>
      <c r="UM19" s="6194">
        <f t="shared" si="266"/>
        <v>1689203.12</v>
      </c>
      <c r="UN19" s="6194">
        <f t="shared" si="266"/>
        <v>135136249.59999999</v>
      </c>
      <c r="UO19" s="6216">
        <f t="shared" si="266"/>
        <v>1557854</v>
      </c>
      <c r="UP19" s="6217">
        <f t="shared" si="266"/>
        <v>124628320</v>
      </c>
      <c r="UQ19" s="6194">
        <f t="shared" si="266"/>
        <v>85008.37</v>
      </c>
      <c r="UR19" s="6194">
        <f t="shared" si="266"/>
        <v>6800669.5999999996</v>
      </c>
      <c r="US19" s="6200">
        <f>UR19/UN19</f>
        <v>5.0324540011505541E-2</v>
      </c>
      <c r="UT19" s="6211">
        <f t="shared" ref="UT19:UZ19" si="267">SUM(UT5:UT18)</f>
        <v>104</v>
      </c>
      <c r="UU19" s="6194">
        <f t="shared" si="267"/>
        <v>1363553.44</v>
      </c>
      <c r="UV19" s="6194">
        <f t="shared" si="267"/>
        <v>109084275.2</v>
      </c>
      <c r="UW19" s="6216">
        <f t="shared" si="267"/>
        <v>1263515</v>
      </c>
      <c r="UX19" s="6217">
        <f t="shared" si="267"/>
        <v>101081200</v>
      </c>
      <c r="UY19" s="6194">
        <f t="shared" si="267"/>
        <v>66120.24500000001</v>
      </c>
      <c r="UZ19" s="6194">
        <f t="shared" si="267"/>
        <v>5289619.6000000006</v>
      </c>
      <c r="VA19" s="6200">
        <f>UZ19/UV19</f>
        <v>4.8491128444514801E-2</v>
      </c>
      <c r="VB19" s="6219"/>
      <c r="VC19" s="6211">
        <f t="shared" ref="VC19:VK19" si="268">SUM(VC5:VC18)</f>
        <v>41</v>
      </c>
      <c r="VD19" s="6194">
        <f t="shared" si="268"/>
        <v>471272</v>
      </c>
      <c r="VE19" s="6194">
        <f t="shared" si="268"/>
        <v>37701760</v>
      </c>
      <c r="VF19" s="6213">
        <f t="shared" si="268"/>
        <v>431300</v>
      </c>
      <c r="VG19" s="6214">
        <f t="shared" si="268"/>
        <v>34504000</v>
      </c>
      <c r="VH19" s="6194">
        <f t="shared" si="268"/>
        <v>8877.99</v>
      </c>
      <c r="VI19" s="6194">
        <f t="shared" si="268"/>
        <v>4107</v>
      </c>
      <c r="VJ19" s="6207">
        <f t="shared" si="268"/>
        <v>26987.010000000002</v>
      </c>
      <c r="VK19" s="6194">
        <f t="shared" si="268"/>
        <v>2158960.8000000003</v>
      </c>
      <c r="VL19" s="6200">
        <f>VK19/VE19</f>
        <v>5.7264191379924979E-2</v>
      </c>
      <c r="VM19" s="6215">
        <f t="shared" ref="VM19:VU19" si="269">SUM(VM5:VM18)</f>
        <v>42</v>
      </c>
      <c r="VN19" s="6194">
        <f t="shared" si="269"/>
        <v>419020.12</v>
      </c>
      <c r="VO19" s="6194">
        <f t="shared" si="269"/>
        <v>33521609.600000001</v>
      </c>
      <c r="VP19" s="6213">
        <f t="shared" si="269"/>
        <v>381365</v>
      </c>
      <c r="VQ19" s="6214">
        <f t="shared" si="269"/>
        <v>30509200</v>
      </c>
      <c r="VR19" s="6194">
        <f t="shared" si="269"/>
        <v>9371.0300000000007</v>
      </c>
      <c r="VS19" s="6194">
        <f t="shared" si="269"/>
        <v>4808</v>
      </c>
      <c r="VT19" s="6207">
        <f t="shared" si="269"/>
        <v>23476.090000000004</v>
      </c>
      <c r="VU19" s="6194">
        <f t="shared" si="269"/>
        <v>1878087.2000000002</v>
      </c>
      <c r="VV19" s="6200">
        <f>VU19/VO19</f>
        <v>5.6026164089686199E-2</v>
      </c>
      <c r="VW19" s="6194">
        <f t="shared" ref="VW19:WE19" si="270">SUM(VW5:VW18)</f>
        <v>46</v>
      </c>
      <c r="VX19" s="6194">
        <f t="shared" si="270"/>
        <v>407990.2</v>
      </c>
      <c r="VY19" s="6194">
        <f t="shared" si="270"/>
        <v>32639216</v>
      </c>
      <c r="VZ19" s="6195">
        <f t="shared" si="270"/>
        <v>368019</v>
      </c>
      <c r="WA19" s="6214">
        <f t="shared" si="270"/>
        <v>28865520</v>
      </c>
      <c r="WB19" s="6194">
        <f t="shared" si="270"/>
        <v>9446.6500000000015</v>
      </c>
      <c r="WC19" s="6194">
        <f t="shared" si="270"/>
        <v>3829</v>
      </c>
      <c r="WD19" s="6195">
        <f t="shared" si="270"/>
        <v>26695.55</v>
      </c>
      <c r="WE19" s="6194">
        <f t="shared" si="270"/>
        <v>2135644</v>
      </c>
      <c r="WF19" s="6199">
        <f>WE19/VY19</f>
        <v>6.5431841255010531E-2</v>
      </c>
      <c r="WG19" s="6211">
        <f t="shared" ref="WG19:WO19" si="271">SUM(WG5:WG18)</f>
        <v>43</v>
      </c>
      <c r="WH19" s="6194">
        <f t="shared" si="271"/>
        <v>482514.12</v>
      </c>
      <c r="WI19" s="6194">
        <f t="shared" si="271"/>
        <v>38601129.600000001</v>
      </c>
      <c r="WJ19" s="6195">
        <f t="shared" si="271"/>
        <v>436422</v>
      </c>
      <c r="WK19" s="6196">
        <f t="shared" si="271"/>
        <v>34913760</v>
      </c>
      <c r="WL19" s="6194">
        <f t="shared" si="271"/>
        <v>11773.550000000001</v>
      </c>
      <c r="WM19" s="6194">
        <f t="shared" si="271"/>
        <v>4350</v>
      </c>
      <c r="WN19" s="6207">
        <f t="shared" si="271"/>
        <v>29968.57</v>
      </c>
      <c r="WO19" s="6194">
        <f t="shared" si="271"/>
        <v>2397485.6</v>
      </c>
      <c r="WP19" s="6200">
        <f>WO19/WI19</f>
        <v>6.2109208327416406E-2</v>
      </c>
      <c r="WQ19" s="6211">
        <f t="shared" ref="WQ19:WY19" si="272">SUM(WQ5:WQ18)</f>
        <v>41</v>
      </c>
      <c r="WR19" s="6194">
        <f t="shared" si="272"/>
        <v>417867.12</v>
      </c>
      <c r="WS19" s="6194">
        <f t="shared" si="272"/>
        <v>33429369.600000001</v>
      </c>
      <c r="WT19" s="6195">
        <f t="shared" si="272"/>
        <v>377709</v>
      </c>
      <c r="WU19" s="6196">
        <f t="shared" si="272"/>
        <v>30216720</v>
      </c>
      <c r="WV19" s="6194">
        <f t="shared" si="272"/>
        <v>10218.84</v>
      </c>
      <c r="WW19" s="6194">
        <f t="shared" si="272"/>
        <v>4681</v>
      </c>
      <c r="WX19" s="6207">
        <f t="shared" si="272"/>
        <v>25258.28</v>
      </c>
      <c r="WY19" s="6194">
        <f t="shared" si="272"/>
        <v>2020662.4</v>
      </c>
      <c r="WZ19" s="6200">
        <f>WY19/WS19</f>
        <v>6.0445722554098053E-2</v>
      </c>
      <c r="XA19" s="6211">
        <f t="shared" ref="XA19:XI19" si="273">SUM(XA5:XA18)</f>
        <v>41</v>
      </c>
      <c r="XB19" s="6194">
        <f t="shared" si="273"/>
        <v>380136.2</v>
      </c>
      <c r="XC19" s="6194">
        <f t="shared" si="273"/>
        <v>30410896</v>
      </c>
      <c r="XD19" s="6195">
        <f t="shared" si="273"/>
        <v>342745</v>
      </c>
      <c r="XE19" s="6196">
        <f t="shared" si="273"/>
        <v>27419600</v>
      </c>
      <c r="XF19" s="6194">
        <f t="shared" si="273"/>
        <v>8773.65</v>
      </c>
      <c r="XG19" s="6196">
        <f t="shared" si="273"/>
        <v>4202</v>
      </c>
      <c r="XH19" s="6195">
        <f t="shared" si="273"/>
        <v>24415.55</v>
      </c>
      <c r="XI19" s="6194">
        <f t="shared" si="273"/>
        <v>1953244</v>
      </c>
      <c r="XJ19" s="6200">
        <f>XI19/XC19</f>
        <v>6.4228426548168793E-2</v>
      </c>
      <c r="XK19" s="6211">
        <f t="shared" ref="XK19:XS19" si="274">SUM(XK5:XK18)</f>
        <v>41</v>
      </c>
      <c r="XL19" s="6194">
        <f t="shared" si="274"/>
        <v>436353.08</v>
      </c>
      <c r="XM19" s="6194">
        <f t="shared" si="274"/>
        <v>34908246.399999999</v>
      </c>
      <c r="XN19" s="6195">
        <f t="shared" si="274"/>
        <v>387584</v>
      </c>
      <c r="XO19" s="6196">
        <f t="shared" si="274"/>
        <v>31006720</v>
      </c>
      <c r="XP19" s="6195">
        <f t="shared" si="274"/>
        <v>9188.73</v>
      </c>
      <c r="XQ19" s="6194">
        <f t="shared" si="274"/>
        <v>5982</v>
      </c>
      <c r="XR19" s="6218">
        <f t="shared" si="274"/>
        <v>33598.350000000006</v>
      </c>
      <c r="XS19" s="6194">
        <f t="shared" si="274"/>
        <v>2687868</v>
      </c>
      <c r="XT19" s="6200">
        <f>XS19/XM19</f>
        <v>7.6998081461920706E-2</v>
      </c>
      <c r="XU19" s="6211">
        <f t="shared" ref="XU19:YC19" si="275">SUM(XU5:XU18)</f>
        <v>41</v>
      </c>
      <c r="XV19" s="6194">
        <f t="shared" si="275"/>
        <v>367449.2</v>
      </c>
      <c r="XW19" s="6194">
        <f t="shared" si="275"/>
        <v>29395936</v>
      </c>
      <c r="XX19" s="6195">
        <f t="shared" si="275"/>
        <v>321825</v>
      </c>
      <c r="XY19" s="6196">
        <f t="shared" si="275"/>
        <v>25746000</v>
      </c>
      <c r="XZ19" s="6195">
        <f t="shared" si="275"/>
        <v>7428.8</v>
      </c>
      <c r="YA19" s="6196">
        <f t="shared" si="275"/>
        <v>0</v>
      </c>
      <c r="YB19" s="6195">
        <f t="shared" si="275"/>
        <v>38195.399999999994</v>
      </c>
      <c r="YC19" s="6194">
        <f t="shared" si="275"/>
        <v>3055632</v>
      </c>
      <c r="YD19" s="6200">
        <f>YC19/XW19</f>
        <v>0.10394743001209419</v>
      </c>
      <c r="YE19" s="6211">
        <f t="shared" ref="YE19:YM19" si="276">SUM(YE5:YE18)</f>
        <v>44</v>
      </c>
      <c r="YF19" s="6194">
        <f t="shared" si="276"/>
        <v>442084.16</v>
      </c>
      <c r="YG19" s="6194">
        <f t="shared" si="276"/>
        <v>35366732.799999997</v>
      </c>
      <c r="YH19" s="6195">
        <f t="shared" si="276"/>
        <v>397996</v>
      </c>
      <c r="YI19" s="6196">
        <f t="shared" si="276"/>
        <v>31839680</v>
      </c>
      <c r="YJ19" s="6195">
        <f t="shared" si="276"/>
        <v>8940.9549999999999</v>
      </c>
      <c r="YK19" s="6196">
        <f t="shared" si="276"/>
        <v>0</v>
      </c>
      <c r="YL19" s="6195">
        <f t="shared" si="276"/>
        <v>35147.205000000002</v>
      </c>
      <c r="YM19" s="6194">
        <f t="shared" si="276"/>
        <v>2811776.3999999994</v>
      </c>
      <c r="YN19" s="6200">
        <f>YM19/YG19</f>
        <v>7.9503425320644819E-2</v>
      </c>
      <c r="YO19" s="6211">
        <f t="shared" ref="YO19:YW19" si="277">SUM(YO5:YO18)</f>
        <v>50</v>
      </c>
      <c r="YP19" s="6194">
        <f t="shared" si="277"/>
        <v>483642</v>
      </c>
      <c r="YQ19" s="6194">
        <f t="shared" si="277"/>
        <v>38691360</v>
      </c>
      <c r="YR19" s="6195">
        <f t="shared" si="277"/>
        <v>431112</v>
      </c>
      <c r="YS19" s="6196">
        <f t="shared" si="277"/>
        <v>34488960</v>
      </c>
      <c r="YT19" s="6195">
        <f t="shared" si="277"/>
        <v>10714.49</v>
      </c>
      <c r="YU19" s="6194">
        <f t="shared" si="277"/>
        <v>0</v>
      </c>
      <c r="YV19" s="6195">
        <f t="shared" si="277"/>
        <v>41815.51</v>
      </c>
      <c r="YW19" s="6194">
        <f t="shared" si="277"/>
        <v>3345240.8000000003</v>
      </c>
      <c r="YX19" s="6200">
        <f>YW19/YQ19</f>
        <v>8.6459633365175079E-2</v>
      </c>
      <c r="YY19" s="6211">
        <f t="shared" ref="YY19:ZG19" si="278">SUM(YY5:YY18)</f>
        <v>0</v>
      </c>
      <c r="YZ19" s="6194">
        <f t="shared" si="278"/>
        <v>0</v>
      </c>
      <c r="ZA19" s="6194">
        <f t="shared" si="278"/>
        <v>0</v>
      </c>
      <c r="ZB19" s="6195">
        <f t="shared" si="278"/>
        <v>0</v>
      </c>
      <c r="ZC19" s="6194">
        <f t="shared" si="278"/>
        <v>0</v>
      </c>
      <c r="ZD19" s="6216">
        <f t="shared" si="278"/>
        <v>0</v>
      </c>
      <c r="ZE19" s="6196">
        <f t="shared" si="278"/>
        <v>0</v>
      </c>
      <c r="ZF19" s="6194">
        <f t="shared" si="278"/>
        <v>0</v>
      </c>
      <c r="ZG19" s="6194">
        <f t="shared" si="278"/>
        <v>0</v>
      </c>
      <c r="ZH19" s="6200" t="e">
        <f>ZG19/ZA19</f>
        <v>#DIV/0!</v>
      </c>
      <c r="ZI19" s="6211">
        <f t="shared" ref="ZI19:ZQ19" si="279">SUM(ZI5:ZI18)</f>
        <v>0</v>
      </c>
      <c r="ZJ19" s="6194">
        <f t="shared" si="279"/>
        <v>0</v>
      </c>
      <c r="ZK19" s="6194">
        <f t="shared" si="279"/>
        <v>0</v>
      </c>
      <c r="ZL19" s="6195">
        <f t="shared" si="279"/>
        <v>0</v>
      </c>
      <c r="ZM19" s="6194">
        <f t="shared" si="279"/>
        <v>0</v>
      </c>
      <c r="ZN19" s="6216">
        <f t="shared" si="279"/>
        <v>0</v>
      </c>
      <c r="ZO19" s="6196">
        <f t="shared" si="279"/>
        <v>0</v>
      </c>
      <c r="ZP19" s="6194">
        <f t="shared" si="279"/>
        <v>0</v>
      </c>
      <c r="ZQ19" s="6194">
        <f t="shared" si="279"/>
        <v>0</v>
      </c>
      <c r="ZR19" s="6200" t="e">
        <f>ZQ19/ZK19</f>
        <v>#DIV/0!</v>
      </c>
      <c r="ZS19" s="6211">
        <f t="shared" ref="ZS19:ZY19" si="280">SUM(ZS5:ZS18)</f>
        <v>0</v>
      </c>
      <c r="ZT19" s="6194">
        <f t="shared" si="280"/>
        <v>4308328.2</v>
      </c>
      <c r="ZU19" s="6194">
        <f t="shared" si="280"/>
        <v>344666256</v>
      </c>
      <c r="ZV19" s="6195">
        <f t="shared" si="280"/>
        <v>3876077</v>
      </c>
      <c r="ZW19" s="6196">
        <f t="shared" si="280"/>
        <v>309510160</v>
      </c>
      <c r="ZX19" s="6194">
        <f t="shared" si="280"/>
        <v>305557.51499999996</v>
      </c>
      <c r="ZY19" s="6194">
        <f t="shared" si="280"/>
        <v>24444601.199999999</v>
      </c>
      <c r="ZZ19" s="6200">
        <f>ZY19/ZU19</f>
        <v>7.0922525122389696E-2</v>
      </c>
      <c r="AAA19" s="4378">
        <f t="shared" ref="AAA19:AAG19" si="281">SUM(AAA5:AAA18)</f>
        <v>46</v>
      </c>
      <c r="AAB19" s="4379">
        <f t="shared" si="281"/>
        <v>1298282.32</v>
      </c>
      <c r="AAC19" s="4379">
        <f t="shared" si="281"/>
        <v>103862585.59999999</v>
      </c>
      <c r="AAD19" s="4380">
        <f t="shared" si="281"/>
        <v>1180684</v>
      </c>
      <c r="AAE19" s="4381">
        <f t="shared" si="281"/>
        <v>93878720</v>
      </c>
      <c r="AAF19" s="4379">
        <f t="shared" si="281"/>
        <v>77158.650000000009</v>
      </c>
      <c r="AAG19" s="4379">
        <f t="shared" si="281"/>
        <v>6172692.0000000009</v>
      </c>
      <c r="AAH19" s="4382">
        <f>AAG19/AAC19</f>
        <v>5.9431333856568284E-2</v>
      </c>
      <c r="AAI19" s="4378">
        <f t="shared" ref="AAI19:AAO19" si="282">SUM(AAI5:AAI18)</f>
        <v>40.666666666666671</v>
      </c>
      <c r="AAJ19" s="4379">
        <f t="shared" si="282"/>
        <v>1280517.44</v>
      </c>
      <c r="AAK19" s="4379">
        <f t="shared" si="282"/>
        <v>102441395.2</v>
      </c>
      <c r="AAL19" s="4380">
        <f t="shared" si="282"/>
        <v>1156876</v>
      </c>
      <c r="AAM19" s="4381">
        <f t="shared" si="282"/>
        <v>92550080</v>
      </c>
      <c r="AAN19" s="4379">
        <f t="shared" si="282"/>
        <v>79642.399999999994</v>
      </c>
      <c r="AAO19" s="4379">
        <f t="shared" si="282"/>
        <v>6371392</v>
      </c>
      <c r="AAP19" s="4382">
        <f>AAO19/AAK19</f>
        <v>6.2195482476208992E-2</v>
      </c>
      <c r="AAQ19" s="4378">
        <f t="shared" ref="AAQ19:AAW19" si="283">SUM(AAQ5:AAQ18)</f>
        <v>47</v>
      </c>
      <c r="AAR19" s="4379">
        <f t="shared" si="283"/>
        <v>1241386.44</v>
      </c>
      <c r="AAS19" s="4379">
        <f t="shared" si="283"/>
        <v>99310915.200000003</v>
      </c>
      <c r="AAT19" s="4383">
        <f t="shared" si="283"/>
        <v>1107405</v>
      </c>
      <c r="AAU19" s="4384">
        <f t="shared" si="283"/>
        <v>88592400</v>
      </c>
      <c r="AAV19" s="4379">
        <f t="shared" si="283"/>
        <v>102440.95499999999</v>
      </c>
      <c r="AAW19" s="4379">
        <f t="shared" si="283"/>
        <v>8195276.4000000004</v>
      </c>
      <c r="AAX19" s="4382">
        <f>AAW19/AAS19</f>
        <v>8.2521406468722178E-2</v>
      </c>
      <c r="AAY19" s="4385">
        <f t="shared" ref="AAY19:ABE19" si="284">SUM(AAY5:AAY18)</f>
        <v>104</v>
      </c>
      <c r="AAZ19" s="4386">
        <f t="shared" si="284"/>
        <v>483642</v>
      </c>
      <c r="ABA19" s="4386">
        <f t="shared" si="284"/>
        <v>38691360</v>
      </c>
      <c r="ABB19" s="4387">
        <f t="shared" si="284"/>
        <v>431112</v>
      </c>
      <c r="ABC19" s="4388">
        <f t="shared" si="284"/>
        <v>34488960</v>
      </c>
      <c r="ABD19" s="4386">
        <f t="shared" si="284"/>
        <v>41815.51</v>
      </c>
      <c r="ABE19" s="4386">
        <f t="shared" si="284"/>
        <v>3345240.8000000003</v>
      </c>
      <c r="ABF19" s="4389">
        <f>ABE19/ABA19</f>
        <v>8.6459633365175079E-2</v>
      </c>
      <c r="ABI19" s="4850"/>
    </row>
    <row r="20" spans="1:737" s="23" customFormat="1" ht="15.6" x14ac:dyDescent="0.35">
      <c r="A20" s="21"/>
      <c r="B20" s="22" t="s">
        <v>18</v>
      </c>
      <c r="D20" s="21"/>
      <c r="E20" s="271"/>
      <c r="G20" s="271"/>
      <c r="H20" s="271"/>
      <c r="I20" s="271"/>
      <c r="J20" s="271"/>
      <c r="K20" s="24"/>
      <c r="S20" s="303"/>
      <c r="AA20" s="303"/>
      <c r="AI20" s="303"/>
      <c r="AQ20" s="303"/>
      <c r="AY20" s="303"/>
      <c r="BG20" s="303"/>
      <c r="BP20" s="21"/>
      <c r="BW20" s="24"/>
      <c r="CF20" s="21"/>
      <c r="CM20" s="304"/>
      <c r="CS20" s="27">
        <v>163</v>
      </c>
      <c r="CT20" s="32">
        <v>433</v>
      </c>
      <c r="CU20" s="26" t="s">
        <v>20</v>
      </c>
      <c r="CV20" s="21"/>
      <c r="DC20" s="24"/>
      <c r="DD20" s="21"/>
      <c r="DI20" s="305">
        <v>153</v>
      </c>
      <c r="DJ20" s="306">
        <f>DI19/DI20</f>
        <v>401.43137254901961</v>
      </c>
      <c r="DK20" s="307" t="s">
        <v>19</v>
      </c>
      <c r="DL20" s="21"/>
      <c r="DQ20" s="308">
        <v>136</v>
      </c>
      <c r="DR20" s="309">
        <f>58321/DQ20</f>
        <v>428.83088235294116</v>
      </c>
      <c r="DS20" s="307" t="s">
        <v>19</v>
      </c>
      <c r="DY20" s="308">
        <v>159</v>
      </c>
      <c r="DZ20" s="310">
        <v>406</v>
      </c>
      <c r="EA20" s="311" t="s">
        <v>19</v>
      </c>
      <c r="EB20" s="312"/>
      <c r="EG20" s="308">
        <v>153</v>
      </c>
      <c r="EH20" s="310">
        <v>402</v>
      </c>
      <c r="EI20" s="313" t="s">
        <v>19</v>
      </c>
      <c r="EJ20" s="312"/>
      <c r="EO20" s="314">
        <v>166</v>
      </c>
      <c r="EP20" s="314">
        <v>388</v>
      </c>
      <c r="EQ20" s="315" t="s">
        <v>19</v>
      </c>
      <c r="ER20" s="312"/>
      <c r="EW20" s="314">
        <v>150</v>
      </c>
      <c r="EX20" s="314">
        <v>454</v>
      </c>
      <c r="EY20" s="315" t="s">
        <v>19</v>
      </c>
      <c r="EZ20" s="312"/>
      <c r="FE20" s="308">
        <v>148</v>
      </c>
      <c r="FF20" s="308">
        <v>486</v>
      </c>
      <c r="FG20" s="316" t="s">
        <v>19</v>
      </c>
      <c r="FM20" s="317">
        <v>136</v>
      </c>
      <c r="FN20" s="317">
        <v>487</v>
      </c>
      <c r="FO20" s="318" t="s">
        <v>19</v>
      </c>
      <c r="FW20" s="317">
        <v>150</v>
      </c>
      <c r="FX20" s="317">
        <v>450</v>
      </c>
      <c r="FY20" s="317" t="s">
        <v>19</v>
      </c>
      <c r="FZ20" s="319"/>
      <c r="GA20" s="278"/>
      <c r="GB20" s="278"/>
      <c r="GC20" s="278"/>
      <c r="GD20" s="278"/>
      <c r="GE20" s="278"/>
      <c r="GF20" s="278"/>
      <c r="GG20" s="317">
        <v>146</v>
      </c>
      <c r="GH20" s="317">
        <v>434</v>
      </c>
      <c r="GI20" s="317" t="s">
        <v>19</v>
      </c>
      <c r="GJ20" s="320"/>
      <c r="GK20" s="321"/>
      <c r="GL20" s="321"/>
      <c r="GM20" s="321"/>
      <c r="GN20" s="321"/>
      <c r="GO20" s="321"/>
      <c r="GP20" s="321"/>
      <c r="GQ20" s="322">
        <v>140</v>
      </c>
      <c r="GR20" s="322">
        <v>422</v>
      </c>
      <c r="GS20" s="322" t="s">
        <v>19</v>
      </c>
      <c r="GT20" s="21"/>
      <c r="HA20" s="25">
        <v>163</v>
      </c>
      <c r="HB20" s="25">
        <v>433</v>
      </c>
      <c r="HC20" s="26" t="s">
        <v>20</v>
      </c>
      <c r="HD20" s="21"/>
      <c r="HI20" s="873">
        <f>(HA20+GQ20+GG20+FW20+FM20+FE20+EW20+EO20+EG20+DY20+DQ20+DI20)/12</f>
        <v>150</v>
      </c>
      <c r="HJ20" s="873">
        <f>(HB20+GR20+GH20+FX20+FN20+FF20+EX20+EP20+EH20+DZ20+DR20+DJ20)/12</f>
        <v>432.68852124183007</v>
      </c>
      <c r="HK20" s="29" t="s">
        <v>20</v>
      </c>
      <c r="HL20" s="21"/>
      <c r="HS20" s="24"/>
      <c r="HT20" s="21"/>
      <c r="IA20" s="24"/>
      <c r="IB20" s="21"/>
      <c r="II20" s="24"/>
      <c r="IJ20" s="21"/>
      <c r="IO20" s="296">
        <f>(GG20+GQ20+HA20)/3</f>
        <v>149.66666666666666</v>
      </c>
      <c r="IQ20" s="24"/>
      <c r="IS20" s="21"/>
      <c r="IZ20" s="27">
        <v>140</v>
      </c>
      <c r="JA20" s="27">
        <v>470</v>
      </c>
      <c r="JB20" s="26" t="s">
        <v>20</v>
      </c>
      <c r="JC20" s="28"/>
      <c r="JJ20" s="27">
        <v>143</v>
      </c>
      <c r="JK20" s="27">
        <v>519</v>
      </c>
      <c r="JL20" s="29" t="s">
        <v>20</v>
      </c>
      <c r="JT20" s="27">
        <v>143</v>
      </c>
      <c r="JU20" s="27">
        <v>570</v>
      </c>
      <c r="JV20" s="27" t="s">
        <v>20</v>
      </c>
      <c r="JW20" s="21"/>
      <c r="KD20" s="27">
        <v>135</v>
      </c>
      <c r="KE20" s="27">
        <v>626</v>
      </c>
      <c r="KF20" s="29" t="s">
        <v>19</v>
      </c>
      <c r="KG20" s="28"/>
      <c r="KN20" s="27">
        <v>161</v>
      </c>
      <c r="KO20" s="27">
        <v>602</v>
      </c>
      <c r="KP20" s="29" t="s">
        <v>19</v>
      </c>
      <c r="KQ20" s="21"/>
      <c r="KT20" s="271"/>
      <c r="KX20" s="27">
        <v>147</v>
      </c>
      <c r="KY20" s="27">
        <v>605</v>
      </c>
      <c r="KZ20" s="29" t="s">
        <v>19</v>
      </c>
      <c r="LA20" s="21"/>
      <c r="LH20" s="27">
        <v>158</v>
      </c>
      <c r="LI20" s="27">
        <v>572</v>
      </c>
      <c r="LJ20" s="26" t="s">
        <v>19</v>
      </c>
      <c r="LK20" s="21"/>
      <c r="LR20" s="27">
        <v>145</v>
      </c>
      <c r="LS20" s="27">
        <v>590</v>
      </c>
      <c r="LT20" s="26" t="s">
        <v>19</v>
      </c>
      <c r="LU20" s="323"/>
      <c r="LV20" s="324"/>
      <c r="LW20" s="325"/>
      <c r="LX20" s="324"/>
      <c r="MB20" s="27">
        <v>145</v>
      </c>
      <c r="MC20" s="27">
        <v>575</v>
      </c>
      <c r="MD20" s="26" t="s">
        <v>19</v>
      </c>
      <c r="ME20" s="323"/>
      <c r="MF20" s="324"/>
      <c r="MG20" s="324"/>
      <c r="MH20" s="324"/>
      <c r="MI20" s="324"/>
      <c r="MJ20" s="324"/>
      <c r="MK20" s="324"/>
      <c r="ML20" s="27">
        <v>145</v>
      </c>
      <c r="MM20" s="27">
        <v>484</v>
      </c>
      <c r="MN20" s="26" t="s">
        <v>19</v>
      </c>
      <c r="MO20" s="21"/>
      <c r="MV20" s="27">
        <v>144</v>
      </c>
      <c r="MW20" s="27">
        <v>473</v>
      </c>
      <c r="MX20" s="874" t="s">
        <v>20</v>
      </c>
      <c r="MY20" s="379"/>
      <c r="MZ20" s="326"/>
      <c r="NF20" s="27">
        <v>164</v>
      </c>
      <c r="NG20" s="27">
        <v>425</v>
      </c>
      <c r="NH20" s="29" t="s">
        <v>20</v>
      </c>
      <c r="NN20" s="27">
        <v>164</v>
      </c>
      <c r="NO20" s="27">
        <v>425</v>
      </c>
      <c r="NP20" s="875" t="s">
        <v>20</v>
      </c>
      <c r="NQ20" s="21"/>
      <c r="NV20" s="16">
        <f>(IZ20+JJ20+JT20)/3</f>
        <v>142</v>
      </c>
      <c r="NW20" s="16">
        <f>(JA20+JK20+JU20)/3</f>
        <v>519.66666666666663</v>
      </c>
      <c r="NX20" s="30"/>
      <c r="NY20" s="272"/>
      <c r="NZ20" s="271"/>
      <c r="OD20" s="172">
        <f>(KD20+KN20+KX20)/3</f>
        <v>147.66666666666666</v>
      </c>
      <c r="OE20" s="172">
        <f>(KE20+KO20+KY20)/3</f>
        <v>611</v>
      </c>
      <c r="OF20" s="30"/>
      <c r="OG20" s="21"/>
      <c r="OL20" s="172">
        <f>(LH20+LR20+MB20)/3</f>
        <v>149.33333333333334</v>
      </c>
      <c r="OM20" s="172">
        <f>(LI20+LS20+MC20)/3</f>
        <v>579</v>
      </c>
      <c r="OO20" s="21"/>
      <c r="OV20" s="24"/>
      <c r="OX20" s="21"/>
      <c r="OY20" s="876"/>
      <c r="PE20" s="27">
        <v>144</v>
      </c>
      <c r="PF20" s="27">
        <v>445</v>
      </c>
      <c r="PG20" s="26" t="s">
        <v>20</v>
      </c>
      <c r="PH20" s="28"/>
      <c r="PO20" s="27">
        <v>159</v>
      </c>
      <c r="PP20" s="27">
        <v>417</v>
      </c>
      <c r="PQ20" s="376" t="s">
        <v>20</v>
      </c>
      <c r="PY20" s="27">
        <v>152</v>
      </c>
      <c r="PZ20" s="27">
        <v>387</v>
      </c>
      <c r="QA20" s="877" t="s">
        <v>19</v>
      </c>
      <c r="QB20" s="21"/>
      <c r="QI20" s="27">
        <v>138</v>
      </c>
      <c r="QJ20" s="27">
        <v>324</v>
      </c>
      <c r="QK20" s="878" t="s">
        <v>19</v>
      </c>
      <c r="QL20" s="28"/>
      <c r="QO20" s="876"/>
      <c r="QS20" s="27">
        <v>156</v>
      </c>
      <c r="QT20" s="27">
        <v>365</v>
      </c>
      <c r="QU20" s="878" t="s">
        <v>19</v>
      </c>
      <c r="QV20" s="21"/>
      <c r="QY20" s="271"/>
      <c r="RC20" s="27">
        <v>143</v>
      </c>
      <c r="RD20" s="27">
        <v>348</v>
      </c>
      <c r="RE20" s="26" t="s">
        <v>19</v>
      </c>
      <c r="RF20" s="21"/>
      <c r="RM20" s="27">
        <v>150</v>
      </c>
      <c r="RN20" s="27">
        <v>368</v>
      </c>
      <c r="RO20" s="26" t="s">
        <v>19</v>
      </c>
      <c r="RP20" s="21"/>
      <c r="RW20" s="27">
        <v>141</v>
      </c>
      <c r="RX20" s="27">
        <v>332</v>
      </c>
      <c r="RY20" s="26" t="s">
        <v>19</v>
      </c>
      <c r="RZ20" s="323"/>
      <c r="SA20" s="324"/>
      <c r="SB20" s="325"/>
      <c r="SC20" s="324"/>
      <c r="SG20" s="27">
        <v>138</v>
      </c>
      <c r="SH20" s="27">
        <v>312</v>
      </c>
      <c r="SI20" s="26" t="s">
        <v>19</v>
      </c>
      <c r="SJ20" s="323"/>
      <c r="SK20" s="324"/>
      <c r="SL20" s="324"/>
      <c r="SM20" s="324"/>
      <c r="SN20" s="324"/>
      <c r="SO20" s="324"/>
      <c r="SP20" s="324"/>
      <c r="SQ20" s="27">
        <v>144</v>
      </c>
      <c r="SR20" s="27">
        <v>233</v>
      </c>
      <c r="SS20" s="26" t="s">
        <v>19</v>
      </c>
      <c r="ST20" s="21"/>
      <c r="TA20" s="27">
        <v>148</v>
      </c>
      <c r="TB20" s="27">
        <v>254</v>
      </c>
      <c r="TC20" s="1516" t="s">
        <v>20</v>
      </c>
      <c r="TD20" s="21"/>
      <c r="TK20" s="27">
        <v>140</v>
      </c>
      <c r="TL20" s="27">
        <v>234</v>
      </c>
      <c r="TM20" s="1516" t="s">
        <v>20</v>
      </c>
      <c r="TN20" s="21"/>
      <c r="TS20" s="27">
        <v>140</v>
      </c>
      <c r="TT20" s="27">
        <v>234</v>
      </c>
      <c r="TU20" s="1516" t="s">
        <v>20</v>
      </c>
      <c r="TV20" s="21"/>
      <c r="UA20" s="392">
        <f>(PE20+PO20+PY20)/3</f>
        <v>151.66666666666666</v>
      </c>
      <c r="UB20" s="392">
        <v>387</v>
      </c>
      <c r="UC20" s="398" t="s">
        <v>20</v>
      </c>
      <c r="UD20" s="272"/>
      <c r="UE20" s="271"/>
      <c r="UI20" s="172">
        <f>(QI20+QS20+RC20)/3</f>
        <v>145.66666666666666</v>
      </c>
      <c r="UJ20" s="172">
        <f>(QJ20+QT20+RD20)/3</f>
        <v>345.66666666666669</v>
      </c>
      <c r="UK20" s="30"/>
      <c r="UL20" s="21"/>
      <c r="UQ20" s="172">
        <v>138</v>
      </c>
      <c r="UR20" s="172">
        <v>312</v>
      </c>
      <c r="US20" s="24"/>
      <c r="UT20" s="21"/>
      <c r="VA20" s="24"/>
      <c r="VC20" s="21"/>
      <c r="VD20" s="876"/>
      <c r="VJ20" s="27">
        <v>153</v>
      </c>
      <c r="VK20" s="27">
        <v>277</v>
      </c>
      <c r="VL20" s="26" t="s">
        <v>20</v>
      </c>
      <c r="VM20" s="28"/>
      <c r="VT20" s="27">
        <v>144</v>
      </c>
      <c r="VU20" s="27">
        <v>302</v>
      </c>
      <c r="VV20" s="376" t="s">
        <v>20</v>
      </c>
      <c r="WD20" s="27">
        <v>136</v>
      </c>
      <c r="WE20" s="27">
        <v>320</v>
      </c>
      <c r="WF20" s="877" t="s">
        <v>19</v>
      </c>
      <c r="WG20" s="21"/>
      <c r="WN20" s="27">
        <v>163</v>
      </c>
      <c r="WO20" s="27">
        <v>273</v>
      </c>
      <c r="WP20" s="878" t="s">
        <v>19</v>
      </c>
      <c r="WQ20" s="28"/>
      <c r="WT20" s="876"/>
      <c r="WX20" s="27">
        <v>153</v>
      </c>
      <c r="WY20" s="27">
        <v>306</v>
      </c>
      <c r="WZ20" s="878" t="s">
        <v>19</v>
      </c>
      <c r="XA20" s="21"/>
      <c r="XD20" s="271"/>
      <c r="XH20" s="27">
        <v>136</v>
      </c>
      <c r="XI20" s="27">
        <v>294</v>
      </c>
      <c r="XJ20" s="26" t="s">
        <v>19</v>
      </c>
      <c r="XK20" s="21"/>
      <c r="XR20" s="27">
        <v>160</v>
      </c>
      <c r="XS20" s="27">
        <v>326</v>
      </c>
      <c r="XT20" s="26" t="s">
        <v>19</v>
      </c>
      <c r="XU20" s="21"/>
      <c r="YB20" s="27">
        <v>140</v>
      </c>
      <c r="YC20" s="27">
        <v>305</v>
      </c>
      <c r="YD20" s="26" t="s">
        <v>19</v>
      </c>
      <c r="YE20" s="323"/>
      <c r="YF20" s="324"/>
      <c r="YG20" s="325"/>
      <c r="YH20" s="324"/>
      <c r="YL20" s="27">
        <v>149</v>
      </c>
      <c r="YM20" s="27">
        <v>303</v>
      </c>
      <c r="YN20" s="26" t="s">
        <v>19</v>
      </c>
      <c r="YO20" s="323"/>
      <c r="YP20" s="324"/>
      <c r="YQ20" s="324"/>
      <c r="YR20" s="324"/>
      <c r="YS20" s="324"/>
      <c r="YT20" s="324"/>
      <c r="YU20" s="324"/>
      <c r="YV20" s="27">
        <v>146</v>
      </c>
      <c r="YW20" s="27">
        <v>359</v>
      </c>
      <c r="YX20" s="26" t="s">
        <v>19</v>
      </c>
      <c r="YY20" s="21"/>
      <c r="ZF20" s="27"/>
      <c r="ZG20" s="27"/>
      <c r="ZH20" s="1516" t="s">
        <v>20</v>
      </c>
      <c r="ZI20" s="21"/>
      <c r="ZP20" s="27"/>
      <c r="ZQ20" s="27"/>
      <c r="ZR20" s="1516" t="s">
        <v>20</v>
      </c>
      <c r="ZS20" s="21"/>
      <c r="ZX20" s="27"/>
      <c r="ZY20" s="27"/>
      <c r="ZZ20" s="1516" t="s">
        <v>20</v>
      </c>
      <c r="AAA20" s="21"/>
      <c r="AAF20" s="392">
        <v>136</v>
      </c>
      <c r="AAG20" s="392">
        <v>320</v>
      </c>
      <c r="AAH20" s="398" t="s">
        <v>20</v>
      </c>
      <c r="AAI20" s="272"/>
      <c r="AAJ20" s="271"/>
      <c r="AAN20" s="172">
        <f>(WN20+WX20+XH20)/3</f>
        <v>150.66666666666666</v>
      </c>
      <c r="AAO20" s="172">
        <f>(WO20+WY20+XI20)/3</f>
        <v>291</v>
      </c>
      <c r="AAP20" s="30"/>
      <c r="AAQ20" s="21"/>
      <c r="AAV20" s="172">
        <v>138</v>
      </c>
      <c r="AAW20" s="172">
        <v>312</v>
      </c>
      <c r="AAX20" s="24"/>
      <c r="AAY20" s="21"/>
      <c r="ABF20" s="24"/>
      <c r="ABI20" s="876"/>
    </row>
    <row r="21" spans="1:737" x14ac:dyDescent="0.3">
      <c r="A21" s="12"/>
      <c r="B21" s="31" t="s">
        <v>460</v>
      </c>
      <c r="C21" s="27"/>
      <c r="D21" s="12"/>
      <c r="K21" s="15"/>
      <c r="S21" s="15"/>
      <c r="AA21" s="15"/>
      <c r="AI21" s="15"/>
      <c r="AQ21" s="15"/>
      <c r="AY21" s="15"/>
      <c r="BG21" s="15"/>
      <c r="BP21" s="12"/>
      <c r="BW21" s="15"/>
      <c r="CF21" s="12"/>
      <c r="CM21" s="301"/>
      <c r="CV21" s="12"/>
      <c r="DC21" s="15"/>
      <c r="DD21" s="12"/>
      <c r="DK21" s="302"/>
      <c r="DL21" s="12"/>
      <c r="DS21" s="302"/>
      <c r="EB21" s="142"/>
      <c r="EI21" s="143"/>
      <c r="EJ21" s="142"/>
      <c r="EQ21" s="143"/>
      <c r="ER21" s="142"/>
      <c r="EY21" s="143"/>
      <c r="EZ21" s="142"/>
      <c r="FG21" s="143"/>
      <c r="FO21" s="15"/>
      <c r="FZ21" s="319"/>
      <c r="GI21" s="327"/>
      <c r="GJ21" s="321"/>
      <c r="GK21" s="321"/>
      <c r="GL21" s="321"/>
      <c r="GM21" s="321"/>
      <c r="GN21" s="321"/>
      <c r="GO21" s="321"/>
      <c r="GP21" s="321"/>
      <c r="GQ21" s="32"/>
      <c r="GR21" s="32"/>
      <c r="GS21" s="321"/>
      <c r="GT21" s="12"/>
      <c r="HC21" s="15"/>
      <c r="HD21" s="12"/>
      <c r="HK21" s="15"/>
      <c r="HL21" s="12"/>
      <c r="HS21" s="15"/>
      <c r="HT21" s="12"/>
      <c r="IA21" s="15"/>
      <c r="IB21" s="12"/>
      <c r="II21" s="15"/>
      <c r="IJ21" s="12"/>
      <c r="IQ21" s="15"/>
      <c r="IS21" s="12"/>
      <c r="JB21" s="15"/>
      <c r="JC21" s="19"/>
      <c r="JL21" s="15"/>
      <c r="JW21" s="12"/>
      <c r="KF21" s="15"/>
      <c r="KG21" s="19"/>
      <c r="KP21" s="15"/>
      <c r="KQ21" s="12"/>
      <c r="KZ21" s="15"/>
      <c r="LA21" s="12"/>
      <c r="LJ21" s="15"/>
      <c r="LK21" s="12"/>
      <c r="LT21" s="15"/>
      <c r="LU21" s="177"/>
      <c r="MD21" s="15"/>
      <c r="ME21" s="177"/>
      <c r="MN21" s="15"/>
      <c r="MO21" s="12"/>
      <c r="MY21" s="12"/>
      <c r="NH21" s="15"/>
      <c r="NN21" s="16"/>
      <c r="NO21" s="16"/>
      <c r="NP21" s="17"/>
      <c r="NQ21" s="12"/>
      <c r="NX21" s="17"/>
      <c r="NY21" s="256"/>
      <c r="OF21" s="17"/>
      <c r="OG21" s="12"/>
      <c r="OO21" s="12"/>
      <c r="OV21" s="15"/>
      <c r="OX21" s="12"/>
      <c r="PG21" s="15"/>
      <c r="PH21" s="19"/>
      <c r="PQ21" s="15"/>
      <c r="QB21" s="12"/>
      <c r="QK21" s="15"/>
      <c r="QL21" s="19"/>
      <c r="QU21" s="15"/>
      <c r="QV21" s="12"/>
      <c r="QY21" s="172"/>
      <c r="QZ21" s="16"/>
      <c r="RE21" s="15"/>
      <c r="RF21" s="12"/>
      <c r="RO21" s="15"/>
      <c r="RP21" s="12"/>
      <c r="RY21" s="15"/>
      <c r="RZ21" s="177"/>
      <c r="SA21" s="171"/>
      <c r="SB21" s="14"/>
      <c r="SC21" s="171"/>
      <c r="SI21" s="15"/>
      <c r="SJ21" s="177"/>
      <c r="SK21" s="171"/>
      <c r="SL21" s="171"/>
      <c r="SM21" s="171"/>
      <c r="SN21" s="171"/>
      <c r="SO21" s="171"/>
      <c r="SP21" s="171"/>
      <c r="SS21" s="15"/>
      <c r="ST21" s="12"/>
      <c r="TC21" s="15"/>
      <c r="TD21" s="12"/>
      <c r="TM21" s="15"/>
      <c r="TN21" s="12"/>
      <c r="TS21" s="9">
        <f>TK21+TA21+SQ21+SG21+RW21+RM21+RC21+QS21+QI21+PY21+PO21+PE21</f>
        <v>0</v>
      </c>
      <c r="TT21" s="9">
        <f>TL21+TB21+SR21+SH21+RX21+RN21+RD21+QT21+QJ21+PZ21+PP21+PF21</f>
        <v>0</v>
      </c>
      <c r="TU21" s="17"/>
      <c r="TV21" s="12"/>
      <c r="UC21" s="17"/>
      <c r="UD21" s="256"/>
      <c r="UE21" s="172"/>
      <c r="UK21" s="17"/>
      <c r="UL21" s="12"/>
      <c r="US21" s="15"/>
      <c r="UT21" s="12"/>
      <c r="VA21" s="15"/>
      <c r="VC21" s="12"/>
      <c r="VI21" s="1"/>
      <c r="VJ21" s="1"/>
      <c r="VL21" s="15"/>
      <c r="VM21" s="19"/>
      <c r="VV21" s="15"/>
      <c r="WG21" s="12"/>
      <c r="WP21" s="15"/>
      <c r="WQ21" s="19"/>
      <c r="WZ21" s="15"/>
      <c r="XA21" s="12"/>
      <c r="XD21" s="172"/>
      <c r="XE21" s="16"/>
      <c r="XJ21" s="15"/>
      <c r="XK21" s="12"/>
      <c r="XT21" s="15"/>
      <c r="XU21" s="12"/>
      <c r="YD21" s="15"/>
      <c r="YE21" s="177"/>
      <c r="YF21" s="171"/>
      <c r="YG21" s="14"/>
      <c r="YH21" s="171"/>
      <c r="YN21" s="15"/>
      <c r="YO21" s="177"/>
      <c r="YP21" s="171"/>
      <c r="YQ21" s="171"/>
      <c r="YR21" s="171"/>
      <c r="YS21" s="171"/>
      <c r="YT21" s="171"/>
      <c r="YU21" s="171"/>
      <c r="YX21" s="15"/>
      <c r="YY21" s="12"/>
      <c r="ZH21" s="15"/>
      <c r="ZI21" s="12"/>
      <c r="ZR21" s="15"/>
      <c r="ZS21" s="12"/>
      <c r="ZX21" s="9">
        <f t="shared" ref="ZX21:ZY48" si="285">ZP21+ZF21+YV21+YL21+YB21+XR21+XH21+WX21+WN21+WD21+VT21+VJ21</f>
        <v>0</v>
      </c>
      <c r="ZY21" s="9">
        <f t="shared" si="285"/>
        <v>0</v>
      </c>
      <c r="ZZ21" s="17"/>
      <c r="AAA21" s="12"/>
      <c r="AAH21" s="17"/>
      <c r="AAI21" s="256"/>
      <c r="AAJ21" s="172"/>
      <c r="AAP21" s="17"/>
      <c r="AAQ21" s="12"/>
      <c r="AAX21" s="15"/>
      <c r="AAY21" s="12"/>
      <c r="ABF21" s="15"/>
      <c r="ABI21" s="16"/>
    </row>
    <row r="22" spans="1:737" x14ac:dyDescent="0.3">
      <c r="A22" s="12"/>
      <c r="B22" s="1" t="s">
        <v>21</v>
      </c>
      <c r="D22" s="12"/>
      <c r="I22" s="244">
        <f>J22/70</f>
        <v>10144.657142857142</v>
      </c>
      <c r="J22" s="172">
        <v>710126</v>
      </c>
      <c r="K22" s="15"/>
      <c r="Q22" s="244">
        <f>R22/70</f>
        <v>9880.3714285714286</v>
      </c>
      <c r="R22" s="172">
        <v>691626</v>
      </c>
      <c r="S22" s="15"/>
      <c r="Y22" s="244">
        <f>Z22/70</f>
        <v>8508.942857142858</v>
      </c>
      <c r="Z22" s="172">
        <v>595626</v>
      </c>
      <c r="AA22" s="15"/>
      <c r="AG22" s="244">
        <f>AH22/70</f>
        <v>8325.528571428571</v>
      </c>
      <c r="AH22" s="172">
        <v>582787</v>
      </c>
      <c r="AI22" s="15"/>
      <c r="AO22" s="244">
        <f>AP22/70</f>
        <v>8873.028571428571</v>
      </c>
      <c r="AP22" s="172">
        <v>621112</v>
      </c>
      <c r="AQ22" s="15"/>
      <c r="AW22" s="244">
        <f>AX22/70</f>
        <v>8870.1428571428569</v>
      </c>
      <c r="AX22" s="172">
        <v>620910</v>
      </c>
      <c r="AY22" s="15"/>
      <c r="BE22" s="244">
        <f>BF22/70</f>
        <v>8908.0142857142855</v>
      </c>
      <c r="BF22" s="172">
        <v>623561</v>
      </c>
      <c r="BG22" s="15"/>
      <c r="BM22" s="244">
        <f>BN22/70</f>
        <v>8936.8142857142866</v>
      </c>
      <c r="BN22" s="172">
        <v>625577</v>
      </c>
      <c r="BP22" s="12"/>
      <c r="BU22" s="244">
        <f>BV22/70</f>
        <v>9127.7142857142862</v>
      </c>
      <c r="BV22" s="1">
        <v>638940</v>
      </c>
      <c r="BW22" s="15"/>
      <c r="CC22" s="243">
        <f>CD22/70</f>
        <v>9127.7142857142862</v>
      </c>
      <c r="CD22" s="172">
        <v>638940</v>
      </c>
      <c r="CF22" s="12"/>
      <c r="CK22" s="243">
        <f>CL22/70</f>
        <v>9225.7571428571428</v>
      </c>
      <c r="CL22" s="172">
        <v>645803</v>
      </c>
      <c r="CM22" s="301"/>
      <c r="CS22" s="243">
        <f>CT22/70</f>
        <v>9202.1428571428569</v>
      </c>
      <c r="CT22" s="172">
        <v>644150</v>
      </c>
      <c r="CV22" s="12"/>
      <c r="CY22" s="257">
        <f>(G22+O22+W22+AE22+AM22+AU22+BC22+BK22+BS22+CA22+CI22+CQ22)</f>
        <v>0</v>
      </c>
      <c r="CZ22" s="257">
        <f>(H22+P22+X22+AF22+AN22+AV22+BD22+BL22+BT22+CB22+CJ22+CR22)</f>
        <v>0</v>
      </c>
      <c r="DA22" s="257">
        <f>(I22+Q22+Y22+AG22+AO22+AW22+BE22+BM22+BU22+CC22+CK22+CS22)</f>
        <v>109130.82857142857</v>
      </c>
      <c r="DB22" s="257">
        <f>(J22+R22+Z22+AH22+AP22+AX22+BF22+BN22+BV22+CD22+CL22+CT22)</f>
        <v>7639158</v>
      </c>
      <c r="DC22" s="15"/>
      <c r="DD22" s="12"/>
      <c r="DI22" s="243">
        <f>DJ22/70</f>
        <v>11122.9</v>
      </c>
      <c r="DJ22" s="172">
        <v>778603</v>
      </c>
      <c r="DK22" s="302"/>
      <c r="DL22" s="12"/>
      <c r="DQ22" s="243">
        <f>DR22/70</f>
        <v>11069.771428571428</v>
      </c>
      <c r="DR22" s="172">
        <v>774884</v>
      </c>
      <c r="DS22" s="302"/>
      <c r="DY22" s="172">
        <f>DZ22/70</f>
        <v>10654.557142857142</v>
      </c>
      <c r="DZ22" s="172">
        <v>745819</v>
      </c>
      <c r="EB22" s="142"/>
      <c r="EG22" s="172">
        <f>EH22/70</f>
        <v>10906.114285714286</v>
      </c>
      <c r="EH22" s="172">
        <v>763428</v>
      </c>
      <c r="EI22" s="143"/>
      <c r="EJ22" s="142"/>
      <c r="EO22" s="172">
        <f>EP22/70</f>
        <v>10510.985714285714</v>
      </c>
      <c r="EP22" s="172">
        <v>735769</v>
      </c>
      <c r="EQ22" s="143"/>
      <c r="ER22" s="142"/>
      <c r="EW22" s="172">
        <f>EX22/70</f>
        <v>10091.928571428571</v>
      </c>
      <c r="EX22" s="172">
        <v>706435</v>
      </c>
      <c r="EY22" s="143"/>
      <c r="EZ22" s="142"/>
      <c r="FE22" s="172">
        <f>FF22/70</f>
        <v>10649.642857142857</v>
      </c>
      <c r="FF22" s="172">
        <v>745475</v>
      </c>
      <c r="FG22" s="143"/>
      <c r="FM22" s="172">
        <f>FN22/70</f>
        <v>11120.571428571429</v>
      </c>
      <c r="FN22" s="172">
        <v>778440</v>
      </c>
      <c r="FO22" s="15"/>
      <c r="FW22" s="172">
        <f>FX22/70</f>
        <v>11120.571428571429</v>
      </c>
      <c r="FX22" s="172">
        <v>778440</v>
      </c>
      <c r="FZ22" s="319"/>
      <c r="GC22" s="32"/>
      <c r="GD22" s="32"/>
      <c r="GE22" s="32"/>
      <c r="GF22" s="32"/>
      <c r="GG22" s="172">
        <f>GH22/70</f>
        <v>11251.828571428572</v>
      </c>
      <c r="GH22" s="172">
        <v>787628</v>
      </c>
      <c r="GI22" s="273"/>
      <c r="GJ22" s="321"/>
      <c r="GK22" s="321"/>
      <c r="GL22" s="321"/>
      <c r="GM22" s="321"/>
      <c r="GN22" s="321"/>
      <c r="GO22" s="321"/>
      <c r="GP22" s="321"/>
      <c r="GQ22" s="178">
        <f>GR22/70</f>
        <v>13244.142857142857</v>
      </c>
      <c r="GR22" s="178">
        <v>927090</v>
      </c>
      <c r="GS22" s="321"/>
      <c r="GT22" s="12"/>
      <c r="HA22" s="178">
        <f>HB22/70</f>
        <v>11732.114285714286</v>
      </c>
      <c r="HB22" s="172">
        <v>821248</v>
      </c>
      <c r="HC22" s="15"/>
      <c r="HD22" s="12"/>
      <c r="HI22" s="171">
        <f>HA22+GQ22+GG22+FW22+FM22+FE22+EW22+EO22+EG22+DY22+DQ22+DI22</f>
        <v>133475.12857142856</v>
      </c>
      <c r="HJ22" s="171">
        <f>HB22+GR22+GH22+FX22+FN22+FF22+EX22+EP22+EH22+DZ22+DR22+DJ22</f>
        <v>9343259</v>
      </c>
      <c r="HK22" s="15"/>
      <c r="HL22" s="12"/>
      <c r="HQ22" s="8">
        <f>DI22+DQ22+DY22</f>
        <v>32847.228571428568</v>
      </c>
      <c r="HR22" s="8">
        <f>DJ22+DR22+DZ22</f>
        <v>2299306</v>
      </c>
      <c r="HS22" s="15"/>
      <c r="HT22" s="12"/>
      <c r="HY22" s="171">
        <f>EG22+EO22+EW22</f>
        <v>31509.028571428571</v>
      </c>
      <c r="HZ22" s="171">
        <f>EH22+EP22+EX22</f>
        <v>2205632</v>
      </c>
      <c r="IA22" s="15"/>
      <c r="IB22" s="12"/>
      <c r="IG22" s="171">
        <f>(FE22+FM22+FW22)</f>
        <v>32890.785714285717</v>
      </c>
      <c r="IH22" s="171">
        <f>(FF22+FN22+FX22)</f>
        <v>2302355</v>
      </c>
      <c r="II22" s="15"/>
      <c r="IJ22" s="12"/>
      <c r="IO22" s="171">
        <f>(GG22+GQ22+HA22)</f>
        <v>36228.085714285713</v>
      </c>
      <c r="IP22" s="171">
        <f>(GH22+GR22+HB22)</f>
        <v>2535966</v>
      </c>
      <c r="IQ22" s="15"/>
      <c r="IS22" s="12"/>
      <c r="IZ22" s="179">
        <f>JA22/80</f>
        <v>14001.8</v>
      </c>
      <c r="JA22" s="172">
        <v>1120144</v>
      </c>
      <c r="JB22" s="15"/>
      <c r="JC22" s="19"/>
      <c r="JJ22" s="179">
        <f>JK22/80</f>
        <v>13716.225</v>
      </c>
      <c r="JK22" s="172">
        <v>1097298</v>
      </c>
      <c r="JL22" s="15"/>
      <c r="JT22" s="179">
        <f>JU22/75</f>
        <v>14801.44</v>
      </c>
      <c r="JU22" s="172">
        <v>1110108</v>
      </c>
      <c r="JW22" s="12"/>
      <c r="KD22" s="179">
        <f>KE22/80</f>
        <v>13684.5875</v>
      </c>
      <c r="KE22" s="172">
        <v>1094767</v>
      </c>
      <c r="KF22" s="15"/>
      <c r="KG22" s="19"/>
      <c r="KN22" s="179">
        <f>KO22/80</f>
        <v>13556.9375</v>
      </c>
      <c r="KO22" s="172">
        <v>1084555</v>
      </c>
      <c r="KP22" s="15"/>
      <c r="KQ22" s="12"/>
      <c r="KX22" s="179">
        <f>KY22/80</f>
        <v>13812.762500000001</v>
      </c>
      <c r="KY22" s="172">
        <v>1105021</v>
      </c>
      <c r="KZ22" s="15"/>
      <c r="LA22" s="12"/>
      <c r="LH22" s="179">
        <f>LI22/80</f>
        <v>13512.762500000001</v>
      </c>
      <c r="LI22" s="172">
        <v>1081021</v>
      </c>
      <c r="LJ22" s="15"/>
      <c r="LK22" s="12"/>
      <c r="LR22" s="179">
        <f>LS22/80</f>
        <v>13696.0875</v>
      </c>
      <c r="LS22" s="172">
        <v>1095687</v>
      </c>
      <c r="LT22" s="15"/>
      <c r="LU22" s="177"/>
      <c r="MB22" s="179">
        <f>MC22/80</f>
        <v>12346.325000000001</v>
      </c>
      <c r="MC22" s="172">
        <v>987706</v>
      </c>
      <c r="MD22" s="15"/>
      <c r="ME22" s="177"/>
      <c r="ML22" s="179">
        <f>MM22/80</f>
        <v>12263.35</v>
      </c>
      <c r="MM22" s="172">
        <v>981068</v>
      </c>
      <c r="MN22" s="15"/>
      <c r="MO22" s="12"/>
      <c r="MV22" s="179">
        <f>MW22/80</f>
        <v>11667.262500000001</v>
      </c>
      <c r="MW22" s="172">
        <v>933381</v>
      </c>
      <c r="MY22" s="12"/>
      <c r="NF22" s="179">
        <f>NG22/80</f>
        <v>12066.6625</v>
      </c>
      <c r="NG22" s="172">
        <v>965333</v>
      </c>
      <c r="NH22" s="15"/>
      <c r="NN22" s="16">
        <f>NF22+MV22+ML22+MB22+LR22+LH22+KX22+KN22+KD22+JT22+JJ22+IZ22</f>
        <v>159126.20249999998</v>
      </c>
      <c r="NO22" s="1533">
        <f>NG22+MW22+MM22+MC22+LS22+LI22+KY22+KO22+KE22+JU22+JK22+JA22</f>
        <v>12656089</v>
      </c>
      <c r="NP22" s="17"/>
      <c r="NQ22" s="12"/>
      <c r="NV22" s="16">
        <f>IZ22+JJ22+JT22</f>
        <v>42519.465000000004</v>
      </c>
      <c r="NW22" s="16">
        <f>JA22+JK22+JU22</f>
        <v>3327550</v>
      </c>
      <c r="NX22" s="17"/>
      <c r="NY22" s="256"/>
      <c r="OD22" s="172">
        <f>KD22+KN22+KX22</f>
        <v>41054.287500000006</v>
      </c>
      <c r="OE22" s="172">
        <f>KE22+KO22+KY22</f>
        <v>3284343</v>
      </c>
      <c r="OF22" s="17"/>
      <c r="OG22" s="12"/>
      <c r="OL22" s="172">
        <f>LH22+LR22+MB22</f>
        <v>39555.175000000003</v>
      </c>
      <c r="OM22" s="172">
        <f>LI22+LS22+MC22</f>
        <v>3164414</v>
      </c>
      <c r="OO22" s="12"/>
      <c r="OT22" s="16">
        <f>ML22+MV22+NF22</f>
        <v>35997.275000000001</v>
      </c>
      <c r="OU22" s="16">
        <f>MM22+MW22+NG22</f>
        <v>2879782</v>
      </c>
      <c r="OV22" s="15"/>
      <c r="OX22" s="12"/>
      <c r="PE22" s="179">
        <f>PF22/80</f>
        <v>11849.2125</v>
      </c>
      <c r="PF22" s="172">
        <v>947937</v>
      </c>
      <c r="PG22" s="15"/>
      <c r="PH22" s="19"/>
      <c r="PO22" s="179">
        <f>PP22/80</f>
        <v>11121.025</v>
      </c>
      <c r="PP22" s="172">
        <v>889682</v>
      </c>
      <c r="PQ22" s="15"/>
      <c r="PY22" s="179">
        <f>PZ22/80</f>
        <v>14082.825000000001</v>
      </c>
      <c r="PZ22" s="172">
        <f>1086195+40431</f>
        <v>1126626</v>
      </c>
      <c r="QB22" s="12"/>
      <c r="QI22" s="179">
        <f>QJ22/80</f>
        <v>11645.55</v>
      </c>
      <c r="QJ22" s="172">
        <f>898151+33493</f>
        <v>931644</v>
      </c>
      <c r="QK22" s="15"/>
      <c r="QL22" s="19"/>
      <c r="QS22" s="179">
        <f>QT22/80</f>
        <v>14601.637500000001</v>
      </c>
      <c r="QT22" s="172">
        <f>1134638+33493</f>
        <v>1168131</v>
      </c>
      <c r="QU22" s="15"/>
      <c r="QV22" s="12"/>
      <c r="QY22" s="172"/>
      <c r="RC22" s="178">
        <f>RD22/80</f>
        <v>14032.375</v>
      </c>
      <c r="RD22" s="172">
        <v>1122590</v>
      </c>
      <c r="RE22" s="15"/>
      <c r="RF22" s="12"/>
      <c r="RM22" s="178">
        <f>RN22/80</f>
        <v>14289.987499999999</v>
      </c>
      <c r="RN22" s="172">
        <f>'[10]7. Salaries - Internal Staff'!EN19</f>
        <v>1143199</v>
      </c>
      <c r="RO22" s="15"/>
      <c r="RP22" s="12"/>
      <c r="RW22" s="178">
        <f>RX22/80</f>
        <v>14207.262500000001</v>
      </c>
      <c r="RX22" s="172">
        <v>1136581</v>
      </c>
      <c r="RY22" s="15"/>
      <c r="RZ22" s="177"/>
      <c r="SA22" s="171"/>
      <c r="SB22" s="14"/>
      <c r="SC22" s="171"/>
      <c r="SG22" s="178">
        <f>SH22/80</f>
        <v>13690.2875</v>
      </c>
      <c r="SH22" s="172">
        <v>1095223</v>
      </c>
      <c r="SI22" s="15"/>
      <c r="SJ22" s="177"/>
      <c r="SK22" s="171"/>
      <c r="SL22" s="171"/>
      <c r="SM22" s="171"/>
      <c r="SN22" s="171"/>
      <c r="SO22" s="171"/>
      <c r="SP22" s="171"/>
      <c r="SQ22" s="178">
        <f>SR22/80</f>
        <v>13572.95</v>
      </c>
      <c r="SR22" s="172">
        <v>1085836</v>
      </c>
      <c r="SS22" s="15"/>
      <c r="ST22" s="12"/>
      <c r="TA22" s="179">
        <f>TB22/80</f>
        <v>13602.762500000001</v>
      </c>
      <c r="TB22" s="172">
        <v>1088221</v>
      </c>
      <c r="TC22" s="15"/>
      <c r="TD22" s="12"/>
      <c r="TK22" s="179">
        <f>TL22/80</f>
        <v>13487.512500000001</v>
      </c>
      <c r="TL22" s="172">
        <v>1079001</v>
      </c>
      <c r="TM22" s="15"/>
      <c r="TN22" s="12"/>
      <c r="TS22" s="9">
        <f t="shared" ref="TS22:TT48" si="286">TK22+TA22+SQ22+SG22+RW22+RM22+RC22+QS22+QI22+PY22+PO22+PE22</f>
        <v>160183.38750000001</v>
      </c>
      <c r="TT22" s="9">
        <f t="shared" si="286"/>
        <v>12814671</v>
      </c>
      <c r="TU22" s="17"/>
      <c r="TV22" s="12"/>
      <c r="UA22" s="16">
        <f>PE22+PO22+PY22</f>
        <v>37053.0625</v>
      </c>
      <c r="UB22" s="16">
        <f>PF22+PP22+PZ22</f>
        <v>2964245</v>
      </c>
      <c r="UC22" s="17"/>
      <c r="UD22" s="256"/>
      <c r="UE22" s="172"/>
      <c r="UI22" s="172">
        <f>QI22+QS22+RC22</f>
        <v>40279.5625</v>
      </c>
      <c r="UJ22" s="172">
        <f>QJ22+QT22+RD22</f>
        <v>3222365</v>
      </c>
      <c r="UK22" s="17"/>
      <c r="UL22" s="12"/>
      <c r="UQ22" s="172">
        <f t="shared" ref="UQ22:UR47" si="287">RM22+RW22+SG22</f>
        <v>42187.537499999999</v>
      </c>
      <c r="UR22" s="172">
        <f t="shared" si="287"/>
        <v>3375003</v>
      </c>
      <c r="US22" s="15"/>
      <c r="UT22" s="12"/>
      <c r="UY22" s="9">
        <f>SQ22+TA22+TK22</f>
        <v>40663.225000000006</v>
      </c>
      <c r="UZ22" s="9">
        <f>SR22+TB22+TL22</f>
        <v>3253058</v>
      </c>
      <c r="VA22" s="15"/>
      <c r="VC22" s="12"/>
      <c r="VI22" s="1"/>
      <c r="VJ22" s="179">
        <f>VK22/80</f>
        <v>11243.424999999999</v>
      </c>
      <c r="VK22" s="172">
        <v>899474</v>
      </c>
      <c r="VL22" s="15"/>
      <c r="VM22" s="19"/>
      <c r="VT22" s="179">
        <f>VU22/80</f>
        <v>12522.674999999999</v>
      </c>
      <c r="VU22" s="172">
        <v>1001814</v>
      </c>
      <c r="VV22" s="15"/>
      <c r="WD22" s="179">
        <f>WE22/80</f>
        <v>9953.1749999999993</v>
      </c>
      <c r="WE22" s="172">
        <v>796254</v>
      </c>
      <c r="WG22" s="12"/>
      <c r="WN22" s="179">
        <f>WO22/80</f>
        <v>10034.5625</v>
      </c>
      <c r="WO22" s="172">
        <v>802765</v>
      </c>
      <c r="WP22" s="15"/>
      <c r="WQ22" s="19"/>
      <c r="WX22" s="179">
        <f>WY22/80</f>
        <v>9964.4750000000004</v>
      </c>
      <c r="WY22" s="172">
        <v>797158</v>
      </c>
      <c r="WZ22" s="15"/>
      <c r="XA22" s="12"/>
      <c r="XD22" s="172"/>
      <c r="XH22" s="178">
        <f>XI22/80</f>
        <v>10229.6</v>
      </c>
      <c r="XI22" s="172">
        <v>818368</v>
      </c>
      <c r="XJ22" s="15"/>
      <c r="XK22" s="12"/>
      <c r="XR22" s="178">
        <f>XS22/80</f>
        <v>11619.9625</v>
      </c>
      <c r="XS22" s="172">
        <v>929597</v>
      </c>
      <c r="XT22" s="15"/>
      <c r="XU22" s="12"/>
      <c r="YB22" s="178">
        <f>YC22/80</f>
        <v>12838.4375</v>
      </c>
      <c r="YC22" s="172">
        <v>1027075</v>
      </c>
      <c r="YD22" s="15"/>
      <c r="YE22" s="177"/>
      <c r="YF22" s="171"/>
      <c r="YG22" s="14"/>
      <c r="YH22" s="171"/>
      <c r="YL22" s="178">
        <f>YM22/80</f>
        <v>12942.762500000001</v>
      </c>
      <c r="YM22" s="172">
        <v>1035421</v>
      </c>
      <c r="YN22" s="15"/>
      <c r="YO22" s="177"/>
      <c r="YP22" s="171"/>
      <c r="YQ22" s="171"/>
      <c r="YR22" s="171"/>
      <c r="YS22" s="171"/>
      <c r="YT22" s="171"/>
      <c r="YU22" s="171"/>
      <c r="YV22" s="178">
        <f>YW22/80</f>
        <v>13980.862499999999</v>
      </c>
      <c r="YW22" s="172">
        <v>1118469</v>
      </c>
      <c r="YX22" s="15"/>
      <c r="YY22" s="12"/>
      <c r="ZF22" s="179">
        <f>ZG22/80</f>
        <v>0</v>
      </c>
      <c r="ZG22" s="172">
        <v>0</v>
      </c>
      <c r="ZH22" s="15"/>
      <c r="ZI22" s="12"/>
      <c r="ZP22" s="179">
        <f>ZQ22/80</f>
        <v>0</v>
      </c>
      <c r="ZQ22" s="172">
        <v>0</v>
      </c>
      <c r="ZR22" s="15"/>
      <c r="ZS22" s="12"/>
      <c r="ZT22" s="1" t="s">
        <v>541</v>
      </c>
      <c r="ZX22" s="9">
        <f>ZP22+ZF22+YV22+YL22+YB22+XR22+XH22+WX22+WN22+WD22+VT22+VJ22</f>
        <v>115329.93750000001</v>
      </c>
      <c r="ZY22" s="9">
        <f t="shared" si="285"/>
        <v>9226395</v>
      </c>
      <c r="ZZ22" s="17"/>
      <c r="AAA22" s="12"/>
      <c r="AAF22" s="16">
        <f>VJ22+VT22+WD22</f>
        <v>33719.274999999994</v>
      </c>
      <c r="AAG22" s="16">
        <f>VK22+VU22+WE22</f>
        <v>2697542</v>
      </c>
      <c r="AAH22" s="17"/>
      <c r="AAI22" s="256"/>
      <c r="AAJ22" s="172"/>
      <c r="AAN22" s="172">
        <f>WN22+WX22+XH22</f>
        <v>30228.637499999997</v>
      </c>
      <c r="AAO22" s="172">
        <f>WO22+WY22+XI22</f>
        <v>2418291</v>
      </c>
      <c r="AAP22" s="17"/>
      <c r="AAQ22" s="12"/>
      <c r="AAV22" s="172">
        <f t="shared" ref="AAV22:AAW48" si="288">XR22+YB22+YL22</f>
        <v>37401.162500000006</v>
      </c>
      <c r="AAW22" s="172">
        <f t="shared" si="288"/>
        <v>2992093</v>
      </c>
      <c r="AAX22" s="15"/>
      <c r="AAY22" s="12"/>
      <c r="ABD22" s="9">
        <f t="shared" ref="ABD22:ABE46" si="289">YV22+ZF22+ZP22</f>
        <v>13980.862499999999</v>
      </c>
      <c r="ABE22" s="9">
        <f t="shared" si="289"/>
        <v>1118469</v>
      </c>
      <c r="ABF22" s="15"/>
    </row>
    <row r="23" spans="1:737" hidden="1" x14ac:dyDescent="0.3">
      <c r="A23" s="12"/>
      <c r="B23" s="1" t="s">
        <v>22</v>
      </c>
      <c r="D23" s="12"/>
      <c r="I23" s="244">
        <f>J23/70</f>
        <v>11026</v>
      </c>
      <c r="J23" s="172">
        <v>771820</v>
      </c>
      <c r="K23" s="15"/>
      <c r="Q23" s="244">
        <f>R23/70</f>
        <v>4842</v>
      </c>
      <c r="R23" s="172">
        <v>338940</v>
      </c>
      <c r="S23" s="15"/>
      <c r="Y23" s="244">
        <f>Z23/70</f>
        <v>4635.2</v>
      </c>
      <c r="Z23" s="172">
        <v>324464</v>
      </c>
      <c r="AA23" s="15"/>
      <c r="AG23" s="244">
        <f>AH23/70</f>
        <v>8074.7571428571428</v>
      </c>
      <c r="AH23" s="172">
        <v>565233</v>
      </c>
      <c r="AI23" s="15"/>
      <c r="AO23" s="244">
        <f>AP23/70</f>
        <v>9119.6857142857134</v>
      </c>
      <c r="AP23" s="172">
        <v>638378</v>
      </c>
      <c r="AQ23" s="15"/>
      <c r="AW23" s="244">
        <f>AX23/70</f>
        <v>4092.2</v>
      </c>
      <c r="AX23" s="172">
        <v>286454</v>
      </c>
      <c r="AY23" s="15"/>
      <c r="BE23" s="244">
        <f>BF23/70</f>
        <v>4525.0571428571429</v>
      </c>
      <c r="BF23" s="172">
        <v>316754</v>
      </c>
      <c r="BG23" s="15"/>
      <c r="BM23" s="244">
        <f>BN23/70</f>
        <v>4612.0428571428574</v>
      </c>
      <c r="BN23" s="172">
        <v>322843</v>
      </c>
      <c r="BP23" s="12"/>
      <c r="BU23" s="244">
        <f>BV23/70</f>
        <v>8777.7428571428572</v>
      </c>
      <c r="BV23" s="1">
        <v>614442</v>
      </c>
      <c r="BW23" s="15"/>
      <c r="CC23" s="243">
        <f>CD23/70</f>
        <v>3473.5</v>
      </c>
      <c r="CD23" s="172">
        <v>243145</v>
      </c>
      <c r="CF23" s="12"/>
      <c r="CK23" s="243">
        <f>CL23/70</f>
        <v>3198.3</v>
      </c>
      <c r="CL23" s="172">
        <v>223881</v>
      </c>
      <c r="CM23" s="301"/>
      <c r="CS23" s="243">
        <f>CT23/70</f>
        <v>7312.1428571428569</v>
      </c>
      <c r="CT23" s="172">
        <v>511850</v>
      </c>
      <c r="CV23" s="12"/>
      <c r="DA23" s="257">
        <f t="shared" ref="DA23:DB45" si="290">(I23+Q23+Y23+AG23+AO23+AW23+BE23+BM23+BU23+CC23+CK23+CS23)</f>
        <v>73688.628571428562</v>
      </c>
      <c r="DB23" s="257">
        <f t="shared" si="290"/>
        <v>5158204</v>
      </c>
      <c r="DC23" s="15"/>
      <c r="DD23" s="12"/>
      <c r="DI23" s="243">
        <f>DJ23/70</f>
        <v>4489.9142857142861</v>
      </c>
      <c r="DJ23" s="172">
        <v>314294</v>
      </c>
      <c r="DK23" s="302"/>
      <c r="DL23" s="12"/>
      <c r="DQ23" s="243">
        <f>DR23/70</f>
        <v>5450</v>
      </c>
      <c r="DR23" s="172">
        <v>381500</v>
      </c>
      <c r="DS23" s="302"/>
      <c r="DY23" s="172">
        <f>DZ23/70</f>
        <v>8049.9571428571426</v>
      </c>
      <c r="DZ23" s="172">
        <v>563497</v>
      </c>
      <c r="EB23" s="142"/>
      <c r="EG23" s="172">
        <f>EH23/70</f>
        <v>8109.4</v>
      </c>
      <c r="EH23" s="172">
        <v>567658</v>
      </c>
      <c r="EI23" s="143"/>
      <c r="EJ23" s="142"/>
      <c r="EO23" s="172">
        <f>EP23/70</f>
        <v>4771.028571428571</v>
      </c>
      <c r="EP23" s="172">
        <v>333972</v>
      </c>
      <c r="EQ23" s="143"/>
      <c r="ER23" s="142"/>
      <c r="EW23" s="172">
        <f>EX23/70</f>
        <v>6403.9285714285716</v>
      </c>
      <c r="EX23" s="172">
        <f>448275</f>
        <v>448275</v>
      </c>
      <c r="EY23" s="143"/>
      <c r="EZ23" s="142"/>
      <c r="FE23" s="172">
        <f>FF23/70</f>
        <v>5760.4428571428571</v>
      </c>
      <c r="FF23" s="172">
        <v>403231</v>
      </c>
      <c r="FG23" s="143"/>
      <c r="FM23" s="172">
        <f>FN23/70</f>
        <v>6384.6</v>
      </c>
      <c r="FN23" s="172">
        <v>446922</v>
      </c>
      <c r="FO23" s="15"/>
      <c r="FW23" s="172">
        <f>FX23/70</f>
        <v>9444.8857142857141</v>
      </c>
      <c r="FX23" s="172">
        <v>661142</v>
      </c>
      <c r="FZ23" s="319"/>
      <c r="GC23" s="32"/>
      <c r="GD23" s="32"/>
      <c r="GE23" s="32"/>
      <c r="GF23" s="32"/>
      <c r="GG23" s="172">
        <f>GH23/70</f>
        <v>6325.1285714285714</v>
      </c>
      <c r="GH23" s="172">
        <v>442759</v>
      </c>
      <c r="GI23" s="273"/>
      <c r="GJ23" s="321"/>
      <c r="GK23" s="321"/>
      <c r="GL23" s="321"/>
      <c r="GM23" s="321"/>
      <c r="GN23" s="321"/>
      <c r="GO23" s="321"/>
      <c r="GP23" s="321"/>
      <c r="GQ23" s="178">
        <f>GR23/70</f>
        <v>6519.971428571429</v>
      </c>
      <c r="GR23" s="178">
        <v>456398</v>
      </c>
      <c r="GS23" s="321"/>
      <c r="GT23" s="12"/>
      <c r="HA23" s="178">
        <f>HB23/70</f>
        <v>11263.8</v>
      </c>
      <c r="HB23" s="172">
        <v>788466</v>
      </c>
      <c r="HC23" s="15"/>
      <c r="HD23" s="12"/>
      <c r="HI23" s="171">
        <f>HA23+GQ23+GG23+FW23+FM23+FE23+EW23+EO23+EG23+DY23+DQ23+DI23</f>
        <v>82973.057142857142</v>
      </c>
      <c r="HJ23" s="171">
        <f>HB23+GR23+GH23+FX23+FN23+FF23+EX23+EP23+EH23+DZ23+DR23+DJ23</f>
        <v>5808114</v>
      </c>
      <c r="HK23" s="15"/>
      <c r="HL23" s="12"/>
      <c r="HQ23" s="8">
        <f>DI23+DQ23+DY23</f>
        <v>17989.87142857143</v>
      </c>
      <c r="HR23" s="8">
        <f>DJ23+DR23+DZ23</f>
        <v>1259291</v>
      </c>
      <c r="HS23" s="15"/>
      <c r="HT23" s="12"/>
      <c r="HY23" s="171">
        <f>EG23+EO23+EW23</f>
        <v>19284.357142857141</v>
      </c>
      <c r="HZ23" s="171">
        <f>EH23+EP23+EX23</f>
        <v>1349905</v>
      </c>
      <c r="IA23" s="15"/>
      <c r="IB23" s="12"/>
      <c r="IG23" s="171">
        <f>(FE23+FM23+FW23)</f>
        <v>21589.928571428572</v>
      </c>
      <c r="IH23" s="171">
        <f>(FF23+FN23+FX23)</f>
        <v>1511295</v>
      </c>
      <c r="II23" s="15"/>
      <c r="IJ23" s="12"/>
      <c r="IO23" s="171">
        <f>(GG23+GQ23+HA23)</f>
        <v>24108.9</v>
      </c>
      <c r="IP23" s="171">
        <f>(GH23+GR23+HB23)</f>
        <v>1687623</v>
      </c>
      <c r="IQ23" s="15"/>
      <c r="IS23" s="12"/>
      <c r="IZ23" s="179">
        <f>JA23/80</f>
        <v>0</v>
      </c>
      <c r="JA23" s="172">
        <v>0</v>
      </c>
      <c r="JB23" s="15"/>
      <c r="JC23" s="19"/>
      <c r="JJ23" s="179">
        <f>JK23/80</f>
        <v>0</v>
      </c>
      <c r="JK23" s="172">
        <v>0</v>
      </c>
      <c r="JL23" s="15"/>
      <c r="JN23" s="328"/>
      <c r="JT23" s="179">
        <v>0</v>
      </c>
      <c r="JU23" s="172">
        <v>0</v>
      </c>
      <c r="JW23" s="12"/>
      <c r="KD23" s="179">
        <f>KE23/80</f>
        <v>0</v>
      </c>
      <c r="KE23" s="172">
        <v>0</v>
      </c>
      <c r="KF23" s="15"/>
      <c r="KG23" s="19"/>
      <c r="KM23" s="16"/>
      <c r="KN23" s="179">
        <f>KO23/80</f>
        <v>0</v>
      </c>
      <c r="KO23" s="172">
        <v>0</v>
      </c>
      <c r="KP23" s="15"/>
      <c r="KQ23" s="12"/>
      <c r="KW23" s="243"/>
      <c r="KX23" s="179">
        <f>KY23/80</f>
        <v>0</v>
      </c>
      <c r="KY23" s="172">
        <v>0</v>
      </c>
      <c r="KZ23" s="15"/>
      <c r="LA23" s="12"/>
      <c r="LG23" s="243"/>
      <c r="LH23" s="179">
        <f>LI23/80</f>
        <v>0</v>
      </c>
      <c r="LI23" s="172"/>
      <c r="LJ23" s="15"/>
      <c r="LK23" s="12"/>
      <c r="LQ23" s="16"/>
      <c r="LR23" s="179">
        <f>LS23/80</f>
        <v>0</v>
      </c>
      <c r="LS23" s="172">
        <v>0</v>
      </c>
      <c r="LT23" s="15"/>
      <c r="LU23" s="177"/>
      <c r="MA23" s="243"/>
      <c r="MB23" s="179">
        <f>MC23/80</f>
        <v>0</v>
      </c>
      <c r="MC23" s="172">
        <v>0</v>
      </c>
      <c r="MD23" s="15"/>
      <c r="ME23" s="177"/>
      <c r="ML23" s="179">
        <f>MM23/80</f>
        <v>0</v>
      </c>
      <c r="MM23" s="172"/>
      <c r="MN23" s="15"/>
      <c r="MO23" s="12"/>
      <c r="MU23" s="16"/>
      <c r="MV23" s="179">
        <f>MW23/80</f>
        <v>0</v>
      </c>
      <c r="MW23" s="172"/>
      <c r="MY23" s="12"/>
      <c r="NF23" s="179">
        <v>0</v>
      </c>
      <c r="NG23" s="172">
        <v>0</v>
      </c>
      <c r="NH23" s="15"/>
      <c r="NN23" s="16">
        <f>NF23+MV23+ML23+MB23+LR23+LH23+KX23+KN23+KD23+JT23+JJ23+IZ23</f>
        <v>0</v>
      </c>
      <c r="NO23" s="16">
        <f t="shared" ref="NO23:NO39" si="291">NG23+MW23+MM23+MC23+LS23+LI23+KY23+KO23+KE23+JU23+JK23+JA23</f>
        <v>0</v>
      </c>
      <c r="NP23" s="17"/>
      <c r="NQ23" s="12"/>
      <c r="NV23" s="16">
        <f>IZ23+JJ23+JT23</f>
        <v>0</v>
      </c>
      <c r="NW23" s="16">
        <f t="shared" ref="NW23:NW44" si="292">JA23+JK23+JU23</f>
        <v>0</v>
      </c>
      <c r="NX23" s="17"/>
      <c r="NY23" s="256"/>
      <c r="OD23" s="172">
        <f t="shared" ref="OD23:OE48" si="293">KD23+KN23+KX23</f>
        <v>0</v>
      </c>
      <c r="OE23" s="172">
        <f t="shared" si="293"/>
        <v>0</v>
      </c>
      <c r="OF23" s="17"/>
      <c r="OG23" s="12"/>
      <c r="OL23" s="172">
        <f t="shared" ref="OL23:OM48" si="294">LH23+LR23+MB23</f>
        <v>0</v>
      </c>
      <c r="OM23" s="172">
        <f t="shared" si="294"/>
        <v>0</v>
      </c>
      <c r="OO23" s="12"/>
      <c r="OT23" s="16">
        <f t="shared" ref="OT23:OU39" si="295">ML23+MV23+NF23</f>
        <v>0</v>
      </c>
      <c r="OU23" s="16">
        <f t="shared" si="295"/>
        <v>0</v>
      </c>
      <c r="OV23" s="15"/>
      <c r="OX23" s="12"/>
      <c r="PE23" s="179"/>
      <c r="PF23" s="172"/>
      <c r="PG23" s="15"/>
      <c r="PH23" s="19"/>
      <c r="PO23" s="179">
        <v>0</v>
      </c>
      <c r="PP23" s="172">
        <v>0</v>
      </c>
      <c r="PQ23" s="15"/>
      <c r="PS23" s="328"/>
      <c r="PY23" s="1534">
        <v>0</v>
      </c>
      <c r="PZ23" s="172">
        <v>0</v>
      </c>
      <c r="QB23" s="12"/>
      <c r="QI23" s="179">
        <v>0</v>
      </c>
      <c r="QJ23" s="172">
        <v>0</v>
      </c>
      <c r="QK23" s="15"/>
      <c r="QL23" s="19"/>
      <c r="QS23" s="179">
        <v>0</v>
      </c>
      <c r="QT23" s="172">
        <v>0</v>
      </c>
      <c r="QU23" s="15"/>
      <c r="QV23" s="12"/>
      <c r="QY23" s="172"/>
      <c r="RC23" s="178">
        <f>RD23/80</f>
        <v>0</v>
      </c>
      <c r="RD23" s="172">
        <v>0</v>
      </c>
      <c r="RE23" s="15"/>
      <c r="RF23" s="12"/>
      <c r="RM23" s="178">
        <f>RN23/80</f>
        <v>0</v>
      </c>
      <c r="RN23" s="172">
        <v>0</v>
      </c>
      <c r="RO23" s="15"/>
      <c r="RP23" s="12"/>
      <c r="RW23" s="178">
        <f>RX23/80</f>
        <v>0</v>
      </c>
      <c r="RX23" s="172">
        <v>0</v>
      </c>
      <c r="RY23" s="15"/>
      <c r="RZ23" s="177"/>
      <c r="SA23" s="171"/>
      <c r="SB23" s="14"/>
      <c r="SC23" s="171"/>
      <c r="SG23" s="178">
        <f>SH23/80</f>
        <v>0</v>
      </c>
      <c r="SH23" s="172">
        <v>0</v>
      </c>
      <c r="SI23" s="15"/>
      <c r="SJ23" s="177"/>
      <c r="SK23" s="171"/>
      <c r="SL23" s="171"/>
      <c r="SM23" s="171"/>
      <c r="SN23" s="171"/>
      <c r="SO23" s="171"/>
      <c r="SP23" s="171"/>
      <c r="SQ23" s="178">
        <f>SR23/80</f>
        <v>0</v>
      </c>
      <c r="SR23" s="172"/>
      <c r="SS23" s="15"/>
      <c r="ST23" s="12"/>
      <c r="TA23" s="179">
        <f>TB23/80</f>
        <v>0</v>
      </c>
      <c r="TB23" s="172">
        <v>0</v>
      </c>
      <c r="TC23" s="15"/>
      <c r="TD23" s="12"/>
      <c r="TK23" s="179">
        <f>TL23/80</f>
        <v>0</v>
      </c>
      <c r="TL23" s="172">
        <v>0</v>
      </c>
      <c r="TM23" s="15"/>
      <c r="TN23" s="12"/>
      <c r="TS23" s="9">
        <f t="shared" si="286"/>
        <v>0</v>
      </c>
      <c r="TT23" s="9">
        <f t="shared" si="286"/>
        <v>0</v>
      </c>
      <c r="TU23" s="17"/>
      <c r="TV23" s="12"/>
      <c r="UA23" s="16">
        <f>PE23+PO23+PY23</f>
        <v>0</v>
      </c>
      <c r="UB23" s="16">
        <f>PF23+PP23+PZ23</f>
        <v>0</v>
      </c>
      <c r="UC23" s="17"/>
      <c r="UD23" s="256"/>
      <c r="UE23" s="172"/>
      <c r="UI23" s="172">
        <f>QI23+QS23+RC23</f>
        <v>0</v>
      </c>
      <c r="UJ23" s="172">
        <f>QJ23+QT23+RD23</f>
        <v>0</v>
      </c>
      <c r="UK23" s="17"/>
      <c r="UL23" s="12"/>
      <c r="UQ23" s="172">
        <f t="shared" si="287"/>
        <v>0</v>
      </c>
      <c r="UR23" s="172">
        <f t="shared" si="287"/>
        <v>0</v>
      </c>
      <c r="US23" s="15"/>
      <c r="UT23" s="12"/>
      <c r="UY23" s="9">
        <f t="shared" ref="UY23:UZ46" si="296">SQ23+TA23+TK23</f>
        <v>0</v>
      </c>
      <c r="UZ23" s="9">
        <f t="shared" si="296"/>
        <v>0</v>
      </c>
      <c r="VA23" s="15"/>
      <c r="VC23" s="12"/>
      <c r="VI23" s="1"/>
      <c r="VJ23" s="179"/>
      <c r="VK23" s="172"/>
      <c r="VL23" s="15"/>
      <c r="VM23" s="19"/>
      <c r="VT23" s="179">
        <f>VU23/80</f>
        <v>0</v>
      </c>
      <c r="VU23" s="172">
        <v>0</v>
      </c>
      <c r="VV23" s="15"/>
      <c r="VX23" s="328"/>
      <c r="WD23" s="1534">
        <v>0</v>
      </c>
      <c r="WE23" s="172">
        <v>0</v>
      </c>
      <c r="WG23" s="12"/>
      <c r="WN23" s="179">
        <v>0</v>
      </c>
      <c r="WO23" s="172">
        <v>0</v>
      </c>
      <c r="WP23" s="15"/>
      <c r="WQ23" s="19"/>
      <c r="WX23" s="179">
        <v>0</v>
      </c>
      <c r="WY23" s="172">
        <v>0</v>
      </c>
      <c r="WZ23" s="15"/>
      <c r="XA23" s="12"/>
      <c r="XD23" s="172"/>
      <c r="XH23" s="178">
        <f>XI23/80</f>
        <v>0</v>
      </c>
      <c r="XI23" s="172">
        <v>0</v>
      </c>
      <c r="XJ23" s="15"/>
      <c r="XK23" s="12"/>
      <c r="XR23" s="178">
        <f>XS23/80</f>
        <v>0</v>
      </c>
      <c r="XS23" s="172">
        <v>0</v>
      </c>
      <c r="XT23" s="15"/>
      <c r="XU23" s="12"/>
      <c r="YB23" s="178">
        <f>YC23/80</f>
        <v>0</v>
      </c>
      <c r="YC23" s="172">
        <v>0</v>
      </c>
      <c r="YD23" s="15"/>
      <c r="YE23" s="177"/>
      <c r="YF23" s="171"/>
      <c r="YG23" s="14"/>
      <c r="YH23" s="171"/>
      <c r="YL23" s="178">
        <f>YM23/80</f>
        <v>0</v>
      </c>
      <c r="YM23" s="172">
        <v>0</v>
      </c>
      <c r="YN23" s="15"/>
      <c r="YO23" s="177"/>
      <c r="YP23" s="171"/>
      <c r="YQ23" s="171"/>
      <c r="YR23" s="171"/>
      <c r="YS23" s="171"/>
      <c r="YT23" s="171"/>
      <c r="YU23" s="171"/>
      <c r="YV23" s="178">
        <f>YW23/80</f>
        <v>0</v>
      </c>
      <c r="YW23" s="172">
        <v>0</v>
      </c>
      <c r="YX23" s="15"/>
      <c r="YY23" s="12"/>
      <c r="ZF23" s="179">
        <f>ZG23/80</f>
        <v>0</v>
      </c>
      <c r="ZG23" s="172">
        <v>0</v>
      </c>
      <c r="ZH23" s="15"/>
      <c r="ZI23" s="12"/>
      <c r="ZP23" s="179">
        <f>ZQ23/80</f>
        <v>0</v>
      </c>
      <c r="ZQ23" s="172">
        <v>0</v>
      </c>
      <c r="ZR23" s="15"/>
      <c r="ZS23" s="12"/>
      <c r="ZX23" s="9">
        <f t="shared" si="285"/>
        <v>0</v>
      </c>
      <c r="ZY23" s="9">
        <f t="shared" si="285"/>
        <v>0</v>
      </c>
      <c r="ZZ23" s="17"/>
      <c r="AAA23" s="12"/>
      <c r="AAF23" s="16">
        <f t="shared" ref="AAF23:AAG38" si="297">VJ23+VT23+WD23</f>
        <v>0</v>
      </c>
      <c r="AAG23" s="16">
        <f t="shared" si="297"/>
        <v>0</v>
      </c>
      <c r="AAH23" s="17"/>
      <c r="AAI23" s="256"/>
      <c r="AAJ23" s="172"/>
      <c r="AAN23" s="172">
        <f>WN23+WX23+XH23</f>
        <v>0</v>
      </c>
      <c r="AAO23" s="172">
        <f>WO23+WY23+XI23</f>
        <v>0</v>
      </c>
      <c r="AAP23" s="17"/>
      <c r="AAQ23" s="12"/>
      <c r="AAV23" s="172">
        <f t="shared" si="288"/>
        <v>0</v>
      </c>
      <c r="AAW23" s="172">
        <f t="shared" si="288"/>
        <v>0</v>
      </c>
      <c r="AAX23" s="15"/>
      <c r="AAY23" s="12"/>
      <c r="ABD23" s="9">
        <f t="shared" si="289"/>
        <v>0</v>
      </c>
      <c r="ABE23" s="9">
        <f t="shared" si="289"/>
        <v>0</v>
      </c>
      <c r="ABF23" s="15"/>
    </row>
    <row r="24" spans="1:737" x14ac:dyDescent="0.3">
      <c r="A24" s="12"/>
      <c r="B24" s="1" t="s">
        <v>234</v>
      </c>
      <c r="D24" s="12"/>
      <c r="I24" s="244"/>
      <c r="K24" s="15"/>
      <c r="Q24" s="244"/>
      <c r="R24" s="172"/>
      <c r="S24" s="15"/>
      <c r="Y24" s="244"/>
      <c r="Z24" s="172"/>
      <c r="AA24" s="15"/>
      <c r="AG24" s="244"/>
      <c r="AH24" s="172"/>
      <c r="AI24" s="15"/>
      <c r="AO24" s="244"/>
      <c r="AP24" s="172"/>
      <c r="AQ24" s="15"/>
      <c r="AW24" s="244"/>
      <c r="AX24" s="172"/>
      <c r="AY24" s="15"/>
      <c r="BE24" s="244"/>
      <c r="BF24" s="172"/>
      <c r="BG24" s="15"/>
      <c r="BM24" s="244"/>
      <c r="BN24" s="172"/>
      <c r="BP24" s="12"/>
      <c r="BU24" s="244"/>
      <c r="BW24" s="15"/>
      <c r="CC24" s="243"/>
      <c r="CD24" s="172"/>
      <c r="CF24" s="12"/>
      <c r="CK24" s="243"/>
      <c r="CL24" s="172"/>
      <c r="CM24" s="301"/>
      <c r="CS24" s="243"/>
      <c r="CT24" s="172"/>
      <c r="CV24" s="12"/>
      <c r="DA24" s="257"/>
      <c r="DB24" s="257"/>
      <c r="DC24" s="15"/>
      <c r="DD24" s="12"/>
      <c r="DI24" s="243"/>
      <c r="DJ24" s="172"/>
      <c r="DK24" s="302"/>
      <c r="DL24" s="12"/>
      <c r="DQ24" s="243"/>
      <c r="DR24" s="172"/>
      <c r="DS24" s="302"/>
      <c r="DY24" s="172"/>
      <c r="DZ24" s="172"/>
      <c r="EB24" s="142"/>
      <c r="EG24" s="172"/>
      <c r="EH24" s="172"/>
      <c r="EI24" s="143"/>
      <c r="EJ24" s="142"/>
      <c r="EO24" s="172"/>
      <c r="EP24" s="172"/>
      <c r="EQ24" s="143"/>
      <c r="ER24" s="142"/>
      <c r="EW24" s="172"/>
      <c r="EX24" s="172"/>
      <c r="EY24" s="143"/>
      <c r="EZ24" s="142"/>
      <c r="FE24" s="172"/>
      <c r="FF24" s="172"/>
      <c r="FG24" s="143"/>
      <c r="FM24" s="172"/>
      <c r="FN24" s="172"/>
      <c r="FO24" s="15"/>
      <c r="FW24" s="172"/>
      <c r="FX24" s="172"/>
      <c r="FZ24" s="319"/>
      <c r="GC24" s="32"/>
      <c r="GD24" s="32"/>
      <c r="GE24" s="32"/>
      <c r="GF24" s="32"/>
      <c r="GG24" s="172"/>
      <c r="GH24" s="172"/>
      <c r="GI24" s="273"/>
      <c r="GJ24" s="321"/>
      <c r="GK24" s="321"/>
      <c r="GL24" s="321"/>
      <c r="GM24" s="321"/>
      <c r="GN24" s="321"/>
      <c r="GO24" s="321"/>
      <c r="GP24" s="321"/>
      <c r="GQ24" s="178"/>
      <c r="GR24" s="178"/>
      <c r="GS24" s="321"/>
      <c r="GT24" s="12"/>
      <c r="HA24" s="178"/>
      <c r="HB24" s="172"/>
      <c r="HC24" s="15"/>
      <c r="HD24" s="12"/>
      <c r="HI24" s="171"/>
      <c r="HJ24" s="171"/>
      <c r="HK24" s="15"/>
      <c r="HL24" s="12"/>
      <c r="HQ24" s="8"/>
      <c r="HR24" s="8"/>
      <c r="HS24" s="15"/>
      <c r="HT24" s="12"/>
      <c r="HY24" s="171"/>
      <c r="HZ24" s="171"/>
      <c r="IA24" s="15"/>
      <c r="IB24" s="12"/>
      <c r="IG24" s="171"/>
      <c r="IH24" s="171"/>
      <c r="II24" s="15"/>
      <c r="IJ24" s="12"/>
      <c r="IO24" s="171"/>
      <c r="IP24" s="171"/>
      <c r="IQ24" s="15"/>
      <c r="IS24" s="12"/>
      <c r="IZ24" s="179">
        <f>JA24/80</f>
        <v>0</v>
      </c>
      <c r="JA24" s="172"/>
      <c r="JB24" s="15"/>
      <c r="JC24" s="19"/>
      <c r="JJ24" s="179">
        <f>JK24/80</f>
        <v>0</v>
      </c>
      <c r="JK24" s="172"/>
      <c r="JL24" s="15"/>
      <c r="JN24" s="328"/>
      <c r="JT24" s="179"/>
      <c r="JU24" s="172"/>
      <c r="JW24" s="12"/>
      <c r="KD24" s="179">
        <f>KE24/80</f>
        <v>0</v>
      </c>
      <c r="KE24" s="172"/>
      <c r="KF24" s="15"/>
      <c r="KG24" s="19"/>
      <c r="KN24" s="179">
        <f>KO24/80</f>
        <v>0</v>
      </c>
      <c r="KO24" s="172"/>
      <c r="KP24" s="15"/>
      <c r="KQ24" s="12"/>
      <c r="KX24" s="179">
        <f>KY24/80</f>
        <v>0</v>
      </c>
      <c r="KY24" s="172"/>
      <c r="KZ24" s="15"/>
      <c r="LA24" s="12"/>
      <c r="LH24" s="179">
        <f>LI24/80</f>
        <v>0</v>
      </c>
      <c r="LI24" s="172"/>
      <c r="LJ24" s="15"/>
      <c r="LK24" s="12"/>
      <c r="LR24" s="179">
        <f>LS24/80</f>
        <v>0</v>
      </c>
      <c r="LS24" s="172"/>
      <c r="LT24" s="15"/>
      <c r="LU24" s="177"/>
      <c r="MB24" s="179">
        <f>MC24/80</f>
        <v>0</v>
      </c>
      <c r="MC24" s="172"/>
      <c r="MD24" s="15"/>
      <c r="ME24" s="177"/>
      <c r="ML24" s="179">
        <f>MM24/80</f>
        <v>0</v>
      </c>
      <c r="MM24" s="172"/>
      <c r="MN24" s="15"/>
      <c r="MO24" s="12"/>
      <c r="MV24" s="179">
        <f>MW24/80</f>
        <v>0</v>
      </c>
      <c r="MW24" s="172"/>
      <c r="MY24" s="12"/>
      <c r="NF24" s="179">
        <v>0</v>
      </c>
      <c r="NG24" s="172">
        <v>0</v>
      </c>
      <c r="NH24" s="15"/>
      <c r="NN24" s="16"/>
      <c r="NO24" s="16"/>
      <c r="NP24" s="17"/>
      <c r="NQ24" s="12"/>
      <c r="NR24" s="16"/>
      <c r="NV24" s="16"/>
      <c r="NW24" s="16"/>
      <c r="NX24" s="17"/>
      <c r="NY24" s="256"/>
      <c r="OD24" s="172"/>
      <c r="OE24" s="172"/>
      <c r="OF24" s="17"/>
      <c r="OG24" s="12"/>
      <c r="OL24" s="172"/>
      <c r="OM24" s="172"/>
      <c r="OO24" s="12"/>
      <c r="OT24" s="16"/>
      <c r="OU24" s="16"/>
      <c r="OV24" s="15"/>
      <c r="OX24" s="12"/>
      <c r="PE24" s="179"/>
      <c r="PF24" s="172"/>
      <c r="PG24" s="15"/>
      <c r="PH24" s="19"/>
      <c r="PO24" s="179"/>
      <c r="PP24" s="172"/>
      <c r="PQ24" s="15"/>
      <c r="PS24" s="328"/>
      <c r="PY24" s="179">
        <v>0</v>
      </c>
      <c r="PZ24" s="172">
        <v>0</v>
      </c>
      <c r="QB24" s="12"/>
      <c r="QI24" s="179">
        <f>QJ24/80</f>
        <v>0</v>
      </c>
      <c r="QJ24" s="172"/>
      <c r="QK24" s="15"/>
      <c r="QL24" s="19"/>
      <c r="QS24" s="179">
        <f>QT24/80</f>
        <v>541.66250000000002</v>
      </c>
      <c r="QT24" s="172">
        <v>43333</v>
      </c>
      <c r="QU24" s="15"/>
      <c r="QV24" s="12"/>
      <c r="QY24" s="172"/>
      <c r="RC24" s="178">
        <f>RD24/80</f>
        <v>312.5</v>
      </c>
      <c r="RD24" s="172">
        <v>25000</v>
      </c>
      <c r="RE24" s="15"/>
      <c r="RF24" s="12"/>
      <c r="RM24" s="178">
        <f>RN24/80</f>
        <v>312.5</v>
      </c>
      <c r="RN24" s="172">
        <v>25000</v>
      </c>
      <c r="RO24" s="15"/>
      <c r="RP24" s="12"/>
      <c r="RW24" s="178">
        <f>RX24/80</f>
        <v>312.5</v>
      </c>
      <c r="RX24" s="172">
        <v>25000</v>
      </c>
      <c r="RY24" s="15"/>
      <c r="RZ24" s="177"/>
      <c r="SA24" s="171"/>
      <c r="SB24" s="14"/>
      <c r="SC24" s="171"/>
      <c r="SG24" s="178">
        <f>SH24/80</f>
        <v>312.5</v>
      </c>
      <c r="SH24" s="172">
        <v>25000</v>
      </c>
      <c r="SI24" s="15"/>
      <c r="SJ24" s="177"/>
      <c r="SK24" s="171"/>
      <c r="SL24" s="171"/>
      <c r="SM24" s="171"/>
      <c r="SN24" s="171"/>
      <c r="SO24" s="171"/>
      <c r="SP24" s="171"/>
      <c r="SQ24" s="178">
        <f>SR24/80</f>
        <v>312.5</v>
      </c>
      <c r="SR24" s="172">
        <v>25000</v>
      </c>
      <c r="SS24" s="15"/>
      <c r="ST24" s="12"/>
      <c r="TA24" s="179">
        <v>344</v>
      </c>
      <c r="TB24" s="172">
        <v>41300</v>
      </c>
      <c r="TC24" s="15"/>
      <c r="TD24" s="12"/>
      <c r="TK24" s="179">
        <f>TL24/80</f>
        <v>516.25</v>
      </c>
      <c r="TL24" s="172">
        <v>41300</v>
      </c>
      <c r="TM24" s="15"/>
      <c r="TN24" s="12"/>
      <c r="TS24" s="9">
        <f t="shared" si="286"/>
        <v>2964.4124999999999</v>
      </c>
      <c r="TT24" s="9">
        <f t="shared" si="286"/>
        <v>250933</v>
      </c>
      <c r="TU24" s="17"/>
      <c r="TV24" s="12"/>
      <c r="UA24" s="16"/>
      <c r="UB24" s="16"/>
      <c r="UC24" s="17"/>
      <c r="UD24" s="256"/>
      <c r="UE24" s="172"/>
      <c r="UI24" s="172"/>
      <c r="UJ24" s="172"/>
      <c r="UK24" s="17"/>
      <c r="UL24" s="12"/>
      <c r="UQ24" s="172">
        <f t="shared" si="287"/>
        <v>937.5</v>
      </c>
      <c r="UR24" s="172">
        <f t="shared" si="287"/>
        <v>75000</v>
      </c>
      <c r="US24" s="15"/>
      <c r="UT24" s="12"/>
      <c r="UY24" s="9">
        <f t="shared" si="296"/>
        <v>1172.75</v>
      </c>
      <c r="UZ24" s="9">
        <f t="shared" si="296"/>
        <v>107600</v>
      </c>
      <c r="VA24" s="15"/>
      <c r="VC24" s="12"/>
      <c r="VI24" s="1"/>
      <c r="VJ24" s="179">
        <f>VK24/80</f>
        <v>516.25</v>
      </c>
      <c r="VK24" s="172">
        <f>41300</f>
        <v>41300</v>
      </c>
      <c r="VL24" s="15"/>
      <c r="VM24" s="19"/>
      <c r="VT24" s="179">
        <f>VU24/80</f>
        <v>516.25</v>
      </c>
      <c r="VU24" s="172">
        <v>41300</v>
      </c>
      <c r="VV24" s="15"/>
      <c r="VX24" s="328"/>
      <c r="WD24" s="179">
        <f>WE24/80</f>
        <v>516.25</v>
      </c>
      <c r="WE24" s="172">
        <v>41300</v>
      </c>
      <c r="WG24" s="12"/>
      <c r="WN24" s="179">
        <f>WO24/80</f>
        <v>566.25</v>
      </c>
      <c r="WO24" s="172">
        <f>41300+4000</f>
        <v>45300</v>
      </c>
      <c r="WP24" s="15"/>
      <c r="WQ24" s="19"/>
      <c r="WX24" s="179">
        <f>WY24/80</f>
        <v>1162.5</v>
      </c>
      <c r="WY24" s="172">
        <v>93000</v>
      </c>
      <c r="WZ24" s="15"/>
      <c r="XA24" s="12"/>
      <c r="XD24" s="172"/>
      <c r="XH24" s="178">
        <f>XI24/80</f>
        <v>1162.5</v>
      </c>
      <c r="XI24" s="172">
        <v>93000</v>
      </c>
      <c r="XJ24" s="15"/>
      <c r="XK24" s="12"/>
      <c r="XR24" s="178">
        <f>XS24/80</f>
        <v>1162.5</v>
      </c>
      <c r="XS24" s="172">
        <v>93000</v>
      </c>
      <c r="XT24" s="15"/>
      <c r="XU24" s="12"/>
      <c r="YB24" s="178">
        <f>YC24/80</f>
        <v>1162.5</v>
      </c>
      <c r="YC24" s="172">
        <v>93000</v>
      </c>
      <c r="YD24" s="15"/>
      <c r="YE24" s="177"/>
      <c r="YF24" s="171"/>
      <c r="YG24" s="14"/>
      <c r="YH24" s="171"/>
      <c r="YL24" s="178">
        <f>YM24/80</f>
        <v>1162.5</v>
      </c>
      <c r="YM24" s="172">
        <v>93000</v>
      </c>
      <c r="YN24" s="15"/>
      <c r="YO24" s="177"/>
      <c r="YP24" s="171"/>
      <c r="YQ24" s="171"/>
      <c r="YR24" s="171"/>
      <c r="YS24" s="171"/>
      <c r="YT24" s="171"/>
      <c r="YU24" s="171"/>
      <c r="YV24" s="178">
        <f>YW24/80</f>
        <v>1162.5</v>
      </c>
      <c r="YW24" s="172">
        <v>93000</v>
      </c>
      <c r="YX24" s="15"/>
      <c r="YY24" s="12"/>
      <c r="ZF24" s="179">
        <v>0</v>
      </c>
      <c r="ZG24" s="172">
        <v>0</v>
      </c>
      <c r="ZH24" s="15"/>
      <c r="ZI24" s="12"/>
      <c r="ZP24" s="179">
        <f>ZQ24/80</f>
        <v>0</v>
      </c>
      <c r="ZQ24" s="172">
        <v>0</v>
      </c>
      <c r="ZR24" s="15"/>
      <c r="ZS24" s="12"/>
      <c r="ZX24" s="9">
        <f t="shared" si="285"/>
        <v>9090</v>
      </c>
      <c r="ZY24" s="9">
        <f t="shared" si="285"/>
        <v>727200</v>
      </c>
      <c r="ZZ24" s="17"/>
      <c r="AAA24" s="12"/>
      <c r="AAF24" s="16">
        <f t="shared" si="297"/>
        <v>1548.75</v>
      </c>
      <c r="AAG24" s="16">
        <f t="shared" si="297"/>
        <v>123900</v>
      </c>
      <c r="AAH24" s="17"/>
      <c r="AAI24" s="256"/>
      <c r="AAJ24" s="172"/>
      <c r="AAN24" s="172"/>
      <c r="AAO24" s="172"/>
      <c r="AAP24" s="17"/>
      <c r="AAQ24" s="12"/>
      <c r="AAV24" s="172">
        <f t="shared" si="288"/>
        <v>3487.5</v>
      </c>
      <c r="AAW24" s="172">
        <f t="shared" si="288"/>
        <v>279000</v>
      </c>
      <c r="AAX24" s="15"/>
      <c r="AAY24" s="12"/>
      <c r="ABD24" s="9">
        <f t="shared" si="289"/>
        <v>1162.5</v>
      </c>
      <c r="ABE24" s="9">
        <f t="shared" si="289"/>
        <v>93000</v>
      </c>
      <c r="ABF24" s="15"/>
      <c r="ABI24" s="16"/>
    </row>
    <row r="25" spans="1:737" x14ac:dyDescent="0.3">
      <c r="A25" s="12"/>
      <c r="B25" s="1" t="s">
        <v>1009</v>
      </c>
      <c r="D25" s="12"/>
      <c r="I25" s="244">
        <f>J25/70</f>
        <v>49.157142857142858</v>
      </c>
      <c r="J25" s="172">
        <v>3441</v>
      </c>
      <c r="K25" s="15"/>
      <c r="Q25" s="244">
        <f>R25/70</f>
        <v>25</v>
      </c>
      <c r="R25" s="172">
        <v>1750</v>
      </c>
      <c r="S25" s="15"/>
      <c r="Y25" s="244">
        <f>Z25/70</f>
        <v>313.10000000000002</v>
      </c>
      <c r="Z25" s="172">
        <v>21917</v>
      </c>
      <c r="AA25" s="15"/>
      <c r="AG25" s="244">
        <f>AH25/70</f>
        <v>856.38571428571424</v>
      </c>
      <c r="AH25" s="172">
        <v>59947</v>
      </c>
      <c r="AI25" s="15"/>
      <c r="AO25" s="244">
        <f>AP25/70</f>
        <v>82.228571428571428</v>
      </c>
      <c r="AP25" s="172">
        <v>5756</v>
      </c>
      <c r="AQ25" s="15"/>
      <c r="AW25" s="244">
        <f>AX25/70</f>
        <v>60.128571428571426</v>
      </c>
      <c r="AX25" s="172">
        <v>4209</v>
      </c>
      <c r="AY25" s="15"/>
      <c r="BE25" s="244">
        <f>BF25/70</f>
        <v>25</v>
      </c>
      <c r="BF25" s="172">
        <v>1750</v>
      </c>
      <c r="BG25" s="15"/>
      <c r="BM25" s="244">
        <f>BN25/70</f>
        <v>1312.0714285714287</v>
      </c>
      <c r="BN25" s="172">
        <v>91845</v>
      </c>
      <c r="BP25" s="12"/>
      <c r="BU25" s="244">
        <f>BV25/70</f>
        <v>40</v>
      </c>
      <c r="BV25" s="1">
        <v>2800</v>
      </c>
      <c r="BW25" s="15"/>
      <c r="CC25" s="243">
        <f>CD25/70</f>
        <v>25</v>
      </c>
      <c r="CD25" s="172">
        <v>1750</v>
      </c>
      <c r="CF25" s="12"/>
      <c r="CK25" s="243">
        <f>CL25/70</f>
        <v>25</v>
      </c>
      <c r="CL25" s="172">
        <v>1750</v>
      </c>
      <c r="CM25" s="301"/>
      <c r="CS25" s="243">
        <f>CT25/70</f>
        <v>25</v>
      </c>
      <c r="CT25" s="172">
        <v>1750</v>
      </c>
      <c r="CV25" s="12"/>
      <c r="DA25" s="257">
        <f t="shared" si="290"/>
        <v>2838.0714285714284</v>
      </c>
      <c r="DB25" s="257">
        <f t="shared" si="290"/>
        <v>198665</v>
      </c>
      <c r="DC25" s="15"/>
      <c r="DD25" s="12"/>
      <c r="DI25" s="243">
        <f>DJ25/70</f>
        <v>40</v>
      </c>
      <c r="DJ25" s="172">
        <v>2800</v>
      </c>
      <c r="DK25" s="302"/>
      <c r="DL25" s="12"/>
      <c r="DQ25" s="243">
        <f>DR25/70</f>
        <v>40</v>
      </c>
      <c r="DR25" s="1">
        <v>2800</v>
      </c>
      <c r="DS25" s="302"/>
      <c r="DY25" s="172">
        <f>DZ25/70</f>
        <v>40</v>
      </c>
      <c r="DZ25" s="172">
        <v>2800</v>
      </c>
      <c r="EB25" s="142"/>
      <c r="EG25" s="172">
        <f>EH25/70</f>
        <v>45.185714285714283</v>
      </c>
      <c r="EH25" s="329">
        <v>3163</v>
      </c>
      <c r="EI25" s="143"/>
      <c r="EJ25" s="142"/>
      <c r="EO25" s="172">
        <f>EP25/70</f>
        <v>343.42857142857144</v>
      </c>
      <c r="EP25" s="172">
        <v>24040</v>
      </c>
      <c r="EQ25" s="143"/>
      <c r="ER25" s="142"/>
      <c r="EW25" s="172">
        <f>EX25/70</f>
        <v>25</v>
      </c>
      <c r="EX25" s="172">
        <f>1750</f>
        <v>1750</v>
      </c>
      <c r="EY25" s="143"/>
      <c r="EZ25" s="142"/>
      <c r="FE25" s="172">
        <f>FF25/70</f>
        <v>563.02857142857147</v>
      </c>
      <c r="FF25" s="172">
        <f>1000+38412</f>
        <v>39412</v>
      </c>
      <c r="FG25" s="143"/>
      <c r="FM25" s="172">
        <f>FN25/70</f>
        <v>816.42857142857144</v>
      </c>
      <c r="FN25" s="172">
        <f>16778+38622+1750</f>
        <v>57150</v>
      </c>
      <c r="FO25" s="15"/>
      <c r="FW25" s="172">
        <f>FX25/70</f>
        <v>25</v>
      </c>
      <c r="FX25" s="172">
        <v>1750</v>
      </c>
      <c r="FZ25" s="319"/>
      <c r="GC25" s="32"/>
      <c r="GD25" s="32"/>
      <c r="GE25" s="32"/>
      <c r="GF25" s="32"/>
      <c r="GG25" s="172">
        <f>GH25/70</f>
        <v>25</v>
      </c>
      <c r="GH25" s="172">
        <v>1750</v>
      </c>
      <c r="GI25" s="273"/>
      <c r="GJ25" s="321"/>
      <c r="GK25" s="321"/>
      <c r="GL25" s="321"/>
      <c r="GM25" s="321"/>
      <c r="GN25" s="321"/>
      <c r="GO25" s="321"/>
      <c r="GP25" s="321"/>
      <c r="GQ25" s="178">
        <f>GR25/70</f>
        <v>25</v>
      </c>
      <c r="GR25" s="178">
        <v>1750</v>
      </c>
      <c r="GS25" s="321"/>
      <c r="GT25" s="12"/>
      <c r="HA25" s="178">
        <f>HB25/70</f>
        <v>25</v>
      </c>
      <c r="HB25" s="172">
        <v>1750</v>
      </c>
      <c r="HC25" s="15"/>
      <c r="HD25" s="12"/>
      <c r="HI25" s="171">
        <f t="shared" ref="HI25:HJ28" si="298">HA25+GQ25+GG25+FW25+FM25+FE25+EW25+EO25+EG25+DY25+DQ25+DI25</f>
        <v>2013.0714285714289</v>
      </c>
      <c r="HJ25" s="171">
        <f t="shared" si="298"/>
        <v>140915</v>
      </c>
      <c r="HK25" s="15"/>
      <c r="HL25" s="12"/>
      <c r="HQ25" s="8">
        <f>DI25+DQ25+DY25</f>
        <v>120</v>
      </c>
      <c r="HR25" s="8">
        <f>DJ25+DR25+DZ25</f>
        <v>8400</v>
      </c>
      <c r="HS25" s="15"/>
      <c r="HT25" s="12"/>
      <c r="HY25" s="171">
        <f t="shared" ref="HY25:HZ34" si="299">EG25+EO25+EW25</f>
        <v>413.61428571428576</v>
      </c>
      <c r="HZ25" s="171">
        <f t="shared" si="299"/>
        <v>28953</v>
      </c>
      <c r="IA25" s="15"/>
      <c r="IB25" s="12"/>
      <c r="IG25" s="171">
        <f t="shared" ref="IG25:IH34" si="300">(FE25+FM25+FW25)</f>
        <v>1404.457142857143</v>
      </c>
      <c r="IH25" s="171">
        <f t="shared" si="300"/>
        <v>98312</v>
      </c>
      <c r="II25" s="15"/>
      <c r="IJ25" s="12"/>
      <c r="IO25" s="171">
        <f t="shared" ref="IO25:IP34" si="301">(GG25+GQ25+HA25)</f>
        <v>75</v>
      </c>
      <c r="IP25" s="171">
        <f t="shared" si="301"/>
        <v>5250</v>
      </c>
      <c r="IQ25" s="15"/>
      <c r="IS25" s="12"/>
      <c r="IZ25" s="179">
        <f>JA25/80</f>
        <v>652.78750000000002</v>
      </c>
      <c r="JA25" s="172">
        <f>20452+30021+1750</f>
        <v>52223</v>
      </c>
      <c r="JB25" s="15"/>
      <c r="JC25" s="19"/>
      <c r="JJ25" s="179">
        <f>JK25/80</f>
        <v>21.875</v>
      </c>
      <c r="JK25" s="172">
        <v>1750</v>
      </c>
      <c r="JL25" s="15"/>
      <c r="JT25" s="179">
        <f>JU25/75</f>
        <v>23.333333333333332</v>
      </c>
      <c r="JU25" s="1">
        <v>1750</v>
      </c>
      <c r="JW25" s="12"/>
      <c r="KD25" s="179">
        <f>KE25/80</f>
        <v>21.875</v>
      </c>
      <c r="KE25" s="172">
        <v>1750</v>
      </c>
      <c r="KF25" s="15"/>
      <c r="KG25" s="19"/>
      <c r="KN25" s="179">
        <f>KO25/80</f>
        <v>21.875</v>
      </c>
      <c r="KO25" s="172">
        <v>1750</v>
      </c>
      <c r="KP25" s="15"/>
      <c r="KQ25" s="12"/>
      <c r="KX25" s="179">
        <f>KY25/80</f>
        <v>415</v>
      </c>
      <c r="KY25" s="172">
        <v>33200</v>
      </c>
      <c r="KZ25" s="15"/>
      <c r="LA25" s="12"/>
      <c r="LH25" s="179">
        <f>LI25/80</f>
        <v>328.48750000000001</v>
      </c>
      <c r="LI25" s="172">
        <f>1750+24529</f>
        <v>26279</v>
      </c>
      <c r="LJ25" s="15"/>
      <c r="LK25" s="12"/>
      <c r="LR25" s="179">
        <f>LS25/80</f>
        <v>228.375</v>
      </c>
      <c r="LS25" s="172">
        <v>18270</v>
      </c>
      <c r="LT25" s="15"/>
      <c r="LU25" s="177"/>
      <c r="MB25" s="179">
        <f>MC25/80</f>
        <v>394.13749999999999</v>
      </c>
      <c r="MC25" s="172">
        <f>4429+1750+25352</f>
        <v>31531</v>
      </c>
      <c r="MD25" s="15"/>
      <c r="ME25" s="177"/>
      <c r="ML25" s="179">
        <f>MM25/80</f>
        <v>287.375</v>
      </c>
      <c r="MM25" s="172">
        <v>22990</v>
      </c>
      <c r="MN25" s="15"/>
      <c r="MO25" s="12"/>
      <c r="MV25" s="179">
        <f>MW25/80</f>
        <v>254.92500000000001</v>
      </c>
      <c r="MW25" s="172">
        <v>20394</v>
      </c>
      <c r="MY25" s="12"/>
      <c r="NF25" s="179">
        <f>NG25/80</f>
        <v>316.57499999999999</v>
      </c>
      <c r="NG25" s="172">
        <v>25326</v>
      </c>
      <c r="NH25" s="15"/>
      <c r="NN25" s="16">
        <f t="shared" ref="NN25:NO46" si="302">NF25+MV25+ML25+MB25+LR25+LH25+KX25+KN25+KD25+JT25+JJ25+IZ25</f>
        <v>2966.6208333333334</v>
      </c>
      <c r="NO25" s="16">
        <f t="shared" si="291"/>
        <v>237213</v>
      </c>
      <c r="NP25" s="17"/>
      <c r="NQ25" s="12"/>
      <c r="NV25" s="16">
        <f t="shared" ref="NV25:NV34" si="303">IZ25+JJ25+JT25</f>
        <v>697.99583333333339</v>
      </c>
      <c r="NW25" s="16">
        <f t="shared" si="292"/>
        <v>55723</v>
      </c>
      <c r="NX25" s="17"/>
      <c r="NY25" s="256"/>
      <c r="OD25" s="172">
        <f t="shared" si="293"/>
        <v>458.75</v>
      </c>
      <c r="OE25" s="172">
        <f t="shared" si="293"/>
        <v>36700</v>
      </c>
      <c r="OF25" s="17"/>
      <c r="OG25" s="12"/>
      <c r="OL25" s="172">
        <f t="shared" si="294"/>
        <v>951</v>
      </c>
      <c r="OM25" s="172">
        <f t="shared" si="294"/>
        <v>76080</v>
      </c>
      <c r="OO25" s="12"/>
      <c r="OT25" s="16">
        <f t="shared" si="295"/>
        <v>858.875</v>
      </c>
      <c r="OU25" s="16">
        <f t="shared" si="295"/>
        <v>68710</v>
      </c>
      <c r="OV25" s="15"/>
      <c r="OX25" s="12"/>
      <c r="PE25" s="179">
        <f>PF25/80</f>
        <v>21.875</v>
      </c>
      <c r="PF25" s="172">
        <v>1750</v>
      </c>
      <c r="PG25" s="15"/>
      <c r="PH25" s="19"/>
      <c r="PO25" s="179">
        <f>PP25/80</f>
        <v>281.47500000000002</v>
      </c>
      <c r="PP25" s="172">
        <f>22518</f>
        <v>22518</v>
      </c>
      <c r="PQ25" s="15"/>
      <c r="PY25" s="179">
        <f>PZ25/80</f>
        <v>525.75</v>
      </c>
      <c r="PZ25" s="172">
        <v>42060</v>
      </c>
      <c r="QB25" s="12"/>
      <c r="QI25" s="179">
        <f>QJ25/80</f>
        <v>21.875</v>
      </c>
      <c r="QJ25" s="172">
        <v>1750</v>
      </c>
      <c r="QK25" s="15"/>
      <c r="QL25" s="19"/>
      <c r="QS25" s="179">
        <f>QT25/80</f>
        <v>405.25</v>
      </c>
      <c r="QT25" s="172">
        <f>1000+24201+7219</f>
        <v>32420</v>
      </c>
      <c r="QU25" s="15"/>
      <c r="QV25" s="12"/>
      <c r="QY25" s="172"/>
      <c r="RC25" s="178">
        <f>RD25/80</f>
        <v>212.4</v>
      </c>
      <c r="RD25" s="172">
        <v>16992</v>
      </c>
      <c r="RE25" s="15"/>
      <c r="RF25" s="12"/>
      <c r="RM25" s="178">
        <f>RN25/80</f>
        <v>293.13749999999999</v>
      </c>
      <c r="RN25" s="172">
        <v>23451</v>
      </c>
      <c r="RO25" s="15"/>
      <c r="RP25" s="12"/>
      <c r="RW25" s="178">
        <f>RX25/80</f>
        <v>419.45</v>
      </c>
      <c r="RX25" s="172">
        <v>33556</v>
      </c>
      <c r="RY25" s="15"/>
      <c r="RZ25" s="177"/>
      <c r="SA25" s="171"/>
      <c r="SB25" s="14"/>
      <c r="SC25" s="171"/>
      <c r="SG25" s="178">
        <f>SH25/80</f>
        <v>550.45000000000005</v>
      </c>
      <c r="SH25" s="172">
        <f>16520+3516+24000</f>
        <v>44036</v>
      </c>
      <c r="SI25" s="15"/>
      <c r="SJ25" s="177"/>
      <c r="SK25" s="171"/>
      <c r="SL25" s="171"/>
      <c r="SM25" s="171"/>
      <c r="SN25" s="171"/>
      <c r="SO25" s="171"/>
      <c r="SP25" s="171"/>
      <c r="SQ25" s="178">
        <f>SR25/80</f>
        <v>667.28750000000002</v>
      </c>
      <c r="SR25" s="172">
        <v>53383</v>
      </c>
      <c r="SS25" s="15"/>
      <c r="ST25" s="12"/>
      <c r="TA25" s="179">
        <f>TB25/80</f>
        <v>275.08749999999998</v>
      </c>
      <c r="TB25" s="172">
        <f>12508+9499</f>
        <v>22007</v>
      </c>
      <c r="TC25" s="15"/>
      <c r="TD25" s="12"/>
      <c r="TK25" s="179">
        <f>TL25/80</f>
        <v>0</v>
      </c>
      <c r="TL25" s="172">
        <v>0</v>
      </c>
      <c r="TM25" s="15"/>
      <c r="TN25" s="12"/>
      <c r="TS25" s="9">
        <f t="shared" si="286"/>
        <v>3674.0374999999999</v>
      </c>
      <c r="TT25" s="9">
        <f t="shared" si="286"/>
        <v>293923</v>
      </c>
      <c r="TU25" s="17"/>
      <c r="TV25" s="12"/>
      <c r="UA25" s="16">
        <f t="shared" ref="UA25:UB48" si="304">PE25+PO25+PY25</f>
        <v>829.1</v>
      </c>
      <c r="UB25" s="16">
        <f t="shared" si="304"/>
        <v>66328</v>
      </c>
      <c r="UC25" s="17"/>
      <c r="UD25" s="256"/>
      <c r="UE25" s="172"/>
      <c r="UI25" s="172">
        <f t="shared" ref="UI25:UJ34" si="305">QI25+QS25+RC25</f>
        <v>639.52499999999998</v>
      </c>
      <c r="UJ25" s="172">
        <f t="shared" si="305"/>
        <v>51162</v>
      </c>
      <c r="UK25" s="17"/>
      <c r="UL25" s="12"/>
      <c r="UQ25" s="172">
        <f t="shared" si="287"/>
        <v>1263.0374999999999</v>
      </c>
      <c r="UR25" s="172">
        <f t="shared" si="287"/>
        <v>101043</v>
      </c>
      <c r="US25" s="15"/>
      <c r="UT25" s="12"/>
      <c r="UY25" s="9">
        <f t="shared" si="296"/>
        <v>942.375</v>
      </c>
      <c r="UZ25" s="9">
        <f t="shared" si="296"/>
        <v>75390</v>
      </c>
      <c r="VA25" s="15"/>
      <c r="VC25" s="12"/>
      <c r="VI25" s="1"/>
      <c r="VJ25" s="179">
        <f>VK25/80</f>
        <v>813.55</v>
      </c>
      <c r="VK25" s="172">
        <f>32839+10295+21950</f>
        <v>65084</v>
      </c>
      <c r="VL25" s="15"/>
      <c r="VM25" s="19"/>
      <c r="VT25" s="179">
        <f>VU25/80</f>
        <v>218.125</v>
      </c>
      <c r="VU25" s="172">
        <v>17450</v>
      </c>
      <c r="VV25" s="15"/>
      <c r="WD25" s="179">
        <f>WE25/80</f>
        <v>82.5</v>
      </c>
      <c r="WE25" s="172">
        <v>6600</v>
      </c>
      <c r="WG25" s="12"/>
      <c r="WN25" s="179">
        <f>WO25/80</f>
        <v>0</v>
      </c>
      <c r="WO25" s="172">
        <v>0</v>
      </c>
      <c r="WP25" s="15"/>
      <c r="WQ25" s="19"/>
      <c r="WX25" s="179">
        <f>WY25/80</f>
        <v>0</v>
      </c>
      <c r="WY25" s="172">
        <v>0</v>
      </c>
      <c r="WZ25" s="15"/>
      <c r="XA25" s="12"/>
      <c r="XD25" s="172"/>
      <c r="XH25" s="178">
        <f>XI25/80</f>
        <v>275.41250000000002</v>
      </c>
      <c r="XI25" s="172">
        <f>15950+6083</f>
        <v>22033</v>
      </c>
      <c r="XJ25" s="15"/>
      <c r="XK25" s="12"/>
      <c r="XR25" s="178">
        <f>XS25/80</f>
        <v>505.78750000000002</v>
      </c>
      <c r="XS25" s="172">
        <f>20500+19963</f>
        <v>40463</v>
      </c>
      <c r="XT25" s="15"/>
      <c r="XU25" s="12"/>
      <c r="YB25" s="178">
        <f>YC25/80</f>
        <v>18074.162499999999</v>
      </c>
      <c r="YC25" s="172">
        <f>1355320+90613</f>
        <v>1445933</v>
      </c>
      <c r="YD25" s="15"/>
      <c r="YE25" s="177"/>
      <c r="YF25" s="171"/>
      <c r="YG25" s="14"/>
      <c r="YH25" s="171"/>
      <c r="YL25" s="178">
        <f>YM25/80</f>
        <v>1008.75</v>
      </c>
      <c r="YM25" s="172">
        <v>80700</v>
      </c>
      <c r="YN25" s="15"/>
      <c r="YO25" s="177"/>
      <c r="YP25" s="171"/>
      <c r="YQ25" s="171"/>
      <c r="YR25" s="171"/>
      <c r="YS25" s="171"/>
      <c r="YT25" s="171"/>
      <c r="YU25" s="171"/>
      <c r="YV25" s="178">
        <f>YW25/80</f>
        <v>288.75</v>
      </c>
      <c r="YW25" s="172">
        <v>23100</v>
      </c>
      <c r="YX25" s="15"/>
      <c r="YY25" s="12"/>
      <c r="ZF25" s="179">
        <f>ZG25/80</f>
        <v>0</v>
      </c>
      <c r="ZG25" s="172">
        <v>0</v>
      </c>
      <c r="ZH25" s="15"/>
      <c r="ZI25" s="12"/>
      <c r="ZP25" s="179">
        <f>ZQ25/80</f>
        <v>0</v>
      </c>
      <c r="ZQ25" s="172">
        <v>0</v>
      </c>
      <c r="ZR25" s="15"/>
      <c r="ZS25" s="12"/>
      <c r="ZX25" s="9">
        <f t="shared" si="285"/>
        <v>21267.037499999995</v>
      </c>
      <c r="ZY25" s="9">
        <f t="shared" si="285"/>
        <v>1701363</v>
      </c>
      <c r="ZZ25" s="17"/>
      <c r="AAA25" s="12"/>
      <c r="AAF25" s="16">
        <f t="shared" si="297"/>
        <v>1114.175</v>
      </c>
      <c r="AAG25" s="16">
        <f t="shared" si="297"/>
        <v>89134</v>
      </c>
      <c r="AAH25" s="17"/>
      <c r="AAI25" s="256"/>
      <c r="AAJ25" s="172"/>
      <c r="AAN25" s="172">
        <f t="shared" ref="AAN25:AAO34" si="306">WN25+WX25+XH25</f>
        <v>275.41250000000002</v>
      </c>
      <c r="AAO25" s="172">
        <f t="shared" si="306"/>
        <v>22033</v>
      </c>
      <c r="AAP25" s="17"/>
      <c r="AAQ25" s="12"/>
      <c r="AAV25" s="172">
        <f t="shared" si="288"/>
        <v>19588.699999999997</v>
      </c>
      <c r="AAW25" s="172">
        <f t="shared" si="288"/>
        <v>1567096</v>
      </c>
      <c r="AAX25" s="15"/>
      <c r="AAY25" s="12"/>
      <c r="ABD25" s="9">
        <f t="shared" si="289"/>
        <v>288.75</v>
      </c>
      <c r="ABE25" s="9">
        <f t="shared" si="289"/>
        <v>23100</v>
      </c>
      <c r="ABF25" s="15"/>
      <c r="ABI25" s="16"/>
    </row>
    <row r="26" spans="1:737" x14ac:dyDescent="0.3">
      <c r="A26" s="12"/>
      <c r="B26" s="1" t="s">
        <v>155</v>
      </c>
      <c r="D26" s="12"/>
      <c r="I26" s="244"/>
      <c r="K26" s="15"/>
      <c r="Q26" s="244"/>
      <c r="R26" s="172"/>
      <c r="S26" s="15"/>
      <c r="Y26" s="244"/>
      <c r="Z26" s="172"/>
      <c r="AA26" s="15"/>
      <c r="AG26" s="244"/>
      <c r="AH26" s="172"/>
      <c r="AI26" s="15"/>
      <c r="AO26" s="244"/>
      <c r="AP26" s="172"/>
      <c r="AQ26" s="15"/>
      <c r="AW26" s="244"/>
      <c r="AX26" s="172"/>
      <c r="AY26" s="15"/>
      <c r="BE26" s="244"/>
      <c r="BF26" s="172"/>
      <c r="BG26" s="15"/>
      <c r="BM26" s="244"/>
      <c r="BN26" s="172"/>
      <c r="BP26" s="12"/>
      <c r="BU26" s="244"/>
      <c r="BW26" s="15"/>
      <c r="CC26" s="243"/>
      <c r="CD26" s="172"/>
      <c r="CF26" s="12"/>
      <c r="CK26" s="243"/>
      <c r="CL26" s="172"/>
      <c r="CM26" s="301"/>
      <c r="CS26" s="243"/>
      <c r="CT26" s="172"/>
      <c r="CV26" s="12"/>
      <c r="DA26" s="257"/>
      <c r="DB26" s="257"/>
      <c r="DC26" s="15"/>
      <c r="DD26" s="12"/>
      <c r="DI26" s="243"/>
      <c r="DJ26" s="172"/>
      <c r="DK26" s="302"/>
      <c r="DL26" s="12"/>
      <c r="DQ26" s="243"/>
      <c r="DS26" s="302"/>
      <c r="DY26" s="172">
        <v>0</v>
      </c>
      <c r="DZ26" s="172">
        <v>0</v>
      </c>
      <c r="EB26" s="142"/>
      <c r="EG26" s="172">
        <f>EH26/70</f>
        <v>4527.5714285714284</v>
      </c>
      <c r="EH26" s="172">
        <v>316930</v>
      </c>
      <c r="EI26" s="143"/>
      <c r="EJ26" s="142"/>
      <c r="EO26" s="172">
        <f>EP26/70</f>
        <v>0</v>
      </c>
      <c r="EQ26" s="143"/>
      <c r="ER26" s="142"/>
      <c r="EY26" s="143"/>
      <c r="EZ26" s="142"/>
      <c r="FG26" s="143"/>
      <c r="FO26" s="15"/>
      <c r="FZ26" s="319"/>
      <c r="GC26" s="32"/>
      <c r="GD26" s="32"/>
      <c r="GE26" s="32"/>
      <c r="GF26" s="32"/>
      <c r="GG26" s="32"/>
      <c r="GH26" s="32"/>
      <c r="GI26" s="273"/>
      <c r="GJ26" s="321"/>
      <c r="GK26" s="321"/>
      <c r="GL26" s="321"/>
      <c r="GM26" s="321"/>
      <c r="GN26" s="321"/>
      <c r="GO26" s="321"/>
      <c r="GP26" s="321"/>
      <c r="GQ26" s="32"/>
      <c r="GR26" s="32"/>
      <c r="GS26" s="321"/>
      <c r="GT26" s="12"/>
      <c r="HB26" s="172"/>
      <c r="HC26" s="15"/>
      <c r="HD26" s="12"/>
      <c r="HI26" s="171">
        <f t="shared" si="298"/>
        <v>4527.5714285714284</v>
      </c>
      <c r="HJ26" s="171">
        <f t="shared" si="298"/>
        <v>316930</v>
      </c>
      <c r="HK26" s="15"/>
      <c r="HL26" s="12"/>
      <c r="HQ26" s="8"/>
      <c r="HR26" s="8"/>
      <c r="HS26" s="15"/>
      <c r="HT26" s="12"/>
      <c r="HY26" s="171">
        <f t="shared" si="299"/>
        <v>4527.5714285714284</v>
      </c>
      <c r="HZ26" s="171">
        <f t="shared" si="299"/>
        <v>316930</v>
      </c>
      <c r="IA26" s="15"/>
      <c r="IB26" s="12"/>
      <c r="IG26" s="171">
        <f t="shared" si="300"/>
        <v>0</v>
      </c>
      <c r="IH26" s="171">
        <f t="shared" si="300"/>
        <v>0</v>
      </c>
      <c r="II26" s="15"/>
      <c r="IJ26" s="12"/>
      <c r="IO26" s="171">
        <f t="shared" si="301"/>
        <v>0</v>
      </c>
      <c r="IP26" s="171">
        <f t="shared" si="301"/>
        <v>0</v>
      </c>
      <c r="IQ26" s="15"/>
      <c r="IS26" s="12"/>
      <c r="JB26" s="15"/>
      <c r="JC26" s="19"/>
      <c r="JL26" s="15"/>
      <c r="JW26" s="12"/>
      <c r="KF26" s="15"/>
      <c r="KG26" s="19"/>
      <c r="KP26" s="15"/>
      <c r="KQ26" s="12"/>
      <c r="KZ26" s="15"/>
      <c r="LA26" s="12"/>
      <c r="LH26" s="179">
        <f>LI26/80</f>
        <v>694.4375</v>
      </c>
      <c r="LI26" s="1">
        <v>55555</v>
      </c>
      <c r="LJ26" s="15"/>
      <c r="LK26" s="12"/>
      <c r="LR26" s="179">
        <f>LS26/80</f>
        <v>0</v>
      </c>
      <c r="LS26" s="172">
        <v>0</v>
      </c>
      <c r="LT26" s="15"/>
      <c r="LU26" s="177"/>
      <c r="MB26" s="179">
        <f>MC26/80</f>
        <v>0</v>
      </c>
      <c r="MC26" s="172">
        <v>0</v>
      </c>
      <c r="MD26" s="15"/>
      <c r="ME26" s="177"/>
      <c r="ML26" s="179">
        <f>MM26/80</f>
        <v>0</v>
      </c>
      <c r="MM26" s="172">
        <v>0</v>
      </c>
      <c r="MN26" s="15"/>
      <c r="MO26" s="12"/>
      <c r="MV26" s="179">
        <f>MW26/80</f>
        <v>0</v>
      </c>
      <c r="MW26" s="329">
        <v>0</v>
      </c>
      <c r="MY26" s="12"/>
      <c r="NF26" s="329">
        <v>0</v>
      </c>
      <c r="NG26" s="329">
        <v>0</v>
      </c>
      <c r="NH26" s="15"/>
      <c r="NN26" s="16">
        <f t="shared" si="302"/>
        <v>694.4375</v>
      </c>
      <c r="NO26" s="16">
        <f t="shared" si="291"/>
        <v>55555</v>
      </c>
      <c r="NP26" s="17"/>
      <c r="NQ26" s="12"/>
      <c r="NV26" s="16">
        <f t="shared" si="303"/>
        <v>0</v>
      </c>
      <c r="NW26" s="16">
        <f t="shared" si="292"/>
        <v>0</v>
      </c>
      <c r="NX26" s="17"/>
      <c r="NY26" s="256"/>
      <c r="OD26" s="172">
        <f t="shared" si="293"/>
        <v>0</v>
      </c>
      <c r="OE26" s="172">
        <f t="shared" si="293"/>
        <v>0</v>
      </c>
      <c r="OF26" s="17"/>
      <c r="OG26" s="12"/>
      <c r="OL26" s="172">
        <f t="shared" si="294"/>
        <v>694.4375</v>
      </c>
      <c r="OM26" s="172">
        <f t="shared" si="294"/>
        <v>55555</v>
      </c>
      <c r="OO26" s="12"/>
      <c r="OT26" s="16">
        <f t="shared" si="295"/>
        <v>0</v>
      </c>
      <c r="OU26" s="16">
        <f t="shared" si="295"/>
        <v>0</v>
      </c>
      <c r="OV26" s="15"/>
      <c r="OX26" s="12"/>
      <c r="PE26" s="329">
        <v>0</v>
      </c>
      <c r="PF26" s="329">
        <v>0</v>
      </c>
      <c r="PG26" s="15"/>
      <c r="PH26" s="19"/>
      <c r="PQ26" s="15"/>
      <c r="QB26" s="12"/>
      <c r="QJ26" s="172"/>
      <c r="QK26" s="15"/>
      <c r="QL26" s="19"/>
      <c r="QU26" s="15"/>
      <c r="QV26" s="12"/>
      <c r="QY26" s="172"/>
      <c r="RC26" s="172"/>
      <c r="RE26" s="15"/>
      <c r="RF26" s="12"/>
      <c r="RM26" s="178">
        <f>RN26/80</f>
        <v>0</v>
      </c>
      <c r="RO26" s="15"/>
      <c r="RP26" s="12"/>
      <c r="RW26" s="179">
        <f>RX26/75</f>
        <v>0</v>
      </c>
      <c r="RX26" s="172">
        <v>0</v>
      </c>
      <c r="RY26" s="15"/>
      <c r="RZ26" s="177"/>
      <c r="SA26" s="171"/>
      <c r="SB26" s="14"/>
      <c r="SC26" s="171"/>
      <c r="SG26" s="179">
        <f>SH26/75</f>
        <v>0</v>
      </c>
      <c r="SH26" s="172">
        <v>0</v>
      </c>
      <c r="SI26" s="15"/>
      <c r="SJ26" s="177"/>
      <c r="SK26" s="171"/>
      <c r="SL26" s="171"/>
      <c r="SM26" s="171"/>
      <c r="SN26" s="171"/>
      <c r="SO26" s="171"/>
      <c r="SP26" s="171"/>
      <c r="SQ26" s="178">
        <f>SR26/80</f>
        <v>721.27499999999998</v>
      </c>
      <c r="SR26" s="172">
        <v>57702</v>
      </c>
      <c r="SS26" s="15"/>
      <c r="ST26" s="12"/>
      <c r="TA26" s="179">
        <f>TB26/80</f>
        <v>0</v>
      </c>
      <c r="TB26" s="329">
        <v>0</v>
      </c>
      <c r="TC26" s="15"/>
      <c r="TD26" s="12"/>
      <c r="TK26" s="179">
        <f>TL26/80</f>
        <v>0</v>
      </c>
      <c r="TL26" s="329">
        <v>0</v>
      </c>
      <c r="TM26" s="15"/>
      <c r="TN26" s="12"/>
      <c r="TS26" s="9">
        <f t="shared" si="286"/>
        <v>721.27499999999998</v>
      </c>
      <c r="TT26" s="9">
        <f t="shared" si="286"/>
        <v>57702</v>
      </c>
      <c r="TU26" s="17"/>
      <c r="TV26" s="12"/>
      <c r="UA26" s="16">
        <f t="shared" si="304"/>
        <v>0</v>
      </c>
      <c r="UB26" s="16">
        <f t="shared" si="304"/>
        <v>0</v>
      </c>
      <c r="UC26" s="17"/>
      <c r="UD26" s="256"/>
      <c r="UE26" s="172"/>
      <c r="UI26" s="172">
        <f t="shared" si="305"/>
        <v>0</v>
      </c>
      <c r="UJ26" s="172">
        <f t="shared" si="305"/>
        <v>0</v>
      </c>
      <c r="UK26" s="17"/>
      <c r="UL26" s="12"/>
      <c r="UQ26" s="172">
        <f t="shared" si="287"/>
        <v>0</v>
      </c>
      <c r="UR26" s="172">
        <f t="shared" si="287"/>
        <v>0</v>
      </c>
      <c r="US26" s="15"/>
      <c r="UT26" s="12"/>
      <c r="UY26" s="9">
        <f t="shared" si="296"/>
        <v>721.27499999999998</v>
      </c>
      <c r="UZ26" s="9">
        <f t="shared" si="296"/>
        <v>57702</v>
      </c>
      <c r="VA26" s="15"/>
      <c r="VC26" s="12"/>
      <c r="VI26" s="1"/>
      <c r="VJ26" s="329">
        <v>0</v>
      </c>
      <c r="VK26" s="329">
        <v>0</v>
      </c>
      <c r="VL26" s="15"/>
      <c r="VM26" s="19"/>
      <c r="VT26" s="329">
        <v>0</v>
      </c>
      <c r="VU26" s="329">
        <v>0</v>
      </c>
      <c r="VV26" s="15"/>
      <c r="WD26" s="179">
        <f>WE26/80</f>
        <v>225</v>
      </c>
      <c r="WE26" s="172">
        <v>18000</v>
      </c>
      <c r="WG26" s="12"/>
      <c r="WN26" s="179">
        <f>WO26/80</f>
        <v>237.5</v>
      </c>
      <c r="WO26" s="172">
        <v>19000</v>
      </c>
      <c r="WP26" s="15"/>
      <c r="WQ26" s="19"/>
      <c r="WX26" s="179">
        <f>WY26/80</f>
        <v>100</v>
      </c>
      <c r="WY26" s="172">
        <v>8000</v>
      </c>
      <c r="WZ26" s="15"/>
      <c r="XA26" s="12"/>
      <c r="XD26" s="172"/>
      <c r="XH26" s="172">
        <f>XI26/80</f>
        <v>100</v>
      </c>
      <c r="XI26" s="172">
        <v>8000</v>
      </c>
      <c r="XJ26" s="15"/>
      <c r="XK26" s="12"/>
      <c r="XR26" s="178">
        <f>XS26/80</f>
        <v>225</v>
      </c>
      <c r="XS26" s="172">
        <v>18000</v>
      </c>
      <c r="XT26" s="15"/>
      <c r="XU26" s="12"/>
      <c r="YB26" s="179">
        <f>YC26/75</f>
        <v>106.66666666666667</v>
      </c>
      <c r="YC26" s="172">
        <v>8000</v>
      </c>
      <c r="YD26" s="15"/>
      <c r="YE26" s="177"/>
      <c r="YF26" s="171"/>
      <c r="YG26" s="14"/>
      <c r="YH26" s="171"/>
      <c r="YL26" s="179">
        <f>YM26/75</f>
        <v>280</v>
      </c>
      <c r="YM26" s="172">
        <v>21000</v>
      </c>
      <c r="YN26" s="15"/>
      <c r="YO26" s="177"/>
      <c r="YP26" s="171"/>
      <c r="YQ26" s="171"/>
      <c r="YR26" s="171"/>
      <c r="YS26" s="171"/>
      <c r="YT26" s="171"/>
      <c r="YU26" s="171"/>
      <c r="YV26" s="178">
        <f>YW26/80</f>
        <v>0</v>
      </c>
      <c r="YW26" s="172">
        <v>0</v>
      </c>
      <c r="YX26" s="15"/>
      <c r="YY26" s="12"/>
      <c r="ZF26" s="179">
        <f>ZG26/80</f>
        <v>0</v>
      </c>
      <c r="ZG26" s="329">
        <v>0</v>
      </c>
      <c r="ZH26" s="15"/>
      <c r="ZI26" s="12"/>
      <c r="ZP26" s="179">
        <f>ZQ26/80</f>
        <v>0</v>
      </c>
      <c r="ZQ26" s="172">
        <v>0</v>
      </c>
      <c r="ZR26" s="15"/>
      <c r="ZS26" s="12"/>
      <c r="ZX26" s="9">
        <f t="shared" si="285"/>
        <v>1274.1666666666667</v>
      </c>
      <c r="ZY26" s="9">
        <f t="shared" si="285"/>
        <v>100000</v>
      </c>
      <c r="ZZ26" s="17"/>
      <c r="AAA26" s="12"/>
      <c r="AAF26" s="16">
        <f t="shared" si="297"/>
        <v>225</v>
      </c>
      <c r="AAG26" s="16">
        <f t="shared" si="297"/>
        <v>18000</v>
      </c>
      <c r="AAH26" s="17"/>
      <c r="AAI26" s="256"/>
      <c r="AAJ26" s="172"/>
      <c r="AAN26" s="172">
        <f t="shared" si="306"/>
        <v>437.5</v>
      </c>
      <c r="AAO26" s="172">
        <f t="shared" si="306"/>
        <v>35000</v>
      </c>
      <c r="AAP26" s="17"/>
      <c r="AAQ26" s="12"/>
      <c r="AAV26" s="172">
        <f t="shared" si="288"/>
        <v>611.66666666666674</v>
      </c>
      <c r="AAW26" s="172">
        <f t="shared" si="288"/>
        <v>47000</v>
      </c>
      <c r="AAX26" s="15"/>
      <c r="AAY26" s="12"/>
      <c r="ABD26" s="9">
        <f t="shared" si="289"/>
        <v>0</v>
      </c>
      <c r="ABE26" s="9">
        <f t="shared" si="289"/>
        <v>0</v>
      </c>
      <c r="ABF26" s="15"/>
    </row>
    <row r="27" spans="1:737" hidden="1" x14ac:dyDescent="0.3">
      <c r="A27" s="12"/>
      <c r="D27" s="12"/>
      <c r="K27" s="15"/>
      <c r="S27" s="15"/>
      <c r="AA27" s="15"/>
      <c r="AI27" s="15"/>
      <c r="AQ27" s="15"/>
      <c r="AY27" s="15"/>
      <c r="BG27" s="15"/>
      <c r="BP27" s="12"/>
      <c r="BW27" s="15"/>
      <c r="CD27" s="172"/>
      <c r="CF27" s="12"/>
      <c r="CL27" s="172"/>
      <c r="CM27" s="301"/>
      <c r="CV27" s="12"/>
      <c r="DA27" s="257">
        <f t="shared" si="290"/>
        <v>0</v>
      </c>
      <c r="DB27" s="257">
        <f t="shared" si="290"/>
        <v>0</v>
      </c>
      <c r="DC27" s="15"/>
      <c r="DD27" s="12"/>
      <c r="DK27" s="302"/>
      <c r="DL27" s="12"/>
      <c r="DS27" s="302"/>
      <c r="DY27" s="172"/>
      <c r="EB27" s="142"/>
      <c r="EI27" s="143"/>
      <c r="EJ27" s="142"/>
      <c r="EQ27" s="143"/>
      <c r="ER27" s="142"/>
      <c r="EY27" s="143"/>
      <c r="EZ27" s="142"/>
      <c r="FG27" s="143"/>
      <c r="FO27" s="15"/>
      <c r="FZ27" s="319"/>
      <c r="GC27" s="32"/>
      <c r="GD27" s="32"/>
      <c r="GE27" s="32"/>
      <c r="GF27" s="32"/>
      <c r="GG27" s="32"/>
      <c r="GH27" s="32"/>
      <c r="GI27" s="273"/>
      <c r="GJ27" s="321"/>
      <c r="GK27" s="321"/>
      <c r="GL27" s="321"/>
      <c r="GM27" s="321"/>
      <c r="GN27" s="321"/>
      <c r="GO27" s="321"/>
      <c r="GP27" s="321"/>
      <c r="GQ27" s="32"/>
      <c r="GR27" s="32"/>
      <c r="GS27" s="321"/>
      <c r="GT27" s="12"/>
      <c r="HB27" s="172"/>
      <c r="HC27" s="15"/>
      <c r="HD27" s="12"/>
      <c r="HI27" s="171">
        <f t="shared" si="298"/>
        <v>0</v>
      </c>
      <c r="HJ27" s="171">
        <f t="shared" si="298"/>
        <v>0</v>
      </c>
      <c r="HK27" s="15"/>
      <c r="HL27" s="12"/>
      <c r="HQ27" s="8">
        <f t="shared" ref="HQ27:HR34" si="307">DI27+DQ27+DY27</f>
        <v>0</v>
      </c>
      <c r="HR27" s="8">
        <f t="shared" si="307"/>
        <v>0</v>
      </c>
      <c r="HS27" s="15"/>
      <c r="HT27" s="12"/>
      <c r="HY27" s="171">
        <f t="shared" si="299"/>
        <v>0</v>
      </c>
      <c r="HZ27" s="171">
        <f t="shared" si="299"/>
        <v>0</v>
      </c>
      <c r="IA27" s="15"/>
      <c r="IB27" s="12"/>
      <c r="IG27" s="171">
        <f t="shared" si="300"/>
        <v>0</v>
      </c>
      <c r="IH27" s="171">
        <f t="shared" si="300"/>
        <v>0</v>
      </c>
      <c r="II27" s="15"/>
      <c r="IJ27" s="12"/>
      <c r="IO27" s="171">
        <f t="shared" si="301"/>
        <v>0</v>
      </c>
      <c r="IP27" s="171">
        <f t="shared" si="301"/>
        <v>0</v>
      </c>
      <c r="IQ27" s="15"/>
      <c r="IS27" s="12"/>
      <c r="JB27" s="15"/>
      <c r="JC27" s="19"/>
      <c r="JL27" s="15"/>
      <c r="JW27" s="12"/>
      <c r="KF27" s="15"/>
      <c r="KG27" s="19"/>
      <c r="KP27" s="15"/>
      <c r="KQ27" s="12"/>
      <c r="KZ27" s="15"/>
      <c r="LA27" s="12"/>
      <c r="LJ27" s="15"/>
      <c r="LK27" s="12"/>
      <c r="LT27" s="15"/>
      <c r="LU27" s="177"/>
      <c r="MD27" s="15"/>
      <c r="ME27" s="177"/>
      <c r="MN27" s="15"/>
      <c r="MO27" s="12"/>
      <c r="MY27" s="12"/>
      <c r="NF27" s="329"/>
      <c r="NG27" s="329"/>
      <c r="NH27" s="15"/>
      <c r="NN27" s="16">
        <f t="shared" si="302"/>
        <v>0</v>
      </c>
      <c r="NO27" s="16">
        <f t="shared" si="291"/>
        <v>0</v>
      </c>
      <c r="NP27" s="17"/>
      <c r="NQ27" s="12"/>
      <c r="NV27" s="16">
        <f t="shared" si="303"/>
        <v>0</v>
      </c>
      <c r="NW27" s="16">
        <f t="shared" si="292"/>
        <v>0</v>
      </c>
      <c r="NX27" s="17"/>
      <c r="NY27" s="256"/>
      <c r="OD27" s="172">
        <f t="shared" si="293"/>
        <v>0</v>
      </c>
      <c r="OE27" s="172">
        <f t="shared" si="293"/>
        <v>0</v>
      </c>
      <c r="OF27" s="17"/>
      <c r="OG27" s="12"/>
      <c r="OL27" s="172">
        <f t="shared" si="294"/>
        <v>0</v>
      </c>
      <c r="OM27" s="172">
        <f t="shared" si="294"/>
        <v>0</v>
      </c>
      <c r="OO27" s="12"/>
      <c r="OT27" s="16">
        <f t="shared" si="295"/>
        <v>0</v>
      </c>
      <c r="OU27" s="16">
        <f t="shared" si="295"/>
        <v>0</v>
      </c>
      <c r="OV27" s="15"/>
      <c r="OX27" s="12"/>
      <c r="PG27" s="15"/>
      <c r="PH27" s="19"/>
      <c r="PQ27" s="15"/>
      <c r="QB27" s="12"/>
      <c r="QJ27" s="172"/>
      <c r="QK27" s="15"/>
      <c r="QL27" s="19"/>
      <c r="QU27" s="15"/>
      <c r="QV27" s="12"/>
      <c r="QY27" s="172"/>
      <c r="RC27" s="172"/>
      <c r="RE27" s="15"/>
      <c r="RF27" s="12"/>
      <c r="RO27" s="15"/>
      <c r="RP27" s="12"/>
      <c r="RY27" s="15"/>
      <c r="RZ27" s="177"/>
      <c r="SA27" s="171"/>
      <c r="SB27" s="14"/>
      <c r="SC27" s="171"/>
      <c r="SI27" s="15"/>
      <c r="SJ27" s="177"/>
      <c r="SK27" s="171"/>
      <c r="SL27" s="171"/>
      <c r="SM27" s="171"/>
      <c r="SN27" s="171"/>
      <c r="SO27" s="171"/>
      <c r="SP27" s="171"/>
      <c r="SS27" s="15"/>
      <c r="ST27" s="12"/>
      <c r="TC27" s="15"/>
      <c r="TD27" s="12"/>
      <c r="TM27" s="15"/>
      <c r="TN27" s="12"/>
      <c r="TS27" s="9">
        <f t="shared" si="286"/>
        <v>0</v>
      </c>
      <c r="TT27" s="9">
        <f t="shared" si="286"/>
        <v>0</v>
      </c>
      <c r="TU27" s="17"/>
      <c r="TV27" s="12"/>
      <c r="UA27" s="16">
        <f t="shared" si="304"/>
        <v>0</v>
      </c>
      <c r="UB27" s="16">
        <f t="shared" si="304"/>
        <v>0</v>
      </c>
      <c r="UC27" s="17"/>
      <c r="UD27" s="256"/>
      <c r="UE27" s="172"/>
      <c r="UI27" s="172">
        <f t="shared" si="305"/>
        <v>0</v>
      </c>
      <c r="UJ27" s="172">
        <f t="shared" si="305"/>
        <v>0</v>
      </c>
      <c r="UK27" s="17"/>
      <c r="UL27" s="12"/>
      <c r="UQ27" s="172">
        <f t="shared" si="287"/>
        <v>0</v>
      </c>
      <c r="UR27" s="172">
        <f t="shared" si="287"/>
        <v>0</v>
      </c>
      <c r="US27" s="15"/>
      <c r="UT27" s="12"/>
      <c r="UY27" s="9">
        <f t="shared" si="296"/>
        <v>0</v>
      </c>
      <c r="UZ27" s="9">
        <f t="shared" si="296"/>
        <v>0</v>
      </c>
      <c r="VA27" s="15"/>
      <c r="VC27" s="12"/>
      <c r="VI27" s="1"/>
      <c r="VJ27" s="1"/>
      <c r="VL27" s="15"/>
      <c r="VM27" s="19"/>
      <c r="VV27" s="15"/>
      <c r="WD27" s="179">
        <f>WE27/80</f>
        <v>0</v>
      </c>
      <c r="WG27" s="12"/>
      <c r="WO27" s="172"/>
      <c r="WP27" s="15"/>
      <c r="WQ27" s="19"/>
      <c r="WZ27" s="15"/>
      <c r="XA27" s="12"/>
      <c r="XD27" s="172"/>
      <c r="XH27" s="172"/>
      <c r="XI27" s="172"/>
      <c r="XJ27" s="15"/>
      <c r="XK27" s="12"/>
      <c r="XT27" s="15"/>
      <c r="XU27" s="12"/>
      <c r="YD27" s="15"/>
      <c r="YE27" s="177"/>
      <c r="YF27" s="171"/>
      <c r="YG27" s="14"/>
      <c r="YH27" s="171"/>
      <c r="YN27" s="15"/>
      <c r="YO27" s="177"/>
      <c r="YP27" s="171"/>
      <c r="YQ27" s="171"/>
      <c r="YR27" s="171"/>
      <c r="YS27" s="171"/>
      <c r="YT27" s="171"/>
      <c r="YU27" s="171"/>
      <c r="YX27" s="15"/>
      <c r="YY27" s="12"/>
      <c r="ZH27" s="15"/>
      <c r="ZI27" s="12"/>
      <c r="ZR27" s="15"/>
      <c r="ZS27" s="12"/>
      <c r="ZX27" s="9">
        <f t="shared" si="285"/>
        <v>0</v>
      </c>
      <c r="ZY27" s="9">
        <f t="shared" si="285"/>
        <v>0</v>
      </c>
      <c r="ZZ27" s="17"/>
      <c r="AAA27" s="12"/>
      <c r="AAF27" s="16">
        <f t="shared" si="297"/>
        <v>0</v>
      </c>
      <c r="AAG27" s="16">
        <f t="shared" si="297"/>
        <v>0</v>
      </c>
      <c r="AAH27" s="17"/>
      <c r="AAI27" s="256"/>
      <c r="AAJ27" s="172"/>
      <c r="AAN27" s="172">
        <f t="shared" si="306"/>
        <v>0</v>
      </c>
      <c r="AAO27" s="172">
        <f t="shared" si="306"/>
        <v>0</v>
      </c>
      <c r="AAP27" s="17"/>
      <c r="AAQ27" s="12"/>
      <c r="AAV27" s="172">
        <f t="shared" si="288"/>
        <v>0</v>
      </c>
      <c r="AAW27" s="172">
        <f t="shared" si="288"/>
        <v>0</v>
      </c>
      <c r="AAX27" s="15"/>
      <c r="AAY27" s="12"/>
      <c r="ABD27" s="9">
        <f t="shared" si="289"/>
        <v>0</v>
      </c>
      <c r="ABE27" s="9">
        <f t="shared" si="289"/>
        <v>0</v>
      </c>
      <c r="ABF27" s="15"/>
    </row>
    <row r="28" spans="1:737" x14ac:dyDescent="0.3">
      <c r="A28" s="12"/>
      <c r="B28" s="4141" t="s">
        <v>461</v>
      </c>
      <c r="C28" s="27"/>
      <c r="D28" s="12"/>
      <c r="K28" s="15"/>
      <c r="S28" s="15"/>
      <c r="Z28" s="244">
        <f>Y28*70</f>
        <v>0</v>
      </c>
      <c r="AA28" s="15"/>
      <c r="AI28" s="15"/>
      <c r="AQ28" s="15"/>
      <c r="AX28" s="244">
        <f t="shared" ref="AX28:AX45" si="308">AW28*70</f>
        <v>0</v>
      </c>
      <c r="AY28" s="15"/>
      <c r="BF28" s="244"/>
      <c r="BG28" s="15"/>
      <c r="BN28" s="244"/>
      <c r="BP28" s="12"/>
      <c r="BW28" s="15"/>
      <c r="CD28" s="172"/>
      <c r="CF28" s="12"/>
      <c r="CL28" s="172"/>
      <c r="CM28" s="301"/>
      <c r="CV28" s="12"/>
      <c r="DA28" s="257">
        <f t="shared" si="290"/>
        <v>0</v>
      </c>
      <c r="DB28" s="257">
        <f t="shared" si="290"/>
        <v>0</v>
      </c>
      <c r="DC28" s="15"/>
      <c r="DD28" s="12"/>
      <c r="DK28" s="302"/>
      <c r="DL28" s="12"/>
      <c r="DS28" s="302"/>
      <c r="DY28" s="172"/>
      <c r="DZ28" s="172">
        <f>DY28*70</f>
        <v>0</v>
      </c>
      <c r="EB28" s="142"/>
      <c r="EI28" s="143"/>
      <c r="EJ28" s="142"/>
      <c r="EQ28" s="143"/>
      <c r="ER28" s="142"/>
      <c r="EY28" s="143"/>
      <c r="EZ28" s="142"/>
      <c r="FG28" s="143"/>
      <c r="FO28" s="15"/>
      <c r="FZ28" s="319"/>
      <c r="GC28" s="32"/>
      <c r="GD28" s="32"/>
      <c r="GE28" s="32"/>
      <c r="GF28" s="32"/>
      <c r="GG28" s="32"/>
      <c r="GH28" s="32"/>
      <c r="GI28" s="273"/>
      <c r="GJ28" s="321"/>
      <c r="GK28" s="321"/>
      <c r="GL28" s="321"/>
      <c r="GM28" s="321"/>
      <c r="GN28" s="321"/>
      <c r="GO28" s="321"/>
      <c r="GP28" s="321"/>
      <c r="GQ28" s="32"/>
      <c r="GR28" s="32"/>
      <c r="GS28" s="321"/>
      <c r="GT28" s="12"/>
      <c r="HB28" s="172"/>
      <c r="HC28" s="15"/>
      <c r="HD28" s="12"/>
      <c r="HI28" s="171">
        <f t="shared" si="298"/>
        <v>0</v>
      </c>
      <c r="HJ28" s="171">
        <f t="shared" si="298"/>
        <v>0</v>
      </c>
      <c r="HK28" s="15"/>
      <c r="HL28" s="12"/>
      <c r="HQ28" s="8">
        <f t="shared" si="307"/>
        <v>0</v>
      </c>
      <c r="HR28" s="8">
        <f t="shared" si="307"/>
        <v>0</v>
      </c>
      <c r="HS28" s="15"/>
      <c r="HT28" s="12"/>
      <c r="HY28" s="171">
        <f t="shared" si="299"/>
        <v>0</v>
      </c>
      <c r="HZ28" s="171">
        <f t="shared" si="299"/>
        <v>0</v>
      </c>
      <c r="IA28" s="15"/>
      <c r="IB28" s="12"/>
      <c r="IG28" s="171">
        <f t="shared" si="300"/>
        <v>0</v>
      </c>
      <c r="IH28" s="171">
        <f t="shared" si="300"/>
        <v>0</v>
      </c>
      <c r="II28" s="15"/>
      <c r="IJ28" s="12"/>
      <c r="IO28" s="171">
        <f t="shared" si="301"/>
        <v>0</v>
      </c>
      <c r="IP28" s="171">
        <f t="shared" si="301"/>
        <v>0</v>
      </c>
      <c r="IQ28" s="15"/>
      <c r="IS28" s="12"/>
      <c r="JB28" s="15"/>
      <c r="JC28" s="19"/>
      <c r="JL28" s="15"/>
      <c r="JW28" s="12"/>
      <c r="KF28" s="15"/>
      <c r="KG28" s="19"/>
      <c r="KP28" s="15"/>
      <c r="KQ28" s="12"/>
      <c r="KY28" s="178"/>
      <c r="KZ28" s="15"/>
      <c r="LA28" s="12"/>
      <c r="LJ28" s="15"/>
      <c r="LK28" s="12"/>
      <c r="LT28" s="15"/>
      <c r="LU28" s="177"/>
      <c r="MD28" s="15"/>
      <c r="ME28" s="177"/>
      <c r="MN28" s="15"/>
      <c r="MO28" s="12"/>
      <c r="MY28" s="12"/>
      <c r="NH28" s="15"/>
      <c r="NN28" s="16">
        <f t="shared" si="302"/>
        <v>0</v>
      </c>
      <c r="NO28" s="16">
        <f t="shared" si="291"/>
        <v>0</v>
      </c>
      <c r="NP28" s="17"/>
      <c r="NQ28" s="12"/>
      <c r="NV28" s="16">
        <f t="shared" si="303"/>
        <v>0</v>
      </c>
      <c r="NW28" s="16">
        <f t="shared" si="292"/>
        <v>0</v>
      </c>
      <c r="NX28" s="17"/>
      <c r="NY28" s="256"/>
      <c r="OD28" s="172">
        <f t="shared" si="293"/>
        <v>0</v>
      </c>
      <c r="OE28" s="172">
        <f t="shared" si="293"/>
        <v>0</v>
      </c>
      <c r="OF28" s="17"/>
      <c r="OG28" s="12"/>
      <c r="OL28" s="172">
        <f t="shared" si="294"/>
        <v>0</v>
      </c>
      <c r="OM28" s="172">
        <f t="shared" si="294"/>
        <v>0</v>
      </c>
      <c r="OO28" s="12"/>
      <c r="OT28" s="16">
        <f t="shared" si="295"/>
        <v>0</v>
      </c>
      <c r="OU28" s="16">
        <f t="shared" si="295"/>
        <v>0</v>
      </c>
      <c r="OV28" s="15"/>
      <c r="OX28" s="12"/>
      <c r="PG28" s="15"/>
      <c r="PH28" s="19"/>
      <c r="PQ28" s="15"/>
      <c r="QB28" s="12"/>
      <c r="QJ28" s="172"/>
      <c r="QK28" s="15"/>
      <c r="QL28" s="19"/>
      <c r="QU28" s="15"/>
      <c r="QV28" s="12"/>
      <c r="QY28" s="172"/>
      <c r="RC28" s="172"/>
      <c r="RD28" s="178"/>
      <c r="RE28" s="15"/>
      <c r="RF28" s="12"/>
      <c r="RO28" s="15"/>
      <c r="RP28" s="12"/>
      <c r="RY28" s="15"/>
      <c r="RZ28" s="177"/>
      <c r="SA28" s="171"/>
      <c r="SB28" s="14"/>
      <c r="SC28" s="171"/>
      <c r="SG28" s="329">
        <v>0</v>
      </c>
      <c r="SH28" s="329">
        <v>0</v>
      </c>
      <c r="SI28" s="15"/>
      <c r="SJ28" s="177"/>
      <c r="SK28" s="171"/>
      <c r="SL28" s="171"/>
      <c r="SM28" s="171"/>
      <c r="SN28" s="171"/>
      <c r="SO28" s="171"/>
      <c r="SP28" s="171"/>
      <c r="SS28" s="15"/>
      <c r="ST28" s="12"/>
      <c r="TC28" s="15"/>
      <c r="TD28" s="12"/>
      <c r="TM28" s="15"/>
      <c r="TN28" s="12"/>
      <c r="TS28" s="9">
        <f t="shared" si="286"/>
        <v>0</v>
      </c>
      <c r="TT28" s="9">
        <f t="shared" si="286"/>
        <v>0</v>
      </c>
      <c r="TU28" s="17"/>
      <c r="TV28" s="12"/>
      <c r="UA28" s="16">
        <f t="shared" si="304"/>
        <v>0</v>
      </c>
      <c r="UB28" s="16">
        <f t="shared" si="304"/>
        <v>0</v>
      </c>
      <c r="UC28" s="17"/>
      <c r="UD28" s="256"/>
      <c r="UE28" s="172"/>
      <c r="UI28" s="172">
        <f t="shared" si="305"/>
        <v>0</v>
      </c>
      <c r="UJ28" s="172">
        <f t="shared" si="305"/>
        <v>0</v>
      </c>
      <c r="UK28" s="17"/>
      <c r="UL28" s="12"/>
      <c r="UQ28" s="172">
        <f t="shared" si="287"/>
        <v>0</v>
      </c>
      <c r="UR28" s="172">
        <f t="shared" si="287"/>
        <v>0</v>
      </c>
      <c r="US28" s="15"/>
      <c r="UT28" s="12"/>
      <c r="UY28" s="9">
        <f t="shared" si="296"/>
        <v>0</v>
      </c>
      <c r="UZ28" s="9">
        <f t="shared" si="296"/>
        <v>0</v>
      </c>
      <c r="VA28" s="15"/>
      <c r="VC28" s="12"/>
      <c r="VI28" s="1"/>
      <c r="VJ28" s="1"/>
      <c r="VL28" s="15"/>
      <c r="VM28" s="19"/>
      <c r="VV28" s="15"/>
      <c r="WG28" s="12"/>
      <c r="WO28" s="172"/>
      <c r="WP28" s="15"/>
      <c r="WQ28" s="19"/>
      <c r="WZ28" s="15"/>
      <c r="XA28" s="12"/>
      <c r="XD28" s="172"/>
      <c r="XH28" s="172"/>
      <c r="XI28" s="178"/>
      <c r="XJ28" s="15"/>
      <c r="XK28" s="12"/>
      <c r="XT28" s="15"/>
      <c r="XU28" s="12"/>
      <c r="YD28" s="15"/>
      <c r="YE28" s="177"/>
      <c r="YF28" s="171"/>
      <c r="YG28" s="14"/>
      <c r="YH28" s="171"/>
      <c r="YL28" s="329"/>
      <c r="YM28" s="329"/>
      <c r="YN28" s="15"/>
      <c r="YO28" s="177"/>
      <c r="YP28" s="171"/>
      <c r="YQ28" s="171"/>
      <c r="YR28" s="171"/>
      <c r="YS28" s="171"/>
      <c r="YT28" s="171"/>
      <c r="YU28" s="171"/>
      <c r="YX28" s="15"/>
      <c r="YY28" s="12"/>
      <c r="ZH28" s="15"/>
      <c r="ZI28" s="12"/>
      <c r="ZR28" s="15"/>
      <c r="ZS28" s="12"/>
      <c r="ZX28" s="9">
        <f t="shared" si="285"/>
        <v>0</v>
      </c>
      <c r="ZY28" s="9">
        <f t="shared" si="285"/>
        <v>0</v>
      </c>
      <c r="ZZ28" s="17"/>
      <c r="AAA28" s="12"/>
      <c r="AAF28" s="16">
        <f t="shared" si="297"/>
        <v>0</v>
      </c>
      <c r="AAG28" s="16">
        <f t="shared" si="297"/>
        <v>0</v>
      </c>
      <c r="AAH28" s="17"/>
      <c r="AAI28" s="256"/>
      <c r="AAJ28" s="172"/>
      <c r="AAN28" s="172">
        <f t="shared" si="306"/>
        <v>0</v>
      </c>
      <c r="AAO28" s="172">
        <f t="shared" si="306"/>
        <v>0</v>
      </c>
      <c r="AAP28" s="17"/>
      <c r="AAQ28" s="12"/>
      <c r="AAV28" s="172">
        <f t="shared" si="288"/>
        <v>0</v>
      </c>
      <c r="AAW28" s="172">
        <f t="shared" si="288"/>
        <v>0</v>
      </c>
      <c r="AAX28" s="15"/>
      <c r="AAY28" s="12"/>
      <c r="ABD28" s="9">
        <f t="shared" si="289"/>
        <v>0</v>
      </c>
      <c r="ABE28" s="9">
        <f t="shared" si="289"/>
        <v>0</v>
      </c>
      <c r="ABF28" s="15"/>
    </row>
    <row r="29" spans="1:737" hidden="1" x14ac:dyDescent="0.3">
      <c r="A29" s="12"/>
      <c r="B29" s="32" t="s">
        <v>462</v>
      </c>
      <c r="C29" s="32"/>
      <c r="D29" s="12"/>
      <c r="I29" s="244">
        <f>E5*3%</f>
        <v>13002.449999999999</v>
      </c>
      <c r="J29" s="244">
        <f>I29*70</f>
        <v>910171.49999999988</v>
      </c>
      <c r="K29" s="15"/>
      <c r="Q29" s="243">
        <f>M5*3%</f>
        <v>10557.06</v>
      </c>
      <c r="R29" s="244">
        <f>Q29*70</f>
        <v>738994.2</v>
      </c>
      <c r="S29" s="15"/>
      <c r="Y29" s="243">
        <f>U5*3%+138350</f>
        <v>149057.09</v>
      </c>
      <c r="Z29" s="244">
        <f t="shared" ref="Z29:Z44" si="309">Y29*70</f>
        <v>10433996.299999999</v>
      </c>
      <c r="AA29" s="15"/>
      <c r="AG29" s="172">
        <f>AC5*3%</f>
        <v>10497.69</v>
      </c>
      <c r="AH29" s="244">
        <f t="shared" ref="AH29:AH44" si="310">AG29*70</f>
        <v>734838.3</v>
      </c>
      <c r="AI29" s="15"/>
      <c r="AO29" s="243">
        <f>AK5*3%</f>
        <v>10287.449999999999</v>
      </c>
      <c r="AP29" s="244">
        <f t="shared" ref="AP29:AP44" si="311">AO29*70</f>
        <v>720121.49999999988</v>
      </c>
      <c r="AQ29" s="15"/>
      <c r="AW29" s="243">
        <f>AS5*3%</f>
        <v>10069.26</v>
      </c>
      <c r="AX29" s="244">
        <f t="shared" si="308"/>
        <v>704848.20000000007</v>
      </c>
      <c r="AY29" s="15"/>
      <c r="BE29" s="172">
        <f>BA5*3%</f>
        <v>9993.84</v>
      </c>
      <c r="BF29" s="244">
        <f t="shared" ref="BF29:BF44" si="312">BE29*70</f>
        <v>699568.8</v>
      </c>
      <c r="BG29" s="15"/>
      <c r="BM29" s="172">
        <f>BI5*3%</f>
        <v>8312.0399999999991</v>
      </c>
      <c r="BN29" s="244">
        <f t="shared" ref="BN29:BN44" si="313">BM29*70</f>
        <v>581842.79999999993</v>
      </c>
      <c r="BP29" s="12"/>
      <c r="BU29" s="172">
        <f>BQ5*3%</f>
        <v>9461.67</v>
      </c>
      <c r="BV29" s="244">
        <f t="shared" ref="BV29:BV44" si="314">BU29*70</f>
        <v>662316.9</v>
      </c>
      <c r="BW29" s="15"/>
      <c r="CC29" s="243">
        <f>BY5*3%</f>
        <v>9213.84</v>
      </c>
      <c r="CD29" s="172">
        <f>BZ5*3%</f>
        <v>644968.79999999993</v>
      </c>
      <c r="CF29" s="12"/>
      <c r="CK29" s="243">
        <f>CG5*3%</f>
        <v>9283.98</v>
      </c>
      <c r="CL29" s="172">
        <f>CH5*3%</f>
        <v>649878.6</v>
      </c>
      <c r="CM29" s="301"/>
      <c r="CS29" s="243">
        <f>CO5*3%</f>
        <v>11107.35</v>
      </c>
      <c r="CT29" s="243">
        <f>CP5*3%</f>
        <v>777514.5</v>
      </c>
      <c r="CV29" s="12"/>
      <c r="DA29" s="257">
        <f t="shared" si="290"/>
        <v>260843.72000000006</v>
      </c>
      <c r="DB29" s="257">
        <f t="shared" si="290"/>
        <v>18259060.400000002</v>
      </c>
      <c r="DC29" s="15"/>
      <c r="DD29" s="12"/>
      <c r="DI29" s="243">
        <f>DE5*3%</f>
        <v>10703.16</v>
      </c>
      <c r="DJ29" s="172">
        <f>DI29*70</f>
        <v>749221.2</v>
      </c>
      <c r="DK29" s="302"/>
      <c r="DL29" s="12"/>
      <c r="DQ29" s="172">
        <f>DM5*3%</f>
        <v>9128.91</v>
      </c>
      <c r="DR29" s="172">
        <f>DQ29*70</f>
        <v>639023.69999999995</v>
      </c>
      <c r="DS29" s="302"/>
      <c r="DY29" s="172">
        <f>DU5*3%</f>
        <v>10084.98</v>
      </c>
      <c r="DZ29" s="172">
        <f>DY29*70</f>
        <v>705948.6</v>
      </c>
      <c r="EB29" s="142"/>
      <c r="EG29" s="172">
        <f>EC5*3%</f>
        <v>10631.85</v>
      </c>
      <c r="EH29" s="172">
        <f t="shared" ref="EH29:EH34" si="315">EG29*70</f>
        <v>744229.5</v>
      </c>
      <c r="EI29" s="143"/>
      <c r="EJ29" s="142"/>
      <c r="EO29" s="172">
        <f>EK5*3%</f>
        <v>12004.5</v>
      </c>
      <c r="EP29" s="172">
        <f>EO29*70</f>
        <v>840315</v>
      </c>
      <c r="EQ29" s="143"/>
      <c r="ER29" s="142"/>
      <c r="EW29" s="172">
        <f>ES5*3%</f>
        <v>10910.73</v>
      </c>
      <c r="EX29" s="172">
        <f t="shared" ref="EX29:EX34" si="316">EW29*70</f>
        <v>763751.1</v>
      </c>
      <c r="EY29" s="143"/>
      <c r="EZ29" s="142"/>
      <c r="FE29" s="172">
        <f>FA5*3%</f>
        <v>10172.85</v>
      </c>
      <c r="FF29" s="172">
        <f t="shared" ref="FF29:FF34" si="317">FE29*70</f>
        <v>712099.5</v>
      </c>
      <c r="FG29" s="143"/>
      <c r="FM29" s="172">
        <f>FI5*3%</f>
        <v>9095.5499999999993</v>
      </c>
      <c r="FN29" s="172">
        <f t="shared" ref="FN29:FN34" si="318">FM29*70</f>
        <v>636688.5</v>
      </c>
      <c r="FO29" s="15"/>
      <c r="FW29" s="172">
        <v>0</v>
      </c>
      <c r="FX29" s="172">
        <f t="shared" ref="FX29:FX34" si="319">FW29*70</f>
        <v>0</v>
      </c>
      <c r="FZ29" s="319"/>
      <c r="GC29" s="32"/>
      <c r="GD29" s="32"/>
      <c r="GE29" s="32"/>
      <c r="GF29" s="32"/>
      <c r="GG29" s="172">
        <v>0</v>
      </c>
      <c r="GH29" s="172">
        <f>GG29*70</f>
        <v>0</v>
      </c>
      <c r="GI29" s="273"/>
      <c r="GJ29" s="321"/>
      <c r="GK29" s="321"/>
      <c r="GL29" s="321"/>
      <c r="GM29" s="321"/>
      <c r="GN29" s="321"/>
      <c r="GO29" s="321"/>
      <c r="GP29" s="321"/>
      <c r="GQ29" s="178">
        <v>0</v>
      </c>
      <c r="GR29" s="178">
        <f t="shared" ref="GR29:GR34" si="320">GQ29*70</f>
        <v>0</v>
      </c>
      <c r="GS29" s="321"/>
      <c r="GT29" s="12"/>
      <c r="HA29" s="179">
        <v>0</v>
      </c>
      <c r="HB29" s="178">
        <f>HA29*70</f>
        <v>0</v>
      </c>
      <c r="HC29" s="15"/>
      <c r="HD29" s="12"/>
      <c r="HI29" s="171">
        <f>HA29+GQ29+GG29+FW29+FM29+FE29+EW29+EO29+EG29+DY29+DQ29+DI29+33697</f>
        <v>116429.53000000001</v>
      </c>
      <c r="HJ29" s="171">
        <f>HB29+GR29+GH29+FX29+FN29+FF29+EX29+EP29+EH29+DZ29+DR29+DJ29+2358790</f>
        <v>8150067.1000000006</v>
      </c>
      <c r="HK29" s="15"/>
      <c r="HL29" s="12"/>
      <c r="HQ29" s="8">
        <f t="shared" si="307"/>
        <v>29917.05</v>
      </c>
      <c r="HR29" s="8">
        <f t="shared" si="307"/>
        <v>2094193.5</v>
      </c>
      <c r="HS29" s="15"/>
      <c r="HT29" s="12"/>
      <c r="HY29" s="171">
        <f t="shared" si="299"/>
        <v>33547.08</v>
      </c>
      <c r="HZ29" s="171">
        <f t="shared" si="299"/>
        <v>2348295.6</v>
      </c>
      <c r="IA29" s="15"/>
      <c r="IB29" s="12"/>
      <c r="IG29" s="171">
        <f t="shared" si="300"/>
        <v>19268.400000000001</v>
      </c>
      <c r="IH29" s="171">
        <f t="shared" si="300"/>
        <v>1348788</v>
      </c>
      <c r="II29" s="15"/>
      <c r="IJ29" s="12"/>
      <c r="IO29" s="171">
        <f t="shared" si="301"/>
        <v>0</v>
      </c>
      <c r="IP29" s="171">
        <f t="shared" si="301"/>
        <v>0</v>
      </c>
      <c r="IQ29" s="15"/>
      <c r="IS29" s="12"/>
      <c r="IW29" s="328"/>
      <c r="IX29" s="328"/>
      <c r="IY29" s="328"/>
      <c r="IZ29" s="178">
        <v>0</v>
      </c>
      <c r="JA29" s="178">
        <f>IZ29*75</f>
        <v>0</v>
      </c>
      <c r="JB29" s="15"/>
      <c r="JC29" s="19"/>
      <c r="JJ29" s="178">
        <v>0</v>
      </c>
      <c r="JK29" s="178">
        <f>JJ29*75</f>
        <v>0</v>
      </c>
      <c r="JL29" s="15"/>
      <c r="JT29" s="178">
        <v>0</v>
      </c>
      <c r="JU29" s="178">
        <f>JT29*75</f>
        <v>0</v>
      </c>
      <c r="JW29" s="12"/>
      <c r="KD29" s="178">
        <v>0</v>
      </c>
      <c r="KE29" s="178">
        <f>KD29*75</f>
        <v>0</v>
      </c>
      <c r="KF29" s="15"/>
      <c r="KG29" s="19"/>
      <c r="KN29" s="178">
        <f>KH5*4%</f>
        <v>9263.2000000000007</v>
      </c>
      <c r="KO29" s="178">
        <f>KN29*80</f>
        <v>741056</v>
      </c>
      <c r="KP29" s="15"/>
      <c r="KQ29" s="12"/>
      <c r="KX29" s="178">
        <v>0</v>
      </c>
      <c r="KY29" s="178">
        <f>KX29*75</f>
        <v>0</v>
      </c>
      <c r="KZ29" s="15"/>
      <c r="LA29" s="12"/>
      <c r="LH29" s="178">
        <v>0</v>
      </c>
      <c r="LI29" s="178">
        <f>LH29*75</f>
        <v>0</v>
      </c>
      <c r="LJ29" s="15"/>
      <c r="LK29" s="12"/>
      <c r="LR29" s="178">
        <v>0</v>
      </c>
      <c r="LS29" s="178">
        <f>LR29*75</f>
        <v>0</v>
      </c>
      <c r="LT29" s="15"/>
      <c r="LU29" s="177"/>
      <c r="MB29" s="178">
        <v>0</v>
      </c>
      <c r="MC29" s="178">
        <f>MB29*75</f>
        <v>0</v>
      </c>
      <c r="MD29" s="15"/>
      <c r="ME29" s="177"/>
      <c r="ML29" s="178">
        <v>0</v>
      </c>
      <c r="MM29" s="178">
        <f>ML29*75</f>
        <v>0</v>
      </c>
      <c r="MN29" s="15"/>
      <c r="MO29" s="12"/>
      <c r="MV29" s="178">
        <v>0</v>
      </c>
      <c r="MW29" s="178">
        <f>MV29*75</f>
        <v>0</v>
      </c>
      <c r="MY29" s="12"/>
      <c r="NF29" s="178">
        <v>0</v>
      </c>
      <c r="NG29" s="178">
        <f>NF29*75</f>
        <v>0</v>
      </c>
      <c r="NH29" s="15"/>
      <c r="NN29" s="904">
        <f t="shared" si="302"/>
        <v>9263.2000000000007</v>
      </c>
      <c r="NO29" s="1533">
        <f t="shared" si="291"/>
        <v>741056</v>
      </c>
      <c r="NP29" s="17"/>
      <c r="NQ29" s="12"/>
      <c r="NV29" s="16">
        <f t="shared" si="303"/>
        <v>0</v>
      </c>
      <c r="NW29" s="16">
        <f t="shared" si="292"/>
        <v>0</v>
      </c>
      <c r="NX29" s="17"/>
      <c r="NY29" s="256"/>
      <c r="OD29" s="172">
        <f t="shared" si="293"/>
        <v>9263.2000000000007</v>
      </c>
      <c r="OE29" s="172">
        <f t="shared" si="293"/>
        <v>741056</v>
      </c>
      <c r="OF29" s="17"/>
      <c r="OG29" s="12"/>
      <c r="OL29" s="172">
        <f t="shared" si="294"/>
        <v>0</v>
      </c>
      <c r="OM29" s="172">
        <f t="shared" si="294"/>
        <v>0</v>
      </c>
      <c r="OO29" s="12"/>
      <c r="OT29" s="16">
        <f t="shared" si="295"/>
        <v>0</v>
      </c>
      <c r="OU29" s="16">
        <f t="shared" si="295"/>
        <v>0</v>
      </c>
      <c r="OV29" s="15"/>
      <c r="OX29" s="12"/>
      <c r="PB29" s="328"/>
      <c r="PC29" s="328"/>
      <c r="PD29" s="328"/>
      <c r="PE29" s="178">
        <v>0</v>
      </c>
      <c r="PF29" s="179">
        <f>PE29*80</f>
        <v>0</v>
      </c>
      <c r="PG29" s="15"/>
      <c r="PH29" s="19"/>
      <c r="PO29" s="178">
        <v>0</v>
      </c>
      <c r="PP29" s="179">
        <f>PO29*80</f>
        <v>0</v>
      </c>
      <c r="PQ29" s="15"/>
      <c r="PY29" s="178">
        <v>0</v>
      </c>
      <c r="PZ29" s="179">
        <f>PY29*80</f>
        <v>0</v>
      </c>
      <c r="QB29" s="12"/>
      <c r="QI29" s="178">
        <v>0</v>
      </c>
      <c r="QJ29" s="178">
        <f>QI29*80</f>
        <v>0</v>
      </c>
      <c r="QK29" s="15"/>
      <c r="QL29" s="19"/>
      <c r="QS29" s="178">
        <v>0</v>
      </c>
      <c r="QT29" s="178">
        <f>QS29*80</f>
        <v>0</v>
      </c>
      <c r="QU29" s="15"/>
      <c r="QV29" s="12"/>
      <c r="QY29" s="172"/>
      <c r="RC29" s="178">
        <v>0</v>
      </c>
      <c r="RD29" s="179">
        <f>RC29*80</f>
        <v>0</v>
      </c>
      <c r="RE29" s="15"/>
      <c r="RF29" s="12"/>
      <c r="RM29" s="178">
        <v>0</v>
      </c>
      <c r="RN29" s="178">
        <f>RM29*80</f>
        <v>0</v>
      </c>
      <c r="RO29" s="15"/>
      <c r="RP29" s="12"/>
      <c r="RW29" s="178">
        <v>0</v>
      </c>
      <c r="RX29" s="178">
        <f>RW29*80</f>
        <v>0</v>
      </c>
      <c r="RY29" s="15"/>
      <c r="RZ29" s="177"/>
      <c r="SA29" s="171"/>
      <c r="SB29" s="14"/>
      <c r="SC29" s="171"/>
      <c r="SG29" s="178">
        <v>0</v>
      </c>
      <c r="SH29" s="178">
        <f>SG29*80</f>
        <v>0</v>
      </c>
      <c r="SI29" s="15"/>
      <c r="SJ29" s="177"/>
      <c r="SK29" s="171"/>
      <c r="SL29" s="171"/>
      <c r="SM29" s="171"/>
      <c r="SN29" s="171"/>
      <c r="SO29" s="171"/>
      <c r="SP29" s="171"/>
      <c r="SQ29" s="178">
        <v>0</v>
      </c>
      <c r="SR29" s="178">
        <f t="shared" ref="SR29:SR38" si="321">SQ29*80</f>
        <v>0</v>
      </c>
      <c r="SS29" s="15"/>
      <c r="ST29" s="12"/>
      <c r="TA29" s="178">
        <v>0</v>
      </c>
      <c r="TB29" s="178">
        <f>TA29*80</f>
        <v>0</v>
      </c>
      <c r="TC29" s="15"/>
      <c r="TD29" s="12"/>
      <c r="TK29" s="178">
        <v>0</v>
      </c>
      <c r="TL29" s="178">
        <f>TK29*80</f>
        <v>0</v>
      </c>
      <c r="TM29" s="15"/>
      <c r="TN29" s="12"/>
      <c r="TS29" s="9">
        <f t="shared" si="286"/>
        <v>0</v>
      </c>
      <c r="TT29" s="9">
        <f t="shared" si="286"/>
        <v>0</v>
      </c>
      <c r="TU29" s="17"/>
      <c r="TV29" s="12"/>
      <c r="UA29" s="16">
        <f t="shared" si="304"/>
        <v>0</v>
      </c>
      <c r="UB29" s="16">
        <f t="shared" si="304"/>
        <v>0</v>
      </c>
      <c r="UC29" s="17"/>
      <c r="UD29" s="256"/>
      <c r="UE29" s="172"/>
      <c r="UI29" s="172">
        <f t="shared" si="305"/>
        <v>0</v>
      </c>
      <c r="UJ29" s="172">
        <f t="shared" si="305"/>
        <v>0</v>
      </c>
      <c r="UK29" s="17"/>
      <c r="UL29" s="12"/>
      <c r="UQ29" s="172">
        <f t="shared" si="287"/>
        <v>0</v>
      </c>
      <c r="UR29" s="172">
        <f t="shared" si="287"/>
        <v>0</v>
      </c>
      <c r="US29" s="15"/>
      <c r="UT29" s="12"/>
      <c r="UY29" s="9">
        <f t="shared" si="296"/>
        <v>0</v>
      </c>
      <c r="UZ29" s="9">
        <f t="shared" si="296"/>
        <v>0</v>
      </c>
      <c r="VA29" s="15"/>
      <c r="VC29" s="12"/>
      <c r="VG29" s="328"/>
      <c r="VH29" s="328"/>
      <c r="VI29" s="328"/>
      <c r="VJ29" s="178">
        <v>0</v>
      </c>
      <c r="VK29" s="179">
        <f>VJ29*80</f>
        <v>0</v>
      </c>
      <c r="VL29" s="15"/>
      <c r="VM29" s="19"/>
      <c r="VT29" s="178">
        <v>0</v>
      </c>
      <c r="VU29" s="179">
        <f>VT29*80</f>
        <v>0</v>
      </c>
      <c r="VV29" s="15"/>
      <c r="WD29" s="178">
        <v>0</v>
      </c>
      <c r="WE29" s="179">
        <f>WD29*80</f>
        <v>0</v>
      </c>
      <c r="WG29" s="12"/>
      <c r="WN29" s="178">
        <v>0</v>
      </c>
      <c r="WO29" s="178">
        <f>WN29*80</f>
        <v>0</v>
      </c>
      <c r="WP29" s="15"/>
      <c r="WQ29" s="19"/>
      <c r="WX29" s="178">
        <v>0</v>
      </c>
      <c r="WY29" s="178">
        <f>WX29*80</f>
        <v>0</v>
      </c>
      <c r="WZ29" s="15"/>
      <c r="XA29" s="12"/>
      <c r="XD29" s="172"/>
      <c r="XH29" s="178">
        <v>0</v>
      </c>
      <c r="XI29" s="178">
        <f>XH29*80</f>
        <v>0</v>
      </c>
      <c r="XJ29" s="15"/>
      <c r="XK29" s="12"/>
      <c r="XR29" s="178">
        <v>0</v>
      </c>
      <c r="XS29" s="178">
        <f>XR29*80</f>
        <v>0</v>
      </c>
      <c r="XT29" s="15"/>
      <c r="XU29" s="12"/>
      <c r="YB29" s="178">
        <v>0</v>
      </c>
      <c r="YC29" s="178">
        <f>YB29*80</f>
        <v>0</v>
      </c>
      <c r="YD29" s="15"/>
      <c r="YE29" s="177"/>
      <c r="YF29" s="171"/>
      <c r="YG29" s="14"/>
      <c r="YH29" s="171"/>
      <c r="YL29" s="178">
        <v>0</v>
      </c>
      <c r="YM29" s="178">
        <f>YL29*80</f>
        <v>0</v>
      </c>
      <c r="YN29" s="15"/>
      <c r="YO29" s="177"/>
      <c r="YP29" s="171"/>
      <c r="YQ29" s="171"/>
      <c r="YR29" s="171"/>
      <c r="YS29" s="171"/>
      <c r="YT29" s="171"/>
      <c r="YU29" s="171"/>
      <c r="YV29" s="178">
        <v>0</v>
      </c>
      <c r="YW29" s="178">
        <f>YV29*80</f>
        <v>0</v>
      </c>
      <c r="YX29" s="15"/>
      <c r="YY29" s="12"/>
      <c r="ZF29" s="178">
        <v>0</v>
      </c>
      <c r="ZG29" s="178">
        <f>ZF29*80</f>
        <v>0</v>
      </c>
      <c r="ZH29" s="15"/>
      <c r="ZI29" s="12"/>
      <c r="ZP29" s="178">
        <v>0</v>
      </c>
      <c r="ZQ29" s="178">
        <f>ZP29*80</f>
        <v>0</v>
      </c>
      <c r="ZR29" s="15"/>
      <c r="ZS29" s="12"/>
      <c r="ZX29" s="9">
        <f t="shared" si="285"/>
        <v>0</v>
      </c>
      <c r="ZY29" s="9">
        <f t="shared" si="285"/>
        <v>0</v>
      </c>
      <c r="ZZ29" s="17"/>
      <c r="AAA29" s="12"/>
      <c r="AAF29" s="16">
        <f t="shared" si="297"/>
        <v>0</v>
      </c>
      <c r="AAG29" s="16">
        <f t="shared" si="297"/>
        <v>0</v>
      </c>
      <c r="AAH29" s="17"/>
      <c r="AAI29" s="256"/>
      <c r="AAJ29" s="172"/>
      <c r="AAN29" s="172">
        <f t="shared" si="306"/>
        <v>0</v>
      </c>
      <c r="AAO29" s="172">
        <f t="shared" si="306"/>
        <v>0</v>
      </c>
      <c r="AAP29" s="17"/>
      <c r="AAQ29" s="12"/>
      <c r="AAV29" s="172">
        <f t="shared" si="288"/>
        <v>0</v>
      </c>
      <c r="AAW29" s="172">
        <f t="shared" si="288"/>
        <v>0</v>
      </c>
      <c r="AAX29" s="15"/>
      <c r="AAY29" s="12"/>
      <c r="ABD29" s="9">
        <f t="shared" si="289"/>
        <v>0</v>
      </c>
      <c r="ABE29" s="9">
        <f t="shared" si="289"/>
        <v>0</v>
      </c>
      <c r="ABF29" s="15"/>
    </row>
    <row r="30" spans="1:737" hidden="1" x14ac:dyDescent="0.3">
      <c r="A30" s="12"/>
      <c r="B30" s="1" t="s">
        <v>25</v>
      </c>
      <c r="D30" s="12"/>
      <c r="I30" s="172">
        <v>5357</v>
      </c>
      <c r="J30" s="244">
        <f t="shared" ref="J30:J45" si="322">I30*70</f>
        <v>374990</v>
      </c>
      <c r="K30" s="15"/>
      <c r="Q30" s="172">
        <v>4630</v>
      </c>
      <c r="R30" s="244">
        <f t="shared" ref="R30:R45" si="323">Q30*70</f>
        <v>324100</v>
      </c>
      <c r="S30" s="15"/>
      <c r="Y30" s="172">
        <v>3196</v>
      </c>
      <c r="Z30" s="244">
        <f t="shared" si="309"/>
        <v>223720</v>
      </c>
      <c r="AA30" s="15"/>
      <c r="AG30" s="172">
        <v>3145</v>
      </c>
      <c r="AH30" s="244">
        <f t="shared" si="310"/>
        <v>220150</v>
      </c>
      <c r="AI30" s="15"/>
      <c r="AO30" s="172">
        <v>3395</v>
      </c>
      <c r="AP30" s="244">
        <f t="shared" si="311"/>
        <v>237650</v>
      </c>
      <c r="AQ30" s="15"/>
      <c r="AW30" s="172">
        <v>3468</v>
      </c>
      <c r="AX30" s="244">
        <f t="shared" si="308"/>
        <v>242760</v>
      </c>
      <c r="AY30" s="15"/>
      <c r="BE30" s="172">
        <v>3850</v>
      </c>
      <c r="BF30" s="244">
        <f t="shared" si="312"/>
        <v>269500</v>
      </c>
      <c r="BG30" s="15"/>
      <c r="BM30" s="172">
        <v>3017</v>
      </c>
      <c r="BN30" s="244">
        <f t="shared" si="313"/>
        <v>211190</v>
      </c>
      <c r="BP30" s="12"/>
      <c r="BU30" s="172">
        <v>2829</v>
      </c>
      <c r="BV30" s="244">
        <f t="shared" si="314"/>
        <v>198030</v>
      </c>
      <c r="BW30" s="15"/>
      <c r="CC30" s="172">
        <v>3250</v>
      </c>
      <c r="CD30" s="172">
        <f>CC30*70</f>
        <v>227500</v>
      </c>
      <c r="CF30" s="12"/>
      <c r="CK30" s="172">
        <v>3250</v>
      </c>
      <c r="CL30" s="172">
        <f>CK30*70</f>
        <v>227500</v>
      </c>
      <c r="CM30" s="301"/>
      <c r="CS30" s="172">
        <v>4975</v>
      </c>
      <c r="CT30" s="172">
        <f>CS30*70</f>
        <v>348250</v>
      </c>
      <c r="CV30" s="12"/>
      <c r="DA30" s="257">
        <f t="shared" si="290"/>
        <v>44362</v>
      </c>
      <c r="DB30" s="257">
        <f t="shared" si="290"/>
        <v>3105340</v>
      </c>
      <c r="DC30" s="15"/>
      <c r="DD30" s="12"/>
      <c r="DI30" s="172">
        <v>4977.45</v>
      </c>
      <c r="DJ30" s="172">
        <f>DI30*70</f>
        <v>348421.5</v>
      </c>
      <c r="DK30" s="302"/>
      <c r="DL30" s="12"/>
      <c r="DQ30" s="172">
        <v>4950</v>
      </c>
      <c r="DR30" s="172">
        <f>DQ30*70</f>
        <v>346500</v>
      </c>
      <c r="DS30" s="302"/>
      <c r="DY30" s="172">
        <v>4950</v>
      </c>
      <c r="DZ30" s="172">
        <f t="shared" ref="DZ30:DZ36" si="324">DY30*70</f>
        <v>346500</v>
      </c>
      <c r="EB30" s="142"/>
      <c r="EG30" s="172">
        <v>4850</v>
      </c>
      <c r="EH30" s="172">
        <f t="shared" si="315"/>
        <v>339500</v>
      </c>
      <c r="EI30" s="143"/>
      <c r="EJ30" s="142"/>
      <c r="EO30" s="172">
        <v>4900</v>
      </c>
      <c r="EP30" s="172">
        <f t="shared" ref="EP30:EP46" si="325">EO30*70</f>
        <v>343000</v>
      </c>
      <c r="EQ30" s="143"/>
      <c r="ER30" s="142"/>
      <c r="EW30" s="172">
        <v>4950</v>
      </c>
      <c r="EX30" s="172">
        <f t="shared" si="316"/>
        <v>346500</v>
      </c>
      <c r="EY30" s="143"/>
      <c r="EZ30" s="142"/>
      <c r="FE30" s="172">
        <v>5450</v>
      </c>
      <c r="FF30" s="172">
        <f t="shared" si="317"/>
        <v>381500</v>
      </c>
      <c r="FG30" s="143"/>
      <c r="FM30" s="172">
        <f>5200</f>
        <v>5200</v>
      </c>
      <c r="FN30" s="172">
        <f t="shared" si="318"/>
        <v>364000</v>
      </c>
      <c r="FO30" s="15"/>
      <c r="FW30" s="172">
        <v>5200</v>
      </c>
      <c r="FX30" s="172">
        <f t="shared" si="319"/>
        <v>364000</v>
      </c>
      <c r="FZ30" s="319"/>
      <c r="GC30" s="32"/>
      <c r="GD30" s="32"/>
      <c r="GE30" s="32"/>
      <c r="GF30" s="32"/>
      <c r="GG30" s="172">
        <v>5200</v>
      </c>
      <c r="GH30" s="172">
        <f t="shared" ref="GH30:GH38" si="326">GG30*70</f>
        <v>364000</v>
      </c>
      <c r="GI30" s="273"/>
      <c r="GJ30" s="321"/>
      <c r="GK30" s="321"/>
      <c r="GL30" s="321"/>
      <c r="GM30" s="321"/>
      <c r="GN30" s="321"/>
      <c r="GO30" s="321"/>
      <c r="GP30" s="321"/>
      <c r="GQ30" s="178">
        <v>5350</v>
      </c>
      <c r="GR30" s="178">
        <f t="shared" si="320"/>
        <v>374500</v>
      </c>
      <c r="GS30" s="321"/>
      <c r="GT30" s="12"/>
      <c r="HA30" s="172">
        <v>3250</v>
      </c>
      <c r="HB30" s="178">
        <f t="shared" ref="HB30:HB48" si="327">HA30*70</f>
        <v>227500</v>
      </c>
      <c r="HC30" s="15"/>
      <c r="HD30" s="12"/>
      <c r="HI30" s="171">
        <f t="shared" ref="HI30:HJ34" si="328">HA30+GQ30+GG30+FW30+FM30+FE30+EW30+EO30+EG30+DY30+DQ30+DI30</f>
        <v>59227.45</v>
      </c>
      <c r="HJ30" s="171">
        <f t="shared" si="328"/>
        <v>4145921.5</v>
      </c>
      <c r="HK30" s="15"/>
      <c r="HL30" s="12"/>
      <c r="HQ30" s="8">
        <f t="shared" si="307"/>
        <v>14877.45</v>
      </c>
      <c r="HR30" s="8">
        <f t="shared" si="307"/>
        <v>1041421.5</v>
      </c>
      <c r="HS30" s="15"/>
      <c r="HT30" s="12"/>
      <c r="HY30" s="171">
        <f t="shared" si="299"/>
        <v>14700</v>
      </c>
      <c r="HZ30" s="171">
        <f t="shared" si="299"/>
        <v>1029000</v>
      </c>
      <c r="IA30" s="15"/>
      <c r="IB30" s="12"/>
      <c r="IG30" s="171">
        <f t="shared" si="300"/>
        <v>15850</v>
      </c>
      <c r="IH30" s="171">
        <f t="shared" si="300"/>
        <v>1109500</v>
      </c>
      <c r="II30" s="15"/>
      <c r="IJ30" s="12"/>
      <c r="IO30" s="171">
        <f t="shared" si="301"/>
        <v>13800</v>
      </c>
      <c r="IP30" s="171">
        <f t="shared" si="301"/>
        <v>966000</v>
      </c>
      <c r="IQ30" s="15"/>
      <c r="IS30" s="12"/>
      <c r="IZ30" s="172">
        <v>2931</v>
      </c>
      <c r="JA30" s="178">
        <f>IZ30*80</f>
        <v>234480</v>
      </c>
      <c r="JB30" s="15"/>
      <c r="JC30" s="19"/>
      <c r="JJ30" s="172">
        <v>2950</v>
      </c>
      <c r="JK30" s="178">
        <f>JJ30*80</f>
        <v>236000</v>
      </c>
      <c r="JL30" s="15"/>
      <c r="JT30" s="1">
        <v>2992</v>
      </c>
      <c r="JU30" s="178">
        <f t="shared" ref="JU30:JU39" si="329">JT30*75</f>
        <v>224400</v>
      </c>
      <c r="JW30" s="12"/>
      <c r="KD30" s="172">
        <v>3022</v>
      </c>
      <c r="KE30" s="178">
        <f>KD30*80</f>
        <v>241760</v>
      </c>
      <c r="KF30" s="15"/>
      <c r="KG30" s="19"/>
      <c r="KN30" s="172">
        <v>3200</v>
      </c>
      <c r="KO30" s="178">
        <f t="shared" ref="KO30:KO48" si="330">KN30*80</f>
        <v>256000</v>
      </c>
      <c r="KP30" s="15"/>
      <c r="KQ30" s="12"/>
      <c r="KX30" s="1">
        <v>3150</v>
      </c>
      <c r="KY30" s="178">
        <f>KX30*80</f>
        <v>252000</v>
      </c>
      <c r="KZ30" s="15"/>
      <c r="LA30" s="12"/>
      <c r="LH30" s="172">
        <v>3250</v>
      </c>
      <c r="LI30" s="178">
        <f>LH30*80</f>
        <v>260000</v>
      </c>
      <c r="LJ30" s="15"/>
      <c r="LK30" s="12"/>
      <c r="LR30" s="172">
        <v>3438</v>
      </c>
      <c r="LS30" s="178">
        <f>LR30*80</f>
        <v>275040</v>
      </c>
      <c r="LT30" s="15"/>
      <c r="LU30" s="177"/>
      <c r="MB30" s="178">
        <v>3540</v>
      </c>
      <c r="MC30" s="178">
        <f>MB30*80</f>
        <v>283200</v>
      </c>
      <c r="MD30" s="15"/>
      <c r="ME30" s="177"/>
      <c r="ML30" s="178">
        <v>3250</v>
      </c>
      <c r="MM30" s="178">
        <f>ML30*80</f>
        <v>260000</v>
      </c>
      <c r="MN30" s="15"/>
      <c r="MO30" s="12"/>
      <c r="MV30" s="178">
        <v>2560</v>
      </c>
      <c r="MW30" s="178">
        <f>MV30*80</f>
        <v>204800</v>
      </c>
      <c r="MY30" s="12"/>
      <c r="NF30" s="178">
        <v>0</v>
      </c>
      <c r="NG30" s="178">
        <f t="shared" ref="NG30:NG35" si="331">NF30*80</f>
        <v>0</v>
      </c>
      <c r="NH30" s="15"/>
      <c r="NN30" s="16">
        <f t="shared" si="302"/>
        <v>34283</v>
      </c>
      <c r="NO30" s="1533">
        <f t="shared" si="291"/>
        <v>2727680</v>
      </c>
      <c r="NP30" s="17"/>
      <c r="NQ30" s="12"/>
      <c r="NV30" s="16">
        <f t="shared" si="303"/>
        <v>8873</v>
      </c>
      <c r="NW30" s="16">
        <f t="shared" si="292"/>
        <v>694880</v>
      </c>
      <c r="NX30" s="17"/>
      <c r="NY30" s="256"/>
      <c r="OD30" s="172">
        <f t="shared" si="293"/>
        <v>9372</v>
      </c>
      <c r="OE30" s="172">
        <f t="shared" si="293"/>
        <v>749760</v>
      </c>
      <c r="OF30" s="17"/>
      <c r="OG30" s="12"/>
      <c r="OL30" s="172">
        <f t="shared" si="294"/>
        <v>10228</v>
      </c>
      <c r="OM30" s="172">
        <f t="shared" si="294"/>
        <v>818240</v>
      </c>
      <c r="OO30" s="12"/>
      <c r="OT30" s="16">
        <f t="shared" si="295"/>
        <v>5810</v>
      </c>
      <c r="OU30" s="16">
        <f t="shared" si="295"/>
        <v>464800</v>
      </c>
      <c r="OV30" s="15"/>
      <c r="OX30" s="12"/>
      <c r="PE30" s="172">
        <v>0</v>
      </c>
      <c r="PF30" s="179">
        <f t="shared" ref="PF30:PF48" si="332">PE30*80</f>
        <v>0</v>
      </c>
      <c r="PG30" s="15"/>
      <c r="PH30" s="19"/>
      <c r="PO30" s="172">
        <v>0</v>
      </c>
      <c r="PP30" s="179">
        <f t="shared" ref="PP30:PP39" si="333">PO30*80</f>
        <v>0</v>
      </c>
      <c r="PQ30" s="15"/>
      <c r="PY30" s="172">
        <v>0</v>
      </c>
      <c r="PZ30" s="179">
        <f t="shared" ref="PZ30:PZ46" si="334">PY30*80</f>
        <v>0</v>
      </c>
      <c r="QB30" s="12"/>
      <c r="QI30" s="172">
        <v>0</v>
      </c>
      <c r="QJ30" s="178">
        <f t="shared" ref="QJ30:QJ41" si="335">QI30*80</f>
        <v>0</v>
      </c>
      <c r="QK30" s="15"/>
      <c r="QL30" s="19"/>
      <c r="QS30" s="172">
        <v>0</v>
      </c>
      <c r="QT30" s="178">
        <f t="shared" ref="QT30:QT41" si="336">QS30*80</f>
        <v>0</v>
      </c>
      <c r="QU30" s="15"/>
      <c r="QV30" s="12"/>
      <c r="QY30" s="172"/>
      <c r="RC30" s="172">
        <v>0</v>
      </c>
      <c r="RD30" s="179">
        <f t="shared" ref="RD30:RD42" si="337">RC30*80</f>
        <v>0</v>
      </c>
      <c r="RE30" s="15"/>
      <c r="RF30" s="12"/>
      <c r="RM30" s="329">
        <v>0</v>
      </c>
      <c r="RN30" s="178">
        <f t="shared" ref="RN30:RN41" si="338">RM30*80</f>
        <v>0</v>
      </c>
      <c r="RO30" s="15"/>
      <c r="RP30" s="12"/>
      <c r="RW30" s="178">
        <v>0</v>
      </c>
      <c r="RX30" s="178">
        <f t="shared" ref="RX30:RX41" si="339">RW30*80</f>
        <v>0</v>
      </c>
      <c r="RY30" s="15"/>
      <c r="RZ30" s="177"/>
      <c r="SA30" s="171"/>
      <c r="SB30" s="14"/>
      <c r="SC30" s="171"/>
      <c r="SG30" s="178">
        <v>0</v>
      </c>
      <c r="SH30" s="178">
        <f t="shared" ref="SH30:SH42" si="340">SG30*80</f>
        <v>0</v>
      </c>
      <c r="SI30" s="15"/>
      <c r="SJ30" s="177"/>
      <c r="SK30" s="171"/>
      <c r="SL30" s="171"/>
      <c r="SM30" s="171"/>
      <c r="SN30" s="171"/>
      <c r="SO30" s="171"/>
      <c r="SP30" s="171"/>
      <c r="SQ30" s="178"/>
      <c r="SR30" s="178">
        <f t="shared" si="321"/>
        <v>0</v>
      </c>
      <c r="SS30" s="15"/>
      <c r="ST30" s="12"/>
      <c r="TA30" s="178">
        <v>0</v>
      </c>
      <c r="TB30" s="178">
        <f t="shared" ref="TB30:TB39" si="341">TA30*80</f>
        <v>0</v>
      </c>
      <c r="TC30" s="15"/>
      <c r="TD30" s="12"/>
      <c r="TK30" s="178">
        <v>0</v>
      </c>
      <c r="TL30" s="178">
        <f t="shared" ref="TL30:TL46" si="342">TK30*80</f>
        <v>0</v>
      </c>
      <c r="TM30" s="15"/>
      <c r="TN30" s="12"/>
      <c r="TS30" s="9">
        <f t="shared" si="286"/>
        <v>0</v>
      </c>
      <c r="TT30" s="9">
        <f t="shared" si="286"/>
        <v>0</v>
      </c>
      <c r="TU30" s="17"/>
      <c r="TV30" s="12"/>
      <c r="UA30" s="16">
        <f t="shared" si="304"/>
        <v>0</v>
      </c>
      <c r="UB30" s="16">
        <f t="shared" si="304"/>
        <v>0</v>
      </c>
      <c r="UC30" s="17"/>
      <c r="UD30" s="256"/>
      <c r="UE30" s="172"/>
      <c r="UI30" s="172">
        <f t="shared" si="305"/>
        <v>0</v>
      </c>
      <c r="UJ30" s="172">
        <f t="shared" si="305"/>
        <v>0</v>
      </c>
      <c r="UK30" s="17"/>
      <c r="UL30" s="12"/>
      <c r="UQ30" s="172">
        <f t="shared" si="287"/>
        <v>0</v>
      </c>
      <c r="UR30" s="172">
        <f t="shared" si="287"/>
        <v>0</v>
      </c>
      <c r="US30" s="15"/>
      <c r="UT30" s="12"/>
      <c r="UY30" s="9">
        <f t="shared" si="296"/>
        <v>0</v>
      </c>
      <c r="UZ30" s="9">
        <f t="shared" si="296"/>
        <v>0</v>
      </c>
      <c r="VA30" s="15"/>
      <c r="VC30" s="12"/>
      <c r="VI30" s="1"/>
      <c r="VJ30" s="172">
        <v>0</v>
      </c>
      <c r="VK30" s="179">
        <f t="shared" ref="VK30:VK36" si="343">VJ30*80</f>
        <v>0</v>
      </c>
      <c r="VL30" s="15"/>
      <c r="VM30" s="19"/>
      <c r="VT30" s="172">
        <v>0</v>
      </c>
      <c r="VU30" s="179">
        <f t="shared" ref="VU30:VU48" si="344">VT30*80</f>
        <v>0</v>
      </c>
      <c r="VV30" s="15"/>
      <c r="WD30" s="172">
        <v>0</v>
      </c>
      <c r="WE30" s="179">
        <f t="shared" ref="WE30:WE36" si="345">WD30*80</f>
        <v>0</v>
      </c>
      <c r="WG30" s="12"/>
      <c r="WN30" s="172">
        <v>0</v>
      </c>
      <c r="WO30" s="178">
        <f t="shared" ref="WO30:WO36" si="346">WN30*80</f>
        <v>0</v>
      </c>
      <c r="WP30" s="15"/>
      <c r="WQ30" s="19"/>
      <c r="WX30" s="172">
        <v>0</v>
      </c>
      <c r="WY30" s="178">
        <f t="shared" ref="WY30:WY36" si="347">WX30*80</f>
        <v>0</v>
      </c>
      <c r="WZ30" s="15"/>
      <c r="XA30" s="12"/>
      <c r="XD30" s="172"/>
      <c r="XH30" s="172">
        <v>0</v>
      </c>
      <c r="XI30" s="178">
        <f t="shared" ref="XI30:XI36" si="348">XH30*80</f>
        <v>0</v>
      </c>
      <c r="XJ30" s="15"/>
      <c r="XK30" s="12"/>
      <c r="XR30" s="329">
        <v>0</v>
      </c>
      <c r="XS30" s="178">
        <f t="shared" ref="XS30:XS38" si="349">XR30*80</f>
        <v>0</v>
      </c>
      <c r="XT30" s="15"/>
      <c r="XU30" s="12"/>
      <c r="YB30" s="178">
        <v>0</v>
      </c>
      <c r="YC30" s="178">
        <f t="shared" ref="YC30:YC36" si="350">YB30*80</f>
        <v>0</v>
      </c>
      <c r="YD30" s="15"/>
      <c r="YE30" s="177"/>
      <c r="YF30" s="171"/>
      <c r="YG30" s="14"/>
      <c r="YH30" s="171"/>
      <c r="YL30" s="178">
        <v>0</v>
      </c>
      <c r="YM30" s="178">
        <f t="shared" ref="YM30:YM36" si="351">YL30*80</f>
        <v>0</v>
      </c>
      <c r="YN30" s="15"/>
      <c r="YO30" s="177"/>
      <c r="YP30" s="171"/>
      <c r="YQ30" s="171"/>
      <c r="YR30" s="171"/>
      <c r="YS30" s="171"/>
      <c r="YT30" s="171"/>
      <c r="YU30" s="171"/>
      <c r="YV30" s="178">
        <v>0</v>
      </c>
      <c r="YW30" s="178">
        <f>YV30*80</f>
        <v>0</v>
      </c>
      <c r="YX30" s="15"/>
      <c r="YY30" s="12"/>
      <c r="ZF30" s="178">
        <v>0</v>
      </c>
      <c r="ZG30" s="178">
        <f t="shared" ref="ZG30:ZG47" si="352">ZF30*80</f>
        <v>0</v>
      </c>
      <c r="ZH30" s="15"/>
      <c r="ZI30" s="12"/>
      <c r="ZP30" s="178">
        <v>0</v>
      </c>
      <c r="ZQ30" s="178">
        <f t="shared" ref="ZQ30:ZQ46" si="353">ZP30*80</f>
        <v>0</v>
      </c>
      <c r="ZR30" s="15"/>
      <c r="ZS30" s="12"/>
      <c r="ZX30" s="9">
        <f t="shared" si="285"/>
        <v>0</v>
      </c>
      <c r="ZY30" s="9">
        <f t="shared" si="285"/>
        <v>0</v>
      </c>
      <c r="ZZ30" s="17"/>
      <c r="AAA30" s="12"/>
      <c r="AAF30" s="16">
        <f t="shared" si="297"/>
        <v>0</v>
      </c>
      <c r="AAG30" s="16">
        <f t="shared" si="297"/>
        <v>0</v>
      </c>
      <c r="AAH30" s="17"/>
      <c r="AAI30" s="256"/>
      <c r="AAJ30" s="172"/>
      <c r="AAN30" s="172">
        <f t="shared" si="306"/>
        <v>0</v>
      </c>
      <c r="AAO30" s="172">
        <f t="shared" si="306"/>
        <v>0</v>
      </c>
      <c r="AAP30" s="17"/>
      <c r="AAQ30" s="12"/>
      <c r="AAV30" s="172">
        <f t="shared" si="288"/>
        <v>0</v>
      </c>
      <c r="AAW30" s="172">
        <f t="shared" si="288"/>
        <v>0</v>
      </c>
      <c r="AAX30" s="15"/>
      <c r="AAY30" s="12"/>
      <c r="ABD30" s="9">
        <f t="shared" si="289"/>
        <v>0</v>
      </c>
      <c r="ABE30" s="9">
        <f t="shared" si="289"/>
        <v>0</v>
      </c>
      <c r="ABF30" s="15"/>
    </row>
    <row r="31" spans="1:737" hidden="1" x14ac:dyDescent="0.3">
      <c r="A31" s="12"/>
      <c r="B31" s="1" t="s">
        <v>26</v>
      </c>
      <c r="D31" s="12"/>
      <c r="I31" s="172">
        <v>2011</v>
      </c>
      <c r="J31" s="244">
        <f t="shared" si="322"/>
        <v>140770</v>
      </c>
      <c r="K31" s="15"/>
      <c r="Q31" s="172">
        <v>2917</v>
      </c>
      <c r="R31" s="244">
        <f t="shared" si="323"/>
        <v>204190</v>
      </c>
      <c r="S31" s="15"/>
      <c r="Y31" s="172">
        <v>2132</v>
      </c>
      <c r="Z31" s="244">
        <f t="shared" si="309"/>
        <v>149240</v>
      </c>
      <c r="AA31" s="15"/>
      <c r="AG31" s="172">
        <v>960</v>
      </c>
      <c r="AH31" s="244">
        <f t="shared" si="310"/>
        <v>67200</v>
      </c>
      <c r="AI31" s="15"/>
      <c r="AO31" s="172">
        <v>950</v>
      </c>
      <c r="AP31" s="244">
        <f t="shared" si="311"/>
        <v>66500</v>
      </c>
      <c r="AQ31" s="15"/>
      <c r="AW31" s="172">
        <v>970</v>
      </c>
      <c r="AX31" s="244">
        <f t="shared" si="308"/>
        <v>67900</v>
      </c>
      <c r="AY31" s="15"/>
      <c r="BE31" s="172">
        <v>1189</v>
      </c>
      <c r="BF31" s="244">
        <f t="shared" si="312"/>
        <v>83230</v>
      </c>
      <c r="BG31" s="15"/>
      <c r="BM31" s="172">
        <v>863</v>
      </c>
      <c r="BN31" s="244">
        <f t="shared" si="313"/>
        <v>60410</v>
      </c>
      <c r="BP31" s="12"/>
      <c r="BU31" s="172">
        <v>917.4</v>
      </c>
      <c r="BV31" s="244">
        <f t="shared" si="314"/>
        <v>64218</v>
      </c>
      <c r="BW31" s="15"/>
      <c r="CC31" s="172">
        <v>587</v>
      </c>
      <c r="CD31" s="172">
        <f t="shared" ref="CD31:CD45" si="354">CC31*70</f>
        <v>41090</v>
      </c>
      <c r="CF31" s="12"/>
      <c r="CK31" s="172">
        <v>704</v>
      </c>
      <c r="CL31" s="172">
        <f t="shared" ref="CL31:CL45" si="355">CK31*70</f>
        <v>49280</v>
      </c>
      <c r="CM31" s="301"/>
      <c r="CS31" s="172">
        <v>608</v>
      </c>
      <c r="CT31" s="172">
        <f t="shared" ref="CT31:CT45" si="356">CS31*70</f>
        <v>42560</v>
      </c>
      <c r="CV31" s="12"/>
      <c r="DA31" s="257">
        <f t="shared" si="290"/>
        <v>14808.4</v>
      </c>
      <c r="DB31" s="257">
        <f t="shared" si="290"/>
        <v>1036588</v>
      </c>
      <c r="DC31" s="15"/>
      <c r="DD31" s="12"/>
      <c r="DI31" s="172">
        <v>765</v>
      </c>
      <c r="DJ31" s="172">
        <f t="shared" ref="DJ31:DJ38" si="357">DI31*70</f>
        <v>53550</v>
      </c>
      <c r="DK31" s="302"/>
      <c r="DL31" s="12"/>
      <c r="DQ31" s="172">
        <v>1027</v>
      </c>
      <c r="DR31" s="172">
        <f t="shared" ref="DR31:DR38" si="358">DQ31*70</f>
        <v>71890</v>
      </c>
      <c r="DS31" s="302"/>
      <c r="DY31" s="172">
        <v>564</v>
      </c>
      <c r="DZ31" s="172">
        <f t="shared" si="324"/>
        <v>39480</v>
      </c>
      <c r="EB31" s="142"/>
      <c r="EG31" s="172">
        <v>699.5</v>
      </c>
      <c r="EH31" s="172">
        <f t="shared" si="315"/>
        <v>48965</v>
      </c>
      <c r="EI31" s="143"/>
      <c r="EJ31" s="142"/>
      <c r="EO31" s="172">
        <v>796</v>
      </c>
      <c r="EP31" s="172">
        <f t="shared" si="325"/>
        <v>55720</v>
      </c>
      <c r="EQ31" s="143"/>
      <c r="ER31" s="142"/>
      <c r="EW31" s="172">
        <f>878.4</f>
        <v>878.4</v>
      </c>
      <c r="EX31" s="172">
        <f t="shared" si="316"/>
        <v>61488</v>
      </c>
      <c r="EY31" s="143"/>
      <c r="EZ31" s="142"/>
      <c r="FE31" s="172">
        <v>650</v>
      </c>
      <c r="FF31" s="172">
        <f t="shared" si="317"/>
        <v>45500</v>
      </c>
      <c r="FG31" s="143"/>
      <c r="FM31" s="172">
        <v>1131.2</v>
      </c>
      <c r="FN31" s="172">
        <f t="shared" si="318"/>
        <v>79184</v>
      </c>
      <c r="FO31" s="15"/>
      <c r="FW31" s="172">
        <v>1006.4</v>
      </c>
      <c r="FX31" s="172">
        <f t="shared" si="319"/>
        <v>70448</v>
      </c>
      <c r="FZ31" s="319"/>
      <c r="GC31" s="32"/>
      <c r="GD31" s="32"/>
      <c r="GE31" s="32"/>
      <c r="GF31" s="32"/>
      <c r="GG31" s="172">
        <v>704</v>
      </c>
      <c r="GH31" s="172">
        <f t="shared" si="326"/>
        <v>49280</v>
      </c>
      <c r="GI31" s="273"/>
      <c r="GJ31" s="321"/>
      <c r="GK31" s="321"/>
      <c r="GL31" s="321"/>
      <c r="GM31" s="321"/>
      <c r="GN31" s="321"/>
      <c r="GO31" s="321"/>
      <c r="GP31" s="321"/>
      <c r="GQ31" s="178">
        <v>1570</v>
      </c>
      <c r="GR31" s="178">
        <f t="shared" si="320"/>
        <v>109900</v>
      </c>
      <c r="GS31" s="321"/>
      <c r="GT31" s="12"/>
      <c r="HA31" s="172">
        <v>1280</v>
      </c>
      <c r="HB31" s="178">
        <f t="shared" si="327"/>
        <v>89600</v>
      </c>
      <c r="HC31" s="15"/>
      <c r="HD31" s="12"/>
      <c r="HI31" s="171">
        <f t="shared" si="328"/>
        <v>11071.5</v>
      </c>
      <c r="HJ31" s="171">
        <f t="shared" si="328"/>
        <v>775005</v>
      </c>
      <c r="HK31" s="15"/>
      <c r="HL31" s="12"/>
      <c r="HQ31" s="8">
        <f t="shared" si="307"/>
        <v>2356</v>
      </c>
      <c r="HR31" s="8">
        <f t="shared" si="307"/>
        <v>164920</v>
      </c>
      <c r="HS31" s="15"/>
      <c r="HT31" s="12"/>
      <c r="HY31" s="171">
        <f t="shared" si="299"/>
        <v>2373.9</v>
      </c>
      <c r="HZ31" s="171">
        <f t="shared" si="299"/>
        <v>166173</v>
      </c>
      <c r="IA31" s="15"/>
      <c r="IB31" s="12"/>
      <c r="IG31" s="171">
        <f t="shared" si="300"/>
        <v>2787.6</v>
      </c>
      <c r="IH31" s="171">
        <f t="shared" si="300"/>
        <v>195132</v>
      </c>
      <c r="II31" s="15"/>
      <c r="IJ31" s="12"/>
      <c r="IO31" s="171">
        <f t="shared" si="301"/>
        <v>3554</v>
      </c>
      <c r="IP31" s="171">
        <f t="shared" si="301"/>
        <v>248780</v>
      </c>
      <c r="IQ31" s="15"/>
      <c r="IS31" s="12"/>
      <c r="IZ31" s="172">
        <v>0</v>
      </c>
      <c r="JA31" s="178">
        <f t="shared" ref="JA31:JA39" si="359">IZ31*80</f>
        <v>0</v>
      </c>
      <c r="JB31" s="15"/>
      <c r="JC31" s="19"/>
      <c r="JJ31" s="172">
        <v>1695</v>
      </c>
      <c r="JK31" s="178">
        <f t="shared" ref="JK31:JK48" si="360">JJ31*80</f>
        <v>135600</v>
      </c>
      <c r="JL31" s="15"/>
      <c r="JT31" s="329">
        <v>0</v>
      </c>
      <c r="JU31" s="178">
        <v>0</v>
      </c>
      <c r="JW31" s="12"/>
      <c r="KD31" s="172">
        <v>0</v>
      </c>
      <c r="KE31" s="178">
        <f t="shared" ref="KE31:KE39" si="361">KD31*80</f>
        <v>0</v>
      </c>
      <c r="KF31" s="15"/>
      <c r="KG31" s="19"/>
      <c r="KN31" s="172">
        <v>1717</v>
      </c>
      <c r="KO31" s="178">
        <f t="shared" si="330"/>
        <v>137360</v>
      </c>
      <c r="KP31" s="15"/>
      <c r="KQ31" s="12"/>
      <c r="KX31" s="1">
        <v>1152</v>
      </c>
      <c r="KY31" s="178">
        <f t="shared" ref="KY31:KY48" si="362">KX31*80</f>
        <v>92160</v>
      </c>
      <c r="KZ31" s="15"/>
      <c r="LA31" s="12"/>
      <c r="LH31" s="172">
        <f>1098.4+747.2</f>
        <v>1845.6000000000001</v>
      </c>
      <c r="LI31" s="178">
        <f t="shared" ref="LI31:LI38" si="363">LH31*80</f>
        <v>147648</v>
      </c>
      <c r="LJ31" s="15"/>
      <c r="LK31" s="12"/>
      <c r="LR31" s="172">
        <v>2043</v>
      </c>
      <c r="LS31" s="178">
        <f t="shared" ref="LS31:LS48" si="364">LR31*80</f>
        <v>163440</v>
      </c>
      <c r="LT31" s="15"/>
      <c r="LU31" s="177"/>
      <c r="MB31" s="178">
        <v>2690</v>
      </c>
      <c r="MC31" s="178">
        <f t="shared" ref="MC31:MC48" si="365">MB31*80</f>
        <v>215200</v>
      </c>
      <c r="MD31" s="15"/>
      <c r="ME31" s="177"/>
      <c r="ML31" s="178">
        <f>2693+2061+9852+8228</f>
        <v>22834</v>
      </c>
      <c r="MM31" s="178">
        <f t="shared" ref="MM31:MM48" si="366">ML31*80</f>
        <v>1826720</v>
      </c>
      <c r="MN31" s="15"/>
      <c r="MO31" s="12"/>
      <c r="MV31" s="178">
        <f>1229+7996+11488</f>
        <v>20713</v>
      </c>
      <c r="MW31" s="178">
        <f t="shared" ref="MW31:MW48" si="367">MV31*80</f>
        <v>1657040</v>
      </c>
      <c r="MY31" s="12"/>
      <c r="NF31" s="178">
        <v>0</v>
      </c>
      <c r="NG31" s="178">
        <f t="shared" si="331"/>
        <v>0</v>
      </c>
      <c r="NH31" s="15"/>
      <c r="NN31" s="16">
        <f t="shared" si="302"/>
        <v>54689.599999999999</v>
      </c>
      <c r="NO31" s="16">
        <f t="shared" si="291"/>
        <v>4375168</v>
      </c>
      <c r="NP31" s="17"/>
      <c r="NQ31" s="12"/>
      <c r="NV31" s="16">
        <f t="shared" si="303"/>
        <v>1695</v>
      </c>
      <c r="NW31" s="16">
        <f t="shared" si="292"/>
        <v>135600</v>
      </c>
      <c r="NX31" s="17"/>
      <c r="NY31" s="256"/>
      <c r="OD31" s="172">
        <f t="shared" si="293"/>
        <v>2869</v>
      </c>
      <c r="OE31" s="172">
        <f t="shared" si="293"/>
        <v>229520</v>
      </c>
      <c r="OF31" s="17"/>
      <c r="OG31" s="12"/>
      <c r="OL31" s="172">
        <f t="shared" si="294"/>
        <v>6578.6</v>
      </c>
      <c r="OM31" s="172">
        <f t="shared" si="294"/>
        <v>526288</v>
      </c>
      <c r="OO31" s="12"/>
      <c r="OT31" s="16">
        <f t="shared" si="295"/>
        <v>43547</v>
      </c>
      <c r="OU31" s="16">
        <f t="shared" si="295"/>
        <v>3483760</v>
      </c>
      <c r="OV31" s="15"/>
      <c r="OX31" s="12"/>
      <c r="PE31" s="172">
        <v>0</v>
      </c>
      <c r="PF31" s="179">
        <f t="shared" si="332"/>
        <v>0</v>
      </c>
      <c r="PG31" s="880"/>
      <c r="PH31" s="881"/>
      <c r="PO31" s="172">
        <v>0</v>
      </c>
      <c r="PP31" s="179">
        <f t="shared" si="333"/>
        <v>0</v>
      </c>
      <c r="PQ31" s="15"/>
      <c r="PY31" s="172">
        <v>0</v>
      </c>
      <c r="PZ31" s="179">
        <f t="shared" si="334"/>
        <v>0</v>
      </c>
      <c r="QB31" s="12"/>
      <c r="QI31" s="172"/>
      <c r="QJ31" s="178">
        <f t="shared" si="335"/>
        <v>0</v>
      </c>
      <c r="QK31" s="15"/>
      <c r="QL31" s="19"/>
      <c r="QS31" s="172">
        <v>0</v>
      </c>
      <c r="QT31" s="178">
        <f t="shared" si="336"/>
        <v>0</v>
      </c>
      <c r="QU31" s="15"/>
      <c r="QV31" s="12"/>
      <c r="QY31" s="172"/>
      <c r="RC31" s="172">
        <v>0</v>
      </c>
      <c r="RD31" s="179">
        <f t="shared" si="337"/>
        <v>0</v>
      </c>
      <c r="RE31" s="15"/>
      <c r="RF31" s="12"/>
      <c r="RM31" s="329">
        <v>0</v>
      </c>
      <c r="RN31" s="178">
        <f t="shared" si="338"/>
        <v>0</v>
      </c>
      <c r="RO31" s="15"/>
      <c r="RP31" s="12"/>
      <c r="RW31" s="178">
        <v>0</v>
      </c>
      <c r="RX31" s="178">
        <f t="shared" si="339"/>
        <v>0</v>
      </c>
      <c r="RY31" s="15"/>
      <c r="RZ31" s="177"/>
      <c r="SA31" s="171"/>
      <c r="SB31" s="14"/>
      <c r="SC31" s="171"/>
      <c r="SG31" s="178">
        <v>0</v>
      </c>
      <c r="SH31" s="178">
        <f t="shared" si="340"/>
        <v>0</v>
      </c>
      <c r="SI31" s="15"/>
      <c r="SJ31" s="177"/>
      <c r="SK31" s="171"/>
      <c r="SL31" s="171"/>
      <c r="SM31" s="171"/>
      <c r="SN31" s="171"/>
      <c r="SO31" s="171"/>
      <c r="SP31" s="171"/>
      <c r="SQ31" s="178"/>
      <c r="SR31" s="178">
        <f t="shared" si="321"/>
        <v>0</v>
      </c>
      <c r="SS31" s="15"/>
      <c r="ST31" s="12"/>
      <c r="TA31" s="178">
        <v>0</v>
      </c>
      <c r="TB31" s="178">
        <f t="shared" si="341"/>
        <v>0</v>
      </c>
      <c r="TC31" s="15"/>
      <c r="TD31" s="12"/>
      <c r="TK31" s="178">
        <v>0</v>
      </c>
      <c r="TL31" s="178">
        <f t="shared" si="342"/>
        <v>0</v>
      </c>
      <c r="TM31" s="15"/>
      <c r="TN31" s="12"/>
      <c r="TS31" s="9">
        <f t="shared" si="286"/>
        <v>0</v>
      </c>
      <c r="TT31" s="9">
        <f t="shared" si="286"/>
        <v>0</v>
      </c>
      <c r="TU31" s="17"/>
      <c r="TV31" s="12"/>
      <c r="UA31" s="16">
        <f t="shared" si="304"/>
        <v>0</v>
      </c>
      <c r="UB31" s="16">
        <f t="shared" si="304"/>
        <v>0</v>
      </c>
      <c r="UC31" s="17"/>
      <c r="UD31" s="256"/>
      <c r="UE31" s="172"/>
      <c r="UI31" s="172">
        <f t="shared" si="305"/>
        <v>0</v>
      </c>
      <c r="UJ31" s="172">
        <f t="shared" si="305"/>
        <v>0</v>
      </c>
      <c r="UK31" s="17"/>
      <c r="UL31" s="12"/>
      <c r="UQ31" s="172">
        <f t="shared" si="287"/>
        <v>0</v>
      </c>
      <c r="UR31" s="172">
        <f t="shared" si="287"/>
        <v>0</v>
      </c>
      <c r="US31" s="15"/>
      <c r="UT31" s="12"/>
      <c r="UY31" s="9">
        <f t="shared" si="296"/>
        <v>0</v>
      </c>
      <c r="UZ31" s="9">
        <f t="shared" si="296"/>
        <v>0</v>
      </c>
      <c r="VA31" s="15"/>
      <c r="VC31" s="12"/>
      <c r="VI31" s="1"/>
      <c r="VJ31" s="172">
        <v>0</v>
      </c>
      <c r="VK31" s="179">
        <f t="shared" si="343"/>
        <v>0</v>
      </c>
      <c r="VL31" s="880"/>
      <c r="VM31" s="881"/>
      <c r="VT31" s="172">
        <v>0</v>
      </c>
      <c r="VU31" s="179">
        <f t="shared" si="344"/>
        <v>0</v>
      </c>
      <c r="VV31" s="15"/>
      <c r="WD31" s="172">
        <v>0</v>
      </c>
      <c r="WE31" s="179">
        <f t="shared" si="345"/>
        <v>0</v>
      </c>
      <c r="WG31" s="12"/>
      <c r="WN31" s="172"/>
      <c r="WO31" s="178">
        <f t="shared" si="346"/>
        <v>0</v>
      </c>
      <c r="WP31" s="15"/>
      <c r="WQ31" s="19"/>
      <c r="WX31" s="172">
        <v>0</v>
      </c>
      <c r="WY31" s="178">
        <f t="shared" si="347"/>
        <v>0</v>
      </c>
      <c r="WZ31" s="15"/>
      <c r="XA31" s="12"/>
      <c r="XD31" s="172"/>
      <c r="XH31" s="172">
        <v>0</v>
      </c>
      <c r="XI31" s="178">
        <f t="shared" si="348"/>
        <v>0</v>
      </c>
      <c r="XJ31" s="15"/>
      <c r="XK31" s="12"/>
      <c r="XR31" s="329">
        <v>0</v>
      </c>
      <c r="XS31" s="178">
        <f t="shared" si="349"/>
        <v>0</v>
      </c>
      <c r="XT31" s="15"/>
      <c r="XU31" s="12"/>
      <c r="YB31" s="178">
        <v>0</v>
      </c>
      <c r="YC31" s="178">
        <f t="shared" si="350"/>
        <v>0</v>
      </c>
      <c r="YD31" s="15"/>
      <c r="YE31" s="177"/>
      <c r="YF31" s="171"/>
      <c r="YG31" s="14"/>
      <c r="YH31" s="171"/>
      <c r="YL31" s="178">
        <v>0</v>
      </c>
      <c r="YM31" s="178">
        <f t="shared" si="351"/>
        <v>0</v>
      </c>
      <c r="YN31" s="15"/>
      <c r="YO31" s="177"/>
      <c r="YP31" s="171"/>
      <c r="YQ31" s="171"/>
      <c r="YR31" s="171"/>
      <c r="YS31" s="171"/>
      <c r="YT31" s="171"/>
      <c r="YU31" s="171"/>
      <c r="YV31" s="178">
        <v>0</v>
      </c>
      <c r="YW31" s="178">
        <f>YV31*80</f>
        <v>0</v>
      </c>
      <c r="YX31" s="15"/>
      <c r="YY31" s="12"/>
      <c r="ZF31" s="178">
        <v>0</v>
      </c>
      <c r="ZG31" s="178">
        <f t="shared" si="352"/>
        <v>0</v>
      </c>
      <c r="ZH31" s="15"/>
      <c r="ZI31" s="12"/>
      <c r="ZP31" s="178">
        <v>0</v>
      </c>
      <c r="ZQ31" s="178">
        <f t="shared" si="353"/>
        <v>0</v>
      </c>
      <c r="ZR31" s="15"/>
      <c r="ZS31" s="12"/>
      <c r="ZX31" s="9">
        <f t="shared" si="285"/>
        <v>0</v>
      </c>
      <c r="ZY31" s="9">
        <f t="shared" si="285"/>
        <v>0</v>
      </c>
      <c r="ZZ31" s="17"/>
      <c r="AAA31" s="12"/>
      <c r="AAF31" s="16">
        <f t="shared" si="297"/>
        <v>0</v>
      </c>
      <c r="AAG31" s="16">
        <f t="shared" si="297"/>
        <v>0</v>
      </c>
      <c r="AAH31" s="17"/>
      <c r="AAI31" s="256"/>
      <c r="AAJ31" s="172"/>
      <c r="AAN31" s="172">
        <f t="shared" si="306"/>
        <v>0</v>
      </c>
      <c r="AAO31" s="172">
        <f t="shared" si="306"/>
        <v>0</v>
      </c>
      <c r="AAP31" s="17"/>
      <c r="AAQ31" s="12"/>
      <c r="AAV31" s="172">
        <f t="shared" si="288"/>
        <v>0</v>
      </c>
      <c r="AAW31" s="172">
        <f t="shared" si="288"/>
        <v>0</v>
      </c>
      <c r="AAX31" s="15"/>
      <c r="AAY31" s="12"/>
      <c r="ABD31" s="9">
        <f t="shared" si="289"/>
        <v>0</v>
      </c>
      <c r="ABE31" s="9">
        <f t="shared" si="289"/>
        <v>0</v>
      </c>
      <c r="ABF31" s="15"/>
    </row>
    <row r="32" spans="1:737" x14ac:dyDescent="0.3">
      <c r="A32" s="12"/>
      <c r="B32" s="1" t="s">
        <v>28</v>
      </c>
      <c r="D32" s="12"/>
      <c r="I32" s="172">
        <v>139.4</v>
      </c>
      <c r="J32" s="244">
        <f t="shared" si="322"/>
        <v>9758</v>
      </c>
      <c r="K32" s="15"/>
      <c r="Q32" s="172">
        <v>135</v>
      </c>
      <c r="R32" s="244">
        <f t="shared" si="323"/>
        <v>9450</v>
      </c>
      <c r="S32" s="15"/>
      <c r="Y32" s="172">
        <v>135</v>
      </c>
      <c r="Z32" s="244">
        <f t="shared" si="309"/>
        <v>9450</v>
      </c>
      <c r="AA32" s="15"/>
      <c r="AG32" s="172">
        <v>135</v>
      </c>
      <c r="AH32" s="244">
        <f t="shared" si="310"/>
        <v>9450</v>
      </c>
      <c r="AI32" s="15"/>
      <c r="AO32" s="172">
        <v>165</v>
      </c>
      <c r="AP32" s="244">
        <f t="shared" si="311"/>
        <v>11550</v>
      </c>
      <c r="AQ32" s="15"/>
      <c r="AW32" s="172">
        <v>165</v>
      </c>
      <c r="AX32" s="244">
        <f t="shared" si="308"/>
        <v>11550</v>
      </c>
      <c r="AY32" s="15"/>
      <c r="BE32" s="172">
        <v>1773.4</v>
      </c>
      <c r="BF32" s="244">
        <f t="shared" si="312"/>
        <v>124138</v>
      </c>
      <c r="BG32" s="15"/>
      <c r="BM32" s="172">
        <v>151.6</v>
      </c>
      <c r="BN32" s="244">
        <f t="shared" si="313"/>
        <v>10612</v>
      </c>
      <c r="BP32" s="12"/>
      <c r="BU32" s="172">
        <v>257.39999999999998</v>
      </c>
      <c r="BV32" s="244">
        <f t="shared" si="314"/>
        <v>18018</v>
      </c>
      <c r="BW32" s="15"/>
      <c r="CC32" s="172">
        <v>257</v>
      </c>
      <c r="CD32" s="172">
        <f t="shared" si="354"/>
        <v>17990</v>
      </c>
      <c r="CF32" s="12"/>
      <c r="CK32" s="172">
        <v>257</v>
      </c>
      <c r="CL32" s="172">
        <f t="shared" si="355"/>
        <v>17990</v>
      </c>
      <c r="CM32" s="301"/>
      <c r="CS32" s="172">
        <v>334</v>
      </c>
      <c r="CT32" s="172">
        <f t="shared" si="356"/>
        <v>23380</v>
      </c>
      <c r="CV32" s="12"/>
      <c r="DA32" s="257">
        <f t="shared" si="290"/>
        <v>3904.8</v>
      </c>
      <c r="DB32" s="257">
        <f t="shared" si="290"/>
        <v>273336</v>
      </c>
      <c r="DC32" s="15"/>
      <c r="DD32" s="12"/>
      <c r="DI32" s="172">
        <v>309.8</v>
      </c>
      <c r="DJ32" s="172">
        <f t="shared" si="357"/>
        <v>21686</v>
      </c>
      <c r="DK32" s="302"/>
      <c r="DL32" s="12"/>
      <c r="DQ32" s="172">
        <v>310</v>
      </c>
      <c r="DR32" s="172">
        <f t="shared" si="358"/>
        <v>21700</v>
      </c>
      <c r="DS32" s="302"/>
      <c r="DY32" s="172">
        <v>310</v>
      </c>
      <c r="DZ32" s="172">
        <f t="shared" si="324"/>
        <v>21700</v>
      </c>
      <c r="EB32" s="142"/>
      <c r="EG32" s="172">
        <v>310</v>
      </c>
      <c r="EH32" s="172">
        <f t="shared" si="315"/>
        <v>21700</v>
      </c>
      <c r="EI32" s="143"/>
      <c r="EJ32" s="142"/>
      <c r="EO32" s="172">
        <v>310</v>
      </c>
      <c r="EP32" s="172">
        <f t="shared" si="325"/>
        <v>21700</v>
      </c>
      <c r="EQ32" s="143"/>
      <c r="ER32" s="142"/>
      <c r="EW32" s="172">
        <v>320</v>
      </c>
      <c r="EX32" s="172">
        <f t="shared" si="316"/>
        <v>22400</v>
      </c>
      <c r="EY32" s="143"/>
      <c r="EZ32" s="142"/>
      <c r="FE32" s="172">
        <v>308</v>
      </c>
      <c r="FF32" s="172">
        <f t="shared" si="317"/>
        <v>21560</v>
      </c>
      <c r="FG32" s="143"/>
      <c r="FM32" s="172">
        <v>282</v>
      </c>
      <c r="FN32" s="172">
        <f t="shared" si="318"/>
        <v>19740</v>
      </c>
      <c r="FO32" s="15"/>
      <c r="FW32" s="172">
        <v>282</v>
      </c>
      <c r="FX32" s="172">
        <f t="shared" si="319"/>
        <v>19740</v>
      </c>
      <c r="FZ32" s="319"/>
      <c r="GC32" s="32"/>
      <c r="GD32" s="32"/>
      <c r="GE32" s="32"/>
      <c r="GF32" s="32"/>
      <c r="GG32" s="172">
        <v>282</v>
      </c>
      <c r="GH32" s="172">
        <f t="shared" si="326"/>
        <v>19740</v>
      </c>
      <c r="GI32" s="273"/>
      <c r="GJ32" s="321"/>
      <c r="GK32" s="321"/>
      <c r="GL32" s="321"/>
      <c r="GM32" s="321"/>
      <c r="GN32" s="321"/>
      <c r="GO32" s="321"/>
      <c r="GP32" s="321"/>
      <c r="GQ32" s="178">
        <v>280</v>
      </c>
      <c r="GR32" s="178">
        <f t="shared" si="320"/>
        <v>19600</v>
      </c>
      <c r="GS32" s="321"/>
      <c r="GT32" s="12"/>
      <c r="HA32" s="172">
        <v>280</v>
      </c>
      <c r="HB32" s="178">
        <f t="shared" si="327"/>
        <v>19600</v>
      </c>
      <c r="HC32" s="15"/>
      <c r="HD32" s="12"/>
      <c r="HI32" s="171">
        <f t="shared" si="328"/>
        <v>3583.8</v>
      </c>
      <c r="HJ32" s="171">
        <f t="shared" si="328"/>
        <v>250866</v>
      </c>
      <c r="HK32" s="15"/>
      <c r="HL32" s="12"/>
      <c r="HQ32" s="8">
        <f t="shared" si="307"/>
        <v>929.8</v>
      </c>
      <c r="HR32" s="8">
        <f t="shared" si="307"/>
        <v>65086</v>
      </c>
      <c r="HS32" s="15"/>
      <c r="HT32" s="12"/>
      <c r="HY32" s="171">
        <f t="shared" si="299"/>
        <v>940</v>
      </c>
      <c r="HZ32" s="171">
        <f t="shared" si="299"/>
        <v>65800</v>
      </c>
      <c r="IA32" s="15"/>
      <c r="IB32" s="12"/>
      <c r="IG32" s="171">
        <f t="shared" si="300"/>
        <v>872</v>
      </c>
      <c r="IH32" s="171">
        <f t="shared" si="300"/>
        <v>61040</v>
      </c>
      <c r="II32" s="15"/>
      <c r="IJ32" s="12"/>
      <c r="IO32" s="171">
        <f t="shared" si="301"/>
        <v>842</v>
      </c>
      <c r="IP32" s="171">
        <f t="shared" si="301"/>
        <v>58940</v>
      </c>
      <c r="IQ32" s="15"/>
      <c r="IS32" s="12"/>
      <c r="IZ32" s="172">
        <v>306.2</v>
      </c>
      <c r="JA32" s="178">
        <f t="shared" si="359"/>
        <v>24496</v>
      </c>
      <c r="JB32" s="15"/>
      <c r="JC32" s="19"/>
      <c r="JJ32" s="172">
        <v>280</v>
      </c>
      <c r="JK32" s="178">
        <f t="shared" si="360"/>
        <v>22400</v>
      </c>
      <c r="JL32" s="15"/>
      <c r="JT32" s="1">
        <v>280</v>
      </c>
      <c r="JU32" s="178">
        <f t="shared" si="329"/>
        <v>21000</v>
      </c>
      <c r="JW32" s="12"/>
      <c r="KD32" s="172">
        <v>290</v>
      </c>
      <c r="KE32" s="178">
        <f t="shared" si="361"/>
        <v>23200</v>
      </c>
      <c r="KF32" s="15"/>
      <c r="KG32" s="19"/>
      <c r="KN32" s="172">
        <v>290</v>
      </c>
      <c r="KO32" s="178">
        <f t="shared" si="330"/>
        <v>23200</v>
      </c>
      <c r="KP32" s="15"/>
      <c r="KQ32" s="12"/>
      <c r="KX32" s="1">
        <v>290</v>
      </c>
      <c r="KY32" s="178">
        <f t="shared" si="362"/>
        <v>23200</v>
      </c>
      <c r="KZ32" s="15"/>
      <c r="LA32" s="12"/>
      <c r="LH32" s="172">
        <v>310</v>
      </c>
      <c r="LI32" s="178">
        <f t="shared" si="363"/>
        <v>24800</v>
      </c>
      <c r="LJ32" s="15"/>
      <c r="LK32" s="12"/>
      <c r="LR32" s="172">
        <v>320</v>
      </c>
      <c r="LS32" s="178">
        <f t="shared" si="364"/>
        <v>25600</v>
      </c>
      <c r="LT32" s="15"/>
      <c r="LU32" s="177"/>
      <c r="MB32" s="178">
        <v>320</v>
      </c>
      <c r="MC32" s="178">
        <f t="shared" si="365"/>
        <v>25600</v>
      </c>
      <c r="MD32" s="15"/>
      <c r="ME32" s="177"/>
      <c r="ML32" s="178">
        <v>320</v>
      </c>
      <c r="MM32" s="178">
        <f t="shared" si="366"/>
        <v>25600</v>
      </c>
      <c r="MN32" s="15"/>
      <c r="MO32" s="12"/>
      <c r="MV32" s="178">
        <v>312</v>
      </c>
      <c r="MW32" s="178">
        <f t="shared" si="367"/>
        <v>24960</v>
      </c>
      <c r="MY32" s="12"/>
      <c r="NF32" s="178">
        <v>310</v>
      </c>
      <c r="NG32" s="178">
        <f t="shared" si="331"/>
        <v>24800</v>
      </c>
      <c r="NH32" s="15"/>
      <c r="NN32" s="16">
        <f t="shared" si="302"/>
        <v>3628.2</v>
      </c>
      <c r="NO32" s="1533">
        <f t="shared" si="291"/>
        <v>288856</v>
      </c>
      <c r="NP32" s="17"/>
      <c r="NQ32" s="12"/>
      <c r="NV32" s="16">
        <f t="shared" si="303"/>
        <v>866.2</v>
      </c>
      <c r="NW32" s="16">
        <f t="shared" si="292"/>
        <v>67896</v>
      </c>
      <c r="NX32" s="17"/>
      <c r="NY32" s="256"/>
      <c r="OD32" s="172">
        <f t="shared" si="293"/>
        <v>870</v>
      </c>
      <c r="OE32" s="172">
        <f t="shared" si="293"/>
        <v>69600</v>
      </c>
      <c r="OF32" s="17"/>
      <c r="OG32" s="12"/>
      <c r="OL32" s="172">
        <f t="shared" si="294"/>
        <v>950</v>
      </c>
      <c r="OM32" s="172">
        <f t="shared" si="294"/>
        <v>76000</v>
      </c>
      <c r="OO32" s="12"/>
      <c r="OT32" s="16">
        <f t="shared" si="295"/>
        <v>942</v>
      </c>
      <c r="OU32" s="16">
        <f t="shared" si="295"/>
        <v>75360</v>
      </c>
      <c r="OV32" s="15"/>
      <c r="OX32" s="12"/>
      <c r="PE32" s="172">
        <f>245+254</f>
        <v>499</v>
      </c>
      <c r="PF32" s="179">
        <f t="shared" si="332"/>
        <v>39920</v>
      </c>
      <c r="PG32" s="15"/>
      <c r="PH32" s="19"/>
      <c r="PO32" s="172">
        <v>268</v>
      </c>
      <c r="PP32" s="179">
        <f t="shared" si="333"/>
        <v>21440</v>
      </c>
      <c r="PQ32" s="15"/>
      <c r="PY32" s="172">
        <v>268.3</v>
      </c>
      <c r="PZ32" s="179">
        <f t="shared" si="334"/>
        <v>21464</v>
      </c>
      <c r="QB32" s="12"/>
      <c r="QI32" s="172"/>
      <c r="QJ32" s="178">
        <f t="shared" si="335"/>
        <v>0</v>
      </c>
      <c r="QK32" s="15"/>
      <c r="QL32" s="19"/>
      <c r="QS32" s="172">
        <v>0</v>
      </c>
      <c r="QT32" s="178">
        <f t="shared" si="336"/>
        <v>0</v>
      </c>
      <c r="QU32" s="15"/>
      <c r="QV32" s="12"/>
      <c r="QY32" s="172"/>
      <c r="RC32" s="172">
        <v>272.14</v>
      </c>
      <c r="RD32" s="179">
        <f t="shared" si="337"/>
        <v>21771.199999999997</v>
      </c>
      <c r="RE32" s="15"/>
      <c r="RF32" s="12"/>
      <c r="RM32" s="35">
        <v>268.3</v>
      </c>
      <c r="RN32" s="178">
        <f t="shared" si="338"/>
        <v>21464</v>
      </c>
      <c r="RO32" s="15"/>
      <c r="RP32" s="12"/>
      <c r="RW32" s="178">
        <v>389.48</v>
      </c>
      <c r="RX32" s="178">
        <f t="shared" si="339"/>
        <v>31158.400000000001</v>
      </c>
      <c r="RY32" s="15"/>
      <c r="RZ32" s="177"/>
      <c r="SA32" s="171"/>
      <c r="SB32" s="14"/>
      <c r="SC32" s="171"/>
      <c r="SG32" s="172">
        <v>257.98</v>
      </c>
      <c r="SH32" s="178">
        <f t="shared" si="340"/>
        <v>20638.400000000001</v>
      </c>
      <c r="SI32" s="15"/>
      <c r="SJ32" s="177"/>
      <c r="SK32" s="171"/>
      <c r="SL32" s="171"/>
      <c r="SM32" s="171"/>
      <c r="SN32" s="171"/>
      <c r="SO32" s="171"/>
      <c r="SP32" s="171"/>
      <c r="SQ32" s="178">
        <v>262.98</v>
      </c>
      <c r="SR32" s="178">
        <f t="shared" si="321"/>
        <v>21038.400000000001</v>
      </c>
      <c r="SS32" s="15"/>
      <c r="ST32" s="12"/>
      <c r="TA32" s="178">
        <v>401.63</v>
      </c>
      <c r="TB32" s="178">
        <f t="shared" si="341"/>
        <v>32130.400000000001</v>
      </c>
      <c r="TC32" s="15"/>
      <c r="TD32" s="12"/>
      <c r="TK32" s="178">
        <v>0</v>
      </c>
      <c r="TL32" s="178">
        <f t="shared" si="342"/>
        <v>0</v>
      </c>
      <c r="TM32" s="15"/>
      <c r="TN32" s="12"/>
      <c r="TS32" s="9">
        <f t="shared" si="286"/>
        <v>2887.8100000000004</v>
      </c>
      <c r="TT32" s="9">
        <f t="shared" si="286"/>
        <v>231024.8</v>
      </c>
      <c r="TU32" s="17"/>
      <c r="TV32" s="12"/>
      <c r="UA32" s="16">
        <f t="shared" si="304"/>
        <v>1035.3</v>
      </c>
      <c r="UB32" s="16">
        <f t="shared" si="304"/>
        <v>82824</v>
      </c>
      <c r="UC32" s="17"/>
      <c r="UD32" s="256"/>
      <c r="UE32" s="172"/>
      <c r="UI32" s="172">
        <f t="shared" si="305"/>
        <v>272.14</v>
      </c>
      <c r="UJ32" s="172">
        <f t="shared" si="305"/>
        <v>21771.199999999997</v>
      </c>
      <c r="UK32" s="17"/>
      <c r="UL32" s="12"/>
      <c r="UQ32" s="172">
        <f t="shared" si="287"/>
        <v>915.76</v>
      </c>
      <c r="UR32" s="172">
        <f t="shared" si="287"/>
        <v>73260.800000000003</v>
      </c>
      <c r="US32" s="15"/>
      <c r="UT32" s="12"/>
      <c r="UY32" s="9">
        <f t="shared" si="296"/>
        <v>664.61</v>
      </c>
      <c r="UZ32" s="9">
        <f t="shared" si="296"/>
        <v>53168.800000000003</v>
      </c>
      <c r="VA32" s="15"/>
      <c r="VC32" s="12"/>
      <c r="VI32" s="1"/>
      <c r="VJ32" s="172">
        <v>517.69000000000005</v>
      </c>
      <c r="VK32" s="179">
        <f t="shared" si="343"/>
        <v>41415.200000000004</v>
      </c>
      <c r="VL32" s="15"/>
      <c r="VM32" s="19"/>
      <c r="VT32" s="172">
        <v>314.06</v>
      </c>
      <c r="VU32" s="179">
        <f t="shared" si="344"/>
        <v>25124.799999999999</v>
      </c>
      <c r="VV32" s="15"/>
      <c r="WD32" s="172">
        <v>309</v>
      </c>
      <c r="WE32" s="179">
        <f t="shared" si="345"/>
        <v>24720</v>
      </c>
      <c r="WG32" s="12"/>
      <c r="WN32" s="172">
        <v>320</v>
      </c>
      <c r="WO32" s="178">
        <f t="shared" si="346"/>
        <v>25600</v>
      </c>
      <c r="WP32" s="15"/>
      <c r="WQ32" s="19"/>
      <c r="WX32" s="172">
        <v>174</v>
      </c>
      <c r="WY32" s="178">
        <f t="shared" si="347"/>
        <v>13920</v>
      </c>
      <c r="WZ32" s="15"/>
      <c r="XA32" s="12"/>
      <c r="XD32" s="172"/>
      <c r="XH32" s="172">
        <v>521</v>
      </c>
      <c r="XI32" s="178">
        <f t="shared" si="348"/>
        <v>41680</v>
      </c>
      <c r="XJ32" s="15"/>
      <c r="XK32" s="12"/>
      <c r="XR32" s="172">
        <v>539</v>
      </c>
      <c r="XS32" s="178">
        <f t="shared" si="349"/>
        <v>43120</v>
      </c>
      <c r="XT32" s="15"/>
      <c r="XU32" s="12"/>
      <c r="YB32" s="172">
        <v>0</v>
      </c>
      <c r="YC32" s="178">
        <f t="shared" si="350"/>
        <v>0</v>
      </c>
      <c r="YD32" s="15"/>
      <c r="YE32" s="177"/>
      <c r="YF32" s="171"/>
      <c r="YG32" s="14"/>
      <c r="YH32" s="171"/>
      <c r="YL32" s="178">
        <v>958</v>
      </c>
      <c r="YM32" s="178">
        <f t="shared" si="351"/>
        <v>76640</v>
      </c>
      <c r="YN32" s="15"/>
      <c r="YO32" s="177"/>
      <c r="YP32" s="171"/>
      <c r="YQ32" s="171"/>
      <c r="YR32" s="171"/>
      <c r="YS32" s="171"/>
      <c r="YT32" s="171"/>
      <c r="YU32" s="171"/>
      <c r="YV32" s="178">
        <v>376.22</v>
      </c>
      <c r="YW32" s="178">
        <f>YV32*80</f>
        <v>30097.600000000002</v>
      </c>
      <c r="YX32" s="15"/>
      <c r="YY32" s="12"/>
      <c r="ZF32" s="178">
        <v>0</v>
      </c>
      <c r="ZG32" s="178">
        <f t="shared" si="352"/>
        <v>0</v>
      </c>
      <c r="ZH32" s="15"/>
      <c r="ZI32" s="12"/>
      <c r="ZP32" s="178">
        <v>0</v>
      </c>
      <c r="ZQ32" s="178">
        <f t="shared" si="353"/>
        <v>0</v>
      </c>
      <c r="ZR32" s="15"/>
      <c r="ZS32" s="12"/>
      <c r="ZX32" s="9">
        <f t="shared" si="285"/>
        <v>4028.9700000000003</v>
      </c>
      <c r="ZY32" s="9">
        <f t="shared" si="285"/>
        <v>322317.60000000003</v>
      </c>
      <c r="ZZ32" s="17"/>
      <c r="AAA32" s="12"/>
      <c r="AAF32" s="16">
        <f t="shared" si="297"/>
        <v>1140.75</v>
      </c>
      <c r="AAG32" s="16">
        <f t="shared" si="297"/>
        <v>91260</v>
      </c>
      <c r="AAH32" s="17"/>
      <c r="AAI32" s="256"/>
      <c r="AAJ32" s="172"/>
      <c r="AAN32" s="172">
        <f t="shared" si="306"/>
        <v>1015</v>
      </c>
      <c r="AAO32" s="172">
        <f t="shared" si="306"/>
        <v>81200</v>
      </c>
      <c r="AAP32" s="17"/>
      <c r="AAQ32" s="12"/>
      <c r="AAV32" s="172">
        <f t="shared" si="288"/>
        <v>1497</v>
      </c>
      <c r="AAW32" s="172">
        <f t="shared" si="288"/>
        <v>119760</v>
      </c>
      <c r="AAX32" s="15"/>
      <c r="AAY32" s="12"/>
      <c r="ABD32" s="9">
        <f t="shared" si="289"/>
        <v>376.22</v>
      </c>
      <c r="ABE32" s="9">
        <f t="shared" si="289"/>
        <v>30097.600000000002</v>
      </c>
      <c r="ABF32" s="15"/>
    </row>
    <row r="33" spans="1:734" x14ac:dyDescent="0.3">
      <c r="A33" s="12"/>
      <c r="B33" s="1" t="s">
        <v>29</v>
      </c>
      <c r="D33" s="12"/>
      <c r="J33" s="244">
        <f t="shared" si="322"/>
        <v>0</v>
      </c>
      <c r="K33" s="15"/>
      <c r="R33" s="244">
        <f t="shared" si="323"/>
        <v>0</v>
      </c>
      <c r="S33" s="15"/>
      <c r="Y33" s="172">
        <v>3021</v>
      </c>
      <c r="Z33" s="244">
        <f t="shared" si="309"/>
        <v>211470</v>
      </c>
      <c r="AA33" s="15"/>
      <c r="AG33" s="172">
        <v>604</v>
      </c>
      <c r="AH33" s="244">
        <f t="shared" si="310"/>
        <v>42280</v>
      </c>
      <c r="AI33" s="15"/>
      <c r="AO33" s="172">
        <v>2968</v>
      </c>
      <c r="AP33" s="244">
        <f t="shared" si="311"/>
        <v>207760</v>
      </c>
      <c r="AQ33" s="15"/>
      <c r="AW33" s="172">
        <v>1208</v>
      </c>
      <c r="AX33" s="244">
        <f t="shared" si="308"/>
        <v>84560</v>
      </c>
      <c r="AY33" s="15"/>
      <c r="BE33" s="1">
        <v>604</v>
      </c>
      <c r="BF33" s="244">
        <f t="shared" si="312"/>
        <v>42280</v>
      </c>
      <c r="BG33" s="15"/>
      <c r="BM33" s="1">
        <v>960</v>
      </c>
      <c r="BN33" s="244">
        <f t="shared" si="313"/>
        <v>67200</v>
      </c>
      <c r="BP33" s="12"/>
      <c r="BV33" s="244">
        <f t="shared" si="314"/>
        <v>0</v>
      </c>
      <c r="BW33" s="15"/>
      <c r="CC33" s="172">
        <v>1250</v>
      </c>
      <c r="CD33" s="172">
        <f t="shared" si="354"/>
        <v>87500</v>
      </c>
      <c r="CF33" s="12"/>
      <c r="CK33" s="172">
        <v>604</v>
      </c>
      <c r="CL33" s="172">
        <f t="shared" si="355"/>
        <v>42280</v>
      </c>
      <c r="CM33" s="301"/>
      <c r="CS33" s="172">
        <v>1854</v>
      </c>
      <c r="CT33" s="172">
        <f t="shared" si="356"/>
        <v>129780</v>
      </c>
      <c r="CV33" s="12"/>
      <c r="DA33" s="257">
        <f t="shared" si="290"/>
        <v>13073</v>
      </c>
      <c r="DB33" s="257">
        <f t="shared" si="290"/>
        <v>915110</v>
      </c>
      <c r="DC33" s="15"/>
      <c r="DD33" s="12"/>
      <c r="DI33" s="172">
        <v>1854.24</v>
      </c>
      <c r="DJ33" s="172">
        <f t="shared" si="357"/>
        <v>129796.8</v>
      </c>
      <c r="DK33" s="302"/>
      <c r="DL33" s="12"/>
      <c r="DQ33" s="172">
        <v>1854.24</v>
      </c>
      <c r="DR33" s="172">
        <f t="shared" si="358"/>
        <v>129796.8</v>
      </c>
      <c r="DS33" s="302"/>
      <c r="DY33" s="172">
        <v>615</v>
      </c>
      <c r="DZ33" s="172">
        <f t="shared" si="324"/>
        <v>43050</v>
      </c>
      <c r="EB33" s="142"/>
      <c r="EG33" s="172">
        <f>604.5+399</f>
        <v>1003.5</v>
      </c>
      <c r="EH33" s="172">
        <f t="shared" si="315"/>
        <v>70245</v>
      </c>
      <c r="EI33" s="143"/>
      <c r="EJ33" s="142"/>
      <c r="EO33" s="172">
        <v>1004</v>
      </c>
      <c r="EP33" s="172">
        <f t="shared" si="325"/>
        <v>70280</v>
      </c>
      <c r="EQ33" s="143"/>
      <c r="ER33" s="142"/>
      <c r="EW33" s="172">
        <v>1004</v>
      </c>
      <c r="EX33" s="172">
        <f t="shared" si="316"/>
        <v>70280</v>
      </c>
      <c r="EY33" s="143"/>
      <c r="EZ33" s="142"/>
      <c r="FE33" s="172">
        <v>716</v>
      </c>
      <c r="FF33" s="172">
        <f t="shared" si="317"/>
        <v>50120</v>
      </c>
      <c r="FG33" s="143"/>
      <c r="FM33" s="172">
        <v>925</v>
      </c>
      <c r="FN33" s="172">
        <f t="shared" si="318"/>
        <v>64750</v>
      </c>
      <c r="FO33" s="15"/>
      <c r="FW33" s="172">
        <v>925</v>
      </c>
      <c r="FX33" s="172">
        <f t="shared" si="319"/>
        <v>64750</v>
      </c>
      <c r="FZ33" s="319"/>
      <c r="GC33" s="32"/>
      <c r="GD33" s="32"/>
      <c r="GE33" s="32"/>
      <c r="GF33" s="32"/>
      <c r="GG33" s="172">
        <v>31000</v>
      </c>
      <c r="GH33" s="172">
        <f t="shared" si="326"/>
        <v>2170000</v>
      </c>
      <c r="GI33" s="273"/>
      <c r="GJ33" s="321"/>
      <c r="GK33" s="321"/>
      <c r="GL33" s="321"/>
      <c r="GM33" s="321"/>
      <c r="GN33" s="321"/>
      <c r="GO33" s="321"/>
      <c r="GP33" s="321"/>
      <c r="GQ33" s="178">
        <v>626</v>
      </c>
      <c r="GR33" s="178">
        <f t="shared" si="320"/>
        <v>43820</v>
      </c>
      <c r="GS33" s="321"/>
      <c r="GT33" s="12"/>
      <c r="HA33" s="172">
        <v>2233.06</v>
      </c>
      <c r="HB33" s="178">
        <f t="shared" si="327"/>
        <v>156314.19999999998</v>
      </c>
      <c r="HC33" s="15"/>
      <c r="HD33" s="12"/>
      <c r="HI33" s="171">
        <f t="shared" si="328"/>
        <v>43760.039999999994</v>
      </c>
      <c r="HJ33" s="171">
        <f t="shared" si="328"/>
        <v>3063202.8</v>
      </c>
      <c r="HK33" s="15"/>
      <c r="HL33" s="12"/>
      <c r="HQ33" s="8">
        <f t="shared" si="307"/>
        <v>4323.4799999999996</v>
      </c>
      <c r="HR33" s="8">
        <f t="shared" si="307"/>
        <v>302643.59999999998</v>
      </c>
      <c r="HS33" s="15"/>
      <c r="HT33" s="12"/>
      <c r="HY33" s="171">
        <f t="shared" si="299"/>
        <v>3011.5</v>
      </c>
      <c r="HZ33" s="171">
        <f t="shared" si="299"/>
        <v>210805</v>
      </c>
      <c r="IA33" s="15"/>
      <c r="IB33" s="12"/>
      <c r="IG33" s="171">
        <f t="shared" si="300"/>
        <v>2566</v>
      </c>
      <c r="IH33" s="171">
        <f t="shared" si="300"/>
        <v>179620</v>
      </c>
      <c r="II33" s="15"/>
      <c r="IJ33" s="12"/>
      <c r="IO33" s="171">
        <f t="shared" si="301"/>
        <v>33859.06</v>
      </c>
      <c r="IP33" s="171">
        <f t="shared" si="301"/>
        <v>2370134.2000000002</v>
      </c>
      <c r="IQ33" s="15"/>
      <c r="IS33" s="12"/>
      <c r="IZ33" s="172">
        <f>1637+625.66</f>
        <v>2262.66</v>
      </c>
      <c r="JA33" s="178">
        <f t="shared" si="359"/>
        <v>181012.8</v>
      </c>
      <c r="JB33" s="15"/>
      <c r="JC33" s="19"/>
      <c r="JJ33" s="172">
        <v>626</v>
      </c>
      <c r="JK33" s="178">
        <f t="shared" si="360"/>
        <v>50080</v>
      </c>
      <c r="JL33" s="15"/>
      <c r="JT33" s="1">
        <v>1757</v>
      </c>
      <c r="JU33" s="178">
        <f t="shared" si="329"/>
        <v>131775</v>
      </c>
      <c r="JW33" s="12"/>
      <c r="KD33" s="172">
        <v>1115</v>
      </c>
      <c r="KE33" s="178">
        <f t="shared" si="361"/>
        <v>89200</v>
      </c>
      <c r="KF33" s="15"/>
      <c r="KG33" s="19"/>
      <c r="KN33" s="172">
        <f>1115</f>
        <v>1115</v>
      </c>
      <c r="KO33" s="178">
        <f t="shared" si="330"/>
        <v>89200</v>
      </c>
      <c r="KP33" s="15"/>
      <c r="KQ33" s="12"/>
      <c r="KX33" s="35">
        <v>625.74</v>
      </c>
      <c r="KY33" s="178">
        <f t="shared" si="362"/>
        <v>50059.199999999997</v>
      </c>
      <c r="KZ33" s="15"/>
      <c r="LA33" s="12"/>
      <c r="LH33" s="172">
        <f>626+1000</f>
        <v>1626</v>
      </c>
      <c r="LI33" s="178">
        <f t="shared" si="363"/>
        <v>130080</v>
      </c>
      <c r="LJ33" s="15"/>
      <c r="LK33" s="12"/>
      <c r="LR33" s="172">
        <v>1250</v>
      </c>
      <c r="LS33" s="178">
        <f t="shared" si="364"/>
        <v>100000</v>
      </c>
      <c r="LT33" s="15"/>
      <c r="LU33" s="177"/>
      <c r="MB33" s="172">
        <v>417</v>
      </c>
      <c r="MC33" s="178">
        <f t="shared" si="365"/>
        <v>33360</v>
      </c>
      <c r="MD33" s="15"/>
      <c r="ME33" s="177"/>
      <c r="ML33" s="172">
        <f>400</f>
        <v>400</v>
      </c>
      <c r="MM33" s="178">
        <f t="shared" si="366"/>
        <v>32000</v>
      </c>
      <c r="MN33" s="15"/>
      <c r="MO33" s="12"/>
      <c r="MV33" s="172">
        <f>400+31000</f>
        <v>31400</v>
      </c>
      <c r="MW33" s="178">
        <f t="shared" si="367"/>
        <v>2512000</v>
      </c>
      <c r="MY33" s="12"/>
      <c r="NF33" s="172">
        <f>400</f>
        <v>400</v>
      </c>
      <c r="NG33" s="178">
        <f t="shared" si="331"/>
        <v>32000</v>
      </c>
      <c r="NH33" s="15"/>
      <c r="NN33" s="16">
        <f t="shared" si="302"/>
        <v>42994.399999999994</v>
      </c>
      <c r="NO33" s="1533">
        <f t="shared" si="291"/>
        <v>3430767</v>
      </c>
      <c r="NP33" s="17"/>
      <c r="NQ33" s="12"/>
      <c r="NV33" s="16">
        <f t="shared" si="303"/>
        <v>4645.66</v>
      </c>
      <c r="NW33" s="16">
        <f t="shared" si="292"/>
        <v>362867.8</v>
      </c>
      <c r="NX33" s="17"/>
      <c r="NY33" s="256"/>
      <c r="OD33" s="172">
        <f t="shared" si="293"/>
        <v>2855.74</v>
      </c>
      <c r="OE33" s="172">
        <f t="shared" si="293"/>
        <v>228459.2</v>
      </c>
      <c r="OF33" s="17"/>
      <c r="OG33" s="12"/>
      <c r="OL33" s="172">
        <f t="shared" si="294"/>
        <v>3293</v>
      </c>
      <c r="OM33" s="172">
        <f t="shared" si="294"/>
        <v>263440</v>
      </c>
      <c r="OO33" s="12"/>
      <c r="OT33" s="16">
        <f t="shared" si="295"/>
        <v>32200</v>
      </c>
      <c r="OU33" s="16">
        <f t="shared" si="295"/>
        <v>2576000</v>
      </c>
      <c r="OV33" s="15"/>
      <c r="OX33" s="12"/>
      <c r="PE33" s="172">
        <v>870</v>
      </c>
      <c r="PF33" s="179">
        <f t="shared" si="332"/>
        <v>69600</v>
      </c>
      <c r="PG33" s="15"/>
      <c r="PH33" s="19"/>
      <c r="PO33" s="172">
        <v>2109</v>
      </c>
      <c r="PP33" s="179">
        <f t="shared" si="333"/>
        <v>168720</v>
      </c>
      <c r="PQ33" s="15"/>
      <c r="PY33" s="172">
        <v>381</v>
      </c>
      <c r="PZ33" s="179">
        <f t="shared" si="334"/>
        <v>30480</v>
      </c>
      <c r="QB33" s="12"/>
      <c r="QI33" s="172">
        <v>2758</v>
      </c>
      <c r="QJ33" s="178">
        <f t="shared" si="335"/>
        <v>220640</v>
      </c>
      <c r="QK33" s="15"/>
      <c r="QL33" s="19"/>
      <c r="QS33" s="172">
        <v>1216.2</v>
      </c>
      <c r="QT33" s="178">
        <f t="shared" si="336"/>
        <v>97296</v>
      </c>
      <c r="QU33" s="15"/>
      <c r="QV33" s="12"/>
      <c r="QY33" s="172"/>
      <c r="RC33" s="172">
        <f>32550+15.6+666.6</f>
        <v>33232.199999999997</v>
      </c>
      <c r="RD33" s="179">
        <f t="shared" si="337"/>
        <v>2658576</v>
      </c>
      <c r="RE33" s="15"/>
      <c r="RF33" s="12"/>
      <c r="RM33" s="35">
        <v>1674.38</v>
      </c>
      <c r="RN33" s="178">
        <f t="shared" si="338"/>
        <v>133950.40000000002</v>
      </c>
      <c r="RO33" s="15"/>
      <c r="RP33" s="12"/>
      <c r="RW33" s="178">
        <v>1771.8</v>
      </c>
      <c r="RX33" s="178">
        <f t="shared" si="339"/>
        <v>141744</v>
      </c>
      <c r="RY33" s="15"/>
      <c r="RZ33" s="177"/>
      <c r="SA33" s="171"/>
      <c r="SB33" s="14"/>
      <c r="SC33" s="171"/>
      <c r="SG33" s="172">
        <v>0</v>
      </c>
      <c r="SH33" s="178">
        <f t="shared" si="340"/>
        <v>0</v>
      </c>
      <c r="SI33" s="15"/>
      <c r="SJ33" s="177"/>
      <c r="SK33" s="171"/>
      <c r="SL33" s="171"/>
      <c r="SM33" s="171"/>
      <c r="SN33" s="171"/>
      <c r="SO33" s="171"/>
      <c r="SP33" s="171"/>
      <c r="SQ33" s="172">
        <v>1333</v>
      </c>
      <c r="SR33" s="178">
        <f t="shared" si="321"/>
        <v>106640</v>
      </c>
      <c r="SS33" s="15"/>
      <c r="ST33" s="12"/>
      <c r="TA33" s="172">
        <v>870</v>
      </c>
      <c r="TB33" s="178">
        <f t="shared" si="341"/>
        <v>69600</v>
      </c>
      <c r="TC33" s="15"/>
      <c r="TD33" s="12"/>
      <c r="TK33" s="172">
        <v>0</v>
      </c>
      <c r="TL33" s="178">
        <f t="shared" si="342"/>
        <v>0</v>
      </c>
      <c r="TM33" s="15"/>
      <c r="TN33" s="12"/>
      <c r="TS33" s="9">
        <f t="shared" si="286"/>
        <v>46215.579999999994</v>
      </c>
      <c r="TT33" s="9">
        <f t="shared" si="286"/>
        <v>3697246.4</v>
      </c>
      <c r="TU33" s="17"/>
      <c r="TV33" s="12"/>
      <c r="UA33" s="16">
        <f t="shared" si="304"/>
        <v>3360</v>
      </c>
      <c r="UB33" s="16">
        <f t="shared" si="304"/>
        <v>268800</v>
      </c>
      <c r="UC33" s="17"/>
      <c r="UD33" s="256"/>
      <c r="UE33" s="172"/>
      <c r="UI33" s="172">
        <f t="shared" si="305"/>
        <v>37206.399999999994</v>
      </c>
      <c r="UJ33" s="172">
        <f t="shared" si="305"/>
        <v>2976512</v>
      </c>
      <c r="UK33" s="17"/>
      <c r="UL33" s="12"/>
      <c r="UQ33" s="172">
        <f t="shared" si="287"/>
        <v>3446.1800000000003</v>
      </c>
      <c r="UR33" s="172">
        <f t="shared" si="287"/>
        <v>275694.40000000002</v>
      </c>
      <c r="US33" s="15"/>
      <c r="UT33" s="12"/>
      <c r="UY33" s="9">
        <f t="shared" si="296"/>
        <v>2203</v>
      </c>
      <c r="UZ33" s="9">
        <f t="shared" si="296"/>
        <v>176240</v>
      </c>
      <c r="VA33" s="15"/>
      <c r="VC33" s="12"/>
      <c r="VI33" s="1"/>
      <c r="VJ33" s="172">
        <v>1055.2</v>
      </c>
      <c r="VK33" s="179">
        <f t="shared" si="343"/>
        <v>84416</v>
      </c>
      <c r="VL33" s="15"/>
      <c r="VM33" s="19"/>
      <c r="VT33" s="172">
        <v>0</v>
      </c>
      <c r="VU33" s="179">
        <f t="shared" si="344"/>
        <v>0</v>
      </c>
      <c r="VV33" s="15"/>
      <c r="WD33" s="172">
        <v>7661</v>
      </c>
      <c r="WE33" s="179">
        <f t="shared" si="345"/>
        <v>612880</v>
      </c>
      <c r="WG33" s="12"/>
      <c r="WN33" s="172">
        <f>349</f>
        <v>349</v>
      </c>
      <c r="WO33" s="178">
        <f t="shared" si="346"/>
        <v>27920</v>
      </c>
      <c r="WP33" s="15"/>
      <c r="WQ33" s="19"/>
      <c r="WX33" s="172">
        <v>349</v>
      </c>
      <c r="WY33" s="178">
        <f t="shared" si="347"/>
        <v>27920</v>
      </c>
      <c r="WZ33" s="15"/>
      <c r="XA33" s="12"/>
      <c r="XD33" s="172"/>
      <c r="XH33" s="172">
        <f>349+2002</f>
        <v>2351</v>
      </c>
      <c r="XI33" s="178">
        <f t="shared" si="348"/>
        <v>188080</v>
      </c>
      <c r="XJ33" s="15"/>
      <c r="XK33" s="12"/>
      <c r="XR33" s="329">
        <v>0</v>
      </c>
      <c r="XS33" s="178">
        <f t="shared" si="349"/>
        <v>0</v>
      </c>
      <c r="XT33" s="15"/>
      <c r="XU33" s="12"/>
      <c r="YB33" s="178">
        <v>1350.28</v>
      </c>
      <c r="YC33" s="178">
        <f t="shared" si="350"/>
        <v>108022.39999999999</v>
      </c>
      <c r="YD33" s="15"/>
      <c r="YE33" s="177"/>
      <c r="YF33" s="171"/>
      <c r="YG33" s="14"/>
      <c r="YH33" s="171"/>
      <c r="YL33" s="178">
        <f>35675</f>
        <v>35675</v>
      </c>
      <c r="YM33" s="178">
        <f t="shared" si="351"/>
        <v>2854000</v>
      </c>
      <c r="YN33" s="15"/>
      <c r="YO33" s="177"/>
      <c r="YP33" s="171"/>
      <c r="YQ33" s="171"/>
      <c r="YR33" s="171"/>
      <c r="YS33" s="171"/>
      <c r="YT33" s="171"/>
      <c r="YU33" s="171"/>
      <c r="YV33" s="178">
        <v>0</v>
      </c>
      <c r="YW33" s="178">
        <f>YV33*80</f>
        <v>0</v>
      </c>
      <c r="YX33" s="15"/>
      <c r="YY33" s="12"/>
      <c r="ZF33" s="178">
        <v>0</v>
      </c>
      <c r="ZG33" s="178">
        <f t="shared" si="352"/>
        <v>0</v>
      </c>
      <c r="ZH33" s="15"/>
      <c r="ZI33" s="12"/>
      <c r="ZP33" s="172">
        <v>0</v>
      </c>
      <c r="ZQ33" s="178">
        <f t="shared" si="353"/>
        <v>0</v>
      </c>
      <c r="ZR33" s="15"/>
      <c r="ZS33" s="12"/>
      <c r="ZX33" s="9">
        <f t="shared" si="285"/>
        <v>48790.479999999996</v>
      </c>
      <c r="ZY33" s="9">
        <f t="shared" si="285"/>
        <v>3903238.4</v>
      </c>
      <c r="ZZ33" s="17"/>
      <c r="AAA33" s="12"/>
      <c r="AAF33" s="16">
        <f t="shared" si="297"/>
        <v>8716.2000000000007</v>
      </c>
      <c r="AAG33" s="16">
        <f t="shared" si="297"/>
        <v>697296</v>
      </c>
      <c r="AAH33" s="17"/>
      <c r="AAI33" s="256"/>
      <c r="AAJ33" s="172"/>
      <c r="AAN33" s="172">
        <f t="shared" si="306"/>
        <v>3049</v>
      </c>
      <c r="AAO33" s="172">
        <f t="shared" si="306"/>
        <v>243920</v>
      </c>
      <c r="AAP33" s="17"/>
      <c r="AAQ33" s="12"/>
      <c r="AAV33" s="172">
        <f t="shared" si="288"/>
        <v>37025.279999999999</v>
      </c>
      <c r="AAW33" s="172">
        <f t="shared" si="288"/>
        <v>2962022.3999999999</v>
      </c>
      <c r="AAX33" s="15"/>
      <c r="AAY33" s="12"/>
      <c r="ABD33" s="9">
        <f t="shared" si="289"/>
        <v>0</v>
      </c>
      <c r="ABE33" s="9">
        <f t="shared" si="289"/>
        <v>0</v>
      </c>
      <c r="ABF33" s="15"/>
    </row>
    <row r="34" spans="1:734" x14ac:dyDescent="0.3">
      <c r="A34" s="12"/>
      <c r="B34" s="1" t="s">
        <v>30</v>
      </c>
      <c r="D34" s="12"/>
      <c r="J34" s="244">
        <f t="shared" si="322"/>
        <v>0</v>
      </c>
      <c r="K34" s="15"/>
      <c r="Q34" s="1">
        <v>563</v>
      </c>
      <c r="R34" s="244">
        <f t="shared" si="323"/>
        <v>39410</v>
      </c>
      <c r="S34" s="15"/>
      <c r="Z34" s="244">
        <f t="shared" si="309"/>
        <v>0</v>
      </c>
      <c r="AA34" s="15"/>
      <c r="AG34" s="172"/>
      <c r="AH34" s="244">
        <f t="shared" si="310"/>
        <v>0</v>
      </c>
      <c r="AI34" s="15"/>
      <c r="AO34" s="172">
        <v>1518</v>
      </c>
      <c r="AP34" s="244">
        <f t="shared" si="311"/>
        <v>106260</v>
      </c>
      <c r="AQ34" s="15"/>
      <c r="AW34" s="172">
        <v>471</v>
      </c>
      <c r="AX34" s="244">
        <f t="shared" si="308"/>
        <v>32970</v>
      </c>
      <c r="AY34" s="15"/>
      <c r="BE34" s="1">
        <v>552</v>
      </c>
      <c r="BF34" s="244">
        <f t="shared" si="312"/>
        <v>38640</v>
      </c>
      <c r="BG34" s="15"/>
      <c r="BM34" s="1">
        <v>328</v>
      </c>
      <c r="BN34" s="244">
        <f t="shared" si="313"/>
        <v>22960</v>
      </c>
      <c r="BP34" s="12"/>
      <c r="BU34" s="1">
        <v>30356</v>
      </c>
      <c r="BV34" s="244">
        <f t="shared" si="314"/>
        <v>2124920</v>
      </c>
      <c r="BW34" s="15"/>
      <c r="CC34" s="172">
        <v>478</v>
      </c>
      <c r="CD34" s="172">
        <f t="shared" si="354"/>
        <v>33460</v>
      </c>
      <c r="CF34" s="12"/>
      <c r="CK34" s="172">
        <v>239</v>
      </c>
      <c r="CL34" s="172">
        <f t="shared" si="355"/>
        <v>16730</v>
      </c>
      <c r="CM34" s="301"/>
      <c r="CS34" s="172">
        <v>239</v>
      </c>
      <c r="CT34" s="172">
        <f t="shared" si="356"/>
        <v>16730</v>
      </c>
      <c r="CV34" s="12"/>
      <c r="DA34" s="257">
        <f t="shared" si="290"/>
        <v>34744</v>
      </c>
      <c r="DB34" s="257">
        <f t="shared" si="290"/>
        <v>2432080</v>
      </c>
      <c r="DC34" s="15"/>
      <c r="DD34" s="12"/>
      <c r="DI34" s="172">
        <v>278.22000000000003</v>
      </c>
      <c r="DJ34" s="172">
        <f t="shared" si="357"/>
        <v>19475.400000000001</v>
      </c>
      <c r="DK34" s="302"/>
      <c r="DL34" s="12"/>
      <c r="DQ34" s="172">
        <v>278</v>
      </c>
      <c r="DR34" s="172">
        <f t="shared" si="358"/>
        <v>19460</v>
      </c>
      <c r="DS34" s="302"/>
      <c r="DY34" s="172">
        <v>314</v>
      </c>
      <c r="DZ34" s="172">
        <f t="shared" si="324"/>
        <v>21980</v>
      </c>
      <c r="EB34" s="142"/>
      <c r="EG34" s="172">
        <v>314</v>
      </c>
      <c r="EH34" s="172">
        <f t="shared" si="315"/>
        <v>21980</v>
      </c>
      <c r="EI34" s="143"/>
      <c r="EJ34" s="142"/>
      <c r="EO34" s="172">
        <v>310</v>
      </c>
      <c r="EP34" s="172">
        <f t="shared" si="325"/>
        <v>21700</v>
      </c>
      <c r="EQ34" s="143"/>
      <c r="ER34" s="142"/>
      <c r="EW34" s="172">
        <v>310</v>
      </c>
      <c r="EX34" s="172">
        <f t="shared" si="316"/>
        <v>21700</v>
      </c>
      <c r="EY34" s="143"/>
      <c r="EZ34" s="142"/>
      <c r="FE34" s="172">
        <v>310</v>
      </c>
      <c r="FF34" s="172">
        <f t="shared" si="317"/>
        <v>21700</v>
      </c>
      <c r="FG34" s="143"/>
      <c r="FM34" s="172">
        <v>310</v>
      </c>
      <c r="FN34" s="172">
        <f t="shared" si="318"/>
        <v>21700</v>
      </c>
      <c r="FO34" s="15"/>
      <c r="FW34" s="172">
        <v>325</v>
      </c>
      <c r="FX34" s="172">
        <f t="shared" si="319"/>
        <v>22750</v>
      </c>
      <c r="FZ34" s="319"/>
      <c r="GC34" s="32"/>
      <c r="GD34" s="32"/>
      <c r="GE34" s="32"/>
      <c r="GF34" s="32"/>
      <c r="GG34" s="172">
        <v>360</v>
      </c>
      <c r="GH34" s="172">
        <f t="shared" si="326"/>
        <v>25200</v>
      </c>
      <c r="GI34" s="273"/>
      <c r="GJ34" s="321"/>
      <c r="GK34" s="321"/>
      <c r="GL34" s="321"/>
      <c r="GM34" s="321"/>
      <c r="GN34" s="321"/>
      <c r="GO34" s="321"/>
      <c r="GP34" s="321"/>
      <c r="GQ34" s="178">
        <v>350</v>
      </c>
      <c r="GR34" s="178">
        <f t="shared" si="320"/>
        <v>24500</v>
      </c>
      <c r="GS34" s="321"/>
      <c r="GT34" s="12"/>
      <c r="HA34" s="172">
        <v>331.71</v>
      </c>
      <c r="HB34" s="178">
        <f t="shared" si="327"/>
        <v>23219.699999999997</v>
      </c>
      <c r="HC34" s="15"/>
      <c r="HD34" s="12"/>
      <c r="HI34" s="171">
        <f t="shared" si="328"/>
        <v>3790.9300000000003</v>
      </c>
      <c r="HJ34" s="171">
        <f t="shared" si="328"/>
        <v>265365.10000000003</v>
      </c>
      <c r="HK34" s="15"/>
      <c r="HL34" s="12"/>
      <c r="HQ34" s="8">
        <f t="shared" si="307"/>
        <v>870.22</v>
      </c>
      <c r="HR34" s="8">
        <f t="shared" si="307"/>
        <v>60915.4</v>
      </c>
      <c r="HS34" s="15"/>
      <c r="HT34" s="12"/>
      <c r="HY34" s="171">
        <f t="shared" si="299"/>
        <v>934</v>
      </c>
      <c r="HZ34" s="171">
        <f t="shared" si="299"/>
        <v>65380</v>
      </c>
      <c r="IA34" s="15"/>
      <c r="IB34" s="12"/>
      <c r="IG34" s="171">
        <f t="shared" si="300"/>
        <v>945</v>
      </c>
      <c r="IH34" s="171">
        <f t="shared" si="300"/>
        <v>66150</v>
      </c>
      <c r="II34" s="15"/>
      <c r="IJ34" s="12"/>
      <c r="IO34" s="171">
        <f t="shared" si="301"/>
        <v>1041.71</v>
      </c>
      <c r="IP34" s="171">
        <f t="shared" si="301"/>
        <v>72919.7</v>
      </c>
      <c r="IQ34" s="15"/>
      <c r="IS34" s="12"/>
      <c r="IZ34" s="172">
        <v>325.7</v>
      </c>
      <c r="JA34" s="178">
        <f t="shared" si="359"/>
        <v>26056</v>
      </c>
      <c r="JB34" s="15"/>
      <c r="JC34" s="19"/>
      <c r="JJ34" s="172">
        <v>326</v>
      </c>
      <c r="JK34" s="178">
        <f t="shared" si="360"/>
        <v>26080</v>
      </c>
      <c r="JL34" s="15"/>
      <c r="JT34" s="1">
        <v>326</v>
      </c>
      <c r="JU34" s="178">
        <f t="shared" si="329"/>
        <v>24450</v>
      </c>
      <c r="JW34" s="12"/>
      <c r="KD34" s="172">
        <v>326</v>
      </c>
      <c r="KE34" s="178">
        <f t="shared" si="361"/>
        <v>26080</v>
      </c>
      <c r="KF34" s="15"/>
      <c r="KG34" s="19"/>
      <c r="KN34" s="172">
        <v>326</v>
      </c>
      <c r="KO34" s="178">
        <f t="shared" si="330"/>
        <v>26080</v>
      </c>
      <c r="KP34" s="15"/>
      <c r="KQ34" s="12"/>
      <c r="KX34" s="1">
        <v>387</v>
      </c>
      <c r="KY34" s="178">
        <f t="shared" si="362"/>
        <v>30960</v>
      </c>
      <c r="KZ34" s="15"/>
      <c r="LA34" s="12"/>
      <c r="LH34" s="172">
        <v>390</v>
      </c>
      <c r="LI34" s="178">
        <f t="shared" si="363"/>
        <v>31200</v>
      </c>
      <c r="LJ34" s="15"/>
      <c r="LK34" s="12"/>
      <c r="LR34" s="172">
        <v>310</v>
      </c>
      <c r="LS34" s="178">
        <f t="shared" si="364"/>
        <v>24800</v>
      </c>
      <c r="LT34" s="15"/>
      <c r="LU34" s="177"/>
      <c r="MB34" s="178">
        <v>360</v>
      </c>
      <c r="MC34" s="178">
        <f t="shared" si="365"/>
        <v>28800</v>
      </c>
      <c r="MD34" s="15"/>
      <c r="ME34" s="177"/>
      <c r="ML34" s="178">
        <v>390</v>
      </c>
      <c r="MM34" s="178">
        <f t="shared" si="366"/>
        <v>31200</v>
      </c>
      <c r="MN34" s="15"/>
      <c r="MO34" s="12"/>
      <c r="MV34" s="178">
        <v>390</v>
      </c>
      <c r="MW34" s="178">
        <f t="shared" si="367"/>
        <v>31200</v>
      </c>
      <c r="MY34" s="12"/>
      <c r="NF34" s="178">
        <v>445</v>
      </c>
      <c r="NG34" s="178">
        <f t="shared" si="331"/>
        <v>35600</v>
      </c>
      <c r="NH34" s="15"/>
      <c r="NN34" s="16">
        <f t="shared" si="302"/>
        <v>4301.7</v>
      </c>
      <c r="NO34" s="1533">
        <f t="shared" si="291"/>
        <v>342506</v>
      </c>
      <c r="NP34" s="17"/>
      <c r="NQ34" s="12"/>
      <c r="NV34" s="16">
        <f t="shared" si="303"/>
        <v>977.7</v>
      </c>
      <c r="NW34" s="16">
        <f t="shared" si="292"/>
        <v>76586</v>
      </c>
      <c r="NX34" s="17"/>
      <c r="NY34" s="256"/>
      <c r="OD34" s="172">
        <f t="shared" si="293"/>
        <v>1039</v>
      </c>
      <c r="OE34" s="172">
        <f t="shared" si="293"/>
        <v>83120</v>
      </c>
      <c r="OF34" s="17"/>
      <c r="OG34" s="12"/>
      <c r="OL34" s="172">
        <f t="shared" si="294"/>
        <v>1060</v>
      </c>
      <c r="OM34" s="172">
        <f t="shared" si="294"/>
        <v>84800</v>
      </c>
      <c r="OO34" s="12"/>
      <c r="OT34" s="16">
        <f t="shared" si="295"/>
        <v>1225</v>
      </c>
      <c r="OU34" s="16">
        <f t="shared" si="295"/>
        <v>98000</v>
      </c>
      <c r="OV34" s="15"/>
      <c r="OX34" s="12"/>
      <c r="PE34" s="172">
        <v>1294</v>
      </c>
      <c r="PF34" s="179">
        <f t="shared" si="332"/>
        <v>103520</v>
      </c>
      <c r="PG34" s="15"/>
      <c r="PH34" s="19"/>
      <c r="PO34" s="172">
        <v>628</v>
      </c>
      <c r="PP34" s="179">
        <f t="shared" si="333"/>
        <v>50240</v>
      </c>
      <c r="PQ34" s="15"/>
      <c r="PY34" s="172">
        <v>361.26</v>
      </c>
      <c r="PZ34" s="179">
        <f t="shared" si="334"/>
        <v>28900.799999999999</v>
      </c>
      <c r="QB34" s="12"/>
      <c r="QI34" s="172"/>
      <c r="QJ34" s="178">
        <f t="shared" si="335"/>
        <v>0</v>
      </c>
      <c r="QK34" s="15"/>
      <c r="QL34" s="19"/>
      <c r="QS34" s="172">
        <v>0</v>
      </c>
      <c r="QT34" s="178">
        <f t="shared" si="336"/>
        <v>0</v>
      </c>
      <c r="QU34" s="15"/>
      <c r="QV34" s="12"/>
      <c r="QY34" s="172"/>
      <c r="RD34" s="179">
        <f t="shared" si="337"/>
        <v>0</v>
      </c>
      <c r="RE34" s="15"/>
      <c r="RF34" s="12"/>
      <c r="RM34" s="35">
        <v>385.64</v>
      </c>
      <c r="RN34" s="178">
        <f t="shared" si="338"/>
        <v>30851.199999999997</v>
      </c>
      <c r="RO34" s="15"/>
      <c r="RP34" s="12"/>
      <c r="RW34" s="178">
        <f>377.92</f>
        <v>377.92</v>
      </c>
      <c r="RX34" s="178">
        <f t="shared" si="339"/>
        <v>30233.600000000002</v>
      </c>
      <c r="RY34" s="15"/>
      <c r="RZ34" s="177"/>
      <c r="SA34" s="171"/>
      <c r="SB34" s="14"/>
      <c r="SC34" s="171"/>
      <c r="SG34" s="178">
        <v>424.04</v>
      </c>
      <c r="SH34" s="178">
        <f t="shared" si="340"/>
        <v>33923.200000000004</v>
      </c>
      <c r="SI34" s="15"/>
      <c r="SJ34" s="177"/>
      <c r="SK34" s="171"/>
      <c r="SL34" s="171"/>
      <c r="SM34" s="171"/>
      <c r="SN34" s="171"/>
      <c r="SO34" s="171"/>
      <c r="SP34" s="171"/>
      <c r="SQ34" s="178">
        <v>337</v>
      </c>
      <c r="SR34" s="178">
        <f t="shared" si="321"/>
        <v>26960</v>
      </c>
      <c r="SS34" s="15"/>
      <c r="ST34" s="12"/>
      <c r="TA34" s="178">
        <v>388.45</v>
      </c>
      <c r="TB34" s="178">
        <f t="shared" si="341"/>
        <v>31076</v>
      </c>
      <c r="TC34" s="15"/>
      <c r="TD34" s="12"/>
      <c r="TK34" s="178">
        <v>0</v>
      </c>
      <c r="TL34" s="178">
        <f t="shared" si="342"/>
        <v>0</v>
      </c>
      <c r="TM34" s="15"/>
      <c r="TN34" s="12"/>
      <c r="TS34" s="9">
        <f t="shared" si="286"/>
        <v>4196.3100000000004</v>
      </c>
      <c r="TT34" s="9">
        <f t="shared" si="286"/>
        <v>335704.8</v>
      </c>
      <c r="TU34" s="17"/>
      <c r="TV34" s="12"/>
      <c r="UA34" s="16">
        <f t="shared" si="304"/>
        <v>2283.2600000000002</v>
      </c>
      <c r="UB34" s="16">
        <f t="shared" si="304"/>
        <v>182660.8</v>
      </c>
      <c r="UC34" s="17"/>
      <c r="UD34" s="256"/>
      <c r="UE34" s="172"/>
      <c r="UI34" s="172">
        <f t="shared" si="305"/>
        <v>0</v>
      </c>
      <c r="UJ34" s="172">
        <f t="shared" si="305"/>
        <v>0</v>
      </c>
      <c r="UK34" s="17"/>
      <c r="UL34" s="12"/>
      <c r="UQ34" s="172">
        <f t="shared" si="287"/>
        <v>1187.5999999999999</v>
      </c>
      <c r="UR34" s="172">
        <f t="shared" si="287"/>
        <v>95008</v>
      </c>
      <c r="US34" s="15"/>
      <c r="UT34" s="12"/>
      <c r="UY34" s="9">
        <f t="shared" si="296"/>
        <v>725.45</v>
      </c>
      <c r="UZ34" s="9">
        <f t="shared" si="296"/>
        <v>58036</v>
      </c>
      <c r="VA34" s="15"/>
      <c r="VC34" s="12"/>
      <c r="VI34" s="1"/>
      <c r="VJ34" s="172">
        <v>886.94</v>
      </c>
      <c r="VK34" s="179">
        <f t="shared" si="343"/>
        <v>70955.200000000012</v>
      </c>
      <c r="VL34" s="15"/>
      <c r="VM34" s="19"/>
      <c r="VT34" s="172">
        <v>367.55</v>
      </c>
      <c r="VU34" s="179">
        <f t="shared" si="344"/>
        <v>29404</v>
      </c>
      <c r="VV34" s="15"/>
      <c r="WD34" s="172">
        <v>346.48</v>
      </c>
      <c r="WE34" s="179">
        <f t="shared" si="345"/>
        <v>27718.400000000001</v>
      </c>
      <c r="WG34" s="12"/>
      <c r="WN34" s="172">
        <v>395.9</v>
      </c>
      <c r="WO34" s="178">
        <f t="shared" si="346"/>
        <v>31672</v>
      </c>
      <c r="WP34" s="15"/>
      <c r="WQ34" s="19"/>
      <c r="WX34" s="172">
        <v>0</v>
      </c>
      <c r="WY34" s="178">
        <f t="shared" si="347"/>
        <v>0</v>
      </c>
      <c r="WZ34" s="15"/>
      <c r="XA34" s="12"/>
      <c r="XD34" s="172"/>
      <c r="XH34" s="172">
        <v>3610.05</v>
      </c>
      <c r="XI34" s="178">
        <f t="shared" si="348"/>
        <v>288804</v>
      </c>
      <c r="XJ34" s="15"/>
      <c r="XK34" s="12"/>
      <c r="XR34" s="172">
        <f>1807</f>
        <v>1807</v>
      </c>
      <c r="XS34" s="178">
        <f t="shared" si="349"/>
        <v>144560</v>
      </c>
      <c r="XT34" s="15"/>
      <c r="XU34" s="12"/>
      <c r="YB34" s="178">
        <v>1754.72</v>
      </c>
      <c r="YC34" s="178">
        <f t="shared" si="350"/>
        <v>140377.60000000001</v>
      </c>
      <c r="YD34" s="15"/>
      <c r="YE34" s="177"/>
      <c r="YF34" s="171"/>
      <c r="YG34" s="14"/>
      <c r="YH34" s="171"/>
      <c r="YL34" s="178">
        <v>1745</v>
      </c>
      <c r="YM34" s="178">
        <f t="shared" si="351"/>
        <v>139600</v>
      </c>
      <c r="YN34" s="15"/>
      <c r="YO34" s="177"/>
      <c r="YP34" s="171"/>
      <c r="YQ34" s="171"/>
      <c r="YR34" s="171"/>
      <c r="YS34" s="171"/>
      <c r="YT34" s="171"/>
      <c r="YU34" s="171"/>
      <c r="YV34" s="178">
        <v>1717.64</v>
      </c>
      <c r="YW34" s="178">
        <f t="shared" ref="YW34:YW47" si="368">YV34*80</f>
        <v>137411.20000000001</v>
      </c>
      <c r="YX34" s="15"/>
      <c r="YY34" s="12"/>
      <c r="ZF34" s="178">
        <v>0</v>
      </c>
      <c r="ZG34" s="178">
        <f t="shared" si="352"/>
        <v>0</v>
      </c>
      <c r="ZH34" s="15"/>
      <c r="ZI34" s="12"/>
      <c r="ZP34" s="178">
        <v>0</v>
      </c>
      <c r="ZQ34" s="178">
        <f t="shared" si="353"/>
        <v>0</v>
      </c>
      <c r="ZR34" s="15"/>
      <c r="ZS34" s="12"/>
      <c r="ZX34" s="9">
        <f t="shared" si="285"/>
        <v>12631.279999999999</v>
      </c>
      <c r="ZY34" s="9">
        <f t="shared" si="285"/>
        <v>1010502.4000000001</v>
      </c>
      <c r="ZZ34" s="17"/>
      <c r="AAA34" s="12"/>
      <c r="AAF34" s="16">
        <f t="shared" si="297"/>
        <v>1600.97</v>
      </c>
      <c r="AAG34" s="16">
        <f t="shared" si="297"/>
        <v>128077.6</v>
      </c>
      <c r="AAH34" s="17"/>
      <c r="AAI34" s="256"/>
      <c r="AAJ34" s="172"/>
      <c r="AAN34" s="172">
        <f t="shared" si="306"/>
        <v>4005.9500000000003</v>
      </c>
      <c r="AAO34" s="172">
        <f t="shared" si="306"/>
        <v>320476</v>
      </c>
      <c r="AAP34" s="17"/>
      <c r="AAQ34" s="12"/>
      <c r="AAV34" s="172">
        <f t="shared" si="288"/>
        <v>5306.72</v>
      </c>
      <c r="AAW34" s="172">
        <f t="shared" si="288"/>
        <v>424537.59999999998</v>
      </c>
      <c r="AAX34" s="15"/>
      <c r="AAY34" s="12"/>
      <c r="ABD34" s="9">
        <f t="shared" si="289"/>
        <v>1717.64</v>
      </c>
      <c r="ABE34" s="9">
        <f t="shared" si="289"/>
        <v>137411.20000000001</v>
      </c>
      <c r="ABF34" s="15"/>
    </row>
    <row r="35" spans="1:734" x14ac:dyDescent="0.3">
      <c r="A35" s="12"/>
      <c r="B35" s="1" t="s">
        <v>290</v>
      </c>
      <c r="D35" s="12"/>
      <c r="J35" s="244"/>
      <c r="K35" s="15"/>
      <c r="R35" s="244"/>
      <c r="S35" s="15"/>
      <c r="Z35" s="244"/>
      <c r="AA35" s="15"/>
      <c r="AG35" s="172"/>
      <c r="AH35" s="244"/>
      <c r="AI35" s="15"/>
      <c r="AO35" s="172"/>
      <c r="AP35" s="244"/>
      <c r="AQ35" s="15"/>
      <c r="AW35" s="172"/>
      <c r="AX35" s="244"/>
      <c r="AY35" s="15"/>
      <c r="BF35" s="244"/>
      <c r="BG35" s="15"/>
      <c r="BN35" s="244"/>
      <c r="BP35" s="12"/>
      <c r="BV35" s="244"/>
      <c r="BW35" s="15"/>
      <c r="CC35" s="172"/>
      <c r="CD35" s="172"/>
      <c r="CF35" s="12"/>
      <c r="CK35" s="172"/>
      <c r="CL35" s="172"/>
      <c r="CM35" s="301"/>
      <c r="CS35" s="172"/>
      <c r="CT35" s="172"/>
      <c r="CV35" s="12"/>
      <c r="DA35" s="257"/>
      <c r="DB35" s="257"/>
      <c r="DC35" s="15"/>
      <c r="DD35" s="12"/>
      <c r="DI35" s="172"/>
      <c r="DJ35" s="172"/>
      <c r="DK35" s="302"/>
      <c r="DL35" s="12"/>
      <c r="DQ35" s="172"/>
      <c r="DR35" s="172"/>
      <c r="DS35" s="302"/>
      <c r="DY35" s="172"/>
      <c r="DZ35" s="172"/>
      <c r="EB35" s="142"/>
      <c r="EG35" s="172"/>
      <c r="EH35" s="172"/>
      <c r="EI35" s="143"/>
      <c r="EJ35" s="142"/>
      <c r="EO35" s="172"/>
      <c r="EP35" s="172"/>
      <c r="EQ35" s="143"/>
      <c r="ER35" s="142"/>
      <c r="EW35" s="172"/>
      <c r="EX35" s="172"/>
      <c r="EY35" s="143"/>
      <c r="EZ35" s="142"/>
      <c r="FE35" s="172"/>
      <c r="FF35" s="172"/>
      <c r="FG35" s="143"/>
      <c r="FM35" s="172"/>
      <c r="FN35" s="172"/>
      <c r="FO35" s="15"/>
      <c r="FW35" s="172"/>
      <c r="FX35" s="172"/>
      <c r="FZ35" s="319"/>
      <c r="GC35" s="32"/>
      <c r="GD35" s="32"/>
      <c r="GE35" s="32"/>
      <c r="GF35" s="32"/>
      <c r="GG35" s="172"/>
      <c r="GH35" s="172"/>
      <c r="GI35" s="273"/>
      <c r="GJ35" s="321"/>
      <c r="GK35" s="321"/>
      <c r="GL35" s="321"/>
      <c r="GM35" s="321"/>
      <c r="GN35" s="321"/>
      <c r="GO35" s="321"/>
      <c r="GP35" s="321"/>
      <c r="GQ35" s="178"/>
      <c r="GR35" s="178"/>
      <c r="GS35" s="321"/>
      <c r="GT35" s="12"/>
      <c r="HA35" s="172"/>
      <c r="HB35" s="178"/>
      <c r="HC35" s="15"/>
      <c r="HD35" s="12"/>
      <c r="HI35" s="171"/>
      <c r="HJ35" s="171"/>
      <c r="HK35" s="15"/>
      <c r="HL35" s="12"/>
      <c r="HQ35" s="8"/>
      <c r="HR35" s="8"/>
      <c r="HS35" s="15"/>
      <c r="HT35" s="12"/>
      <c r="HY35" s="171"/>
      <c r="HZ35" s="171"/>
      <c r="IA35" s="15"/>
      <c r="IB35" s="12"/>
      <c r="IG35" s="171"/>
      <c r="IH35" s="171"/>
      <c r="II35" s="15"/>
      <c r="IJ35" s="12"/>
      <c r="IO35" s="171"/>
      <c r="IP35" s="171"/>
      <c r="IQ35" s="15"/>
      <c r="IS35" s="12"/>
      <c r="IZ35" s="172"/>
      <c r="JA35" s="178">
        <f t="shared" si="359"/>
        <v>0</v>
      </c>
      <c r="JB35" s="15"/>
      <c r="JC35" s="19"/>
      <c r="JJ35" s="172"/>
      <c r="JK35" s="178">
        <f t="shared" si="360"/>
        <v>0</v>
      </c>
      <c r="JL35" s="15"/>
      <c r="JU35" s="178"/>
      <c r="JW35" s="12"/>
      <c r="KD35" s="172"/>
      <c r="KE35" s="178">
        <f t="shared" si="361"/>
        <v>0</v>
      </c>
      <c r="KF35" s="15"/>
      <c r="KG35" s="19"/>
      <c r="KN35" s="172"/>
      <c r="KO35" s="178">
        <f t="shared" si="330"/>
        <v>0</v>
      </c>
      <c r="KP35" s="15"/>
      <c r="KQ35" s="12"/>
      <c r="KY35" s="178">
        <f t="shared" si="362"/>
        <v>0</v>
      </c>
      <c r="KZ35" s="15"/>
      <c r="LA35" s="12"/>
      <c r="LI35" s="178">
        <f t="shared" si="363"/>
        <v>0</v>
      </c>
      <c r="LJ35" s="15"/>
      <c r="LK35" s="12"/>
      <c r="LR35" s="172"/>
      <c r="LS35" s="178">
        <f t="shared" si="364"/>
        <v>0</v>
      </c>
      <c r="LT35" s="15"/>
      <c r="LU35" s="177"/>
      <c r="MB35" s="178"/>
      <c r="MC35" s="178">
        <f t="shared" si="365"/>
        <v>0</v>
      </c>
      <c r="MD35" s="15"/>
      <c r="ME35" s="177"/>
      <c r="ML35" s="178"/>
      <c r="MM35" s="178">
        <f t="shared" si="366"/>
        <v>0</v>
      </c>
      <c r="MN35" s="15"/>
      <c r="MO35" s="12"/>
      <c r="MV35" s="178"/>
      <c r="MW35" s="178">
        <f t="shared" si="367"/>
        <v>0</v>
      </c>
      <c r="MY35" s="12"/>
      <c r="NF35" s="178">
        <v>0</v>
      </c>
      <c r="NG35" s="178">
        <f t="shared" si="331"/>
        <v>0</v>
      </c>
      <c r="NH35" s="15"/>
      <c r="NN35" s="16">
        <f t="shared" si="302"/>
        <v>0</v>
      </c>
      <c r="NO35" s="16"/>
      <c r="NP35" s="17"/>
      <c r="NQ35" s="12"/>
      <c r="NV35" s="16"/>
      <c r="NW35" s="16"/>
      <c r="NX35" s="17"/>
      <c r="NY35" s="256"/>
      <c r="OD35" s="172"/>
      <c r="OE35" s="172"/>
      <c r="OF35" s="17"/>
      <c r="OG35" s="12"/>
      <c r="OL35" s="172"/>
      <c r="OM35" s="172"/>
      <c r="OO35" s="12"/>
      <c r="OT35" s="16"/>
      <c r="OU35" s="16"/>
      <c r="OV35" s="15"/>
      <c r="OX35" s="12"/>
      <c r="PE35" s="172">
        <f>110.54+166.4</f>
        <v>276.94</v>
      </c>
      <c r="PF35" s="179">
        <f t="shared" si="332"/>
        <v>22155.200000000001</v>
      </c>
      <c r="PG35" s="15"/>
      <c r="PH35" s="19"/>
      <c r="PO35" s="172">
        <v>146</v>
      </c>
      <c r="PP35" s="179">
        <f t="shared" si="333"/>
        <v>11680</v>
      </c>
      <c r="PQ35" s="15"/>
      <c r="PY35" s="172">
        <v>82.47</v>
      </c>
      <c r="PZ35" s="179">
        <f t="shared" si="334"/>
        <v>6597.6</v>
      </c>
      <c r="QB35" s="12"/>
      <c r="QI35" s="172">
        <v>84</v>
      </c>
      <c r="QJ35" s="178">
        <f t="shared" si="335"/>
        <v>6720</v>
      </c>
      <c r="QK35" s="15"/>
      <c r="QL35" s="19"/>
      <c r="QS35" s="172">
        <v>107</v>
      </c>
      <c r="QT35" s="178">
        <f t="shared" si="336"/>
        <v>8560</v>
      </c>
      <c r="QU35" s="15"/>
      <c r="QV35" s="12"/>
      <c r="QY35" s="172"/>
      <c r="RD35" s="179">
        <f t="shared" si="337"/>
        <v>0</v>
      </c>
      <c r="RE35" s="15"/>
      <c r="RF35" s="12"/>
      <c r="RM35" s="329">
        <v>0</v>
      </c>
      <c r="RN35" s="178">
        <f t="shared" si="338"/>
        <v>0</v>
      </c>
      <c r="RO35" s="15"/>
      <c r="RP35" s="12"/>
      <c r="RW35" s="178">
        <v>104.22</v>
      </c>
      <c r="RX35" s="178">
        <f t="shared" si="339"/>
        <v>8337.6</v>
      </c>
      <c r="RY35" s="15"/>
      <c r="RZ35" s="177"/>
      <c r="SA35" s="171"/>
      <c r="SB35" s="14"/>
      <c r="SC35" s="171"/>
      <c r="SG35" s="178">
        <v>130.94</v>
      </c>
      <c r="SH35" s="178">
        <f t="shared" si="340"/>
        <v>10475.200000000001</v>
      </c>
      <c r="SI35" s="15"/>
      <c r="SJ35" s="177"/>
      <c r="SK35" s="171"/>
      <c r="SL35" s="171"/>
      <c r="SM35" s="171"/>
      <c r="SN35" s="171"/>
      <c r="SO35" s="171"/>
      <c r="SP35" s="171"/>
      <c r="SQ35" s="178">
        <v>72.069999999999993</v>
      </c>
      <c r="SR35" s="178">
        <f t="shared" si="321"/>
        <v>5765.5999999999995</v>
      </c>
      <c r="SS35" s="15"/>
      <c r="ST35" s="12"/>
      <c r="TA35" s="178">
        <v>105.68</v>
      </c>
      <c r="TB35" s="178">
        <f t="shared" si="341"/>
        <v>8454.4000000000015</v>
      </c>
      <c r="TC35" s="15"/>
      <c r="TD35" s="12"/>
      <c r="TK35" s="178">
        <v>0</v>
      </c>
      <c r="TL35" s="178">
        <f t="shared" si="342"/>
        <v>0</v>
      </c>
      <c r="TM35" s="15"/>
      <c r="TN35" s="12"/>
      <c r="TS35" s="9">
        <f t="shared" si="286"/>
        <v>1109.32</v>
      </c>
      <c r="TT35" s="9">
        <f t="shared" si="286"/>
        <v>88745.599999999991</v>
      </c>
      <c r="TU35" s="17"/>
      <c r="TV35" s="12"/>
      <c r="UA35" s="16">
        <f t="shared" si="304"/>
        <v>505.40999999999997</v>
      </c>
      <c r="UB35" s="16">
        <f t="shared" si="304"/>
        <v>40432.799999999996</v>
      </c>
      <c r="UC35" s="17"/>
      <c r="UD35" s="256"/>
      <c r="UE35" s="172"/>
      <c r="UI35" s="172"/>
      <c r="UJ35" s="172"/>
      <c r="UK35" s="17"/>
      <c r="UL35" s="12"/>
      <c r="UQ35" s="172">
        <f t="shared" si="287"/>
        <v>235.16</v>
      </c>
      <c r="UR35" s="172">
        <f t="shared" si="287"/>
        <v>18812.800000000003</v>
      </c>
      <c r="US35" s="15"/>
      <c r="UT35" s="12"/>
      <c r="UY35" s="9">
        <f t="shared" si="296"/>
        <v>177.75</v>
      </c>
      <c r="UZ35" s="9">
        <f t="shared" si="296"/>
        <v>14220</v>
      </c>
      <c r="VA35" s="15"/>
      <c r="VC35" s="12"/>
      <c r="VI35" s="1"/>
      <c r="VJ35" s="172">
        <v>0</v>
      </c>
      <c r="VK35" s="179">
        <f t="shared" si="343"/>
        <v>0</v>
      </c>
      <c r="VL35" s="15"/>
      <c r="VM35" s="19"/>
      <c r="VT35" s="172">
        <v>0</v>
      </c>
      <c r="VU35" s="179">
        <f t="shared" si="344"/>
        <v>0</v>
      </c>
      <c r="VV35" s="15"/>
      <c r="WD35" s="172">
        <v>0</v>
      </c>
      <c r="WE35" s="179">
        <f t="shared" si="345"/>
        <v>0</v>
      </c>
      <c r="WG35" s="12"/>
      <c r="WN35" s="172">
        <v>0</v>
      </c>
      <c r="WO35" s="178">
        <f t="shared" si="346"/>
        <v>0</v>
      </c>
      <c r="WP35" s="15"/>
      <c r="WQ35" s="19"/>
      <c r="WX35" s="172">
        <v>40</v>
      </c>
      <c r="WY35" s="178">
        <f t="shared" si="347"/>
        <v>3200</v>
      </c>
      <c r="WZ35" s="15"/>
      <c r="XA35" s="12"/>
      <c r="XD35" s="172"/>
      <c r="XH35" s="172">
        <v>40</v>
      </c>
      <c r="XI35" s="178">
        <f t="shared" si="348"/>
        <v>3200</v>
      </c>
      <c r="XJ35" s="15"/>
      <c r="XK35" s="12"/>
      <c r="XR35" s="172">
        <v>40</v>
      </c>
      <c r="XS35" s="178">
        <f t="shared" si="349"/>
        <v>3200</v>
      </c>
      <c r="XT35" s="15"/>
      <c r="XU35" s="12"/>
      <c r="YB35" s="178">
        <v>93.26</v>
      </c>
      <c r="YC35" s="178">
        <f t="shared" si="350"/>
        <v>7460.8</v>
      </c>
      <c r="YD35" s="15"/>
      <c r="YE35" s="177"/>
      <c r="YF35" s="171"/>
      <c r="YG35" s="14"/>
      <c r="YH35" s="171"/>
      <c r="YL35" s="178">
        <v>66.209999999999994</v>
      </c>
      <c r="YM35" s="178">
        <f t="shared" si="351"/>
        <v>5296.7999999999993</v>
      </c>
      <c r="YN35" s="15"/>
      <c r="YO35" s="177"/>
      <c r="YP35" s="171"/>
      <c r="YQ35" s="171"/>
      <c r="YR35" s="171"/>
      <c r="YS35" s="171"/>
      <c r="YT35" s="171"/>
      <c r="YU35" s="171"/>
      <c r="YV35" s="178">
        <v>92.48</v>
      </c>
      <c r="YW35" s="178">
        <f t="shared" si="368"/>
        <v>7398.4000000000005</v>
      </c>
      <c r="YX35" s="15"/>
      <c r="YY35" s="12"/>
      <c r="ZF35" s="178">
        <v>0</v>
      </c>
      <c r="ZG35" s="178">
        <f t="shared" si="352"/>
        <v>0</v>
      </c>
      <c r="ZH35" s="15"/>
      <c r="ZI35" s="12"/>
      <c r="ZP35" s="178">
        <v>0</v>
      </c>
      <c r="ZQ35" s="178">
        <f t="shared" si="353"/>
        <v>0</v>
      </c>
      <c r="ZR35" s="15"/>
      <c r="ZS35" s="12"/>
      <c r="ZX35" s="9">
        <f t="shared" si="285"/>
        <v>371.95</v>
      </c>
      <c r="ZY35" s="9">
        <f t="shared" si="285"/>
        <v>29756</v>
      </c>
      <c r="ZZ35" s="17"/>
      <c r="AAA35" s="12"/>
      <c r="AAF35" s="16">
        <f t="shared" si="297"/>
        <v>0</v>
      </c>
      <c r="AAG35" s="16">
        <f t="shared" si="297"/>
        <v>0</v>
      </c>
      <c r="AAH35" s="17"/>
      <c r="AAI35" s="256"/>
      <c r="AAJ35" s="172"/>
      <c r="AAN35" s="172"/>
      <c r="AAO35" s="172"/>
      <c r="AAP35" s="17"/>
      <c r="AAQ35" s="12"/>
      <c r="AAV35" s="172">
        <f t="shared" si="288"/>
        <v>199.46999999999997</v>
      </c>
      <c r="AAW35" s="172">
        <f t="shared" si="288"/>
        <v>15957.599999999999</v>
      </c>
      <c r="AAX35" s="15"/>
      <c r="AAY35" s="12"/>
      <c r="ABD35" s="9">
        <f t="shared" si="289"/>
        <v>92.48</v>
      </c>
      <c r="ABE35" s="9">
        <f t="shared" si="289"/>
        <v>7398.4000000000005</v>
      </c>
      <c r="ABF35" s="15"/>
    </row>
    <row r="36" spans="1:734" x14ac:dyDescent="0.3">
      <c r="A36" s="12"/>
      <c r="B36" s="1" t="s">
        <v>31</v>
      </c>
      <c r="D36" s="12"/>
      <c r="J36" s="244">
        <f t="shared" si="322"/>
        <v>0</v>
      </c>
      <c r="K36" s="15"/>
      <c r="Q36" s="1">
        <v>1630</v>
      </c>
      <c r="R36" s="244">
        <f t="shared" si="323"/>
        <v>114100</v>
      </c>
      <c r="S36" s="15"/>
      <c r="Y36" s="1">
        <v>681</v>
      </c>
      <c r="Z36" s="244">
        <f t="shared" si="309"/>
        <v>47670</v>
      </c>
      <c r="AA36" s="15"/>
      <c r="AG36" s="172">
        <v>698</v>
      </c>
      <c r="AH36" s="244">
        <f t="shared" si="310"/>
        <v>48860</v>
      </c>
      <c r="AI36" s="15"/>
      <c r="AO36" s="172">
        <v>0</v>
      </c>
      <c r="AP36" s="244">
        <f t="shared" si="311"/>
        <v>0</v>
      </c>
      <c r="AQ36" s="15"/>
      <c r="AW36" s="172">
        <v>0</v>
      </c>
      <c r="AX36" s="244">
        <f t="shared" si="308"/>
        <v>0</v>
      </c>
      <c r="AY36" s="15"/>
      <c r="BE36" s="1">
        <v>188</v>
      </c>
      <c r="BF36" s="244">
        <f t="shared" si="312"/>
        <v>13160</v>
      </c>
      <c r="BG36" s="15"/>
      <c r="BM36" s="1">
        <v>396</v>
      </c>
      <c r="BN36" s="244">
        <f t="shared" si="313"/>
        <v>27720</v>
      </c>
      <c r="BP36" s="12"/>
      <c r="BV36" s="244">
        <f t="shared" si="314"/>
        <v>0</v>
      </c>
      <c r="BW36" s="15"/>
      <c r="CC36" s="172"/>
      <c r="CD36" s="172">
        <f t="shared" si="354"/>
        <v>0</v>
      </c>
      <c r="CF36" s="12"/>
      <c r="CK36" s="172"/>
      <c r="CL36" s="172">
        <f t="shared" si="355"/>
        <v>0</v>
      </c>
      <c r="CM36" s="301"/>
      <c r="CS36" s="172">
        <v>353</v>
      </c>
      <c r="CT36" s="172">
        <f t="shared" si="356"/>
        <v>24710</v>
      </c>
      <c r="CV36" s="12"/>
      <c r="DA36" s="257">
        <f t="shared" si="290"/>
        <v>3946</v>
      </c>
      <c r="DB36" s="257">
        <f t="shared" si="290"/>
        <v>276220</v>
      </c>
      <c r="DC36" s="15"/>
      <c r="DD36" s="12"/>
      <c r="DI36" s="172">
        <v>260.47000000000003</v>
      </c>
      <c r="DJ36" s="172">
        <f t="shared" si="357"/>
        <v>18232.900000000001</v>
      </c>
      <c r="DK36" s="302"/>
      <c r="DL36" s="12"/>
      <c r="DR36" s="172">
        <f t="shared" si="358"/>
        <v>0</v>
      </c>
      <c r="DS36" s="302"/>
      <c r="DZ36" s="172">
        <f t="shared" si="324"/>
        <v>0</v>
      </c>
      <c r="EB36" s="142"/>
      <c r="EG36" s="172"/>
      <c r="EI36" s="143"/>
      <c r="EJ36" s="142"/>
      <c r="EP36" s="172">
        <f t="shared" si="325"/>
        <v>0</v>
      </c>
      <c r="EQ36" s="143"/>
      <c r="ER36" s="142"/>
      <c r="EY36" s="143"/>
      <c r="EZ36" s="142"/>
      <c r="FG36" s="143"/>
      <c r="FO36" s="15"/>
      <c r="FZ36" s="319"/>
      <c r="GC36" s="32"/>
      <c r="GD36" s="32"/>
      <c r="GE36" s="32"/>
      <c r="GF36" s="32"/>
      <c r="GG36" s="172"/>
      <c r="GH36" s="32"/>
      <c r="GI36" s="273"/>
      <c r="GJ36" s="321"/>
      <c r="GK36" s="321"/>
      <c r="GL36" s="321"/>
      <c r="GM36" s="321"/>
      <c r="GN36" s="321"/>
      <c r="GO36" s="321"/>
      <c r="GP36" s="321"/>
      <c r="GQ36" s="178"/>
      <c r="GR36" s="32"/>
      <c r="GS36" s="321"/>
      <c r="GT36" s="12"/>
      <c r="HA36" s="172">
        <v>266.51</v>
      </c>
      <c r="HB36" s="178">
        <f t="shared" si="327"/>
        <v>18655.7</v>
      </c>
      <c r="HC36" s="15"/>
      <c r="HD36" s="12"/>
      <c r="HI36" s="171">
        <f t="shared" ref="HI36:HJ41" si="369">HA36+GQ36+GG36+FW36+FM36+FE36+EW36+EO36+EG36+DY36+DQ36+DI36</f>
        <v>526.98</v>
      </c>
      <c r="HJ36" s="171">
        <f t="shared" si="369"/>
        <v>36888.600000000006</v>
      </c>
      <c r="HK36" s="15"/>
      <c r="HL36" s="12"/>
      <c r="HQ36" s="8">
        <f>DI36+DQ36+DY36</f>
        <v>260.47000000000003</v>
      </c>
      <c r="HR36" s="8">
        <f>DJ36+DR36+DZ36</f>
        <v>18232.900000000001</v>
      </c>
      <c r="HS36" s="15"/>
      <c r="HT36" s="12"/>
      <c r="HY36" s="171">
        <f t="shared" ref="HY36:HZ41" si="370">EG36+EO36+EW36</f>
        <v>0</v>
      </c>
      <c r="HZ36" s="171">
        <f t="shared" si="370"/>
        <v>0</v>
      </c>
      <c r="IA36" s="15"/>
      <c r="IB36" s="12"/>
      <c r="IG36" s="171">
        <f t="shared" ref="IG36:IH41" si="371">(FE36+FM36+FW36)</f>
        <v>0</v>
      </c>
      <c r="IH36" s="171">
        <f t="shared" si="371"/>
        <v>0</v>
      </c>
      <c r="II36" s="15"/>
      <c r="IJ36" s="12"/>
      <c r="IO36" s="171">
        <f t="shared" ref="IO36:IP41" si="372">(GG36+GQ36+HA36)</f>
        <v>266.51</v>
      </c>
      <c r="IP36" s="171">
        <f t="shared" si="372"/>
        <v>18655.7</v>
      </c>
      <c r="IQ36" s="15"/>
      <c r="IS36" s="12"/>
      <c r="IZ36" s="172">
        <v>146.33000000000001</v>
      </c>
      <c r="JA36" s="178">
        <f t="shared" si="359"/>
        <v>11706.400000000001</v>
      </c>
      <c r="JB36" s="15"/>
      <c r="JC36" s="19"/>
      <c r="JK36" s="178">
        <f t="shared" si="360"/>
        <v>0</v>
      </c>
      <c r="JL36" s="15"/>
      <c r="JT36" s="1">
        <v>1605</v>
      </c>
      <c r="JU36" s="178">
        <f t="shared" si="329"/>
        <v>120375</v>
      </c>
      <c r="JW36" s="12"/>
      <c r="KD36" s="172">
        <v>2294</v>
      </c>
      <c r="KE36" s="178">
        <f t="shared" si="361"/>
        <v>183520</v>
      </c>
      <c r="KF36" s="15"/>
      <c r="KG36" s="19"/>
      <c r="KN36" s="172">
        <v>0</v>
      </c>
      <c r="KO36" s="178">
        <f t="shared" si="330"/>
        <v>0</v>
      </c>
      <c r="KP36" s="15"/>
      <c r="KQ36" s="12"/>
      <c r="KY36" s="178">
        <f t="shared" si="362"/>
        <v>0</v>
      </c>
      <c r="KZ36" s="15"/>
      <c r="LA36" s="12"/>
      <c r="LI36" s="178">
        <f t="shared" si="363"/>
        <v>0</v>
      </c>
      <c r="LJ36" s="15"/>
      <c r="LK36" s="12"/>
      <c r="LR36" s="35">
        <v>15.34</v>
      </c>
      <c r="LS36" s="178">
        <f t="shared" si="364"/>
        <v>1227.2</v>
      </c>
      <c r="LT36" s="15"/>
      <c r="LU36" s="177"/>
      <c r="MB36" s="178">
        <f>LV14*4%</f>
        <v>0</v>
      </c>
      <c r="MC36" s="178">
        <f t="shared" si="365"/>
        <v>0</v>
      </c>
      <c r="MD36" s="15"/>
      <c r="ME36" s="177"/>
      <c r="ML36" s="178">
        <v>290</v>
      </c>
      <c r="MM36" s="178">
        <f t="shared" si="366"/>
        <v>23200</v>
      </c>
      <c r="MN36" s="15"/>
      <c r="MO36" s="12"/>
      <c r="MV36" s="178">
        <v>0</v>
      </c>
      <c r="MW36" s="178">
        <f t="shared" si="367"/>
        <v>0</v>
      </c>
      <c r="MX36" s="15"/>
      <c r="MY36" s="12"/>
      <c r="NF36" s="178">
        <v>0</v>
      </c>
      <c r="NG36" s="178">
        <f>NF36*75</f>
        <v>0</v>
      </c>
      <c r="NH36" s="15"/>
      <c r="NN36" s="16">
        <f t="shared" si="302"/>
        <v>4350.67</v>
      </c>
      <c r="NO36" s="1533">
        <f t="shared" si="291"/>
        <v>340028.60000000003</v>
      </c>
      <c r="NP36" s="17"/>
      <c r="NQ36" s="12"/>
      <c r="NV36" s="16">
        <f>IZ36+JJ36+JT36</f>
        <v>1751.33</v>
      </c>
      <c r="NW36" s="16">
        <f t="shared" si="292"/>
        <v>132081.4</v>
      </c>
      <c r="NX36" s="17"/>
      <c r="NY36" s="256"/>
      <c r="OD36" s="172">
        <f t="shared" si="293"/>
        <v>2294</v>
      </c>
      <c r="OE36" s="172">
        <f t="shared" si="293"/>
        <v>183520</v>
      </c>
      <c r="OF36" s="17"/>
      <c r="OG36" s="12"/>
      <c r="OL36" s="172">
        <f t="shared" si="294"/>
        <v>15.34</v>
      </c>
      <c r="OM36" s="172">
        <f t="shared" si="294"/>
        <v>1227.2</v>
      </c>
      <c r="OO36" s="12"/>
      <c r="OT36" s="16">
        <f t="shared" si="295"/>
        <v>290</v>
      </c>
      <c r="OU36" s="16">
        <f t="shared" si="295"/>
        <v>23200</v>
      </c>
      <c r="OV36" s="15"/>
      <c r="OX36" s="12"/>
      <c r="PE36" s="332">
        <v>0</v>
      </c>
      <c r="PF36" s="179">
        <f t="shared" si="332"/>
        <v>0</v>
      </c>
      <c r="PG36" s="15"/>
      <c r="PH36" s="19"/>
      <c r="PP36" s="179">
        <f t="shared" si="333"/>
        <v>0</v>
      </c>
      <c r="PQ36" s="15"/>
      <c r="PY36" s="172">
        <v>304.93</v>
      </c>
      <c r="PZ36" s="179">
        <f t="shared" si="334"/>
        <v>24394.400000000001</v>
      </c>
      <c r="QB36" s="12"/>
      <c r="QI36" s="172"/>
      <c r="QJ36" s="178">
        <f t="shared" si="335"/>
        <v>0</v>
      </c>
      <c r="QK36" s="15"/>
      <c r="QL36" s="19"/>
      <c r="QS36" s="172">
        <v>0</v>
      </c>
      <c r="QT36" s="178">
        <f t="shared" si="336"/>
        <v>0</v>
      </c>
      <c r="QU36" s="15"/>
      <c r="QV36" s="12"/>
      <c r="QY36" s="172"/>
      <c r="RC36" s="35">
        <v>552.39</v>
      </c>
      <c r="RD36" s="179">
        <f t="shared" si="337"/>
        <v>44191.199999999997</v>
      </c>
      <c r="RE36" s="15"/>
      <c r="RF36" s="12"/>
      <c r="RM36" s="35">
        <v>631.26</v>
      </c>
      <c r="RN36" s="178">
        <f t="shared" si="338"/>
        <v>50500.800000000003</v>
      </c>
      <c r="RO36" s="15"/>
      <c r="RP36" s="12"/>
      <c r="RW36" s="178">
        <v>905.08</v>
      </c>
      <c r="RX36" s="178">
        <f t="shared" si="339"/>
        <v>72406.400000000009</v>
      </c>
      <c r="RY36" s="15"/>
      <c r="RZ36" s="177"/>
      <c r="SA36" s="171"/>
      <c r="SB36" s="14"/>
      <c r="SC36" s="171"/>
      <c r="SG36" s="178">
        <v>182</v>
      </c>
      <c r="SH36" s="178">
        <f t="shared" si="340"/>
        <v>14560</v>
      </c>
      <c r="SI36" s="15"/>
      <c r="SJ36" s="177"/>
      <c r="SK36" s="171"/>
      <c r="SL36" s="171"/>
      <c r="SM36" s="171"/>
      <c r="SN36" s="171"/>
      <c r="SO36" s="171"/>
      <c r="SP36" s="171"/>
      <c r="SQ36" s="178">
        <v>512</v>
      </c>
      <c r="SR36" s="178">
        <f t="shared" si="321"/>
        <v>40960</v>
      </c>
      <c r="SS36" s="15"/>
      <c r="ST36" s="12"/>
      <c r="TA36" s="178">
        <v>411.36</v>
      </c>
      <c r="TB36" s="178">
        <f t="shared" si="341"/>
        <v>32908.800000000003</v>
      </c>
      <c r="TC36" s="15"/>
      <c r="TD36" s="12"/>
      <c r="TK36" s="178">
        <v>0</v>
      </c>
      <c r="TL36" s="178">
        <f t="shared" si="342"/>
        <v>0</v>
      </c>
      <c r="TM36" s="15"/>
      <c r="TN36" s="12"/>
      <c r="TS36" s="9">
        <f t="shared" si="286"/>
        <v>3499.0199999999995</v>
      </c>
      <c r="TT36" s="9">
        <f t="shared" si="286"/>
        <v>279921.60000000003</v>
      </c>
      <c r="TU36" s="17"/>
      <c r="TV36" s="12"/>
      <c r="UA36" s="16">
        <f t="shared" si="304"/>
        <v>304.93</v>
      </c>
      <c r="UB36" s="16">
        <f t="shared" si="304"/>
        <v>24394.400000000001</v>
      </c>
      <c r="UC36" s="17"/>
      <c r="UD36" s="256"/>
      <c r="UE36" s="172"/>
      <c r="UI36" s="172">
        <f t="shared" ref="UI36:UJ41" si="373">QI36+QS36+RC36</f>
        <v>552.39</v>
      </c>
      <c r="UJ36" s="172">
        <f t="shared" si="373"/>
        <v>44191.199999999997</v>
      </c>
      <c r="UK36" s="17"/>
      <c r="UL36" s="12"/>
      <c r="UQ36" s="172">
        <f t="shared" si="287"/>
        <v>1718.3400000000001</v>
      </c>
      <c r="UR36" s="172">
        <f t="shared" si="287"/>
        <v>137467.20000000001</v>
      </c>
      <c r="US36" s="15"/>
      <c r="UT36" s="12"/>
      <c r="UY36" s="9">
        <f t="shared" si="296"/>
        <v>923.36</v>
      </c>
      <c r="UZ36" s="9">
        <f t="shared" si="296"/>
        <v>73868.800000000003</v>
      </c>
      <c r="VA36" s="15"/>
      <c r="VC36" s="12"/>
      <c r="VI36" s="1"/>
      <c r="VJ36" s="172">
        <v>577.22</v>
      </c>
      <c r="VK36" s="179">
        <f t="shared" si="343"/>
        <v>46177.600000000006</v>
      </c>
      <c r="VL36" s="15"/>
      <c r="VM36" s="19"/>
      <c r="VT36" s="172">
        <v>0</v>
      </c>
      <c r="VU36" s="179">
        <f t="shared" si="344"/>
        <v>0</v>
      </c>
      <c r="VV36" s="15"/>
      <c r="WD36" s="172">
        <v>1747.4</v>
      </c>
      <c r="WE36" s="179">
        <f t="shared" si="345"/>
        <v>139792</v>
      </c>
      <c r="WG36" s="12"/>
      <c r="WN36" s="172">
        <v>273.37</v>
      </c>
      <c r="WO36" s="178">
        <f t="shared" si="346"/>
        <v>21869.599999999999</v>
      </c>
      <c r="WP36" s="15"/>
      <c r="WQ36" s="19"/>
      <c r="WX36" s="172">
        <v>292</v>
      </c>
      <c r="WY36" s="178">
        <f t="shared" si="347"/>
        <v>23360</v>
      </c>
      <c r="WZ36" s="15"/>
      <c r="XA36" s="12"/>
      <c r="XD36" s="172"/>
      <c r="XH36" s="172">
        <v>0</v>
      </c>
      <c r="XI36" s="178">
        <f t="shared" si="348"/>
        <v>0</v>
      </c>
      <c r="XJ36" s="15"/>
      <c r="XK36" s="12"/>
      <c r="XR36" s="172">
        <v>966</v>
      </c>
      <c r="XS36" s="178">
        <f t="shared" si="349"/>
        <v>77280</v>
      </c>
      <c r="XT36" s="15"/>
      <c r="XU36" s="12"/>
      <c r="YB36" s="178">
        <v>676.72</v>
      </c>
      <c r="YC36" s="178">
        <f t="shared" si="350"/>
        <v>54137.600000000006</v>
      </c>
      <c r="YD36" s="15"/>
      <c r="YE36" s="177"/>
      <c r="YF36" s="171"/>
      <c r="YG36" s="14"/>
      <c r="YH36" s="171"/>
      <c r="YL36" s="178">
        <v>2105</v>
      </c>
      <c r="YM36" s="178">
        <f t="shared" si="351"/>
        <v>168400</v>
      </c>
      <c r="YN36" s="15"/>
      <c r="YO36" s="177"/>
      <c r="YP36" s="171"/>
      <c r="YQ36" s="171"/>
      <c r="YR36" s="171"/>
      <c r="YS36" s="171"/>
      <c r="YT36" s="171"/>
      <c r="YU36" s="171"/>
      <c r="YV36" s="178">
        <v>6257.02</v>
      </c>
      <c r="YW36" s="178">
        <f t="shared" si="368"/>
        <v>500561.60000000003</v>
      </c>
      <c r="YX36" s="15"/>
      <c r="YY36" s="12"/>
      <c r="ZF36" s="178">
        <v>0</v>
      </c>
      <c r="ZG36" s="178">
        <f t="shared" si="352"/>
        <v>0</v>
      </c>
      <c r="ZH36" s="15"/>
      <c r="ZI36" s="12"/>
      <c r="ZP36" s="178">
        <v>0</v>
      </c>
      <c r="ZQ36" s="178">
        <f t="shared" si="353"/>
        <v>0</v>
      </c>
      <c r="ZR36" s="15"/>
      <c r="ZS36" s="12"/>
      <c r="ZX36" s="9">
        <f t="shared" si="285"/>
        <v>12894.73</v>
      </c>
      <c r="ZY36" s="9">
        <f t="shared" si="285"/>
        <v>1031578.4</v>
      </c>
      <c r="ZZ36" s="17"/>
      <c r="AAA36" s="12"/>
      <c r="AAF36" s="16">
        <f t="shared" si="297"/>
        <v>2324.62</v>
      </c>
      <c r="AAG36" s="16">
        <f t="shared" si="297"/>
        <v>185969.6</v>
      </c>
      <c r="AAH36" s="17"/>
      <c r="AAI36" s="256"/>
      <c r="AAJ36" s="172"/>
      <c r="AAN36" s="172">
        <f t="shared" ref="AAN36:AAO41" si="374">WN36+WX36+XH36</f>
        <v>565.37</v>
      </c>
      <c r="AAO36" s="172">
        <f t="shared" si="374"/>
        <v>45229.599999999999</v>
      </c>
      <c r="AAP36" s="17"/>
      <c r="AAQ36" s="12"/>
      <c r="AAV36" s="172">
        <f t="shared" si="288"/>
        <v>3747.7200000000003</v>
      </c>
      <c r="AAW36" s="172">
        <f t="shared" si="288"/>
        <v>299817.59999999998</v>
      </c>
      <c r="AAX36" s="15"/>
      <c r="AAY36" s="12"/>
      <c r="ABD36" s="9">
        <f t="shared" si="289"/>
        <v>6257.02</v>
      </c>
      <c r="ABE36" s="9">
        <f t="shared" si="289"/>
        <v>500561.60000000003</v>
      </c>
      <c r="ABF36" s="15"/>
    </row>
    <row r="37" spans="1:734" x14ac:dyDescent="0.3">
      <c r="A37" s="12"/>
      <c r="B37" s="1" t="s">
        <v>159</v>
      </c>
      <c r="D37" s="12"/>
      <c r="J37" s="244">
        <f>I37*70</f>
        <v>0</v>
      </c>
      <c r="K37" s="15"/>
      <c r="R37" s="244">
        <f>Q37*70</f>
        <v>0</v>
      </c>
      <c r="S37" s="15"/>
      <c r="Z37" s="244">
        <f>Y37*70</f>
        <v>0</v>
      </c>
      <c r="AA37" s="15"/>
      <c r="AH37" s="244">
        <f>AG37*70</f>
        <v>0</v>
      </c>
      <c r="AI37" s="15"/>
      <c r="AO37" s="329">
        <v>0</v>
      </c>
      <c r="AP37" s="244">
        <f>AO37*70</f>
        <v>0</v>
      </c>
      <c r="AQ37" s="15"/>
      <c r="AW37" s="172">
        <v>580</v>
      </c>
      <c r="AX37" s="244">
        <f>AW37*70</f>
        <v>40600</v>
      </c>
      <c r="AY37" s="15"/>
      <c r="BE37" s="1">
        <v>0</v>
      </c>
      <c r="BF37" s="244">
        <f>BE37*70</f>
        <v>0</v>
      </c>
      <c r="BG37" s="15"/>
      <c r="BM37" s="1">
        <v>1753</v>
      </c>
      <c r="BN37" s="244">
        <f>BM37*70</f>
        <v>122710</v>
      </c>
      <c r="BP37" s="12"/>
      <c r="BV37" s="244">
        <f>BU37*70</f>
        <v>0</v>
      </c>
      <c r="BW37" s="15"/>
      <c r="CC37" s="172"/>
      <c r="CD37" s="172">
        <f>CC37*70</f>
        <v>0</v>
      </c>
      <c r="CF37" s="12"/>
      <c r="CK37" s="172">
        <v>4762</v>
      </c>
      <c r="CL37" s="172">
        <f>CK37*70</f>
        <v>333340</v>
      </c>
      <c r="CM37" s="301"/>
      <c r="CT37" s="172">
        <f>CS37*70</f>
        <v>0</v>
      </c>
      <c r="CV37" s="12"/>
      <c r="DA37" s="257">
        <f>(I37+Q37+Y37+AG37+AO37+AW37+BE37+BM37+BU37+CC37+CK37+CS37)</f>
        <v>7095</v>
      </c>
      <c r="DB37" s="257">
        <f>(J37+R37+Z37+AH37+AP37+AX37+BF37+BN37+BV37+CD37+CL37+CT37)</f>
        <v>496650</v>
      </c>
      <c r="DC37" s="15"/>
      <c r="DD37" s="12"/>
      <c r="DK37" s="302"/>
      <c r="DL37" s="12"/>
      <c r="DS37" s="302"/>
      <c r="EB37" s="142"/>
      <c r="EG37" s="172"/>
      <c r="EI37" s="143"/>
      <c r="EJ37" s="142"/>
      <c r="EP37" s="172">
        <f>EO37*70</f>
        <v>0</v>
      </c>
      <c r="EQ37" s="143"/>
      <c r="ER37" s="142"/>
      <c r="EY37" s="143"/>
      <c r="EZ37" s="142"/>
      <c r="FG37" s="143"/>
      <c r="FO37" s="15"/>
      <c r="FZ37" s="319"/>
      <c r="GC37" s="32"/>
      <c r="GD37" s="32"/>
      <c r="GE37" s="32"/>
      <c r="GF37" s="32"/>
      <c r="GG37" s="172">
        <v>5040</v>
      </c>
      <c r="GH37" s="172">
        <f>GG37*70</f>
        <v>352800</v>
      </c>
      <c r="GI37" s="273"/>
      <c r="GJ37" s="321"/>
      <c r="GK37" s="321"/>
      <c r="GL37" s="321"/>
      <c r="GM37" s="321"/>
      <c r="GN37" s="321"/>
      <c r="GO37" s="321"/>
      <c r="GP37" s="321"/>
      <c r="GQ37" s="331">
        <v>0</v>
      </c>
      <c r="GR37" s="178">
        <f>GQ37*70</f>
        <v>0</v>
      </c>
      <c r="GS37" s="321"/>
      <c r="GT37" s="12"/>
      <c r="HA37" s="172">
        <v>0</v>
      </c>
      <c r="HB37" s="178">
        <f>HA37*70</f>
        <v>0</v>
      </c>
      <c r="HC37" s="15"/>
      <c r="HD37" s="12"/>
      <c r="HI37" s="171">
        <f>HA37+GQ37+GG37+FW37+FM37+FE37+EW37+EO37+EG37+DY37+DQ37+DI37</f>
        <v>5040</v>
      </c>
      <c r="HJ37" s="171">
        <f>HB37+GR37+GH37+FX37+FN37+FF37+EX37+EP37+EH37+DZ37+DR37+DJ37</f>
        <v>352800</v>
      </c>
      <c r="HK37" s="15"/>
      <c r="HL37" s="12"/>
      <c r="HS37" s="15"/>
      <c r="HT37" s="12"/>
      <c r="HY37" s="171">
        <f>EG37+EO37+EW37</f>
        <v>0</v>
      </c>
      <c r="HZ37" s="171">
        <f>EH37+EP37+EX37</f>
        <v>0</v>
      </c>
      <c r="IA37" s="15"/>
      <c r="IB37" s="12"/>
      <c r="IG37" s="171">
        <f>(FE37+FM37+FW37)</f>
        <v>0</v>
      </c>
      <c r="IH37" s="171">
        <f>(FF37+FN37+FX37)</f>
        <v>0</v>
      </c>
      <c r="II37" s="15"/>
      <c r="IJ37" s="12"/>
      <c r="IO37" s="171">
        <f>(GG37+GQ37+HA37)</f>
        <v>5040</v>
      </c>
      <c r="IP37" s="171">
        <f>(GH37+GR37+HB37)</f>
        <v>352800</v>
      </c>
      <c r="IQ37" s="15"/>
      <c r="IS37" s="12"/>
      <c r="IZ37" s="332">
        <v>0</v>
      </c>
      <c r="JA37" s="178">
        <f t="shared" si="359"/>
        <v>0</v>
      </c>
      <c r="JB37" s="15"/>
      <c r="JC37" s="19"/>
      <c r="JK37" s="178">
        <f t="shared" si="360"/>
        <v>0</v>
      </c>
      <c r="JL37" s="15"/>
      <c r="JW37" s="12"/>
      <c r="KD37" s="329">
        <v>0</v>
      </c>
      <c r="KE37" s="178">
        <f t="shared" si="361"/>
        <v>0</v>
      </c>
      <c r="KF37" s="15"/>
      <c r="KG37" s="19"/>
      <c r="KN37" s="329">
        <v>0</v>
      </c>
      <c r="KO37" s="178">
        <f t="shared" si="330"/>
        <v>0</v>
      </c>
      <c r="KP37" s="15"/>
      <c r="KQ37" s="12"/>
      <c r="KY37" s="178">
        <f t="shared" si="362"/>
        <v>0</v>
      </c>
      <c r="KZ37" s="15"/>
      <c r="LA37" s="12"/>
      <c r="LI37" s="178">
        <f t="shared" si="363"/>
        <v>0</v>
      </c>
      <c r="LJ37" s="15"/>
      <c r="LK37" s="12"/>
      <c r="LS37" s="178">
        <f t="shared" si="364"/>
        <v>0</v>
      </c>
      <c r="LT37" s="15"/>
      <c r="LU37" s="177"/>
      <c r="MC37" s="178">
        <f t="shared" si="365"/>
        <v>0</v>
      </c>
      <c r="MD37" s="15"/>
      <c r="ME37" s="177"/>
      <c r="MM37" s="178">
        <f t="shared" si="366"/>
        <v>0</v>
      </c>
      <c r="MN37" s="15"/>
      <c r="MO37" s="12"/>
      <c r="MW37" s="178">
        <f t="shared" si="367"/>
        <v>0</v>
      </c>
      <c r="MY37" s="12"/>
      <c r="NH37" s="15"/>
      <c r="NN37" s="16">
        <f t="shared" si="302"/>
        <v>0</v>
      </c>
      <c r="NP37" s="17"/>
      <c r="NQ37" s="12"/>
      <c r="NV37" s="16">
        <f>IZ37+JJ37+JT37</f>
        <v>0</v>
      </c>
      <c r="NW37" s="16">
        <f>JA37+JK37+JU37</f>
        <v>0</v>
      </c>
      <c r="NX37" s="17"/>
      <c r="NY37" s="256"/>
      <c r="OD37" s="172">
        <f>KD37+KN37+KX37</f>
        <v>0</v>
      </c>
      <c r="OE37" s="172">
        <f>KE37+KO37+KY37</f>
        <v>0</v>
      </c>
      <c r="OF37" s="17"/>
      <c r="OG37" s="12"/>
      <c r="OL37" s="172">
        <f>LH37+LR37+MB37</f>
        <v>0</v>
      </c>
      <c r="OM37" s="172">
        <f>LI37+LS37+MC37</f>
        <v>0</v>
      </c>
      <c r="OO37" s="12"/>
      <c r="OV37" s="15"/>
      <c r="OX37" s="12"/>
      <c r="PE37" s="332">
        <v>0</v>
      </c>
      <c r="PF37" s="179">
        <f>PE37*80</f>
        <v>0</v>
      </c>
      <c r="PG37" s="15"/>
      <c r="PH37" s="19"/>
      <c r="PO37" s="172">
        <v>0</v>
      </c>
      <c r="PP37" s="178">
        <f>PO37*70</f>
        <v>0</v>
      </c>
      <c r="PQ37" s="15"/>
      <c r="PY37" s="172"/>
      <c r="PZ37" s="179">
        <f t="shared" si="334"/>
        <v>0</v>
      </c>
      <c r="QB37" s="12"/>
      <c r="QI37" s="329">
        <v>0</v>
      </c>
      <c r="QJ37" s="329">
        <v>0</v>
      </c>
      <c r="QK37" s="15"/>
      <c r="QL37" s="19"/>
      <c r="QS37" s="329">
        <v>0</v>
      </c>
      <c r="QT37" s="329">
        <v>0</v>
      </c>
      <c r="QU37" s="15"/>
      <c r="QV37" s="12"/>
      <c r="QY37" s="172"/>
      <c r="RE37" s="15"/>
      <c r="RF37" s="12"/>
      <c r="RO37" s="15"/>
      <c r="RP37" s="12"/>
      <c r="RW37" s="178">
        <v>0</v>
      </c>
      <c r="RY37" s="15"/>
      <c r="RZ37" s="177"/>
      <c r="SA37" s="171"/>
      <c r="SB37" s="14"/>
      <c r="SC37" s="171"/>
      <c r="SG37" s="172">
        <v>1178</v>
      </c>
      <c r="SH37" s="178">
        <f>SG37*80</f>
        <v>94240</v>
      </c>
      <c r="SI37" s="15"/>
      <c r="SJ37" s="177"/>
      <c r="SK37" s="171"/>
      <c r="SL37" s="171"/>
      <c r="SM37" s="171"/>
      <c r="SN37" s="171"/>
      <c r="SO37" s="171"/>
      <c r="SP37" s="171"/>
      <c r="SQ37" s="172">
        <v>1000</v>
      </c>
      <c r="SR37" s="178">
        <f t="shared" si="321"/>
        <v>80000</v>
      </c>
      <c r="SS37" s="15"/>
      <c r="ST37" s="12"/>
      <c r="TA37" s="1">
        <v>917</v>
      </c>
      <c r="TB37" s="178">
        <f t="shared" si="341"/>
        <v>73360</v>
      </c>
      <c r="TC37" s="15"/>
      <c r="TD37" s="12"/>
      <c r="TK37" s="329">
        <v>0</v>
      </c>
      <c r="TL37" s="178">
        <f t="shared" si="342"/>
        <v>0</v>
      </c>
      <c r="TM37" s="15"/>
      <c r="TN37" s="12"/>
      <c r="TS37" s="9">
        <f t="shared" si="286"/>
        <v>3095</v>
      </c>
      <c r="TT37" s="9">
        <f t="shared" si="286"/>
        <v>247600</v>
      </c>
      <c r="TU37" s="17"/>
      <c r="TV37" s="12"/>
      <c r="UA37" s="16">
        <f t="shared" si="304"/>
        <v>0</v>
      </c>
      <c r="UB37" s="16">
        <f t="shared" si="304"/>
        <v>0</v>
      </c>
      <c r="UC37" s="17"/>
      <c r="UD37" s="256"/>
      <c r="UE37" s="172"/>
      <c r="UI37" s="172">
        <f t="shared" si="373"/>
        <v>0</v>
      </c>
      <c r="UJ37" s="172">
        <f t="shared" si="373"/>
        <v>0</v>
      </c>
      <c r="UK37" s="17"/>
      <c r="UL37" s="12"/>
      <c r="UQ37" s="172">
        <f t="shared" si="287"/>
        <v>1178</v>
      </c>
      <c r="UR37" s="172">
        <f t="shared" si="287"/>
        <v>94240</v>
      </c>
      <c r="US37" s="15"/>
      <c r="UT37" s="12"/>
      <c r="UY37" s="9">
        <f t="shared" si="296"/>
        <v>1917</v>
      </c>
      <c r="UZ37" s="9">
        <f t="shared" si="296"/>
        <v>153360</v>
      </c>
      <c r="VA37" s="15"/>
      <c r="VC37" s="12"/>
      <c r="VI37" s="1"/>
      <c r="VJ37" s="332">
        <v>0</v>
      </c>
      <c r="VK37" s="179">
        <f>VJ37*80</f>
        <v>0</v>
      </c>
      <c r="VL37" s="15"/>
      <c r="VM37" s="19"/>
      <c r="VT37" s="172">
        <v>0</v>
      </c>
      <c r="VU37" s="179">
        <f t="shared" si="344"/>
        <v>0</v>
      </c>
      <c r="VV37" s="15"/>
      <c r="WD37" s="172">
        <v>0</v>
      </c>
      <c r="WE37" s="179">
        <f>WD37*80</f>
        <v>0</v>
      </c>
      <c r="WG37" s="12"/>
      <c r="WN37" s="172">
        <v>0</v>
      </c>
      <c r="WO37" s="329">
        <v>0</v>
      </c>
      <c r="WP37" s="15"/>
      <c r="WQ37" s="19"/>
      <c r="WX37" s="172">
        <v>0</v>
      </c>
      <c r="WY37" s="329">
        <v>0</v>
      </c>
      <c r="WZ37" s="15"/>
      <c r="XA37" s="12"/>
      <c r="XD37" s="172"/>
      <c r="XH37" s="172">
        <v>0</v>
      </c>
      <c r="XI37" s="172">
        <v>0</v>
      </c>
      <c r="XJ37" s="15"/>
      <c r="XK37" s="12"/>
      <c r="XR37" s="172">
        <v>1341</v>
      </c>
      <c r="XS37" s="178">
        <f t="shared" si="349"/>
        <v>107280</v>
      </c>
      <c r="XT37" s="15"/>
      <c r="XU37" s="12"/>
      <c r="YB37" s="178">
        <v>0</v>
      </c>
      <c r="YD37" s="15"/>
      <c r="YE37" s="177"/>
      <c r="YF37" s="171"/>
      <c r="YG37" s="14"/>
      <c r="YH37" s="171"/>
      <c r="YL37" s="178">
        <v>2871</v>
      </c>
      <c r="YM37" s="178">
        <f>YL37*80</f>
        <v>229680</v>
      </c>
      <c r="YN37" s="15"/>
      <c r="YO37" s="177"/>
      <c r="YP37" s="171"/>
      <c r="YQ37" s="171"/>
      <c r="YR37" s="171"/>
      <c r="YS37" s="171"/>
      <c r="YT37" s="171"/>
      <c r="YU37" s="171"/>
      <c r="YV37" s="178">
        <v>0</v>
      </c>
      <c r="YW37" s="178">
        <f t="shared" si="368"/>
        <v>0</v>
      </c>
      <c r="YX37" s="15"/>
      <c r="YY37" s="12"/>
      <c r="ZF37" s="178">
        <v>0</v>
      </c>
      <c r="ZG37" s="178">
        <f t="shared" si="352"/>
        <v>0</v>
      </c>
      <c r="ZH37" s="15"/>
      <c r="ZI37" s="12"/>
      <c r="ZP37" s="329">
        <v>0</v>
      </c>
      <c r="ZQ37" s="178">
        <f t="shared" si="353"/>
        <v>0</v>
      </c>
      <c r="ZR37" s="15"/>
      <c r="ZS37" s="12"/>
      <c r="ZX37" s="9">
        <f t="shared" si="285"/>
        <v>4212</v>
      </c>
      <c r="ZY37" s="9">
        <f t="shared" si="285"/>
        <v>336960</v>
      </c>
      <c r="ZZ37" s="17"/>
      <c r="AAA37" s="12"/>
      <c r="AAF37" s="16">
        <f t="shared" si="297"/>
        <v>0</v>
      </c>
      <c r="AAG37" s="16">
        <f t="shared" si="297"/>
        <v>0</v>
      </c>
      <c r="AAH37" s="17"/>
      <c r="AAI37" s="256"/>
      <c r="AAJ37" s="172"/>
      <c r="AAN37" s="172">
        <f t="shared" si="374"/>
        <v>0</v>
      </c>
      <c r="AAO37" s="172">
        <f t="shared" si="374"/>
        <v>0</v>
      </c>
      <c r="AAP37" s="17"/>
      <c r="AAQ37" s="12"/>
      <c r="AAV37" s="172">
        <f t="shared" si="288"/>
        <v>4212</v>
      </c>
      <c r="AAW37" s="172">
        <f t="shared" si="288"/>
        <v>336960</v>
      </c>
      <c r="AAX37" s="15"/>
      <c r="AAY37" s="12"/>
      <c r="ABD37" s="9">
        <f t="shared" si="289"/>
        <v>0</v>
      </c>
      <c r="ABE37" s="9">
        <f t="shared" si="289"/>
        <v>0</v>
      </c>
      <c r="ABF37" s="15"/>
    </row>
    <row r="38" spans="1:734" x14ac:dyDescent="0.3">
      <c r="A38" s="12"/>
      <c r="B38" s="1" t="s">
        <v>156</v>
      </c>
      <c r="D38" s="12"/>
      <c r="I38" s="172">
        <v>887</v>
      </c>
      <c r="J38" s="244">
        <f t="shared" si="322"/>
        <v>62090</v>
      </c>
      <c r="K38" s="15"/>
      <c r="Q38" s="1">
        <v>2836</v>
      </c>
      <c r="R38" s="244">
        <f t="shared" si="323"/>
        <v>198520</v>
      </c>
      <c r="S38" s="15"/>
      <c r="Z38" s="244">
        <f t="shared" si="309"/>
        <v>0</v>
      </c>
      <c r="AA38" s="15"/>
      <c r="AG38" s="172">
        <v>7199</v>
      </c>
      <c r="AH38" s="244">
        <f t="shared" si="310"/>
        <v>503930</v>
      </c>
      <c r="AI38" s="15"/>
      <c r="AO38" s="172">
        <v>0</v>
      </c>
      <c r="AP38" s="244">
        <f t="shared" si="311"/>
        <v>0</v>
      </c>
      <c r="AQ38" s="15"/>
      <c r="AW38" s="172">
        <v>0</v>
      </c>
      <c r="AX38" s="244">
        <f t="shared" si="308"/>
        <v>0</v>
      </c>
      <c r="AY38" s="15"/>
      <c r="BF38" s="244">
        <f t="shared" si="312"/>
        <v>0</v>
      </c>
      <c r="BG38" s="15"/>
      <c r="BN38" s="244">
        <f t="shared" si="313"/>
        <v>0</v>
      </c>
      <c r="BP38" s="12"/>
      <c r="BU38" s="1">
        <v>416</v>
      </c>
      <c r="BV38" s="244">
        <f t="shared" si="314"/>
        <v>29120</v>
      </c>
      <c r="BW38" s="15"/>
      <c r="CC38" s="172"/>
      <c r="CD38" s="172">
        <f t="shared" si="354"/>
        <v>0</v>
      </c>
      <c r="CF38" s="12"/>
      <c r="CK38" s="172"/>
      <c r="CL38" s="172">
        <f t="shared" si="355"/>
        <v>0</v>
      </c>
      <c r="CM38" s="301"/>
      <c r="CS38" s="172"/>
      <c r="CT38" s="172">
        <f t="shared" si="356"/>
        <v>0</v>
      </c>
      <c r="CV38" s="12"/>
      <c r="DA38" s="257">
        <f t="shared" si="290"/>
        <v>11338</v>
      </c>
      <c r="DB38" s="257">
        <f t="shared" si="290"/>
        <v>793660</v>
      </c>
      <c r="DC38" s="15"/>
      <c r="DD38" s="12"/>
      <c r="DI38" s="172">
        <v>635</v>
      </c>
      <c r="DJ38" s="172">
        <f t="shared" si="357"/>
        <v>44450</v>
      </c>
      <c r="DK38" s="302"/>
      <c r="DL38" s="12"/>
      <c r="DR38" s="172">
        <f t="shared" si="358"/>
        <v>0</v>
      </c>
      <c r="DS38" s="302"/>
      <c r="EB38" s="142"/>
      <c r="EG38" s="172"/>
      <c r="EI38" s="143"/>
      <c r="EJ38" s="142"/>
      <c r="EP38" s="172">
        <f t="shared" si="325"/>
        <v>0</v>
      </c>
      <c r="EQ38" s="143"/>
      <c r="ER38" s="142"/>
      <c r="EY38" s="143"/>
      <c r="EZ38" s="142"/>
      <c r="FG38" s="143"/>
      <c r="FO38" s="15"/>
      <c r="FZ38" s="319"/>
      <c r="GC38" s="32"/>
      <c r="GD38" s="32"/>
      <c r="GE38" s="32"/>
      <c r="GF38" s="32"/>
      <c r="GG38" s="172">
        <v>5100</v>
      </c>
      <c r="GH38" s="172">
        <f t="shared" si="326"/>
        <v>357000</v>
      </c>
      <c r="GI38" s="273"/>
      <c r="GJ38" s="321"/>
      <c r="GK38" s="321"/>
      <c r="GL38" s="321"/>
      <c r="GM38" s="321"/>
      <c r="GN38" s="321"/>
      <c r="GO38" s="321"/>
      <c r="GP38" s="321"/>
      <c r="GQ38" s="178">
        <v>0</v>
      </c>
      <c r="GR38" s="178">
        <f>GQ38*70</f>
        <v>0</v>
      </c>
      <c r="GS38" s="321"/>
      <c r="GT38" s="12"/>
      <c r="HA38" s="172">
        <v>0</v>
      </c>
      <c r="HB38" s="178">
        <f t="shared" si="327"/>
        <v>0</v>
      </c>
      <c r="HC38" s="15"/>
      <c r="HD38" s="12"/>
      <c r="HI38" s="171">
        <f t="shared" si="369"/>
        <v>5735</v>
      </c>
      <c r="HJ38" s="171">
        <f t="shared" si="369"/>
        <v>401450</v>
      </c>
      <c r="HK38" s="15"/>
      <c r="HL38" s="12"/>
      <c r="HQ38" s="8">
        <f>DI38+DQ38+DY38</f>
        <v>635</v>
      </c>
      <c r="HR38" s="8">
        <f>DJ38+DR38+DZ38</f>
        <v>44450</v>
      </c>
      <c r="HS38" s="15"/>
      <c r="HT38" s="12"/>
      <c r="HY38" s="171">
        <f t="shared" si="370"/>
        <v>0</v>
      </c>
      <c r="HZ38" s="171">
        <f t="shared" si="370"/>
        <v>0</v>
      </c>
      <c r="IA38" s="15"/>
      <c r="IB38" s="12"/>
      <c r="IG38" s="171">
        <f t="shared" si="371"/>
        <v>0</v>
      </c>
      <c r="IH38" s="171">
        <f t="shared" si="371"/>
        <v>0</v>
      </c>
      <c r="II38" s="15"/>
      <c r="IJ38" s="12"/>
      <c r="IO38" s="171">
        <f t="shared" si="372"/>
        <v>5100</v>
      </c>
      <c r="IP38" s="171">
        <f t="shared" si="372"/>
        <v>357000</v>
      </c>
      <c r="IQ38" s="15"/>
      <c r="IS38" s="12"/>
      <c r="IZ38" s="172">
        <v>0</v>
      </c>
      <c r="JA38" s="178">
        <f t="shared" si="359"/>
        <v>0</v>
      </c>
      <c r="JB38" s="15"/>
      <c r="JC38" s="19"/>
      <c r="JK38" s="178">
        <f t="shared" si="360"/>
        <v>0</v>
      </c>
      <c r="JL38" s="15"/>
      <c r="JU38" s="178">
        <f t="shared" si="329"/>
        <v>0</v>
      </c>
      <c r="JW38" s="12"/>
      <c r="KD38" s="172">
        <v>3647</v>
      </c>
      <c r="KE38" s="178">
        <f t="shared" si="361"/>
        <v>291760</v>
      </c>
      <c r="KF38" s="15"/>
      <c r="KG38" s="19"/>
      <c r="KN38" s="172">
        <v>0</v>
      </c>
      <c r="KO38" s="178">
        <f t="shared" si="330"/>
        <v>0</v>
      </c>
      <c r="KP38" s="15"/>
      <c r="KQ38" s="12"/>
      <c r="KY38" s="178">
        <f t="shared" si="362"/>
        <v>0</v>
      </c>
      <c r="KZ38" s="15"/>
      <c r="LA38" s="12"/>
      <c r="LI38" s="178">
        <f t="shared" si="363"/>
        <v>0</v>
      </c>
      <c r="LJ38" s="15"/>
      <c r="LK38" s="12"/>
      <c r="LR38" s="329">
        <v>0</v>
      </c>
      <c r="LS38" s="178">
        <f t="shared" si="364"/>
        <v>0</v>
      </c>
      <c r="LT38" s="15"/>
      <c r="LU38" s="177"/>
      <c r="MB38" s="329">
        <v>0</v>
      </c>
      <c r="MC38" s="178">
        <f t="shared" si="365"/>
        <v>0</v>
      </c>
      <c r="MD38" s="15"/>
      <c r="ME38" s="177"/>
      <c r="ML38" s="329">
        <v>0</v>
      </c>
      <c r="MM38" s="178">
        <f t="shared" si="366"/>
        <v>0</v>
      </c>
      <c r="MN38" s="15"/>
      <c r="MO38" s="12"/>
      <c r="MV38" s="329">
        <v>0</v>
      </c>
      <c r="MW38" s="178">
        <f t="shared" si="367"/>
        <v>0</v>
      </c>
      <c r="MX38" s="15"/>
      <c r="MY38" s="12"/>
      <c r="NF38" s="329">
        <v>0</v>
      </c>
      <c r="NG38" s="178">
        <f>NF38*75</f>
        <v>0</v>
      </c>
      <c r="NH38" s="15"/>
      <c r="NN38" s="16">
        <f t="shared" si="302"/>
        <v>3647</v>
      </c>
      <c r="NO38" s="1533">
        <f t="shared" si="291"/>
        <v>291760</v>
      </c>
      <c r="NP38" s="17"/>
      <c r="NQ38" s="12"/>
      <c r="NV38" s="16">
        <f>IZ38+JJ38+JT38</f>
        <v>0</v>
      </c>
      <c r="NW38" s="16">
        <f t="shared" si="292"/>
        <v>0</v>
      </c>
      <c r="NX38" s="17"/>
      <c r="NY38" s="256"/>
      <c r="OD38" s="172">
        <f t="shared" si="293"/>
        <v>3647</v>
      </c>
      <c r="OE38" s="172">
        <f t="shared" si="293"/>
        <v>291760</v>
      </c>
      <c r="OF38" s="17"/>
      <c r="OG38" s="12"/>
      <c r="OL38" s="172">
        <f t="shared" si="294"/>
        <v>0</v>
      </c>
      <c r="OM38" s="172">
        <f t="shared" si="294"/>
        <v>0</v>
      </c>
      <c r="OO38" s="12"/>
      <c r="OT38" s="16">
        <f t="shared" si="295"/>
        <v>0</v>
      </c>
      <c r="OU38" s="16">
        <f t="shared" si="295"/>
        <v>0</v>
      </c>
      <c r="OV38" s="15"/>
      <c r="OX38" s="12"/>
      <c r="PE38" s="332">
        <v>0</v>
      </c>
      <c r="PF38" s="179">
        <f t="shared" si="332"/>
        <v>0</v>
      </c>
      <c r="PG38" s="15"/>
      <c r="PH38" s="19"/>
      <c r="PO38" s="1">
        <v>450</v>
      </c>
      <c r="PP38" s="179">
        <f t="shared" si="333"/>
        <v>36000</v>
      </c>
      <c r="PQ38" s="15"/>
      <c r="PY38" s="172">
        <v>10225</v>
      </c>
      <c r="PZ38" s="179">
        <f t="shared" si="334"/>
        <v>818000</v>
      </c>
      <c r="QB38" s="12"/>
      <c r="QI38" s="172"/>
      <c r="QJ38" s="879">
        <f t="shared" si="335"/>
        <v>0</v>
      </c>
      <c r="QK38" s="15"/>
      <c r="QL38" s="19"/>
      <c r="QS38" s="172">
        <v>0</v>
      </c>
      <c r="QT38" s="879">
        <f t="shared" si="336"/>
        <v>0</v>
      </c>
      <c r="QU38" s="15"/>
      <c r="QV38" s="12"/>
      <c r="QY38" s="172"/>
      <c r="RD38" s="179">
        <f t="shared" si="337"/>
        <v>0</v>
      </c>
      <c r="RE38" s="15"/>
      <c r="RF38" s="12"/>
      <c r="RM38" s="329">
        <v>0</v>
      </c>
      <c r="RN38" s="178">
        <f t="shared" si="338"/>
        <v>0</v>
      </c>
      <c r="RO38" s="15"/>
      <c r="RP38" s="12"/>
      <c r="RW38" s="178">
        <v>0</v>
      </c>
      <c r="RX38" s="178">
        <f t="shared" si="339"/>
        <v>0</v>
      </c>
      <c r="RY38" s="15"/>
      <c r="RZ38" s="177"/>
      <c r="SA38" s="171"/>
      <c r="SB38" s="14"/>
      <c r="SC38" s="171"/>
      <c r="SG38" s="178">
        <v>0</v>
      </c>
      <c r="SH38" s="178">
        <f t="shared" si="340"/>
        <v>0</v>
      </c>
      <c r="SI38" s="15"/>
      <c r="SJ38" s="177"/>
      <c r="SK38" s="171"/>
      <c r="SL38" s="171"/>
      <c r="SM38" s="171"/>
      <c r="SN38" s="171"/>
      <c r="SO38" s="171"/>
      <c r="SP38" s="171"/>
      <c r="SQ38" s="329"/>
      <c r="SR38" s="178">
        <f t="shared" si="321"/>
        <v>0</v>
      </c>
      <c r="SS38" s="15"/>
      <c r="ST38" s="12"/>
      <c r="TA38" s="329"/>
      <c r="TB38" s="178">
        <f t="shared" si="341"/>
        <v>0</v>
      </c>
      <c r="TC38" s="15"/>
      <c r="TD38" s="12"/>
      <c r="TK38" s="172">
        <v>2099</v>
      </c>
      <c r="TL38" s="178">
        <f t="shared" si="342"/>
        <v>167920</v>
      </c>
      <c r="TM38" s="15"/>
      <c r="TN38" s="12"/>
      <c r="TS38" s="9">
        <f t="shared" si="286"/>
        <v>12774</v>
      </c>
      <c r="TT38" s="9">
        <f t="shared" si="286"/>
        <v>1021920</v>
      </c>
      <c r="TU38" s="17"/>
      <c r="TV38" s="12"/>
      <c r="UA38" s="16">
        <f t="shared" si="304"/>
        <v>10675</v>
      </c>
      <c r="UB38" s="16">
        <f t="shared" si="304"/>
        <v>854000</v>
      </c>
      <c r="UC38" s="17"/>
      <c r="UD38" s="256"/>
      <c r="UE38" s="172"/>
      <c r="UI38" s="172">
        <f t="shared" si="373"/>
        <v>0</v>
      </c>
      <c r="UJ38" s="172">
        <f t="shared" si="373"/>
        <v>0</v>
      </c>
      <c r="UK38" s="17"/>
      <c r="UL38" s="12"/>
      <c r="UQ38" s="172">
        <f t="shared" si="287"/>
        <v>0</v>
      </c>
      <c r="UR38" s="172">
        <f t="shared" si="287"/>
        <v>0</v>
      </c>
      <c r="US38" s="15"/>
      <c r="UT38" s="12"/>
      <c r="UY38" s="9">
        <f t="shared" si="296"/>
        <v>2099</v>
      </c>
      <c r="UZ38" s="9">
        <f t="shared" si="296"/>
        <v>167920</v>
      </c>
      <c r="VA38" s="15"/>
      <c r="VC38" s="12"/>
      <c r="VI38" s="1"/>
      <c r="VJ38" s="330">
        <v>1425</v>
      </c>
      <c r="VK38" s="179">
        <f>VJ38*80</f>
        <v>114000</v>
      </c>
      <c r="VL38" s="15"/>
      <c r="VM38" s="19"/>
      <c r="VT38" s="172">
        <v>0</v>
      </c>
      <c r="VU38" s="179">
        <f t="shared" si="344"/>
        <v>0</v>
      </c>
      <c r="VV38" s="15"/>
      <c r="WD38" s="172">
        <v>1425</v>
      </c>
      <c r="WE38" s="179">
        <f t="shared" ref="WE38:WE46" si="375">WD38*80</f>
        <v>114000</v>
      </c>
      <c r="WG38" s="12"/>
      <c r="WN38" s="172">
        <v>0</v>
      </c>
      <c r="WO38" s="879">
        <f>WN38*80</f>
        <v>0</v>
      </c>
      <c r="WP38" s="15"/>
      <c r="WQ38" s="19"/>
      <c r="WX38" s="172">
        <v>12100</v>
      </c>
      <c r="WY38" s="179">
        <f>WX38*80</f>
        <v>968000</v>
      </c>
      <c r="WZ38" s="15"/>
      <c r="XA38" s="12"/>
      <c r="XD38" s="172"/>
      <c r="XH38" s="172">
        <v>0</v>
      </c>
      <c r="XI38" s="178">
        <f t="shared" ref="XI38:XI47" si="376">XH38*80</f>
        <v>0</v>
      </c>
      <c r="XJ38" s="15"/>
      <c r="XK38" s="12"/>
      <c r="XR38" s="329">
        <v>0</v>
      </c>
      <c r="XS38" s="178">
        <f t="shared" si="349"/>
        <v>0</v>
      </c>
      <c r="XT38" s="15"/>
      <c r="XU38" s="12"/>
      <c r="YB38" s="178">
        <v>0</v>
      </c>
      <c r="YC38" s="178">
        <f>YB38*80</f>
        <v>0</v>
      </c>
      <c r="YD38" s="15"/>
      <c r="YE38" s="177"/>
      <c r="YF38" s="171"/>
      <c r="YG38" s="14"/>
      <c r="YH38" s="171"/>
      <c r="YL38" s="178">
        <v>0</v>
      </c>
      <c r="YM38" s="178">
        <f t="shared" ref="YM38:YM47" si="377">YL38*80</f>
        <v>0</v>
      </c>
      <c r="YN38" s="15"/>
      <c r="YO38" s="177"/>
      <c r="YP38" s="171"/>
      <c r="YQ38" s="171"/>
      <c r="YR38" s="171"/>
      <c r="YS38" s="171"/>
      <c r="YT38" s="171"/>
      <c r="YU38" s="171"/>
      <c r="YV38" s="178">
        <v>3825</v>
      </c>
      <c r="YW38" s="178">
        <f t="shared" si="368"/>
        <v>306000</v>
      </c>
      <c r="YX38" s="15"/>
      <c r="YY38" s="12"/>
      <c r="ZF38" s="178">
        <v>0</v>
      </c>
      <c r="ZG38" s="178">
        <f t="shared" si="352"/>
        <v>0</v>
      </c>
      <c r="ZH38" s="15"/>
      <c r="ZI38" s="12"/>
      <c r="ZP38" s="329">
        <v>0</v>
      </c>
      <c r="ZQ38" s="178">
        <f t="shared" si="353"/>
        <v>0</v>
      </c>
      <c r="ZR38" s="15"/>
      <c r="ZS38" s="12"/>
      <c r="ZX38" s="9">
        <f t="shared" si="285"/>
        <v>18775</v>
      </c>
      <c r="ZY38" s="9">
        <f t="shared" si="285"/>
        <v>1502000</v>
      </c>
      <c r="ZZ38" s="17"/>
      <c r="AAA38" s="12"/>
      <c r="AAF38" s="16">
        <f t="shared" si="297"/>
        <v>2850</v>
      </c>
      <c r="AAG38" s="16">
        <f t="shared" si="297"/>
        <v>228000</v>
      </c>
      <c r="AAH38" s="17"/>
      <c r="AAI38" s="256"/>
      <c r="AAJ38" s="172"/>
      <c r="AAN38" s="172">
        <f t="shared" si="374"/>
        <v>12100</v>
      </c>
      <c r="AAO38" s="172">
        <f t="shared" si="374"/>
        <v>968000</v>
      </c>
      <c r="AAP38" s="17"/>
      <c r="AAQ38" s="12"/>
      <c r="AAV38" s="172">
        <f t="shared" si="288"/>
        <v>0</v>
      </c>
      <c r="AAW38" s="172">
        <f t="shared" si="288"/>
        <v>0</v>
      </c>
      <c r="AAX38" s="15"/>
      <c r="AAY38" s="12"/>
      <c r="ABD38" s="9">
        <f t="shared" si="289"/>
        <v>3825</v>
      </c>
      <c r="ABE38" s="9">
        <f t="shared" si="289"/>
        <v>306000</v>
      </c>
      <c r="ABF38" s="15"/>
    </row>
    <row r="39" spans="1:734" x14ac:dyDescent="0.3">
      <c r="A39" s="12"/>
      <c r="B39" s="1" t="s">
        <v>463</v>
      </c>
      <c r="D39" s="12"/>
      <c r="J39" s="244">
        <f t="shared" si="322"/>
        <v>0</v>
      </c>
      <c r="K39" s="15"/>
      <c r="R39" s="244">
        <f t="shared" si="323"/>
        <v>0</v>
      </c>
      <c r="S39" s="15"/>
      <c r="Y39" s="1">
        <v>101</v>
      </c>
      <c r="Z39" s="244">
        <f t="shared" si="309"/>
        <v>7070</v>
      </c>
      <c r="AA39" s="15"/>
      <c r="AG39" s="172">
        <v>99</v>
      </c>
      <c r="AH39" s="244">
        <f t="shared" si="310"/>
        <v>6930</v>
      </c>
      <c r="AI39" s="15"/>
      <c r="AO39" s="172">
        <v>984</v>
      </c>
      <c r="AP39" s="244">
        <f t="shared" si="311"/>
        <v>68880</v>
      </c>
      <c r="AQ39" s="15"/>
      <c r="AW39" s="172">
        <v>0</v>
      </c>
      <c r="AX39" s="244">
        <f t="shared" si="308"/>
        <v>0</v>
      </c>
      <c r="AY39" s="15"/>
      <c r="BE39" s="1">
        <v>629</v>
      </c>
      <c r="BF39" s="244">
        <f t="shared" si="312"/>
        <v>44030</v>
      </c>
      <c r="BG39" s="15"/>
      <c r="BN39" s="244">
        <f t="shared" si="313"/>
        <v>0</v>
      </c>
      <c r="BP39" s="12"/>
      <c r="BV39" s="244">
        <f t="shared" si="314"/>
        <v>0</v>
      </c>
      <c r="BW39" s="15"/>
      <c r="CC39" s="172"/>
      <c r="CD39" s="172">
        <f t="shared" si="354"/>
        <v>0</v>
      </c>
      <c r="CF39" s="12"/>
      <c r="CK39" s="172"/>
      <c r="CL39" s="172">
        <f t="shared" si="355"/>
        <v>0</v>
      </c>
      <c r="CM39" s="301"/>
      <c r="CT39" s="172">
        <f t="shared" si="356"/>
        <v>0</v>
      </c>
      <c r="CV39" s="12"/>
      <c r="DA39" s="257">
        <f t="shared" si="290"/>
        <v>1813</v>
      </c>
      <c r="DB39" s="257">
        <f t="shared" si="290"/>
        <v>126910</v>
      </c>
      <c r="DC39" s="15"/>
      <c r="DD39" s="12"/>
      <c r="DK39" s="302"/>
      <c r="DL39" s="12"/>
      <c r="DS39" s="302"/>
      <c r="EB39" s="142"/>
      <c r="EG39" s="172"/>
      <c r="EI39" s="143"/>
      <c r="EJ39" s="142"/>
      <c r="EP39" s="172">
        <f t="shared" si="325"/>
        <v>0</v>
      </c>
      <c r="EQ39" s="143"/>
      <c r="ER39" s="142"/>
      <c r="EY39" s="143"/>
      <c r="EZ39" s="142"/>
      <c r="FG39" s="143"/>
      <c r="FO39" s="15"/>
      <c r="FZ39" s="319"/>
      <c r="GC39" s="32"/>
      <c r="GD39" s="32"/>
      <c r="GE39" s="32"/>
      <c r="GF39" s="32"/>
      <c r="GG39" s="172"/>
      <c r="GH39" s="32"/>
      <c r="GI39" s="273"/>
      <c r="GJ39" s="321"/>
      <c r="GK39" s="321"/>
      <c r="GL39" s="321"/>
      <c r="GM39" s="321"/>
      <c r="GN39" s="321"/>
      <c r="GO39" s="321"/>
      <c r="GP39" s="321"/>
      <c r="GQ39" s="32">
        <v>563</v>
      </c>
      <c r="GR39" s="172">
        <f>GQ39*70</f>
        <v>39410</v>
      </c>
      <c r="GS39" s="321"/>
      <c r="GT39" s="12"/>
      <c r="HA39" s="34">
        <v>762.87</v>
      </c>
      <c r="HB39" s="178">
        <f t="shared" si="327"/>
        <v>53400.9</v>
      </c>
      <c r="HC39" s="15"/>
      <c r="HD39" s="12"/>
      <c r="HI39" s="171">
        <f t="shared" si="369"/>
        <v>1325.87</v>
      </c>
      <c r="HJ39" s="171">
        <f t="shared" si="369"/>
        <v>92810.9</v>
      </c>
      <c r="HK39" s="15"/>
      <c r="HL39" s="12"/>
      <c r="HS39" s="15"/>
      <c r="HT39" s="12"/>
      <c r="HY39" s="171">
        <f t="shared" si="370"/>
        <v>0</v>
      </c>
      <c r="HZ39" s="171">
        <f t="shared" si="370"/>
        <v>0</v>
      </c>
      <c r="IA39" s="15"/>
      <c r="IB39" s="12"/>
      <c r="IG39" s="171">
        <f t="shared" si="371"/>
        <v>0</v>
      </c>
      <c r="IH39" s="171">
        <f t="shared" si="371"/>
        <v>0</v>
      </c>
      <c r="II39" s="15"/>
      <c r="IJ39" s="12"/>
      <c r="IO39" s="171">
        <f t="shared" si="372"/>
        <v>1325.87</v>
      </c>
      <c r="IP39" s="171">
        <f t="shared" si="372"/>
        <v>92810.9</v>
      </c>
      <c r="IQ39" s="15"/>
      <c r="IS39" s="12"/>
      <c r="IZ39" s="172">
        <v>139.6</v>
      </c>
      <c r="JA39" s="178">
        <f t="shared" si="359"/>
        <v>11168</v>
      </c>
      <c r="JB39" s="15"/>
      <c r="JC39" s="19"/>
      <c r="JK39" s="178">
        <f t="shared" si="360"/>
        <v>0</v>
      </c>
      <c r="JL39" s="15"/>
      <c r="JT39" s="35">
        <v>102.53</v>
      </c>
      <c r="JU39" s="178">
        <f t="shared" si="329"/>
        <v>7689.75</v>
      </c>
      <c r="JW39" s="12"/>
      <c r="KD39" s="172">
        <v>120</v>
      </c>
      <c r="KE39" s="178">
        <f t="shared" si="361"/>
        <v>9600</v>
      </c>
      <c r="KF39" s="15"/>
      <c r="KG39" s="19"/>
      <c r="KN39" s="172">
        <v>0</v>
      </c>
      <c r="KO39" s="178">
        <f t="shared" si="330"/>
        <v>0</v>
      </c>
      <c r="KP39" s="15"/>
      <c r="KQ39" s="12"/>
      <c r="KY39" s="178">
        <f t="shared" si="362"/>
        <v>0</v>
      </c>
      <c r="KZ39" s="15"/>
      <c r="LA39" s="12"/>
      <c r="LJ39" s="15"/>
      <c r="LK39" s="12"/>
      <c r="LS39" s="178">
        <f t="shared" si="364"/>
        <v>0</v>
      </c>
      <c r="LT39" s="15"/>
      <c r="LU39" s="177"/>
      <c r="MC39" s="178">
        <f t="shared" si="365"/>
        <v>0</v>
      </c>
      <c r="MD39" s="15"/>
      <c r="ME39" s="177"/>
      <c r="MM39" s="178">
        <f t="shared" si="366"/>
        <v>0</v>
      </c>
      <c r="MN39" s="15"/>
      <c r="MO39" s="882"/>
      <c r="MP39" s="883"/>
      <c r="MQ39" s="883"/>
      <c r="MR39" s="883"/>
      <c r="MS39" s="883"/>
      <c r="MT39" s="883"/>
      <c r="MU39" s="883"/>
      <c r="MV39" s="883"/>
      <c r="MW39" s="178">
        <f t="shared" si="367"/>
        <v>0</v>
      </c>
      <c r="MX39" s="884"/>
      <c r="MY39" s="12"/>
      <c r="NF39" s="329">
        <v>0</v>
      </c>
      <c r="NG39" s="178">
        <f>NF39*75</f>
        <v>0</v>
      </c>
      <c r="NH39" s="15"/>
      <c r="NN39" s="16">
        <f t="shared" si="302"/>
        <v>362.13</v>
      </c>
      <c r="NO39" s="1533">
        <f t="shared" si="291"/>
        <v>28457.75</v>
      </c>
      <c r="NP39" s="17"/>
      <c r="NQ39" s="12"/>
      <c r="NV39" s="16">
        <f>IZ39+JJ39+JT39</f>
        <v>242.13</v>
      </c>
      <c r="NW39" s="16">
        <f t="shared" si="292"/>
        <v>18857.75</v>
      </c>
      <c r="NX39" s="17"/>
      <c r="NY39" s="256"/>
      <c r="OD39" s="172">
        <f t="shared" si="293"/>
        <v>120</v>
      </c>
      <c r="OE39" s="172">
        <f t="shared" si="293"/>
        <v>9600</v>
      </c>
      <c r="OF39" s="17"/>
      <c r="OG39" s="12"/>
      <c r="OL39" s="172">
        <f t="shared" si="294"/>
        <v>0</v>
      </c>
      <c r="OM39" s="172">
        <f t="shared" si="294"/>
        <v>0</v>
      </c>
      <c r="OO39" s="12"/>
      <c r="OT39" s="16">
        <f t="shared" si="295"/>
        <v>0</v>
      </c>
      <c r="OU39" s="16">
        <f t="shared" si="295"/>
        <v>0</v>
      </c>
      <c r="OV39" s="15"/>
      <c r="OX39" s="12"/>
      <c r="PE39" s="332">
        <v>0</v>
      </c>
      <c r="PF39" s="179">
        <f t="shared" si="332"/>
        <v>0</v>
      </c>
      <c r="PG39" s="15"/>
      <c r="PH39" s="19"/>
      <c r="PO39" s="172">
        <f>17388-7096</f>
        <v>10292</v>
      </c>
      <c r="PP39" s="179">
        <f t="shared" si="333"/>
        <v>823360</v>
      </c>
      <c r="PQ39" s="15"/>
      <c r="PY39" s="172">
        <v>0</v>
      </c>
      <c r="PZ39" s="179">
        <f t="shared" si="334"/>
        <v>0</v>
      </c>
      <c r="QB39" s="12"/>
      <c r="QI39" s="172">
        <f>6194-475</f>
        <v>5719</v>
      </c>
      <c r="QJ39" s="179">
        <f t="shared" si="335"/>
        <v>457520</v>
      </c>
      <c r="QK39" s="15"/>
      <c r="QL39" s="19"/>
      <c r="QS39" s="172">
        <v>0</v>
      </c>
      <c r="QT39" s="179">
        <f t="shared" si="336"/>
        <v>0</v>
      </c>
      <c r="QU39" s="15"/>
      <c r="QV39" s="12"/>
      <c r="QY39" s="172"/>
      <c r="RD39" s="179">
        <f t="shared" si="337"/>
        <v>0</v>
      </c>
      <c r="RE39" s="15"/>
      <c r="RF39" s="12"/>
      <c r="RM39" s="329">
        <v>0</v>
      </c>
      <c r="RN39" s="178">
        <f t="shared" si="338"/>
        <v>0</v>
      </c>
      <c r="RO39" s="15"/>
      <c r="RP39" s="12"/>
      <c r="RW39" s="178">
        <v>0</v>
      </c>
      <c r="RX39" s="178">
        <f t="shared" si="339"/>
        <v>0</v>
      </c>
      <c r="RY39" s="15"/>
      <c r="RZ39" s="177"/>
      <c r="SA39" s="171"/>
      <c r="SB39" s="14"/>
      <c r="SC39" s="171"/>
      <c r="SG39" s="178">
        <v>0</v>
      </c>
      <c r="SH39" s="178">
        <f t="shared" si="340"/>
        <v>0</v>
      </c>
      <c r="SI39" s="15"/>
      <c r="SJ39" s="177"/>
      <c r="SK39" s="171"/>
      <c r="SL39" s="171"/>
      <c r="SM39" s="171"/>
      <c r="SN39" s="171"/>
      <c r="SO39" s="171"/>
      <c r="SP39" s="171"/>
      <c r="SS39" s="15"/>
      <c r="ST39" s="12"/>
      <c r="TB39" s="178">
        <f t="shared" si="341"/>
        <v>0</v>
      </c>
      <c r="TC39" s="15"/>
      <c r="TD39" s="12"/>
      <c r="TK39" s="329">
        <v>0</v>
      </c>
      <c r="TL39" s="331">
        <f t="shared" si="342"/>
        <v>0</v>
      </c>
      <c r="TM39" s="15"/>
      <c r="TN39" s="12"/>
      <c r="TS39" s="9">
        <f t="shared" si="286"/>
        <v>16011</v>
      </c>
      <c r="TT39" s="9">
        <f t="shared" si="286"/>
        <v>1280880</v>
      </c>
      <c r="TU39" s="17"/>
      <c r="TV39" s="12"/>
      <c r="UA39" s="16">
        <f t="shared" si="304"/>
        <v>10292</v>
      </c>
      <c r="UB39" s="16">
        <f t="shared" si="304"/>
        <v>823360</v>
      </c>
      <c r="UC39" s="17"/>
      <c r="UD39" s="256"/>
      <c r="UE39" s="172"/>
      <c r="UI39" s="172">
        <f t="shared" si="373"/>
        <v>5719</v>
      </c>
      <c r="UJ39" s="172">
        <f t="shared" si="373"/>
        <v>457520</v>
      </c>
      <c r="UK39" s="17"/>
      <c r="UL39" s="12"/>
      <c r="UQ39" s="172">
        <f t="shared" si="287"/>
        <v>0</v>
      </c>
      <c r="UR39" s="172">
        <f t="shared" si="287"/>
        <v>0</v>
      </c>
      <c r="US39" s="15"/>
      <c r="UT39" s="12"/>
      <c r="UY39" s="9">
        <f t="shared" si="296"/>
        <v>0</v>
      </c>
      <c r="UZ39" s="9">
        <f t="shared" si="296"/>
        <v>0</v>
      </c>
      <c r="VA39" s="15"/>
      <c r="VC39" s="12"/>
      <c r="VI39" s="1"/>
      <c r="VJ39" s="332">
        <v>0</v>
      </c>
      <c r="VK39" s="179">
        <f>VJ39*80</f>
        <v>0</v>
      </c>
      <c r="VL39" s="15"/>
      <c r="VM39" s="19"/>
      <c r="VT39" s="172">
        <v>0</v>
      </c>
      <c r="VU39" s="179">
        <f t="shared" si="344"/>
        <v>0</v>
      </c>
      <c r="VV39" s="15"/>
      <c r="WD39" s="172">
        <v>0</v>
      </c>
      <c r="WE39" s="179">
        <f t="shared" si="375"/>
        <v>0</v>
      </c>
      <c r="WG39" s="12"/>
      <c r="WN39" s="172">
        <v>0</v>
      </c>
      <c r="WO39" s="179">
        <f>WN39*80</f>
        <v>0</v>
      </c>
      <c r="WP39" s="15"/>
      <c r="WQ39" s="19"/>
      <c r="WX39" s="172">
        <v>0</v>
      </c>
      <c r="WY39" s="179">
        <f>WX39*80</f>
        <v>0</v>
      </c>
      <c r="WZ39" s="15"/>
      <c r="XA39" s="12"/>
      <c r="XD39" s="172"/>
      <c r="XH39" s="172">
        <v>0</v>
      </c>
      <c r="XI39" s="179">
        <f t="shared" si="376"/>
        <v>0</v>
      </c>
      <c r="XJ39" s="15"/>
      <c r="XK39" s="12"/>
      <c r="XR39" s="329">
        <v>0</v>
      </c>
      <c r="XS39" s="178">
        <f>XR39*80</f>
        <v>0</v>
      </c>
      <c r="XT39" s="15"/>
      <c r="XU39" s="12"/>
      <c r="YB39" s="178">
        <v>0</v>
      </c>
      <c r="YC39" s="178">
        <f>YB39*80</f>
        <v>0</v>
      </c>
      <c r="YD39" s="15"/>
      <c r="YE39" s="177"/>
      <c r="YF39" s="171"/>
      <c r="YG39" s="14"/>
      <c r="YH39" s="171"/>
      <c r="YL39" s="178">
        <v>0</v>
      </c>
      <c r="YM39" s="178">
        <f t="shared" si="377"/>
        <v>0</v>
      </c>
      <c r="YN39" s="15"/>
      <c r="YO39" s="177"/>
      <c r="YP39" s="171"/>
      <c r="YQ39" s="171"/>
      <c r="YR39" s="171"/>
      <c r="YS39" s="171"/>
      <c r="YT39" s="171"/>
      <c r="YU39" s="171"/>
      <c r="YV39" s="178">
        <v>0</v>
      </c>
      <c r="YW39" s="178">
        <f t="shared" si="368"/>
        <v>0</v>
      </c>
      <c r="YX39" s="15"/>
      <c r="YY39" s="12"/>
      <c r="ZF39" s="178">
        <v>0</v>
      </c>
      <c r="ZG39" s="178">
        <f t="shared" si="352"/>
        <v>0</v>
      </c>
      <c r="ZH39" s="15"/>
      <c r="ZI39" s="12"/>
      <c r="ZP39" s="329">
        <v>0</v>
      </c>
      <c r="ZQ39" s="331">
        <f t="shared" si="353"/>
        <v>0</v>
      </c>
      <c r="ZR39" s="15"/>
      <c r="ZS39" s="12"/>
      <c r="ZX39" s="9">
        <f t="shared" si="285"/>
        <v>0</v>
      </c>
      <c r="ZY39" s="9">
        <f t="shared" si="285"/>
        <v>0</v>
      </c>
      <c r="ZZ39" s="17"/>
      <c r="AAA39" s="12"/>
      <c r="AAF39" s="16">
        <f t="shared" ref="AAF39:AAG48" si="378">VJ39+VT39+WD39</f>
        <v>0</v>
      </c>
      <c r="AAG39" s="16">
        <f t="shared" si="378"/>
        <v>0</v>
      </c>
      <c r="AAH39" s="17"/>
      <c r="AAI39" s="256"/>
      <c r="AAJ39" s="172"/>
      <c r="AAN39" s="172">
        <f t="shared" si="374"/>
        <v>0</v>
      </c>
      <c r="AAO39" s="172">
        <f t="shared" si="374"/>
        <v>0</v>
      </c>
      <c r="AAP39" s="17"/>
      <c r="AAQ39" s="12"/>
      <c r="AAV39" s="172">
        <f t="shared" si="288"/>
        <v>0</v>
      </c>
      <c r="AAW39" s="172">
        <f t="shared" si="288"/>
        <v>0</v>
      </c>
      <c r="AAX39" s="15"/>
      <c r="AAY39" s="12"/>
      <c r="ABD39" s="9">
        <f t="shared" si="289"/>
        <v>0</v>
      </c>
      <c r="ABE39" s="9">
        <f t="shared" si="289"/>
        <v>0</v>
      </c>
      <c r="ABF39" s="15"/>
    </row>
    <row r="40" spans="1:734" x14ac:dyDescent="0.3">
      <c r="A40" s="12"/>
      <c r="B40" s="1" t="s">
        <v>161</v>
      </c>
      <c r="D40" s="12"/>
      <c r="J40" s="244">
        <f>I40*70</f>
        <v>0</v>
      </c>
      <c r="K40" s="15"/>
      <c r="R40" s="244">
        <f>Q40*70</f>
        <v>0</v>
      </c>
      <c r="S40" s="15"/>
      <c r="Z40" s="244">
        <f>Y40*70</f>
        <v>0</v>
      </c>
      <c r="AA40" s="15"/>
      <c r="AH40" s="244">
        <f>AG40*70</f>
        <v>0</v>
      </c>
      <c r="AI40" s="15"/>
      <c r="AO40" s="329">
        <v>0</v>
      </c>
      <c r="AP40" s="244">
        <f>AO40*70</f>
        <v>0</v>
      </c>
      <c r="AQ40" s="15"/>
      <c r="AW40" s="329">
        <v>0</v>
      </c>
      <c r="AX40" s="244">
        <f>AW40*70</f>
        <v>0</v>
      </c>
      <c r="AY40" s="15"/>
      <c r="BF40" s="244">
        <f>BE40*70</f>
        <v>0</v>
      </c>
      <c r="BG40" s="15"/>
      <c r="BN40" s="244">
        <f>BM40*70</f>
        <v>0</v>
      </c>
      <c r="BP40" s="12"/>
      <c r="BV40" s="244">
        <f>BU40*70</f>
        <v>0</v>
      </c>
      <c r="BW40" s="15"/>
      <c r="CD40" s="172">
        <f>CC40*70</f>
        <v>0</v>
      </c>
      <c r="CF40" s="12"/>
      <c r="CL40" s="172">
        <f>CK40*70</f>
        <v>0</v>
      </c>
      <c r="CM40" s="301"/>
      <c r="CT40" s="172">
        <f>CS40*70</f>
        <v>0</v>
      </c>
      <c r="CV40" s="12"/>
      <c r="DA40" s="257">
        <f>(I40+Q40+Y40+AG40+AO40+AW40+BE40+BM40+BU40+CC40+CK40+CS40)</f>
        <v>0</v>
      </c>
      <c r="DB40" s="257">
        <f>(J40+R40+Z40+AH40+AP40+AX40+BF40+BN40+BV40+CD40+CL40+CT40)</f>
        <v>0</v>
      </c>
      <c r="DC40" s="15"/>
      <c r="DD40" s="12"/>
      <c r="DK40" s="302"/>
      <c r="DL40" s="12"/>
      <c r="DS40" s="302"/>
      <c r="EB40" s="142"/>
      <c r="EG40" s="172"/>
      <c r="EI40" s="143"/>
      <c r="EJ40" s="142"/>
      <c r="EP40" s="172">
        <f>EO40*70</f>
        <v>0</v>
      </c>
      <c r="EQ40" s="143"/>
      <c r="ER40" s="142"/>
      <c r="EY40" s="143"/>
      <c r="EZ40" s="142"/>
      <c r="FG40" s="143"/>
      <c r="FO40" s="15"/>
      <c r="FZ40" s="319"/>
      <c r="GC40" s="32"/>
      <c r="GD40" s="32"/>
      <c r="GE40" s="32"/>
      <c r="GF40" s="32"/>
      <c r="GG40" s="32"/>
      <c r="GH40" s="32"/>
      <c r="GI40" s="273"/>
      <c r="GJ40" s="321"/>
      <c r="GK40" s="321"/>
      <c r="GL40" s="321"/>
      <c r="GM40" s="321"/>
      <c r="GN40" s="321"/>
      <c r="GO40" s="321"/>
      <c r="GP40" s="321"/>
      <c r="GQ40" s="32"/>
      <c r="GR40" s="32"/>
      <c r="GS40" s="321"/>
      <c r="GT40" s="12"/>
      <c r="HA40" s="172">
        <v>0</v>
      </c>
      <c r="HB40" s="178">
        <f>HA40*70</f>
        <v>0</v>
      </c>
      <c r="HC40" s="15"/>
      <c r="HD40" s="12"/>
      <c r="HI40" s="171">
        <f t="shared" si="369"/>
        <v>0</v>
      </c>
      <c r="HJ40" s="171">
        <f t="shared" si="369"/>
        <v>0</v>
      </c>
      <c r="HK40" s="15"/>
      <c r="HL40" s="12"/>
      <c r="HS40" s="15"/>
      <c r="HT40" s="12"/>
      <c r="HY40" s="171">
        <f t="shared" si="370"/>
        <v>0</v>
      </c>
      <c r="HZ40" s="171">
        <f t="shared" si="370"/>
        <v>0</v>
      </c>
      <c r="IA40" s="15"/>
      <c r="IB40" s="12"/>
      <c r="IG40" s="171">
        <f t="shared" si="371"/>
        <v>0</v>
      </c>
      <c r="IH40" s="171">
        <f t="shared" si="371"/>
        <v>0</v>
      </c>
      <c r="II40" s="15"/>
      <c r="IJ40" s="12"/>
      <c r="IO40" s="171">
        <f t="shared" si="372"/>
        <v>0</v>
      </c>
      <c r="IP40" s="171">
        <f t="shared" si="372"/>
        <v>0</v>
      </c>
      <c r="IQ40" s="15"/>
      <c r="IS40" s="12"/>
      <c r="IZ40" s="332">
        <v>0</v>
      </c>
      <c r="JA40" s="178">
        <f>IZ40*70</f>
        <v>0</v>
      </c>
      <c r="JB40" s="15"/>
      <c r="JC40" s="19"/>
      <c r="JK40" s="178">
        <f t="shared" si="360"/>
        <v>0</v>
      </c>
      <c r="JL40" s="15"/>
      <c r="JW40" s="12"/>
      <c r="KD40" s="329">
        <v>0</v>
      </c>
      <c r="KE40" s="329">
        <v>0</v>
      </c>
      <c r="KF40" s="15"/>
      <c r="KG40" s="19"/>
      <c r="KN40" s="329">
        <v>0</v>
      </c>
      <c r="KO40" s="178">
        <f t="shared" si="330"/>
        <v>0</v>
      </c>
      <c r="KP40" s="15"/>
      <c r="KQ40" s="12"/>
      <c r="KY40" s="178">
        <f t="shared" si="362"/>
        <v>0</v>
      </c>
      <c r="KZ40" s="15"/>
      <c r="LA40" s="12"/>
      <c r="LJ40" s="15"/>
      <c r="LK40" s="12"/>
      <c r="LS40" s="178">
        <f t="shared" si="364"/>
        <v>0</v>
      </c>
      <c r="LT40" s="15"/>
      <c r="LU40" s="177"/>
      <c r="MC40" s="178">
        <f t="shared" si="365"/>
        <v>0</v>
      </c>
      <c r="MD40" s="15"/>
      <c r="ME40" s="177"/>
      <c r="MM40" s="178">
        <f t="shared" si="366"/>
        <v>0</v>
      </c>
      <c r="MN40" s="15"/>
      <c r="MO40" s="12"/>
      <c r="MW40" s="178">
        <f t="shared" si="367"/>
        <v>0</v>
      </c>
      <c r="MY40" s="12"/>
      <c r="NF40" s="329">
        <v>0</v>
      </c>
      <c r="NG40" s="178">
        <f>NF40*75</f>
        <v>0</v>
      </c>
      <c r="NH40" s="15"/>
      <c r="NN40" s="16">
        <f t="shared" si="302"/>
        <v>0</v>
      </c>
      <c r="NO40" s="1535"/>
      <c r="NP40" s="17"/>
      <c r="NQ40" s="12"/>
      <c r="NX40" s="17"/>
      <c r="NY40" s="256"/>
      <c r="OD40" s="172">
        <f>KD40+KN40+KX40</f>
        <v>0</v>
      </c>
      <c r="OE40" s="172">
        <f>KE40+KO40+KY40</f>
        <v>0</v>
      </c>
      <c r="OF40" s="17"/>
      <c r="OG40" s="12"/>
      <c r="OL40" s="172">
        <f>LH40+LR40+MB40</f>
        <v>0</v>
      </c>
      <c r="OM40" s="172">
        <f>LI40+LS40+MC40</f>
        <v>0</v>
      </c>
      <c r="OO40" s="12"/>
      <c r="OV40" s="15"/>
      <c r="OX40" s="12"/>
      <c r="PE40" s="332">
        <v>0</v>
      </c>
      <c r="PF40" s="179">
        <f>PE40*80</f>
        <v>0</v>
      </c>
      <c r="PG40" s="15"/>
      <c r="PH40" s="19"/>
      <c r="PP40" s="178">
        <f>PO40*70</f>
        <v>0</v>
      </c>
      <c r="PQ40" s="15"/>
      <c r="PY40" s="1">
        <f>399</f>
        <v>399</v>
      </c>
      <c r="PZ40" s="179">
        <f t="shared" si="334"/>
        <v>31920</v>
      </c>
      <c r="QB40" s="12"/>
      <c r="QI40" s="329">
        <v>0</v>
      </c>
      <c r="QJ40" s="879">
        <f t="shared" si="335"/>
        <v>0</v>
      </c>
      <c r="QK40" s="15"/>
      <c r="QL40" s="19"/>
      <c r="QS40" s="329">
        <v>0</v>
      </c>
      <c r="QT40" s="879">
        <f t="shared" si="336"/>
        <v>0</v>
      </c>
      <c r="QU40" s="15"/>
      <c r="QV40" s="12"/>
      <c r="QY40" s="172"/>
      <c r="RD40" s="179">
        <f t="shared" si="337"/>
        <v>0</v>
      </c>
      <c r="RE40" s="15"/>
      <c r="RF40" s="12"/>
      <c r="RM40" s="329">
        <v>0</v>
      </c>
      <c r="RN40" s="178">
        <f t="shared" si="338"/>
        <v>0</v>
      </c>
      <c r="RO40" s="15"/>
      <c r="RP40" s="12"/>
      <c r="RW40" s="178">
        <v>0</v>
      </c>
      <c r="RX40" s="178">
        <f t="shared" si="339"/>
        <v>0</v>
      </c>
      <c r="RY40" s="15"/>
      <c r="RZ40" s="177"/>
      <c r="SA40" s="171"/>
      <c r="SB40" s="14"/>
      <c r="SC40" s="171"/>
      <c r="SG40" s="178">
        <v>0</v>
      </c>
      <c r="SH40" s="178">
        <f t="shared" si="340"/>
        <v>0</v>
      </c>
      <c r="SI40" s="15"/>
      <c r="SJ40" s="177"/>
      <c r="SK40" s="171"/>
      <c r="SL40" s="171"/>
      <c r="SM40" s="171"/>
      <c r="SN40" s="171"/>
      <c r="SO40" s="171"/>
      <c r="SP40" s="171"/>
      <c r="SS40" s="15"/>
      <c r="ST40" s="12"/>
      <c r="TC40" s="15"/>
      <c r="TD40" s="12"/>
      <c r="TK40" s="329">
        <v>0</v>
      </c>
      <c r="TL40" s="331">
        <f t="shared" si="342"/>
        <v>0</v>
      </c>
      <c r="TM40" s="15"/>
      <c r="TN40" s="12"/>
      <c r="TS40" s="9">
        <f t="shared" si="286"/>
        <v>399</v>
      </c>
      <c r="TT40" s="9">
        <f t="shared" si="286"/>
        <v>31920</v>
      </c>
      <c r="TU40" s="17"/>
      <c r="TV40" s="12"/>
      <c r="UA40" s="16">
        <f t="shared" si="304"/>
        <v>399</v>
      </c>
      <c r="UB40" s="16">
        <f t="shared" si="304"/>
        <v>31920</v>
      </c>
      <c r="UC40" s="17"/>
      <c r="UD40" s="256"/>
      <c r="UE40" s="172"/>
      <c r="UI40" s="172">
        <f t="shared" si="373"/>
        <v>0</v>
      </c>
      <c r="UJ40" s="172">
        <f t="shared" si="373"/>
        <v>0</v>
      </c>
      <c r="UK40" s="17"/>
      <c r="UL40" s="12"/>
      <c r="UQ40" s="172">
        <f t="shared" si="287"/>
        <v>0</v>
      </c>
      <c r="UR40" s="172">
        <f t="shared" si="287"/>
        <v>0</v>
      </c>
      <c r="US40" s="15"/>
      <c r="UT40" s="12"/>
      <c r="UY40" s="9">
        <f t="shared" si="296"/>
        <v>0</v>
      </c>
      <c r="UZ40" s="9">
        <f t="shared" si="296"/>
        <v>0</v>
      </c>
      <c r="VA40" s="15"/>
      <c r="VC40" s="12"/>
      <c r="VI40" s="1"/>
      <c r="VJ40" s="332">
        <v>0</v>
      </c>
      <c r="VK40" s="179">
        <f>VJ40*80</f>
        <v>0</v>
      </c>
      <c r="VL40" s="15"/>
      <c r="VM40" s="19"/>
      <c r="VT40" s="172">
        <v>0</v>
      </c>
      <c r="VU40" s="179">
        <f t="shared" si="344"/>
        <v>0</v>
      </c>
      <c r="VV40" s="15"/>
      <c r="WD40" s="172">
        <v>0</v>
      </c>
      <c r="WE40" s="179">
        <f t="shared" si="375"/>
        <v>0</v>
      </c>
      <c r="WG40" s="12"/>
      <c r="WN40" s="172">
        <v>0</v>
      </c>
      <c r="WO40" s="879">
        <f>WN40*80</f>
        <v>0</v>
      </c>
      <c r="WP40" s="15"/>
      <c r="WQ40" s="19"/>
      <c r="WX40" s="172">
        <v>0</v>
      </c>
      <c r="WY40" s="879">
        <f>WX40*80</f>
        <v>0</v>
      </c>
      <c r="WZ40" s="15"/>
      <c r="XA40" s="12"/>
      <c r="XD40" s="172"/>
      <c r="XH40" s="172">
        <v>0</v>
      </c>
      <c r="XI40" s="179">
        <f t="shared" si="376"/>
        <v>0</v>
      </c>
      <c r="XJ40" s="15"/>
      <c r="XK40" s="12"/>
      <c r="XR40" s="172">
        <v>33881</v>
      </c>
      <c r="XS40" s="178">
        <f>XR40*80</f>
        <v>2710480</v>
      </c>
      <c r="XT40" s="15"/>
      <c r="XU40" s="12"/>
      <c r="YB40" s="172">
        <v>0</v>
      </c>
      <c r="YC40" s="178">
        <f>YB40*80</f>
        <v>0</v>
      </c>
      <c r="YD40" s="15"/>
      <c r="YE40" s="177"/>
      <c r="YF40" s="171"/>
      <c r="YG40" s="14"/>
      <c r="YH40" s="171"/>
      <c r="YL40" s="178">
        <v>0</v>
      </c>
      <c r="YM40" s="178">
        <f t="shared" si="377"/>
        <v>0</v>
      </c>
      <c r="YN40" s="15"/>
      <c r="YO40" s="177"/>
      <c r="YP40" s="171"/>
      <c r="YQ40" s="171"/>
      <c r="YR40" s="171"/>
      <c r="YS40" s="171"/>
      <c r="YT40" s="171"/>
      <c r="YU40" s="171"/>
      <c r="YV40" s="178">
        <v>0</v>
      </c>
      <c r="YW40" s="178">
        <f t="shared" si="368"/>
        <v>0</v>
      </c>
      <c r="YX40" s="15"/>
      <c r="YY40" s="12"/>
      <c r="ZF40" s="178">
        <v>0</v>
      </c>
      <c r="ZG40" s="178">
        <f t="shared" si="352"/>
        <v>0</v>
      </c>
      <c r="ZH40" s="15"/>
      <c r="ZI40" s="12"/>
      <c r="ZP40" s="329">
        <v>0</v>
      </c>
      <c r="ZQ40" s="331">
        <f t="shared" si="353"/>
        <v>0</v>
      </c>
      <c r="ZR40" s="15"/>
      <c r="ZS40" s="12"/>
      <c r="ZX40" s="9">
        <f t="shared" si="285"/>
        <v>33881</v>
      </c>
      <c r="ZY40" s="9">
        <f t="shared" si="285"/>
        <v>2710480</v>
      </c>
      <c r="ZZ40" s="17"/>
      <c r="AAA40" s="12"/>
      <c r="AAF40" s="16">
        <f t="shared" si="378"/>
        <v>0</v>
      </c>
      <c r="AAG40" s="16">
        <f t="shared" si="378"/>
        <v>0</v>
      </c>
      <c r="AAH40" s="17"/>
      <c r="AAI40" s="256"/>
      <c r="AAJ40" s="172"/>
      <c r="AAN40" s="172">
        <f t="shared" si="374"/>
        <v>0</v>
      </c>
      <c r="AAO40" s="172">
        <f t="shared" si="374"/>
        <v>0</v>
      </c>
      <c r="AAP40" s="17"/>
      <c r="AAQ40" s="12"/>
      <c r="AAV40" s="172">
        <f t="shared" si="288"/>
        <v>33881</v>
      </c>
      <c r="AAW40" s="172">
        <f t="shared" si="288"/>
        <v>2710480</v>
      </c>
      <c r="AAX40" s="15"/>
      <c r="AAY40" s="12"/>
      <c r="ABD40" s="9">
        <f t="shared" si="289"/>
        <v>0</v>
      </c>
      <c r="ABE40" s="9">
        <f t="shared" si="289"/>
        <v>0</v>
      </c>
      <c r="ABF40" s="15"/>
    </row>
    <row r="41" spans="1:734" hidden="1" x14ac:dyDescent="0.3">
      <c r="A41" s="12"/>
      <c r="B41" s="1" t="s">
        <v>27</v>
      </c>
      <c r="D41" s="12"/>
      <c r="I41" s="172">
        <v>4320</v>
      </c>
      <c r="J41" s="244">
        <f>I41*70</f>
        <v>302400</v>
      </c>
      <c r="K41" s="15"/>
      <c r="Q41" s="172">
        <v>4560</v>
      </c>
      <c r="R41" s="244">
        <f>Q41*70</f>
        <v>319200</v>
      </c>
      <c r="S41" s="15"/>
      <c r="Y41" s="172">
        <v>4800</v>
      </c>
      <c r="Z41" s="244">
        <f>Y41*70</f>
        <v>336000</v>
      </c>
      <c r="AA41" s="15"/>
      <c r="AG41" s="172">
        <v>4800</v>
      </c>
      <c r="AH41" s="244">
        <f>AG41*70</f>
        <v>336000</v>
      </c>
      <c r="AI41" s="15"/>
      <c r="AO41" s="172">
        <v>4800</v>
      </c>
      <c r="AP41" s="244">
        <f>AO41*70</f>
        <v>336000</v>
      </c>
      <c r="AQ41" s="15"/>
      <c r="AW41" s="172">
        <v>4600</v>
      </c>
      <c r="AX41" s="244">
        <f>AW41*70</f>
        <v>322000</v>
      </c>
      <c r="AY41" s="15"/>
      <c r="BE41" s="172">
        <v>4800</v>
      </c>
      <c r="BF41" s="244">
        <f>BE41*70</f>
        <v>336000</v>
      </c>
      <c r="BG41" s="15"/>
      <c r="BM41" s="172">
        <v>4320</v>
      </c>
      <c r="BN41" s="244">
        <f>BM41*70</f>
        <v>302400</v>
      </c>
      <c r="BP41" s="12"/>
      <c r="BU41" s="172">
        <v>4320</v>
      </c>
      <c r="BV41" s="244">
        <f>BU41*70</f>
        <v>302400</v>
      </c>
      <c r="BW41" s="15"/>
      <c r="CC41" s="172">
        <v>4350</v>
      </c>
      <c r="CD41" s="172">
        <f>CC41*70</f>
        <v>304500</v>
      </c>
      <c r="CF41" s="12"/>
      <c r="CK41" s="172">
        <v>4800</v>
      </c>
      <c r="CL41" s="172">
        <f>CK41*70</f>
        <v>336000</v>
      </c>
      <c r="CM41" s="301"/>
      <c r="CS41" s="172">
        <v>4800</v>
      </c>
      <c r="CT41" s="172">
        <f>CS41*70</f>
        <v>336000</v>
      </c>
      <c r="CV41" s="12"/>
      <c r="DA41" s="257">
        <f>(I41+Q41+Y41+AG41+AO41+AW41+BE41+BM41+BU41+CC41+CK41+CS41)</f>
        <v>55270</v>
      </c>
      <c r="DB41" s="257">
        <f>(J41+R41+Z41+AH41+AP41+AX41+BF41+BN41+BV41+CD41+CL41+CT41)</f>
        <v>3868900</v>
      </c>
      <c r="DC41" s="15"/>
      <c r="DD41" s="12"/>
      <c r="DI41" s="172">
        <v>4800</v>
      </c>
      <c r="DJ41" s="172">
        <f>DI41*70</f>
        <v>336000</v>
      </c>
      <c r="DK41" s="302"/>
      <c r="DL41" s="12"/>
      <c r="DQ41" s="172">
        <v>4800</v>
      </c>
      <c r="DR41" s="172">
        <f>DQ41*70</f>
        <v>336000</v>
      </c>
      <c r="DS41" s="302"/>
      <c r="DY41" s="172">
        <v>4800</v>
      </c>
      <c r="DZ41" s="172">
        <f>DY41*70</f>
        <v>336000</v>
      </c>
      <c r="EB41" s="142"/>
      <c r="EG41" s="172">
        <v>4800</v>
      </c>
      <c r="EH41" s="172">
        <f>EG41*70</f>
        <v>336000</v>
      </c>
      <c r="EI41" s="143"/>
      <c r="EJ41" s="142"/>
      <c r="EO41" s="172">
        <v>4800</v>
      </c>
      <c r="EP41" s="172">
        <f>EO41*70</f>
        <v>336000</v>
      </c>
      <c r="EQ41" s="143"/>
      <c r="ER41" s="142"/>
      <c r="EW41" s="172">
        <v>4800</v>
      </c>
      <c r="EX41" s="172">
        <f>EW41*70</f>
        <v>336000</v>
      </c>
      <c r="EY41" s="143"/>
      <c r="EZ41" s="142"/>
      <c r="FE41" s="172">
        <v>4800</v>
      </c>
      <c r="FF41" s="172">
        <f>FE41*70</f>
        <v>336000</v>
      </c>
      <c r="FG41" s="143"/>
      <c r="FM41" s="172">
        <v>4800</v>
      </c>
      <c r="FN41" s="172">
        <f>FM41*70</f>
        <v>336000</v>
      </c>
      <c r="FO41" s="15"/>
      <c r="FW41" s="172">
        <v>4800</v>
      </c>
      <c r="FX41" s="172">
        <f>FW41*70</f>
        <v>336000</v>
      </c>
      <c r="FZ41" s="319"/>
      <c r="GC41" s="32"/>
      <c r="GD41" s="32"/>
      <c r="GE41" s="32"/>
      <c r="GF41" s="32"/>
      <c r="GG41" s="172">
        <v>4800</v>
      </c>
      <c r="GH41" s="172">
        <f>GG41*70</f>
        <v>336000</v>
      </c>
      <c r="GI41" s="273"/>
      <c r="GJ41" s="321"/>
      <c r="GK41" s="321"/>
      <c r="GL41" s="321"/>
      <c r="GM41" s="321"/>
      <c r="GN41" s="321"/>
      <c r="GO41" s="321"/>
      <c r="GP41" s="321"/>
      <c r="GQ41" s="178">
        <v>4800</v>
      </c>
      <c r="GR41" s="178">
        <f>GQ41*70</f>
        <v>336000</v>
      </c>
      <c r="GS41" s="321"/>
      <c r="GT41" s="12"/>
      <c r="HA41" s="172">
        <v>4800</v>
      </c>
      <c r="HB41" s="178">
        <f>HA41*70</f>
        <v>336000</v>
      </c>
      <c r="HC41" s="15"/>
      <c r="HD41" s="12"/>
      <c r="HI41" s="171">
        <f t="shared" si="369"/>
        <v>57600</v>
      </c>
      <c r="HJ41" s="171">
        <f t="shared" si="369"/>
        <v>4032000</v>
      </c>
      <c r="HK41" s="15"/>
      <c r="HL41" s="12"/>
      <c r="HQ41" s="8">
        <f>DI41+DQ41+DY41</f>
        <v>14400</v>
      </c>
      <c r="HR41" s="8">
        <f>DJ41+DR41+DZ41</f>
        <v>1008000</v>
      </c>
      <c r="HS41" s="15"/>
      <c r="HT41" s="12"/>
      <c r="HY41" s="171">
        <f t="shared" si="370"/>
        <v>14400</v>
      </c>
      <c r="HZ41" s="171">
        <f t="shared" si="370"/>
        <v>1008000</v>
      </c>
      <c r="IA41" s="15"/>
      <c r="IB41" s="12"/>
      <c r="IG41" s="171">
        <f t="shared" si="371"/>
        <v>14400</v>
      </c>
      <c r="IH41" s="171">
        <f t="shared" si="371"/>
        <v>1008000</v>
      </c>
      <c r="II41" s="15"/>
      <c r="IJ41" s="12"/>
      <c r="IO41" s="171">
        <f t="shared" si="372"/>
        <v>14400</v>
      </c>
      <c r="IP41" s="171">
        <f t="shared" si="372"/>
        <v>1008000</v>
      </c>
      <c r="IQ41" s="15"/>
      <c r="IS41" s="12"/>
      <c r="IZ41" s="172">
        <v>4800</v>
      </c>
      <c r="JA41" s="178">
        <f>IZ41*75</f>
        <v>360000</v>
      </c>
      <c r="JB41" s="15"/>
      <c r="JC41" s="19"/>
      <c r="JJ41" s="172">
        <v>4800</v>
      </c>
      <c r="JK41" s="178">
        <f t="shared" si="360"/>
        <v>384000</v>
      </c>
      <c r="JL41" s="15"/>
      <c r="JT41" s="1">
        <v>4800</v>
      </c>
      <c r="JU41" s="178">
        <f>JT41*75</f>
        <v>360000</v>
      </c>
      <c r="JW41" s="12"/>
      <c r="KD41" s="172">
        <v>4800</v>
      </c>
      <c r="KE41" s="178">
        <f>KD41*75</f>
        <v>360000</v>
      </c>
      <c r="KF41" s="15"/>
      <c r="KG41" s="19"/>
      <c r="KN41" s="172">
        <v>4800</v>
      </c>
      <c r="KO41" s="178">
        <f t="shared" si="330"/>
        <v>384000</v>
      </c>
      <c r="KP41" s="15"/>
      <c r="KQ41" s="12"/>
      <c r="KX41" s="1">
        <v>4800</v>
      </c>
      <c r="KY41" s="178">
        <f t="shared" si="362"/>
        <v>384000</v>
      </c>
      <c r="KZ41" s="15"/>
      <c r="LA41" s="12"/>
      <c r="LH41" s="1">
        <v>4800</v>
      </c>
      <c r="LI41" s="178">
        <f>LH41*75</f>
        <v>360000</v>
      </c>
      <c r="LJ41" s="15"/>
      <c r="LK41" s="12"/>
      <c r="LR41" s="172">
        <v>960</v>
      </c>
      <c r="LS41" s="178">
        <f t="shared" si="364"/>
        <v>76800</v>
      </c>
      <c r="LT41" s="15"/>
      <c r="LU41" s="177"/>
      <c r="MB41" s="178">
        <v>0</v>
      </c>
      <c r="MC41" s="178">
        <f t="shared" si="365"/>
        <v>0</v>
      </c>
      <c r="MD41" s="15"/>
      <c r="ME41" s="177"/>
      <c r="ML41" s="178">
        <v>0</v>
      </c>
      <c r="MM41" s="178">
        <f t="shared" si="366"/>
        <v>0</v>
      </c>
      <c r="MN41" s="15"/>
      <c r="MO41" s="12"/>
      <c r="MV41" s="178">
        <v>0</v>
      </c>
      <c r="MW41" s="178">
        <f t="shared" si="367"/>
        <v>0</v>
      </c>
      <c r="MY41" s="12"/>
      <c r="NF41" s="329">
        <v>0</v>
      </c>
      <c r="NG41" s="178">
        <f>NF41*75</f>
        <v>0</v>
      </c>
      <c r="NH41" s="15"/>
      <c r="NN41" s="16">
        <f t="shared" si="302"/>
        <v>34560</v>
      </c>
      <c r="NO41" s="16">
        <f t="shared" si="302"/>
        <v>2668800</v>
      </c>
      <c r="NP41" s="17"/>
      <c r="NQ41" s="12"/>
      <c r="NV41" s="16">
        <f>IZ41+JJ41+JT41</f>
        <v>14400</v>
      </c>
      <c r="NW41" s="16">
        <f>JA41+JK41+JU41</f>
        <v>1104000</v>
      </c>
      <c r="NX41" s="17"/>
      <c r="NY41" s="256"/>
      <c r="OD41" s="172">
        <f>KD41+KN41+KX41</f>
        <v>14400</v>
      </c>
      <c r="OE41" s="172">
        <f>KE41+KO41+KY41</f>
        <v>1128000</v>
      </c>
      <c r="OF41" s="17"/>
      <c r="OG41" s="12"/>
      <c r="OL41" s="172">
        <f>LH41+LR41+MB41</f>
        <v>5760</v>
      </c>
      <c r="OM41" s="172">
        <f>LI41+LS41+MC41</f>
        <v>436800</v>
      </c>
      <c r="OO41" s="12"/>
      <c r="OT41" s="16">
        <f>ML41+MV41+NF41</f>
        <v>0</v>
      </c>
      <c r="OU41" s="16">
        <f>MM41+MW41+NG41</f>
        <v>0</v>
      </c>
      <c r="OV41" s="15"/>
      <c r="OX41" s="12"/>
      <c r="PE41" s="332">
        <v>0</v>
      </c>
      <c r="PF41" s="179">
        <f t="shared" si="332"/>
        <v>0</v>
      </c>
      <c r="PG41" s="15"/>
      <c r="PH41" s="19"/>
      <c r="PO41" s="172">
        <v>0</v>
      </c>
      <c r="PP41" s="179">
        <f>PO41*80</f>
        <v>0</v>
      </c>
      <c r="PQ41" s="15"/>
      <c r="PY41" s="172">
        <v>0</v>
      </c>
      <c r="PZ41" s="179">
        <f t="shared" si="334"/>
        <v>0</v>
      </c>
      <c r="QB41" s="12"/>
      <c r="QI41" s="172"/>
      <c r="QJ41" s="879">
        <f t="shared" si="335"/>
        <v>0</v>
      </c>
      <c r="QK41" s="15"/>
      <c r="QL41" s="19"/>
      <c r="QS41" s="172"/>
      <c r="QT41" s="879">
        <f t="shared" si="336"/>
        <v>0</v>
      </c>
      <c r="QU41" s="15"/>
      <c r="QV41" s="12"/>
      <c r="QY41" s="172"/>
      <c r="RD41" s="179">
        <f t="shared" si="337"/>
        <v>0</v>
      </c>
      <c r="RE41" s="15"/>
      <c r="RF41" s="12"/>
      <c r="RM41" s="329">
        <v>0</v>
      </c>
      <c r="RN41" s="178">
        <f t="shared" si="338"/>
        <v>0</v>
      </c>
      <c r="RO41" s="15"/>
      <c r="RP41" s="12"/>
      <c r="RW41" s="178">
        <v>0</v>
      </c>
      <c r="RX41" s="178">
        <f t="shared" si="339"/>
        <v>0</v>
      </c>
      <c r="RY41" s="15"/>
      <c r="RZ41" s="177"/>
      <c r="SA41" s="171"/>
      <c r="SB41" s="14"/>
      <c r="SC41" s="171"/>
      <c r="SG41" s="178">
        <v>0</v>
      </c>
      <c r="SH41" s="178">
        <f t="shared" si="340"/>
        <v>0</v>
      </c>
      <c r="SI41" s="15"/>
      <c r="SJ41" s="177"/>
      <c r="SK41" s="171"/>
      <c r="SL41" s="171"/>
      <c r="SM41" s="171"/>
      <c r="SN41" s="171"/>
      <c r="SO41" s="171"/>
      <c r="SP41" s="171"/>
      <c r="SQ41" s="178"/>
      <c r="SR41" s="178">
        <f>SQ41*75</f>
        <v>0</v>
      </c>
      <c r="SS41" s="15"/>
      <c r="ST41" s="12"/>
      <c r="TA41" s="178"/>
      <c r="TB41" s="178">
        <f>TA41*75</f>
        <v>0</v>
      </c>
      <c r="TC41" s="15"/>
      <c r="TD41" s="12"/>
      <c r="TK41" s="329">
        <v>0</v>
      </c>
      <c r="TL41" s="331">
        <f t="shared" si="342"/>
        <v>0</v>
      </c>
      <c r="TM41" s="15"/>
      <c r="TN41" s="12"/>
      <c r="TS41" s="9">
        <f t="shared" si="286"/>
        <v>0</v>
      </c>
      <c r="TT41" s="9">
        <f t="shared" si="286"/>
        <v>0</v>
      </c>
      <c r="TU41" s="17"/>
      <c r="TV41" s="12"/>
      <c r="UA41" s="16">
        <f t="shared" si="304"/>
        <v>0</v>
      </c>
      <c r="UB41" s="16">
        <f t="shared" si="304"/>
        <v>0</v>
      </c>
      <c r="UC41" s="17"/>
      <c r="UD41" s="256"/>
      <c r="UE41" s="172"/>
      <c r="UI41" s="172">
        <f t="shared" si="373"/>
        <v>0</v>
      </c>
      <c r="UJ41" s="172">
        <f t="shared" si="373"/>
        <v>0</v>
      </c>
      <c r="UK41" s="17"/>
      <c r="UL41" s="12"/>
      <c r="UQ41" s="172">
        <f t="shared" si="287"/>
        <v>0</v>
      </c>
      <c r="UR41" s="172">
        <f t="shared" si="287"/>
        <v>0</v>
      </c>
      <c r="US41" s="15"/>
      <c r="UT41" s="12"/>
      <c r="UY41" s="9">
        <f t="shared" si="296"/>
        <v>0</v>
      </c>
      <c r="UZ41" s="9">
        <f t="shared" si="296"/>
        <v>0</v>
      </c>
      <c r="VA41" s="15"/>
      <c r="VC41" s="12"/>
      <c r="VI41" s="1"/>
      <c r="VJ41" s="332">
        <v>0</v>
      </c>
      <c r="VK41" s="179">
        <f t="shared" ref="VK41:VK48" si="379">VJ41*80</f>
        <v>0</v>
      </c>
      <c r="VL41" s="15"/>
      <c r="VM41" s="19"/>
      <c r="VT41" s="172">
        <v>0</v>
      </c>
      <c r="VU41" s="179">
        <f t="shared" si="344"/>
        <v>0</v>
      </c>
      <c r="VV41" s="15"/>
      <c r="WD41" s="172">
        <v>0</v>
      </c>
      <c r="WE41" s="179">
        <f t="shared" si="375"/>
        <v>0</v>
      </c>
      <c r="WG41" s="12"/>
      <c r="WN41" s="172">
        <v>0</v>
      </c>
      <c r="WO41" s="879">
        <f>WN41*80</f>
        <v>0</v>
      </c>
      <c r="WP41" s="15"/>
      <c r="WQ41" s="19"/>
      <c r="WX41" s="172">
        <v>0</v>
      </c>
      <c r="WY41" s="879">
        <f>WX41*80</f>
        <v>0</v>
      </c>
      <c r="WZ41" s="15"/>
      <c r="XA41" s="12"/>
      <c r="XD41" s="172"/>
      <c r="XH41" s="172">
        <v>0</v>
      </c>
      <c r="XI41" s="179">
        <f t="shared" si="376"/>
        <v>0</v>
      </c>
      <c r="XJ41" s="15"/>
      <c r="XK41" s="12"/>
      <c r="XR41" s="329">
        <v>0</v>
      </c>
      <c r="XS41" s="178">
        <f>XR41*80</f>
        <v>0</v>
      </c>
      <c r="XT41" s="15"/>
      <c r="XU41" s="12"/>
      <c r="YB41" s="178">
        <v>0</v>
      </c>
      <c r="YC41" s="178">
        <f>YB41*80</f>
        <v>0</v>
      </c>
      <c r="YD41" s="15"/>
      <c r="YE41" s="177"/>
      <c r="YF41" s="171"/>
      <c r="YG41" s="14"/>
      <c r="YH41" s="171"/>
      <c r="YL41" s="178">
        <v>0</v>
      </c>
      <c r="YM41" s="178">
        <f t="shared" si="377"/>
        <v>0</v>
      </c>
      <c r="YN41" s="15"/>
      <c r="YO41" s="177"/>
      <c r="YP41" s="171"/>
      <c r="YQ41" s="171"/>
      <c r="YR41" s="171"/>
      <c r="YS41" s="171"/>
      <c r="YT41" s="171"/>
      <c r="YU41" s="171"/>
      <c r="YV41" s="178">
        <v>0</v>
      </c>
      <c r="YW41" s="178">
        <f t="shared" si="368"/>
        <v>0</v>
      </c>
      <c r="YX41" s="15"/>
      <c r="YY41" s="12"/>
      <c r="ZF41" s="178">
        <v>0</v>
      </c>
      <c r="ZG41" s="178">
        <f t="shared" si="352"/>
        <v>0</v>
      </c>
      <c r="ZH41" s="15"/>
      <c r="ZI41" s="12"/>
      <c r="ZP41" s="329">
        <v>0</v>
      </c>
      <c r="ZQ41" s="331">
        <f t="shared" si="353"/>
        <v>0</v>
      </c>
      <c r="ZR41" s="15"/>
      <c r="ZS41" s="12"/>
      <c r="ZX41" s="9">
        <f t="shared" si="285"/>
        <v>0</v>
      </c>
      <c r="ZY41" s="9">
        <f t="shared" si="285"/>
        <v>0</v>
      </c>
      <c r="ZZ41" s="17"/>
      <c r="AAA41" s="12"/>
      <c r="AAF41" s="16">
        <f t="shared" si="378"/>
        <v>0</v>
      </c>
      <c r="AAG41" s="16">
        <f t="shared" si="378"/>
        <v>0</v>
      </c>
      <c r="AAH41" s="17"/>
      <c r="AAI41" s="256"/>
      <c r="AAJ41" s="172"/>
      <c r="AAN41" s="172">
        <f t="shared" si="374"/>
        <v>0</v>
      </c>
      <c r="AAO41" s="172">
        <f t="shared" si="374"/>
        <v>0</v>
      </c>
      <c r="AAP41" s="17"/>
      <c r="AAQ41" s="12"/>
      <c r="AAV41" s="172">
        <f t="shared" si="288"/>
        <v>0</v>
      </c>
      <c r="AAW41" s="172">
        <f t="shared" si="288"/>
        <v>0</v>
      </c>
      <c r="AAX41" s="15"/>
      <c r="AAY41" s="12"/>
      <c r="ABD41" s="9">
        <f t="shared" si="289"/>
        <v>0</v>
      </c>
      <c r="ABE41" s="9">
        <f t="shared" si="289"/>
        <v>0</v>
      </c>
      <c r="ABF41" s="15"/>
    </row>
    <row r="42" spans="1:734" hidden="1" x14ac:dyDescent="0.3">
      <c r="A42" s="12"/>
      <c r="B42" s="1" t="s">
        <v>464</v>
      </c>
      <c r="D42" s="12"/>
      <c r="J42" s="244"/>
      <c r="K42" s="15"/>
      <c r="Q42" s="172"/>
      <c r="R42" s="244"/>
      <c r="S42" s="15"/>
      <c r="Y42" s="172"/>
      <c r="Z42" s="244"/>
      <c r="AA42" s="15"/>
      <c r="AG42" s="172"/>
      <c r="AH42" s="244"/>
      <c r="AI42" s="15"/>
      <c r="AO42" s="172"/>
      <c r="AP42" s="244"/>
      <c r="AQ42" s="15"/>
      <c r="AW42" s="172"/>
      <c r="AX42" s="244"/>
      <c r="AY42" s="15"/>
      <c r="BE42" s="172"/>
      <c r="BF42" s="244"/>
      <c r="BG42" s="15"/>
      <c r="BM42" s="172"/>
      <c r="BN42" s="244"/>
      <c r="BP42" s="12"/>
      <c r="BU42" s="172"/>
      <c r="BV42" s="244"/>
      <c r="BW42" s="15"/>
      <c r="CC42" s="172"/>
      <c r="CD42" s="172"/>
      <c r="CF42" s="12"/>
      <c r="CK42" s="172"/>
      <c r="CL42" s="172"/>
      <c r="CM42" s="301"/>
      <c r="CS42" s="172"/>
      <c r="CT42" s="172"/>
      <c r="CV42" s="12"/>
      <c r="DA42" s="257"/>
      <c r="DB42" s="257"/>
      <c r="DC42" s="15"/>
      <c r="DD42" s="12"/>
      <c r="DI42" s="172"/>
      <c r="DJ42" s="172"/>
      <c r="DK42" s="302"/>
      <c r="DL42" s="12"/>
      <c r="DQ42" s="172"/>
      <c r="DR42" s="172"/>
      <c r="DS42" s="302"/>
      <c r="DY42" s="172"/>
      <c r="DZ42" s="172"/>
      <c r="EB42" s="142"/>
      <c r="EG42" s="172"/>
      <c r="EH42" s="172"/>
      <c r="EI42" s="143"/>
      <c r="EJ42" s="142"/>
      <c r="EO42" s="172"/>
      <c r="EP42" s="172"/>
      <c r="EQ42" s="143"/>
      <c r="ER42" s="142"/>
      <c r="EW42" s="172"/>
      <c r="EX42" s="172"/>
      <c r="EY42" s="143"/>
      <c r="EZ42" s="142"/>
      <c r="FE42" s="172"/>
      <c r="FF42" s="172"/>
      <c r="FG42" s="143"/>
      <c r="FM42" s="172"/>
      <c r="FN42" s="172"/>
      <c r="FO42" s="15"/>
      <c r="FW42" s="172"/>
      <c r="FX42" s="172"/>
      <c r="FZ42" s="319"/>
      <c r="GC42" s="32"/>
      <c r="GD42" s="32"/>
      <c r="GE42" s="32"/>
      <c r="GF42" s="32"/>
      <c r="GG42" s="172"/>
      <c r="GH42" s="172"/>
      <c r="GI42" s="273"/>
      <c r="GJ42" s="321"/>
      <c r="GK42" s="321"/>
      <c r="GL42" s="321"/>
      <c r="GM42" s="321"/>
      <c r="GN42" s="321"/>
      <c r="GO42" s="321"/>
      <c r="GP42" s="321"/>
      <c r="GQ42" s="178"/>
      <c r="GR42" s="178"/>
      <c r="GS42" s="321"/>
      <c r="GT42" s="12"/>
      <c r="HA42" s="172"/>
      <c r="HB42" s="178"/>
      <c r="HC42" s="15"/>
      <c r="HD42" s="12"/>
      <c r="HI42" s="171"/>
      <c r="HJ42" s="171"/>
      <c r="HK42" s="15"/>
      <c r="HL42" s="12"/>
      <c r="HQ42" s="8"/>
      <c r="HR42" s="8"/>
      <c r="HS42" s="15"/>
      <c r="HT42" s="12"/>
      <c r="HY42" s="171"/>
      <c r="HZ42" s="171"/>
      <c r="IA42" s="15"/>
      <c r="IB42" s="12"/>
      <c r="IG42" s="171"/>
      <c r="IH42" s="171"/>
      <c r="II42" s="15"/>
      <c r="IJ42" s="12"/>
      <c r="IO42" s="171"/>
      <c r="IP42" s="171"/>
      <c r="IQ42" s="15"/>
      <c r="IS42" s="12"/>
      <c r="IZ42" s="172"/>
      <c r="JA42" s="178"/>
      <c r="JB42" s="15"/>
      <c r="JC42" s="19"/>
      <c r="JJ42" s="172"/>
      <c r="JK42" s="178">
        <f t="shared" si="360"/>
        <v>0</v>
      </c>
      <c r="JL42" s="15"/>
      <c r="JU42" s="178"/>
      <c r="JW42" s="12"/>
      <c r="KD42" s="172"/>
      <c r="KE42" s="178"/>
      <c r="KF42" s="15"/>
      <c r="KG42" s="19"/>
      <c r="KN42" s="172"/>
      <c r="KO42" s="178">
        <f t="shared" si="330"/>
        <v>0</v>
      </c>
      <c r="KP42" s="15"/>
      <c r="KQ42" s="12"/>
      <c r="KY42" s="178">
        <f t="shared" si="362"/>
        <v>0</v>
      </c>
      <c r="KZ42" s="15"/>
      <c r="LA42" s="12"/>
      <c r="LI42" s="178"/>
      <c r="LJ42" s="15"/>
      <c r="LK42" s="12"/>
      <c r="LR42" s="172"/>
      <c r="LS42" s="178">
        <f t="shared" si="364"/>
        <v>0</v>
      </c>
      <c r="LT42" s="15"/>
      <c r="LU42" s="177"/>
      <c r="MB42" s="178"/>
      <c r="MC42" s="178">
        <f t="shared" si="365"/>
        <v>0</v>
      </c>
      <c r="MD42" s="15"/>
      <c r="ME42" s="177"/>
      <c r="ML42" s="178"/>
      <c r="MM42" s="178">
        <f t="shared" si="366"/>
        <v>0</v>
      </c>
      <c r="MN42" s="15"/>
      <c r="MO42" s="12"/>
      <c r="MV42" s="178"/>
      <c r="MW42" s="178">
        <f t="shared" si="367"/>
        <v>0</v>
      </c>
      <c r="MY42" s="12"/>
      <c r="NF42" s="329">
        <v>0</v>
      </c>
      <c r="NG42" s="178">
        <f>NF42*75</f>
        <v>0</v>
      </c>
      <c r="NH42" s="15"/>
      <c r="NN42" s="16">
        <f t="shared" si="302"/>
        <v>0</v>
      </c>
      <c r="NO42" s="16">
        <f t="shared" si="302"/>
        <v>0</v>
      </c>
      <c r="NP42" s="17"/>
      <c r="NQ42" s="12"/>
      <c r="NV42" s="16"/>
      <c r="NW42" s="16"/>
      <c r="NX42" s="17"/>
      <c r="NY42" s="256"/>
      <c r="OD42" s="172"/>
      <c r="OE42" s="172"/>
      <c r="OF42" s="17"/>
      <c r="OG42" s="12"/>
      <c r="OL42" s="172"/>
      <c r="OM42" s="172"/>
      <c r="OO42" s="12"/>
      <c r="OT42" s="16"/>
      <c r="OU42" s="16"/>
      <c r="OV42" s="15"/>
      <c r="OX42" s="12"/>
      <c r="PE42" s="885">
        <v>0</v>
      </c>
      <c r="PF42" s="179">
        <f t="shared" si="332"/>
        <v>0</v>
      </c>
      <c r="PG42" s="15"/>
      <c r="PH42" s="19"/>
      <c r="PO42" s="886">
        <v>0</v>
      </c>
      <c r="PP42" s="179">
        <f>PO42*80</f>
        <v>0</v>
      </c>
      <c r="PQ42" s="15"/>
      <c r="PY42" s="886">
        <v>0</v>
      </c>
      <c r="PZ42" s="179">
        <f t="shared" si="334"/>
        <v>0</v>
      </c>
      <c r="QB42" s="12"/>
      <c r="QI42" s="172"/>
      <c r="QJ42" s="178"/>
      <c r="QK42" s="15"/>
      <c r="QL42" s="19"/>
      <c r="QS42" s="172"/>
      <c r="QT42" s="178"/>
      <c r="QU42" s="15"/>
      <c r="QV42" s="12"/>
      <c r="QY42" s="172"/>
      <c r="RD42" s="179">
        <f t="shared" si="337"/>
        <v>0</v>
      </c>
      <c r="RE42" s="15"/>
      <c r="RF42" s="12"/>
      <c r="RM42" s="329">
        <v>0</v>
      </c>
      <c r="RN42" s="178">
        <v>0</v>
      </c>
      <c r="RO42" s="15"/>
      <c r="RP42" s="12"/>
      <c r="RW42" s="178">
        <v>0</v>
      </c>
      <c r="RX42" s="178">
        <v>0</v>
      </c>
      <c r="RY42" s="15"/>
      <c r="RZ42" s="177"/>
      <c r="SA42" s="171"/>
      <c r="SB42" s="14"/>
      <c r="SC42" s="171"/>
      <c r="SG42" s="178">
        <v>0</v>
      </c>
      <c r="SH42" s="178">
        <f t="shared" si="340"/>
        <v>0</v>
      </c>
      <c r="SI42" s="15"/>
      <c r="SJ42" s="177"/>
      <c r="SK42" s="171"/>
      <c r="SL42" s="171"/>
      <c r="SM42" s="171"/>
      <c r="SN42" s="171"/>
      <c r="SO42" s="171"/>
      <c r="SP42" s="171"/>
      <c r="SQ42" s="178"/>
      <c r="SR42" s="178"/>
      <c r="SS42" s="15"/>
      <c r="ST42" s="12"/>
      <c r="TA42" s="178"/>
      <c r="TB42" s="178"/>
      <c r="TC42" s="15"/>
      <c r="TD42" s="12"/>
      <c r="TK42" s="329">
        <v>0</v>
      </c>
      <c r="TL42" s="331">
        <f t="shared" si="342"/>
        <v>0</v>
      </c>
      <c r="TM42" s="15"/>
      <c r="TN42" s="12"/>
      <c r="TS42" s="9">
        <f t="shared" si="286"/>
        <v>0</v>
      </c>
      <c r="TT42" s="9">
        <f t="shared" si="286"/>
        <v>0</v>
      </c>
      <c r="TU42" s="17"/>
      <c r="TV42" s="12"/>
      <c r="UA42" s="16">
        <f t="shared" si="304"/>
        <v>0</v>
      </c>
      <c r="UB42" s="16">
        <f t="shared" si="304"/>
        <v>0</v>
      </c>
      <c r="UC42" s="17"/>
      <c r="UD42" s="256"/>
      <c r="UE42" s="172"/>
      <c r="UI42" s="172"/>
      <c r="UJ42" s="172"/>
      <c r="UK42" s="17"/>
      <c r="UL42" s="12"/>
      <c r="UQ42" s="172">
        <f t="shared" si="287"/>
        <v>0</v>
      </c>
      <c r="UR42" s="172">
        <f t="shared" si="287"/>
        <v>0</v>
      </c>
      <c r="US42" s="15"/>
      <c r="UT42" s="12"/>
      <c r="UY42" s="9">
        <f t="shared" si="296"/>
        <v>0</v>
      </c>
      <c r="UZ42" s="9">
        <f t="shared" si="296"/>
        <v>0</v>
      </c>
      <c r="VA42" s="15"/>
      <c r="VC42" s="12"/>
      <c r="VI42" s="1"/>
      <c r="VJ42" s="330">
        <v>0</v>
      </c>
      <c r="VK42" s="179">
        <f t="shared" si="379"/>
        <v>0</v>
      </c>
      <c r="VL42" s="15"/>
      <c r="VM42" s="19"/>
      <c r="VT42" s="886">
        <v>0</v>
      </c>
      <c r="VU42" s="179">
        <f t="shared" si="344"/>
        <v>0</v>
      </c>
      <c r="VV42" s="15"/>
      <c r="WD42" s="886">
        <v>0</v>
      </c>
      <c r="WE42" s="179">
        <f t="shared" si="375"/>
        <v>0</v>
      </c>
      <c r="WG42" s="12"/>
      <c r="WN42" s="172">
        <v>0</v>
      </c>
      <c r="WO42" s="178"/>
      <c r="WP42" s="15"/>
      <c r="WQ42" s="19"/>
      <c r="WX42" s="172">
        <v>0</v>
      </c>
      <c r="WY42" s="178"/>
      <c r="WZ42" s="15"/>
      <c r="XA42" s="12"/>
      <c r="XD42" s="172"/>
      <c r="XH42" s="172">
        <v>0</v>
      </c>
      <c r="XI42" s="179">
        <f t="shared" si="376"/>
        <v>0</v>
      </c>
      <c r="XJ42" s="15"/>
      <c r="XK42" s="12"/>
      <c r="XR42" s="329">
        <v>0</v>
      </c>
      <c r="XS42" s="178">
        <v>0</v>
      </c>
      <c r="XT42" s="15"/>
      <c r="XU42" s="12"/>
      <c r="YB42" s="178">
        <v>0</v>
      </c>
      <c r="YC42" s="178">
        <v>0</v>
      </c>
      <c r="YD42" s="15"/>
      <c r="YE42" s="177"/>
      <c r="YF42" s="171"/>
      <c r="YG42" s="14"/>
      <c r="YH42" s="171"/>
      <c r="YL42" s="178">
        <v>0</v>
      </c>
      <c r="YM42" s="178">
        <f t="shared" si="377"/>
        <v>0</v>
      </c>
      <c r="YN42" s="15"/>
      <c r="YO42" s="177"/>
      <c r="YP42" s="171"/>
      <c r="YQ42" s="171"/>
      <c r="YR42" s="171"/>
      <c r="YS42" s="171"/>
      <c r="YT42" s="171"/>
      <c r="YU42" s="171"/>
      <c r="YV42" s="178">
        <v>0</v>
      </c>
      <c r="YW42" s="178">
        <f t="shared" si="368"/>
        <v>0</v>
      </c>
      <c r="YX42" s="15"/>
      <c r="YY42" s="12"/>
      <c r="ZF42" s="178">
        <v>0</v>
      </c>
      <c r="ZG42" s="178">
        <f t="shared" si="352"/>
        <v>0</v>
      </c>
      <c r="ZH42" s="15"/>
      <c r="ZI42" s="12"/>
      <c r="ZP42" s="329">
        <v>0</v>
      </c>
      <c r="ZQ42" s="331">
        <f t="shared" si="353"/>
        <v>0</v>
      </c>
      <c r="ZR42" s="15"/>
      <c r="ZS42" s="12"/>
      <c r="ZX42" s="9">
        <f t="shared" si="285"/>
        <v>0</v>
      </c>
      <c r="ZY42" s="9">
        <f t="shared" si="285"/>
        <v>0</v>
      </c>
      <c r="ZZ42" s="17"/>
      <c r="AAA42" s="12"/>
      <c r="AAF42" s="16">
        <f t="shared" si="378"/>
        <v>0</v>
      </c>
      <c r="AAG42" s="16">
        <f t="shared" si="378"/>
        <v>0</v>
      </c>
      <c r="AAH42" s="17"/>
      <c r="AAI42" s="256"/>
      <c r="AAJ42" s="172"/>
      <c r="AAN42" s="172"/>
      <c r="AAO42" s="172"/>
      <c r="AAP42" s="17"/>
      <c r="AAQ42" s="12"/>
      <c r="AAV42" s="172">
        <f t="shared" si="288"/>
        <v>0</v>
      </c>
      <c r="AAW42" s="172">
        <f t="shared" si="288"/>
        <v>0</v>
      </c>
      <c r="AAX42" s="15"/>
      <c r="AAY42" s="12"/>
      <c r="ABD42" s="9">
        <f t="shared" si="289"/>
        <v>0</v>
      </c>
      <c r="ABE42" s="9">
        <f t="shared" si="289"/>
        <v>0</v>
      </c>
      <c r="ABF42" s="15"/>
    </row>
    <row r="43" spans="1:734" hidden="1" x14ac:dyDescent="0.3">
      <c r="A43" s="12"/>
      <c r="B43" s="1" t="s">
        <v>158</v>
      </c>
      <c r="D43" s="12"/>
      <c r="J43" s="244">
        <f t="shared" si="322"/>
        <v>0</v>
      </c>
      <c r="K43" s="15"/>
      <c r="R43" s="244">
        <f t="shared" si="323"/>
        <v>0</v>
      </c>
      <c r="S43" s="15"/>
      <c r="Z43" s="244">
        <f t="shared" si="309"/>
        <v>0</v>
      </c>
      <c r="AA43" s="15"/>
      <c r="AH43" s="244">
        <f t="shared" si="310"/>
        <v>0</v>
      </c>
      <c r="AI43" s="15"/>
      <c r="AO43" s="329">
        <v>0</v>
      </c>
      <c r="AP43" s="244">
        <f t="shared" si="311"/>
        <v>0</v>
      </c>
      <c r="AQ43" s="15"/>
      <c r="AW43" s="172">
        <v>0</v>
      </c>
      <c r="AX43" s="244">
        <f t="shared" si="308"/>
        <v>0</v>
      </c>
      <c r="AY43" s="15"/>
      <c r="BF43" s="244">
        <f t="shared" si="312"/>
        <v>0</v>
      </c>
      <c r="BG43" s="15"/>
      <c r="BN43" s="244">
        <f t="shared" si="313"/>
        <v>0</v>
      </c>
      <c r="BP43" s="12"/>
      <c r="BV43" s="244">
        <f t="shared" si="314"/>
        <v>0</v>
      </c>
      <c r="BW43" s="15"/>
      <c r="CC43" s="172"/>
      <c r="CD43" s="172">
        <f t="shared" si="354"/>
        <v>0</v>
      </c>
      <c r="CF43" s="12"/>
      <c r="CK43" s="172"/>
      <c r="CL43" s="172">
        <f t="shared" si="355"/>
        <v>0</v>
      </c>
      <c r="CM43" s="301"/>
      <c r="CT43" s="172">
        <f t="shared" si="356"/>
        <v>0</v>
      </c>
      <c r="CV43" s="12"/>
      <c r="DA43" s="257">
        <f t="shared" si="290"/>
        <v>0</v>
      </c>
      <c r="DB43" s="257">
        <f t="shared" si="290"/>
        <v>0</v>
      </c>
      <c r="DC43" s="15"/>
      <c r="DD43" s="12"/>
      <c r="DK43" s="302"/>
      <c r="DL43" s="12"/>
      <c r="DS43" s="302"/>
      <c r="EB43" s="142"/>
      <c r="EG43" s="172"/>
      <c r="EI43" s="143"/>
      <c r="EJ43" s="142"/>
      <c r="EP43" s="172">
        <f t="shared" si="325"/>
        <v>0</v>
      </c>
      <c r="EQ43" s="143"/>
      <c r="ER43" s="142"/>
      <c r="EY43" s="143"/>
      <c r="EZ43" s="142"/>
      <c r="FG43" s="143"/>
      <c r="FO43" s="15"/>
      <c r="FZ43" s="319"/>
      <c r="GC43" s="32"/>
      <c r="GD43" s="32"/>
      <c r="GE43" s="32"/>
      <c r="GF43" s="32"/>
      <c r="GG43" s="172"/>
      <c r="GH43" s="32"/>
      <c r="GI43" s="273"/>
      <c r="GJ43" s="321"/>
      <c r="GK43" s="321"/>
      <c r="GL43" s="321"/>
      <c r="GM43" s="321"/>
      <c r="GN43" s="321"/>
      <c r="GO43" s="321"/>
      <c r="GP43" s="321"/>
      <c r="GQ43" s="32"/>
      <c r="GR43" s="32"/>
      <c r="GS43" s="321"/>
      <c r="GT43" s="12"/>
      <c r="HA43" s="172">
        <v>0</v>
      </c>
      <c r="HB43" s="178">
        <f t="shared" si="327"/>
        <v>0</v>
      </c>
      <c r="HC43" s="15"/>
      <c r="HD43" s="12"/>
      <c r="HI43" s="171">
        <f t="shared" ref="HI43:HJ48" si="380">HA43+GQ43+GG43+FW43+FM43+FE43+EW43+EO43+EG43+DY43+DQ43+DI43</f>
        <v>0</v>
      </c>
      <c r="HJ43" s="171">
        <f t="shared" si="380"/>
        <v>0</v>
      </c>
      <c r="HK43" s="15"/>
      <c r="HL43" s="12"/>
      <c r="HS43" s="15"/>
      <c r="HT43" s="12"/>
      <c r="HY43" s="171">
        <f t="shared" ref="HY43:HZ46" si="381">EG43+EO43+EW43</f>
        <v>0</v>
      </c>
      <c r="HZ43" s="171">
        <f t="shared" si="381"/>
        <v>0</v>
      </c>
      <c r="IA43" s="15"/>
      <c r="IB43" s="12"/>
      <c r="IG43" s="171">
        <f t="shared" ref="IG43:IH46" si="382">(FE43+FM43+FW43)</f>
        <v>0</v>
      </c>
      <c r="IH43" s="171">
        <f t="shared" si="382"/>
        <v>0</v>
      </c>
      <c r="II43" s="15"/>
      <c r="IJ43" s="12"/>
      <c r="IO43" s="171">
        <f t="shared" ref="IO43:IP48" si="383">(GG43+GQ43+HA43)</f>
        <v>0</v>
      </c>
      <c r="IP43" s="171">
        <f t="shared" si="383"/>
        <v>0</v>
      </c>
      <c r="IQ43" s="15"/>
      <c r="IS43" s="12"/>
      <c r="IZ43" s="330">
        <v>0</v>
      </c>
      <c r="JA43" s="178">
        <f t="shared" ref="JA43:JA48" si="384">IZ43*70</f>
        <v>0</v>
      </c>
      <c r="JB43" s="15"/>
      <c r="JC43" s="19"/>
      <c r="JK43" s="178">
        <f t="shared" si="360"/>
        <v>0</v>
      </c>
      <c r="JL43" s="15"/>
      <c r="JW43" s="12"/>
      <c r="KD43" s="329">
        <v>0</v>
      </c>
      <c r="KE43" s="329">
        <v>0</v>
      </c>
      <c r="KF43" s="15"/>
      <c r="KG43" s="19"/>
      <c r="KN43" s="329">
        <v>0</v>
      </c>
      <c r="KO43" s="178">
        <f t="shared" si="330"/>
        <v>0</v>
      </c>
      <c r="KP43" s="15"/>
      <c r="KQ43" s="12"/>
      <c r="KY43" s="178">
        <f t="shared" si="362"/>
        <v>0</v>
      </c>
      <c r="KZ43" s="15"/>
      <c r="LA43" s="12"/>
      <c r="LJ43" s="15"/>
      <c r="LK43" s="12"/>
      <c r="LS43" s="178">
        <f t="shared" si="364"/>
        <v>0</v>
      </c>
      <c r="LT43" s="15"/>
      <c r="LU43" s="177"/>
      <c r="MC43" s="178">
        <f t="shared" si="365"/>
        <v>0</v>
      </c>
      <c r="MD43" s="15"/>
      <c r="ME43" s="177"/>
      <c r="MM43" s="178">
        <f t="shared" si="366"/>
        <v>0</v>
      </c>
      <c r="MN43" s="15"/>
      <c r="MO43" s="12"/>
      <c r="MW43" s="178">
        <f t="shared" si="367"/>
        <v>0</v>
      </c>
      <c r="MY43" s="12"/>
      <c r="NH43" s="15"/>
      <c r="NN43" s="16">
        <f t="shared" si="302"/>
        <v>0</v>
      </c>
      <c r="NO43" s="16">
        <f t="shared" si="302"/>
        <v>0</v>
      </c>
      <c r="NP43" s="17"/>
      <c r="NQ43" s="12"/>
      <c r="NV43" s="16">
        <f>IZ43+JJ43+JT43</f>
        <v>0</v>
      </c>
      <c r="NW43" s="16">
        <f t="shared" si="292"/>
        <v>0</v>
      </c>
      <c r="NX43" s="17"/>
      <c r="NY43" s="256"/>
      <c r="OD43" s="172">
        <f t="shared" si="293"/>
        <v>0</v>
      </c>
      <c r="OE43" s="172">
        <f t="shared" si="293"/>
        <v>0</v>
      </c>
      <c r="OF43" s="17"/>
      <c r="OG43" s="12"/>
      <c r="OL43" s="172">
        <f t="shared" si="294"/>
        <v>0</v>
      </c>
      <c r="OM43" s="172">
        <f t="shared" si="294"/>
        <v>0</v>
      </c>
      <c r="OO43" s="12"/>
      <c r="OV43" s="15"/>
      <c r="OX43" s="12"/>
      <c r="PE43" s="332">
        <v>0</v>
      </c>
      <c r="PF43" s="179">
        <f t="shared" si="332"/>
        <v>0</v>
      </c>
      <c r="PG43" s="15"/>
      <c r="PH43" s="19"/>
      <c r="PO43" s="172">
        <v>0</v>
      </c>
      <c r="PP43" s="178">
        <f t="shared" ref="PP43:PP48" si="385">PO43*70</f>
        <v>0</v>
      </c>
      <c r="PQ43" s="15"/>
      <c r="PY43" s="172"/>
      <c r="PZ43" s="179">
        <f t="shared" si="334"/>
        <v>0</v>
      </c>
      <c r="QB43" s="12"/>
      <c r="QI43" s="329">
        <v>0</v>
      </c>
      <c r="QJ43" s="329">
        <v>0</v>
      </c>
      <c r="QK43" s="15"/>
      <c r="QL43" s="19"/>
      <c r="QS43" s="329">
        <v>0</v>
      </c>
      <c r="QT43" s="329">
        <v>0</v>
      </c>
      <c r="QU43" s="15"/>
      <c r="QV43" s="12"/>
      <c r="QY43" s="172"/>
      <c r="RE43" s="15"/>
      <c r="RF43" s="12"/>
      <c r="RO43" s="15"/>
      <c r="RP43" s="12"/>
      <c r="RW43" s="178">
        <v>0</v>
      </c>
      <c r="RY43" s="15"/>
      <c r="RZ43" s="177"/>
      <c r="SA43" s="171"/>
      <c r="SB43" s="14"/>
      <c r="SC43" s="171"/>
      <c r="SI43" s="15"/>
      <c r="SJ43" s="177"/>
      <c r="SK43" s="171"/>
      <c r="SL43" s="171"/>
      <c r="SM43" s="171"/>
      <c r="SN43" s="171"/>
      <c r="SO43" s="171"/>
      <c r="SP43" s="171"/>
      <c r="SS43" s="15"/>
      <c r="ST43" s="12"/>
      <c r="TC43" s="15"/>
      <c r="TD43" s="12"/>
      <c r="TK43" s="329">
        <v>0</v>
      </c>
      <c r="TL43" s="331">
        <f t="shared" si="342"/>
        <v>0</v>
      </c>
      <c r="TM43" s="15"/>
      <c r="TN43" s="12"/>
      <c r="TS43" s="9">
        <f t="shared" si="286"/>
        <v>0</v>
      </c>
      <c r="TT43" s="9">
        <f t="shared" si="286"/>
        <v>0</v>
      </c>
      <c r="TU43" s="17"/>
      <c r="TV43" s="12"/>
      <c r="UA43" s="16">
        <f t="shared" si="304"/>
        <v>0</v>
      </c>
      <c r="UB43" s="16">
        <f t="shared" si="304"/>
        <v>0</v>
      </c>
      <c r="UC43" s="17"/>
      <c r="UD43" s="256"/>
      <c r="UE43" s="172"/>
      <c r="UI43" s="172">
        <f t="shared" ref="UI43:UJ48" si="386">QI43+QS43+RC43</f>
        <v>0</v>
      </c>
      <c r="UJ43" s="172">
        <f t="shared" si="386"/>
        <v>0</v>
      </c>
      <c r="UK43" s="17"/>
      <c r="UL43" s="12"/>
      <c r="UQ43" s="172">
        <f t="shared" si="287"/>
        <v>0</v>
      </c>
      <c r="UR43" s="172">
        <f t="shared" si="287"/>
        <v>0</v>
      </c>
      <c r="US43" s="15"/>
      <c r="UT43" s="12"/>
      <c r="UY43" s="9">
        <f t="shared" si="296"/>
        <v>0</v>
      </c>
      <c r="UZ43" s="9">
        <f t="shared" si="296"/>
        <v>0</v>
      </c>
      <c r="VA43" s="15"/>
      <c r="VC43" s="12"/>
      <c r="VI43" s="1"/>
      <c r="VJ43" s="332">
        <v>0</v>
      </c>
      <c r="VK43" s="179">
        <f t="shared" si="379"/>
        <v>0</v>
      </c>
      <c r="VL43" s="15"/>
      <c r="VM43" s="19"/>
      <c r="VT43" s="172">
        <v>0</v>
      </c>
      <c r="VU43" s="179">
        <f t="shared" si="344"/>
        <v>0</v>
      </c>
      <c r="VV43" s="15"/>
      <c r="WD43" s="172"/>
      <c r="WE43" s="179">
        <f t="shared" si="375"/>
        <v>0</v>
      </c>
      <c r="WG43" s="12"/>
      <c r="WN43" s="172">
        <v>0</v>
      </c>
      <c r="WO43" s="329">
        <v>0</v>
      </c>
      <c r="WP43" s="15"/>
      <c r="WQ43" s="19"/>
      <c r="WX43" s="172">
        <v>0</v>
      </c>
      <c r="WY43" s="329">
        <v>0</v>
      </c>
      <c r="WZ43" s="15"/>
      <c r="XA43" s="12"/>
      <c r="XD43" s="172"/>
      <c r="XH43" s="172">
        <v>0</v>
      </c>
      <c r="XI43" s="179">
        <f t="shared" si="376"/>
        <v>0</v>
      </c>
      <c r="XJ43" s="15"/>
      <c r="XK43" s="12"/>
      <c r="XR43" s="329">
        <v>0</v>
      </c>
      <c r="XS43" s="178">
        <v>0</v>
      </c>
      <c r="XT43" s="15"/>
      <c r="XU43" s="12"/>
      <c r="YB43" s="178">
        <v>0</v>
      </c>
      <c r="YC43" s="178">
        <v>0</v>
      </c>
      <c r="YD43" s="15"/>
      <c r="YE43" s="177"/>
      <c r="YF43" s="171"/>
      <c r="YG43" s="14"/>
      <c r="YH43" s="171"/>
      <c r="YL43" s="178">
        <v>0</v>
      </c>
      <c r="YM43" s="178">
        <f t="shared" si="377"/>
        <v>0</v>
      </c>
      <c r="YN43" s="15"/>
      <c r="YO43" s="177"/>
      <c r="YP43" s="171"/>
      <c r="YQ43" s="171"/>
      <c r="YR43" s="171"/>
      <c r="YS43" s="171"/>
      <c r="YT43" s="171"/>
      <c r="YU43" s="171"/>
      <c r="YV43" s="178">
        <v>0</v>
      </c>
      <c r="YW43" s="178">
        <f t="shared" si="368"/>
        <v>0</v>
      </c>
      <c r="YX43" s="15"/>
      <c r="YY43" s="12"/>
      <c r="ZF43" s="178">
        <v>0</v>
      </c>
      <c r="ZG43" s="178">
        <f t="shared" si="352"/>
        <v>0</v>
      </c>
      <c r="ZH43" s="15"/>
      <c r="ZI43" s="12"/>
      <c r="ZP43" s="329">
        <v>0</v>
      </c>
      <c r="ZQ43" s="331">
        <f t="shared" si="353"/>
        <v>0</v>
      </c>
      <c r="ZR43" s="15"/>
      <c r="ZS43" s="12"/>
      <c r="ZX43" s="9">
        <f t="shared" si="285"/>
        <v>0</v>
      </c>
      <c r="ZY43" s="9">
        <f t="shared" si="285"/>
        <v>0</v>
      </c>
      <c r="ZZ43" s="17"/>
      <c r="AAA43" s="12"/>
      <c r="AAF43" s="16">
        <f t="shared" si="378"/>
        <v>0</v>
      </c>
      <c r="AAG43" s="16">
        <f t="shared" si="378"/>
        <v>0</v>
      </c>
      <c r="AAH43" s="17"/>
      <c r="AAI43" s="256"/>
      <c r="AAJ43" s="172"/>
      <c r="AAN43" s="172">
        <f t="shared" ref="AAN43:AAO48" si="387">WN43+WX43+XH43</f>
        <v>0</v>
      </c>
      <c r="AAO43" s="172">
        <f t="shared" si="387"/>
        <v>0</v>
      </c>
      <c r="AAP43" s="17"/>
      <c r="AAQ43" s="12"/>
      <c r="AAV43" s="172">
        <f t="shared" si="288"/>
        <v>0</v>
      </c>
      <c r="AAW43" s="172">
        <f t="shared" si="288"/>
        <v>0</v>
      </c>
      <c r="AAX43" s="15"/>
      <c r="AAY43" s="12"/>
      <c r="ABD43" s="9">
        <f t="shared" si="289"/>
        <v>0</v>
      </c>
      <c r="ABE43" s="9">
        <f t="shared" si="289"/>
        <v>0</v>
      </c>
      <c r="ABF43" s="15"/>
    </row>
    <row r="44" spans="1:734" hidden="1" x14ac:dyDescent="0.3">
      <c r="A44" s="12"/>
      <c r="B44" s="1" t="s">
        <v>160</v>
      </c>
      <c r="D44" s="12"/>
      <c r="J44" s="244">
        <f t="shared" si="322"/>
        <v>0</v>
      </c>
      <c r="K44" s="15"/>
      <c r="R44" s="244">
        <f t="shared" si="323"/>
        <v>0</v>
      </c>
      <c r="S44" s="15"/>
      <c r="Z44" s="244">
        <f t="shared" si="309"/>
        <v>0</v>
      </c>
      <c r="AA44" s="15"/>
      <c r="AH44" s="244">
        <f t="shared" si="310"/>
        <v>0</v>
      </c>
      <c r="AI44" s="15"/>
      <c r="AO44" s="329">
        <v>0</v>
      </c>
      <c r="AP44" s="244">
        <f t="shared" si="311"/>
        <v>0</v>
      </c>
      <c r="AQ44" s="15"/>
      <c r="AW44" s="329">
        <v>0</v>
      </c>
      <c r="AX44" s="244">
        <f t="shared" si="308"/>
        <v>0</v>
      </c>
      <c r="AY44" s="15"/>
      <c r="BF44" s="244">
        <f t="shared" si="312"/>
        <v>0</v>
      </c>
      <c r="BG44" s="15"/>
      <c r="BN44" s="244">
        <f t="shared" si="313"/>
        <v>0</v>
      </c>
      <c r="BP44" s="12"/>
      <c r="BV44" s="244">
        <f t="shared" si="314"/>
        <v>0</v>
      </c>
      <c r="BW44" s="15"/>
      <c r="CD44" s="172">
        <f t="shared" si="354"/>
        <v>0</v>
      </c>
      <c r="CF44" s="12"/>
      <c r="CL44" s="172">
        <f t="shared" si="355"/>
        <v>0</v>
      </c>
      <c r="CM44" s="301"/>
      <c r="CT44" s="172">
        <f t="shared" si="356"/>
        <v>0</v>
      </c>
      <c r="CV44" s="12"/>
      <c r="DA44" s="257">
        <f t="shared" si="290"/>
        <v>0</v>
      </c>
      <c r="DB44" s="257">
        <f t="shared" si="290"/>
        <v>0</v>
      </c>
      <c r="DC44" s="15"/>
      <c r="DD44" s="12"/>
      <c r="DK44" s="302"/>
      <c r="DL44" s="12"/>
      <c r="DS44" s="302"/>
      <c r="EB44" s="142"/>
      <c r="EG44" s="172"/>
      <c r="EI44" s="143"/>
      <c r="EJ44" s="142"/>
      <c r="EP44" s="172">
        <f t="shared" si="325"/>
        <v>0</v>
      </c>
      <c r="EQ44" s="143"/>
      <c r="ER44" s="142"/>
      <c r="EY44" s="143"/>
      <c r="EZ44" s="142"/>
      <c r="FG44" s="143"/>
      <c r="FO44" s="15"/>
      <c r="FZ44" s="319"/>
      <c r="GC44" s="32"/>
      <c r="GD44" s="32"/>
      <c r="GE44" s="32"/>
      <c r="GF44" s="32"/>
      <c r="GG44" s="32"/>
      <c r="GH44" s="32"/>
      <c r="GI44" s="273"/>
      <c r="GJ44" s="321"/>
      <c r="GK44" s="321"/>
      <c r="GL44" s="321"/>
      <c r="GM44" s="321"/>
      <c r="GN44" s="321"/>
      <c r="GO44" s="321"/>
      <c r="GP44" s="321"/>
      <c r="GQ44" s="32"/>
      <c r="GR44" s="32"/>
      <c r="GS44" s="321"/>
      <c r="GT44" s="12"/>
      <c r="HA44" s="172">
        <v>0</v>
      </c>
      <c r="HB44" s="178">
        <f t="shared" si="327"/>
        <v>0</v>
      </c>
      <c r="HC44" s="15"/>
      <c r="HD44" s="12"/>
      <c r="HI44" s="171">
        <f t="shared" si="380"/>
        <v>0</v>
      </c>
      <c r="HJ44" s="171">
        <f t="shared" si="380"/>
        <v>0</v>
      </c>
      <c r="HK44" s="15"/>
      <c r="HL44" s="12"/>
      <c r="HS44" s="15"/>
      <c r="HT44" s="12"/>
      <c r="HY44" s="171">
        <f t="shared" si="381"/>
        <v>0</v>
      </c>
      <c r="HZ44" s="171">
        <f t="shared" si="381"/>
        <v>0</v>
      </c>
      <c r="IA44" s="15"/>
      <c r="IB44" s="12"/>
      <c r="IG44" s="171">
        <f t="shared" si="382"/>
        <v>0</v>
      </c>
      <c r="IH44" s="171">
        <f t="shared" si="382"/>
        <v>0</v>
      </c>
      <c r="II44" s="15"/>
      <c r="IJ44" s="12"/>
      <c r="IO44" s="171">
        <f t="shared" si="383"/>
        <v>0</v>
      </c>
      <c r="IP44" s="171">
        <f t="shared" si="383"/>
        <v>0</v>
      </c>
      <c r="IQ44" s="15"/>
      <c r="IS44" s="12"/>
      <c r="IZ44" s="332">
        <v>0</v>
      </c>
      <c r="JA44" s="178">
        <f t="shared" si="384"/>
        <v>0</v>
      </c>
      <c r="JB44" s="15"/>
      <c r="JC44" s="19"/>
      <c r="JK44" s="178">
        <f t="shared" si="360"/>
        <v>0</v>
      </c>
      <c r="JL44" s="15"/>
      <c r="JW44" s="12"/>
      <c r="KD44" s="329">
        <v>0</v>
      </c>
      <c r="KE44" s="329">
        <v>0</v>
      </c>
      <c r="KF44" s="15"/>
      <c r="KG44" s="19"/>
      <c r="KN44" s="329">
        <v>0</v>
      </c>
      <c r="KO44" s="178">
        <f t="shared" si="330"/>
        <v>0</v>
      </c>
      <c r="KP44" s="15"/>
      <c r="KQ44" s="12"/>
      <c r="KY44" s="178">
        <f t="shared" si="362"/>
        <v>0</v>
      </c>
      <c r="KZ44" s="15"/>
      <c r="LA44" s="12"/>
      <c r="LJ44" s="15"/>
      <c r="LK44" s="12"/>
      <c r="LS44" s="178">
        <f t="shared" si="364"/>
        <v>0</v>
      </c>
      <c r="LT44" s="15"/>
      <c r="LU44" s="177"/>
      <c r="MC44" s="178">
        <f t="shared" si="365"/>
        <v>0</v>
      </c>
      <c r="MD44" s="15"/>
      <c r="ME44" s="177"/>
      <c r="MM44" s="178">
        <f t="shared" si="366"/>
        <v>0</v>
      </c>
      <c r="MN44" s="15"/>
      <c r="MO44" s="12"/>
      <c r="MW44" s="178">
        <f t="shared" si="367"/>
        <v>0</v>
      </c>
      <c r="MY44" s="12"/>
      <c r="NH44" s="15"/>
      <c r="NN44" s="16">
        <f t="shared" si="302"/>
        <v>0</v>
      </c>
      <c r="NO44" s="16">
        <f t="shared" si="302"/>
        <v>0</v>
      </c>
      <c r="NP44" s="17"/>
      <c r="NQ44" s="12"/>
      <c r="NV44" s="16">
        <f>IZ44+JJ44+JT44</f>
        <v>0</v>
      </c>
      <c r="NW44" s="16">
        <f t="shared" si="292"/>
        <v>0</v>
      </c>
      <c r="NX44" s="17"/>
      <c r="NY44" s="256"/>
      <c r="OD44" s="172">
        <f t="shared" si="293"/>
        <v>0</v>
      </c>
      <c r="OE44" s="172">
        <f t="shared" si="293"/>
        <v>0</v>
      </c>
      <c r="OF44" s="17"/>
      <c r="OG44" s="12"/>
      <c r="OL44" s="172">
        <f t="shared" si="294"/>
        <v>0</v>
      </c>
      <c r="OM44" s="172">
        <f t="shared" si="294"/>
        <v>0</v>
      </c>
      <c r="OO44" s="12"/>
      <c r="OV44" s="15"/>
      <c r="OX44" s="12"/>
      <c r="PE44" s="332">
        <v>0</v>
      </c>
      <c r="PF44" s="179">
        <f t="shared" si="332"/>
        <v>0</v>
      </c>
      <c r="PG44" s="15"/>
      <c r="PH44" s="19"/>
      <c r="PO44" s="172">
        <v>0</v>
      </c>
      <c r="PP44" s="178">
        <f t="shared" si="385"/>
        <v>0</v>
      </c>
      <c r="PQ44" s="15"/>
      <c r="PY44" s="172"/>
      <c r="PZ44" s="179">
        <f t="shared" si="334"/>
        <v>0</v>
      </c>
      <c r="QB44" s="12"/>
      <c r="QI44" s="329">
        <v>0</v>
      </c>
      <c r="QJ44" s="329">
        <v>0</v>
      </c>
      <c r="QK44" s="15"/>
      <c r="QL44" s="19"/>
      <c r="QS44" s="329">
        <v>0</v>
      </c>
      <c r="QT44" s="329">
        <v>0</v>
      </c>
      <c r="QU44" s="15"/>
      <c r="QV44" s="12"/>
      <c r="QY44" s="172"/>
      <c r="RE44" s="15"/>
      <c r="RF44" s="12"/>
      <c r="RO44" s="15"/>
      <c r="RP44" s="12"/>
      <c r="RW44" s="178">
        <v>0</v>
      </c>
      <c r="RY44" s="15"/>
      <c r="RZ44" s="177"/>
      <c r="SA44" s="171"/>
      <c r="SB44" s="14"/>
      <c r="SC44" s="171"/>
      <c r="SI44" s="15"/>
      <c r="SJ44" s="177"/>
      <c r="SK44" s="171"/>
      <c r="SL44" s="171"/>
      <c r="SM44" s="171"/>
      <c r="SN44" s="171"/>
      <c r="SO44" s="171"/>
      <c r="SP44" s="171"/>
      <c r="SS44" s="15"/>
      <c r="ST44" s="12"/>
      <c r="TC44" s="15"/>
      <c r="TD44" s="12"/>
      <c r="TK44" s="329">
        <v>0</v>
      </c>
      <c r="TL44" s="331">
        <f t="shared" si="342"/>
        <v>0</v>
      </c>
      <c r="TM44" s="15"/>
      <c r="TN44" s="12"/>
      <c r="TS44" s="9">
        <f t="shared" si="286"/>
        <v>0</v>
      </c>
      <c r="TT44" s="9">
        <f t="shared" si="286"/>
        <v>0</v>
      </c>
      <c r="TU44" s="17"/>
      <c r="TV44" s="12"/>
      <c r="UA44" s="16">
        <f t="shared" si="304"/>
        <v>0</v>
      </c>
      <c r="UB44" s="16">
        <f t="shared" si="304"/>
        <v>0</v>
      </c>
      <c r="UC44" s="17"/>
      <c r="UD44" s="256"/>
      <c r="UE44" s="172"/>
      <c r="UI44" s="172">
        <f t="shared" si="386"/>
        <v>0</v>
      </c>
      <c r="UJ44" s="172">
        <f t="shared" si="386"/>
        <v>0</v>
      </c>
      <c r="UK44" s="17"/>
      <c r="UL44" s="12"/>
      <c r="UQ44" s="172">
        <f t="shared" si="287"/>
        <v>0</v>
      </c>
      <c r="UR44" s="172">
        <f t="shared" si="287"/>
        <v>0</v>
      </c>
      <c r="US44" s="15"/>
      <c r="UT44" s="12"/>
      <c r="UY44" s="9">
        <f t="shared" si="296"/>
        <v>0</v>
      </c>
      <c r="UZ44" s="9">
        <f t="shared" si="296"/>
        <v>0</v>
      </c>
      <c r="VA44" s="15"/>
      <c r="VC44" s="12"/>
      <c r="VI44" s="1"/>
      <c r="VJ44" s="332">
        <v>0</v>
      </c>
      <c r="VK44" s="179">
        <f t="shared" si="379"/>
        <v>0</v>
      </c>
      <c r="VL44" s="15"/>
      <c r="VM44" s="19"/>
      <c r="VT44" s="172">
        <v>0</v>
      </c>
      <c r="VU44" s="179">
        <f t="shared" si="344"/>
        <v>0</v>
      </c>
      <c r="VV44" s="15"/>
      <c r="WD44" s="172"/>
      <c r="WE44" s="179">
        <f t="shared" si="375"/>
        <v>0</v>
      </c>
      <c r="WG44" s="12"/>
      <c r="WN44" s="172">
        <v>0</v>
      </c>
      <c r="WO44" s="329">
        <v>0</v>
      </c>
      <c r="WP44" s="15"/>
      <c r="WQ44" s="19"/>
      <c r="WX44" s="172">
        <v>0</v>
      </c>
      <c r="WY44" s="329">
        <v>0</v>
      </c>
      <c r="WZ44" s="15"/>
      <c r="XA44" s="12"/>
      <c r="XD44" s="172"/>
      <c r="XH44" s="172">
        <v>0</v>
      </c>
      <c r="XI44" s="179">
        <f t="shared" si="376"/>
        <v>0</v>
      </c>
      <c r="XJ44" s="15"/>
      <c r="XK44" s="12"/>
      <c r="XR44" s="329">
        <v>0</v>
      </c>
      <c r="XS44" s="178">
        <v>0</v>
      </c>
      <c r="XT44" s="15"/>
      <c r="XU44" s="12"/>
      <c r="YB44" s="178">
        <v>0</v>
      </c>
      <c r="YC44" s="178">
        <v>0</v>
      </c>
      <c r="YD44" s="15"/>
      <c r="YE44" s="177"/>
      <c r="YF44" s="171"/>
      <c r="YG44" s="14"/>
      <c r="YH44" s="171"/>
      <c r="YL44" s="178">
        <v>0</v>
      </c>
      <c r="YM44" s="178">
        <f t="shared" si="377"/>
        <v>0</v>
      </c>
      <c r="YN44" s="15"/>
      <c r="YO44" s="177"/>
      <c r="YP44" s="171"/>
      <c r="YQ44" s="171"/>
      <c r="YR44" s="171"/>
      <c r="YS44" s="171"/>
      <c r="YT44" s="171"/>
      <c r="YU44" s="171"/>
      <c r="YV44" s="178">
        <v>0</v>
      </c>
      <c r="YW44" s="178">
        <f t="shared" si="368"/>
        <v>0</v>
      </c>
      <c r="YX44" s="15"/>
      <c r="YY44" s="12"/>
      <c r="ZF44" s="178">
        <v>0</v>
      </c>
      <c r="ZG44" s="178">
        <f t="shared" si="352"/>
        <v>0</v>
      </c>
      <c r="ZH44" s="15"/>
      <c r="ZI44" s="12"/>
      <c r="ZP44" s="329">
        <v>0</v>
      </c>
      <c r="ZQ44" s="331">
        <f t="shared" si="353"/>
        <v>0</v>
      </c>
      <c r="ZR44" s="15"/>
      <c r="ZS44" s="12"/>
      <c r="ZX44" s="9">
        <f t="shared" si="285"/>
        <v>0</v>
      </c>
      <c r="ZY44" s="9">
        <f t="shared" si="285"/>
        <v>0</v>
      </c>
      <c r="ZZ44" s="17"/>
      <c r="AAA44" s="12"/>
      <c r="AAF44" s="16">
        <f t="shared" si="378"/>
        <v>0</v>
      </c>
      <c r="AAG44" s="16">
        <f t="shared" si="378"/>
        <v>0</v>
      </c>
      <c r="AAH44" s="17"/>
      <c r="AAI44" s="256"/>
      <c r="AAJ44" s="172"/>
      <c r="AAN44" s="172">
        <f t="shared" si="387"/>
        <v>0</v>
      </c>
      <c r="AAO44" s="172">
        <f t="shared" si="387"/>
        <v>0</v>
      </c>
      <c r="AAP44" s="17"/>
      <c r="AAQ44" s="12"/>
      <c r="AAV44" s="172">
        <f t="shared" si="288"/>
        <v>0</v>
      </c>
      <c r="AAW44" s="172">
        <f t="shared" si="288"/>
        <v>0</v>
      </c>
      <c r="AAX44" s="15"/>
      <c r="AAY44" s="12"/>
      <c r="ABD44" s="9">
        <f t="shared" si="289"/>
        <v>0</v>
      </c>
      <c r="ABE44" s="9">
        <f t="shared" si="289"/>
        <v>0</v>
      </c>
      <c r="ABF44" s="15"/>
    </row>
    <row r="45" spans="1:734" hidden="1" x14ac:dyDescent="0.3">
      <c r="A45" s="12"/>
      <c r="B45" s="1" t="s">
        <v>162</v>
      </c>
      <c r="D45" s="12"/>
      <c r="J45" s="244">
        <f t="shared" si="322"/>
        <v>0</v>
      </c>
      <c r="K45" s="15"/>
      <c r="R45" s="244">
        <f t="shared" si="323"/>
        <v>0</v>
      </c>
      <c r="S45" s="15"/>
      <c r="AA45" s="15"/>
      <c r="AI45" s="15"/>
      <c r="AO45" s="329">
        <v>0</v>
      </c>
      <c r="AQ45" s="15"/>
      <c r="AW45" s="329">
        <v>0</v>
      </c>
      <c r="AX45" s="1">
        <f t="shared" si="308"/>
        <v>0</v>
      </c>
      <c r="AY45" s="15"/>
      <c r="BG45" s="15"/>
      <c r="BP45" s="12"/>
      <c r="BW45" s="15"/>
      <c r="CD45" s="172">
        <f t="shared" si="354"/>
        <v>0</v>
      </c>
      <c r="CF45" s="12"/>
      <c r="CL45" s="172">
        <f t="shared" si="355"/>
        <v>0</v>
      </c>
      <c r="CM45" s="301"/>
      <c r="CT45" s="172">
        <f t="shared" si="356"/>
        <v>0</v>
      </c>
      <c r="CV45" s="12"/>
      <c r="DA45" s="257">
        <f t="shared" si="290"/>
        <v>0</v>
      </c>
      <c r="DB45" s="257">
        <f t="shared" si="290"/>
        <v>0</v>
      </c>
      <c r="DC45" s="15"/>
      <c r="DD45" s="12"/>
      <c r="DK45" s="302"/>
      <c r="DL45" s="12"/>
      <c r="DS45" s="302"/>
      <c r="EB45" s="142"/>
      <c r="EG45" s="172"/>
      <c r="EI45" s="143"/>
      <c r="EJ45" s="142"/>
      <c r="EP45" s="172">
        <f t="shared" si="325"/>
        <v>0</v>
      </c>
      <c r="EQ45" s="143"/>
      <c r="ER45" s="142"/>
      <c r="EY45" s="143"/>
      <c r="EZ45" s="142"/>
      <c r="FG45" s="143"/>
      <c r="FO45" s="15"/>
      <c r="FZ45" s="319"/>
      <c r="GC45" s="32"/>
      <c r="GD45" s="32"/>
      <c r="GE45" s="32"/>
      <c r="GF45" s="32"/>
      <c r="GG45" s="32"/>
      <c r="GH45" s="32"/>
      <c r="GI45" s="273"/>
      <c r="GJ45" s="321"/>
      <c r="GK45" s="321"/>
      <c r="GL45" s="321"/>
      <c r="GM45" s="321"/>
      <c r="GN45" s="321"/>
      <c r="GO45" s="321"/>
      <c r="GP45" s="321"/>
      <c r="GQ45" s="32"/>
      <c r="GR45" s="32"/>
      <c r="GS45" s="321"/>
      <c r="GT45" s="12"/>
      <c r="HA45" s="172">
        <v>0</v>
      </c>
      <c r="HB45" s="178">
        <f t="shared" si="327"/>
        <v>0</v>
      </c>
      <c r="HC45" s="15"/>
      <c r="HD45" s="12"/>
      <c r="HI45" s="171">
        <f t="shared" si="380"/>
        <v>0</v>
      </c>
      <c r="HJ45" s="171">
        <f t="shared" si="380"/>
        <v>0</v>
      </c>
      <c r="HK45" s="15"/>
      <c r="HL45" s="12"/>
      <c r="HS45" s="15"/>
      <c r="HT45" s="12"/>
      <c r="HY45" s="171">
        <f t="shared" si="381"/>
        <v>0</v>
      </c>
      <c r="HZ45" s="171">
        <f t="shared" si="381"/>
        <v>0</v>
      </c>
      <c r="IA45" s="15"/>
      <c r="IB45" s="12"/>
      <c r="IG45" s="171">
        <f t="shared" si="382"/>
        <v>0</v>
      </c>
      <c r="IH45" s="171">
        <f t="shared" si="382"/>
        <v>0</v>
      </c>
      <c r="II45" s="15"/>
      <c r="IJ45" s="12"/>
      <c r="IO45" s="171">
        <f t="shared" si="383"/>
        <v>0</v>
      </c>
      <c r="IP45" s="171">
        <f t="shared" si="383"/>
        <v>0</v>
      </c>
      <c r="IQ45" s="15"/>
      <c r="IS45" s="12"/>
      <c r="IZ45" s="332">
        <v>0</v>
      </c>
      <c r="JA45" s="178">
        <f t="shared" si="384"/>
        <v>0</v>
      </c>
      <c r="JB45" s="15"/>
      <c r="JC45" s="19"/>
      <c r="JK45" s="178">
        <f t="shared" si="360"/>
        <v>0</v>
      </c>
      <c r="JL45" s="15"/>
      <c r="JW45" s="12"/>
      <c r="KD45" s="329">
        <v>0</v>
      </c>
      <c r="KE45" s="329">
        <v>0</v>
      </c>
      <c r="KF45" s="15"/>
      <c r="KG45" s="19"/>
      <c r="KN45" s="329">
        <v>0</v>
      </c>
      <c r="KO45" s="178">
        <f t="shared" si="330"/>
        <v>0</v>
      </c>
      <c r="KP45" s="15"/>
      <c r="KQ45" s="12"/>
      <c r="KY45" s="178">
        <f t="shared" si="362"/>
        <v>0</v>
      </c>
      <c r="KZ45" s="15"/>
      <c r="LA45" s="12"/>
      <c r="LJ45" s="15"/>
      <c r="LK45" s="12"/>
      <c r="LS45" s="178">
        <f t="shared" si="364"/>
        <v>0</v>
      </c>
      <c r="LT45" s="15"/>
      <c r="LU45" s="177"/>
      <c r="MC45" s="178">
        <f t="shared" si="365"/>
        <v>0</v>
      </c>
      <c r="MD45" s="15"/>
      <c r="ME45" s="177"/>
      <c r="MM45" s="178">
        <f t="shared" si="366"/>
        <v>0</v>
      </c>
      <c r="MN45" s="15"/>
      <c r="MO45" s="12"/>
      <c r="MW45" s="178">
        <f t="shared" si="367"/>
        <v>0</v>
      </c>
      <c r="MY45" s="12"/>
      <c r="NH45" s="15"/>
      <c r="NN45" s="16">
        <f t="shared" si="302"/>
        <v>0</v>
      </c>
      <c r="NO45" s="16">
        <f t="shared" si="302"/>
        <v>0</v>
      </c>
      <c r="NP45" s="17"/>
      <c r="NQ45" s="12"/>
      <c r="NX45" s="17"/>
      <c r="NY45" s="256"/>
      <c r="OD45" s="172">
        <f t="shared" si="293"/>
        <v>0</v>
      </c>
      <c r="OE45" s="172">
        <f t="shared" si="293"/>
        <v>0</v>
      </c>
      <c r="OF45" s="17"/>
      <c r="OG45" s="12"/>
      <c r="OL45" s="172">
        <f t="shared" si="294"/>
        <v>0</v>
      </c>
      <c r="OM45" s="172">
        <f t="shared" si="294"/>
        <v>0</v>
      </c>
      <c r="OO45" s="12"/>
      <c r="OV45" s="15"/>
      <c r="OX45" s="12"/>
      <c r="PE45" s="332">
        <v>0</v>
      </c>
      <c r="PF45" s="179">
        <f t="shared" si="332"/>
        <v>0</v>
      </c>
      <c r="PG45" s="15"/>
      <c r="PH45" s="19"/>
      <c r="PO45" s="172">
        <v>0</v>
      </c>
      <c r="PP45" s="178">
        <f t="shared" si="385"/>
        <v>0</v>
      </c>
      <c r="PQ45" s="15"/>
      <c r="PY45" s="172"/>
      <c r="PZ45" s="179">
        <f t="shared" si="334"/>
        <v>0</v>
      </c>
      <c r="QB45" s="12"/>
      <c r="QI45" s="329">
        <v>0</v>
      </c>
      <c r="QJ45" s="329">
        <v>0</v>
      </c>
      <c r="QK45" s="15"/>
      <c r="QL45" s="19"/>
      <c r="QS45" s="329">
        <v>0</v>
      </c>
      <c r="QT45" s="329">
        <v>0</v>
      </c>
      <c r="QU45" s="15"/>
      <c r="QV45" s="12"/>
      <c r="QY45" s="172"/>
      <c r="RE45" s="15"/>
      <c r="RF45" s="12"/>
      <c r="RO45" s="15"/>
      <c r="RP45" s="12"/>
      <c r="RW45" s="178">
        <v>0</v>
      </c>
      <c r="RY45" s="15"/>
      <c r="RZ45" s="177"/>
      <c r="SA45" s="171"/>
      <c r="SB45" s="14"/>
      <c r="SC45" s="171"/>
      <c r="SI45" s="15"/>
      <c r="SJ45" s="177"/>
      <c r="SK45" s="171"/>
      <c r="SL45" s="171"/>
      <c r="SM45" s="171"/>
      <c r="SN45" s="171"/>
      <c r="SO45" s="171"/>
      <c r="SP45" s="171"/>
      <c r="SS45" s="15"/>
      <c r="ST45" s="12"/>
      <c r="TC45" s="15"/>
      <c r="TD45" s="12"/>
      <c r="TK45" s="329">
        <v>0</v>
      </c>
      <c r="TL45" s="331">
        <f t="shared" si="342"/>
        <v>0</v>
      </c>
      <c r="TM45" s="15"/>
      <c r="TN45" s="12"/>
      <c r="TS45" s="9">
        <f t="shared" si="286"/>
        <v>0</v>
      </c>
      <c r="TT45" s="9">
        <f t="shared" si="286"/>
        <v>0</v>
      </c>
      <c r="TU45" s="17"/>
      <c r="TV45" s="12"/>
      <c r="UA45" s="16">
        <f t="shared" si="304"/>
        <v>0</v>
      </c>
      <c r="UB45" s="16">
        <f t="shared" si="304"/>
        <v>0</v>
      </c>
      <c r="UC45" s="17"/>
      <c r="UD45" s="256"/>
      <c r="UE45" s="172"/>
      <c r="UI45" s="172">
        <f t="shared" si="386"/>
        <v>0</v>
      </c>
      <c r="UJ45" s="172">
        <f t="shared" si="386"/>
        <v>0</v>
      </c>
      <c r="UK45" s="17"/>
      <c r="UL45" s="12"/>
      <c r="UQ45" s="172">
        <f t="shared" si="287"/>
        <v>0</v>
      </c>
      <c r="UR45" s="172">
        <f t="shared" si="287"/>
        <v>0</v>
      </c>
      <c r="US45" s="15"/>
      <c r="UT45" s="12"/>
      <c r="UY45" s="9">
        <f t="shared" si="296"/>
        <v>0</v>
      </c>
      <c r="UZ45" s="9">
        <f t="shared" si="296"/>
        <v>0</v>
      </c>
      <c r="VA45" s="15"/>
      <c r="VC45" s="12"/>
      <c r="VI45" s="1"/>
      <c r="VJ45" s="332">
        <v>0</v>
      </c>
      <c r="VK45" s="179">
        <f t="shared" si="379"/>
        <v>0</v>
      </c>
      <c r="VL45" s="15"/>
      <c r="VM45" s="19"/>
      <c r="VT45" s="172">
        <v>0</v>
      </c>
      <c r="VU45" s="179">
        <f t="shared" si="344"/>
        <v>0</v>
      </c>
      <c r="VV45" s="15"/>
      <c r="WD45" s="172"/>
      <c r="WE45" s="179">
        <f t="shared" si="375"/>
        <v>0</v>
      </c>
      <c r="WG45" s="12"/>
      <c r="WN45" s="329">
        <v>0</v>
      </c>
      <c r="WO45" s="329">
        <v>0</v>
      </c>
      <c r="WP45" s="15"/>
      <c r="WQ45" s="19"/>
      <c r="WX45" s="172">
        <v>0</v>
      </c>
      <c r="WY45" s="329">
        <v>0</v>
      </c>
      <c r="WZ45" s="15"/>
      <c r="XA45" s="12"/>
      <c r="XD45" s="172"/>
      <c r="XH45" s="172">
        <v>0</v>
      </c>
      <c r="XI45" s="179">
        <f t="shared" si="376"/>
        <v>0</v>
      </c>
      <c r="XJ45" s="15"/>
      <c r="XK45" s="12"/>
      <c r="XR45" s="329">
        <v>0</v>
      </c>
      <c r="XS45" s="178">
        <v>0</v>
      </c>
      <c r="XT45" s="15"/>
      <c r="XU45" s="12"/>
      <c r="YB45" s="178">
        <v>0</v>
      </c>
      <c r="YC45" s="178">
        <v>0</v>
      </c>
      <c r="YD45" s="15"/>
      <c r="YE45" s="177"/>
      <c r="YF45" s="171"/>
      <c r="YG45" s="14"/>
      <c r="YH45" s="171"/>
      <c r="YL45" s="178">
        <v>0</v>
      </c>
      <c r="YM45" s="178">
        <f t="shared" si="377"/>
        <v>0</v>
      </c>
      <c r="YN45" s="15"/>
      <c r="YO45" s="177"/>
      <c r="YP45" s="171"/>
      <c r="YQ45" s="171"/>
      <c r="YR45" s="171"/>
      <c r="YS45" s="171"/>
      <c r="YT45" s="171"/>
      <c r="YU45" s="171"/>
      <c r="YV45" s="178">
        <v>0</v>
      </c>
      <c r="YW45" s="178">
        <f t="shared" si="368"/>
        <v>0</v>
      </c>
      <c r="YX45" s="15"/>
      <c r="YY45" s="12"/>
      <c r="ZF45" s="178">
        <v>0</v>
      </c>
      <c r="ZG45" s="178">
        <f t="shared" si="352"/>
        <v>0</v>
      </c>
      <c r="ZH45" s="15"/>
      <c r="ZI45" s="12"/>
      <c r="ZP45" s="329">
        <v>0</v>
      </c>
      <c r="ZQ45" s="331">
        <f t="shared" si="353"/>
        <v>0</v>
      </c>
      <c r="ZR45" s="15"/>
      <c r="ZS45" s="12"/>
      <c r="ZX45" s="9">
        <f t="shared" si="285"/>
        <v>0</v>
      </c>
      <c r="ZY45" s="9">
        <f t="shared" si="285"/>
        <v>0</v>
      </c>
      <c r="ZZ45" s="17"/>
      <c r="AAA45" s="12"/>
      <c r="AAF45" s="16">
        <f t="shared" si="378"/>
        <v>0</v>
      </c>
      <c r="AAG45" s="16">
        <f t="shared" si="378"/>
        <v>0</v>
      </c>
      <c r="AAH45" s="17"/>
      <c r="AAI45" s="256"/>
      <c r="AAJ45" s="172"/>
      <c r="AAN45" s="172">
        <f t="shared" si="387"/>
        <v>0</v>
      </c>
      <c r="AAO45" s="172">
        <f t="shared" si="387"/>
        <v>0</v>
      </c>
      <c r="AAP45" s="17"/>
      <c r="AAQ45" s="12"/>
      <c r="AAV45" s="172">
        <f t="shared" si="288"/>
        <v>0</v>
      </c>
      <c r="AAW45" s="172">
        <f t="shared" si="288"/>
        <v>0</v>
      </c>
      <c r="AAX45" s="15"/>
      <c r="AAY45" s="12"/>
      <c r="ABD45" s="9">
        <f t="shared" si="289"/>
        <v>0</v>
      </c>
      <c r="ABE45" s="9">
        <f t="shared" si="289"/>
        <v>0</v>
      </c>
      <c r="ABF45" s="15"/>
    </row>
    <row r="46" spans="1:734" hidden="1" x14ac:dyDescent="0.3">
      <c r="A46" s="12"/>
      <c r="B46" s="1" t="s">
        <v>163</v>
      </c>
      <c r="D46" s="12"/>
      <c r="J46" s="244"/>
      <c r="K46" s="15"/>
      <c r="R46" s="244"/>
      <c r="S46" s="15"/>
      <c r="AA46" s="15"/>
      <c r="AI46" s="15"/>
      <c r="AO46" s="329"/>
      <c r="AQ46" s="15"/>
      <c r="AW46" s="329"/>
      <c r="AY46" s="15"/>
      <c r="BG46" s="15"/>
      <c r="BP46" s="12"/>
      <c r="BW46" s="15"/>
      <c r="CD46" s="172"/>
      <c r="CF46" s="12"/>
      <c r="CL46" s="172"/>
      <c r="CM46" s="301"/>
      <c r="CT46" s="172"/>
      <c r="CV46" s="12"/>
      <c r="DA46" s="257"/>
      <c r="DB46" s="257"/>
      <c r="DC46" s="15"/>
      <c r="DD46" s="12"/>
      <c r="DK46" s="302"/>
      <c r="DL46" s="12"/>
      <c r="DS46" s="302"/>
      <c r="EB46" s="142"/>
      <c r="EG46" s="172">
        <v>6102</v>
      </c>
      <c r="EH46" s="172">
        <f>EG46*70</f>
        <v>427140</v>
      </c>
      <c r="EI46" s="143"/>
      <c r="EJ46" s="142"/>
      <c r="EP46" s="172">
        <f t="shared" si="325"/>
        <v>0</v>
      </c>
      <c r="EQ46" s="143"/>
      <c r="ER46" s="142"/>
      <c r="EY46" s="143"/>
      <c r="EZ46" s="142"/>
      <c r="FG46" s="143"/>
      <c r="FO46" s="15"/>
      <c r="FW46" s="1">
        <v>1824</v>
      </c>
      <c r="FX46" s="172">
        <f>FW46*70</f>
        <v>127680</v>
      </c>
      <c r="FZ46" s="319"/>
      <c r="GC46" s="32"/>
      <c r="GD46" s="32"/>
      <c r="GE46" s="32"/>
      <c r="GF46" s="32"/>
      <c r="GG46" s="32"/>
      <c r="GH46" s="172">
        <f>GG46*70</f>
        <v>0</v>
      </c>
      <c r="GI46" s="273"/>
      <c r="GJ46" s="321"/>
      <c r="GK46" s="321"/>
      <c r="GL46" s="321"/>
      <c r="GM46" s="321"/>
      <c r="GN46" s="321"/>
      <c r="GO46" s="321"/>
      <c r="GP46" s="321"/>
      <c r="GQ46" s="32"/>
      <c r="GR46" s="32"/>
      <c r="GS46" s="321"/>
      <c r="GT46" s="12"/>
      <c r="HA46" s="172">
        <v>0</v>
      </c>
      <c r="HB46" s="178">
        <f t="shared" si="327"/>
        <v>0</v>
      </c>
      <c r="HC46" s="15"/>
      <c r="HD46" s="12"/>
      <c r="HI46" s="171">
        <f t="shared" si="380"/>
        <v>7926</v>
      </c>
      <c r="HJ46" s="171">
        <f t="shared" si="380"/>
        <v>554820</v>
      </c>
      <c r="HK46" s="15"/>
      <c r="HL46" s="12"/>
      <c r="HS46" s="15"/>
      <c r="HT46" s="12"/>
      <c r="HY46" s="171">
        <f t="shared" si="381"/>
        <v>6102</v>
      </c>
      <c r="HZ46" s="171">
        <f t="shared" si="381"/>
        <v>427140</v>
      </c>
      <c r="IA46" s="15"/>
      <c r="IB46" s="12"/>
      <c r="IG46" s="171">
        <f t="shared" si="382"/>
        <v>1824</v>
      </c>
      <c r="IH46" s="171">
        <f t="shared" si="382"/>
        <v>127680</v>
      </c>
      <c r="II46" s="15"/>
      <c r="IJ46" s="12"/>
      <c r="IO46" s="171">
        <f t="shared" si="383"/>
        <v>0</v>
      </c>
      <c r="IP46" s="171">
        <f t="shared" si="383"/>
        <v>0</v>
      </c>
      <c r="IQ46" s="15"/>
      <c r="IS46" s="12"/>
      <c r="IZ46" s="332">
        <v>0</v>
      </c>
      <c r="JA46" s="178">
        <f t="shared" si="384"/>
        <v>0</v>
      </c>
      <c r="JB46" s="15"/>
      <c r="JC46" s="19"/>
      <c r="JK46" s="178">
        <f t="shared" si="360"/>
        <v>0</v>
      </c>
      <c r="JL46" s="15"/>
      <c r="JW46" s="12"/>
      <c r="KD46" s="329">
        <v>0</v>
      </c>
      <c r="KE46" s="329">
        <v>0</v>
      </c>
      <c r="KF46" s="15"/>
      <c r="KG46" s="19"/>
      <c r="KN46" s="329">
        <v>0</v>
      </c>
      <c r="KO46" s="178">
        <f t="shared" si="330"/>
        <v>0</v>
      </c>
      <c r="KP46" s="15"/>
      <c r="KQ46" s="12"/>
      <c r="KY46" s="178">
        <f t="shared" si="362"/>
        <v>0</v>
      </c>
      <c r="KZ46" s="15"/>
      <c r="LA46" s="12"/>
      <c r="LJ46" s="15"/>
      <c r="LK46" s="12"/>
      <c r="LS46" s="178">
        <f t="shared" si="364"/>
        <v>0</v>
      </c>
      <c r="LT46" s="15"/>
      <c r="LU46" s="177"/>
      <c r="MC46" s="178">
        <f t="shared" si="365"/>
        <v>0</v>
      </c>
      <c r="MD46" s="15"/>
      <c r="ME46" s="177"/>
      <c r="MM46" s="178">
        <f t="shared" si="366"/>
        <v>0</v>
      </c>
      <c r="MN46" s="15"/>
      <c r="MO46" s="12"/>
      <c r="MW46" s="178">
        <f t="shared" si="367"/>
        <v>0</v>
      </c>
      <c r="MY46" s="12"/>
      <c r="NH46" s="15"/>
      <c r="NN46" s="16">
        <f t="shared" si="302"/>
        <v>0</v>
      </c>
      <c r="NO46" s="16">
        <f t="shared" si="302"/>
        <v>0</v>
      </c>
      <c r="NP46" s="17"/>
      <c r="NQ46" s="12"/>
      <c r="NX46" s="17"/>
      <c r="NY46" s="256"/>
      <c r="OD46" s="172">
        <f t="shared" si="293"/>
        <v>0</v>
      </c>
      <c r="OE46" s="172">
        <f t="shared" si="293"/>
        <v>0</v>
      </c>
      <c r="OF46" s="17"/>
      <c r="OG46" s="12"/>
      <c r="OL46" s="172">
        <f t="shared" si="294"/>
        <v>0</v>
      </c>
      <c r="OM46" s="172">
        <f t="shared" si="294"/>
        <v>0</v>
      </c>
      <c r="OO46" s="12"/>
      <c r="OV46" s="15"/>
      <c r="OX46" s="12"/>
      <c r="PE46" s="332">
        <v>0</v>
      </c>
      <c r="PF46" s="179">
        <f t="shared" si="332"/>
        <v>0</v>
      </c>
      <c r="PG46" s="15"/>
      <c r="PH46" s="19"/>
      <c r="PO46" s="172">
        <v>0</v>
      </c>
      <c r="PP46" s="178">
        <f t="shared" si="385"/>
        <v>0</v>
      </c>
      <c r="PQ46" s="15"/>
      <c r="PY46" s="172"/>
      <c r="PZ46" s="179">
        <f t="shared" si="334"/>
        <v>0</v>
      </c>
      <c r="QB46" s="12"/>
      <c r="QI46" s="329">
        <v>0</v>
      </c>
      <c r="QJ46" s="329">
        <v>0</v>
      </c>
      <c r="QK46" s="15"/>
      <c r="QL46" s="19"/>
      <c r="QS46" s="329">
        <v>0</v>
      </c>
      <c r="QT46" s="329">
        <v>0</v>
      </c>
      <c r="QU46" s="15"/>
      <c r="QV46" s="12"/>
      <c r="QY46" s="172"/>
      <c r="RE46" s="15"/>
      <c r="RF46" s="12"/>
      <c r="RO46" s="15"/>
      <c r="RP46" s="12"/>
      <c r="RW46" s="178">
        <v>0</v>
      </c>
      <c r="RY46" s="15"/>
      <c r="RZ46" s="177"/>
      <c r="SA46" s="171"/>
      <c r="SB46" s="14"/>
      <c r="SC46" s="171"/>
      <c r="SI46" s="15"/>
      <c r="SJ46" s="177"/>
      <c r="SK46" s="171"/>
      <c r="SL46" s="171"/>
      <c r="SM46" s="171"/>
      <c r="SN46" s="171"/>
      <c r="SO46" s="171"/>
      <c r="SP46" s="171"/>
      <c r="SS46" s="15"/>
      <c r="ST46" s="12"/>
      <c r="TC46" s="15"/>
      <c r="TD46" s="12"/>
      <c r="TK46" s="329">
        <v>0</v>
      </c>
      <c r="TL46" s="331">
        <f t="shared" si="342"/>
        <v>0</v>
      </c>
      <c r="TM46" s="15"/>
      <c r="TN46" s="12"/>
      <c r="TS46" s="9">
        <f t="shared" si="286"/>
        <v>0</v>
      </c>
      <c r="TT46" s="9">
        <f t="shared" si="286"/>
        <v>0</v>
      </c>
      <c r="TU46" s="17"/>
      <c r="TV46" s="12"/>
      <c r="UA46" s="16">
        <f t="shared" si="304"/>
        <v>0</v>
      </c>
      <c r="UB46" s="16">
        <f t="shared" si="304"/>
        <v>0</v>
      </c>
      <c r="UC46" s="17"/>
      <c r="UD46" s="256"/>
      <c r="UE46" s="172"/>
      <c r="UI46" s="172">
        <f t="shared" si="386"/>
        <v>0</v>
      </c>
      <c r="UJ46" s="172">
        <f t="shared" si="386"/>
        <v>0</v>
      </c>
      <c r="UK46" s="17"/>
      <c r="UL46" s="12"/>
      <c r="UQ46" s="172">
        <f t="shared" si="287"/>
        <v>0</v>
      </c>
      <c r="UR46" s="172">
        <f t="shared" si="287"/>
        <v>0</v>
      </c>
      <c r="US46" s="15"/>
      <c r="UT46" s="12"/>
      <c r="UY46" s="9">
        <f t="shared" si="296"/>
        <v>0</v>
      </c>
      <c r="UZ46" s="9">
        <f t="shared" si="296"/>
        <v>0</v>
      </c>
      <c r="VA46" s="15"/>
      <c r="VC46" s="12"/>
      <c r="VI46" s="1"/>
      <c r="VJ46" s="332">
        <v>0</v>
      </c>
      <c r="VK46" s="179">
        <f t="shared" si="379"/>
        <v>0</v>
      </c>
      <c r="VL46" s="15"/>
      <c r="VM46" s="19"/>
      <c r="VT46" s="172">
        <v>0</v>
      </c>
      <c r="VU46" s="179">
        <f t="shared" si="344"/>
        <v>0</v>
      </c>
      <c r="VV46" s="15"/>
      <c r="WD46" s="172"/>
      <c r="WE46" s="179">
        <f t="shared" si="375"/>
        <v>0</v>
      </c>
      <c r="WG46" s="12"/>
      <c r="WN46" s="329">
        <v>0</v>
      </c>
      <c r="WO46" s="329">
        <v>0</v>
      </c>
      <c r="WP46" s="15"/>
      <c r="WQ46" s="19"/>
      <c r="WX46" s="172">
        <v>0</v>
      </c>
      <c r="WY46" s="329">
        <v>0</v>
      </c>
      <c r="WZ46" s="15"/>
      <c r="XA46" s="12"/>
      <c r="XD46" s="172"/>
      <c r="XH46" s="172">
        <v>0</v>
      </c>
      <c r="XI46" s="179">
        <f t="shared" si="376"/>
        <v>0</v>
      </c>
      <c r="XJ46" s="15"/>
      <c r="XK46" s="12"/>
      <c r="XR46" s="329">
        <v>0</v>
      </c>
      <c r="XS46" s="178">
        <v>0</v>
      </c>
      <c r="XT46" s="15"/>
      <c r="XU46" s="12"/>
      <c r="YB46" s="178">
        <v>0</v>
      </c>
      <c r="YC46" s="178">
        <v>0</v>
      </c>
      <c r="YD46" s="15"/>
      <c r="YE46" s="177"/>
      <c r="YF46" s="171"/>
      <c r="YG46" s="14"/>
      <c r="YH46" s="171"/>
      <c r="YL46" s="178">
        <v>0</v>
      </c>
      <c r="YM46" s="178">
        <f t="shared" si="377"/>
        <v>0</v>
      </c>
      <c r="YN46" s="15"/>
      <c r="YO46" s="177"/>
      <c r="YP46" s="171"/>
      <c r="YQ46" s="171"/>
      <c r="YR46" s="171"/>
      <c r="YS46" s="171"/>
      <c r="YT46" s="171"/>
      <c r="YU46" s="171"/>
      <c r="YV46" s="178">
        <v>0</v>
      </c>
      <c r="YW46" s="178">
        <f t="shared" si="368"/>
        <v>0</v>
      </c>
      <c r="YX46" s="15"/>
      <c r="YY46" s="12"/>
      <c r="ZF46" s="178">
        <v>0</v>
      </c>
      <c r="ZG46" s="178">
        <f t="shared" si="352"/>
        <v>0</v>
      </c>
      <c r="ZH46" s="15"/>
      <c r="ZI46" s="12"/>
      <c r="ZP46" s="329">
        <v>0</v>
      </c>
      <c r="ZQ46" s="331">
        <f t="shared" si="353"/>
        <v>0</v>
      </c>
      <c r="ZR46" s="15"/>
      <c r="ZS46" s="12"/>
      <c r="ZX46" s="9">
        <f t="shared" si="285"/>
        <v>0</v>
      </c>
      <c r="ZY46" s="9">
        <f t="shared" si="285"/>
        <v>0</v>
      </c>
      <c r="ZZ46" s="17"/>
      <c r="AAA46" s="12"/>
      <c r="AAF46" s="16">
        <f t="shared" si="378"/>
        <v>0</v>
      </c>
      <c r="AAG46" s="16">
        <f t="shared" si="378"/>
        <v>0</v>
      </c>
      <c r="AAH46" s="17"/>
      <c r="AAI46" s="256"/>
      <c r="AAJ46" s="172"/>
      <c r="AAN46" s="172">
        <f t="shared" si="387"/>
        <v>0</v>
      </c>
      <c r="AAO46" s="172">
        <f t="shared" si="387"/>
        <v>0</v>
      </c>
      <c r="AAP46" s="17"/>
      <c r="AAQ46" s="12"/>
      <c r="AAV46" s="172">
        <f t="shared" si="288"/>
        <v>0</v>
      </c>
      <c r="AAW46" s="172">
        <f t="shared" si="288"/>
        <v>0</v>
      </c>
      <c r="AAX46" s="15"/>
      <c r="AAY46" s="12"/>
      <c r="ABD46" s="9">
        <f t="shared" si="289"/>
        <v>0</v>
      </c>
      <c r="ABE46" s="9">
        <f t="shared" si="289"/>
        <v>0</v>
      </c>
      <c r="ABF46" s="15"/>
    </row>
    <row r="47" spans="1:734" hidden="1" x14ac:dyDescent="0.3">
      <c r="A47" s="12"/>
      <c r="D47" s="12"/>
      <c r="J47" s="244"/>
      <c r="K47" s="15"/>
      <c r="R47" s="244"/>
      <c r="S47" s="15"/>
      <c r="AA47" s="15"/>
      <c r="AI47" s="15"/>
      <c r="AO47" s="329"/>
      <c r="AQ47" s="15"/>
      <c r="AW47" s="329"/>
      <c r="AY47" s="15"/>
      <c r="BG47" s="15"/>
      <c r="BP47" s="12"/>
      <c r="BW47" s="15"/>
      <c r="CD47" s="172"/>
      <c r="CF47" s="12"/>
      <c r="CL47" s="172"/>
      <c r="CM47" s="301"/>
      <c r="CT47" s="172"/>
      <c r="CV47" s="12"/>
      <c r="DA47" s="257"/>
      <c r="DB47" s="257"/>
      <c r="DC47" s="15"/>
      <c r="DD47" s="12"/>
      <c r="DK47" s="302"/>
      <c r="DL47" s="12"/>
      <c r="DS47" s="302"/>
      <c r="EB47" s="142"/>
      <c r="EI47" s="143"/>
      <c r="EJ47" s="142"/>
      <c r="EQ47" s="143"/>
      <c r="ER47" s="142"/>
      <c r="EY47" s="143"/>
      <c r="EZ47" s="142"/>
      <c r="FG47" s="143"/>
      <c r="FO47" s="15"/>
      <c r="FZ47" s="319"/>
      <c r="GC47" s="32"/>
      <c r="GD47" s="32"/>
      <c r="GE47" s="32"/>
      <c r="GF47" s="32"/>
      <c r="GG47" s="32"/>
      <c r="GH47" s="32"/>
      <c r="GI47" s="273"/>
      <c r="GJ47" s="321"/>
      <c r="GK47" s="321"/>
      <c r="GL47" s="321"/>
      <c r="GM47" s="321"/>
      <c r="GN47" s="321"/>
      <c r="GO47" s="321"/>
      <c r="GP47" s="321"/>
      <c r="GQ47" s="32"/>
      <c r="GR47" s="32"/>
      <c r="GS47" s="321"/>
      <c r="GT47" s="12"/>
      <c r="HA47" s="172">
        <v>0</v>
      </c>
      <c r="HB47" s="178">
        <f t="shared" si="327"/>
        <v>0</v>
      </c>
      <c r="HC47" s="15"/>
      <c r="HD47" s="12"/>
      <c r="HI47" s="171">
        <f t="shared" si="380"/>
        <v>0</v>
      </c>
      <c r="HJ47" s="171">
        <f t="shared" si="380"/>
        <v>0</v>
      </c>
      <c r="HK47" s="15"/>
      <c r="HL47" s="12"/>
      <c r="HS47" s="15"/>
      <c r="HT47" s="12"/>
      <c r="HY47" s="171">
        <f>EG47+EO47+EW47</f>
        <v>0</v>
      </c>
      <c r="IA47" s="15"/>
      <c r="IB47" s="12"/>
      <c r="II47" s="15"/>
      <c r="IJ47" s="12"/>
      <c r="IO47" s="171">
        <f t="shared" si="383"/>
        <v>0</v>
      </c>
      <c r="IP47" s="171">
        <f t="shared" si="383"/>
        <v>0</v>
      </c>
      <c r="IQ47" s="15"/>
      <c r="IS47" s="12"/>
      <c r="IZ47" s="332">
        <v>0</v>
      </c>
      <c r="JA47" s="178">
        <f t="shared" si="384"/>
        <v>0</v>
      </c>
      <c r="JB47" s="15"/>
      <c r="JC47" s="19"/>
      <c r="JK47" s="178">
        <f t="shared" si="360"/>
        <v>0</v>
      </c>
      <c r="JL47" s="15"/>
      <c r="JW47" s="12"/>
      <c r="KF47" s="15"/>
      <c r="KG47" s="19"/>
      <c r="KO47" s="178">
        <f t="shared" si="330"/>
        <v>0</v>
      </c>
      <c r="KP47" s="15"/>
      <c r="KQ47" s="12"/>
      <c r="KY47" s="178">
        <f t="shared" si="362"/>
        <v>0</v>
      </c>
      <c r="KZ47" s="15"/>
      <c r="LA47" s="12"/>
      <c r="LJ47" s="15"/>
      <c r="LK47" s="12"/>
      <c r="LS47" s="178">
        <f t="shared" si="364"/>
        <v>0</v>
      </c>
      <c r="LT47" s="15"/>
      <c r="LU47" s="177"/>
      <c r="MC47" s="178">
        <f t="shared" si="365"/>
        <v>0</v>
      </c>
      <c r="MD47" s="15"/>
      <c r="ME47" s="177"/>
      <c r="MM47" s="178">
        <f t="shared" si="366"/>
        <v>0</v>
      </c>
      <c r="MN47" s="15"/>
      <c r="MO47" s="12"/>
      <c r="MW47" s="178">
        <f t="shared" si="367"/>
        <v>0</v>
      </c>
      <c r="MY47" s="12"/>
      <c r="NH47" s="15"/>
      <c r="NP47" s="17"/>
      <c r="NQ47" s="12"/>
      <c r="NX47" s="17"/>
      <c r="NY47" s="256"/>
      <c r="OD47" s="172">
        <f t="shared" si="293"/>
        <v>0</v>
      </c>
      <c r="OE47" s="172">
        <f t="shared" si="293"/>
        <v>0</v>
      </c>
      <c r="OF47" s="17"/>
      <c r="OG47" s="12"/>
      <c r="OL47" s="172">
        <f t="shared" si="294"/>
        <v>0</v>
      </c>
      <c r="OM47" s="172">
        <f t="shared" si="294"/>
        <v>0</v>
      </c>
      <c r="OO47" s="12"/>
      <c r="OV47" s="15"/>
      <c r="OX47" s="12"/>
      <c r="PE47" s="332">
        <v>0</v>
      </c>
      <c r="PF47" s="179">
        <f t="shared" si="332"/>
        <v>0</v>
      </c>
      <c r="PG47" s="15"/>
      <c r="PH47" s="19"/>
      <c r="PO47" s="172">
        <v>0</v>
      </c>
      <c r="PP47" s="178">
        <f t="shared" si="385"/>
        <v>0</v>
      </c>
      <c r="PQ47" s="15"/>
      <c r="QB47" s="12"/>
      <c r="QK47" s="15"/>
      <c r="QL47" s="19"/>
      <c r="QU47" s="15"/>
      <c r="QV47" s="12"/>
      <c r="QY47" s="172"/>
      <c r="RE47" s="15"/>
      <c r="RF47" s="12"/>
      <c r="RO47" s="15"/>
      <c r="RP47" s="12"/>
      <c r="RW47" s="178">
        <v>0</v>
      </c>
      <c r="RY47" s="15"/>
      <c r="RZ47" s="177"/>
      <c r="SA47" s="171"/>
      <c r="SB47" s="14"/>
      <c r="SC47" s="171"/>
      <c r="SI47" s="15"/>
      <c r="SJ47" s="177"/>
      <c r="SK47" s="171"/>
      <c r="SL47" s="171"/>
      <c r="SM47" s="171"/>
      <c r="SN47" s="171"/>
      <c r="SO47" s="171"/>
      <c r="SP47" s="171"/>
      <c r="SS47" s="15"/>
      <c r="ST47" s="12"/>
      <c r="TC47" s="15"/>
      <c r="TD47" s="12"/>
      <c r="TM47" s="15"/>
      <c r="TN47" s="12"/>
      <c r="TS47" s="9">
        <f t="shared" si="286"/>
        <v>0</v>
      </c>
      <c r="TT47" s="9">
        <f t="shared" si="286"/>
        <v>0</v>
      </c>
      <c r="TU47" s="17"/>
      <c r="TV47" s="12"/>
      <c r="UA47" s="16">
        <f t="shared" si="304"/>
        <v>0</v>
      </c>
      <c r="UB47" s="16">
        <f t="shared" si="304"/>
        <v>0</v>
      </c>
      <c r="UC47" s="17"/>
      <c r="UD47" s="256"/>
      <c r="UE47" s="172"/>
      <c r="UI47" s="172">
        <f t="shared" si="386"/>
        <v>0</v>
      </c>
      <c r="UJ47" s="172">
        <f t="shared" si="386"/>
        <v>0</v>
      </c>
      <c r="UK47" s="17"/>
      <c r="UL47" s="12"/>
      <c r="UQ47" s="172">
        <f t="shared" si="287"/>
        <v>0</v>
      </c>
      <c r="UR47" s="172">
        <f t="shared" si="287"/>
        <v>0</v>
      </c>
      <c r="US47" s="15"/>
      <c r="UT47" s="12"/>
      <c r="VA47" s="15"/>
      <c r="VC47" s="12"/>
      <c r="VI47" s="1"/>
      <c r="VJ47" s="332">
        <v>0</v>
      </c>
      <c r="VK47" s="179">
        <f t="shared" si="379"/>
        <v>0</v>
      </c>
      <c r="VL47" s="15"/>
      <c r="VM47" s="19"/>
      <c r="VT47" s="172">
        <v>0</v>
      </c>
      <c r="VU47" s="179">
        <f t="shared" si="344"/>
        <v>0</v>
      </c>
      <c r="VV47" s="15"/>
      <c r="WG47" s="12"/>
      <c r="WP47" s="15"/>
      <c r="WQ47" s="19"/>
      <c r="WZ47" s="15"/>
      <c r="XA47" s="12"/>
      <c r="XD47" s="172"/>
      <c r="XH47" s="172">
        <v>0</v>
      </c>
      <c r="XI47" s="179">
        <f t="shared" si="376"/>
        <v>0</v>
      </c>
      <c r="XJ47" s="15"/>
      <c r="XK47" s="12"/>
      <c r="XR47" s="329">
        <v>0</v>
      </c>
      <c r="XS47" s="178">
        <v>0</v>
      </c>
      <c r="XT47" s="15"/>
      <c r="XU47" s="12"/>
      <c r="YB47" s="178">
        <v>0</v>
      </c>
      <c r="YC47" s="178">
        <v>0</v>
      </c>
      <c r="YD47" s="15"/>
      <c r="YE47" s="177"/>
      <c r="YF47" s="171"/>
      <c r="YG47" s="14"/>
      <c r="YH47" s="171"/>
      <c r="YL47" s="178">
        <v>0</v>
      </c>
      <c r="YM47" s="178">
        <f t="shared" si="377"/>
        <v>0</v>
      </c>
      <c r="YN47" s="15"/>
      <c r="YO47" s="177"/>
      <c r="YP47" s="171"/>
      <c r="YQ47" s="171"/>
      <c r="YR47" s="171"/>
      <c r="YS47" s="171"/>
      <c r="YT47" s="171"/>
      <c r="YU47" s="171"/>
      <c r="YV47" s="178">
        <v>0</v>
      </c>
      <c r="YW47" s="178">
        <f t="shared" si="368"/>
        <v>0</v>
      </c>
      <c r="YX47" s="15"/>
      <c r="YY47" s="12"/>
      <c r="ZF47" s="178">
        <v>0</v>
      </c>
      <c r="ZG47" s="178">
        <f t="shared" si="352"/>
        <v>0</v>
      </c>
      <c r="ZH47" s="15"/>
      <c r="ZI47" s="12"/>
      <c r="ZR47" s="15"/>
      <c r="ZS47" s="12"/>
      <c r="ZX47" s="9">
        <f t="shared" si="285"/>
        <v>0</v>
      </c>
      <c r="ZY47" s="9">
        <f t="shared" si="285"/>
        <v>0</v>
      </c>
      <c r="ZZ47" s="17"/>
      <c r="AAA47" s="12"/>
      <c r="AAF47" s="16">
        <f t="shared" si="378"/>
        <v>0</v>
      </c>
      <c r="AAG47" s="16">
        <f t="shared" si="378"/>
        <v>0</v>
      </c>
      <c r="AAH47" s="17"/>
      <c r="AAI47" s="256"/>
      <c r="AAJ47" s="172"/>
      <c r="AAN47" s="172">
        <f t="shared" si="387"/>
        <v>0</v>
      </c>
      <c r="AAO47" s="172">
        <f t="shared" si="387"/>
        <v>0</v>
      </c>
      <c r="AAP47" s="17"/>
      <c r="AAQ47" s="12"/>
      <c r="AAV47" s="172">
        <f t="shared" si="288"/>
        <v>0</v>
      </c>
      <c r="AAW47" s="172">
        <f t="shared" si="288"/>
        <v>0</v>
      </c>
      <c r="AAX47" s="15"/>
      <c r="AAY47" s="12"/>
      <c r="ABF47" s="15"/>
    </row>
    <row r="48" spans="1:734" x14ac:dyDescent="0.3">
      <c r="A48" s="12"/>
      <c r="D48" s="12"/>
      <c r="K48" s="15"/>
      <c r="S48" s="15"/>
      <c r="AA48" s="15"/>
      <c r="AI48" s="15"/>
      <c r="AQ48" s="15"/>
      <c r="AY48" s="15"/>
      <c r="BG48" s="15"/>
      <c r="BP48" s="12"/>
      <c r="BW48" s="15"/>
      <c r="CF48" s="12"/>
      <c r="CM48" s="301"/>
      <c r="CV48" s="12"/>
      <c r="DC48" s="15"/>
      <c r="DD48" s="12"/>
      <c r="DK48" s="302"/>
      <c r="DL48" s="12"/>
      <c r="DS48" s="302"/>
      <c r="EB48" s="142"/>
      <c r="EI48" s="143"/>
      <c r="EJ48" s="142"/>
      <c r="EQ48" s="143"/>
      <c r="ER48" s="142"/>
      <c r="EY48" s="143"/>
      <c r="EZ48" s="142"/>
      <c r="FG48" s="143"/>
      <c r="FO48" s="15"/>
      <c r="FZ48" s="319"/>
      <c r="GC48" s="32"/>
      <c r="GD48" s="32"/>
      <c r="GE48" s="32"/>
      <c r="GF48" s="32"/>
      <c r="GG48" s="32"/>
      <c r="GH48" s="32"/>
      <c r="GI48" s="273"/>
      <c r="GJ48" s="321"/>
      <c r="GK48" s="321"/>
      <c r="GL48" s="321"/>
      <c r="GM48" s="321"/>
      <c r="GN48" s="321"/>
      <c r="GO48" s="321"/>
      <c r="GP48" s="321"/>
      <c r="GQ48" s="32"/>
      <c r="GR48" s="32"/>
      <c r="GS48" s="321"/>
      <c r="GT48" s="12"/>
      <c r="HA48" s="172">
        <v>0</v>
      </c>
      <c r="HB48" s="178">
        <f t="shared" si="327"/>
        <v>0</v>
      </c>
      <c r="HC48" s="15"/>
      <c r="HD48" s="12"/>
      <c r="HI48" s="171">
        <f t="shared" si="380"/>
        <v>0</v>
      </c>
      <c r="HJ48" s="171">
        <f t="shared" si="380"/>
        <v>0</v>
      </c>
      <c r="HK48" s="15"/>
      <c r="HL48" s="12"/>
      <c r="HS48" s="15"/>
      <c r="HT48" s="12"/>
      <c r="HY48" s="171">
        <f>EG48+EO48+EW48</f>
        <v>0</v>
      </c>
      <c r="IA48" s="15"/>
      <c r="IB48" s="12"/>
      <c r="II48" s="15"/>
      <c r="IJ48" s="12"/>
      <c r="IO48" s="171">
        <f t="shared" si="383"/>
        <v>0</v>
      </c>
      <c r="IP48" s="171">
        <f t="shared" si="383"/>
        <v>0</v>
      </c>
      <c r="IQ48" s="15"/>
      <c r="IS48" s="12"/>
      <c r="IZ48" s="332">
        <v>0</v>
      </c>
      <c r="JA48" s="178">
        <f t="shared" si="384"/>
        <v>0</v>
      </c>
      <c r="JB48" s="15"/>
      <c r="JC48" s="19"/>
      <c r="JK48" s="178">
        <f t="shared" si="360"/>
        <v>0</v>
      </c>
      <c r="JL48" s="15"/>
      <c r="JW48" s="12"/>
      <c r="KF48" s="15"/>
      <c r="KG48" s="19"/>
      <c r="KO48" s="178">
        <f t="shared" si="330"/>
        <v>0</v>
      </c>
      <c r="KP48" s="15"/>
      <c r="KQ48" s="12"/>
      <c r="KY48" s="178">
        <f t="shared" si="362"/>
        <v>0</v>
      </c>
      <c r="KZ48" s="15"/>
      <c r="LA48" s="12"/>
      <c r="LJ48" s="15"/>
      <c r="LK48" s="12"/>
      <c r="LS48" s="178">
        <f t="shared" si="364"/>
        <v>0</v>
      </c>
      <c r="LT48" s="15"/>
      <c r="LU48" s="177"/>
      <c r="MC48" s="178">
        <f t="shared" si="365"/>
        <v>0</v>
      </c>
      <c r="MD48" s="15"/>
      <c r="ME48" s="177"/>
      <c r="MM48" s="178">
        <f t="shared" si="366"/>
        <v>0</v>
      </c>
      <c r="MN48" s="15"/>
      <c r="MO48" s="49"/>
      <c r="MP48" s="50"/>
      <c r="MQ48" s="50"/>
      <c r="MR48" s="50"/>
      <c r="MS48" s="50"/>
      <c r="MT48" s="50"/>
      <c r="MU48" s="50"/>
      <c r="MV48" s="50"/>
      <c r="MW48" s="178">
        <f t="shared" si="367"/>
        <v>0</v>
      </c>
      <c r="MY48" s="49"/>
      <c r="MZ48" s="50"/>
      <c r="NA48" s="50"/>
      <c r="NB48" s="50"/>
      <c r="NC48" s="50"/>
      <c r="ND48" s="50"/>
      <c r="NE48" s="50"/>
      <c r="NF48" s="50"/>
      <c r="NG48" s="50"/>
      <c r="NH48" s="15"/>
      <c r="NP48" s="17"/>
      <c r="NQ48" s="12"/>
      <c r="NX48" s="17"/>
      <c r="NY48" s="256"/>
      <c r="OD48" s="172">
        <f t="shared" si="293"/>
        <v>0</v>
      </c>
      <c r="OE48" s="172">
        <f t="shared" si="293"/>
        <v>0</v>
      </c>
      <c r="OF48" s="17"/>
      <c r="OG48" s="12"/>
      <c r="OL48" s="172">
        <f t="shared" si="294"/>
        <v>0</v>
      </c>
      <c r="OM48" s="172">
        <f t="shared" si="294"/>
        <v>0</v>
      </c>
      <c r="OO48" s="12"/>
      <c r="OV48" s="15"/>
      <c r="OX48" s="12"/>
      <c r="PE48" s="332">
        <v>0</v>
      </c>
      <c r="PF48" s="179">
        <f t="shared" si="332"/>
        <v>0</v>
      </c>
      <c r="PG48" s="15"/>
      <c r="PH48" s="19"/>
      <c r="PO48" s="172">
        <v>0</v>
      </c>
      <c r="PP48" s="178">
        <f t="shared" si="385"/>
        <v>0</v>
      </c>
      <c r="PQ48" s="15"/>
      <c r="QB48" s="12"/>
      <c r="QK48" s="15"/>
      <c r="QL48" s="19"/>
      <c r="QU48" s="15"/>
      <c r="QV48" s="12"/>
      <c r="QY48" s="172"/>
      <c r="RE48" s="15"/>
      <c r="RF48" s="12"/>
      <c r="RO48" s="15"/>
      <c r="RP48" s="12"/>
      <c r="RY48" s="15"/>
      <c r="RZ48" s="177"/>
      <c r="SA48" s="171"/>
      <c r="SB48" s="14"/>
      <c r="SC48" s="171"/>
      <c r="SI48" s="15"/>
      <c r="SJ48" s="177"/>
      <c r="SK48" s="171"/>
      <c r="SL48" s="171"/>
      <c r="SM48" s="171"/>
      <c r="SN48" s="171"/>
      <c r="SO48" s="171"/>
      <c r="SP48" s="171"/>
      <c r="SS48" s="15"/>
      <c r="ST48" s="49"/>
      <c r="SU48" s="50"/>
      <c r="SV48" s="50"/>
      <c r="SW48" s="50"/>
      <c r="SX48" s="50"/>
      <c r="SY48" s="50"/>
      <c r="SZ48" s="50"/>
      <c r="TA48" s="50"/>
      <c r="TB48" s="50"/>
      <c r="TC48" s="231"/>
      <c r="TD48" s="49"/>
      <c r="TE48" s="50"/>
      <c r="TF48" s="50"/>
      <c r="TG48" s="50"/>
      <c r="TH48" s="50"/>
      <c r="TI48" s="50"/>
      <c r="TJ48" s="50"/>
      <c r="TK48" s="50"/>
      <c r="TL48" s="50"/>
      <c r="TM48" s="231"/>
      <c r="TN48" s="12"/>
      <c r="TS48" s="3554">
        <f t="shared" si="286"/>
        <v>0</v>
      </c>
      <c r="TT48" s="3554">
        <f t="shared" si="286"/>
        <v>0</v>
      </c>
      <c r="TU48" s="47"/>
      <c r="TV48" s="12"/>
      <c r="UA48" s="16">
        <f t="shared" si="304"/>
        <v>0</v>
      </c>
      <c r="UB48" s="16">
        <f t="shared" si="304"/>
        <v>0</v>
      </c>
      <c r="UC48" s="17"/>
      <c r="UD48" s="256"/>
      <c r="UE48" s="172"/>
      <c r="UI48" s="172">
        <f t="shared" si="386"/>
        <v>0</v>
      </c>
      <c r="UJ48" s="172">
        <f t="shared" si="386"/>
        <v>0</v>
      </c>
      <c r="UK48" s="17"/>
      <c r="UL48" s="12"/>
      <c r="UQ48" s="172">
        <f>RM48+RW48+SG48</f>
        <v>0</v>
      </c>
      <c r="UR48" s="172">
        <f>RN48+RX48+SH48</f>
        <v>0</v>
      </c>
      <c r="US48" s="15"/>
      <c r="UT48" s="12"/>
      <c r="VA48" s="15"/>
      <c r="VC48" s="12"/>
      <c r="VI48" s="1"/>
      <c r="VJ48" s="332">
        <v>0</v>
      </c>
      <c r="VK48" s="179">
        <f t="shared" si="379"/>
        <v>0</v>
      </c>
      <c r="VL48" s="15"/>
      <c r="VM48" s="19"/>
      <c r="VT48" s="172">
        <v>0</v>
      </c>
      <c r="VU48" s="179">
        <f t="shared" si="344"/>
        <v>0</v>
      </c>
      <c r="VV48" s="15"/>
      <c r="WG48" s="12"/>
      <c r="WP48" s="15"/>
      <c r="WQ48" s="19"/>
      <c r="WZ48" s="15"/>
      <c r="XA48" s="12"/>
      <c r="XD48" s="172"/>
      <c r="XJ48" s="15"/>
      <c r="XK48" s="12"/>
      <c r="XT48" s="15"/>
      <c r="XU48" s="12"/>
      <c r="YD48" s="15"/>
      <c r="YE48" s="177"/>
      <c r="YF48" s="171"/>
      <c r="YG48" s="14"/>
      <c r="YH48" s="171"/>
      <c r="YN48" s="15"/>
      <c r="YO48" s="177"/>
      <c r="YP48" s="171"/>
      <c r="YQ48" s="171"/>
      <c r="YR48" s="171"/>
      <c r="YS48" s="171"/>
      <c r="YT48" s="171"/>
      <c r="YU48" s="171"/>
      <c r="YX48" s="15"/>
      <c r="YY48" s="49"/>
      <c r="YZ48" s="50"/>
      <c r="ZA48" s="50"/>
      <c r="ZB48" s="50"/>
      <c r="ZC48" s="50"/>
      <c r="ZD48" s="50"/>
      <c r="ZE48" s="50"/>
      <c r="ZF48" s="50"/>
      <c r="ZG48" s="50"/>
      <c r="ZH48" s="231"/>
      <c r="ZI48" s="49"/>
      <c r="ZJ48" s="50"/>
      <c r="ZK48" s="50"/>
      <c r="ZL48" s="50"/>
      <c r="ZM48" s="50"/>
      <c r="ZN48" s="50"/>
      <c r="ZO48" s="50"/>
      <c r="ZP48" s="50"/>
      <c r="ZQ48" s="50"/>
      <c r="ZR48" s="231"/>
      <c r="ZS48" s="12"/>
      <c r="ZX48" s="3554">
        <f t="shared" si="285"/>
        <v>0</v>
      </c>
      <c r="ZY48" s="3554">
        <f t="shared" si="285"/>
        <v>0</v>
      </c>
      <c r="ZZ48" s="47"/>
      <c r="AAA48" s="12"/>
      <c r="AAF48" s="16">
        <f t="shared" si="378"/>
        <v>0</v>
      </c>
      <c r="AAG48" s="16">
        <f t="shared" si="378"/>
        <v>0</v>
      </c>
      <c r="AAH48" s="17"/>
      <c r="AAI48" s="256"/>
      <c r="AAJ48" s="172"/>
      <c r="AAN48" s="172">
        <f t="shared" si="387"/>
        <v>0</v>
      </c>
      <c r="AAO48" s="172">
        <f t="shared" si="387"/>
        <v>0</v>
      </c>
      <c r="AAP48" s="17"/>
      <c r="AAQ48" s="12"/>
      <c r="AAV48" s="172">
        <f t="shared" si="288"/>
        <v>0</v>
      </c>
      <c r="AAW48" s="172">
        <f>XS48+YC48+YM48</f>
        <v>0</v>
      </c>
      <c r="AAX48" s="15"/>
      <c r="AAY48" s="12"/>
      <c r="ABF48" s="15"/>
    </row>
    <row r="49" spans="1:734" s="32" customFormat="1" x14ac:dyDescent="0.3">
      <c r="A49" s="36"/>
      <c r="B49" s="37" t="s">
        <v>32</v>
      </c>
      <c r="C49" s="37"/>
      <c r="D49" s="36"/>
      <c r="E49" s="887"/>
      <c r="F49" s="38"/>
      <c r="G49" s="887"/>
      <c r="H49" s="887"/>
      <c r="I49" s="887">
        <f>SUM(I21:I48)</f>
        <v>46936.664285714287</v>
      </c>
      <c r="J49" s="887">
        <f>SUM(J21:J48)</f>
        <v>3285566.5</v>
      </c>
      <c r="K49" s="39"/>
      <c r="L49" s="38"/>
      <c r="M49" s="38"/>
      <c r="N49" s="38"/>
      <c r="O49" s="38"/>
      <c r="P49" s="38"/>
      <c r="Q49" s="180">
        <f>SUM(Q21:Q48)</f>
        <v>42575.431428571428</v>
      </c>
      <c r="R49" s="180">
        <f>SUM(R21:R48)</f>
        <v>2980280.2</v>
      </c>
      <c r="S49" s="39"/>
      <c r="T49" s="38"/>
      <c r="U49" s="38"/>
      <c r="V49" s="38"/>
      <c r="W49" s="38"/>
      <c r="X49" s="38"/>
      <c r="Y49" s="180">
        <f>SUM(Y21:Y48)</f>
        <v>176580.33285714284</v>
      </c>
      <c r="Z49" s="180">
        <f>SUM(Z21:Z48)</f>
        <v>12360623.299999999</v>
      </c>
      <c r="AA49" s="39"/>
      <c r="AB49" s="38"/>
      <c r="AC49" s="38"/>
      <c r="AD49" s="38"/>
      <c r="AE49" s="38"/>
      <c r="AF49" s="38"/>
      <c r="AG49" s="180">
        <f>SUM(AG21:AG48)</f>
        <v>45394.361428571428</v>
      </c>
      <c r="AH49" s="180">
        <f>SUM(AH21:AH48)</f>
        <v>3177605.3</v>
      </c>
      <c r="AI49" s="40"/>
      <c r="AJ49" s="38"/>
      <c r="AK49" s="38"/>
      <c r="AL49" s="38"/>
      <c r="AM49" s="38"/>
      <c r="AN49" s="38"/>
      <c r="AO49" s="180">
        <f>SUM(AO21:AO48)</f>
        <v>43142.392857142855</v>
      </c>
      <c r="AP49" s="180">
        <f>SUM(AP21:AP48)</f>
        <v>3019967.5</v>
      </c>
      <c r="AQ49" s="39"/>
      <c r="AR49" s="38"/>
      <c r="AS49" s="38"/>
      <c r="AT49" s="38"/>
      <c r="AU49" s="38"/>
      <c r="AV49" s="38"/>
      <c r="AW49" s="180">
        <f>SUM(AW21:AW48)</f>
        <v>34553.731428571424</v>
      </c>
      <c r="AX49" s="180">
        <f>SUM(AX21:AX48)</f>
        <v>2418761.2000000002</v>
      </c>
      <c r="AY49" s="39"/>
      <c r="AZ49" s="38"/>
      <c r="BA49" s="38"/>
      <c r="BB49" s="38"/>
      <c r="BC49" s="38"/>
      <c r="BD49" s="38"/>
      <c r="BE49" s="180">
        <f>SUM(BE21:BE48)</f>
        <v>37037.311428571425</v>
      </c>
      <c r="BF49" s="180">
        <f>SUM(BF21:BF48)</f>
        <v>2592611.7999999998</v>
      </c>
      <c r="BG49" s="39"/>
      <c r="BH49" s="38"/>
      <c r="BI49" s="38"/>
      <c r="BJ49" s="38"/>
      <c r="BK49" s="38"/>
      <c r="BL49" s="38"/>
      <c r="BM49" s="180">
        <f>SUM(BM21:BM48)</f>
        <v>34961.568571428572</v>
      </c>
      <c r="BN49" s="180">
        <f>SUM(BN21:BN48)</f>
        <v>2447309.7999999998</v>
      </c>
      <c r="BO49" s="38"/>
      <c r="BP49" s="36"/>
      <c r="BQ49" s="38"/>
      <c r="BR49" s="38"/>
      <c r="BS49" s="38"/>
      <c r="BT49" s="38"/>
      <c r="BU49" s="180">
        <f>SUM(BU21:BU48)</f>
        <v>66502.927142857137</v>
      </c>
      <c r="BV49" s="180">
        <f>SUM(BV21:BV48)</f>
        <v>4655204.9000000004</v>
      </c>
      <c r="BW49" s="39"/>
      <c r="BX49" s="38"/>
      <c r="BY49" s="38"/>
      <c r="BZ49" s="38"/>
      <c r="CA49" s="38"/>
      <c r="CB49" s="38"/>
      <c r="CC49" s="180">
        <f>SUM(CC21:CC48)</f>
        <v>32012.054285714286</v>
      </c>
      <c r="CD49" s="180">
        <f>SUM(CD21:CD48)</f>
        <v>2240843.7999999998</v>
      </c>
      <c r="CE49" s="38"/>
      <c r="CF49" s="36"/>
      <c r="CG49" s="38"/>
      <c r="CH49" s="38"/>
      <c r="CI49" s="38"/>
      <c r="CJ49" s="38"/>
      <c r="CK49" s="180">
        <f>SUM(CK21:CK48)</f>
        <v>36349.037142857138</v>
      </c>
      <c r="CL49" s="180">
        <f>SUM(CL21:CL48)</f>
        <v>2544432.6</v>
      </c>
      <c r="CM49" s="888"/>
      <c r="CN49" s="38"/>
      <c r="CO49" s="38"/>
      <c r="CP49" s="38"/>
      <c r="CQ49" s="38"/>
      <c r="CR49" s="38"/>
      <c r="CS49" s="180">
        <f>SUM(CS21:CS48)</f>
        <v>40809.635714285716</v>
      </c>
      <c r="CT49" s="180">
        <f>SUM(CT21:CT48)</f>
        <v>2856674.5</v>
      </c>
      <c r="CU49" s="38"/>
      <c r="CV49" s="36"/>
      <c r="CW49" s="38"/>
      <c r="CX49" s="38"/>
      <c r="CY49" s="38"/>
      <c r="CZ49" s="38"/>
      <c r="DA49" s="180">
        <f>SUM(DA21:DA48)</f>
        <v>636855.44857142866</v>
      </c>
      <c r="DB49" s="180">
        <f>SUM(DB21:DB48)</f>
        <v>44579881.400000006</v>
      </c>
      <c r="DC49" s="39">
        <f>DB49/CX19</f>
        <v>0.11083115758032316</v>
      </c>
      <c r="DD49" s="36"/>
      <c r="DE49" s="38"/>
      <c r="DF49" s="38"/>
      <c r="DG49" s="38"/>
      <c r="DH49" s="38"/>
      <c r="DI49" s="887">
        <f>SUM(DI21:DI48)</f>
        <v>40236.154285714285</v>
      </c>
      <c r="DJ49" s="887">
        <f>SUM(DJ21:DJ48)</f>
        <v>2816530.8</v>
      </c>
      <c r="DK49" s="889"/>
      <c r="DL49" s="36"/>
      <c r="DM49" s="38"/>
      <c r="DN49" s="38"/>
      <c r="DO49" s="38"/>
      <c r="DP49" s="38"/>
      <c r="DQ49" s="887">
        <f>SUM(DQ21:DQ48)</f>
        <v>38907.921428571426</v>
      </c>
      <c r="DR49" s="887">
        <f>SUM(DR21:DR48)</f>
        <v>2723554.5</v>
      </c>
      <c r="DS49" s="889"/>
      <c r="DT49" s="38"/>
      <c r="DU49" s="38"/>
      <c r="DV49" s="38"/>
      <c r="DW49" s="38"/>
      <c r="DX49" s="38"/>
      <c r="DY49" s="180">
        <f>SUM(DY21:DY48)</f>
        <v>40382.494285714289</v>
      </c>
      <c r="DZ49" s="180">
        <f>SUM(DZ21:DZ48)</f>
        <v>2826774.6</v>
      </c>
      <c r="EA49" s="890"/>
      <c r="EB49" s="891"/>
      <c r="EC49" s="38"/>
      <c r="ED49" s="38"/>
      <c r="EE49" s="38"/>
      <c r="EF49" s="38"/>
      <c r="EG49" s="180">
        <f>SUM(EG21:EG48)</f>
        <v>52299.12142857143</v>
      </c>
      <c r="EH49" s="180">
        <f>SUM(EH21:EH48)</f>
        <v>3660938.5</v>
      </c>
      <c r="EI49" s="892"/>
      <c r="EJ49" s="891"/>
      <c r="EK49" s="38"/>
      <c r="EL49" s="38"/>
      <c r="EM49" s="38"/>
      <c r="EN49" s="38"/>
      <c r="EO49" s="180">
        <f>SUM(EO21:EO48)</f>
        <v>39749.942857142858</v>
      </c>
      <c r="EP49" s="180">
        <f>SUM(EP21:EP48)</f>
        <v>2782496</v>
      </c>
      <c r="EQ49" s="892"/>
      <c r="ER49" s="891"/>
      <c r="ES49" s="38"/>
      <c r="ET49" s="38"/>
      <c r="EU49" s="38"/>
      <c r="EV49" s="38"/>
      <c r="EW49" s="180">
        <f>SUM(EW21:EW48)</f>
        <v>39693.987142857142</v>
      </c>
      <c r="EX49" s="180">
        <f>SUM(EX21:EX48)</f>
        <v>2778579.1</v>
      </c>
      <c r="EY49" s="892"/>
      <c r="EZ49" s="891"/>
      <c r="FA49" s="38"/>
      <c r="FB49" s="38"/>
      <c r="FC49" s="38"/>
      <c r="FD49" s="38"/>
      <c r="FE49" s="180">
        <f>SUM(FE21:FE48)</f>
        <v>39379.964285714283</v>
      </c>
      <c r="FF49" s="180">
        <f>SUM(FF21:FF48)</f>
        <v>2756597.5</v>
      </c>
      <c r="FG49" s="893"/>
      <c r="FH49" s="38"/>
      <c r="FI49" s="38"/>
      <c r="FJ49" s="38"/>
      <c r="FK49" s="38"/>
      <c r="FL49" s="38" t="s">
        <v>233</v>
      </c>
      <c r="FM49" s="180">
        <f>SUM(FM21:FM48)</f>
        <v>40065.35</v>
      </c>
      <c r="FN49" s="180">
        <f>SUM(FN21:FN48)</f>
        <v>2804574.5</v>
      </c>
      <c r="FO49" s="39"/>
      <c r="FP49" s="38"/>
      <c r="FQ49" s="38"/>
      <c r="FR49" s="38"/>
      <c r="FS49" s="38"/>
      <c r="FT49" s="38"/>
      <c r="FU49" s="38"/>
      <c r="FV49" s="38"/>
      <c r="FW49" s="180">
        <f>SUM(FW21:FW48)</f>
        <v>34952.857142857145</v>
      </c>
      <c r="FX49" s="180">
        <f>SUM(FX21:FX48)</f>
        <v>2446700</v>
      </c>
      <c r="FY49" s="1536">
        <f>FX49/FR19</f>
        <v>5.0344833404425582E-2</v>
      </c>
      <c r="FZ49" s="894"/>
      <c r="GA49" s="895"/>
      <c r="GB49" s="895"/>
      <c r="GC49" s="895"/>
      <c r="GD49" s="895"/>
      <c r="GE49" s="895"/>
      <c r="GF49" s="895"/>
      <c r="GG49" s="887">
        <f>SUM(GG21:GG48)</f>
        <v>70087.957142857136</v>
      </c>
      <c r="GH49" s="887">
        <f>SUM(GH21:GH48)</f>
        <v>4906157</v>
      </c>
      <c r="GI49" s="896">
        <f>GH49/GB19</f>
        <v>0.11250019204218462</v>
      </c>
      <c r="GJ49" s="897"/>
      <c r="GK49" s="898"/>
      <c r="GL49" s="898"/>
      <c r="GM49" s="898"/>
      <c r="GN49" s="898"/>
      <c r="GO49" s="898"/>
      <c r="GP49" s="898"/>
      <c r="GQ49" s="899">
        <f>SUM(GQ21:GQ48)</f>
        <v>33328.114285714284</v>
      </c>
      <c r="GR49" s="181">
        <f>SUM(GR21:GR48)</f>
        <v>2332968</v>
      </c>
      <c r="GS49" s="900">
        <f>GR49/GL19</f>
        <v>5.1614758793379505E-2</v>
      </c>
      <c r="GT49" s="36"/>
      <c r="GU49" s="38"/>
      <c r="GV49" s="38"/>
      <c r="GW49" s="38"/>
      <c r="GX49" s="38"/>
      <c r="GY49" s="38"/>
      <c r="GZ49" s="38"/>
      <c r="HA49" s="887">
        <f>SUM(HA21:HA48)</f>
        <v>36225.064285714281</v>
      </c>
      <c r="HB49" s="887">
        <f>SUM(HB21:HB48)</f>
        <v>2535754.5000000005</v>
      </c>
      <c r="HC49" s="901"/>
      <c r="HD49" s="36"/>
      <c r="HE49" s="38"/>
      <c r="HF49" s="38"/>
      <c r="HG49" s="38"/>
      <c r="HH49" s="38"/>
      <c r="HI49" s="181">
        <f>SUM(HI21:HI48)</f>
        <v>539005.92857142852</v>
      </c>
      <c r="HJ49" s="181">
        <f>SUM(HJ21:HJ48)</f>
        <v>37730415</v>
      </c>
      <c r="HK49" s="900">
        <f>HJ49/HF19</f>
        <v>7.0278122096845128E-2</v>
      </c>
      <c r="HL49" s="36"/>
      <c r="HM49" s="38"/>
      <c r="HN49" s="38"/>
      <c r="HO49" s="38"/>
      <c r="HP49" s="38"/>
      <c r="HQ49" s="180">
        <f>SUM(HQ21:HQ48)</f>
        <v>119526.56999999999</v>
      </c>
      <c r="HR49" s="180">
        <f>SUM(HR21:HR48)</f>
        <v>8366859.9000000004</v>
      </c>
      <c r="HS49" s="39"/>
      <c r="HT49" s="36"/>
      <c r="HU49" s="38"/>
      <c r="HV49" s="38"/>
      <c r="HW49" s="38"/>
      <c r="HX49" s="38"/>
      <c r="HY49" s="180">
        <f>SUM(HY21:HY48)</f>
        <v>131743.05142857143</v>
      </c>
      <c r="HZ49" s="180">
        <f>SUM(HZ21:HZ48)</f>
        <v>9222013.5999999996</v>
      </c>
      <c r="IA49" s="39"/>
      <c r="IB49" s="36"/>
      <c r="IC49" s="38"/>
      <c r="ID49" s="38"/>
      <c r="IE49" s="38"/>
      <c r="IF49" s="38"/>
      <c r="IG49" s="180">
        <f>SUM(IG21:IG48)</f>
        <v>114398.17142857144</v>
      </c>
      <c r="IH49" s="180">
        <f>SUM(IH21:IH48)</f>
        <v>8007872</v>
      </c>
      <c r="II49" s="40"/>
      <c r="IJ49" s="36"/>
      <c r="IK49" s="38"/>
      <c r="IL49" s="38"/>
      <c r="IM49" s="38"/>
      <c r="IN49" s="38"/>
      <c r="IO49" s="180">
        <f>SUM(IO21:IO48)</f>
        <v>139641.13571428572</v>
      </c>
      <c r="IP49" s="180">
        <f>SUM(IP21:IP48)</f>
        <v>9774879.5000000019</v>
      </c>
      <c r="IQ49" s="39"/>
      <c r="IS49" s="36"/>
      <c r="IT49" s="38"/>
      <c r="IU49" s="38"/>
      <c r="IV49" s="38"/>
      <c r="IW49" s="38"/>
      <c r="IX49" s="38"/>
      <c r="IY49" s="38"/>
      <c r="IZ49" s="180">
        <f>SUM(IZ21:IZ48)</f>
        <v>25566.077500000003</v>
      </c>
      <c r="JA49" s="180">
        <f>SUM(JA21:JA48)</f>
        <v>2021286.2</v>
      </c>
      <c r="JB49" s="39"/>
      <c r="JC49" s="41"/>
      <c r="JD49" s="38"/>
      <c r="JE49" s="38"/>
      <c r="JF49" s="38"/>
      <c r="JG49" s="38"/>
      <c r="JH49" s="38"/>
      <c r="JI49" s="38"/>
      <c r="JJ49" s="180">
        <f>SUM(JJ21:JJ48)</f>
        <v>24415.1</v>
      </c>
      <c r="JK49" s="180">
        <f>SUM(JK21:JK48)</f>
        <v>1953208</v>
      </c>
      <c r="JL49" s="39"/>
      <c r="JM49" s="41"/>
      <c r="JN49" s="38"/>
      <c r="JO49" s="38"/>
      <c r="JP49" s="38"/>
      <c r="JQ49" s="38"/>
      <c r="JR49" s="38"/>
      <c r="JS49" s="38"/>
      <c r="JT49" s="180">
        <f>SUM(JT21:JT48)</f>
        <v>26687.303333333333</v>
      </c>
      <c r="JU49" s="180">
        <f>SUM(JU21:JU48)</f>
        <v>2001547.75</v>
      </c>
      <c r="JV49" s="39"/>
      <c r="JW49" s="41"/>
      <c r="JX49" s="38"/>
      <c r="JY49" s="38"/>
      <c r="JZ49" s="38"/>
      <c r="KA49" s="38"/>
      <c r="KB49" s="38"/>
      <c r="KC49" s="38"/>
      <c r="KD49" s="180">
        <f>SUM(KD21:KD48)</f>
        <v>29320.462500000001</v>
      </c>
      <c r="KE49" s="180">
        <f>SUM(KE21:KE48)</f>
        <v>2321637</v>
      </c>
      <c r="KF49" s="39"/>
      <c r="KG49" s="41"/>
      <c r="KH49" s="38"/>
      <c r="KI49" s="38"/>
      <c r="KJ49" s="38"/>
      <c r="KK49" s="38"/>
      <c r="KL49" s="38"/>
      <c r="KM49" s="38"/>
      <c r="KN49" s="180">
        <f>SUM(KN21:KN48)</f>
        <v>34290.012499999997</v>
      </c>
      <c r="KO49" s="180">
        <f>SUM(KO21:KO48)</f>
        <v>2743201</v>
      </c>
      <c r="KP49" s="39"/>
      <c r="KQ49" s="41"/>
      <c r="KR49" s="38"/>
      <c r="KS49" s="38"/>
      <c r="KT49" s="180"/>
      <c r="KU49" s="38"/>
      <c r="KV49" s="38"/>
      <c r="KW49" s="38"/>
      <c r="KX49" s="180">
        <f>SUM(KX21:KX48)</f>
        <v>24632.502500000002</v>
      </c>
      <c r="KY49" s="180">
        <f>SUM(KY21:KY48)</f>
        <v>1970600.2</v>
      </c>
      <c r="KZ49" s="39"/>
      <c r="LA49" s="41"/>
      <c r="LB49" s="38"/>
      <c r="LC49" s="38"/>
      <c r="LD49" s="38"/>
      <c r="LE49" s="38"/>
      <c r="LF49" s="38"/>
      <c r="LG49" s="38"/>
      <c r="LH49" s="180">
        <f>SUM(LH21:LH48)</f>
        <v>26757.287499999999</v>
      </c>
      <c r="LI49" s="180">
        <f>SUM(LI21:LI48)</f>
        <v>2116583</v>
      </c>
      <c r="LJ49" s="39"/>
      <c r="LK49" s="41"/>
      <c r="LL49" s="38"/>
      <c r="LM49" s="38"/>
      <c r="LN49" s="38"/>
      <c r="LO49" s="38"/>
      <c r="LP49" s="38"/>
      <c r="LQ49" s="38"/>
      <c r="LR49" s="180">
        <f>SUM(LR21:LR48)</f>
        <v>22260.802500000002</v>
      </c>
      <c r="LS49" s="180">
        <f>SUM(LS21:LS48)</f>
        <v>1780864.2</v>
      </c>
      <c r="LT49" s="39"/>
      <c r="LU49" s="333"/>
      <c r="LV49" s="334"/>
      <c r="LW49" s="335"/>
      <c r="LX49" s="334"/>
      <c r="LY49" s="38"/>
      <c r="LZ49" s="38"/>
      <c r="MA49" s="38"/>
      <c r="MB49" s="180">
        <f>SUM(MB21:MB48)</f>
        <v>20067.462500000001</v>
      </c>
      <c r="MC49" s="180">
        <f>SUM(MC21:MC48)</f>
        <v>1605397</v>
      </c>
      <c r="MD49" s="39"/>
      <c r="ME49" s="333"/>
      <c r="MF49" s="334"/>
      <c r="MG49" s="334"/>
      <c r="MH49" s="334"/>
      <c r="MI49" s="334"/>
      <c r="MJ49" s="334"/>
      <c r="MK49" s="334"/>
      <c r="ML49" s="180">
        <f>SUM(ML21:ML48)</f>
        <v>40034.724999999999</v>
      </c>
      <c r="MM49" s="180">
        <f>SUM(MM21:MM48)</f>
        <v>3202778</v>
      </c>
      <c r="MN49" s="39"/>
      <c r="MO49" s="232"/>
      <c r="MP49" s="233"/>
      <c r="MQ49" s="233"/>
      <c r="MR49" s="233"/>
      <c r="MS49" s="233"/>
      <c r="MT49" s="233"/>
      <c r="MU49" s="233"/>
      <c r="MV49" s="184">
        <f>SUM(MV21:MV48)</f>
        <v>67297.1875</v>
      </c>
      <c r="MW49" s="180">
        <f>SUM(MW21:MW48)</f>
        <v>5383775</v>
      </c>
      <c r="MX49" s="38"/>
      <c r="MY49" s="232"/>
      <c r="MZ49" s="233"/>
      <c r="NA49" s="233"/>
      <c r="NB49" s="233"/>
      <c r="NC49" s="233"/>
      <c r="ND49" s="233"/>
      <c r="NE49" s="233"/>
      <c r="NF49" s="184">
        <f>SUM(NF21:NF48)</f>
        <v>13538.237500000001</v>
      </c>
      <c r="NG49" s="184">
        <f>SUM(NG21:NG48)</f>
        <v>1083059</v>
      </c>
      <c r="NH49" s="39"/>
      <c r="NI49" s="38"/>
      <c r="NJ49" s="38"/>
      <c r="NK49" s="38"/>
      <c r="NL49" s="38"/>
      <c r="NM49" s="38"/>
      <c r="NN49" s="180">
        <f>SUM(NN21:NN48)</f>
        <v>354867.16083333327</v>
      </c>
      <c r="NO49" s="180">
        <f>SUM(NO21:NO48)</f>
        <v>28183936.350000001</v>
      </c>
      <c r="NP49" s="40"/>
      <c r="NQ49" s="36"/>
      <c r="NR49" s="38"/>
      <c r="NS49" s="38"/>
      <c r="NT49" s="38"/>
      <c r="NU49" s="38"/>
      <c r="NV49" s="180">
        <f>SUM(NV21:NV48)</f>
        <v>76668.480833333335</v>
      </c>
      <c r="NW49" s="180">
        <f>SUM(NW21:NW48)</f>
        <v>5976041.9500000002</v>
      </c>
      <c r="NX49" s="40"/>
      <c r="NY49" s="36"/>
      <c r="NZ49" s="38"/>
      <c r="OA49" s="38"/>
      <c r="OB49" s="38"/>
      <c r="OC49" s="38"/>
      <c r="OD49" s="180">
        <f>SUM(OD21:OD48)</f>
        <v>88242.977500000008</v>
      </c>
      <c r="OE49" s="180">
        <f>SUM(OE21:OE48)</f>
        <v>7035438.2000000002</v>
      </c>
      <c r="OF49" s="40"/>
      <c r="OG49" s="36"/>
      <c r="OH49" s="38"/>
      <c r="OI49" s="38"/>
      <c r="OJ49" s="38"/>
      <c r="OK49" s="38"/>
      <c r="OL49" s="180">
        <f>SUM(OL21:OL48)</f>
        <v>69085.552499999991</v>
      </c>
      <c r="OM49" s="180">
        <f>SUM(OM21:OM48)</f>
        <v>5502844.2000000002</v>
      </c>
      <c r="ON49" s="40"/>
      <c r="OO49" s="36"/>
      <c r="OP49" s="38"/>
      <c r="OQ49" s="38"/>
      <c r="OR49" s="38"/>
      <c r="OS49" s="38"/>
      <c r="OT49" s="180">
        <f>SUM(OT21:OT48)</f>
        <v>120870.15</v>
      </c>
      <c r="OU49" s="180">
        <f>SUM(OU21:OU48)</f>
        <v>9669612</v>
      </c>
      <c r="OV49" s="40"/>
      <c r="OX49" s="36"/>
      <c r="OY49" s="38"/>
      <c r="OZ49" s="38"/>
      <c r="PA49" s="38"/>
      <c r="PB49" s="38"/>
      <c r="PC49" s="38"/>
      <c r="PD49" s="38"/>
      <c r="PE49" s="180">
        <f>SUM(PE21:PE48)</f>
        <v>14811.0275</v>
      </c>
      <c r="PF49" s="180">
        <f>SUM(PF21:PF48)</f>
        <v>1184882.2</v>
      </c>
      <c r="PG49" s="39"/>
      <c r="PH49" s="41"/>
      <c r="PI49" s="38"/>
      <c r="PJ49" s="38"/>
      <c r="PK49" s="38"/>
      <c r="PL49" s="38"/>
      <c r="PM49" s="38"/>
      <c r="PN49" s="38"/>
      <c r="PO49" s="180">
        <f>SUM(PO21:PO48)</f>
        <v>25295.5</v>
      </c>
      <c r="PP49" s="180">
        <f>SUM(PP21:PP48)</f>
        <v>2023640</v>
      </c>
      <c r="PQ49" s="39"/>
      <c r="PR49" s="41"/>
      <c r="PS49" s="38"/>
      <c r="PT49" s="38"/>
      <c r="PU49" s="38"/>
      <c r="PV49" s="38"/>
      <c r="PW49" s="38"/>
      <c r="PX49" s="38"/>
      <c r="PY49" s="180">
        <f>SUM(PY21:PY48)</f>
        <v>26630.535</v>
      </c>
      <c r="PZ49" s="180">
        <f>SUM(PZ21:PZ48)</f>
        <v>2130442.7999999998</v>
      </c>
      <c r="QA49" s="39"/>
      <c r="QB49" s="41"/>
      <c r="QC49" s="38"/>
      <c r="QD49" s="38"/>
      <c r="QE49" s="38"/>
      <c r="QF49" s="38"/>
      <c r="QG49" s="38"/>
      <c r="QH49" s="38"/>
      <c r="QI49" s="180">
        <f>SUM(QI21:QI48)</f>
        <v>20228.424999999999</v>
      </c>
      <c r="QJ49" s="180">
        <f>SUM(QJ21:QJ48)</f>
        <v>1618274</v>
      </c>
      <c r="QK49" s="39"/>
      <c r="QL49" s="41"/>
      <c r="QM49" s="38"/>
      <c r="QN49" s="38"/>
      <c r="QO49" s="38"/>
      <c r="QP49" s="38"/>
      <c r="QQ49" s="38"/>
      <c r="QR49" s="38"/>
      <c r="QS49" s="180">
        <f>SUM(QS21:QS48)</f>
        <v>16871.75</v>
      </c>
      <c r="QT49" s="180">
        <f>SUM(QT21:QT48)</f>
        <v>1349740</v>
      </c>
      <c r="QU49" s="39"/>
      <c r="QV49" s="41"/>
      <c r="QW49" s="38"/>
      <c r="QX49" s="38"/>
      <c r="QY49" s="180"/>
      <c r="QZ49" s="38"/>
      <c r="RA49" s="38"/>
      <c r="RB49" s="38"/>
      <c r="RC49" s="180">
        <f>SUM(RC21:RC48)</f>
        <v>48614.004999999997</v>
      </c>
      <c r="RD49" s="180">
        <f>SUM(RD21:RD48)</f>
        <v>3889120.4000000004</v>
      </c>
      <c r="RE49" s="39"/>
      <c r="RF49" s="41"/>
      <c r="RG49" s="38"/>
      <c r="RH49" s="38"/>
      <c r="RI49" s="38"/>
      <c r="RJ49" s="38"/>
      <c r="RK49" s="38"/>
      <c r="RL49" s="38"/>
      <c r="RM49" s="180">
        <f>SUM(RM21:RM48)</f>
        <v>17855.204999999998</v>
      </c>
      <c r="RN49" s="180">
        <f>SUM(RN21:RN48)</f>
        <v>1428416.4</v>
      </c>
      <c r="RO49" s="39"/>
      <c r="RP49" s="41"/>
      <c r="RQ49" s="38"/>
      <c r="RR49" s="38"/>
      <c r="RS49" s="38"/>
      <c r="RT49" s="38"/>
      <c r="RU49" s="38"/>
      <c r="RV49" s="38"/>
      <c r="RW49" s="180">
        <f>SUM(RW21:RW48)</f>
        <v>18487.712500000001</v>
      </c>
      <c r="RX49" s="180">
        <f>SUM(RX21:RX48)</f>
        <v>1479017</v>
      </c>
      <c r="RY49" s="39"/>
      <c r="RZ49" s="333"/>
      <c r="SA49" s="334"/>
      <c r="SB49" s="335"/>
      <c r="SC49" s="334"/>
      <c r="SD49" s="38"/>
      <c r="SE49" s="38"/>
      <c r="SF49" s="38"/>
      <c r="SG49" s="180">
        <f>SUM(SG21:SG48)</f>
        <v>16726.197500000002</v>
      </c>
      <c r="SH49" s="180">
        <f>SUM(SH21:SH48)</f>
        <v>1338095.7999999998</v>
      </c>
      <c r="SI49" s="39"/>
      <c r="SJ49" s="333"/>
      <c r="SK49" s="334"/>
      <c r="SL49" s="334"/>
      <c r="SM49" s="334"/>
      <c r="SN49" s="334"/>
      <c r="SO49" s="334"/>
      <c r="SP49" s="334"/>
      <c r="SQ49" s="180">
        <f>SUM(SQ21:SQ48)</f>
        <v>18791.0625</v>
      </c>
      <c r="SR49" s="180">
        <f>SUM(SR21:SR48)</f>
        <v>1503285</v>
      </c>
      <c r="SS49" s="39"/>
      <c r="ST49" s="232"/>
      <c r="SU49" s="233"/>
      <c r="SV49" s="233"/>
      <c r="SW49" s="233"/>
      <c r="SX49" s="233"/>
      <c r="SY49" s="233"/>
      <c r="SZ49" s="233"/>
      <c r="TA49" s="184">
        <f>SUM(TA21:TA48)</f>
        <v>17315.97</v>
      </c>
      <c r="TB49" s="184">
        <f>SUM(TB21:TB48)</f>
        <v>1399057.5999999999</v>
      </c>
      <c r="TC49" s="378"/>
      <c r="TD49" s="232"/>
      <c r="TE49" s="233"/>
      <c r="TF49" s="233"/>
      <c r="TG49" s="233"/>
      <c r="TH49" s="233"/>
      <c r="TI49" s="233"/>
      <c r="TJ49" s="233"/>
      <c r="TK49" s="184">
        <f>SUM(TK21:TK48)</f>
        <v>16102.762500000001</v>
      </c>
      <c r="TL49" s="184">
        <f>SUM(TL21:TL48)</f>
        <v>1288221</v>
      </c>
      <c r="TM49" s="378"/>
      <c r="TN49" s="36"/>
      <c r="TO49" s="38"/>
      <c r="TP49" s="38"/>
      <c r="TQ49" s="38"/>
      <c r="TR49" s="38"/>
      <c r="TS49" s="184">
        <f>SUM(TS21:TS48)</f>
        <v>257730.1525</v>
      </c>
      <c r="TT49" s="184">
        <f>SUM(TT21:TT48)</f>
        <v>20632192.200000003</v>
      </c>
      <c r="TU49" s="378"/>
      <c r="TV49" s="36"/>
      <c r="TW49" s="38"/>
      <c r="TX49" s="38"/>
      <c r="TY49" s="38"/>
      <c r="TZ49" s="38"/>
      <c r="UA49" s="180">
        <f>SUM(UA21:UA48)</f>
        <v>66737.0625</v>
      </c>
      <c r="UB49" s="180">
        <f>SUM(UB21:UB48)</f>
        <v>5338965</v>
      </c>
      <c r="UC49" s="40"/>
      <c r="UD49" s="36"/>
      <c r="UE49" s="38"/>
      <c r="UF49" s="38"/>
      <c r="UG49" s="38"/>
      <c r="UH49" s="38"/>
      <c r="UI49" s="180">
        <f>SUM(UI21:UI48)</f>
        <v>84669.017500000002</v>
      </c>
      <c r="UJ49" s="180">
        <f>SUM(UJ21:UJ48)</f>
        <v>6773521.4000000004</v>
      </c>
      <c r="UK49" s="40"/>
      <c r="UL49" s="36"/>
      <c r="UM49" s="38"/>
      <c r="UN49" s="38"/>
      <c r="UO49" s="38"/>
      <c r="UP49" s="38"/>
      <c r="UQ49" s="180">
        <f>SUM(UQ21:UQ48)</f>
        <v>53069.115000000005</v>
      </c>
      <c r="UR49" s="180">
        <f>SUM(UR21:UR48)</f>
        <v>4245529.1999999993</v>
      </c>
      <c r="US49" s="40"/>
      <c r="UT49" s="36"/>
      <c r="UU49" s="38"/>
      <c r="UV49" s="38"/>
      <c r="UW49" s="38"/>
      <c r="UX49" s="38"/>
      <c r="UY49" s="180">
        <f>SUM(UY21:UY48)</f>
        <v>52209.795000000006</v>
      </c>
      <c r="UZ49" s="180">
        <f>SUM(UZ21:UZ48)</f>
        <v>4190563.5999999996</v>
      </c>
      <c r="VA49" s="40"/>
      <c r="VC49" s="36"/>
      <c r="VD49" s="38"/>
      <c r="VE49" s="38"/>
      <c r="VF49" s="38"/>
      <c r="VG49" s="38"/>
      <c r="VH49" s="38"/>
      <c r="VI49" s="38"/>
      <c r="VJ49" s="180">
        <f>SUM(VJ21:VJ48)</f>
        <v>17035.275000000001</v>
      </c>
      <c r="VK49" s="180">
        <f>SUM(VK21:VK48)</f>
        <v>1362822</v>
      </c>
      <c r="VL49" s="39"/>
      <c r="VM49" s="41"/>
      <c r="VN49" s="38"/>
      <c r="VO49" s="38"/>
      <c r="VP49" s="38"/>
      <c r="VQ49" s="38"/>
      <c r="VR49" s="38"/>
      <c r="VS49" s="38"/>
      <c r="VT49" s="180">
        <f>SUM(VT21:VT48)</f>
        <v>13938.659999999998</v>
      </c>
      <c r="VU49" s="180">
        <f>SUM(VU21:VU48)</f>
        <v>1115092.8</v>
      </c>
      <c r="VV49" s="39"/>
      <c r="VW49" s="41"/>
      <c r="VX49" s="38"/>
      <c r="VY49" s="38"/>
      <c r="VZ49" s="38"/>
      <c r="WA49" s="38"/>
      <c r="WB49" s="38"/>
      <c r="WC49" s="38"/>
      <c r="WD49" s="180">
        <f>SUM(WD21:WD48)</f>
        <v>22265.805</v>
      </c>
      <c r="WE49" s="180">
        <f>SUM(WE21:WE48)</f>
        <v>1781264.4</v>
      </c>
      <c r="WF49" s="39"/>
      <c r="WG49" s="41"/>
      <c r="WH49" s="38"/>
      <c r="WI49" s="38"/>
      <c r="WJ49" s="38"/>
      <c r="WK49" s="38"/>
      <c r="WL49" s="38"/>
      <c r="WM49" s="38"/>
      <c r="WN49" s="180">
        <f>SUM(WN21:WN48)</f>
        <v>12176.5825</v>
      </c>
      <c r="WO49" s="180">
        <f>SUM(WO21:WO48)</f>
        <v>974126.6</v>
      </c>
      <c r="WP49" s="39"/>
      <c r="WQ49" s="41"/>
      <c r="WR49" s="38"/>
      <c r="WS49" s="38"/>
      <c r="WT49" s="38"/>
      <c r="WU49" s="38"/>
      <c r="WV49" s="38"/>
      <c r="WW49" s="38"/>
      <c r="WX49" s="180">
        <f>SUM(WX21:WX48)</f>
        <v>24181.974999999999</v>
      </c>
      <c r="WY49" s="180">
        <f>SUM(WY21:WY48)</f>
        <v>1934558</v>
      </c>
      <c r="WZ49" s="39"/>
      <c r="XA49" s="41"/>
      <c r="XB49" s="38"/>
      <c r="XC49" s="38"/>
      <c r="XD49" s="180"/>
      <c r="XE49" s="38"/>
      <c r="XF49" s="38"/>
      <c r="XG49" s="38"/>
      <c r="XH49" s="180">
        <f>SUM(XH21:XH48)</f>
        <v>18289.5625</v>
      </c>
      <c r="XI49" s="180">
        <f>SUM(XI21:XI48)</f>
        <v>1463165</v>
      </c>
      <c r="XJ49" s="39"/>
      <c r="XK49" s="41"/>
      <c r="XL49" s="38"/>
      <c r="XM49" s="38"/>
      <c r="XN49" s="38"/>
      <c r="XO49" s="38"/>
      <c r="XP49" s="38"/>
      <c r="XQ49" s="38"/>
      <c r="XR49" s="180">
        <f>SUM(XR21:XR48)</f>
        <v>52087.25</v>
      </c>
      <c r="XS49" s="180">
        <f>SUM(XS21:XS48)</f>
        <v>4166980</v>
      </c>
      <c r="XT49" s="39"/>
      <c r="XU49" s="41"/>
      <c r="XV49" s="38"/>
      <c r="XW49" s="38"/>
      <c r="XX49" s="38"/>
      <c r="XY49" s="38"/>
      <c r="XZ49" s="38"/>
      <c r="YA49" s="38"/>
      <c r="YB49" s="180">
        <f>SUM(YB21:YB48)</f>
        <v>36056.746666666673</v>
      </c>
      <c r="YC49" s="180">
        <f>SUM(YC21:YC48)</f>
        <v>2884006.4</v>
      </c>
      <c r="YD49" s="39"/>
      <c r="YE49" s="333"/>
      <c r="YF49" s="334"/>
      <c r="YG49" s="335"/>
      <c r="YH49" s="334"/>
      <c r="YI49" s="38"/>
      <c r="YJ49" s="38"/>
      <c r="YK49" s="38"/>
      <c r="YL49" s="180">
        <f>SUM(YL21:YL48)</f>
        <v>58814.222499999996</v>
      </c>
      <c r="YM49" s="180">
        <f>SUM(YM21:YM48)</f>
        <v>4703737.8</v>
      </c>
      <c r="YN49" s="39"/>
      <c r="YO49" s="333"/>
      <c r="YP49" s="334"/>
      <c r="YQ49" s="334"/>
      <c r="YR49" s="334"/>
      <c r="YS49" s="334"/>
      <c r="YT49" s="334"/>
      <c r="YU49" s="334"/>
      <c r="YV49" s="180">
        <f>SUM(YV21:YV48)</f>
        <v>27700.4725</v>
      </c>
      <c r="YW49" s="180">
        <f>SUM(YW21:YW48)</f>
        <v>2216037.7999999998</v>
      </c>
      <c r="YX49" s="39"/>
      <c r="YY49" s="232"/>
      <c r="YZ49" s="233"/>
      <c r="ZA49" s="233"/>
      <c r="ZB49" s="233"/>
      <c r="ZC49" s="233"/>
      <c r="ZD49" s="233"/>
      <c r="ZE49" s="233"/>
      <c r="ZF49" s="184">
        <f>SUM(ZF21:ZF48)</f>
        <v>0</v>
      </c>
      <c r="ZG49" s="184">
        <f>SUM(ZG21:ZG48)</f>
        <v>0</v>
      </c>
      <c r="ZH49" s="378"/>
      <c r="ZI49" s="232"/>
      <c r="ZJ49" s="233"/>
      <c r="ZK49" s="233"/>
      <c r="ZL49" s="233"/>
      <c r="ZM49" s="233"/>
      <c r="ZN49" s="233"/>
      <c r="ZO49" s="233"/>
      <c r="ZP49" s="184">
        <f>SUM(ZP21:ZP48)</f>
        <v>0</v>
      </c>
      <c r="ZQ49" s="184">
        <f>SUM(ZQ21:ZQ48)</f>
        <v>0</v>
      </c>
      <c r="ZR49" s="378"/>
      <c r="ZS49" s="36"/>
      <c r="ZT49" s="38"/>
      <c r="ZU49" s="38"/>
      <c r="ZV49" s="38"/>
      <c r="ZW49" s="38"/>
      <c r="ZX49" s="184">
        <f>SUM(ZX21:ZX48)</f>
        <v>282546.5516666667</v>
      </c>
      <c r="ZY49" s="184">
        <f>SUM(ZY21:ZY48)</f>
        <v>22601790.799999997</v>
      </c>
      <c r="ZZ49" s="378"/>
      <c r="AAA49" s="36"/>
      <c r="AAB49" s="38"/>
      <c r="AAC49" s="38"/>
      <c r="AAD49" s="38"/>
      <c r="AAE49" s="38"/>
      <c r="AAF49" s="180">
        <f>SUM(AAF21:AAF48)</f>
        <v>53239.74</v>
      </c>
      <c r="AAG49" s="180">
        <f>SUM(AAG21:AAG48)</f>
        <v>4259179.2</v>
      </c>
      <c r="AAH49" s="40"/>
      <c r="AAI49" s="36"/>
      <c r="AAJ49" s="38"/>
      <c r="AAK49" s="38"/>
      <c r="AAL49" s="38"/>
      <c r="AAM49" s="38"/>
      <c r="AAN49" s="180">
        <f>SUM(AAN21:AAN48)</f>
        <v>51676.869999999995</v>
      </c>
      <c r="AAO49" s="180">
        <f>SUM(AAO21:AAO48)</f>
        <v>4134149.6</v>
      </c>
      <c r="AAP49" s="40"/>
      <c r="AAQ49" s="36"/>
      <c r="AAR49" s="38"/>
      <c r="AAS49" s="38"/>
      <c r="AAT49" s="38"/>
      <c r="AAU49" s="38"/>
      <c r="AAV49" s="180">
        <f>SUM(AAV21:AAV48)</f>
        <v>146958.21916666668</v>
      </c>
      <c r="AAW49" s="180">
        <f>SUM(AAW21:AAW48)</f>
        <v>11754724.199999999</v>
      </c>
      <c r="AAX49" s="40"/>
      <c r="AAY49" s="36"/>
      <c r="AAZ49" s="38"/>
      <c r="ABA49" s="38"/>
      <c r="ABB49" s="38"/>
      <c r="ABC49" s="38"/>
      <c r="ABD49" s="180">
        <f>SUM(ABD21:ABD48)</f>
        <v>27700.4725</v>
      </c>
      <c r="ABE49" s="180">
        <f>SUM(ABE21:ABE48)</f>
        <v>2216037.7999999998</v>
      </c>
      <c r="ABF49" s="40"/>
    </row>
    <row r="50" spans="1:734" s="3684" customFormat="1" ht="16.7" x14ac:dyDescent="0.3">
      <c r="A50" s="6766" t="s">
        <v>35</v>
      </c>
      <c r="B50" s="6767"/>
      <c r="C50" s="6768"/>
      <c r="D50" s="6220"/>
      <c r="E50" s="6221"/>
      <c r="F50" s="6222"/>
      <c r="G50" s="6221"/>
      <c r="H50" s="6221"/>
      <c r="I50" s="6221">
        <f>I19-I49</f>
        <v>18025.335714285713</v>
      </c>
      <c r="J50" s="6221">
        <f>J19-J49</f>
        <v>1261773.5</v>
      </c>
      <c r="K50" s="6223">
        <f>J50/F19</f>
        <v>2.7202346548098912E-2</v>
      </c>
      <c r="L50" s="6222"/>
      <c r="M50" s="6222"/>
      <c r="N50" s="6222"/>
      <c r="O50" s="6222"/>
      <c r="P50" s="6222"/>
      <c r="Q50" s="6221">
        <f>Q19-Q49</f>
        <v>9957.5685714285719</v>
      </c>
      <c r="R50" s="6221">
        <f>R19-R49</f>
        <v>697029.79999999981</v>
      </c>
      <c r="S50" s="6223">
        <f>R50/N19</f>
        <v>1.8288553219513597E-2</v>
      </c>
      <c r="T50" s="6222"/>
      <c r="U50" s="6222"/>
      <c r="V50" s="6222"/>
      <c r="W50" s="6222"/>
      <c r="X50" s="6222"/>
      <c r="Y50" s="6221">
        <f>Y19-Y49</f>
        <v>-117895.33285714284</v>
      </c>
      <c r="Z50" s="6221">
        <f>Z19-Z49</f>
        <v>-8252673.2999999989</v>
      </c>
      <c r="AA50" s="6224">
        <f>Z50/V19</f>
        <v>-0.20829895326452688</v>
      </c>
      <c r="AB50" s="6222"/>
      <c r="AC50" s="6222"/>
      <c r="AD50" s="6222"/>
      <c r="AE50" s="6222"/>
      <c r="AF50" s="6222"/>
      <c r="AG50" s="6221">
        <f>AG19-AG49</f>
        <v>8882.6385714285716</v>
      </c>
      <c r="AH50" s="6221">
        <f>AH19-AH49</f>
        <v>621784.70000000019</v>
      </c>
      <c r="AI50" s="6223">
        <f>AH50/AD19</f>
        <v>1.7476598685765669E-2</v>
      </c>
      <c r="AJ50" s="6222"/>
      <c r="AK50" s="6222"/>
      <c r="AL50" s="6222"/>
      <c r="AM50" s="6222"/>
      <c r="AN50" s="6222"/>
      <c r="AO50" s="6221">
        <f>AO19-AO49</f>
        <v>9082.6071428571449</v>
      </c>
      <c r="AP50" s="6221">
        <f>AP19-AP49</f>
        <v>635782.5</v>
      </c>
      <c r="AQ50" s="6223">
        <f>AP50/AL19</f>
        <v>1.9218259602366346E-2</v>
      </c>
      <c r="AR50" s="6222"/>
      <c r="AS50" s="6222"/>
      <c r="AT50" s="6222"/>
      <c r="AU50" s="6222"/>
      <c r="AV50" s="6222"/>
      <c r="AW50" s="6221">
        <f>AW19-AW49</f>
        <v>19746.268571428576</v>
      </c>
      <c r="AX50" s="6221">
        <f>AX19-AX49</f>
        <v>1382238.7999999998</v>
      </c>
      <c r="AY50" s="6223">
        <f>AX50/AT19</f>
        <v>4.1157780960519766E-2</v>
      </c>
      <c r="AZ50" s="6222"/>
      <c r="BA50" s="6222"/>
      <c r="BB50" s="6222"/>
      <c r="BC50" s="6222"/>
      <c r="BD50" s="6222"/>
      <c r="BE50" s="6221">
        <f>BE19-BE49</f>
        <v>13786.688571428575</v>
      </c>
      <c r="BF50" s="6221">
        <f>BF19-BF49</f>
        <v>965068.20000000019</v>
      </c>
      <c r="BG50" s="6223">
        <f>BF50/BB19</f>
        <v>3.0221373926277592E-2</v>
      </c>
      <c r="BH50" s="6222"/>
      <c r="BI50" s="6222"/>
      <c r="BJ50" s="6222"/>
      <c r="BK50" s="6222"/>
      <c r="BL50" s="6222"/>
      <c r="BM50" s="6221">
        <f>BM19-BM49</f>
        <v>4874.4314285714281</v>
      </c>
      <c r="BN50" s="6221">
        <f>BN19-BN49</f>
        <v>341210.20000000019</v>
      </c>
      <c r="BO50" s="6225">
        <f>BN50/BJ19</f>
        <v>1.3338162343881329E-2</v>
      </c>
      <c r="BP50" s="6220"/>
      <c r="BQ50" s="6222"/>
      <c r="BR50" s="6222"/>
      <c r="BS50" s="6222"/>
      <c r="BT50" s="6222"/>
      <c r="BU50" s="6221">
        <f>BU19-BU49</f>
        <v>-19528.927142857137</v>
      </c>
      <c r="BV50" s="6221">
        <f>BV19-BV49</f>
        <v>-1367024.9000000004</v>
      </c>
      <c r="BW50" s="6226">
        <f>BV50/BR19</f>
        <v>-4.8297206479692413E-2</v>
      </c>
      <c r="BX50" s="6222"/>
      <c r="BY50" s="6222"/>
      <c r="BZ50" s="6222"/>
      <c r="CA50" s="6222"/>
      <c r="CB50" s="6222"/>
      <c r="CC50" s="6221">
        <f>CC19-CC49</f>
        <v>8635.9457142857136</v>
      </c>
      <c r="CD50" s="6221">
        <f>CD19-CD49</f>
        <v>604516.20000000019</v>
      </c>
      <c r="CE50" s="6225">
        <f>CD50/BZ19</f>
        <v>2.2790466036518065E-2</v>
      </c>
      <c r="CF50" s="6220"/>
      <c r="CG50" s="6222"/>
      <c r="CH50" s="6222"/>
      <c r="CI50" s="6222"/>
      <c r="CJ50" s="6222"/>
      <c r="CK50" s="6221">
        <f>CK19-CK49</f>
        <v>4657.962857142862</v>
      </c>
      <c r="CL50" s="6221">
        <f>CL19-CL49</f>
        <v>326057.39999999991</v>
      </c>
      <c r="CM50" s="6227">
        <f>CL50/CH19</f>
        <v>1.1747521745302355E-2</v>
      </c>
      <c r="CN50" s="6222"/>
      <c r="CO50" s="6222"/>
      <c r="CP50" s="6222"/>
      <c r="CQ50" s="6222"/>
      <c r="CR50" s="6222"/>
      <c r="CS50" s="6221">
        <f>CS19-CS49</f>
        <v>9938.3642857142841</v>
      </c>
      <c r="CT50" s="6221">
        <f>CT19-CT49</f>
        <v>695685.5</v>
      </c>
      <c r="CU50" s="6225">
        <f>CT50/CP19</f>
        <v>1.9424297826454787E-2</v>
      </c>
      <c r="CV50" s="6220"/>
      <c r="CW50" s="6222"/>
      <c r="CX50" s="6222"/>
      <c r="CY50" s="6222"/>
      <c r="CZ50" s="6222"/>
      <c r="DA50" s="6221">
        <f>DA19-DA49</f>
        <v>-30460.448571428657</v>
      </c>
      <c r="DB50" s="6221">
        <f>DB19-DB49</f>
        <v>-2132231.400000006</v>
      </c>
      <c r="DC50" s="6223">
        <f>DB50/CX19</f>
        <v>-5.3009937862040545E-3</v>
      </c>
      <c r="DD50" s="6220"/>
      <c r="DE50" s="6222"/>
      <c r="DF50" s="6222"/>
      <c r="DG50" s="6222"/>
      <c r="DH50" s="6222"/>
      <c r="DI50" s="6221">
        <f>DI19-DI49</f>
        <v>21182.845714285715</v>
      </c>
      <c r="DJ50" s="6221">
        <f>DJ19-DJ49</f>
        <v>1482799.2000000002</v>
      </c>
      <c r="DK50" s="6227">
        <f>DJ50/DF19</f>
        <v>3.8952802669849865E-2</v>
      </c>
      <c r="DL50" s="6220"/>
      <c r="DM50" s="6222"/>
      <c r="DN50" s="6222"/>
      <c r="DO50" s="6222"/>
      <c r="DP50" s="6222"/>
      <c r="DQ50" s="6221">
        <f>DQ19-DQ49</f>
        <v>32493.078571428574</v>
      </c>
      <c r="DR50" s="6221">
        <f>DR19-DR49</f>
        <v>2274515.5</v>
      </c>
      <c r="DS50" s="6227">
        <f>DR50/DN19</f>
        <v>6.097806868799522E-2</v>
      </c>
      <c r="DT50" s="6220"/>
      <c r="DU50" s="6222"/>
      <c r="DV50" s="6222"/>
      <c r="DW50" s="6222"/>
      <c r="DX50" s="6222"/>
      <c r="DY50" s="6221">
        <f>DY19-DY49</f>
        <v>22944.505714285711</v>
      </c>
      <c r="DZ50" s="6221">
        <f>DZ19-DZ49</f>
        <v>1606115.4</v>
      </c>
      <c r="EA50" s="6227">
        <f>DZ50/DV19</f>
        <v>3.9014898442236837E-2</v>
      </c>
      <c r="EB50" s="6228"/>
      <c r="EC50" s="6222"/>
      <c r="ED50" s="6222"/>
      <c r="EE50" s="6222"/>
      <c r="EF50" s="6222"/>
      <c r="EG50" s="6221">
        <f>EG19-EG49</f>
        <v>10687.87857142857</v>
      </c>
      <c r="EH50" s="6221">
        <f>EH19-EH49</f>
        <v>748151.5</v>
      </c>
      <c r="EI50" s="6229">
        <f>EH50/ED19</f>
        <v>1.8401582904357464E-2</v>
      </c>
      <c r="EJ50" s="6228"/>
      <c r="EK50" s="6222"/>
      <c r="EL50" s="6222"/>
      <c r="EM50" s="6222"/>
      <c r="EN50" s="6222"/>
      <c r="EO50" s="6221">
        <f>EO19-EO49</f>
        <v>26944.057142857142</v>
      </c>
      <c r="EP50" s="6221">
        <f>EP19-EP49</f>
        <v>1886084</v>
      </c>
      <c r="EQ50" s="6229">
        <f>EP50/EL19</f>
        <v>4.028993791866238E-2</v>
      </c>
      <c r="ER50" s="6228"/>
      <c r="ES50" s="6222"/>
      <c r="ET50" s="6222"/>
      <c r="EU50" s="6222"/>
      <c r="EV50" s="6222"/>
      <c r="EW50" s="6221">
        <f>EW19-EW49</f>
        <v>24862.012857142858</v>
      </c>
      <c r="EX50" s="6221">
        <f>EX19-EX49</f>
        <v>1740340.9</v>
      </c>
      <c r="EY50" s="6229">
        <f>EX50/ET19</f>
        <v>3.7856302133306825E-2</v>
      </c>
      <c r="EZ50" s="6228"/>
      <c r="FA50" s="6222"/>
      <c r="FB50" s="6222"/>
      <c r="FC50" s="6222"/>
      <c r="FD50" s="6222"/>
      <c r="FE50" s="6221">
        <f>FE19-FE49</f>
        <v>27866.035714285717</v>
      </c>
      <c r="FF50" s="6221">
        <f>FF19-FF49</f>
        <v>1950622.5</v>
      </c>
      <c r="FG50" s="6229">
        <f>FF50/FB19</f>
        <v>4.1523730476504109E-2</v>
      </c>
      <c r="FH50" s="6222"/>
      <c r="FI50" s="6222"/>
      <c r="FJ50" s="6222"/>
      <c r="FK50" s="6222"/>
      <c r="FL50" s="6222"/>
      <c r="FM50" s="6221">
        <f>FM19-FM49</f>
        <v>23970.65</v>
      </c>
      <c r="FN50" s="6221">
        <f>FN19-FN49</f>
        <v>1677945.5</v>
      </c>
      <c r="FO50" s="6229">
        <f>FN50/FJ19</f>
        <v>3.6095320986669038E-2</v>
      </c>
      <c r="FP50" s="6222"/>
      <c r="FQ50" s="6222"/>
      <c r="FR50" s="6222"/>
      <c r="FS50" s="6222"/>
      <c r="FT50" s="6222"/>
      <c r="FU50" s="6222"/>
      <c r="FV50" s="6222"/>
      <c r="FW50" s="6221">
        <f>FW19-FW49</f>
        <v>29374.142857142855</v>
      </c>
      <c r="FX50" s="6221">
        <f>FX19-FX49</f>
        <v>2056190</v>
      </c>
      <c r="FY50" s="6225">
        <f>FX50/FR19</f>
        <v>4.2309454774940053E-2</v>
      </c>
      <c r="FZ50" s="6220"/>
      <c r="GA50" s="6222"/>
      <c r="GB50" s="6222"/>
      <c r="GC50" s="6222"/>
      <c r="GD50" s="6222"/>
      <c r="GE50" s="6222"/>
      <c r="GF50" s="6222"/>
      <c r="GG50" s="6221">
        <f>GG19-GG49</f>
        <v>-8521.9571428571362</v>
      </c>
      <c r="GH50" s="6221">
        <f>GH19-GH49</f>
        <v>-596537</v>
      </c>
      <c r="GI50" s="6225">
        <f>GH50/GB19</f>
        <v>-1.3678838051914907E-2</v>
      </c>
      <c r="GJ50" s="6230"/>
      <c r="GK50" s="6231"/>
      <c r="GL50" s="6231"/>
      <c r="GM50" s="6231"/>
      <c r="GN50" s="6231"/>
      <c r="GO50" s="6231"/>
      <c r="GP50" s="6231"/>
      <c r="GQ50" s="6221">
        <f>GQ19-GQ49</f>
        <v>25557.885714285716</v>
      </c>
      <c r="GR50" s="6221">
        <f>GR19-GR49</f>
        <v>1789052</v>
      </c>
      <c r="GS50" s="6225">
        <f>GR50/GL19</f>
        <v>3.9581120464924159E-2</v>
      </c>
      <c r="GT50" s="6220"/>
      <c r="GU50" s="6222"/>
      <c r="GV50" s="6222"/>
      <c r="GW50" s="6222"/>
      <c r="GX50" s="6222"/>
      <c r="GY50" s="6222"/>
      <c r="GZ50" s="6222"/>
      <c r="HA50" s="6221">
        <f>HA19-HA49</f>
        <v>32148.935714285719</v>
      </c>
      <c r="HB50" s="6221">
        <f>HB19-HB49</f>
        <v>2250425.4999999995</v>
      </c>
      <c r="HC50" s="6223">
        <f>HB50/GV19</f>
        <v>4.0167692504305151E-2</v>
      </c>
      <c r="HD50" s="6220"/>
      <c r="HE50" s="6222"/>
      <c r="HF50" s="6222"/>
      <c r="HG50" s="6222"/>
      <c r="HH50" s="6222"/>
      <c r="HI50" s="6221">
        <f>HI19-HI49</f>
        <v>235813.07142857148</v>
      </c>
      <c r="HJ50" s="6221">
        <f>HJ19-HJ49</f>
        <v>16506915</v>
      </c>
      <c r="HK50" s="6225">
        <f>HJ50/HF19</f>
        <v>3.0746414737612728E-2</v>
      </c>
      <c r="HL50" s="6220"/>
      <c r="HM50" s="6222"/>
      <c r="HN50" s="6222"/>
      <c r="HO50" s="6222"/>
      <c r="HP50" s="6222"/>
      <c r="HQ50" s="6221">
        <f>HQ19-HQ49</f>
        <v>76620.430000000008</v>
      </c>
      <c r="HR50" s="6221">
        <f>HR19-HR49</f>
        <v>5363430.0999999996</v>
      </c>
      <c r="HS50" s="6227">
        <f>HR50/HN19</f>
        <v>4.6024661679788602E-2</v>
      </c>
      <c r="HT50" s="6220"/>
      <c r="HU50" s="6222"/>
      <c r="HV50" s="6222"/>
      <c r="HW50" s="6222"/>
      <c r="HX50" s="6222"/>
      <c r="HY50" s="6221">
        <f>HY19-HY49</f>
        <v>62493.948571428569</v>
      </c>
      <c r="HZ50" s="6221">
        <f>HZ19-HZ49</f>
        <v>4374576.4000000004</v>
      </c>
      <c r="IA50" s="6227">
        <f>HZ50/HV19</f>
        <v>3.278261009016803E-2</v>
      </c>
      <c r="IB50" s="6220"/>
      <c r="IC50" s="6222"/>
      <c r="ID50" s="6222"/>
      <c r="IE50" s="6222"/>
      <c r="IF50" s="6222"/>
      <c r="IG50" s="6221">
        <f>IG19-IG49</f>
        <v>81210.828571428559</v>
      </c>
      <c r="IH50" s="6221">
        <f>IH19-IH49</f>
        <v>5684758</v>
      </c>
      <c r="II50" s="6223">
        <f>IH50/ID19</f>
        <v>4.0016195810502544E-2</v>
      </c>
      <c r="IJ50" s="6220"/>
      <c r="IK50" s="6222"/>
      <c r="IL50" s="6222"/>
      <c r="IM50" s="6222"/>
      <c r="IN50" s="6222"/>
      <c r="IO50" s="6221">
        <f>IO19-IO49</f>
        <v>49184.864285714284</v>
      </c>
      <c r="IP50" s="6221">
        <f>IP19-IP49</f>
        <v>3442940.4999999981</v>
      </c>
      <c r="IQ50" s="6223">
        <f>IP50/IL19</f>
        <v>2.3771369055674143E-2</v>
      </c>
      <c r="IR50" s="6232"/>
      <c r="IS50" s="6233"/>
      <c r="IT50" s="6232"/>
      <c r="IU50" s="6232"/>
      <c r="IV50" s="6232"/>
      <c r="IW50" s="6232"/>
      <c r="IX50" s="6232"/>
      <c r="IY50" s="6232"/>
      <c r="IZ50" s="6234">
        <f>IZ19-IZ49</f>
        <v>14202.162499999995</v>
      </c>
      <c r="JA50" s="6234">
        <f>JA19-JA49</f>
        <v>1154573.0000000002</v>
      </c>
      <c r="JB50" s="6235">
        <f>JA50/IU19</f>
        <v>1.8946608894513529E-2</v>
      </c>
      <c r="JC50" s="6236"/>
      <c r="JD50" s="6232"/>
      <c r="JE50" s="6232"/>
      <c r="JF50" s="6232"/>
      <c r="JG50" s="6232"/>
      <c r="JH50" s="6232"/>
      <c r="JI50" s="6232"/>
      <c r="JJ50" s="6234">
        <f>JJ19-JJ49</f>
        <v>26473.5</v>
      </c>
      <c r="JK50" s="6234">
        <f>JK19-JK49</f>
        <v>2112000</v>
      </c>
      <c r="JL50" s="6235">
        <f>JK50/JE19</f>
        <v>3.2466095066629279E-2</v>
      </c>
      <c r="JM50" s="6236"/>
      <c r="JN50" s="6232"/>
      <c r="JO50" s="6232"/>
      <c r="JP50" s="6232"/>
      <c r="JQ50" s="6232"/>
      <c r="JR50" s="6232"/>
      <c r="JS50" s="6232"/>
      <c r="JT50" s="6234">
        <f>JT19-JT49</f>
        <v>23385.49666666667</v>
      </c>
      <c r="JU50" s="6234">
        <f>JU19-JU49</f>
        <v>2004276.25</v>
      </c>
      <c r="JV50" s="6235">
        <f>JU50/JO19</f>
        <v>2.9002658065853008E-2</v>
      </c>
      <c r="JW50" s="6236"/>
      <c r="JX50" s="6232"/>
      <c r="JY50" s="6232"/>
      <c r="JZ50" s="6232"/>
      <c r="KA50" s="6232"/>
      <c r="KB50" s="6232"/>
      <c r="KC50" s="6232"/>
      <c r="KD50" s="6234">
        <f>KD19-KD49</f>
        <v>24881.817499999997</v>
      </c>
      <c r="KE50" s="6234">
        <f>KE19-KE49</f>
        <v>2008945.4000000004</v>
      </c>
      <c r="KF50" s="6235">
        <f>KE50/JY19</f>
        <v>3.1491726339022592E-2</v>
      </c>
      <c r="KG50" s="6236"/>
      <c r="KH50" s="6232"/>
      <c r="KI50" s="6232"/>
      <c r="KJ50" s="6232"/>
      <c r="KK50" s="6232"/>
      <c r="KL50" s="6232"/>
      <c r="KM50" s="6232"/>
      <c r="KN50" s="6234">
        <f>KN19-KN49</f>
        <v>31155.507500000007</v>
      </c>
      <c r="KO50" s="6234">
        <f>KO19-KO49</f>
        <v>2486560.5999999996</v>
      </c>
      <c r="KP50" s="6235">
        <f>KO50/KI19</f>
        <v>3.3749500522279957E-2</v>
      </c>
      <c r="KQ50" s="6233"/>
      <c r="KR50" s="6232"/>
      <c r="KS50" s="6232"/>
      <c r="KT50" s="6234"/>
      <c r="KU50" s="6232"/>
      <c r="KV50" s="6232"/>
      <c r="KW50" s="6232"/>
      <c r="KX50" s="6234">
        <f>KX19-KX49</f>
        <v>33793.457499999997</v>
      </c>
      <c r="KY50" s="6234">
        <f>KY19-KY49</f>
        <v>2697596.5999999996</v>
      </c>
      <c r="KZ50" s="6235">
        <f>KY50/KS19</f>
        <v>3.8454954502896092E-2</v>
      </c>
      <c r="LA50" s="6233"/>
      <c r="LB50" s="6232"/>
      <c r="LC50" s="6232"/>
      <c r="LD50" s="6232"/>
      <c r="LE50" s="6232"/>
      <c r="LF50" s="6232"/>
      <c r="LG50" s="6232"/>
      <c r="LH50" s="6234">
        <f>LH19-LH49</f>
        <v>37149.3125</v>
      </c>
      <c r="LI50" s="6234">
        <f>LI19-LI49</f>
        <v>2990065</v>
      </c>
      <c r="LJ50" s="6235">
        <f>LI50/LC19</f>
        <v>4.141107310792904E-2</v>
      </c>
      <c r="LK50" s="6233"/>
      <c r="LL50" s="6232"/>
      <c r="LM50" s="6232"/>
      <c r="LN50" s="6232"/>
      <c r="LO50" s="6232"/>
      <c r="LP50" s="6232"/>
      <c r="LQ50" s="6232"/>
      <c r="LR50" s="6234">
        <f>LR19-LR49</f>
        <v>35061.327499999999</v>
      </c>
      <c r="LS50" s="6234">
        <f>LS19-LS49</f>
        <v>2804906.2</v>
      </c>
      <c r="LT50" s="6235">
        <f>LS50/LM19</f>
        <v>4.1930960644272444E-2</v>
      </c>
      <c r="LU50" s="6237"/>
      <c r="LV50" s="6234"/>
      <c r="LW50" s="6232"/>
      <c r="LX50" s="6234"/>
      <c r="LY50" s="6232"/>
      <c r="LZ50" s="6232"/>
      <c r="MA50" s="6232"/>
      <c r="MB50" s="6234">
        <f>MB19-MB49</f>
        <v>30571.557500000003</v>
      </c>
      <c r="MC50" s="6234">
        <f>MC19-MC49</f>
        <v>2439844.6</v>
      </c>
      <c r="MD50" s="6235">
        <f>MC50/LW19</f>
        <v>3.7991690501223287E-2</v>
      </c>
      <c r="ME50" s="6237"/>
      <c r="MF50" s="6234"/>
      <c r="MG50" s="6234"/>
      <c r="MH50" s="6234"/>
      <c r="MI50" s="6234"/>
      <c r="MJ50" s="6234"/>
      <c r="MK50" s="6234"/>
      <c r="ML50" s="6234">
        <f>ML19-ML49</f>
        <v>12935.674999999996</v>
      </c>
      <c r="MM50" s="6234">
        <f>MM19-MM49</f>
        <v>1034854</v>
      </c>
      <c r="MN50" s="6235">
        <f>MM50/MG19</f>
        <v>1.5765792392350913E-2</v>
      </c>
      <c r="MO50" s="6220"/>
      <c r="MP50" s="6222"/>
      <c r="MQ50" s="6222"/>
      <c r="MR50" s="6222"/>
      <c r="MS50" s="6222"/>
      <c r="MT50" s="6222"/>
      <c r="MU50" s="6222"/>
      <c r="MV50" s="6221">
        <f>MV19-MV49</f>
        <v>-29687.297500000001</v>
      </c>
      <c r="MW50" s="6221">
        <f>MW19-MW49</f>
        <v>-2374983.7999999998</v>
      </c>
      <c r="MX50" s="6225">
        <f>MW50/MQ19</f>
        <v>-3.8391096567117464E-2</v>
      </c>
      <c r="MY50" s="6220"/>
      <c r="MZ50" s="6222"/>
      <c r="NA50" s="6222"/>
      <c r="NB50" s="6222"/>
      <c r="NC50" s="6222"/>
      <c r="ND50" s="6222"/>
      <c r="NE50" s="6222"/>
      <c r="NF50" s="6221">
        <f>NF19-NF49</f>
        <v>22471.842499999999</v>
      </c>
      <c r="NG50" s="6221">
        <f>NG19-NG49</f>
        <v>1797747.4</v>
      </c>
      <c r="NH50" s="6223">
        <f>NG50/NA19</f>
        <v>2.6818953490176139E-2</v>
      </c>
      <c r="NI50" s="6222"/>
      <c r="NJ50" s="6222"/>
      <c r="NK50" s="6222"/>
      <c r="NL50" s="6222"/>
      <c r="NM50" s="6222"/>
      <c r="NN50" s="6221">
        <f>NN19-NN49</f>
        <v>262394.35916666675</v>
      </c>
      <c r="NO50" s="6221">
        <f>NO19-NO49</f>
        <v>21156385.25</v>
      </c>
      <c r="NP50" s="6223">
        <f>NO50/NK19</f>
        <v>2.6426657854110518E-2</v>
      </c>
      <c r="NQ50" s="6220"/>
      <c r="NR50" s="6222"/>
      <c r="NS50" s="6222"/>
      <c r="NT50" s="6222"/>
      <c r="NU50" s="6222"/>
      <c r="NV50" s="6221">
        <f>NV19-NV49</f>
        <v>64061.159166666679</v>
      </c>
      <c r="NW50" s="6221">
        <f>NW19-NW49</f>
        <v>5270849.2499999991</v>
      </c>
      <c r="NX50" s="6223">
        <f>NW50/NS19</f>
        <v>2.7016507296664594E-2</v>
      </c>
      <c r="NY50" s="6220"/>
      <c r="NZ50" s="6222"/>
      <c r="OA50" s="6222"/>
      <c r="OB50" s="6222"/>
      <c r="OC50" s="6222"/>
      <c r="OD50" s="6221">
        <f>OD19-OD49</f>
        <v>89830.782500000001</v>
      </c>
      <c r="OE50" s="6221">
        <f>OE19-OE49</f>
        <v>7193102.6000000006</v>
      </c>
      <c r="OF50" s="6223">
        <f>OE50/OA19</f>
        <v>3.4645638882862907E-2</v>
      </c>
      <c r="OG50" s="6220"/>
      <c r="OH50" s="6222"/>
      <c r="OI50" s="6222"/>
      <c r="OJ50" s="6222"/>
      <c r="OK50" s="6222"/>
      <c r="OL50" s="6221">
        <f>OL19-OL49</f>
        <v>102782.19750000001</v>
      </c>
      <c r="OM50" s="6221">
        <f>OM19-OM49</f>
        <v>8234815.7999999998</v>
      </c>
      <c r="ON50" s="6223">
        <f>OM50/OI19</f>
        <v>4.050206867651919E-2</v>
      </c>
      <c r="OO50" s="6220"/>
      <c r="OP50" s="6222"/>
      <c r="OQ50" s="6222"/>
      <c r="OR50" s="6222"/>
      <c r="OS50" s="6222"/>
      <c r="OT50" s="6221">
        <f>OT19-OT49</f>
        <v>5720.2200000000012</v>
      </c>
      <c r="OU50" s="6221">
        <f>OU19-OU49</f>
        <v>457617.59999999963</v>
      </c>
      <c r="OV50" s="6223">
        <f>OU50/OQ19</f>
        <v>2.3523688306667989E-3</v>
      </c>
      <c r="OW50" s="4866"/>
      <c r="OX50" s="6233"/>
      <c r="OY50" s="6232"/>
      <c r="OZ50" s="6232"/>
      <c r="PA50" s="6232"/>
      <c r="PB50" s="6232"/>
      <c r="PC50" s="6232"/>
      <c r="PD50" s="6232"/>
      <c r="PE50" s="6234">
        <f>PE19-PE49</f>
        <v>21336.6525</v>
      </c>
      <c r="PF50" s="6234">
        <f>PF19-PF49</f>
        <v>1707472.2</v>
      </c>
      <c r="PG50" s="6235">
        <f>PF50/OZ19</f>
        <v>2.7722196822197082E-2</v>
      </c>
      <c r="PH50" s="6236"/>
      <c r="PI50" s="6232"/>
      <c r="PJ50" s="6232"/>
      <c r="PK50" s="6232"/>
      <c r="PL50" s="6232"/>
      <c r="PM50" s="6232"/>
      <c r="PN50" s="6232"/>
      <c r="PO50" s="6234">
        <f>PO19-PO49</f>
        <v>16238.240000000005</v>
      </c>
      <c r="PP50" s="6234">
        <f>PP19-PP49</f>
        <v>1299059.2000000002</v>
      </c>
      <c r="PQ50" s="6235">
        <f>PP50/PJ19</f>
        <v>1.9624362525818988E-2</v>
      </c>
      <c r="PR50" s="6236"/>
      <c r="PS50" s="6232"/>
      <c r="PT50" s="6232"/>
      <c r="PU50" s="6232"/>
      <c r="PV50" s="6232"/>
      <c r="PW50" s="6232"/>
      <c r="PX50" s="6232"/>
      <c r="PY50" s="6234">
        <f>PY19-PY49</f>
        <v>7911.9249999999993</v>
      </c>
      <c r="PZ50" s="6234">
        <f>PZ19-PZ49</f>
        <v>632954.00000000047</v>
      </c>
      <c r="QA50" s="6235">
        <f>PZ50/PT19</f>
        <v>1.0419460755661442E-2</v>
      </c>
      <c r="QB50" s="6236"/>
      <c r="QC50" s="6232"/>
      <c r="QD50" s="6232"/>
      <c r="QE50" s="6232"/>
      <c r="QF50" s="6232"/>
      <c r="QG50" s="6232"/>
      <c r="QH50" s="6232"/>
      <c r="QI50" s="6234">
        <f>QI19-QI49</f>
        <v>9556.0550000000039</v>
      </c>
      <c r="QJ50" s="6234">
        <f>QJ19-QJ49</f>
        <v>764484.40000000037</v>
      </c>
      <c r="QK50" s="6235">
        <f>QJ50/QD19</f>
        <v>1.734055644284159E-2</v>
      </c>
      <c r="QL50" s="6236"/>
      <c r="QM50" s="6232"/>
      <c r="QN50" s="6232"/>
      <c r="QO50" s="6232"/>
      <c r="QP50" s="6232"/>
      <c r="QQ50" s="6232"/>
      <c r="QR50" s="6232"/>
      <c r="QS50" s="6234">
        <f>QS19-QS49</f>
        <v>23774.33</v>
      </c>
      <c r="QT50" s="6234">
        <f>QT19-QT49</f>
        <v>1901946.4</v>
      </c>
      <c r="QU50" s="6235">
        <f>QT50/QN19</f>
        <v>3.5385839311761376E-2</v>
      </c>
      <c r="QV50" s="6233"/>
      <c r="QW50" s="6232"/>
      <c r="QX50" s="6232"/>
      <c r="QY50" s="6234"/>
      <c r="QZ50" s="6232"/>
      <c r="RA50" s="6232"/>
      <c r="RB50" s="6232"/>
      <c r="RC50" s="6234">
        <f>RC19-RC49</f>
        <v>-18793.324999999997</v>
      </c>
      <c r="RD50" s="6234">
        <f>RD19-RD49</f>
        <v>-1503466.0000000005</v>
      </c>
      <c r="RE50" s="6235">
        <f>RD50/QX19</f>
        <v>-3.2762262668158008E-2</v>
      </c>
      <c r="RF50" s="6233"/>
      <c r="RG50" s="6232"/>
      <c r="RH50" s="6232"/>
      <c r="RI50" s="6232"/>
      <c r="RJ50" s="6232"/>
      <c r="RK50" s="6232"/>
      <c r="RL50" s="6232"/>
      <c r="RM50" s="6234">
        <f>RM19-RM49</f>
        <v>13583.155000000002</v>
      </c>
      <c r="RN50" s="6234">
        <f>RN19-RN49</f>
        <v>1086652.3999999999</v>
      </c>
      <c r="RO50" s="6235">
        <f>RN50/RH19</f>
        <v>2.1639358234587527E-2</v>
      </c>
      <c r="RP50" s="6233"/>
      <c r="RQ50" s="6232"/>
      <c r="RR50" s="6232"/>
      <c r="RS50" s="6232"/>
      <c r="RT50" s="6232"/>
      <c r="RU50" s="6232"/>
      <c r="RV50" s="6232"/>
      <c r="RW50" s="6234">
        <f>RW19-RW49</f>
        <v>9633.9524999999994</v>
      </c>
      <c r="RX50" s="6234">
        <f>RX19-RX49</f>
        <v>770716.20000000019</v>
      </c>
      <c r="RY50" s="6235">
        <f>RX50/RR19</f>
        <v>1.7326688022325606E-2</v>
      </c>
      <c r="RZ50" s="6237"/>
      <c r="SA50" s="6234"/>
      <c r="SB50" s="6232"/>
      <c r="SC50" s="6234"/>
      <c r="SD50" s="6232"/>
      <c r="SE50" s="6232"/>
      <c r="SF50" s="6232"/>
      <c r="SG50" s="6234">
        <f>SG19-SG49</f>
        <v>8722.1474999999991</v>
      </c>
      <c r="SH50" s="6234">
        <f>SH19-SH49</f>
        <v>697771.80000000028</v>
      </c>
      <c r="SI50" s="6235">
        <f>SH50/SB19</f>
        <v>1.7255212382710269E-2</v>
      </c>
      <c r="SJ50" s="6237"/>
      <c r="SK50" s="6234"/>
      <c r="SL50" s="6234"/>
      <c r="SM50" s="6234"/>
      <c r="SN50" s="6234"/>
      <c r="SO50" s="6234"/>
      <c r="SP50" s="6234"/>
      <c r="SQ50" s="6234">
        <f>SQ19-SQ49</f>
        <v>2389.0325000000012</v>
      </c>
      <c r="SR50" s="6234">
        <f>SR19-SR49</f>
        <v>191122.60000000009</v>
      </c>
      <c r="SS50" s="6235">
        <f>SR50/SL19</f>
        <v>4.9546881372152483E-3</v>
      </c>
      <c r="ST50" s="6220"/>
      <c r="SU50" s="6222"/>
      <c r="SV50" s="6222"/>
      <c r="SW50" s="6222"/>
      <c r="SX50" s="6222"/>
      <c r="SY50" s="6222"/>
      <c r="SZ50" s="6222"/>
      <c r="TA50" s="6221">
        <f>TA19-TA49</f>
        <v>5544.8899999999994</v>
      </c>
      <c r="TB50" s="6221">
        <f>TB19-TB49</f>
        <v>429811.20000000042</v>
      </c>
      <c r="TC50" s="6223">
        <f>TB50/SV19</f>
        <v>1.1442713380544178E-2</v>
      </c>
      <c r="TD50" s="6220"/>
      <c r="TE50" s="6222"/>
      <c r="TF50" s="6222"/>
      <c r="TG50" s="6222"/>
      <c r="TH50" s="6222"/>
      <c r="TI50" s="6222"/>
      <c r="TJ50" s="6222"/>
      <c r="TK50" s="6221">
        <f>TK19-TK49</f>
        <v>5976.5275000000001</v>
      </c>
      <c r="TL50" s="6221">
        <f>TL19-TL49</f>
        <v>478122.20000000019</v>
      </c>
      <c r="TM50" s="6223">
        <f>TL50/TF19</f>
        <v>1.4511337657278484E-2</v>
      </c>
      <c r="TN50" s="6220"/>
      <c r="TO50" s="6222"/>
      <c r="TP50" s="6222"/>
      <c r="TQ50" s="6222"/>
      <c r="TR50" s="6222"/>
      <c r="TS50" s="6221">
        <f>TS19-TS49</f>
        <v>105873.58249999999</v>
      </c>
      <c r="TT50" s="6221">
        <f>TT19-TT49</f>
        <v>8456646.5999999978</v>
      </c>
      <c r="TU50" s="6223">
        <f>TT50/TP19</f>
        <v>1.4669408346620387E-2</v>
      </c>
      <c r="TV50" s="6220"/>
      <c r="TW50" s="6222"/>
      <c r="TX50" s="6222"/>
      <c r="TY50" s="6222"/>
      <c r="TZ50" s="6222"/>
      <c r="UA50" s="6221">
        <f>UA19-UA49</f>
        <v>45486.817500000019</v>
      </c>
      <c r="UB50" s="6221">
        <f>UB19-UB49-429480</f>
        <v>3210005.4000000004</v>
      </c>
      <c r="UC50" s="6223">
        <f>UB50/TX19</f>
        <v>1.7025974664441838E-2</v>
      </c>
      <c r="UD50" s="6220"/>
      <c r="UE50" s="6222"/>
      <c r="UF50" s="6222"/>
      <c r="UG50" s="6222"/>
      <c r="UH50" s="6222"/>
      <c r="UI50" s="6221">
        <f>UI19-UI49</f>
        <v>15582.222499999989</v>
      </c>
      <c r="UJ50" s="6221">
        <f>UJ19-UJ49</f>
        <v>1246577.7999999998</v>
      </c>
      <c r="UK50" s="6223">
        <f>UJ50/UF19</f>
        <v>8.6733253944205474E-3</v>
      </c>
      <c r="UL50" s="6220"/>
      <c r="UM50" s="6222"/>
      <c r="UN50" s="6222"/>
      <c r="UO50" s="6222"/>
      <c r="UP50" s="6222"/>
      <c r="UQ50" s="6221">
        <f>UQ19-UQ49</f>
        <v>31939.25499999999</v>
      </c>
      <c r="UR50" s="6221">
        <f>UR19-UR49</f>
        <v>2555140.4000000004</v>
      </c>
      <c r="US50" s="6223">
        <f>UR50/UN19</f>
        <v>1.8907883025932375E-2</v>
      </c>
      <c r="UT50" s="6220"/>
      <c r="UU50" s="6222"/>
      <c r="UV50" s="6222"/>
      <c r="UW50" s="6222"/>
      <c r="UX50" s="6222"/>
      <c r="UY50" s="6221">
        <f>UY19-UY49</f>
        <v>13910.450000000004</v>
      </c>
      <c r="UZ50" s="6221">
        <f>UZ19-UZ49</f>
        <v>1099056.0000000009</v>
      </c>
      <c r="VA50" s="6223">
        <f>UZ50/UV19</f>
        <v>1.0075292685265061E-2</v>
      </c>
      <c r="VB50" s="4866"/>
      <c r="VC50" s="6233"/>
      <c r="VD50" s="6232"/>
      <c r="VE50" s="6232"/>
      <c r="VF50" s="6232"/>
      <c r="VG50" s="6232"/>
      <c r="VH50" s="6232"/>
      <c r="VI50" s="6232"/>
      <c r="VJ50" s="6234">
        <f>VJ19-VJ49</f>
        <v>9951.7350000000006</v>
      </c>
      <c r="VK50" s="6234">
        <f>VK19-VK49</f>
        <v>796138.80000000028</v>
      </c>
      <c r="VL50" s="6235">
        <f>VK50/VE19</f>
        <v>2.1116754231102215E-2</v>
      </c>
      <c r="VM50" s="6236"/>
      <c r="VN50" s="6232"/>
      <c r="VO50" s="6232"/>
      <c r="VP50" s="6232"/>
      <c r="VQ50" s="6232"/>
      <c r="VR50" s="6232"/>
      <c r="VS50" s="6232"/>
      <c r="VT50" s="6234">
        <f>VT19-VT49</f>
        <v>9537.4300000000057</v>
      </c>
      <c r="VU50" s="6234">
        <f>VU19-VU49</f>
        <v>762994.40000000014</v>
      </c>
      <c r="VV50" s="6235">
        <f>VU50/VO19</f>
        <v>2.2761269792963643E-2</v>
      </c>
      <c r="VW50" s="6236"/>
      <c r="VX50" s="6232"/>
      <c r="VY50" s="6232"/>
      <c r="VZ50" s="6232"/>
      <c r="WA50" s="6232"/>
      <c r="WB50" s="6232"/>
      <c r="WC50" s="6232"/>
      <c r="WD50" s="6234">
        <f>WD19-WD49</f>
        <v>4429.744999999999</v>
      </c>
      <c r="WE50" s="6234">
        <f>WE19-WE49</f>
        <v>354379.60000000009</v>
      </c>
      <c r="WF50" s="6235">
        <f>WE50/VY19</f>
        <v>1.085747892964096E-2</v>
      </c>
      <c r="WG50" s="6236"/>
      <c r="WH50" s="6232"/>
      <c r="WI50" s="6232"/>
      <c r="WJ50" s="6232"/>
      <c r="WK50" s="6232"/>
      <c r="WL50" s="6232"/>
      <c r="WM50" s="6232"/>
      <c r="WN50" s="6234">
        <f>WN19-WN49</f>
        <v>17791.987499999999</v>
      </c>
      <c r="WO50" s="6234">
        <f>WO19-WO49</f>
        <v>1423359</v>
      </c>
      <c r="WP50" s="6235">
        <f>WO50/WI19</f>
        <v>3.6873506416765588E-2</v>
      </c>
      <c r="WQ50" s="6236"/>
      <c r="WR50" s="6232"/>
      <c r="WS50" s="6232"/>
      <c r="WT50" s="6232"/>
      <c r="WU50" s="6232"/>
      <c r="WV50" s="6232"/>
      <c r="WW50" s="6232"/>
      <c r="WX50" s="6234">
        <f>WX19-WX49</f>
        <v>1076.3050000000003</v>
      </c>
      <c r="WY50" s="6234">
        <f>WY19-WY49</f>
        <v>86104.399999999907</v>
      </c>
      <c r="WZ50" s="6235">
        <f>WY50/WS19</f>
        <v>2.5757111495156612E-3</v>
      </c>
      <c r="XA50" s="6233"/>
      <c r="XB50" s="6232"/>
      <c r="XC50" s="6232"/>
      <c r="XD50" s="6234"/>
      <c r="XE50" s="6232"/>
      <c r="XF50" s="6232"/>
      <c r="XG50" s="6232"/>
      <c r="XH50" s="6234">
        <f>XH19-XH49</f>
        <v>6125.9874999999993</v>
      </c>
      <c r="XI50" s="6234">
        <f>XI19-XI49</f>
        <v>490079</v>
      </c>
      <c r="XJ50" s="6235">
        <f>XI50/XC19</f>
        <v>1.6115243694233804E-2</v>
      </c>
      <c r="XK50" s="6233"/>
      <c r="XL50" s="6232"/>
      <c r="XM50" s="6232"/>
      <c r="XN50" s="6232"/>
      <c r="XO50" s="6232"/>
      <c r="XP50" s="6232"/>
      <c r="XQ50" s="6232"/>
      <c r="XR50" s="6234">
        <f>XR19-XR49</f>
        <v>-18488.899999999994</v>
      </c>
      <c r="XS50" s="6234">
        <f>XS19-XS49</f>
        <v>-1479112</v>
      </c>
      <c r="XT50" s="6235">
        <f>XS50/XM19</f>
        <v>-4.237142086862318E-2</v>
      </c>
      <c r="XU50" s="6233"/>
      <c r="XV50" s="6232"/>
      <c r="XW50" s="6232"/>
      <c r="XX50" s="6232"/>
      <c r="XY50" s="6232"/>
      <c r="XZ50" s="6232"/>
      <c r="YA50" s="6232"/>
      <c r="YB50" s="6234">
        <f>YB19-YB49</f>
        <v>2138.6533333333209</v>
      </c>
      <c r="YC50" s="6234">
        <f>YC19-YC49</f>
        <v>171625.60000000009</v>
      </c>
      <c r="YD50" s="6235">
        <f>YC50/XW19</f>
        <v>5.8384124934820958E-3</v>
      </c>
      <c r="YE50" s="6237"/>
      <c r="YF50" s="6234"/>
      <c r="YG50" s="6232"/>
      <c r="YH50" s="6234"/>
      <c r="YI50" s="6232"/>
      <c r="YJ50" s="6232"/>
      <c r="YK50" s="6232"/>
      <c r="YL50" s="6234">
        <f>YL19-YL49</f>
        <v>-23667.017499999994</v>
      </c>
      <c r="YM50" s="6234">
        <f>YM19-YM49</f>
        <v>-1891961.4000000004</v>
      </c>
      <c r="YN50" s="6235">
        <f>YM50/YG19</f>
        <v>-5.3495509768999652E-2</v>
      </c>
      <c r="YO50" s="6237"/>
      <c r="YP50" s="6234"/>
      <c r="YQ50" s="6234"/>
      <c r="YR50" s="6234"/>
      <c r="YS50" s="6234"/>
      <c r="YT50" s="6234"/>
      <c r="YU50" s="6234"/>
      <c r="YV50" s="6234">
        <f>YV19-YV49</f>
        <v>14115.037500000002</v>
      </c>
      <c r="YW50" s="6234">
        <f>YW19-YW49</f>
        <v>1129203.0000000005</v>
      </c>
      <c r="YX50" s="6235">
        <f>YW50/YQ19</f>
        <v>2.9184887788901721E-2</v>
      </c>
      <c r="YY50" s="6220"/>
      <c r="YZ50" s="6222"/>
      <c r="ZA50" s="6222"/>
      <c r="ZB50" s="6222"/>
      <c r="ZC50" s="6222"/>
      <c r="ZD50" s="6222"/>
      <c r="ZE50" s="6222"/>
      <c r="ZF50" s="6221">
        <f>ZF19-ZF49</f>
        <v>0</v>
      </c>
      <c r="ZG50" s="6221">
        <f>ZG19-ZG49</f>
        <v>0</v>
      </c>
      <c r="ZH50" s="6223" t="e">
        <f>ZG50/ZA19</f>
        <v>#DIV/0!</v>
      </c>
      <c r="ZI50" s="6220"/>
      <c r="ZJ50" s="6222"/>
      <c r="ZK50" s="6222"/>
      <c r="ZL50" s="6222"/>
      <c r="ZM50" s="6222"/>
      <c r="ZN50" s="6222"/>
      <c r="ZO50" s="6222"/>
      <c r="ZP50" s="6221">
        <f>ZP19-ZP49</f>
        <v>0</v>
      </c>
      <c r="ZQ50" s="6221">
        <f>ZQ19-ZQ49</f>
        <v>0</v>
      </c>
      <c r="ZR50" s="6223" t="e">
        <f>ZQ50/ZK19</f>
        <v>#DIV/0!</v>
      </c>
      <c r="ZS50" s="6220"/>
      <c r="ZT50" s="6222"/>
      <c r="ZU50" s="6222"/>
      <c r="ZV50" s="6222"/>
      <c r="ZW50" s="6222"/>
      <c r="ZX50" s="6221">
        <f>ZX19-ZX49</f>
        <v>23010.96333333326</v>
      </c>
      <c r="ZY50" s="6221">
        <f>ZY19-ZY49</f>
        <v>1842810.4000000022</v>
      </c>
      <c r="ZZ50" s="6223">
        <f>ZY50/ZU19</f>
        <v>5.3466516316004031E-3</v>
      </c>
      <c r="AAA50" s="4390"/>
      <c r="AAB50" s="4391"/>
      <c r="AAC50" s="4391"/>
      <c r="AAD50" s="4391"/>
      <c r="AAE50" s="4391"/>
      <c r="AAF50" s="4392">
        <f>AAF19-AAF49</f>
        <v>23918.910000000011</v>
      </c>
      <c r="AAG50" s="4392">
        <f>AAG19-AAG49-429480</f>
        <v>1484032.8000000007</v>
      </c>
      <c r="AAH50" s="4393">
        <f>AAG50/AAC19</f>
        <v>1.4288425340337385E-2</v>
      </c>
      <c r="AAI50" s="4390"/>
      <c r="AAJ50" s="4391"/>
      <c r="AAK50" s="4391"/>
      <c r="AAL50" s="4391"/>
      <c r="AAM50" s="4391"/>
      <c r="AAN50" s="4392">
        <f>AAN19-AAN49</f>
        <v>27965.53</v>
      </c>
      <c r="AAO50" s="4392">
        <f>AAO19-AAO49</f>
        <v>2237242.4</v>
      </c>
      <c r="AAP50" s="4393">
        <f>AAO50/AAK19</f>
        <v>2.1839241799002752E-2</v>
      </c>
      <c r="AAQ50" s="4394"/>
      <c r="AAR50" s="4395"/>
      <c r="AAS50" s="4395"/>
      <c r="AAT50" s="4395"/>
      <c r="AAU50" s="4395"/>
      <c r="AAV50" s="4267">
        <f>AAV19-AAV49</f>
        <v>-44517.26416666669</v>
      </c>
      <c r="AAW50" s="4267">
        <f>AAW19-AAW49</f>
        <v>-3559447.7999999989</v>
      </c>
      <c r="AAX50" s="4396">
        <f>AAW50/AAS19</f>
        <v>-3.5841456025570879E-2</v>
      </c>
      <c r="AAY50" s="4394"/>
      <c r="AAZ50" s="4395"/>
      <c r="ABA50" s="4395"/>
      <c r="ABB50" s="4395"/>
      <c r="ABC50" s="4395"/>
      <c r="ABD50" s="4267">
        <f>ABD19-ABD49</f>
        <v>14115.037500000002</v>
      </c>
      <c r="ABE50" s="4267">
        <f>ABE19-ABE49</f>
        <v>1129203.0000000005</v>
      </c>
      <c r="ABF50" s="4396">
        <f>ABE50/ABA19</f>
        <v>2.9184887788901721E-2</v>
      </c>
    </row>
    <row r="51" spans="1:734" x14ac:dyDescent="0.3">
      <c r="A51" s="12"/>
      <c r="B51" s="1" t="s">
        <v>34</v>
      </c>
      <c r="D51" s="12"/>
      <c r="K51" s="17"/>
      <c r="Q51" s="172"/>
      <c r="R51" s="172"/>
      <c r="S51" s="15"/>
      <c r="Y51" s="172"/>
      <c r="Z51" s="172"/>
      <c r="AA51" s="336"/>
      <c r="AG51" s="172"/>
      <c r="AH51" s="172"/>
      <c r="AI51" s="47"/>
      <c r="AO51" s="172"/>
      <c r="AP51" s="172"/>
      <c r="AQ51" s="17"/>
      <c r="AW51" s="172"/>
      <c r="AX51" s="172"/>
      <c r="AY51" s="17"/>
      <c r="BE51" s="172"/>
      <c r="BF51" s="172"/>
      <c r="BG51" s="17"/>
      <c r="BM51" s="172"/>
      <c r="BN51" s="172"/>
      <c r="BO51" s="3"/>
      <c r="BP51" s="12"/>
      <c r="BU51" s="172"/>
      <c r="BV51" s="172"/>
      <c r="BW51" s="15"/>
      <c r="CC51" s="172"/>
      <c r="CD51" s="172"/>
      <c r="CE51" s="3"/>
      <c r="CF51" s="12"/>
      <c r="CK51" s="172"/>
      <c r="CL51" s="172"/>
      <c r="CM51" s="337"/>
      <c r="CS51" s="172"/>
      <c r="CT51" s="338">
        <f>(CR19)*7.9%/12</f>
        <v>212397.16166666665</v>
      </c>
      <c r="CU51" s="17"/>
      <c r="DA51" s="172"/>
      <c r="DB51" s="338">
        <f>(CZ19)*7.9%/12</f>
        <v>2368582.8716666666</v>
      </c>
      <c r="DC51" s="17"/>
      <c r="DD51" s="12"/>
      <c r="DI51" s="172"/>
      <c r="DJ51" s="338">
        <f>(33767230)*7.9%/12</f>
        <v>222300.93083333332</v>
      </c>
      <c r="DK51" s="337"/>
      <c r="DL51" s="12"/>
      <c r="DQ51" s="172"/>
      <c r="DR51" s="338">
        <f>(32302480)*7.9%/12</f>
        <v>212657.99333333332</v>
      </c>
      <c r="DS51" s="337"/>
      <c r="DT51" s="12"/>
      <c r="DZ51" s="338">
        <f>(36733830)*7.9%/12</f>
        <v>241831.04749999999</v>
      </c>
      <c r="EA51" s="337"/>
      <c r="EB51" s="142"/>
      <c r="EG51" s="172"/>
      <c r="EH51" s="338">
        <f>(EF19)*7.9%/12</f>
        <v>238631.48166666669</v>
      </c>
      <c r="EI51" s="339"/>
      <c r="EJ51" s="142"/>
      <c r="EO51" s="172"/>
      <c r="EP51" s="338">
        <f>(EN19)*7.9%/12</f>
        <v>277449.31666666665</v>
      </c>
      <c r="EQ51" s="339"/>
      <c r="ER51" s="142"/>
      <c r="EW51" s="172"/>
      <c r="EX51" s="338">
        <f>(EV19)*7.9%/12</f>
        <v>272901.35249999998</v>
      </c>
      <c r="EY51" s="339"/>
      <c r="EZ51" s="142"/>
      <c r="FE51" s="172"/>
      <c r="FF51" s="338">
        <f>(FD19)*7.9%/12</f>
        <v>278270.06083333335</v>
      </c>
      <c r="FG51" s="143"/>
      <c r="FM51" s="172"/>
      <c r="FN51" s="338">
        <f>(FL19)*7.9%/12</f>
        <v>276526.26750000002</v>
      </c>
      <c r="FO51" s="15"/>
      <c r="FW51" s="172"/>
      <c r="FX51" s="338">
        <f>(FT19)*7.9%/12</f>
        <v>290298.27166666667</v>
      </c>
      <c r="FY51" s="3"/>
      <c r="FZ51" s="319"/>
      <c r="GG51" s="178"/>
      <c r="GH51" s="340">
        <f>(GD19)*7.9%/12</f>
        <v>258728.88416666666</v>
      </c>
      <c r="GI51" s="341"/>
      <c r="GJ51" s="342"/>
      <c r="GK51" s="321"/>
      <c r="GL51" s="321"/>
      <c r="GM51" s="321"/>
      <c r="GN51" s="321"/>
      <c r="GO51" s="321"/>
      <c r="GP51" s="321"/>
      <c r="GQ51" s="343"/>
      <c r="GR51" s="234">
        <f>(GN19)*7.9%/12</f>
        <v>270427.59916666668</v>
      </c>
      <c r="GS51" s="344"/>
      <c r="GT51" s="12"/>
      <c r="HA51" s="172"/>
      <c r="HB51" s="234">
        <f>(GX19)*7.9%/12</f>
        <v>337327.23499999999</v>
      </c>
      <c r="HC51" s="48"/>
      <c r="HD51" s="12"/>
      <c r="HI51" s="172"/>
      <c r="HJ51" s="171">
        <f>HB51+GR51+GH51+FX51+FN51+FF51+EX51+EP51+EH51+DZ51+DR51+DJ51</f>
        <v>3177350.4408333325</v>
      </c>
      <c r="HK51" s="344"/>
      <c r="HL51" s="12"/>
      <c r="HQ51" s="172"/>
      <c r="HR51" s="8">
        <f>DJ51+DR51+DZ51</f>
        <v>676789.97166666668</v>
      </c>
      <c r="HS51" s="337"/>
      <c r="HT51" s="12"/>
      <c r="HY51" s="172"/>
      <c r="HZ51" s="171">
        <f>EH51+EP51+EX51</f>
        <v>788982.15083333338</v>
      </c>
      <c r="IA51" s="337"/>
      <c r="IB51" s="12"/>
      <c r="IG51" s="172"/>
      <c r="IH51" s="171">
        <f>(FF51+FN51+FX51)</f>
        <v>845094.60000000009</v>
      </c>
      <c r="II51" s="17"/>
      <c r="IJ51" s="12"/>
      <c r="IO51" s="172"/>
      <c r="IP51" s="171">
        <f>(GH51+GR51+HB51)</f>
        <v>866483.71833333338</v>
      </c>
      <c r="IQ51" s="17"/>
      <c r="IS51" s="49"/>
      <c r="IT51" s="50"/>
      <c r="IU51" s="50"/>
      <c r="IV51" s="50"/>
      <c r="IW51" s="50"/>
      <c r="IX51" s="50"/>
      <c r="IY51" s="50"/>
      <c r="IZ51" s="182"/>
      <c r="JA51" s="183">
        <v>0</v>
      </c>
      <c r="JB51" s="47"/>
      <c r="JC51" s="51"/>
      <c r="JD51" s="50"/>
      <c r="JE51" s="50"/>
      <c r="JF51" s="50"/>
      <c r="JG51" s="50"/>
      <c r="JH51" s="50"/>
      <c r="JI51" s="50"/>
      <c r="JJ51" s="182"/>
      <c r="JK51" s="183">
        <v>0</v>
      </c>
      <c r="JL51" s="47"/>
      <c r="JM51" s="51"/>
      <c r="JN51" s="50"/>
      <c r="JO51" s="50"/>
      <c r="JP51" s="50"/>
      <c r="JQ51" s="50"/>
      <c r="JR51" s="50"/>
      <c r="JS51" s="50"/>
      <c r="JT51" s="182"/>
      <c r="JU51" s="183">
        <v>0</v>
      </c>
      <c r="JV51" s="47"/>
      <c r="JW51" s="51"/>
      <c r="JX51" s="50"/>
      <c r="JY51" s="50"/>
      <c r="JZ51" s="50"/>
      <c r="KA51" s="50"/>
      <c r="KB51" s="50"/>
      <c r="KC51" s="50"/>
      <c r="KD51" s="182"/>
      <c r="KE51" s="183">
        <v>0</v>
      </c>
      <c r="KF51" s="47"/>
      <c r="KG51" s="51"/>
      <c r="KH51" s="50"/>
      <c r="KI51" s="50"/>
      <c r="KJ51" s="50"/>
      <c r="KK51" s="50"/>
      <c r="KL51" s="50"/>
      <c r="KM51" s="50"/>
      <c r="KN51" s="182"/>
      <c r="KO51" s="183">
        <v>0</v>
      </c>
      <c r="KP51" s="47"/>
      <c r="KQ51" s="49"/>
      <c r="KR51" s="50"/>
      <c r="KS51" s="50"/>
      <c r="KT51" s="184"/>
      <c r="KU51" s="50"/>
      <c r="KV51" s="50"/>
      <c r="KW51" s="50"/>
      <c r="KX51" s="182"/>
      <c r="KY51" s="183">
        <v>0</v>
      </c>
      <c r="KZ51" s="47"/>
      <c r="LA51" s="49"/>
      <c r="LB51" s="50"/>
      <c r="LC51" s="50"/>
      <c r="LD51" s="50"/>
      <c r="LE51" s="50"/>
      <c r="LF51" s="50"/>
      <c r="LG51" s="50"/>
      <c r="LH51" s="182"/>
      <c r="LI51" s="183">
        <v>0</v>
      </c>
      <c r="LJ51" s="47"/>
      <c r="LK51" s="49"/>
      <c r="LL51" s="50"/>
      <c r="LM51" s="50"/>
      <c r="LN51" s="50"/>
      <c r="LO51" s="50"/>
      <c r="LP51" s="50"/>
      <c r="LQ51" s="50"/>
      <c r="LR51" s="182"/>
      <c r="LS51" s="183">
        <v>0</v>
      </c>
      <c r="LT51" s="47"/>
      <c r="LU51" s="345"/>
      <c r="LV51" s="346"/>
      <c r="LW51" s="347"/>
      <c r="LX51" s="346"/>
      <c r="LY51" s="50"/>
      <c r="LZ51" s="50"/>
      <c r="MA51" s="50"/>
      <c r="MB51" s="182"/>
      <c r="MC51" s="183">
        <v>0</v>
      </c>
      <c r="MD51" s="47"/>
      <c r="ME51" s="345"/>
      <c r="MF51" s="346"/>
      <c r="MG51" s="346"/>
      <c r="MH51" s="346"/>
      <c r="MI51" s="346"/>
      <c r="MJ51" s="346"/>
      <c r="MK51" s="346"/>
      <c r="ML51" s="182"/>
      <c r="MM51" s="183">
        <v>0</v>
      </c>
      <c r="MN51" s="47"/>
      <c r="MO51" s="12"/>
      <c r="MV51" s="235"/>
      <c r="MW51" s="234">
        <v>0</v>
      </c>
      <c r="MX51" s="3"/>
      <c r="MY51" s="12"/>
      <c r="NF51" s="235"/>
      <c r="NG51" s="234">
        <v>0</v>
      </c>
      <c r="NH51" s="17"/>
      <c r="NI51" s="53"/>
      <c r="NJ51" s="53"/>
      <c r="NK51" s="53"/>
      <c r="NL51" s="53"/>
      <c r="NM51" s="53"/>
      <c r="NN51" s="275">
        <v>0</v>
      </c>
      <c r="NO51" s="275">
        <v>0</v>
      </c>
      <c r="NP51" s="40"/>
      <c r="NQ51" s="52"/>
      <c r="NR51" s="53"/>
      <c r="NS51" s="53"/>
      <c r="NT51" s="53"/>
      <c r="NU51" s="53"/>
      <c r="NV51" s="274"/>
      <c r="NW51" s="275">
        <f>(NU19)*7.9%/12</f>
        <v>1173813.8633333333</v>
      </c>
      <c r="NX51" s="40"/>
      <c r="NY51" s="52"/>
      <c r="NZ51" s="53"/>
      <c r="OA51" s="53"/>
      <c r="OB51" s="53"/>
      <c r="OC51" s="53"/>
      <c r="OD51" s="274"/>
      <c r="OE51" s="275">
        <f>(OC19)*7.9%/12</f>
        <v>1233670.32</v>
      </c>
      <c r="OF51" s="40"/>
      <c r="OG51" s="12"/>
      <c r="OL51" s="235"/>
      <c r="OM51" s="234">
        <f>(OK19)*7.9%/12</f>
        <v>1210135.43</v>
      </c>
      <c r="ON51" s="17"/>
      <c r="OO51" s="12"/>
      <c r="OT51" s="235"/>
      <c r="OU51" s="234">
        <v>0</v>
      </c>
      <c r="OV51" s="17"/>
      <c r="OX51" s="49"/>
      <c r="OY51" s="50"/>
      <c r="OZ51" s="50"/>
      <c r="PA51" s="50"/>
      <c r="PB51" s="50"/>
      <c r="PC51" s="50"/>
      <c r="PD51" s="50"/>
      <c r="PE51" s="182"/>
      <c r="PF51" s="275">
        <v>0</v>
      </c>
      <c r="PG51" s="47"/>
      <c r="PH51" s="51"/>
      <c r="PI51" s="50"/>
      <c r="PJ51" s="50"/>
      <c r="PK51" s="50"/>
      <c r="PL51" s="50"/>
      <c r="PM51" s="50"/>
      <c r="PN51" s="50"/>
      <c r="PO51" s="182"/>
      <c r="PP51" s="275">
        <v>0</v>
      </c>
      <c r="PQ51" s="47"/>
      <c r="PR51" s="51"/>
      <c r="PS51" s="50"/>
      <c r="PT51" s="50"/>
      <c r="PU51" s="50"/>
      <c r="PV51" s="50"/>
      <c r="PW51" s="50"/>
      <c r="PX51" s="50"/>
      <c r="PY51" s="182"/>
      <c r="PZ51" s="183">
        <v>0</v>
      </c>
      <c r="QA51" s="47"/>
      <c r="QB51" s="51"/>
      <c r="QC51" s="50"/>
      <c r="QD51" s="50"/>
      <c r="QE51" s="50"/>
      <c r="QF51" s="50"/>
      <c r="QG51" s="50"/>
      <c r="QH51" s="50"/>
      <c r="QI51" s="182"/>
      <c r="QJ51" s="183">
        <v>0</v>
      </c>
      <c r="QK51" s="47"/>
      <c r="QL51" s="51"/>
      <c r="QM51" s="50"/>
      <c r="QN51" s="50"/>
      <c r="QO51" s="50"/>
      <c r="QP51" s="50"/>
      <c r="QQ51" s="50"/>
      <c r="QR51" s="50"/>
      <c r="QS51" s="182"/>
      <c r="QT51" s="183">
        <v>0</v>
      </c>
      <c r="QU51" s="47"/>
      <c r="QV51" s="49"/>
      <c r="QW51" s="50"/>
      <c r="QX51" s="50"/>
      <c r="QY51" s="184"/>
      <c r="QZ51" s="50"/>
      <c r="RA51" s="50"/>
      <c r="RB51" s="50"/>
      <c r="RC51" s="182"/>
      <c r="RD51" s="183">
        <v>0</v>
      </c>
      <c r="RE51" s="47"/>
      <c r="RF51" s="49"/>
      <c r="RG51" s="50"/>
      <c r="RH51" s="50"/>
      <c r="RI51" s="50"/>
      <c r="RJ51" s="50"/>
      <c r="RK51" s="50"/>
      <c r="RL51" s="50"/>
      <c r="RM51" s="182"/>
      <c r="RN51" s="183">
        <v>0</v>
      </c>
      <c r="RO51" s="47"/>
      <c r="RP51" s="49"/>
      <c r="RQ51" s="50"/>
      <c r="RR51" s="50"/>
      <c r="RS51" s="50"/>
      <c r="RT51" s="50"/>
      <c r="RU51" s="50"/>
      <c r="RV51" s="50"/>
      <c r="RW51" s="182"/>
      <c r="RX51" s="183">
        <v>0</v>
      </c>
      <c r="RY51" s="47"/>
      <c r="RZ51" s="345"/>
      <c r="SA51" s="346"/>
      <c r="SB51" s="347"/>
      <c r="SC51" s="346"/>
      <c r="SD51" s="50"/>
      <c r="SE51" s="50"/>
      <c r="SF51" s="50"/>
      <c r="SG51" s="182"/>
      <c r="SH51" s="183">
        <v>0</v>
      </c>
      <c r="SI51" s="47"/>
      <c r="SJ51" s="345"/>
      <c r="SK51" s="346"/>
      <c r="SL51" s="346"/>
      <c r="SM51" s="346"/>
      <c r="SN51" s="346"/>
      <c r="SO51" s="346"/>
      <c r="SP51" s="346"/>
      <c r="SQ51" s="182"/>
      <c r="SR51" s="183">
        <v>0</v>
      </c>
      <c r="SS51" s="47"/>
      <c r="ST51" s="12"/>
      <c r="TA51" s="235"/>
      <c r="TB51" s="234">
        <v>0</v>
      </c>
      <c r="TC51" s="17"/>
      <c r="TD51" s="12"/>
      <c r="TK51" s="235"/>
      <c r="TL51" s="234">
        <v>0</v>
      </c>
      <c r="TM51" s="17"/>
      <c r="TN51" s="52"/>
      <c r="TO51" s="53"/>
      <c r="TP51" s="53"/>
      <c r="TQ51" s="53"/>
      <c r="TR51" s="53"/>
      <c r="TS51" s="184">
        <f>TT51/80</f>
        <v>8385.7681250000005</v>
      </c>
      <c r="TT51" s="4851">
        <f>SUM(TT22:TT26)*5%</f>
        <v>670861.45000000007</v>
      </c>
      <c r="TU51" s="17"/>
      <c r="TV51" s="52"/>
      <c r="TW51" s="53"/>
      <c r="TX51" s="53"/>
      <c r="TY51" s="53"/>
      <c r="TZ51" s="53"/>
      <c r="UA51" s="274"/>
      <c r="UB51" s="275">
        <v>0</v>
      </c>
      <c r="UC51" s="40"/>
      <c r="UD51" s="52"/>
      <c r="UE51" s="53"/>
      <c r="UF51" s="53"/>
      <c r="UG51" s="53"/>
      <c r="UH51" s="53"/>
      <c r="UI51" s="274"/>
      <c r="UJ51" s="275">
        <v>0</v>
      </c>
      <c r="UK51" s="40"/>
      <c r="UL51" s="12"/>
      <c r="UQ51" s="235"/>
      <c r="UR51" s="234">
        <v>0</v>
      </c>
      <c r="US51" s="17"/>
      <c r="UT51" s="12"/>
      <c r="UY51" s="235"/>
      <c r="UZ51" s="234">
        <v>0</v>
      </c>
      <c r="VA51" s="17"/>
      <c r="VC51" s="49"/>
      <c r="VD51" s="50"/>
      <c r="VE51" s="50"/>
      <c r="VF51" s="50"/>
      <c r="VG51" s="50"/>
      <c r="VH51" s="50"/>
      <c r="VI51" s="50"/>
      <c r="VJ51" s="184">
        <f>VK51/80</f>
        <v>628.66125</v>
      </c>
      <c r="VK51" s="4851">
        <f>SUM(VK22:VK26)*5%</f>
        <v>50292.9</v>
      </c>
      <c r="VL51" s="47"/>
      <c r="VM51" s="51"/>
      <c r="VN51" s="50"/>
      <c r="VO51" s="50"/>
      <c r="VP51" s="50"/>
      <c r="VQ51" s="50"/>
      <c r="VR51" s="50"/>
      <c r="VS51" s="50"/>
      <c r="VT51" s="184">
        <f>VU51/80</f>
        <v>662.85250000000008</v>
      </c>
      <c r="VU51" s="4851">
        <f>SUM(VU22:VU26)*5%</f>
        <v>53028.200000000004</v>
      </c>
      <c r="VV51" s="47"/>
      <c r="VW51" s="51"/>
      <c r="VX51" s="50"/>
      <c r="VY51" s="50"/>
      <c r="VZ51" s="50"/>
      <c r="WA51" s="50"/>
      <c r="WB51" s="50"/>
      <c r="WC51" s="50"/>
      <c r="WD51" s="184">
        <f>WE51/80</f>
        <v>538.84625000000005</v>
      </c>
      <c r="WE51" s="4851">
        <f>SUM(WE22:WE26)*5%</f>
        <v>43107.700000000004</v>
      </c>
      <c r="WF51" s="47"/>
      <c r="WG51" s="51"/>
      <c r="WH51" s="50"/>
      <c r="WI51" s="50"/>
      <c r="WJ51" s="50"/>
      <c r="WK51" s="50"/>
      <c r="WL51" s="50"/>
      <c r="WM51" s="50"/>
      <c r="WN51" s="184">
        <f>WO51/80</f>
        <v>541.91562499999998</v>
      </c>
      <c r="WO51" s="4851">
        <f>SUM(WO22:WO26)*5%</f>
        <v>43353.25</v>
      </c>
      <c r="WP51" s="47"/>
      <c r="WQ51" s="51"/>
      <c r="WR51" s="50"/>
      <c r="WS51" s="50"/>
      <c r="WT51" s="50"/>
      <c r="WU51" s="50"/>
      <c r="WV51" s="50"/>
      <c r="WW51" s="50"/>
      <c r="WX51" s="184">
        <f>WY51/80</f>
        <v>561.34875</v>
      </c>
      <c r="WY51" s="4851">
        <f>SUM(WY22:WY26)*5%</f>
        <v>44907.9</v>
      </c>
      <c r="WZ51" s="47"/>
      <c r="XA51" s="49"/>
      <c r="XB51" s="50"/>
      <c r="XC51" s="50"/>
      <c r="XD51" s="184"/>
      <c r="XE51" s="50"/>
      <c r="XF51" s="50"/>
      <c r="XG51" s="50"/>
      <c r="XH51" s="184">
        <f>XI51/80</f>
        <v>588.37562500000001</v>
      </c>
      <c r="XI51" s="4851">
        <f>SUM(XI22:XI26)*5%</f>
        <v>47070.05</v>
      </c>
      <c r="XJ51" s="47"/>
      <c r="XK51" s="49"/>
      <c r="XL51" s="50"/>
      <c r="XM51" s="50"/>
      <c r="XN51" s="50"/>
      <c r="XO51" s="50"/>
      <c r="XP51" s="50"/>
      <c r="XQ51" s="50"/>
      <c r="XR51" s="184">
        <f>XS51/80</f>
        <v>675.66250000000002</v>
      </c>
      <c r="XS51" s="4851">
        <f>SUM(XS22:XS26)*5%</f>
        <v>54053</v>
      </c>
      <c r="XT51" s="47"/>
      <c r="XU51" s="49"/>
      <c r="XV51" s="50"/>
      <c r="XW51" s="50"/>
      <c r="XX51" s="50"/>
      <c r="XY51" s="50"/>
      <c r="XZ51" s="50"/>
      <c r="YA51" s="50"/>
      <c r="YB51" s="184">
        <f>YC51/80</f>
        <v>1608.7550000000001</v>
      </c>
      <c r="YC51" s="4851">
        <f>SUM(YC22:YC26)*5%</f>
        <v>128700.40000000001</v>
      </c>
      <c r="YD51" s="47"/>
      <c r="YE51" s="345"/>
      <c r="YF51" s="346"/>
      <c r="YG51" s="347"/>
      <c r="YH51" s="346"/>
      <c r="YI51" s="50"/>
      <c r="YJ51" s="50"/>
      <c r="YK51" s="50"/>
      <c r="YL51" s="182"/>
      <c r="YM51" s="183">
        <v>0</v>
      </c>
      <c r="YN51" s="47"/>
      <c r="YO51" s="345"/>
      <c r="YP51" s="346"/>
      <c r="YQ51" s="346"/>
      <c r="YR51" s="346"/>
      <c r="YS51" s="346"/>
      <c r="YT51" s="346"/>
      <c r="YU51" s="346"/>
      <c r="YV51" s="182"/>
      <c r="YW51" s="183">
        <v>0</v>
      </c>
      <c r="YX51" s="47"/>
      <c r="YY51" s="12"/>
      <c r="ZF51" s="235"/>
      <c r="ZG51" s="234">
        <v>0</v>
      </c>
      <c r="ZH51" s="17"/>
      <c r="ZI51" s="12"/>
      <c r="ZP51" s="235"/>
      <c r="ZQ51" s="234">
        <v>0</v>
      </c>
      <c r="ZR51" s="17"/>
      <c r="ZS51" s="52"/>
      <c r="ZT51" s="53"/>
      <c r="ZU51" s="53"/>
      <c r="ZV51" s="53"/>
      <c r="ZW51" s="53"/>
      <c r="ZX51" s="4833">
        <f>ZP51+ZF51+YV51+YL51+YB51+XR51+XH51+WX51+WN51+WD51+VT51+VJ51</f>
        <v>5806.4175000000005</v>
      </c>
      <c r="ZY51" s="9">
        <f>ZQ51+ZG51+YW51+YM51+YC51+XS51+XI51+WY51+WO51+WE51+VU51+VK51</f>
        <v>464513.40000000008</v>
      </c>
      <c r="ZZ51" s="17"/>
      <c r="AAA51" s="52"/>
      <c r="AAB51" s="53"/>
      <c r="AAC51" s="53"/>
      <c r="AAD51" s="53"/>
      <c r="AAE51" s="53"/>
      <c r="AAF51" s="274"/>
      <c r="AAG51" s="275">
        <v>0</v>
      </c>
      <c r="AAH51" s="40"/>
      <c r="AAI51" s="52"/>
      <c r="AAJ51" s="53"/>
      <c r="AAK51" s="53"/>
      <c r="AAL51" s="53"/>
      <c r="AAM51" s="53"/>
      <c r="AAN51" s="274"/>
      <c r="AAO51" s="275">
        <v>0</v>
      </c>
      <c r="AAP51" s="40"/>
      <c r="AAQ51" s="12"/>
      <c r="AAV51" s="235"/>
      <c r="AAW51" s="234">
        <v>0</v>
      </c>
      <c r="AAX51" s="17"/>
      <c r="AAY51" s="12"/>
      <c r="ABD51" s="235"/>
      <c r="ABE51" s="234">
        <v>0</v>
      </c>
      <c r="ABF51" s="17"/>
    </row>
    <row r="52" spans="1:734" s="27" customFormat="1" ht="15.05" x14ac:dyDescent="0.35">
      <c r="A52" s="6769" t="s">
        <v>465</v>
      </c>
      <c r="B52" s="6770"/>
      <c r="C52" s="6771"/>
      <c r="D52" s="6238"/>
      <c r="E52" s="6239"/>
      <c r="F52" s="6240"/>
      <c r="G52" s="6239"/>
      <c r="H52" s="6239"/>
      <c r="I52" s="6239">
        <f>I50-I51</f>
        <v>18025.335714285713</v>
      </c>
      <c r="J52" s="6239">
        <f>J50-J51</f>
        <v>1261773.5</v>
      </c>
      <c r="K52" s="6241">
        <f>J52/F19</f>
        <v>2.7202346548098912E-2</v>
      </c>
      <c r="L52" s="6240"/>
      <c r="M52" s="6240"/>
      <c r="N52" s="6240"/>
      <c r="O52" s="6240"/>
      <c r="P52" s="6240"/>
      <c r="Q52" s="6239">
        <f>Q50-Q51</f>
        <v>9957.5685714285719</v>
      </c>
      <c r="R52" s="6239">
        <f>R50-R51</f>
        <v>697029.79999999981</v>
      </c>
      <c r="S52" s="6241">
        <f>R52/N19</f>
        <v>1.8288553219513597E-2</v>
      </c>
      <c r="T52" s="6240"/>
      <c r="U52" s="6240"/>
      <c r="V52" s="6240"/>
      <c r="W52" s="6240"/>
      <c r="X52" s="6240"/>
      <c r="Y52" s="6239">
        <f>Y50-Y51</f>
        <v>-117895.33285714284</v>
      </c>
      <c r="Z52" s="6239">
        <f>Z50-Z51</f>
        <v>-8252673.2999999989</v>
      </c>
      <c r="AA52" s="6242">
        <f>Z52/V19</f>
        <v>-0.20829895326452688</v>
      </c>
      <c r="AB52" s="6240"/>
      <c r="AC52" s="6240"/>
      <c r="AD52" s="6240"/>
      <c r="AE52" s="6240"/>
      <c r="AF52" s="6240"/>
      <c r="AG52" s="6239">
        <f>AG50-AG51</f>
        <v>8882.6385714285716</v>
      </c>
      <c r="AH52" s="6239">
        <f>AH50-AH51</f>
        <v>621784.70000000019</v>
      </c>
      <c r="AI52" s="6241">
        <f>AH52/AD19</f>
        <v>1.7476598685765669E-2</v>
      </c>
      <c r="AJ52" s="6240"/>
      <c r="AK52" s="6240"/>
      <c r="AL52" s="6240"/>
      <c r="AM52" s="6240"/>
      <c r="AN52" s="6240"/>
      <c r="AO52" s="6239">
        <f>AO50-AO51</f>
        <v>9082.6071428571449</v>
      </c>
      <c r="AP52" s="6239">
        <f>AP50-AP51</f>
        <v>635782.5</v>
      </c>
      <c r="AQ52" s="6241">
        <f>AP52/AL19</f>
        <v>1.9218259602366346E-2</v>
      </c>
      <c r="AR52" s="6240"/>
      <c r="AS52" s="6240"/>
      <c r="AT52" s="6240"/>
      <c r="AU52" s="6240"/>
      <c r="AV52" s="6240"/>
      <c r="AW52" s="6239">
        <f>AW50-AW51</f>
        <v>19746.268571428576</v>
      </c>
      <c r="AX52" s="6239">
        <f>AX50-AX51</f>
        <v>1382238.7999999998</v>
      </c>
      <c r="AY52" s="6241">
        <f>AX52/AT19</f>
        <v>4.1157780960519766E-2</v>
      </c>
      <c r="AZ52" s="6240"/>
      <c r="BA52" s="6240"/>
      <c r="BB52" s="6240"/>
      <c r="BC52" s="6240"/>
      <c r="BD52" s="6240"/>
      <c r="BE52" s="6239">
        <f>BE50-BE51</f>
        <v>13786.688571428575</v>
      </c>
      <c r="BF52" s="6239">
        <f>BF50-BF51</f>
        <v>965068.20000000019</v>
      </c>
      <c r="BG52" s="6241">
        <f>BF52/BB19</f>
        <v>3.0221373926277592E-2</v>
      </c>
      <c r="BH52" s="6240"/>
      <c r="BI52" s="6240"/>
      <c r="BJ52" s="6240"/>
      <c r="BK52" s="6240"/>
      <c r="BL52" s="6240"/>
      <c r="BM52" s="6239">
        <f>BM50-BM51</f>
        <v>4874.4314285714281</v>
      </c>
      <c r="BN52" s="6239">
        <f>BN50-BN51</f>
        <v>341210.20000000019</v>
      </c>
      <c r="BO52" s="6243">
        <f>BN52/BJ19</f>
        <v>1.3338162343881329E-2</v>
      </c>
      <c r="BP52" s="6238"/>
      <c r="BQ52" s="6240"/>
      <c r="BR52" s="6240"/>
      <c r="BS52" s="6240"/>
      <c r="BT52" s="6240"/>
      <c r="BU52" s="6239">
        <f>BU50-BU51</f>
        <v>-19528.927142857137</v>
      </c>
      <c r="BV52" s="6239">
        <f>BV50-BV51</f>
        <v>-1367024.9000000004</v>
      </c>
      <c r="BW52" s="6244">
        <f>BV52/BR19</f>
        <v>-4.8297206479692413E-2</v>
      </c>
      <c r="BX52" s="6240"/>
      <c r="BY52" s="6240"/>
      <c r="BZ52" s="6240"/>
      <c r="CA52" s="6240"/>
      <c r="CB52" s="6240"/>
      <c r="CC52" s="6239">
        <f>CC50-CC51</f>
        <v>8635.9457142857136</v>
      </c>
      <c r="CD52" s="6239">
        <f>CD50-CD51</f>
        <v>604516.20000000019</v>
      </c>
      <c r="CE52" s="6243">
        <f>CD52/BZ19</f>
        <v>2.2790466036518065E-2</v>
      </c>
      <c r="CF52" s="6238"/>
      <c r="CG52" s="6240"/>
      <c r="CH52" s="6240"/>
      <c r="CI52" s="6240"/>
      <c r="CJ52" s="6240"/>
      <c r="CK52" s="6239">
        <f>CK50-CK51</f>
        <v>4657.962857142862</v>
      </c>
      <c r="CL52" s="6239">
        <f>CL50-CL51</f>
        <v>326057.39999999991</v>
      </c>
      <c r="CM52" s="6245">
        <f>CL52/CH19</f>
        <v>1.1747521745302355E-2</v>
      </c>
      <c r="CN52" s="6240"/>
      <c r="CO52" s="6240"/>
      <c r="CP52" s="6240"/>
      <c r="CQ52" s="6240"/>
      <c r="CR52" s="6240"/>
      <c r="CS52" s="6239">
        <f>CS50-CS51</f>
        <v>9938.3642857142841</v>
      </c>
      <c r="CT52" s="6239">
        <f>CT50-CT51</f>
        <v>483288.33833333338</v>
      </c>
      <c r="CU52" s="6241">
        <f>CT52/CP19</f>
        <v>1.3493937447077902E-2</v>
      </c>
      <c r="CV52" s="6240"/>
      <c r="CW52" s="6240"/>
      <c r="CX52" s="6240"/>
      <c r="CY52" s="6240"/>
      <c r="CZ52" s="6240"/>
      <c r="DA52" s="6239">
        <f>DA50-DA51</f>
        <v>-30460.448571428657</v>
      </c>
      <c r="DB52" s="6239">
        <f>DB50-DB51</f>
        <v>-4500814.2716666721</v>
      </c>
      <c r="DC52" s="6241">
        <f>DB52/CX19</f>
        <v>-1.1189586874559437E-2</v>
      </c>
      <c r="DD52" s="6238"/>
      <c r="DE52" s="6240"/>
      <c r="DF52" s="6240"/>
      <c r="DG52" s="6240"/>
      <c r="DH52" s="6240"/>
      <c r="DI52" s="6239">
        <f>DI50-DI51</f>
        <v>21182.845714285715</v>
      </c>
      <c r="DJ52" s="6239">
        <f>DJ50-DJ51</f>
        <v>1260498.2691666668</v>
      </c>
      <c r="DK52" s="6245">
        <f>DJ52/DF19</f>
        <v>3.31130070373227E-2</v>
      </c>
      <c r="DL52" s="6238"/>
      <c r="DM52" s="6240"/>
      <c r="DN52" s="6240"/>
      <c r="DO52" s="6240"/>
      <c r="DP52" s="6240"/>
      <c r="DQ52" s="6239">
        <f>DQ50-DQ51</f>
        <v>32493.078571428574</v>
      </c>
      <c r="DR52" s="6239">
        <f>DR50-DR51</f>
        <v>2061857.5066666666</v>
      </c>
      <c r="DS52" s="6245">
        <f>DR52/DN19</f>
        <v>5.5276866069445804E-2</v>
      </c>
      <c r="DT52" s="6238"/>
      <c r="DU52" s="6240"/>
      <c r="DV52" s="6240"/>
      <c r="DW52" s="6240"/>
      <c r="DX52" s="6240"/>
      <c r="DY52" s="6239">
        <f>DY50-DY51</f>
        <v>22944.505714285711</v>
      </c>
      <c r="DZ52" s="6239">
        <f>DZ50-DZ51</f>
        <v>1364284.3525</v>
      </c>
      <c r="EA52" s="6245">
        <f>DZ52/DV19</f>
        <v>3.3140467652025718E-2</v>
      </c>
      <c r="EB52" s="6246"/>
      <c r="EC52" s="6240"/>
      <c r="ED52" s="6240"/>
      <c r="EE52" s="6240"/>
      <c r="EF52" s="6240"/>
      <c r="EG52" s="6239">
        <f>EG50-EG51</f>
        <v>10687.87857142857</v>
      </c>
      <c r="EH52" s="6239">
        <f>EH50-EH51</f>
        <v>509520.01833333331</v>
      </c>
      <c r="EI52" s="6247">
        <f>EH52/ED19</f>
        <v>1.2532187476454392E-2</v>
      </c>
      <c r="EJ52" s="6246"/>
      <c r="EK52" s="6240"/>
      <c r="EL52" s="6240"/>
      <c r="EM52" s="6240"/>
      <c r="EN52" s="6240"/>
      <c r="EO52" s="6239">
        <f>EO50-EO51</f>
        <v>26944.057142857142</v>
      </c>
      <c r="EP52" s="6239">
        <f>EP50-EP51</f>
        <v>1608634.6833333333</v>
      </c>
      <c r="EQ52" s="6247">
        <f>EP52/EL19</f>
        <v>3.4363152184795118E-2</v>
      </c>
      <c r="ER52" s="6246"/>
      <c r="ES52" s="6240"/>
      <c r="ET52" s="6240"/>
      <c r="EU52" s="6240"/>
      <c r="EV52" s="6240"/>
      <c r="EW52" s="6239">
        <f>EW50-EW51</f>
        <v>24862.012857142858</v>
      </c>
      <c r="EX52" s="6239">
        <f>EX50-EX51</f>
        <v>1467439.5474999999</v>
      </c>
      <c r="EY52" s="6247">
        <f>EX52/ET19</f>
        <v>3.1920088111773416E-2</v>
      </c>
      <c r="EZ52" s="6246"/>
      <c r="FA52" s="6240"/>
      <c r="FB52" s="6240"/>
      <c r="FC52" s="6240"/>
      <c r="FD52" s="6240"/>
      <c r="FE52" s="6239">
        <f>FE50-FE51</f>
        <v>27866.035714285717</v>
      </c>
      <c r="FF52" s="6239">
        <f>FF50-FF51</f>
        <v>1672352.4391666667</v>
      </c>
      <c r="FG52" s="6247">
        <f>FF52/FB19</f>
        <v>3.5600077383338348E-2</v>
      </c>
      <c r="FH52" s="6240"/>
      <c r="FI52" s="6240"/>
      <c r="FJ52" s="6240"/>
      <c r="FK52" s="6240"/>
      <c r="FL52" s="6240"/>
      <c r="FM52" s="6239">
        <f>FM50-FM51</f>
        <v>23970.65</v>
      </c>
      <c r="FN52" s="6239">
        <f>FN50-FN51</f>
        <v>1401419.2324999999</v>
      </c>
      <c r="FO52" s="6247">
        <f>FN52/FJ19</f>
        <v>3.0146793822551959E-2</v>
      </c>
      <c r="FP52" s="6240"/>
      <c r="FQ52" s="6240"/>
      <c r="FR52" s="6240"/>
      <c r="FS52" s="6240"/>
      <c r="FT52" s="6240"/>
      <c r="FU52" s="6240"/>
      <c r="FV52" s="6240"/>
      <c r="FW52" s="6239">
        <f>FW50-FW51</f>
        <v>29374.142857142855</v>
      </c>
      <c r="FX52" s="6239">
        <f>FX50-FX51</f>
        <v>1765891.7283333333</v>
      </c>
      <c r="FY52" s="6243">
        <f>FX52/FR19</f>
        <v>3.6336095505454212E-2</v>
      </c>
      <c r="FZ52" s="6238"/>
      <c r="GA52" s="6240"/>
      <c r="GB52" s="6240"/>
      <c r="GC52" s="6240"/>
      <c r="GD52" s="6240"/>
      <c r="GE52" s="6240"/>
      <c r="GF52" s="6240"/>
      <c r="GG52" s="6239">
        <f>GG50-GG51</f>
        <v>-8521.9571428571362</v>
      </c>
      <c r="GH52" s="6239">
        <f>GH50-GH51</f>
        <v>-855265.88416666666</v>
      </c>
      <c r="GI52" s="6243">
        <f>GH52/GB19</f>
        <v>-1.9611597471478965E-2</v>
      </c>
      <c r="GJ52" s="6248"/>
      <c r="GK52" s="6249"/>
      <c r="GL52" s="6249"/>
      <c r="GM52" s="6249"/>
      <c r="GN52" s="6249"/>
      <c r="GO52" s="6249"/>
      <c r="GP52" s="6249"/>
      <c r="GQ52" s="6239">
        <f>GQ50-GQ51</f>
        <v>25557.885714285716</v>
      </c>
      <c r="GR52" s="6239">
        <f>GR50-GR51</f>
        <v>1518624.4008333334</v>
      </c>
      <c r="GS52" s="6243">
        <f>GR52/GL19</f>
        <v>3.3598160003374657E-2</v>
      </c>
      <c r="GT52" s="6238"/>
      <c r="GU52" s="6240"/>
      <c r="GV52" s="6240"/>
      <c r="GW52" s="6240"/>
      <c r="GX52" s="6240"/>
      <c r="GY52" s="6240"/>
      <c r="GZ52" s="6240"/>
      <c r="HA52" s="6239">
        <f>HA50-HA51</f>
        <v>32148.935714285719</v>
      </c>
      <c r="HB52" s="6239">
        <f>HB50-HB51</f>
        <v>1913098.2649999997</v>
      </c>
      <c r="HC52" s="6241">
        <f>HB52/GV19</f>
        <v>3.4146761507563655E-2</v>
      </c>
      <c r="HD52" s="6238"/>
      <c r="HE52" s="6240"/>
      <c r="HF52" s="6240"/>
      <c r="HG52" s="6240"/>
      <c r="HH52" s="6240"/>
      <c r="HI52" s="6239">
        <f>HI50-HI51</f>
        <v>235813.07142857148</v>
      </c>
      <c r="HJ52" s="6239">
        <f>HJ50-HJ51</f>
        <v>13329564.559166668</v>
      </c>
      <c r="HK52" s="6243">
        <f>HJ52/HF19</f>
        <v>2.4828159605106245E-2</v>
      </c>
      <c r="HL52" s="6238"/>
      <c r="HM52" s="6240"/>
      <c r="HN52" s="6240"/>
      <c r="HO52" s="6240"/>
      <c r="HP52" s="6240"/>
      <c r="HQ52" s="6239">
        <f>HQ50-HQ51</f>
        <v>76620.430000000008</v>
      </c>
      <c r="HR52" s="6239">
        <f>HR50-HR51</f>
        <v>4686640.1283333329</v>
      </c>
      <c r="HS52" s="6245">
        <f>HR52/HN19</f>
        <v>4.0216992167281661E-2</v>
      </c>
      <c r="HT52" s="6238"/>
      <c r="HU52" s="6240"/>
      <c r="HV52" s="6240"/>
      <c r="HW52" s="6240"/>
      <c r="HX52" s="6240"/>
      <c r="HY52" s="6239">
        <f>HY50-HY51</f>
        <v>62493.948571428569</v>
      </c>
      <c r="HZ52" s="6239">
        <f>HZ50-HZ51</f>
        <v>3585594.249166667</v>
      </c>
      <c r="IA52" s="6245">
        <f>HZ52/HV19</f>
        <v>2.6870061798893174E-2</v>
      </c>
      <c r="IB52" s="6238"/>
      <c r="IC52" s="6240"/>
      <c r="ID52" s="6240"/>
      <c r="IE52" s="6240"/>
      <c r="IF52" s="6240"/>
      <c r="IG52" s="6239">
        <f>IG50-IG51</f>
        <v>81210.828571428559</v>
      </c>
      <c r="IH52" s="6239">
        <f>IH50-IH51</f>
        <v>4839663.4000000004</v>
      </c>
      <c r="II52" s="6241">
        <f>IH52/ID19</f>
        <v>3.4067398871037692E-2</v>
      </c>
      <c r="IJ52" s="6238"/>
      <c r="IK52" s="6240"/>
      <c r="IL52" s="6240"/>
      <c r="IM52" s="6240"/>
      <c r="IN52" s="6240"/>
      <c r="IO52" s="6239">
        <f>IO50-IO51</f>
        <v>49184.864285714284</v>
      </c>
      <c r="IP52" s="6239">
        <f>IP50-IP51</f>
        <v>2576456.7816666649</v>
      </c>
      <c r="IQ52" s="6241">
        <f>IP52/IL19</f>
        <v>1.7788836319707759E-2</v>
      </c>
      <c r="IR52" s="6250"/>
      <c r="IS52" s="6251"/>
      <c r="IT52" s="6250"/>
      <c r="IU52" s="6250"/>
      <c r="IV52" s="6250"/>
      <c r="IW52" s="6250"/>
      <c r="IX52" s="6250"/>
      <c r="IY52" s="6250"/>
      <c r="IZ52" s="6252">
        <f>IZ50-IZ51</f>
        <v>14202.162499999995</v>
      </c>
      <c r="JA52" s="6252">
        <f>JA50-JA51</f>
        <v>1154573.0000000002</v>
      </c>
      <c r="JB52" s="6253">
        <f>JA52/IU19</f>
        <v>1.8946608894513529E-2</v>
      </c>
      <c r="JC52" s="6254"/>
      <c r="JD52" s="6250"/>
      <c r="JE52" s="6250"/>
      <c r="JF52" s="6250"/>
      <c r="JG52" s="6250"/>
      <c r="JH52" s="6250"/>
      <c r="JI52" s="6250"/>
      <c r="JJ52" s="6252">
        <f>JJ50-JJ51</f>
        <v>26473.5</v>
      </c>
      <c r="JK52" s="6252">
        <f>JK50-JK51</f>
        <v>2112000</v>
      </c>
      <c r="JL52" s="6253">
        <f>JK52/JE19</f>
        <v>3.2466095066629279E-2</v>
      </c>
      <c r="JM52" s="6254"/>
      <c r="JN52" s="6250"/>
      <c r="JO52" s="6250"/>
      <c r="JP52" s="6250"/>
      <c r="JQ52" s="6250"/>
      <c r="JR52" s="6250"/>
      <c r="JS52" s="6250"/>
      <c r="JT52" s="6252">
        <f>JT50-JT51</f>
        <v>23385.49666666667</v>
      </c>
      <c r="JU52" s="6252">
        <f>JU50-JU51</f>
        <v>2004276.25</v>
      </c>
      <c r="JV52" s="6253">
        <f>JU52/JO19</f>
        <v>2.9002658065853008E-2</v>
      </c>
      <c r="JW52" s="6254"/>
      <c r="JX52" s="6250"/>
      <c r="JY52" s="6250"/>
      <c r="JZ52" s="6250"/>
      <c r="KA52" s="6250"/>
      <c r="KB52" s="6250"/>
      <c r="KC52" s="6250"/>
      <c r="KD52" s="6252">
        <f>KD50-KD51</f>
        <v>24881.817499999997</v>
      </c>
      <c r="KE52" s="6252">
        <f>KE50-KE51</f>
        <v>2008945.4000000004</v>
      </c>
      <c r="KF52" s="6253">
        <f>KE52/JY19</f>
        <v>3.1491726339022592E-2</v>
      </c>
      <c r="KG52" s="6254"/>
      <c r="KH52" s="6250"/>
      <c r="KI52" s="6250"/>
      <c r="KJ52" s="6250"/>
      <c r="KK52" s="6250"/>
      <c r="KL52" s="6250"/>
      <c r="KM52" s="6250"/>
      <c r="KN52" s="6252">
        <f>KN50-KN51</f>
        <v>31155.507500000007</v>
      </c>
      <c r="KO52" s="6252">
        <f>KO50-KO51</f>
        <v>2486560.5999999996</v>
      </c>
      <c r="KP52" s="6253">
        <f>KO52/KI19</f>
        <v>3.3749500522279957E-2</v>
      </c>
      <c r="KQ52" s="6255"/>
      <c r="KR52" s="6240"/>
      <c r="KS52" s="6240"/>
      <c r="KT52" s="6239"/>
      <c r="KU52" s="6240"/>
      <c r="KV52" s="6250"/>
      <c r="KW52" s="6250"/>
      <c r="KX52" s="6252">
        <f>KX50-KX51</f>
        <v>33793.457499999997</v>
      </c>
      <c r="KY52" s="6252">
        <f>KY50-KY51</f>
        <v>2697596.5999999996</v>
      </c>
      <c r="KZ52" s="6253">
        <f>KY52/KS19</f>
        <v>3.8454954502896092E-2</v>
      </c>
      <c r="LA52" s="6255"/>
      <c r="LB52" s="6240"/>
      <c r="LC52" s="6240"/>
      <c r="LD52" s="6240"/>
      <c r="LE52" s="6240"/>
      <c r="LF52" s="6250"/>
      <c r="LG52" s="6250"/>
      <c r="LH52" s="6252">
        <f>LH50-LH51</f>
        <v>37149.3125</v>
      </c>
      <c r="LI52" s="6252">
        <f>LI50-LI51</f>
        <v>2990065</v>
      </c>
      <c r="LJ52" s="6253">
        <f>LI52/LC19</f>
        <v>4.141107310792904E-2</v>
      </c>
      <c r="LK52" s="6255"/>
      <c r="LL52" s="6240"/>
      <c r="LM52" s="6240"/>
      <c r="LN52" s="6240"/>
      <c r="LO52" s="6240"/>
      <c r="LP52" s="6250"/>
      <c r="LQ52" s="6250"/>
      <c r="LR52" s="6252">
        <f>LR50-LR51</f>
        <v>35061.327499999999</v>
      </c>
      <c r="LS52" s="6252">
        <f>LS50-LS51</f>
        <v>2804906.2</v>
      </c>
      <c r="LT52" s="6253">
        <f>LS52/LM19</f>
        <v>4.1930960644272444E-2</v>
      </c>
      <c r="LU52" s="6256"/>
      <c r="LV52" s="6257"/>
      <c r="LW52" s="6258"/>
      <c r="LX52" s="6257"/>
      <c r="LY52" s="6240"/>
      <c r="LZ52" s="6250"/>
      <c r="MA52" s="6250"/>
      <c r="MB52" s="6252">
        <f>MB50-MB51</f>
        <v>30571.557500000003</v>
      </c>
      <c r="MC52" s="6252">
        <f>MC50-MC51</f>
        <v>2439844.6</v>
      </c>
      <c r="MD52" s="6253">
        <f>MC52/LW19</f>
        <v>3.7991690501223287E-2</v>
      </c>
      <c r="ME52" s="6256"/>
      <c r="MF52" s="6257"/>
      <c r="MG52" s="6257"/>
      <c r="MH52" s="6257"/>
      <c r="MI52" s="6257"/>
      <c r="MJ52" s="6259"/>
      <c r="MK52" s="6259"/>
      <c r="ML52" s="6252">
        <f>ML50-ML51</f>
        <v>12935.674999999996</v>
      </c>
      <c r="MM52" s="6252">
        <f>MM50-MM51</f>
        <v>1034854</v>
      </c>
      <c r="MN52" s="6253">
        <f>MM52/MG19</f>
        <v>1.5765792392350913E-2</v>
      </c>
      <c r="MO52" s="6238"/>
      <c r="MP52" s="6240"/>
      <c r="MQ52" s="6240"/>
      <c r="MR52" s="6240"/>
      <c r="MS52" s="6240"/>
      <c r="MT52" s="6240"/>
      <c r="MU52" s="6240"/>
      <c r="MV52" s="6239">
        <f>MV50-MV51</f>
        <v>-29687.297500000001</v>
      </c>
      <c r="MW52" s="6239">
        <f>MW50-MW51</f>
        <v>-2374983.7999999998</v>
      </c>
      <c r="MX52" s="6243">
        <f>MW52/MQ19</f>
        <v>-3.8391096567117464E-2</v>
      </c>
      <c r="MY52" s="6238"/>
      <c r="MZ52" s="6240"/>
      <c r="NA52" s="6240"/>
      <c r="NB52" s="6240"/>
      <c r="NC52" s="6240"/>
      <c r="ND52" s="6240"/>
      <c r="NE52" s="6240"/>
      <c r="NF52" s="6239">
        <f>NF50-NF51</f>
        <v>22471.842499999999</v>
      </c>
      <c r="NG52" s="6239">
        <f>NG50-NG51</f>
        <v>1797747.4</v>
      </c>
      <c r="NH52" s="6241">
        <f>NG52/NA19</f>
        <v>2.6818953490176139E-2</v>
      </c>
      <c r="NI52" s="6240"/>
      <c r="NJ52" s="6240"/>
      <c r="NK52" s="6240"/>
      <c r="NL52" s="6240"/>
      <c r="NM52" s="6240"/>
      <c r="NN52" s="6252">
        <f>NN50-NN51</f>
        <v>262394.35916666675</v>
      </c>
      <c r="NO52" s="6252">
        <f>NO50-NO51</f>
        <v>21156385.25</v>
      </c>
      <c r="NP52" s="6253">
        <f>NO52/NK19</f>
        <v>2.6426657854110518E-2</v>
      </c>
      <c r="NQ52" s="6238"/>
      <c r="NR52" s="6240"/>
      <c r="NS52" s="6240"/>
      <c r="NT52" s="6240"/>
      <c r="NU52" s="6240"/>
      <c r="NV52" s="6252">
        <f>NV50-NV51</f>
        <v>64061.159166666679</v>
      </c>
      <c r="NW52" s="6252">
        <f>NW50-NW51</f>
        <v>4097035.3866666658</v>
      </c>
      <c r="NX52" s="6253">
        <f>NW52/NS19</f>
        <v>2.0999952980740824E-2</v>
      </c>
      <c r="NY52" s="6238"/>
      <c r="NZ52" s="6240"/>
      <c r="OA52" s="6240"/>
      <c r="OB52" s="6240"/>
      <c r="OC52" s="6240"/>
      <c r="OD52" s="6252">
        <f>OD50-OD51</f>
        <v>89830.782500000001</v>
      </c>
      <c r="OE52" s="6252">
        <f>OE50-OE51</f>
        <v>5959432.2800000003</v>
      </c>
      <c r="OF52" s="6253">
        <f>OE52/OA19</f>
        <v>2.8703655460128753E-2</v>
      </c>
      <c r="OG52" s="6238"/>
      <c r="OH52" s="6240"/>
      <c r="OI52" s="6240"/>
      <c r="OJ52" s="6240"/>
      <c r="OK52" s="6240"/>
      <c r="OL52" s="6239">
        <f>OL50-OL51</f>
        <v>102782.19750000001</v>
      </c>
      <c r="OM52" s="6239">
        <f>OM50-OM51</f>
        <v>7024680.3700000001</v>
      </c>
      <c r="ON52" s="6241">
        <f>OM52/OI19</f>
        <v>3.4550145830382295E-2</v>
      </c>
      <c r="OO52" s="6238"/>
      <c r="OP52" s="6240"/>
      <c r="OQ52" s="6240"/>
      <c r="OR52" s="6240"/>
      <c r="OS52" s="6240"/>
      <c r="OT52" s="6239">
        <f>OT50-OT51</f>
        <v>5720.2200000000012</v>
      </c>
      <c r="OU52" s="6239">
        <f>OU50-OU51</f>
        <v>457617.59999999963</v>
      </c>
      <c r="OV52" s="6241">
        <f>OU52/OQ19</f>
        <v>2.3523688306667989E-3</v>
      </c>
      <c r="OW52" s="6250"/>
      <c r="OX52" s="6251"/>
      <c r="OY52" s="6250"/>
      <c r="OZ52" s="6250"/>
      <c r="PA52" s="6250"/>
      <c r="PB52" s="6250"/>
      <c r="PC52" s="6250"/>
      <c r="PD52" s="6250"/>
      <c r="PE52" s="6252">
        <f>PE50-PE51</f>
        <v>21336.6525</v>
      </c>
      <c r="PF52" s="6252">
        <f>PF50-PF51</f>
        <v>1707472.2</v>
      </c>
      <c r="PG52" s="6253">
        <f>PF52/OZ19</f>
        <v>2.7722196822197082E-2</v>
      </c>
      <c r="PH52" s="6254"/>
      <c r="PI52" s="6250"/>
      <c r="PJ52" s="6250"/>
      <c r="PK52" s="6250"/>
      <c r="PL52" s="6250"/>
      <c r="PM52" s="6250"/>
      <c r="PN52" s="6250"/>
      <c r="PO52" s="6252">
        <f>PO50-PO51</f>
        <v>16238.240000000005</v>
      </c>
      <c r="PP52" s="6252">
        <f>PP50-PP51</f>
        <v>1299059.2000000002</v>
      </c>
      <c r="PQ52" s="6253">
        <f>PP52/PJ19</f>
        <v>1.9624362525818988E-2</v>
      </c>
      <c r="PR52" s="6254"/>
      <c r="PS52" s="6250"/>
      <c r="PT52" s="6250"/>
      <c r="PU52" s="6250"/>
      <c r="PV52" s="6250"/>
      <c r="PW52" s="6250"/>
      <c r="PX52" s="6250"/>
      <c r="PY52" s="6252">
        <f>PY50-PY51</f>
        <v>7911.9249999999993</v>
      </c>
      <c r="PZ52" s="6252">
        <f>PZ50-PZ51</f>
        <v>632954.00000000047</v>
      </c>
      <c r="QA52" s="6253">
        <f>PZ52/PT19</f>
        <v>1.0419460755661442E-2</v>
      </c>
      <c r="QB52" s="6254"/>
      <c r="QC52" s="6250"/>
      <c r="QD52" s="6250"/>
      <c r="QE52" s="6250"/>
      <c r="QF52" s="6250"/>
      <c r="QG52" s="6250"/>
      <c r="QH52" s="6250"/>
      <c r="QI52" s="6252">
        <f>QI50-QI51</f>
        <v>9556.0550000000039</v>
      </c>
      <c r="QJ52" s="6252">
        <f>QJ50-QJ51</f>
        <v>764484.40000000037</v>
      </c>
      <c r="QK52" s="6253">
        <f>QJ52/QD19</f>
        <v>1.734055644284159E-2</v>
      </c>
      <c r="QL52" s="6254"/>
      <c r="QM52" s="6250"/>
      <c r="QN52" s="6250"/>
      <c r="QO52" s="6250"/>
      <c r="QP52" s="6250"/>
      <c r="QQ52" s="6250"/>
      <c r="QR52" s="6250"/>
      <c r="QS52" s="6252">
        <f>QS50-QS51</f>
        <v>23774.33</v>
      </c>
      <c r="QT52" s="6252">
        <f>QT50-QT51</f>
        <v>1901946.4</v>
      </c>
      <c r="QU52" s="6253">
        <f>QT52/QN19</f>
        <v>3.5385839311761376E-2</v>
      </c>
      <c r="QV52" s="6255"/>
      <c r="QW52" s="6240"/>
      <c r="QX52" s="6240"/>
      <c r="QY52" s="6239"/>
      <c r="QZ52" s="6240"/>
      <c r="RA52" s="6250"/>
      <c r="RB52" s="6250"/>
      <c r="RC52" s="6252">
        <f>RC50-RC51</f>
        <v>-18793.324999999997</v>
      </c>
      <c r="RD52" s="6252">
        <f>RD50-RD51</f>
        <v>-1503466.0000000005</v>
      </c>
      <c r="RE52" s="6253">
        <f>RD52/QX19</f>
        <v>-3.2762262668158008E-2</v>
      </c>
      <c r="RF52" s="6255"/>
      <c r="RG52" s="6240"/>
      <c r="RH52" s="6240"/>
      <c r="RI52" s="6240"/>
      <c r="RJ52" s="6240"/>
      <c r="RK52" s="6250"/>
      <c r="RL52" s="6250"/>
      <c r="RM52" s="6252">
        <f>RM50-RM51</f>
        <v>13583.155000000002</v>
      </c>
      <c r="RN52" s="6252">
        <f>RN50-RN51</f>
        <v>1086652.3999999999</v>
      </c>
      <c r="RO52" s="6253">
        <f>RN52/RH19</f>
        <v>2.1639358234587527E-2</v>
      </c>
      <c r="RP52" s="6255"/>
      <c r="RQ52" s="6240"/>
      <c r="RR52" s="6240"/>
      <c r="RS52" s="6240"/>
      <c r="RT52" s="6240"/>
      <c r="RU52" s="6250"/>
      <c r="RV52" s="6250"/>
      <c r="RW52" s="6252">
        <f>RW50-RW51</f>
        <v>9633.9524999999994</v>
      </c>
      <c r="RX52" s="6252">
        <f>RX50-RX51</f>
        <v>770716.20000000019</v>
      </c>
      <c r="RY52" s="6253">
        <f>RX52/RR19</f>
        <v>1.7326688022325606E-2</v>
      </c>
      <c r="RZ52" s="6256"/>
      <c r="SA52" s="6257"/>
      <c r="SB52" s="6258"/>
      <c r="SC52" s="6257"/>
      <c r="SD52" s="6240"/>
      <c r="SE52" s="6250"/>
      <c r="SF52" s="6250"/>
      <c r="SG52" s="6252">
        <f>SG50-SG51</f>
        <v>8722.1474999999991</v>
      </c>
      <c r="SH52" s="6252">
        <f>SH50-SH51</f>
        <v>697771.80000000028</v>
      </c>
      <c r="SI52" s="6253">
        <f>SH52/SB19</f>
        <v>1.7255212382710269E-2</v>
      </c>
      <c r="SJ52" s="6256"/>
      <c r="SK52" s="6257"/>
      <c r="SL52" s="6257"/>
      <c r="SM52" s="6257"/>
      <c r="SN52" s="6257"/>
      <c r="SO52" s="6259"/>
      <c r="SP52" s="6259"/>
      <c r="SQ52" s="6252">
        <f>SQ50-SQ51</f>
        <v>2389.0325000000012</v>
      </c>
      <c r="SR52" s="6252">
        <f>SR50-SR51</f>
        <v>191122.60000000009</v>
      </c>
      <c r="SS52" s="6253">
        <f>SR52/SL19</f>
        <v>4.9546881372152483E-3</v>
      </c>
      <c r="ST52" s="6238"/>
      <c r="SU52" s="6240"/>
      <c r="SV52" s="6240"/>
      <c r="SW52" s="6240"/>
      <c r="SX52" s="6240"/>
      <c r="SY52" s="6240"/>
      <c r="SZ52" s="6240"/>
      <c r="TA52" s="6239">
        <f>TA50-TA51</f>
        <v>5544.8899999999994</v>
      </c>
      <c r="TB52" s="6239">
        <f>TB50-TB51</f>
        <v>429811.20000000042</v>
      </c>
      <c r="TC52" s="6241">
        <f>TB52/SV19</f>
        <v>1.1442713380544178E-2</v>
      </c>
      <c r="TD52" s="6238"/>
      <c r="TE52" s="6240"/>
      <c r="TF52" s="6240"/>
      <c r="TG52" s="6240"/>
      <c r="TH52" s="6240"/>
      <c r="TI52" s="6240"/>
      <c r="TJ52" s="6240"/>
      <c r="TK52" s="6239">
        <f>TK50-TK51</f>
        <v>5976.5275000000001</v>
      </c>
      <c r="TL52" s="6239">
        <f>TL50-TL51</f>
        <v>478122.20000000019</v>
      </c>
      <c r="TM52" s="6241">
        <f>TL52/TF19</f>
        <v>1.4511337657278484E-2</v>
      </c>
      <c r="TN52" s="6238"/>
      <c r="TO52" s="6240"/>
      <c r="TP52" s="6240"/>
      <c r="TQ52" s="6240"/>
      <c r="TR52" s="6240"/>
      <c r="TS52" s="6252">
        <f>TS50-TS51</f>
        <v>97487.814374999987</v>
      </c>
      <c r="TT52" s="6239">
        <f>TT50-TT51</f>
        <v>7785785.1499999976</v>
      </c>
      <c r="TU52" s="6241">
        <f>TT52/TP19</f>
        <v>1.3505691684503295E-2</v>
      </c>
      <c r="TV52" s="6238"/>
      <c r="TW52" s="6240"/>
      <c r="TX52" s="6240"/>
      <c r="TY52" s="6240"/>
      <c r="TZ52" s="6240"/>
      <c r="UA52" s="6252">
        <f>UA50-UA51</f>
        <v>45486.817500000019</v>
      </c>
      <c r="UB52" s="6252">
        <f>UB50-UB51</f>
        <v>3210005.4000000004</v>
      </c>
      <c r="UC52" s="6253">
        <f>UB52/TX19</f>
        <v>1.7025974664441838E-2</v>
      </c>
      <c r="UD52" s="6238"/>
      <c r="UE52" s="6240"/>
      <c r="UF52" s="6240"/>
      <c r="UG52" s="6240"/>
      <c r="UH52" s="6240"/>
      <c r="UI52" s="6252">
        <f>UI50-UI51</f>
        <v>15582.222499999989</v>
      </c>
      <c r="UJ52" s="6252">
        <f>UJ50-UJ51</f>
        <v>1246577.7999999998</v>
      </c>
      <c r="UK52" s="6253">
        <f>UJ52/UF19</f>
        <v>8.6733253944205474E-3</v>
      </c>
      <c r="UL52" s="6238"/>
      <c r="UM52" s="6240"/>
      <c r="UN52" s="6240"/>
      <c r="UO52" s="6240"/>
      <c r="UP52" s="6240"/>
      <c r="UQ52" s="6239">
        <f>UQ50-UQ51</f>
        <v>31939.25499999999</v>
      </c>
      <c r="UR52" s="6239">
        <f>UR50-UR51</f>
        <v>2555140.4000000004</v>
      </c>
      <c r="US52" s="6241">
        <f>UR52/UN19</f>
        <v>1.8907883025932375E-2</v>
      </c>
      <c r="UT52" s="6238"/>
      <c r="UU52" s="6240"/>
      <c r="UV52" s="6240"/>
      <c r="UW52" s="6240"/>
      <c r="UX52" s="6240"/>
      <c r="UY52" s="6239">
        <f>UY50-UY51</f>
        <v>13910.450000000004</v>
      </c>
      <c r="UZ52" s="6239">
        <f>UZ50-UZ51</f>
        <v>1099056.0000000009</v>
      </c>
      <c r="VA52" s="6241">
        <f>UZ52/UV19</f>
        <v>1.0075292685265061E-2</v>
      </c>
      <c r="VB52" s="6250"/>
      <c r="VC52" s="6251"/>
      <c r="VD52" s="6250"/>
      <c r="VE52" s="6250"/>
      <c r="VF52" s="6250"/>
      <c r="VG52" s="6250"/>
      <c r="VH52" s="6250"/>
      <c r="VI52" s="6250"/>
      <c r="VJ52" s="6252">
        <f>VJ50-VJ51</f>
        <v>9323.0737500000014</v>
      </c>
      <c r="VK52" s="6252">
        <f>VK50-VK51</f>
        <v>745845.90000000026</v>
      </c>
      <c r="VL52" s="6253">
        <f>VK52/VE19</f>
        <v>1.9782787328761316E-2</v>
      </c>
      <c r="VM52" s="6254"/>
      <c r="VN52" s="6250"/>
      <c r="VO52" s="6250"/>
      <c r="VP52" s="6250"/>
      <c r="VQ52" s="6250"/>
      <c r="VR52" s="6250"/>
      <c r="VS52" s="6250"/>
      <c r="VT52" s="6252">
        <f>VT50-VT51</f>
        <v>8874.5775000000049</v>
      </c>
      <c r="VU52" s="6252">
        <f>VU50-VU51</f>
        <v>709966.20000000019</v>
      </c>
      <c r="VV52" s="6253">
        <f>VU52/VO19</f>
        <v>2.1179358881382598E-2</v>
      </c>
      <c r="VW52" s="6254"/>
      <c r="VX52" s="6250"/>
      <c r="VY52" s="6250"/>
      <c r="VZ52" s="6250"/>
      <c r="WA52" s="6250"/>
      <c r="WB52" s="6250"/>
      <c r="WC52" s="6250"/>
      <c r="WD52" s="6252">
        <f>WD50-WD51</f>
        <v>3890.8987499999989</v>
      </c>
      <c r="WE52" s="6252">
        <f>WE50-WE51</f>
        <v>311271.90000000008</v>
      </c>
      <c r="WF52" s="6253">
        <f>WE52/VY19</f>
        <v>9.5367456130073733E-3</v>
      </c>
      <c r="WG52" s="6254"/>
      <c r="WH52" s="6250"/>
      <c r="WI52" s="6250"/>
      <c r="WJ52" s="6250"/>
      <c r="WK52" s="6250"/>
      <c r="WL52" s="6250"/>
      <c r="WM52" s="6250"/>
      <c r="WN52" s="6252">
        <f>WN50-WN51</f>
        <v>17250.071874999998</v>
      </c>
      <c r="WO52" s="6252">
        <f>WO50-WO51</f>
        <v>1380005.75</v>
      </c>
      <c r="WP52" s="6253">
        <f>WO52/WI19</f>
        <v>3.5750398091977081E-2</v>
      </c>
      <c r="WQ52" s="6254"/>
      <c r="WR52" s="6250"/>
      <c r="WS52" s="6250"/>
      <c r="WT52" s="6250"/>
      <c r="WU52" s="6250"/>
      <c r="WV52" s="6250"/>
      <c r="WW52" s="6250"/>
      <c r="WX52" s="6252">
        <f>WX50-WX51</f>
        <v>514.9562500000003</v>
      </c>
      <c r="WY52" s="6252">
        <f>WY50-WY51</f>
        <v>41196.499999999905</v>
      </c>
      <c r="WZ52" s="6253">
        <f>WY52/WS19</f>
        <v>1.2323445070289301E-3</v>
      </c>
      <c r="XA52" s="6255"/>
      <c r="XB52" s="6240"/>
      <c r="XC52" s="6240"/>
      <c r="XD52" s="6239"/>
      <c r="XE52" s="6240"/>
      <c r="XF52" s="6250"/>
      <c r="XG52" s="6250"/>
      <c r="XH52" s="6252">
        <f>XH50-XH51</f>
        <v>5537.6118749999996</v>
      </c>
      <c r="XI52" s="6252">
        <f>XI50-XI51</f>
        <v>443008.95</v>
      </c>
      <c r="XJ52" s="6253">
        <f>XI52/XC19</f>
        <v>1.4567441551212434E-2</v>
      </c>
      <c r="XK52" s="6255"/>
      <c r="XL52" s="6240"/>
      <c r="XM52" s="6240"/>
      <c r="XN52" s="6240"/>
      <c r="XO52" s="6240"/>
      <c r="XP52" s="6250"/>
      <c r="XQ52" s="6250"/>
      <c r="XR52" s="6252">
        <f>XR50-XR51</f>
        <v>-19164.562499999993</v>
      </c>
      <c r="XS52" s="6252">
        <f>XS50-XS51</f>
        <v>-1533165</v>
      </c>
      <c r="XT52" s="6253">
        <f>XS52/XM19</f>
        <v>-4.3919851556908918E-2</v>
      </c>
      <c r="XU52" s="6255"/>
      <c r="XV52" s="6240"/>
      <c r="XW52" s="6240"/>
      <c r="XX52" s="6240"/>
      <c r="XY52" s="6240"/>
      <c r="XZ52" s="6250"/>
      <c r="YA52" s="6250"/>
      <c r="YB52" s="6252">
        <f>YB50-YB51</f>
        <v>529.89833333332081</v>
      </c>
      <c r="YC52" s="6252">
        <f>YC50-YC51</f>
        <v>42925.200000000084</v>
      </c>
      <c r="YD52" s="6253">
        <f>YC52/XW19</f>
        <v>1.4602426675578584E-3</v>
      </c>
      <c r="YE52" s="6256"/>
      <c r="YF52" s="6257"/>
      <c r="YG52" s="6258"/>
      <c r="YH52" s="6257"/>
      <c r="YI52" s="6240"/>
      <c r="YJ52" s="6250"/>
      <c r="YK52" s="6250"/>
      <c r="YL52" s="6252">
        <f>YL50-YL51</f>
        <v>-23667.017499999994</v>
      </c>
      <c r="YM52" s="6252">
        <f>YM50-YM51</f>
        <v>-1891961.4000000004</v>
      </c>
      <c r="YN52" s="6253">
        <f>YM52/YG19</f>
        <v>-5.3495509768999652E-2</v>
      </c>
      <c r="YO52" s="6256"/>
      <c r="YP52" s="6257"/>
      <c r="YQ52" s="6257"/>
      <c r="YR52" s="6257"/>
      <c r="YS52" s="6257"/>
      <c r="YT52" s="6259"/>
      <c r="YU52" s="6259"/>
      <c r="YV52" s="6252">
        <f>YV50-YV51</f>
        <v>14115.037500000002</v>
      </c>
      <c r="YW52" s="6252">
        <f>YW50-YW51</f>
        <v>1129203.0000000005</v>
      </c>
      <c r="YX52" s="6253">
        <f>YW52/YQ19</f>
        <v>2.9184887788901721E-2</v>
      </c>
      <c r="YY52" s="6238"/>
      <c r="YZ52" s="6240"/>
      <c r="ZA52" s="6240"/>
      <c r="ZB52" s="6240"/>
      <c r="ZC52" s="6240"/>
      <c r="ZD52" s="6240"/>
      <c r="ZE52" s="6240"/>
      <c r="ZF52" s="6239">
        <f>ZF50-ZF51</f>
        <v>0</v>
      </c>
      <c r="ZG52" s="6239">
        <f>ZG50-ZG51</f>
        <v>0</v>
      </c>
      <c r="ZH52" s="6241" t="e">
        <f>ZG52/ZA19</f>
        <v>#DIV/0!</v>
      </c>
      <c r="ZI52" s="6238"/>
      <c r="ZJ52" s="6240"/>
      <c r="ZK52" s="6240"/>
      <c r="ZL52" s="6240"/>
      <c r="ZM52" s="6240"/>
      <c r="ZN52" s="6240"/>
      <c r="ZO52" s="6240"/>
      <c r="ZP52" s="6239">
        <f>ZP50-ZP51</f>
        <v>0</v>
      </c>
      <c r="ZQ52" s="6239">
        <f>ZQ50-ZQ51</f>
        <v>0</v>
      </c>
      <c r="ZR52" s="6241" t="e">
        <f>ZQ52/ZK19</f>
        <v>#DIV/0!</v>
      </c>
      <c r="ZS52" s="6238"/>
      <c r="ZT52" s="6240"/>
      <c r="ZU52" s="6240"/>
      <c r="ZV52" s="6240"/>
      <c r="ZW52" s="6240"/>
      <c r="ZX52" s="6252">
        <f>ZX50-ZX51</f>
        <v>17204.545833333261</v>
      </c>
      <c r="ZY52" s="6239">
        <f>ZY50-ZY51</f>
        <v>1378297.0000000021</v>
      </c>
      <c r="ZZ52" s="6241">
        <f>ZY52/ZU19</f>
        <v>3.9989322308360874E-3</v>
      </c>
      <c r="AAA52" s="42"/>
      <c r="AAB52" s="43"/>
      <c r="AAC52" s="43"/>
      <c r="AAD52" s="43"/>
      <c r="AAE52" s="43"/>
      <c r="AAF52" s="185">
        <f>AAF50-AAF51</f>
        <v>23918.910000000011</v>
      </c>
      <c r="AAG52" s="185">
        <f>AAG50-AAG51</f>
        <v>1484032.8000000007</v>
      </c>
      <c r="AAH52" s="46">
        <f>AAG52/AAC19</f>
        <v>1.4288425340337385E-2</v>
      </c>
      <c r="AAI52" s="42"/>
      <c r="AAJ52" s="43"/>
      <c r="AAK52" s="43"/>
      <c r="AAL52" s="43"/>
      <c r="AAM52" s="43"/>
      <c r="AAN52" s="185">
        <f>AAN50-AAN51</f>
        <v>27965.53</v>
      </c>
      <c r="AAO52" s="185">
        <f>AAO50-AAO51</f>
        <v>2237242.4</v>
      </c>
      <c r="AAP52" s="46">
        <f>AAO52/AAK19</f>
        <v>2.1839241799002752E-2</v>
      </c>
      <c r="AAQ52" s="42"/>
      <c r="AAR52" s="43"/>
      <c r="AAS52" s="43"/>
      <c r="AAT52" s="43"/>
      <c r="AAU52" s="43"/>
      <c r="AAV52" s="181">
        <f>AAV50-AAV51</f>
        <v>-44517.26416666669</v>
      </c>
      <c r="AAW52" s="181">
        <f>AAW50-AAW51</f>
        <v>-3559447.7999999989</v>
      </c>
      <c r="AAX52" s="44">
        <f>AAW52/AAS19</f>
        <v>-3.5841456025570879E-2</v>
      </c>
      <c r="AAY52" s="42"/>
      <c r="AAZ52" s="43"/>
      <c r="ABA52" s="43"/>
      <c r="ABB52" s="43"/>
      <c r="ABC52" s="43"/>
      <c r="ABD52" s="181">
        <f>ABD50-ABD51</f>
        <v>14115.037500000002</v>
      </c>
      <c r="ABE52" s="181">
        <f>ABE50-ABE51</f>
        <v>1129203.0000000005</v>
      </c>
      <c r="ABF52" s="44">
        <f>ABE52/ABA19</f>
        <v>2.9184887788901721E-2</v>
      </c>
    </row>
    <row r="53" spans="1:734" x14ac:dyDescent="0.3">
      <c r="A53" s="12"/>
      <c r="B53" s="276" t="s">
        <v>36</v>
      </c>
      <c r="C53" s="1537" t="s">
        <v>624</v>
      </c>
      <c r="D53" s="12"/>
      <c r="K53" s="17"/>
      <c r="Q53" s="172"/>
      <c r="R53" s="172"/>
      <c r="S53" s="15"/>
      <c r="Y53" s="172"/>
      <c r="Z53" s="172"/>
      <c r="AA53" s="348"/>
      <c r="AG53" s="172"/>
      <c r="AH53" s="172"/>
      <c r="AI53" s="17"/>
      <c r="AO53" s="172"/>
      <c r="AP53" s="172"/>
      <c r="AQ53" s="17"/>
      <c r="AW53" s="172"/>
      <c r="AX53" s="172"/>
      <c r="AY53" s="17"/>
      <c r="BE53" s="172"/>
      <c r="BF53" s="172"/>
      <c r="BG53" s="17"/>
      <c r="BM53" s="172"/>
      <c r="BN53" s="172"/>
      <c r="BO53" s="3"/>
      <c r="BP53" s="12"/>
      <c r="BU53" s="172"/>
      <c r="BV53" s="172"/>
      <c r="BW53" s="15"/>
      <c r="CC53" s="172"/>
      <c r="CD53" s="172"/>
      <c r="CE53" s="3"/>
      <c r="CF53" s="12"/>
      <c r="CK53" s="172"/>
      <c r="CL53" s="172"/>
      <c r="CM53" s="337"/>
      <c r="CS53" s="172"/>
      <c r="CT53" s="244">
        <f>CT52*28%</f>
        <v>135320.73473333335</v>
      </c>
      <c r="CU53" s="17"/>
      <c r="DA53" s="172"/>
      <c r="DB53" s="244">
        <f>DB52*28%</f>
        <v>-1260227.9960666683</v>
      </c>
      <c r="DC53" s="17"/>
      <c r="DD53" s="12"/>
      <c r="DI53" s="172"/>
      <c r="DJ53" s="244">
        <f>DJ52*28%</f>
        <v>352939.51536666672</v>
      </c>
      <c r="DK53" s="337"/>
      <c r="DL53" s="12"/>
      <c r="DQ53" s="172"/>
      <c r="DR53" s="244">
        <f>DR50*28%</f>
        <v>636864.34000000008</v>
      </c>
      <c r="DS53" s="349"/>
      <c r="DT53" s="12"/>
      <c r="DY53" s="329"/>
      <c r="DZ53" s="244">
        <f>DZ50*28%</f>
        <v>449712.31200000003</v>
      </c>
      <c r="EA53" s="349"/>
      <c r="EB53" s="142"/>
      <c r="EG53" s="172"/>
      <c r="EH53" s="244">
        <f>EH50*28%</f>
        <v>209482.42</v>
      </c>
      <c r="EI53" s="339"/>
      <c r="EJ53" s="142"/>
      <c r="EP53" s="244">
        <f>EP50*28%</f>
        <v>528103.52</v>
      </c>
      <c r="EQ53" s="339"/>
      <c r="ER53" s="142"/>
      <c r="EW53" s="172"/>
      <c r="EX53" s="244">
        <f>EX50*28%</f>
        <v>487295.45200000005</v>
      </c>
      <c r="EY53" s="339"/>
      <c r="EZ53" s="142"/>
      <c r="FE53" s="172"/>
      <c r="FF53" s="244">
        <f>FF50*28%</f>
        <v>546174.30000000005</v>
      </c>
      <c r="FG53" s="143"/>
      <c r="FM53" s="172"/>
      <c r="FN53" s="244">
        <f>FN50*28%</f>
        <v>469824.74000000005</v>
      </c>
      <c r="FO53" s="15"/>
      <c r="FW53" s="172"/>
      <c r="FX53" s="172">
        <f>FX50*28%</f>
        <v>575733.20000000007</v>
      </c>
      <c r="FY53" s="3"/>
      <c r="FZ53" s="319"/>
      <c r="GG53" s="178"/>
      <c r="GH53" s="172">
        <v>0</v>
      </c>
      <c r="GI53" s="341"/>
      <c r="GJ53" s="342"/>
      <c r="GK53" s="321"/>
      <c r="GL53" s="321"/>
      <c r="GM53" s="321"/>
      <c r="GN53" s="321"/>
      <c r="GO53" s="321"/>
      <c r="GP53" s="321"/>
      <c r="GQ53" s="343"/>
      <c r="GR53" s="172">
        <f>GR50*28%</f>
        <v>500934.56000000006</v>
      </c>
      <c r="GS53" s="344"/>
      <c r="GT53" s="12"/>
      <c r="HA53" s="172"/>
      <c r="HB53" s="244">
        <f>HB50*28%</f>
        <v>630119.1399999999</v>
      </c>
      <c r="HC53" s="48"/>
      <c r="HD53" s="12"/>
      <c r="HI53" s="172"/>
      <c r="HJ53" s="244">
        <f>HJ50*28%</f>
        <v>4621936.2</v>
      </c>
      <c r="HK53" s="344"/>
      <c r="HL53" s="12"/>
      <c r="HQ53" s="172"/>
      <c r="HR53" s="244">
        <f>HR50*28%</f>
        <v>1501760.4280000001</v>
      </c>
      <c r="HS53" s="349"/>
      <c r="HT53" s="12"/>
      <c r="HY53" s="172"/>
      <c r="HZ53" s="244">
        <f>HZ50*28%</f>
        <v>1224881.3920000002</v>
      </c>
      <c r="IA53" s="349"/>
      <c r="IB53" s="12"/>
      <c r="IG53" s="172"/>
      <c r="IH53" s="244">
        <f>IH50*28%</f>
        <v>1591732.2400000002</v>
      </c>
      <c r="II53" s="17"/>
      <c r="IJ53" s="12"/>
      <c r="IO53" s="172"/>
      <c r="IP53" s="244">
        <f>IP50*28%</f>
        <v>964023.33999999962</v>
      </c>
      <c r="IQ53" s="17"/>
      <c r="IS53" s="49"/>
      <c r="IT53" s="50"/>
      <c r="IU53" s="50"/>
      <c r="IV53" s="50"/>
      <c r="IW53" s="50"/>
      <c r="IX53" s="50"/>
      <c r="IY53" s="50"/>
      <c r="IZ53" s="184"/>
      <c r="JA53" s="184">
        <f>JA50*28%</f>
        <v>323280.44000000012</v>
      </c>
      <c r="JB53" s="47"/>
      <c r="JC53" s="51"/>
      <c r="JD53" s="50"/>
      <c r="JE53" s="50"/>
      <c r="JF53" s="50"/>
      <c r="JG53" s="50"/>
      <c r="JH53" s="50"/>
      <c r="JI53" s="50"/>
      <c r="JJ53" s="184"/>
      <c r="JK53" s="184">
        <f>JK50*28%</f>
        <v>591360</v>
      </c>
      <c r="JL53" s="47"/>
      <c r="JM53" s="51"/>
      <c r="JN53" s="50"/>
      <c r="JO53" s="50"/>
      <c r="JP53" s="50"/>
      <c r="JQ53" s="50"/>
      <c r="JR53" s="50"/>
      <c r="JS53" s="50"/>
      <c r="JT53" s="184"/>
      <c r="JU53" s="184">
        <f>JU50*28%</f>
        <v>561197.35000000009</v>
      </c>
      <c r="JV53" s="47"/>
      <c r="JW53" s="51"/>
      <c r="JX53" s="50"/>
      <c r="JY53" s="50"/>
      <c r="JZ53" s="50"/>
      <c r="KA53" s="50"/>
      <c r="KB53" s="50"/>
      <c r="KC53" s="50"/>
      <c r="KD53" s="184"/>
      <c r="KE53" s="184">
        <f>KE50*28%</f>
        <v>562504.71200000017</v>
      </c>
      <c r="KF53" s="47"/>
      <c r="KG53" s="51"/>
      <c r="KH53" s="50"/>
      <c r="KI53" s="50"/>
      <c r="KJ53" s="50"/>
      <c r="KK53" s="50"/>
      <c r="KL53" s="50"/>
      <c r="KM53" s="50"/>
      <c r="KN53" s="184"/>
      <c r="KO53" s="184">
        <f>KO50*28%</f>
        <v>696236.96799999999</v>
      </c>
      <c r="KP53" s="47"/>
      <c r="KQ53" s="49"/>
      <c r="KR53" s="50"/>
      <c r="KS53" s="50"/>
      <c r="KT53" s="184"/>
      <c r="KU53" s="50"/>
      <c r="KV53" s="50"/>
      <c r="KW53" s="50"/>
      <c r="KX53" s="184"/>
      <c r="KY53" s="184">
        <f>KY50*28%</f>
        <v>755327.04799999995</v>
      </c>
      <c r="KZ53" s="47"/>
      <c r="LA53" s="49"/>
      <c r="LB53" s="50"/>
      <c r="LC53" s="50"/>
      <c r="LD53" s="50"/>
      <c r="LE53" s="50"/>
      <c r="LF53" s="50"/>
      <c r="LG53" s="50"/>
      <c r="LH53" s="184"/>
      <c r="LI53" s="184">
        <f>LI50*28%</f>
        <v>837218.20000000007</v>
      </c>
      <c r="LJ53" s="47"/>
      <c r="LK53" s="49"/>
      <c r="LL53" s="50"/>
      <c r="LM53" s="50"/>
      <c r="LN53" s="50"/>
      <c r="LO53" s="50"/>
      <c r="LP53" s="50"/>
      <c r="LQ53" s="50"/>
      <c r="LR53" s="184"/>
      <c r="LS53" s="184">
        <f>LS50*28%</f>
        <v>785373.73600000015</v>
      </c>
      <c r="LT53" s="47"/>
      <c r="LU53" s="345"/>
      <c r="LV53" s="346"/>
      <c r="LW53" s="347"/>
      <c r="LX53" s="346"/>
      <c r="LY53" s="50"/>
      <c r="LZ53" s="50"/>
      <c r="MA53" s="50"/>
      <c r="MB53" s="184"/>
      <c r="MC53" s="184">
        <f>MC50*28%</f>
        <v>683156.48800000013</v>
      </c>
      <c r="MD53" s="47"/>
      <c r="ME53" s="345"/>
      <c r="MF53" s="346"/>
      <c r="MG53" s="346"/>
      <c r="MH53" s="346"/>
      <c r="MI53" s="346"/>
      <c r="MJ53" s="346"/>
      <c r="MK53" s="346"/>
      <c r="ML53" s="184"/>
      <c r="MM53" s="184">
        <f>MM50*28%</f>
        <v>289759.12000000005</v>
      </c>
      <c r="MN53" s="47"/>
      <c r="MO53" s="12"/>
      <c r="MV53" s="172"/>
      <c r="MW53" s="172">
        <f>MW50*28%</f>
        <v>-664995.46400000004</v>
      </c>
      <c r="MX53" s="3"/>
      <c r="MY53" s="12"/>
      <c r="NF53" s="903">
        <f>NF50*28%</f>
        <v>6292.1159000000007</v>
      </c>
      <c r="NG53" s="903">
        <f>NG50*28%</f>
        <v>503369.272</v>
      </c>
      <c r="NH53" s="17"/>
      <c r="NN53" s="184">
        <f>NN50*28%</f>
        <v>73470.420566666697</v>
      </c>
      <c r="NO53" s="903">
        <f>NO50*28%</f>
        <v>5923787.8700000001</v>
      </c>
      <c r="NP53" s="47"/>
      <c r="NQ53" s="12"/>
      <c r="NV53" s="184"/>
      <c r="NW53" s="184">
        <f>NW50*28%</f>
        <v>1475837.7899999998</v>
      </c>
      <c r="NX53" s="47"/>
      <c r="NY53" s="12"/>
      <c r="NZ53" s="1"/>
      <c r="OD53" s="184"/>
      <c r="OE53" s="184">
        <f>OE50*28%</f>
        <v>2014068.7280000004</v>
      </c>
      <c r="OF53" s="47"/>
      <c r="OG53" s="12"/>
      <c r="OL53" s="172"/>
      <c r="OM53" s="172">
        <f>OM50*28%</f>
        <v>2305748.4240000001</v>
      </c>
      <c r="ON53" s="17"/>
      <c r="OO53" s="12"/>
      <c r="OT53" s="172"/>
      <c r="OU53" s="244">
        <f>OU50*21%</f>
        <v>96099.695999999924</v>
      </c>
      <c r="OV53" s="17"/>
      <c r="OX53" s="49"/>
      <c r="OY53" s="50"/>
      <c r="OZ53" s="50"/>
      <c r="PA53" s="50"/>
      <c r="PB53" s="50"/>
      <c r="PC53" s="50"/>
      <c r="PD53" s="50"/>
      <c r="PE53" s="184">
        <f>PE50*28%</f>
        <v>5974.2627000000002</v>
      </c>
      <c r="PF53" s="903">
        <f>PF50*28%</f>
        <v>478092.21600000001</v>
      </c>
      <c r="PG53" s="47"/>
      <c r="PH53" s="51"/>
      <c r="PI53" s="50"/>
      <c r="PJ53" s="50"/>
      <c r="PK53" s="50"/>
      <c r="PL53" s="50"/>
      <c r="PM53" s="50"/>
      <c r="PN53" s="50"/>
      <c r="PO53" s="184">
        <f>PO50*28%</f>
        <v>4546.7072000000016</v>
      </c>
      <c r="PP53" s="903">
        <f>PP50*28%</f>
        <v>363736.57600000006</v>
      </c>
      <c r="PQ53" s="47"/>
      <c r="PR53" s="51"/>
      <c r="PS53" s="50"/>
      <c r="PT53" s="50"/>
      <c r="PU53" s="50"/>
      <c r="PV53" s="50"/>
      <c r="PW53" s="50"/>
      <c r="PX53" s="50"/>
      <c r="PY53" s="184">
        <f>PY50*28%</f>
        <v>2215.3389999999999</v>
      </c>
      <c r="PZ53" s="184">
        <f>PZ50*28%</f>
        <v>177227.12000000014</v>
      </c>
      <c r="QA53" s="47"/>
      <c r="QB53" s="51"/>
      <c r="QC53" s="50"/>
      <c r="QD53" s="50"/>
      <c r="QE53" s="50"/>
      <c r="QF53" s="50"/>
      <c r="QG53" s="50"/>
      <c r="QH53" s="50"/>
      <c r="QI53" s="184">
        <f>QI50*28%</f>
        <v>2675.6954000000014</v>
      </c>
      <c r="QJ53" s="184">
        <f>QJ50*28%</f>
        <v>214055.63200000013</v>
      </c>
      <c r="QK53" s="47"/>
      <c r="QL53" s="51"/>
      <c r="QM53" s="50"/>
      <c r="QN53" s="50"/>
      <c r="QO53" s="50"/>
      <c r="QP53" s="50"/>
      <c r="QQ53" s="50"/>
      <c r="QR53" s="50"/>
      <c r="QS53" s="184">
        <f>QS50*28%</f>
        <v>6656.8124000000007</v>
      </c>
      <c r="QT53" s="184">
        <f>QT50*28%</f>
        <v>532544.99199999997</v>
      </c>
      <c r="QU53" s="47"/>
      <c r="QV53" s="49"/>
      <c r="QW53" s="50"/>
      <c r="QX53" s="50"/>
      <c r="QY53" s="184"/>
      <c r="QZ53" s="50"/>
      <c r="RA53" s="50"/>
      <c r="RB53" s="50"/>
      <c r="RC53" s="184">
        <f>RC50*28%</f>
        <v>-5262.1309999999994</v>
      </c>
      <c r="RD53" s="184">
        <f>RD50*28%</f>
        <v>-420970.48000000016</v>
      </c>
      <c r="RE53" s="47"/>
      <c r="RF53" s="49"/>
      <c r="RG53" s="50"/>
      <c r="RH53" s="50"/>
      <c r="RI53" s="50"/>
      <c r="RJ53" s="50"/>
      <c r="RK53" s="50"/>
      <c r="RL53" s="50"/>
      <c r="RM53" s="184">
        <f>RM50*28%</f>
        <v>3803.2834000000012</v>
      </c>
      <c r="RN53" s="184">
        <f>RN50*28%</f>
        <v>304262.67200000002</v>
      </c>
      <c r="RO53" s="47"/>
      <c r="RP53" s="49"/>
      <c r="RQ53" s="50"/>
      <c r="RR53" s="50"/>
      <c r="RS53" s="50"/>
      <c r="RT53" s="50"/>
      <c r="RU53" s="50"/>
      <c r="RV53" s="50"/>
      <c r="RW53" s="184"/>
      <c r="RX53" s="184">
        <f>RX50*28%</f>
        <v>215800.53600000008</v>
      </c>
      <c r="RY53" s="47"/>
      <c r="RZ53" s="345"/>
      <c r="SA53" s="346"/>
      <c r="SB53" s="347"/>
      <c r="SC53" s="346"/>
      <c r="SD53" s="50"/>
      <c r="SE53" s="50"/>
      <c r="SF53" s="50"/>
      <c r="SG53" s="184"/>
      <c r="SH53" s="184">
        <f>SH50*28%</f>
        <v>195376.10400000011</v>
      </c>
      <c r="SI53" s="47"/>
      <c r="SJ53" s="345"/>
      <c r="SK53" s="346"/>
      <c r="SL53" s="346"/>
      <c r="SM53" s="346"/>
      <c r="SN53" s="346"/>
      <c r="SO53" s="346"/>
      <c r="SP53" s="346"/>
      <c r="SQ53" s="184"/>
      <c r="SR53" s="184">
        <f>SR50*28%</f>
        <v>53514.32800000003</v>
      </c>
      <c r="SS53" s="47"/>
      <c r="ST53" s="12"/>
      <c r="TA53" s="172"/>
      <c r="TB53" s="172">
        <f>TB50*28%</f>
        <v>120347.13600000013</v>
      </c>
      <c r="TC53" s="17"/>
      <c r="TD53" s="12"/>
      <c r="TK53" s="172"/>
      <c r="TL53" s="172">
        <f>TL50*28%</f>
        <v>133874.21600000007</v>
      </c>
      <c r="TM53" s="17"/>
      <c r="TN53" s="12"/>
      <c r="TS53" s="172"/>
      <c r="TT53" s="172">
        <f>TT50*28%</f>
        <v>2367861.0479999995</v>
      </c>
      <c r="TU53" s="17"/>
      <c r="TV53" s="12"/>
      <c r="UA53" s="184">
        <f>UA50*28%</f>
        <v>12736.308900000007</v>
      </c>
      <c r="UB53" s="184">
        <f>UB50*28%</f>
        <v>898801.51200000022</v>
      </c>
      <c r="UC53" s="47"/>
      <c r="UD53" s="12"/>
      <c r="UI53" s="184"/>
      <c r="UJ53" s="184">
        <f>UJ50*28%</f>
        <v>349041.78399999999</v>
      </c>
      <c r="UK53" s="47"/>
      <c r="UL53" s="12"/>
      <c r="UQ53" s="172"/>
      <c r="UR53" s="172">
        <f>UR50*28%</f>
        <v>715439.31200000015</v>
      </c>
      <c r="US53" s="17"/>
      <c r="UT53" s="12"/>
      <c r="UY53" s="172"/>
      <c r="UZ53" s="172">
        <f>UZ50*28%</f>
        <v>307735.68000000028</v>
      </c>
      <c r="VA53" s="17"/>
      <c r="VC53" s="49"/>
      <c r="VD53" s="50"/>
      <c r="VE53" s="50"/>
      <c r="VF53" s="50"/>
      <c r="VG53" s="50"/>
      <c r="VH53" s="50"/>
      <c r="VI53" s="50"/>
      <c r="VJ53" s="184">
        <f>VJ50*28%</f>
        <v>2786.4858000000004</v>
      </c>
      <c r="VK53" s="903">
        <f>VK50*28%</f>
        <v>222918.86400000009</v>
      </c>
      <c r="VL53" s="47"/>
      <c r="VM53" s="51"/>
      <c r="VN53" s="50"/>
      <c r="VO53" s="50"/>
      <c r="VP53" s="50"/>
      <c r="VQ53" s="50"/>
      <c r="VR53" s="50"/>
      <c r="VS53" s="50"/>
      <c r="VT53" s="184">
        <f>VT50*28%</f>
        <v>2670.4804000000017</v>
      </c>
      <c r="VU53" s="903">
        <f>VU50*28%</f>
        <v>213638.43200000006</v>
      </c>
      <c r="VV53" s="47"/>
      <c r="VW53" s="51"/>
      <c r="VX53" s="50"/>
      <c r="VY53" s="50"/>
      <c r="VZ53" s="50"/>
      <c r="WA53" s="50"/>
      <c r="WB53" s="50"/>
      <c r="WC53" s="50"/>
      <c r="WD53" s="184">
        <f>WD50*28%</f>
        <v>1240.3285999999998</v>
      </c>
      <c r="WE53" s="184">
        <f>WE50*28%</f>
        <v>99226.28800000003</v>
      </c>
      <c r="WF53" s="47"/>
      <c r="WG53" s="51"/>
      <c r="WH53" s="50"/>
      <c r="WI53" s="50"/>
      <c r="WJ53" s="50"/>
      <c r="WK53" s="50"/>
      <c r="WL53" s="50"/>
      <c r="WM53" s="50"/>
      <c r="WN53" s="184">
        <f>WN50*28%</f>
        <v>4981.7565000000004</v>
      </c>
      <c r="WO53" s="184">
        <f>WO50*28%</f>
        <v>398540.52</v>
      </c>
      <c r="WP53" s="47"/>
      <c r="WQ53" s="51"/>
      <c r="WR53" s="50"/>
      <c r="WS53" s="50"/>
      <c r="WT53" s="50"/>
      <c r="WU53" s="50"/>
      <c r="WV53" s="50"/>
      <c r="WW53" s="50"/>
      <c r="WX53" s="184">
        <f>WX50*28%</f>
        <v>301.36540000000014</v>
      </c>
      <c r="WY53" s="184">
        <f>WY50*28%</f>
        <v>24109.231999999975</v>
      </c>
      <c r="WZ53" s="47"/>
      <c r="XA53" s="49"/>
      <c r="XB53" s="50"/>
      <c r="XC53" s="50"/>
      <c r="XD53" s="184"/>
      <c r="XE53" s="50"/>
      <c r="XF53" s="50"/>
      <c r="XG53" s="50"/>
      <c r="XH53" s="184">
        <f>XH50*28%</f>
        <v>1715.2764999999999</v>
      </c>
      <c r="XI53" s="184">
        <f>XI50*28%</f>
        <v>137222.12000000002</v>
      </c>
      <c r="XJ53" s="47"/>
      <c r="XK53" s="49"/>
      <c r="XL53" s="50"/>
      <c r="XM53" s="50"/>
      <c r="XN53" s="50"/>
      <c r="XO53" s="50"/>
      <c r="XP53" s="50"/>
      <c r="XQ53" s="50"/>
      <c r="XR53" s="184">
        <f>XR50*28%</f>
        <v>-5176.8919999999989</v>
      </c>
      <c r="XS53" s="184">
        <f>XS50*28%</f>
        <v>-414151.36000000004</v>
      </c>
      <c r="XT53" s="47"/>
      <c r="XU53" s="49"/>
      <c r="XV53" s="50"/>
      <c r="XW53" s="50"/>
      <c r="XX53" s="50"/>
      <c r="XY53" s="50"/>
      <c r="XZ53" s="50"/>
      <c r="YA53" s="50"/>
      <c r="YB53" s="184"/>
      <c r="YC53" s="184">
        <f>YC50*28%</f>
        <v>48055.168000000034</v>
      </c>
      <c r="YD53" s="47"/>
      <c r="YE53" s="345"/>
      <c r="YF53" s="346"/>
      <c r="YG53" s="347"/>
      <c r="YH53" s="346"/>
      <c r="YI53" s="50"/>
      <c r="YJ53" s="50"/>
      <c r="YK53" s="50"/>
      <c r="YL53" s="184"/>
      <c r="YM53" s="184">
        <f>YM50*28%</f>
        <v>-529749.19200000016</v>
      </c>
      <c r="YN53" s="47"/>
      <c r="YO53" s="345"/>
      <c r="YP53" s="346"/>
      <c r="YQ53" s="346"/>
      <c r="YR53" s="346"/>
      <c r="YS53" s="346"/>
      <c r="YT53" s="346"/>
      <c r="YU53" s="346"/>
      <c r="YV53" s="184"/>
      <c r="YW53" s="184">
        <f>YW50*28%</f>
        <v>316176.84000000014</v>
      </c>
      <c r="YX53" s="47"/>
      <c r="YY53" s="12"/>
      <c r="ZF53" s="172"/>
      <c r="ZG53" s="172">
        <f>ZG50*28%</f>
        <v>0</v>
      </c>
      <c r="ZH53" s="17"/>
      <c r="ZI53" s="12"/>
      <c r="ZP53" s="172"/>
      <c r="ZQ53" s="172">
        <f>ZQ50*28%</f>
        <v>0</v>
      </c>
      <c r="ZR53" s="17"/>
      <c r="ZS53" s="12"/>
      <c r="ZX53" s="4833">
        <f>ZP53+ZF53+YV53+YL53+YB53+XR53+XH53+WX53+WN53+WD53+VT53+VJ53</f>
        <v>8518.8012000000035</v>
      </c>
      <c r="ZY53" s="172">
        <f>ZY50*28%</f>
        <v>515986.91200000065</v>
      </c>
      <c r="ZZ53" s="17"/>
      <c r="AAA53" s="12"/>
      <c r="AAF53" s="184">
        <f>AAF50*28%</f>
        <v>6697.2948000000033</v>
      </c>
      <c r="AAG53" s="184">
        <f>AAG50*28%</f>
        <v>415529.18400000024</v>
      </c>
      <c r="AAH53" s="47"/>
      <c r="AAI53" s="12"/>
      <c r="AAN53" s="184"/>
      <c r="AAO53" s="184">
        <f>AAO50*28%</f>
        <v>626427.87200000009</v>
      </c>
      <c r="AAP53" s="47"/>
      <c r="AAQ53" s="12"/>
      <c r="AAV53" s="172"/>
      <c r="AAW53" s="172">
        <f>AAW50*28%</f>
        <v>-996645.38399999973</v>
      </c>
      <c r="AAX53" s="17"/>
      <c r="AAY53" s="12"/>
      <c r="ABD53" s="172"/>
      <c r="ABE53" s="172">
        <f>ABE50*28%</f>
        <v>316176.84000000014</v>
      </c>
      <c r="ABF53" s="17"/>
    </row>
    <row r="54" spans="1:734" s="3684" customFormat="1" ht="16.7" x14ac:dyDescent="0.3">
      <c r="A54" s="6766" t="s">
        <v>37</v>
      </c>
      <c r="B54" s="6767"/>
      <c r="C54" s="6768"/>
      <c r="D54" s="6220"/>
      <c r="E54" s="6221"/>
      <c r="F54" s="6222"/>
      <c r="G54" s="6221"/>
      <c r="H54" s="6221"/>
      <c r="I54" s="6221">
        <f>I52-I53</f>
        <v>18025.335714285713</v>
      </c>
      <c r="J54" s="6221">
        <f>J52-J53</f>
        <v>1261773.5</v>
      </c>
      <c r="K54" s="6223">
        <f>J54/F19</f>
        <v>2.7202346548098912E-2</v>
      </c>
      <c r="L54" s="6222"/>
      <c r="M54" s="6222"/>
      <c r="N54" s="6222"/>
      <c r="O54" s="6222"/>
      <c r="P54" s="6222"/>
      <c r="Q54" s="6221">
        <f>Q52-Q53</f>
        <v>9957.5685714285719</v>
      </c>
      <c r="R54" s="6221">
        <f>R52-R53</f>
        <v>697029.79999999981</v>
      </c>
      <c r="S54" s="6223">
        <f>R54/N19</f>
        <v>1.8288553219513597E-2</v>
      </c>
      <c r="T54" s="6222"/>
      <c r="U54" s="6222"/>
      <c r="V54" s="6222"/>
      <c r="W54" s="6222"/>
      <c r="X54" s="6222"/>
      <c r="Y54" s="6221">
        <f>Y52-Y53</f>
        <v>-117895.33285714284</v>
      </c>
      <c r="Z54" s="6221">
        <f>Z52-Z53</f>
        <v>-8252673.2999999989</v>
      </c>
      <c r="AA54" s="6224">
        <f>Z54/V19</f>
        <v>-0.20829895326452688</v>
      </c>
      <c r="AB54" s="6222"/>
      <c r="AC54" s="6222"/>
      <c r="AD54" s="6222"/>
      <c r="AE54" s="6222"/>
      <c r="AF54" s="6222"/>
      <c r="AG54" s="6221">
        <f>AG52-AG53</f>
        <v>8882.6385714285716</v>
      </c>
      <c r="AH54" s="6221">
        <f>AH52-AH53</f>
        <v>621784.70000000019</v>
      </c>
      <c r="AI54" s="6223">
        <f>AH54/AD19</f>
        <v>1.7476598685765669E-2</v>
      </c>
      <c r="AJ54" s="6222"/>
      <c r="AK54" s="6222"/>
      <c r="AL54" s="6222"/>
      <c r="AM54" s="6222"/>
      <c r="AN54" s="6222"/>
      <c r="AO54" s="6221">
        <f>AO52-AO53</f>
        <v>9082.6071428571449</v>
      </c>
      <c r="AP54" s="6221">
        <f>AP52-AP53</f>
        <v>635782.5</v>
      </c>
      <c r="AQ54" s="6223">
        <f>AP54/AL19</f>
        <v>1.9218259602366346E-2</v>
      </c>
      <c r="AR54" s="6222"/>
      <c r="AS54" s="6222"/>
      <c r="AT54" s="6222"/>
      <c r="AU54" s="6222"/>
      <c r="AV54" s="6222"/>
      <c r="AW54" s="6221">
        <f>AW52-AW53</f>
        <v>19746.268571428576</v>
      </c>
      <c r="AX54" s="6221">
        <f>AX52-AX53</f>
        <v>1382238.7999999998</v>
      </c>
      <c r="AY54" s="6223">
        <f>AX54/AT19</f>
        <v>4.1157780960519766E-2</v>
      </c>
      <c r="AZ54" s="6222"/>
      <c r="BA54" s="6222"/>
      <c r="BB54" s="6222"/>
      <c r="BC54" s="6222"/>
      <c r="BD54" s="6222"/>
      <c r="BE54" s="6221">
        <f>BE52-BE53</f>
        <v>13786.688571428575</v>
      </c>
      <c r="BF54" s="6221">
        <f>BF52-BF53</f>
        <v>965068.20000000019</v>
      </c>
      <c r="BG54" s="6223">
        <f>BF54/BB19</f>
        <v>3.0221373926277592E-2</v>
      </c>
      <c r="BH54" s="6222"/>
      <c r="BI54" s="6222"/>
      <c r="BJ54" s="6222"/>
      <c r="BK54" s="6222"/>
      <c r="BL54" s="6222"/>
      <c r="BM54" s="6221">
        <f>BM52-BM53</f>
        <v>4874.4314285714281</v>
      </c>
      <c r="BN54" s="6221">
        <f>BN52-BN53</f>
        <v>341210.20000000019</v>
      </c>
      <c r="BO54" s="6225">
        <f>BN54/BJ19</f>
        <v>1.3338162343881329E-2</v>
      </c>
      <c r="BP54" s="6220"/>
      <c r="BQ54" s="6222"/>
      <c r="BR54" s="6222"/>
      <c r="BS54" s="6222"/>
      <c r="BT54" s="6222"/>
      <c r="BU54" s="6221">
        <f>BU52-BU53</f>
        <v>-19528.927142857137</v>
      </c>
      <c r="BV54" s="6221">
        <f>BV52-BV53</f>
        <v>-1367024.9000000004</v>
      </c>
      <c r="BW54" s="6226">
        <f>BV54/BR19</f>
        <v>-4.8297206479692413E-2</v>
      </c>
      <c r="BX54" s="6222"/>
      <c r="BY54" s="6222"/>
      <c r="BZ54" s="6222"/>
      <c r="CA54" s="6222"/>
      <c r="CB54" s="6222"/>
      <c r="CC54" s="6221">
        <f>CC52-CC53</f>
        <v>8635.9457142857136</v>
      </c>
      <c r="CD54" s="6221">
        <f>CD52-CD53</f>
        <v>604516.20000000019</v>
      </c>
      <c r="CE54" s="6225">
        <f>CD54/BZ19</f>
        <v>2.2790466036518065E-2</v>
      </c>
      <c r="CF54" s="6220"/>
      <c r="CG54" s="6222"/>
      <c r="CH54" s="6222"/>
      <c r="CI54" s="6222"/>
      <c r="CJ54" s="6222"/>
      <c r="CK54" s="6221">
        <f>CK52-CK53</f>
        <v>4657.962857142862</v>
      </c>
      <c r="CL54" s="6221">
        <f>CL52-CL53</f>
        <v>326057.39999999991</v>
      </c>
      <c r="CM54" s="6227">
        <f>CL54/CH19</f>
        <v>1.1747521745302355E-2</v>
      </c>
      <c r="CN54" s="6222"/>
      <c r="CO54" s="6222"/>
      <c r="CP54" s="6222"/>
      <c r="CQ54" s="6222"/>
      <c r="CR54" s="6222"/>
      <c r="CS54" s="6221">
        <f>CS52-CS53</f>
        <v>9938.3642857142841</v>
      </c>
      <c r="CT54" s="6221">
        <f>CT52-CT53</f>
        <v>347967.60360000003</v>
      </c>
      <c r="CU54" s="6223">
        <f>CT54/CP19</f>
        <v>9.7156349618960879E-3</v>
      </c>
      <c r="CV54" s="6222"/>
      <c r="CW54" s="6222"/>
      <c r="CX54" s="6222"/>
      <c r="CY54" s="6222"/>
      <c r="CZ54" s="6222"/>
      <c r="DA54" s="6221">
        <f>DA52-DA53</f>
        <v>-30460.448571428657</v>
      </c>
      <c r="DB54" s="6221">
        <f>DB52-DB53</f>
        <v>-3240586.275600004</v>
      </c>
      <c r="DC54" s="6223">
        <f>DB54/CX19</f>
        <v>-8.0565025496827942E-3</v>
      </c>
      <c r="DD54" s="6220"/>
      <c r="DE54" s="6222"/>
      <c r="DF54" s="6222"/>
      <c r="DG54" s="6222"/>
      <c r="DH54" s="6222"/>
      <c r="DI54" s="6221">
        <f>DI52-DI53</f>
        <v>21182.845714285715</v>
      </c>
      <c r="DJ54" s="6221">
        <f>DJ52-DJ53</f>
        <v>907558.75380000006</v>
      </c>
      <c r="DK54" s="6227">
        <f>DJ54/DF19</f>
        <v>2.3841365066872344E-2</v>
      </c>
      <c r="DL54" s="6220"/>
      <c r="DM54" s="6222"/>
      <c r="DN54" s="6222"/>
      <c r="DO54" s="6222"/>
      <c r="DP54" s="6222"/>
      <c r="DQ54" s="6221">
        <f>DQ52-DQ53</f>
        <v>32493.078571428574</v>
      </c>
      <c r="DR54" s="6221">
        <f>DR52-DR53</f>
        <v>1424993.1666666665</v>
      </c>
      <c r="DS54" s="6227">
        <f>DR54/DN19</f>
        <v>3.8203006836807135E-2</v>
      </c>
      <c r="DT54" s="6220"/>
      <c r="DU54" s="6222"/>
      <c r="DV54" s="6222"/>
      <c r="DW54" s="6222"/>
      <c r="DX54" s="6222"/>
      <c r="DY54" s="6221">
        <f>DY52-DY53</f>
        <v>22944.505714285711</v>
      </c>
      <c r="DZ54" s="6221">
        <f>DZ52-DZ53</f>
        <v>914572.0405</v>
      </c>
      <c r="EA54" s="6227">
        <f>DZ54/DV19</f>
        <v>2.2216296088199399E-2</v>
      </c>
      <c r="EB54" s="6228"/>
      <c r="EC54" s="6222"/>
      <c r="ED54" s="6222"/>
      <c r="EE54" s="6222"/>
      <c r="EF54" s="6222"/>
      <c r="EG54" s="6221">
        <f>EG52-EG53</f>
        <v>10687.87857142857</v>
      </c>
      <c r="EH54" s="6221">
        <f>EH52-EH53</f>
        <v>300037.59833333327</v>
      </c>
      <c r="EI54" s="6229">
        <f>EH54/ED19</f>
        <v>7.3797442632343004E-3</v>
      </c>
      <c r="EJ54" s="6228"/>
      <c r="EK54" s="6222"/>
      <c r="EL54" s="6222"/>
      <c r="EM54" s="6222"/>
      <c r="EN54" s="6222"/>
      <c r="EO54" s="6221">
        <f>EO52-EO53</f>
        <v>26944.057142857142</v>
      </c>
      <c r="EP54" s="6221">
        <f>EP52-EP53</f>
        <v>1080531.1633333333</v>
      </c>
      <c r="EQ54" s="6229">
        <f>EP54/EL19</f>
        <v>2.3081969567569655E-2</v>
      </c>
      <c r="ER54" s="6228"/>
      <c r="ES54" s="6222"/>
      <c r="ET54" s="6222"/>
      <c r="EU54" s="6222"/>
      <c r="EV54" s="6222"/>
      <c r="EW54" s="6221">
        <f>EW52-EW53</f>
        <v>24862.012857142858</v>
      </c>
      <c r="EX54" s="6221">
        <f>EX52-EX53</f>
        <v>980144.09549999982</v>
      </c>
      <c r="EY54" s="6229">
        <f>EX54/ET19</f>
        <v>2.1320323514447504E-2</v>
      </c>
      <c r="EZ54" s="6228"/>
      <c r="FA54" s="6222"/>
      <c r="FB54" s="6222"/>
      <c r="FC54" s="6222"/>
      <c r="FD54" s="6222"/>
      <c r="FE54" s="6221">
        <f>FE52-FE53</f>
        <v>27866.035714285717</v>
      </c>
      <c r="FF54" s="6221">
        <f>FF52-FF53</f>
        <v>1126178.1391666667</v>
      </c>
      <c r="FG54" s="6229">
        <f>FF54/FB19</f>
        <v>2.3973432849917195E-2</v>
      </c>
      <c r="FH54" s="6222"/>
      <c r="FI54" s="6222"/>
      <c r="FJ54" s="6222"/>
      <c r="FK54" s="6222"/>
      <c r="FL54" s="6222"/>
      <c r="FM54" s="6221">
        <f>FM52-FM53</f>
        <v>23970.65</v>
      </c>
      <c r="FN54" s="6221">
        <f>FN52-FN53</f>
        <v>931594.49249999993</v>
      </c>
      <c r="FO54" s="6229">
        <f>FN54/FJ19</f>
        <v>2.0040103946284631E-2</v>
      </c>
      <c r="FP54" s="6222"/>
      <c r="FQ54" s="6222"/>
      <c r="FR54" s="6222"/>
      <c r="FS54" s="6222"/>
      <c r="FT54" s="6222"/>
      <c r="FU54" s="6222"/>
      <c r="FV54" s="6222"/>
      <c r="FW54" s="6221">
        <f>FW52-FW53</f>
        <v>29374.142857142855</v>
      </c>
      <c r="FX54" s="6221">
        <f>FX52-FX53</f>
        <v>1190158.5283333333</v>
      </c>
      <c r="FY54" s="6225">
        <f>FX54/FR19</f>
        <v>2.4489448168470998E-2</v>
      </c>
      <c r="FZ54" s="6220"/>
      <c r="GA54" s="6222"/>
      <c r="GB54" s="6222"/>
      <c r="GC54" s="6222"/>
      <c r="GD54" s="6222"/>
      <c r="GE54" s="6222"/>
      <c r="GF54" s="6222"/>
      <c r="GG54" s="6221">
        <f>GG52-GG53</f>
        <v>-8521.9571428571362</v>
      </c>
      <c r="GH54" s="6221">
        <f>GH52-GH53</f>
        <v>-855265.88416666666</v>
      </c>
      <c r="GI54" s="6225">
        <f>GH54/GB19</f>
        <v>-1.9611597471478965E-2</v>
      </c>
      <c r="GJ54" s="6230"/>
      <c r="GK54" s="6231"/>
      <c r="GL54" s="6231"/>
      <c r="GM54" s="6231"/>
      <c r="GN54" s="6231"/>
      <c r="GO54" s="6231"/>
      <c r="GP54" s="6231"/>
      <c r="GQ54" s="6221">
        <f>GQ52-GQ53</f>
        <v>25557.885714285716</v>
      </c>
      <c r="GR54" s="6221">
        <f>GR52-GR53</f>
        <v>1017689.8408333333</v>
      </c>
      <c r="GS54" s="6225">
        <f>GR54/GL19</f>
        <v>2.2515446273195894E-2</v>
      </c>
      <c r="GT54" s="6220"/>
      <c r="GU54" s="6222"/>
      <c r="GV54" s="6222"/>
      <c r="GW54" s="6222"/>
      <c r="GX54" s="6222"/>
      <c r="GY54" s="6222"/>
      <c r="GZ54" s="6222"/>
      <c r="HA54" s="6221">
        <f>HA52-HA53</f>
        <v>32148.935714285719</v>
      </c>
      <c r="HB54" s="6221">
        <f>HB52-HB53</f>
        <v>1282979.1249999998</v>
      </c>
      <c r="HC54" s="6223">
        <f>HB54/GV19</f>
        <v>2.2899807606358215E-2</v>
      </c>
      <c r="HD54" s="6220"/>
      <c r="HE54" s="6222"/>
      <c r="HF54" s="6222"/>
      <c r="HG54" s="6222"/>
      <c r="HH54" s="6222"/>
      <c r="HI54" s="6221">
        <f>HI52-HI53</f>
        <v>235813.07142857148</v>
      </c>
      <c r="HJ54" s="6221">
        <f>HJ52-HJ53</f>
        <v>8707628.3591666669</v>
      </c>
      <c r="HK54" s="6225">
        <f>HJ54/HF19</f>
        <v>1.6219163478574678E-2</v>
      </c>
      <c r="HL54" s="6220"/>
      <c r="HM54" s="6222"/>
      <c r="HN54" s="6222"/>
      <c r="HO54" s="6222"/>
      <c r="HP54" s="6222"/>
      <c r="HQ54" s="6221">
        <f>HQ52-HQ53</f>
        <v>76620.430000000008</v>
      </c>
      <c r="HR54" s="6221">
        <f>HR52-HR53</f>
        <v>3184879.7003333326</v>
      </c>
      <c r="HS54" s="6227">
        <f>HR54/HN19</f>
        <v>2.7330086896940851E-2</v>
      </c>
      <c r="HT54" s="6220"/>
      <c r="HU54" s="6222"/>
      <c r="HV54" s="6222"/>
      <c r="HW54" s="6222"/>
      <c r="HX54" s="6222"/>
      <c r="HY54" s="6221">
        <f>HY52-HY53</f>
        <v>62493.948571428569</v>
      </c>
      <c r="HZ54" s="6221">
        <f>HZ52-HZ53</f>
        <v>2360712.8571666665</v>
      </c>
      <c r="IA54" s="6227">
        <f>HZ54/HV19</f>
        <v>1.7690930973646123E-2</v>
      </c>
      <c r="IB54" s="6220"/>
      <c r="IC54" s="6222"/>
      <c r="ID54" s="6222"/>
      <c r="IE54" s="6222"/>
      <c r="IF54" s="6222"/>
      <c r="IG54" s="6221">
        <f>IG52-IG53</f>
        <v>81210.828571428559</v>
      </c>
      <c r="IH54" s="6221">
        <f>IH52-IH53</f>
        <v>3247931.16</v>
      </c>
      <c r="II54" s="6223">
        <f>IH54/ID19</f>
        <v>2.286286404409698E-2</v>
      </c>
      <c r="IJ54" s="6220"/>
      <c r="IK54" s="6222"/>
      <c r="IL54" s="6222"/>
      <c r="IM54" s="6222"/>
      <c r="IN54" s="6222"/>
      <c r="IO54" s="6221">
        <f>IO52-IO53</f>
        <v>49184.864285714284</v>
      </c>
      <c r="IP54" s="6221">
        <f>IP52-IP53</f>
        <v>1612433.4416666653</v>
      </c>
      <c r="IQ54" s="6223">
        <f>IP54/IL19</f>
        <v>1.1132852984118997E-2</v>
      </c>
      <c r="IR54" s="4866"/>
      <c r="IS54" s="6220"/>
      <c r="IT54" s="6222"/>
      <c r="IU54" s="6222"/>
      <c r="IV54" s="6222"/>
      <c r="IW54" s="6222"/>
      <c r="IX54" s="6222"/>
      <c r="IY54" s="6222"/>
      <c r="IZ54" s="6221">
        <f>IZ52-IZ53</f>
        <v>14202.162499999995</v>
      </c>
      <c r="JA54" s="6221">
        <f>JA52-JA53</f>
        <v>831292.56</v>
      </c>
      <c r="JB54" s="6223">
        <f>JA54/IU19</f>
        <v>1.364155840404974E-2</v>
      </c>
      <c r="JC54" s="6260"/>
      <c r="JD54" s="6222"/>
      <c r="JE54" s="6222"/>
      <c r="JF54" s="6222"/>
      <c r="JG54" s="6222"/>
      <c r="JH54" s="6222"/>
      <c r="JI54" s="6222"/>
      <c r="JJ54" s="6221">
        <f>JJ52-JJ53</f>
        <v>26473.5</v>
      </c>
      <c r="JK54" s="6221">
        <f>JK52-JK53</f>
        <v>1520640</v>
      </c>
      <c r="JL54" s="6223">
        <f>JK54/JE19</f>
        <v>2.3375588447973081E-2</v>
      </c>
      <c r="JM54" s="6260"/>
      <c r="JN54" s="6222"/>
      <c r="JO54" s="6222"/>
      <c r="JP54" s="6222"/>
      <c r="JQ54" s="6222"/>
      <c r="JR54" s="6222"/>
      <c r="JS54" s="6222"/>
      <c r="JT54" s="6221">
        <f>JT52-JT53</f>
        <v>23385.49666666667</v>
      </c>
      <c r="JU54" s="6221">
        <f>JU52-JU53</f>
        <v>1443078.9</v>
      </c>
      <c r="JV54" s="6223">
        <f>JU54/JO19</f>
        <v>2.0881913807414162E-2</v>
      </c>
      <c r="JW54" s="6260"/>
      <c r="JX54" s="6222"/>
      <c r="JY54" s="6222"/>
      <c r="JZ54" s="6222"/>
      <c r="KA54" s="6222"/>
      <c r="KB54" s="6222"/>
      <c r="KC54" s="6222"/>
      <c r="KD54" s="6221">
        <f>KD52-KD53</f>
        <v>24881.817499999997</v>
      </c>
      <c r="KE54" s="6221">
        <f>KE52-KE53</f>
        <v>1446440.6880000001</v>
      </c>
      <c r="KF54" s="6223">
        <f>KE54/JY19</f>
        <v>2.2674042964096263E-2</v>
      </c>
      <c r="KG54" s="6260"/>
      <c r="KH54" s="6222"/>
      <c r="KI54" s="6222"/>
      <c r="KJ54" s="6222"/>
      <c r="KK54" s="6222"/>
      <c r="KL54" s="6222"/>
      <c r="KM54" s="6222"/>
      <c r="KN54" s="6221">
        <f>KN52-KN53</f>
        <v>31155.507500000007</v>
      </c>
      <c r="KO54" s="6221">
        <f>KO52-KO53</f>
        <v>1790323.6319999998</v>
      </c>
      <c r="KP54" s="6223">
        <f>KO54/KI19</f>
        <v>2.429964037604157E-2</v>
      </c>
      <c r="KQ54" s="6233"/>
      <c r="KR54" s="6232"/>
      <c r="KS54" s="6232"/>
      <c r="KT54" s="6234"/>
      <c r="KU54" s="6232"/>
      <c r="KV54" s="6232"/>
      <c r="KW54" s="6232"/>
      <c r="KX54" s="6221">
        <f>KX52-KX53</f>
        <v>33793.457499999997</v>
      </c>
      <c r="KY54" s="6221">
        <f>KY52-KY53</f>
        <v>1942269.5519999997</v>
      </c>
      <c r="KZ54" s="6223">
        <f>KY54/KS19</f>
        <v>2.7687567242085188E-2</v>
      </c>
      <c r="LA54" s="6233"/>
      <c r="LB54" s="6232"/>
      <c r="LC54" s="6232"/>
      <c r="LD54" s="6232"/>
      <c r="LE54" s="6232"/>
      <c r="LF54" s="6232"/>
      <c r="LG54" s="6232"/>
      <c r="LH54" s="6221">
        <f>LH52-LH53</f>
        <v>37149.3125</v>
      </c>
      <c r="LI54" s="6221">
        <f>LI52-LI53</f>
        <v>2152846.7999999998</v>
      </c>
      <c r="LJ54" s="6223">
        <f>LI54/LC19</f>
        <v>2.9815972637708903E-2</v>
      </c>
      <c r="LK54" s="6233"/>
      <c r="LL54" s="6232"/>
      <c r="LM54" s="6232"/>
      <c r="LN54" s="6232"/>
      <c r="LO54" s="6232"/>
      <c r="LP54" s="6232"/>
      <c r="LQ54" s="6232"/>
      <c r="LR54" s="6221">
        <f>LR52-LR53</f>
        <v>35061.327499999999</v>
      </c>
      <c r="LS54" s="6221">
        <f>LS52-LS53</f>
        <v>2019532.4640000002</v>
      </c>
      <c r="LT54" s="6223">
        <f>LS54/LM19</f>
        <v>3.019029166387616E-2</v>
      </c>
      <c r="LU54" s="6237"/>
      <c r="LV54" s="6234"/>
      <c r="LW54" s="6232"/>
      <c r="LX54" s="6234"/>
      <c r="LY54" s="6232"/>
      <c r="LZ54" s="6232"/>
      <c r="MA54" s="6232"/>
      <c r="MB54" s="6221">
        <f>MB52-MB53</f>
        <v>30571.557500000003</v>
      </c>
      <c r="MC54" s="6221">
        <f>MC52-MC53</f>
        <v>1756688.112</v>
      </c>
      <c r="MD54" s="6223">
        <f>MC54/LW19</f>
        <v>2.7354017160880765E-2</v>
      </c>
      <c r="ME54" s="6237"/>
      <c r="MF54" s="6234"/>
      <c r="MG54" s="6234"/>
      <c r="MH54" s="6234"/>
      <c r="MI54" s="6234"/>
      <c r="MJ54" s="6234"/>
      <c r="MK54" s="6234"/>
      <c r="ML54" s="6221">
        <f>ML52-ML53</f>
        <v>12935.674999999996</v>
      </c>
      <c r="MM54" s="6221">
        <f>MM52-MM53</f>
        <v>745094.87999999989</v>
      </c>
      <c r="MN54" s="6223">
        <f>MM54/MG19</f>
        <v>1.1351370522492655E-2</v>
      </c>
      <c r="MO54" s="6220"/>
      <c r="MP54" s="6222"/>
      <c r="MQ54" s="6222"/>
      <c r="MR54" s="6222"/>
      <c r="MS54" s="6222"/>
      <c r="MT54" s="6222"/>
      <c r="MU54" s="6222"/>
      <c r="MV54" s="6221">
        <f>MV52-MV53</f>
        <v>-29687.297500000001</v>
      </c>
      <c r="MW54" s="6221">
        <f>MW52-MW53</f>
        <v>-1709988.3359999997</v>
      </c>
      <c r="MX54" s="6225">
        <f>MW54/MQ19</f>
        <v>-2.7641589528324573E-2</v>
      </c>
      <c r="MY54" s="6220"/>
      <c r="MZ54" s="6222"/>
      <c r="NA54" s="6222"/>
      <c r="NB54" s="6222"/>
      <c r="NC54" s="6222"/>
      <c r="ND54" s="6222"/>
      <c r="NE54" s="6222"/>
      <c r="NF54" s="6221">
        <f>NF52-NF53</f>
        <v>16179.726599999998</v>
      </c>
      <c r="NG54" s="6221">
        <f>NG52-NG53</f>
        <v>1294378.128</v>
      </c>
      <c r="NH54" s="6223">
        <f>NG54/NA19</f>
        <v>1.9309646512926822E-2</v>
      </c>
      <c r="NI54" s="6222"/>
      <c r="NJ54" s="6222"/>
      <c r="NK54" s="6222"/>
      <c r="NL54" s="6222"/>
      <c r="NM54" s="6222"/>
      <c r="NN54" s="6221">
        <f>NN52-NN53</f>
        <v>188923.93860000005</v>
      </c>
      <c r="NO54" s="6221">
        <f>NO52-NO53</f>
        <v>15232597.379999999</v>
      </c>
      <c r="NP54" s="6223">
        <f>NO54/NK19</f>
        <v>1.902719365495957E-2</v>
      </c>
      <c r="NQ54" s="6220"/>
      <c r="NR54" s="6222"/>
      <c r="NS54" s="6222"/>
      <c r="NT54" s="6222"/>
      <c r="NU54" s="6222"/>
      <c r="NV54" s="6221">
        <f>NV52-NV53</f>
        <v>64061.159166666679</v>
      </c>
      <c r="NW54" s="6221">
        <f>NW52-NW53</f>
        <v>2621197.5966666657</v>
      </c>
      <c r="NX54" s="6223">
        <f>NW54/NS19</f>
        <v>1.3435330937674737E-2</v>
      </c>
      <c r="NY54" s="6220"/>
      <c r="NZ54" s="6222"/>
      <c r="OA54" s="6222"/>
      <c r="OB54" s="6222"/>
      <c r="OC54" s="6222"/>
      <c r="OD54" s="6221">
        <f>OD52-OD53</f>
        <v>89830.782500000001</v>
      </c>
      <c r="OE54" s="6221">
        <f>OE52-OE53</f>
        <v>3945363.5520000001</v>
      </c>
      <c r="OF54" s="6223">
        <f>OE54/OA19</f>
        <v>1.9002876572927138E-2</v>
      </c>
      <c r="OG54" s="6220"/>
      <c r="OH54" s="6222"/>
      <c r="OI54" s="6222"/>
      <c r="OJ54" s="6222"/>
      <c r="OK54" s="6222"/>
      <c r="OL54" s="6221">
        <f>OL52-OL53</f>
        <v>102782.19750000001</v>
      </c>
      <c r="OM54" s="6221">
        <f>OM52-OM53</f>
        <v>4718931.9460000005</v>
      </c>
      <c r="ON54" s="6223">
        <f>OM54/OI19</f>
        <v>2.3209566600956924E-2</v>
      </c>
      <c r="OO54" s="6220"/>
      <c r="OP54" s="6222"/>
      <c r="OQ54" s="6222"/>
      <c r="OR54" s="6222"/>
      <c r="OS54" s="6222"/>
      <c r="OT54" s="6221">
        <f>OT52-OT53</f>
        <v>5720.2200000000012</v>
      </c>
      <c r="OU54" s="6221">
        <f>OU52-OU53</f>
        <v>361517.90399999969</v>
      </c>
      <c r="OV54" s="6223">
        <f>OU54/OQ19</f>
        <v>1.8583713762267712E-3</v>
      </c>
      <c r="OW54" s="4866"/>
      <c r="OX54" s="6220"/>
      <c r="OY54" s="6222"/>
      <c r="OZ54" s="6222"/>
      <c r="PA54" s="6222"/>
      <c r="PB54" s="6222"/>
      <c r="PC54" s="6222"/>
      <c r="PD54" s="6222"/>
      <c r="PE54" s="6221">
        <f>PE52-PE53</f>
        <v>15362.389800000001</v>
      </c>
      <c r="PF54" s="6221">
        <f>PF50-PF53</f>
        <v>1229379.9839999999</v>
      </c>
      <c r="PG54" s="6223">
        <f>PF54/OZ19</f>
        <v>1.9959981711981899E-2</v>
      </c>
      <c r="PH54" s="6260"/>
      <c r="PI54" s="6222"/>
      <c r="PJ54" s="6222"/>
      <c r="PK54" s="6222"/>
      <c r="PL54" s="6222"/>
      <c r="PM54" s="6222"/>
      <c r="PN54" s="6222"/>
      <c r="PO54" s="6221">
        <f>PO52-PO53</f>
        <v>11691.532800000004</v>
      </c>
      <c r="PP54" s="6221">
        <f>PP50-PP53</f>
        <v>935322.62400000007</v>
      </c>
      <c r="PQ54" s="6223">
        <f>PP54/PJ19</f>
        <v>1.412954101858967E-2</v>
      </c>
      <c r="PR54" s="6260"/>
      <c r="PS54" s="6222"/>
      <c r="PT54" s="6222"/>
      <c r="PU54" s="6222"/>
      <c r="PV54" s="6222"/>
      <c r="PW54" s="6222"/>
      <c r="PX54" s="6222"/>
      <c r="PY54" s="6221">
        <f>PY52-PY53</f>
        <v>5696.5859999999993</v>
      </c>
      <c r="PZ54" s="6221">
        <f>PZ52-PZ53</f>
        <v>455726.88000000035</v>
      </c>
      <c r="QA54" s="6223">
        <f>PZ54/PT19</f>
        <v>7.5020117440762384E-3</v>
      </c>
      <c r="QB54" s="6260"/>
      <c r="QC54" s="6222"/>
      <c r="QD54" s="6222"/>
      <c r="QE54" s="6222"/>
      <c r="QF54" s="6222"/>
      <c r="QG54" s="6222"/>
      <c r="QH54" s="6222"/>
      <c r="QI54" s="6221">
        <f>QI52-QI53</f>
        <v>6880.3596000000025</v>
      </c>
      <c r="QJ54" s="6221">
        <f>QJ52-QJ53</f>
        <v>550428.76800000027</v>
      </c>
      <c r="QK54" s="6223">
        <f>QJ54/QD19</f>
        <v>1.2485200638845945E-2</v>
      </c>
      <c r="QL54" s="6260"/>
      <c r="QM54" s="6222"/>
      <c r="QN54" s="6222"/>
      <c r="QO54" s="6222"/>
      <c r="QP54" s="6222"/>
      <c r="QQ54" s="6222"/>
      <c r="QR54" s="6222"/>
      <c r="QS54" s="6221">
        <f>QS52-QS53</f>
        <v>17117.517599999999</v>
      </c>
      <c r="QT54" s="6221">
        <f>QT52-QT53</f>
        <v>1369401.4079999998</v>
      </c>
      <c r="QU54" s="6223">
        <f>QT54/QN19</f>
        <v>2.547780430446819E-2</v>
      </c>
      <c r="QV54" s="6233"/>
      <c r="QW54" s="6232"/>
      <c r="QX54" s="6232"/>
      <c r="QY54" s="6234"/>
      <c r="QZ54" s="6232"/>
      <c r="RA54" s="6232"/>
      <c r="RB54" s="6232"/>
      <c r="RC54" s="6221">
        <f>RC52-RC53</f>
        <v>-13531.193999999998</v>
      </c>
      <c r="RD54" s="6221">
        <f>RD52-RD53</f>
        <v>-1082495.5200000003</v>
      </c>
      <c r="RE54" s="6223">
        <f>RD54/QX19</f>
        <v>-2.3588829121073761E-2</v>
      </c>
      <c r="RF54" s="6233"/>
      <c r="RG54" s="6232"/>
      <c r="RH54" s="6232"/>
      <c r="RI54" s="6232"/>
      <c r="RJ54" s="6232"/>
      <c r="RK54" s="6232"/>
      <c r="RL54" s="6232"/>
      <c r="RM54" s="6221">
        <f>RM52-RM53</f>
        <v>9779.8716000000022</v>
      </c>
      <c r="RN54" s="6221">
        <f>RN52-RN53</f>
        <v>782389.72799999989</v>
      </c>
      <c r="RO54" s="6223">
        <f>RN54/RH19</f>
        <v>1.5580337928903018E-2</v>
      </c>
      <c r="RP54" s="6233"/>
      <c r="RQ54" s="6232"/>
      <c r="RR54" s="6232"/>
      <c r="RS54" s="6232"/>
      <c r="RT54" s="6232"/>
      <c r="RU54" s="6232"/>
      <c r="RV54" s="6232"/>
      <c r="RW54" s="6221">
        <f>RW52-RW53</f>
        <v>9633.9524999999994</v>
      </c>
      <c r="RX54" s="6221">
        <f>RX52-RX53</f>
        <v>554915.66400000011</v>
      </c>
      <c r="RY54" s="6223">
        <f>RX54/RR19</f>
        <v>1.2475215376074437E-2</v>
      </c>
      <c r="RZ54" s="6237"/>
      <c r="SA54" s="6234"/>
      <c r="SB54" s="6232"/>
      <c r="SC54" s="6234"/>
      <c r="SD54" s="6232"/>
      <c r="SE54" s="6232"/>
      <c r="SF54" s="6232"/>
      <c r="SG54" s="6221">
        <f>SG52-SG53</f>
        <v>8722.1474999999991</v>
      </c>
      <c r="SH54" s="6221">
        <f>SH52-SH53</f>
        <v>502395.69600000017</v>
      </c>
      <c r="SI54" s="6223">
        <f>SH54/SB19</f>
        <v>1.2423752915551391E-2</v>
      </c>
      <c r="SJ54" s="6237"/>
      <c r="SK54" s="6234"/>
      <c r="SL54" s="6234"/>
      <c r="SM54" s="6234"/>
      <c r="SN54" s="6234"/>
      <c r="SO54" s="6234"/>
      <c r="SP54" s="6234"/>
      <c r="SQ54" s="6221">
        <f>SQ52-SQ53</f>
        <v>2389.0325000000012</v>
      </c>
      <c r="SR54" s="6221">
        <f>SR52-SR53</f>
        <v>137608.27200000006</v>
      </c>
      <c r="SS54" s="6223">
        <f>SR54/SL19</f>
        <v>3.5673754587949784E-3</v>
      </c>
      <c r="ST54" s="6220"/>
      <c r="SU54" s="6222"/>
      <c r="SV54" s="6222"/>
      <c r="SW54" s="6222"/>
      <c r="SX54" s="6222"/>
      <c r="SY54" s="6222"/>
      <c r="SZ54" s="6222"/>
      <c r="TA54" s="6221">
        <f>TA52-TA53</f>
        <v>5544.8899999999994</v>
      </c>
      <c r="TB54" s="6221">
        <f>TB52-TB53</f>
        <v>309464.0640000003</v>
      </c>
      <c r="TC54" s="6223">
        <f>TB54/SV19</f>
        <v>8.2387536339918084E-3</v>
      </c>
      <c r="TD54" s="6220"/>
      <c r="TE54" s="6222"/>
      <c r="TF54" s="6222"/>
      <c r="TG54" s="6222"/>
      <c r="TH54" s="6222"/>
      <c r="TI54" s="6222"/>
      <c r="TJ54" s="6222"/>
      <c r="TK54" s="6221">
        <f>TK52-TK53</f>
        <v>5976.5275000000001</v>
      </c>
      <c r="TL54" s="6221">
        <f>TL52-TL53</f>
        <v>344247.98400000011</v>
      </c>
      <c r="TM54" s="6223">
        <f>TL54/TF19</f>
        <v>1.0448163113240509E-2</v>
      </c>
      <c r="TN54" s="6220"/>
      <c r="TO54" s="6222"/>
      <c r="TP54" s="6222"/>
      <c r="TQ54" s="6222"/>
      <c r="TR54" s="6222"/>
      <c r="TS54" s="6221">
        <f>TS52-TS53</f>
        <v>97487.814374999987</v>
      </c>
      <c r="TT54" s="6221">
        <f>TT52-TT53</f>
        <v>5417924.1019999981</v>
      </c>
      <c r="TU54" s="6223">
        <f>TT54/TP19</f>
        <v>9.3982573474495849E-3</v>
      </c>
      <c r="TV54" s="6220"/>
      <c r="TW54" s="6222"/>
      <c r="TX54" s="6222"/>
      <c r="TY54" s="6222"/>
      <c r="TZ54" s="6222"/>
      <c r="UA54" s="6221">
        <f>UA52-UA53</f>
        <v>32750.508600000012</v>
      </c>
      <c r="UB54" s="6221">
        <f>UB52-UB53</f>
        <v>2311203.8880000003</v>
      </c>
      <c r="UC54" s="6223">
        <f>UB54/TX19</f>
        <v>1.2258701758398124E-2</v>
      </c>
      <c r="UD54" s="6220"/>
      <c r="UE54" s="6222"/>
      <c r="UF54" s="6222"/>
      <c r="UG54" s="6222"/>
      <c r="UH54" s="6222"/>
      <c r="UI54" s="6221">
        <f>UI52-UI53</f>
        <v>15582.222499999989</v>
      </c>
      <c r="UJ54" s="6221">
        <f>UJ52-UJ53</f>
        <v>897536.01599999983</v>
      </c>
      <c r="UK54" s="6223">
        <f>UJ54/UF19</f>
        <v>6.2447942839827936E-3</v>
      </c>
      <c r="UL54" s="6220"/>
      <c r="UM54" s="6222"/>
      <c r="UN54" s="6222"/>
      <c r="UO54" s="6222"/>
      <c r="UP54" s="6222"/>
      <c r="UQ54" s="6221">
        <f>UQ52-UQ53</f>
        <v>31939.25499999999</v>
      </c>
      <c r="UR54" s="6221">
        <f>UR52-UR53</f>
        <v>1839701.0880000002</v>
      </c>
      <c r="US54" s="6223">
        <f>UR54/UN19</f>
        <v>1.3613675778671308E-2</v>
      </c>
      <c r="UT54" s="6220"/>
      <c r="UU54" s="6222"/>
      <c r="UV54" s="6222"/>
      <c r="UW54" s="6222"/>
      <c r="UX54" s="6222"/>
      <c r="UY54" s="6221">
        <f>UY52-UY53</f>
        <v>13910.450000000004</v>
      </c>
      <c r="UZ54" s="6221">
        <f>UZ52-UZ53</f>
        <v>791320.32000000065</v>
      </c>
      <c r="VA54" s="6223">
        <f>UZ54/UV19</f>
        <v>7.2542107333908434E-3</v>
      </c>
      <c r="VB54" s="4866"/>
      <c r="VC54" s="6220"/>
      <c r="VD54" s="6222"/>
      <c r="VE54" s="6222"/>
      <c r="VF54" s="6222"/>
      <c r="VG54" s="6222"/>
      <c r="VH54" s="6222"/>
      <c r="VI54" s="6222"/>
      <c r="VJ54" s="6221">
        <f>VJ52-VJ53</f>
        <v>6536.587950000001</v>
      </c>
      <c r="VK54" s="6221">
        <f>VK50-VK53</f>
        <v>573219.93600000022</v>
      </c>
      <c r="VL54" s="6223">
        <f>VK54/VE19</f>
        <v>1.5204063046393596E-2</v>
      </c>
      <c r="VM54" s="6260"/>
      <c r="VN54" s="6222"/>
      <c r="VO54" s="6222"/>
      <c r="VP54" s="6222"/>
      <c r="VQ54" s="6222"/>
      <c r="VR54" s="6222"/>
      <c r="VS54" s="6222"/>
      <c r="VT54" s="6221">
        <f>VT52-VT53</f>
        <v>6204.0971000000027</v>
      </c>
      <c r="VU54" s="6221">
        <f>VU50-VU53</f>
        <v>549355.96800000011</v>
      </c>
      <c r="VV54" s="6223">
        <f>VU54/VO19</f>
        <v>1.6388114250933825E-2</v>
      </c>
      <c r="VW54" s="6260"/>
      <c r="VX54" s="6222"/>
      <c r="VY54" s="6222"/>
      <c r="VZ54" s="6222"/>
      <c r="WA54" s="6222"/>
      <c r="WB54" s="6222"/>
      <c r="WC54" s="6222"/>
      <c r="WD54" s="6221">
        <f>WD52-WD53</f>
        <v>2650.5701499999991</v>
      </c>
      <c r="WE54" s="6221">
        <f>WE52-WE53</f>
        <v>212045.61200000005</v>
      </c>
      <c r="WF54" s="6223">
        <f>WE54/VY19</f>
        <v>6.4966515127079048E-3</v>
      </c>
      <c r="WG54" s="6260"/>
      <c r="WH54" s="6222"/>
      <c r="WI54" s="6222"/>
      <c r="WJ54" s="6222"/>
      <c r="WK54" s="6222"/>
      <c r="WL54" s="6222"/>
      <c r="WM54" s="6222"/>
      <c r="WN54" s="6221">
        <f>WN52-WN53</f>
        <v>12268.315374999998</v>
      </c>
      <c r="WO54" s="6221">
        <f>WO52-WO53</f>
        <v>981465.23</v>
      </c>
      <c r="WP54" s="6223">
        <f>WO54/WI19</f>
        <v>2.5425816295282715E-2</v>
      </c>
      <c r="WQ54" s="6260"/>
      <c r="WR54" s="6222"/>
      <c r="WS54" s="6222"/>
      <c r="WT54" s="6222"/>
      <c r="WU54" s="6222"/>
      <c r="WV54" s="6222"/>
      <c r="WW54" s="6222"/>
      <c r="WX54" s="6221">
        <f>WX52-WX53</f>
        <v>213.59085000000016</v>
      </c>
      <c r="WY54" s="6221">
        <f>WY52-WY53</f>
        <v>17087.267999999931</v>
      </c>
      <c r="WZ54" s="6223">
        <f>WY54/WS19</f>
        <v>5.1114538516454497E-4</v>
      </c>
      <c r="XA54" s="6233"/>
      <c r="XB54" s="6232"/>
      <c r="XC54" s="6232"/>
      <c r="XD54" s="6234"/>
      <c r="XE54" s="6232"/>
      <c r="XF54" s="6232"/>
      <c r="XG54" s="6232"/>
      <c r="XH54" s="6221">
        <f>XH52-XH53</f>
        <v>3822.3353749999997</v>
      </c>
      <c r="XI54" s="6221">
        <f>XI52-XI53</f>
        <v>305786.82999999996</v>
      </c>
      <c r="XJ54" s="6223">
        <f>XI54/XC19</f>
        <v>1.0055173316826968E-2</v>
      </c>
      <c r="XK54" s="6233"/>
      <c r="XL54" s="6232"/>
      <c r="XM54" s="6232"/>
      <c r="XN54" s="6232"/>
      <c r="XO54" s="6232"/>
      <c r="XP54" s="6232"/>
      <c r="XQ54" s="6232"/>
      <c r="XR54" s="6221">
        <f>XR52-XR53</f>
        <v>-13987.670499999993</v>
      </c>
      <c r="XS54" s="6221">
        <f>XS52-XS53</f>
        <v>-1119013.6399999999</v>
      </c>
      <c r="XT54" s="6223">
        <f>XS54/XM19</f>
        <v>-3.2055853713694425E-2</v>
      </c>
      <c r="XU54" s="6233"/>
      <c r="XV54" s="6232"/>
      <c r="XW54" s="6232"/>
      <c r="XX54" s="6232"/>
      <c r="XY54" s="6232"/>
      <c r="XZ54" s="6232"/>
      <c r="YA54" s="6232"/>
      <c r="YB54" s="6221">
        <f>YB52-YB53</f>
        <v>529.89833333332081</v>
      </c>
      <c r="YC54" s="6221">
        <f>YC52-YC53</f>
        <v>-5129.9679999999498</v>
      </c>
      <c r="YD54" s="6223">
        <f>YC54/XW19</f>
        <v>-1.745128306171285E-4</v>
      </c>
      <c r="YE54" s="6237"/>
      <c r="YF54" s="6234"/>
      <c r="YG54" s="6232"/>
      <c r="YH54" s="6234"/>
      <c r="YI54" s="6232"/>
      <c r="YJ54" s="6232"/>
      <c r="YK54" s="6232"/>
      <c r="YL54" s="6221">
        <f>YL52-YL53</f>
        <v>-23667.017499999994</v>
      </c>
      <c r="YM54" s="6221">
        <f>YM52-YM53</f>
        <v>-1362212.2080000001</v>
      </c>
      <c r="YN54" s="6223">
        <f>YM54/YG19</f>
        <v>-3.8516767033679747E-2</v>
      </c>
      <c r="YO54" s="6237"/>
      <c r="YP54" s="6234"/>
      <c r="YQ54" s="6234"/>
      <c r="YR54" s="6234"/>
      <c r="YS54" s="6234"/>
      <c r="YT54" s="6234"/>
      <c r="YU54" s="6234"/>
      <c r="YV54" s="6221">
        <f>YV52-YV53</f>
        <v>14115.037500000002</v>
      </c>
      <c r="YW54" s="6221">
        <f>YW52-YW53</f>
        <v>813026.16000000038</v>
      </c>
      <c r="YX54" s="6223">
        <f>YW54/YQ19</f>
        <v>2.1013119208009239E-2</v>
      </c>
      <c r="YY54" s="6220"/>
      <c r="YZ54" s="6222"/>
      <c r="ZA54" s="6222"/>
      <c r="ZB54" s="6222"/>
      <c r="ZC54" s="6222"/>
      <c r="ZD54" s="6222"/>
      <c r="ZE54" s="6222"/>
      <c r="ZF54" s="6221">
        <f>ZF52-ZF53</f>
        <v>0</v>
      </c>
      <c r="ZG54" s="6221">
        <f>ZG52-ZG53</f>
        <v>0</v>
      </c>
      <c r="ZH54" s="6223" t="e">
        <f>ZG54/ZA19</f>
        <v>#DIV/0!</v>
      </c>
      <c r="ZI54" s="6220"/>
      <c r="ZJ54" s="6222"/>
      <c r="ZK54" s="6222"/>
      <c r="ZL54" s="6222"/>
      <c r="ZM54" s="6222"/>
      <c r="ZN54" s="6222"/>
      <c r="ZO54" s="6222"/>
      <c r="ZP54" s="6221">
        <f>ZP52-ZP53</f>
        <v>0</v>
      </c>
      <c r="ZQ54" s="6221">
        <f>ZQ52-ZQ53</f>
        <v>0</v>
      </c>
      <c r="ZR54" s="6223" t="e">
        <f>ZQ54/ZK19</f>
        <v>#DIV/0!</v>
      </c>
      <c r="ZS54" s="6220"/>
      <c r="ZT54" s="6222"/>
      <c r="ZU54" s="6222"/>
      <c r="ZV54" s="6222"/>
      <c r="ZW54" s="6222"/>
      <c r="ZX54" s="6221">
        <f>ZX52-ZX53</f>
        <v>8685.7446333332573</v>
      </c>
      <c r="ZY54" s="6221">
        <f>ZY52-ZY53</f>
        <v>862310.08800000139</v>
      </c>
      <c r="ZZ54" s="6223">
        <f>ZY54/ZU19</f>
        <v>2.5018697739879747E-3</v>
      </c>
      <c r="AAA54" s="4397"/>
      <c r="AAB54" s="4398"/>
      <c r="AAC54" s="4398"/>
      <c r="AAD54" s="4398"/>
      <c r="AAE54" s="4398"/>
      <c r="AAF54" s="4326">
        <f>AAF52-AAF53</f>
        <v>17221.615200000007</v>
      </c>
      <c r="AAG54" s="4326">
        <f>AAG52-AAG53</f>
        <v>1068503.6160000004</v>
      </c>
      <c r="AAH54" s="4327">
        <f>AAG54/AAC19</f>
        <v>1.0287666245042916E-2</v>
      </c>
      <c r="AAI54" s="4397"/>
      <c r="AAJ54" s="4398"/>
      <c r="AAK54" s="4398"/>
      <c r="AAL54" s="4398"/>
      <c r="AAM54" s="4398"/>
      <c r="AAN54" s="4326">
        <f>AAN52-AAN53</f>
        <v>27965.53</v>
      </c>
      <c r="AAO54" s="4326">
        <f>AAO52-AAO53</f>
        <v>1610814.5279999999</v>
      </c>
      <c r="AAP54" s="4327">
        <f>AAO54/AAK19</f>
        <v>1.572425409528198E-2</v>
      </c>
      <c r="AAQ54" s="4394"/>
      <c r="AAR54" s="4395"/>
      <c r="AAS54" s="4395"/>
      <c r="AAT54" s="4395"/>
      <c r="AAU54" s="4395"/>
      <c r="AAV54" s="4267">
        <f>AAV52-AAV53</f>
        <v>-44517.26416666669</v>
      </c>
      <c r="AAW54" s="4267">
        <f>AAW52-AAW53</f>
        <v>-2562802.4159999993</v>
      </c>
      <c r="AAX54" s="4396">
        <f>AAW54/AAS19</f>
        <v>-2.5805848338411035E-2</v>
      </c>
      <c r="AAY54" s="4394"/>
      <c r="AAZ54" s="4395"/>
      <c r="ABA54" s="4395"/>
      <c r="ABB54" s="4395"/>
      <c r="ABC54" s="4395"/>
      <c r="ABD54" s="4267">
        <f>ABD52-ABD53</f>
        <v>14115.037500000002</v>
      </c>
      <c r="ABE54" s="4267">
        <f>ABE52-ABE53</f>
        <v>813026.16000000038</v>
      </c>
      <c r="ABF54" s="4396">
        <f>ABE54/ABA19</f>
        <v>2.1013119208009239E-2</v>
      </c>
    </row>
    <row r="55" spans="1:734" x14ac:dyDescent="0.3">
      <c r="AA55" s="172"/>
      <c r="DS55" s="276"/>
      <c r="DY55" s="329"/>
      <c r="DZ55" s="328"/>
      <c r="GJ55" s="321"/>
      <c r="GK55" s="321"/>
      <c r="GL55" s="321"/>
      <c r="GM55" s="321"/>
      <c r="GN55" s="321"/>
      <c r="GO55" s="321"/>
      <c r="GP55" s="321"/>
      <c r="GQ55" s="321"/>
      <c r="GR55" s="321"/>
      <c r="GS55" s="32"/>
      <c r="MY55" s="12"/>
      <c r="NH55" s="53"/>
    </row>
    <row r="56" spans="1:734" x14ac:dyDescent="0.3">
      <c r="GJ56" s="321"/>
      <c r="GK56" s="321"/>
      <c r="GL56" s="321"/>
      <c r="GM56" s="321"/>
      <c r="GN56" s="321"/>
      <c r="GO56" s="321"/>
      <c r="GP56" s="321"/>
      <c r="GQ56" s="321"/>
      <c r="GR56" s="321"/>
      <c r="GS56" s="321"/>
      <c r="GV56" s="1" t="s">
        <v>23</v>
      </c>
      <c r="GW56" s="1">
        <v>800</v>
      </c>
      <c r="TZ56" s="905"/>
      <c r="AAB56" s="16"/>
      <c r="AAC56" s="16"/>
      <c r="AAD56" s="16"/>
      <c r="AAE56" s="16"/>
      <c r="AAF56" s="16"/>
      <c r="AAG56" s="16"/>
      <c r="AAH56" s="16"/>
    </row>
    <row r="57" spans="1:734" x14ac:dyDescent="0.3">
      <c r="GJ57" s="321"/>
      <c r="GK57" s="321"/>
      <c r="GL57" s="321"/>
      <c r="GM57" s="321"/>
      <c r="GN57" s="321"/>
      <c r="GO57" s="321"/>
      <c r="GP57" s="321"/>
      <c r="GQ57" s="321"/>
      <c r="GR57" s="321"/>
      <c r="GS57" s="321"/>
      <c r="GV57" s="1" t="s">
        <v>136</v>
      </c>
      <c r="GW57" s="50">
        <v>11000</v>
      </c>
      <c r="TZ57" s="16"/>
      <c r="UA57" s="16"/>
      <c r="ZY57" s="16"/>
    </row>
    <row r="58" spans="1:734" x14ac:dyDescent="0.3">
      <c r="GJ58" s="321"/>
      <c r="GK58" s="321"/>
      <c r="GL58" s="321"/>
      <c r="GM58" s="321"/>
      <c r="GN58" s="321"/>
      <c r="GO58" s="321"/>
      <c r="GP58" s="321"/>
      <c r="GQ58" s="321"/>
      <c r="GR58" s="321"/>
      <c r="GS58" s="321"/>
      <c r="GW58" s="181">
        <f>SUM(GW56:GW57)</f>
        <v>11800</v>
      </c>
      <c r="GX58" s="16"/>
      <c r="GY58" s="16"/>
      <c r="GZ58" s="16"/>
    </row>
    <row r="59" spans="1:734" x14ac:dyDescent="0.3">
      <c r="GJ59" s="321"/>
      <c r="GK59" s="321"/>
      <c r="GL59" s="321"/>
      <c r="GM59" s="321"/>
      <c r="GN59" s="321"/>
      <c r="GO59" s="321"/>
      <c r="GP59" s="321"/>
      <c r="GQ59" s="321"/>
      <c r="GR59" s="321"/>
      <c r="GS59" s="321"/>
      <c r="GX59" s="16"/>
      <c r="GY59" s="16"/>
      <c r="GZ59" s="16"/>
    </row>
    <row r="60" spans="1:734" x14ac:dyDescent="0.3">
      <c r="GJ60" s="321"/>
      <c r="GK60" s="321"/>
      <c r="GL60" s="321"/>
      <c r="GM60" s="321"/>
      <c r="GN60" s="321"/>
      <c r="GO60" s="321"/>
      <c r="GP60" s="321"/>
      <c r="GQ60" s="321"/>
      <c r="GR60" s="321"/>
      <c r="GS60" s="321"/>
    </row>
    <row r="61" spans="1:734" x14ac:dyDescent="0.3">
      <c r="GJ61" s="321"/>
      <c r="GK61" s="321"/>
      <c r="GL61" s="321"/>
      <c r="GM61" s="321"/>
      <c r="GN61" s="321"/>
      <c r="GO61" s="321"/>
      <c r="GP61" s="321"/>
      <c r="GQ61" s="321"/>
      <c r="GR61" s="321"/>
      <c r="GS61" s="321"/>
    </row>
    <row r="62" spans="1:734" x14ac:dyDescent="0.3">
      <c r="GJ62" s="321"/>
      <c r="GK62" s="321"/>
      <c r="GL62" s="321"/>
      <c r="GM62" s="321"/>
      <c r="GN62" s="321"/>
      <c r="GO62" s="321"/>
      <c r="GP62" s="321"/>
      <c r="GQ62" s="321"/>
      <c r="GR62" s="321"/>
      <c r="GS62" s="321"/>
    </row>
    <row r="63" spans="1:734" x14ac:dyDescent="0.3">
      <c r="GJ63" s="321"/>
      <c r="GK63" s="321"/>
      <c r="GL63" s="321"/>
      <c r="GM63" s="321"/>
      <c r="GN63" s="321"/>
      <c r="GO63" s="321"/>
      <c r="GP63" s="321"/>
      <c r="GQ63" s="321"/>
      <c r="GR63" s="321"/>
      <c r="GS63" s="321"/>
    </row>
    <row r="64" spans="1:734" x14ac:dyDescent="0.3">
      <c r="GJ64" s="321"/>
      <c r="GK64" s="321"/>
      <c r="GL64" s="321"/>
      <c r="GM64" s="321"/>
      <c r="GN64" s="321"/>
      <c r="GO64" s="321"/>
      <c r="GP64" s="321"/>
      <c r="GQ64" s="321"/>
      <c r="GR64" s="321"/>
      <c r="GS64" s="321"/>
    </row>
    <row r="65" spans="192:201" x14ac:dyDescent="0.3">
      <c r="GJ65" s="321"/>
      <c r="GK65" s="321"/>
      <c r="GL65" s="321"/>
      <c r="GM65" s="321"/>
      <c r="GN65" s="321"/>
      <c r="GO65" s="321"/>
      <c r="GP65" s="321"/>
      <c r="GQ65" s="321"/>
      <c r="GR65" s="321"/>
      <c r="GS65" s="321"/>
    </row>
    <row r="66" spans="192:201" x14ac:dyDescent="0.3">
      <c r="GJ66" s="321"/>
      <c r="GK66" s="321"/>
      <c r="GL66" s="321"/>
      <c r="GM66" s="321"/>
      <c r="GN66" s="321"/>
      <c r="GO66" s="321"/>
      <c r="GP66" s="321"/>
      <c r="GQ66" s="321"/>
      <c r="GR66" s="321"/>
      <c r="GS66" s="321"/>
    </row>
    <row r="67" spans="192:201" x14ac:dyDescent="0.3">
      <c r="GJ67" s="321"/>
      <c r="GK67" s="321"/>
      <c r="GL67" s="321"/>
      <c r="GM67" s="321"/>
      <c r="GN67" s="321"/>
      <c r="GO67" s="321"/>
      <c r="GP67" s="321"/>
      <c r="GQ67" s="321"/>
      <c r="GR67" s="321"/>
      <c r="GS67" s="321"/>
    </row>
    <row r="68" spans="192:201" x14ac:dyDescent="0.3">
      <c r="GJ68" s="321"/>
      <c r="GK68" s="321"/>
      <c r="GL68" s="321"/>
      <c r="GM68" s="321"/>
      <c r="GN68" s="321"/>
      <c r="GO68" s="321"/>
      <c r="GP68" s="321"/>
      <c r="GQ68" s="321"/>
      <c r="GR68" s="321"/>
      <c r="GS68" s="321"/>
    </row>
    <row r="69" spans="192:201" x14ac:dyDescent="0.3">
      <c r="GJ69" s="321"/>
      <c r="GK69" s="321"/>
      <c r="GL69" s="321"/>
      <c r="GM69" s="321"/>
      <c r="GN69" s="321"/>
      <c r="GO69" s="321"/>
      <c r="GP69" s="321"/>
      <c r="GQ69" s="321"/>
      <c r="GR69" s="321"/>
      <c r="GS69" s="321"/>
    </row>
    <row r="70" spans="192:201" x14ac:dyDescent="0.3">
      <c r="GJ70" s="321"/>
      <c r="GK70" s="321"/>
      <c r="GL70" s="321"/>
      <c r="GM70" s="321"/>
      <c r="GN70" s="321"/>
      <c r="GO70" s="321"/>
      <c r="GP70" s="321"/>
      <c r="GQ70" s="321"/>
      <c r="GR70" s="321"/>
      <c r="GS70" s="321"/>
    </row>
    <row r="71" spans="192:201" x14ac:dyDescent="0.3">
      <c r="GJ71" s="321"/>
      <c r="GK71" s="321"/>
      <c r="GL71" s="321"/>
      <c r="GM71" s="321"/>
      <c r="GN71" s="321"/>
      <c r="GO71" s="321"/>
      <c r="GP71" s="321"/>
      <c r="GQ71" s="321"/>
      <c r="GR71" s="321"/>
      <c r="GS71" s="321"/>
    </row>
    <row r="72" spans="192:201" x14ac:dyDescent="0.3">
      <c r="GJ72" s="321"/>
      <c r="GK72" s="321"/>
      <c r="GL72" s="321"/>
      <c r="GM72" s="321"/>
      <c r="GN72" s="321"/>
      <c r="GO72" s="321"/>
      <c r="GP72" s="321"/>
      <c r="GQ72" s="321"/>
      <c r="GR72" s="321"/>
      <c r="GS72" s="321"/>
    </row>
    <row r="73" spans="192:201" x14ac:dyDescent="0.3">
      <c r="GJ73" s="321"/>
      <c r="GK73" s="321"/>
      <c r="GL73" s="321"/>
      <c r="GM73" s="321"/>
      <c r="GN73" s="321"/>
      <c r="GO73" s="321"/>
      <c r="GP73" s="321"/>
      <c r="GQ73" s="321"/>
      <c r="GR73" s="321"/>
      <c r="GS73" s="321"/>
    </row>
    <row r="74" spans="192:201" x14ac:dyDescent="0.3">
      <c r="GJ74" s="321"/>
      <c r="GK74" s="321"/>
      <c r="GL74" s="321"/>
      <c r="GM74" s="321"/>
      <c r="GN74" s="321"/>
      <c r="GO74" s="321"/>
      <c r="GP74" s="321"/>
      <c r="GQ74" s="321"/>
      <c r="GR74" s="321"/>
      <c r="GS74" s="321"/>
    </row>
    <row r="75" spans="192:201" x14ac:dyDescent="0.3">
      <c r="GJ75" s="321"/>
      <c r="GK75" s="321"/>
      <c r="GL75" s="321"/>
      <c r="GM75" s="321"/>
      <c r="GN75" s="321"/>
      <c r="GO75" s="321"/>
      <c r="GP75" s="321"/>
      <c r="GQ75" s="321"/>
      <c r="GR75" s="321"/>
      <c r="GS75" s="321"/>
    </row>
    <row r="76" spans="192:201" x14ac:dyDescent="0.3">
      <c r="GJ76" s="321"/>
      <c r="GK76" s="321"/>
      <c r="GL76" s="321"/>
      <c r="GM76" s="321"/>
      <c r="GN76" s="321"/>
      <c r="GO76" s="321"/>
      <c r="GP76" s="321"/>
      <c r="GQ76" s="321"/>
      <c r="GR76" s="321"/>
      <c r="GS76" s="321"/>
    </row>
    <row r="77" spans="192:201" x14ac:dyDescent="0.3">
      <c r="GJ77" s="321"/>
      <c r="GK77" s="321"/>
      <c r="GL77" s="321"/>
      <c r="GM77" s="321"/>
      <c r="GN77" s="321"/>
      <c r="GO77" s="321"/>
      <c r="GP77" s="321"/>
      <c r="GQ77" s="321"/>
      <c r="GR77" s="321"/>
      <c r="GS77" s="321"/>
    </row>
    <row r="78" spans="192:201" x14ac:dyDescent="0.3">
      <c r="GJ78" s="321"/>
      <c r="GK78" s="321"/>
      <c r="GL78" s="321"/>
      <c r="GM78" s="321"/>
      <c r="GN78" s="321"/>
      <c r="GO78" s="321"/>
      <c r="GP78" s="321"/>
      <c r="GQ78" s="321"/>
      <c r="GR78" s="321"/>
      <c r="GS78" s="321"/>
    </row>
    <row r="79" spans="192:201" x14ac:dyDescent="0.3">
      <c r="GJ79" s="321"/>
      <c r="GK79" s="321"/>
      <c r="GL79" s="321"/>
      <c r="GM79" s="321"/>
      <c r="GN79" s="321"/>
      <c r="GO79" s="321"/>
      <c r="GP79" s="321"/>
      <c r="GQ79" s="321"/>
      <c r="GR79" s="321"/>
      <c r="GS79" s="321"/>
    </row>
    <row r="80" spans="192:201" x14ac:dyDescent="0.3">
      <c r="GJ80" s="321"/>
      <c r="GK80" s="321"/>
      <c r="GL80" s="321"/>
      <c r="GM80" s="321"/>
      <c r="GN80" s="321"/>
      <c r="GO80" s="321"/>
      <c r="GP80" s="321"/>
      <c r="GQ80" s="321"/>
      <c r="GR80" s="321"/>
      <c r="GS80" s="321"/>
    </row>
    <row r="81" spans="192:201" x14ac:dyDescent="0.3">
      <c r="GJ81" s="321"/>
      <c r="GK81" s="321"/>
      <c r="GL81" s="321"/>
      <c r="GM81" s="321"/>
      <c r="GN81" s="321"/>
      <c r="GO81" s="321"/>
      <c r="GP81" s="321"/>
      <c r="GQ81" s="321"/>
      <c r="GR81" s="321"/>
      <c r="GS81" s="321"/>
    </row>
    <row r="82" spans="192:201" x14ac:dyDescent="0.3">
      <c r="GJ82" s="321"/>
      <c r="GK82" s="321"/>
      <c r="GL82" s="321"/>
      <c r="GM82" s="321"/>
      <c r="GN82" s="321"/>
      <c r="GO82" s="321"/>
      <c r="GP82" s="321"/>
      <c r="GQ82" s="321"/>
      <c r="GR82" s="321"/>
      <c r="GS82" s="321"/>
    </row>
    <row r="83" spans="192:201" x14ac:dyDescent="0.3">
      <c r="GJ83" s="321"/>
      <c r="GK83" s="321"/>
      <c r="GL83" s="321"/>
      <c r="GM83" s="321"/>
      <c r="GN83" s="321"/>
      <c r="GO83" s="321"/>
      <c r="GP83" s="321"/>
      <c r="GQ83" s="321"/>
      <c r="GR83" s="321"/>
      <c r="GS83" s="321"/>
    </row>
    <row r="84" spans="192:201" x14ac:dyDescent="0.3">
      <c r="GJ84" s="321"/>
      <c r="GK84" s="321"/>
      <c r="GL84" s="321"/>
      <c r="GM84" s="321"/>
      <c r="GN84" s="321"/>
      <c r="GO84" s="321"/>
      <c r="GP84" s="321"/>
      <c r="GQ84" s="321"/>
      <c r="GR84" s="321"/>
      <c r="GS84" s="321"/>
    </row>
    <row r="85" spans="192:201" x14ac:dyDescent="0.3">
      <c r="GJ85" s="321"/>
      <c r="GK85" s="321"/>
      <c r="GL85" s="321"/>
      <c r="GM85" s="321"/>
      <c r="GN85" s="321"/>
      <c r="GO85" s="321"/>
      <c r="GP85" s="321"/>
      <c r="GQ85" s="321"/>
      <c r="GR85" s="321"/>
      <c r="GS85" s="321"/>
    </row>
    <row r="86" spans="192:201" x14ac:dyDescent="0.3">
      <c r="GJ86" s="321"/>
      <c r="GK86" s="321"/>
      <c r="GL86" s="321"/>
      <c r="GM86" s="321"/>
      <c r="GN86" s="321"/>
      <c r="GO86" s="321"/>
      <c r="GP86" s="321"/>
      <c r="GQ86" s="321"/>
      <c r="GR86" s="321"/>
      <c r="GS86" s="321"/>
    </row>
    <row r="87" spans="192:201" x14ac:dyDescent="0.3">
      <c r="GJ87" s="321"/>
      <c r="GK87" s="321"/>
      <c r="GL87" s="321"/>
      <c r="GM87" s="321"/>
      <c r="GN87" s="321"/>
      <c r="GO87" s="321"/>
      <c r="GP87" s="321"/>
      <c r="GQ87" s="321"/>
      <c r="GR87" s="321"/>
      <c r="GS87" s="321"/>
    </row>
    <row r="88" spans="192:201" x14ac:dyDescent="0.3">
      <c r="GJ88" s="321"/>
      <c r="GK88" s="321"/>
      <c r="GL88" s="321"/>
      <c r="GM88" s="321"/>
      <c r="GN88" s="321"/>
      <c r="GO88" s="321"/>
      <c r="GP88" s="321"/>
      <c r="GQ88" s="321"/>
      <c r="GR88" s="321"/>
      <c r="GS88" s="321"/>
    </row>
    <row r="89" spans="192:201" x14ac:dyDescent="0.3">
      <c r="GJ89" s="321"/>
      <c r="GK89" s="321"/>
      <c r="GL89" s="321"/>
      <c r="GM89" s="321"/>
      <c r="GN89" s="321"/>
      <c r="GO89" s="321"/>
      <c r="GP89" s="321"/>
      <c r="GQ89" s="321"/>
      <c r="GR89" s="321"/>
      <c r="GS89" s="321"/>
    </row>
    <row r="90" spans="192:201" x14ac:dyDescent="0.3">
      <c r="GJ90" s="321"/>
      <c r="GK90" s="321"/>
      <c r="GL90" s="321"/>
      <c r="GM90" s="321"/>
      <c r="GN90" s="321"/>
      <c r="GO90" s="321"/>
      <c r="GP90" s="321"/>
      <c r="GQ90" s="321"/>
      <c r="GR90" s="321"/>
      <c r="GS90" s="321"/>
    </row>
    <row r="91" spans="192:201" x14ac:dyDescent="0.3">
      <c r="GJ91" s="321"/>
      <c r="GK91" s="321"/>
      <c r="GL91" s="321"/>
      <c r="GM91" s="321"/>
      <c r="GN91" s="321"/>
      <c r="GO91" s="321"/>
      <c r="GP91" s="321"/>
      <c r="GQ91" s="321"/>
      <c r="GR91" s="321"/>
      <c r="GS91" s="321"/>
    </row>
    <row r="92" spans="192:201" x14ac:dyDescent="0.3">
      <c r="GJ92" s="321"/>
      <c r="GK92" s="321"/>
      <c r="GL92" s="321"/>
      <c r="GM92" s="321"/>
      <c r="GN92" s="321"/>
      <c r="GO92" s="321"/>
      <c r="GP92" s="321"/>
      <c r="GQ92" s="321"/>
      <c r="GR92" s="321"/>
      <c r="GS92" s="321"/>
    </row>
    <row r="93" spans="192:201" x14ac:dyDescent="0.3">
      <c r="GJ93" s="321"/>
      <c r="GK93" s="321"/>
      <c r="GL93" s="321"/>
      <c r="GM93" s="321"/>
      <c r="GN93" s="321"/>
      <c r="GO93" s="321"/>
      <c r="GP93" s="321"/>
      <c r="GQ93" s="321"/>
      <c r="GR93" s="321"/>
      <c r="GS93" s="321"/>
    </row>
    <row r="94" spans="192:201" x14ac:dyDescent="0.3">
      <c r="GJ94" s="321"/>
      <c r="GK94" s="321"/>
      <c r="GL94" s="321"/>
      <c r="GM94" s="321"/>
      <c r="GN94" s="321"/>
      <c r="GO94" s="321"/>
      <c r="GP94" s="321"/>
      <c r="GQ94" s="321"/>
      <c r="GR94" s="321"/>
      <c r="GS94" s="321"/>
    </row>
    <row r="95" spans="192:201" x14ac:dyDescent="0.3">
      <c r="GJ95" s="321"/>
      <c r="GK95" s="321"/>
      <c r="GL95" s="321"/>
      <c r="GM95" s="321"/>
      <c r="GN95" s="321"/>
      <c r="GO95" s="321"/>
      <c r="GP95" s="321"/>
      <c r="GQ95" s="321"/>
      <c r="GR95" s="321"/>
      <c r="GS95" s="321"/>
    </row>
    <row r="96" spans="192:201" x14ac:dyDescent="0.3">
      <c r="GJ96" s="321"/>
      <c r="GK96" s="321"/>
      <c r="GL96" s="321"/>
      <c r="GM96" s="321"/>
      <c r="GN96" s="321"/>
      <c r="GO96" s="321"/>
      <c r="GP96" s="321"/>
      <c r="GQ96" s="321"/>
      <c r="GR96" s="321"/>
      <c r="GS96" s="321"/>
    </row>
    <row r="97" spans="192:201" x14ac:dyDescent="0.3">
      <c r="GJ97" s="321"/>
      <c r="GK97" s="321"/>
      <c r="GL97" s="321"/>
      <c r="GM97" s="321"/>
      <c r="GN97" s="321"/>
      <c r="GO97" s="321"/>
      <c r="GP97" s="321"/>
      <c r="GQ97" s="321"/>
      <c r="GR97" s="321"/>
      <c r="GS97" s="321"/>
    </row>
    <row r="98" spans="192:201" x14ac:dyDescent="0.3">
      <c r="GJ98" s="321"/>
      <c r="GK98" s="321"/>
      <c r="GL98" s="321"/>
      <c r="GM98" s="321"/>
      <c r="GN98" s="321"/>
      <c r="GO98" s="321"/>
      <c r="GP98" s="321"/>
      <c r="GQ98" s="321"/>
      <c r="GR98" s="321"/>
      <c r="GS98" s="321"/>
    </row>
    <row r="99" spans="192:201" x14ac:dyDescent="0.3">
      <c r="GJ99" s="321"/>
      <c r="GK99" s="321"/>
      <c r="GL99" s="321"/>
      <c r="GM99" s="321"/>
      <c r="GN99" s="321"/>
      <c r="GO99" s="321"/>
      <c r="GP99" s="321"/>
      <c r="GQ99" s="321"/>
      <c r="GR99" s="321"/>
      <c r="GS99" s="321"/>
    </row>
    <row r="100" spans="192:201" x14ac:dyDescent="0.3">
      <c r="GJ100" s="321"/>
      <c r="GK100" s="321"/>
      <c r="GL100" s="321"/>
      <c r="GM100" s="321"/>
      <c r="GN100" s="321"/>
      <c r="GO100" s="321"/>
      <c r="GP100" s="321"/>
      <c r="GQ100" s="321"/>
      <c r="GR100" s="321"/>
      <c r="GS100" s="321"/>
    </row>
    <row r="101" spans="192:201" x14ac:dyDescent="0.3">
      <c r="GJ101" s="321"/>
      <c r="GK101" s="321"/>
      <c r="GL101" s="321"/>
      <c r="GM101" s="321"/>
      <c r="GN101" s="321"/>
      <c r="GO101" s="321"/>
      <c r="GP101" s="321"/>
      <c r="GQ101" s="321"/>
      <c r="GR101" s="321"/>
      <c r="GS101" s="321"/>
    </row>
    <row r="102" spans="192:201" x14ac:dyDescent="0.3">
      <c r="GJ102" s="321"/>
      <c r="GK102" s="321"/>
      <c r="GL102" s="321"/>
      <c r="GM102" s="321"/>
      <c r="GN102" s="321"/>
      <c r="GO102" s="321"/>
      <c r="GP102" s="321"/>
      <c r="GQ102" s="321"/>
      <c r="GR102" s="321"/>
      <c r="GS102" s="321"/>
    </row>
    <row r="103" spans="192:201" x14ac:dyDescent="0.3">
      <c r="GJ103" s="321"/>
      <c r="GK103" s="321"/>
      <c r="GL103" s="321"/>
      <c r="GM103" s="321"/>
      <c r="GN103" s="321"/>
      <c r="GO103" s="321"/>
      <c r="GP103" s="321"/>
      <c r="GQ103" s="321"/>
      <c r="GR103" s="321"/>
      <c r="GS103" s="321"/>
    </row>
    <row r="104" spans="192:201" x14ac:dyDescent="0.3">
      <c r="GJ104" s="321"/>
      <c r="GK104" s="321"/>
      <c r="GL104" s="321"/>
      <c r="GM104" s="321"/>
      <c r="GN104" s="321"/>
      <c r="GO104" s="321"/>
      <c r="GP104" s="321"/>
      <c r="GQ104" s="321"/>
      <c r="GR104" s="321"/>
      <c r="GS104" s="321"/>
    </row>
    <row r="105" spans="192:201" x14ac:dyDescent="0.3">
      <c r="GJ105" s="321"/>
      <c r="GK105" s="321"/>
      <c r="GL105" s="321"/>
      <c r="GM105" s="321"/>
      <c r="GN105" s="321"/>
      <c r="GO105" s="321"/>
      <c r="GP105" s="321"/>
      <c r="GQ105" s="321"/>
      <c r="GR105" s="321"/>
      <c r="GS105" s="321"/>
    </row>
    <row r="106" spans="192:201" x14ac:dyDescent="0.3">
      <c r="GJ106" s="321"/>
      <c r="GK106" s="321"/>
      <c r="GL106" s="321"/>
      <c r="GM106" s="321"/>
      <c r="GN106" s="321"/>
      <c r="GO106" s="321"/>
      <c r="GP106" s="321"/>
      <c r="GQ106" s="321"/>
      <c r="GR106" s="321"/>
      <c r="GS106" s="321"/>
    </row>
    <row r="107" spans="192:201" x14ac:dyDescent="0.3">
      <c r="GJ107" s="321"/>
      <c r="GK107" s="321"/>
      <c r="GL107" s="321"/>
      <c r="GM107" s="321"/>
      <c r="GN107" s="321"/>
      <c r="GO107" s="321"/>
      <c r="GP107" s="321"/>
      <c r="GQ107" s="321"/>
      <c r="GR107" s="321"/>
      <c r="GS107" s="321"/>
    </row>
    <row r="108" spans="192:201" x14ac:dyDescent="0.3">
      <c r="GJ108" s="321"/>
      <c r="GK108" s="321"/>
      <c r="GL108" s="321"/>
      <c r="GM108" s="321"/>
      <c r="GN108" s="321"/>
      <c r="GO108" s="321"/>
      <c r="GP108" s="321"/>
      <c r="GQ108" s="321"/>
      <c r="GR108" s="321"/>
      <c r="GS108" s="321"/>
    </row>
    <row r="109" spans="192:201" x14ac:dyDescent="0.3">
      <c r="GJ109" s="321"/>
      <c r="GK109" s="321"/>
      <c r="GL109" s="321"/>
      <c r="GM109" s="321"/>
      <c r="GN109" s="321"/>
      <c r="GO109" s="321"/>
      <c r="GP109" s="321"/>
      <c r="GQ109" s="321"/>
      <c r="GR109" s="321"/>
      <c r="GS109" s="321"/>
    </row>
    <row r="110" spans="192:201" x14ac:dyDescent="0.3">
      <c r="GJ110" s="321"/>
      <c r="GK110" s="321"/>
      <c r="GL110" s="321"/>
      <c r="GM110" s="321"/>
      <c r="GN110" s="321"/>
      <c r="GO110" s="321"/>
      <c r="GP110" s="321"/>
      <c r="GQ110" s="321"/>
      <c r="GR110" s="321"/>
      <c r="GS110" s="321"/>
    </row>
    <row r="111" spans="192:201" x14ac:dyDescent="0.3">
      <c r="GJ111" s="321"/>
      <c r="GK111" s="321"/>
      <c r="GL111" s="321"/>
      <c r="GM111" s="321"/>
      <c r="GN111" s="321"/>
      <c r="GO111" s="321"/>
      <c r="GP111" s="321"/>
      <c r="GQ111" s="321"/>
      <c r="GR111" s="321"/>
      <c r="GS111" s="321"/>
    </row>
    <row r="112" spans="192:201" x14ac:dyDescent="0.3">
      <c r="GJ112" s="321"/>
      <c r="GK112" s="321"/>
      <c r="GL112" s="321"/>
      <c r="GM112" s="321"/>
      <c r="GN112" s="321"/>
      <c r="GO112" s="321"/>
      <c r="GP112" s="321"/>
      <c r="GQ112" s="321"/>
      <c r="GR112" s="321"/>
      <c r="GS112" s="321"/>
    </row>
    <row r="113" spans="192:201" x14ac:dyDescent="0.3">
      <c r="GJ113" s="321"/>
      <c r="GK113" s="321"/>
      <c r="GL113" s="321"/>
      <c r="GM113" s="321"/>
      <c r="GN113" s="321"/>
      <c r="GO113" s="321"/>
      <c r="GP113" s="321"/>
      <c r="GQ113" s="321"/>
      <c r="GR113" s="321"/>
      <c r="GS113" s="321"/>
    </row>
    <row r="114" spans="192:201" x14ac:dyDescent="0.3">
      <c r="GJ114" s="321"/>
      <c r="GK114" s="321"/>
      <c r="GL114" s="321"/>
      <c r="GM114" s="321"/>
      <c r="GN114" s="321"/>
      <c r="GO114" s="321"/>
      <c r="GP114" s="321"/>
      <c r="GQ114" s="321"/>
      <c r="GR114" s="321"/>
      <c r="GS114" s="321"/>
    </row>
    <row r="115" spans="192:201" x14ac:dyDescent="0.3">
      <c r="GJ115" s="321"/>
      <c r="GK115" s="321"/>
      <c r="GL115" s="321"/>
      <c r="GM115" s="321"/>
      <c r="GN115" s="321"/>
      <c r="GO115" s="321"/>
      <c r="GP115" s="321"/>
      <c r="GQ115" s="321"/>
      <c r="GR115" s="321"/>
      <c r="GS115" s="321"/>
    </row>
    <row r="116" spans="192:201" x14ac:dyDescent="0.3">
      <c r="GJ116" s="321"/>
      <c r="GK116" s="321"/>
      <c r="GL116" s="321"/>
      <c r="GM116" s="321"/>
      <c r="GN116" s="321"/>
      <c r="GO116" s="321"/>
      <c r="GP116" s="321"/>
      <c r="GQ116" s="321"/>
      <c r="GR116" s="321"/>
      <c r="GS116" s="321"/>
    </row>
    <row r="117" spans="192:201" x14ac:dyDescent="0.3">
      <c r="GJ117" s="321"/>
      <c r="GK117" s="321"/>
      <c r="GL117" s="321"/>
      <c r="GM117" s="321"/>
      <c r="GN117" s="321"/>
      <c r="GO117" s="321"/>
      <c r="GP117" s="321"/>
      <c r="GQ117" s="321"/>
      <c r="GR117" s="321"/>
      <c r="GS117" s="321"/>
    </row>
    <row r="118" spans="192:201" x14ac:dyDescent="0.3">
      <c r="GJ118" s="321"/>
      <c r="GK118" s="321"/>
      <c r="GL118" s="321"/>
      <c r="GM118" s="321"/>
      <c r="GN118" s="321"/>
      <c r="GO118" s="321"/>
      <c r="GP118" s="321"/>
      <c r="GQ118" s="321"/>
      <c r="GR118" s="321"/>
      <c r="GS118" s="321"/>
    </row>
    <row r="119" spans="192:201" x14ac:dyDescent="0.3">
      <c r="GJ119" s="321"/>
      <c r="GK119" s="321"/>
      <c r="GL119" s="321"/>
      <c r="GM119" s="321"/>
      <c r="GN119" s="321"/>
      <c r="GO119" s="321"/>
      <c r="GP119" s="321"/>
      <c r="GQ119" s="321"/>
      <c r="GR119" s="321"/>
      <c r="GS119" s="321"/>
    </row>
    <row r="120" spans="192:201" x14ac:dyDescent="0.3">
      <c r="GJ120" s="321"/>
      <c r="GK120" s="321"/>
      <c r="GL120" s="321"/>
      <c r="GM120" s="321"/>
      <c r="GN120" s="321"/>
      <c r="GO120" s="321"/>
      <c r="GP120" s="321"/>
      <c r="GQ120" s="321"/>
      <c r="GR120" s="321"/>
      <c r="GS120" s="321"/>
    </row>
    <row r="121" spans="192:201" x14ac:dyDescent="0.3">
      <c r="GJ121" s="321"/>
      <c r="GK121" s="321"/>
      <c r="GL121" s="321"/>
      <c r="GM121" s="321"/>
      <c r="GN121" s="321"/>
      <c r="GO121" s="321"/>
      <c r="GP121" s="321"/>
      <c r="GQ121" s="321"/>
      <c r="GR121" s="321"/>
      <c r="GS121" s="321"/>
    </row>
    <row r="122" spans="192:201" x14ac:dyDescent="0.3">
      <c r="GJ122" s="321"/>
      <c r="GK122" s="321"/>
      <c r="GL122" s="321"/>
      <c r="GM122" s="321"/>
      <c r="GN122" s="321"/>
      <c r="GO122" s="321"/>
      <c r="GP122" s="321"/>
      <c r="GQ122" s="321"/>
      <c r="GR122" s="321"/>
      <c r="GS122" s="321"/>
    </row>
    <row r="123" spans="192:201" x14ac:dyDescent="0.3">
      <c r="GJ123" s="321"/>
      <c r="GK123" s="321"/>
      <c r="GL123" s="321"/>
      <c r="GM123" s="321"/>
      <c r="GN123" s="321"/>
      <c r="GO123" s="321"/>
      <c r="GP123" s="321"/>
      <c r="GQ123" s="321"/>
      <c r="GR123" s="321"/>
      <c r="GS123" s="321"/>
    </row>
    <row r="124" spans="192:201" x14ac:dyDescent="0.3">
      <c r="GJ124" s="321"/>
      <c r="GK124" s="321"/>
      <c r="GL124" s="321"/>
      <c r="GM124" s="321"/>
      <c r="GN124" s="321"/>
      <c r="GO124" s="321"/>
      <c r="GP124" s="321"/>
      <c r="GQ124" s="321"/>
      <c r="GR124" s="321"/>
      <c r="GS124" s="321"/>
    </row>
    <row r="125" spans="192:201" x14ac:dyDescent="0.3">
      <c r="GJ125" s="321"/>
      <c r="GK125" s="321"/>
      <c r="GL125" s="321"/>
      <c r="GM125" s="321"/>
      <c r="GN125" s="321"/>
      <c r="GO125" s="321"/>
      <c r="GP125" s="321"/>
      <c r="GQ125" s="321"/>
      <c r="GR125" s="321"/>
      <c r="GS125" s="321"/>
    </row>
    <row r="126" spans="192:201" x14ac:dyDescent="0.3">
      <c r="GJ126" s="321"/>
      <c r="GK126" s="321"/>
      <c r="GL126" s="321"/>
      <c r="GM126" s="321"/>
      <c r="GN126" s="321"/>
      <c r="GO126" s="321"/>
      <c r="GP126" s="321"/>
      <c r="GQ126" s="321"/>
      <c r="GR126" s="321"/>
      <c r="GS126" s="321"/>
    </row>
    <row r="127" spans="192:201" x14ac:dyDescent="0.3">
      <c r="GJ127" s="321"/>
      <c r="GK127" s="321"/>
      <c r="GL127" s="321"/>
      <c r="GM127" s="321"/>
      <c r="GN127" s="321"/>
      <c r="GO127" s="321"/>
      <c r="GP127" s="321"/>
      <c r="GQ127" s="321"/>
      <c r="GR127" s="321"/>
      <c r="GS127" s="321"/>
    </row>
    <row r="128" spans="192:201" x14ac:dyDescent="0.3">
      <c r="GJ128" s="321"/>
      <c r="GK128" s="321"/>
      <c r="GL128" s="321"/>
      <c r="GM128" s="321"/>
      <c r="GN128" s="321"/>
      <c r="GO128" s="321"/>
      <c r="GP128" s="321"/>
      <c r="GQ128" s="321"/>
      <c r="GR128" s="321"/>
      <c r="GS128" s="321"/>
    </row>
    <row r="129" spans="192:201" x14ac:dyDescent="0.3">
      <c r="GJ129" s="321"/>
      <c r="GK129" s="321"/>
      <c r="GL129" s="321"/>
      <c r="GM129" s="321"/>
      <c r="GN129" s="321"/>
      <c r="GO129" s="321"/>
      <c r="GP129" s="321"/>
      <c r="GQ129" s="321"/>
      <c r="GR129" s="321"/>
      <c r="GS129" s="321"/>
    </row>
    <row r="130" spans="192:201" x14ac:dyDescent="0.3">
      <c r="GJ130" s="321"/>
      <c r="GK130" s="321"/>
      <c r="GL130" s="321"/>
      <c r="GM130" s="321"/>
      <c r="GN130" s="321"/>
      <c r="GO130" s="321"/>
      <c r="GP130" s="321"/>
      <c r="GQ130" s="321"/>
      <c r="GR130" s="321"/>
      <c r="GS130" s="321"/>
    </row>
    <row r="131" spans="192:201" x14ac:dyDescent="0.3">
      <c r="GJ131" s="321"/>
      <c r="GK131" s="321"/>
      <c r="GL131" s="321"/>
      <c r="GM131" s="321"/>
      <c r="GN131" s="321"/>
      <c r="GO131" s="321"/>
      <c r="GP131" s="321"/>
      <c r="GQ131" s="321"/>
      <c r="GR131" s="321"/>
      <c r="GS131" s="321"/>
    </row>
    <row r="132" spans="192:201" x14ac:dyDescent="0.3">
      <c r="GJ132" s="321"/>
      <c r="GK132" s="321"/>
      <c r="GL132" s="321"/>
      <c r="GM132" s="321"/>
      <c r="GN132" s="321"/>
      <c r="GO132" s="321"/>
      <c r="GP132" s="321"/>
      <c r="GQ132" s="321"/>
      <c r="GR132" s="321"/>
      <c r="GS132" s="321"/>
    </row>
    <row r="133" spans="192:201" x14ac:dyDescent="0.3">
      <c r="GJ133" s="321"/>
      <c r="GK133" s="321"/>
      <c r="GL133" s="321"/>
      <c r="GM133" s="321"/>
      <c r="GN133" s="321"/>
      <c r="GO133" s="321"/>
      <c r="GP133" s="321"/>
      <c r="GQ133" s="321"/>
      <c r="GR133" s="321"/>
      <c r="GS133" s="321"/>
    </row>
    <row r="134" spans="192:201" x14ac:dyDescent="0.3">
      <c r="GJ134" s="321"/>
      <c r="GK134" s="321"/>
      <c r="GL134" s="321"/>
      <c r="GM134" s="321"/>
      <c r="GN134" s="321"/>
      <c r="GO134" s="321"/>
      <c r="GP134" s="321"/>
      <c r="GQ134" s="321"/>
      <c r="GR134" s="321"/>
      <c r="GS134" s="321"/>
    </row>
    <row r="135" spans="192:201" x14ac:dyDescent="0.3">
      <c r="GJ135" s="321"/>
      <c r="GK135" s="321"/>
      <c r="GL135" s="321"/>
      <c r="GM135" s="321"/>
      <c r="GN135" s="321"/>
      <c r="GO135" s="321"/>
      <c r="GP135" s="321"/>
      <c r="GQ135" s="321"/>
      <c r="GR135" s="321"/>
      <c r="GS135" s="321"/>
    </row>
    <row r="136" spans="192:201" x14ac:dyDescent="0.3">
      <c r="GJ136" s="321"/>
      <c r="GK136" s="321"/>
      <c r="GL136" s="321"/>
      <c r="GM136" s="321"/>
      <c r="GN136" s="321"/>
      <c r="GO136" s="321"/>
      <c r="GP136" s="321"/>
      <c r="GQ136" s="321"/>
      <c r="GR136" s="321"/>
      <c r="GS136" s="321"/>
    </row>
    <row r="137" spans="192:201" x14ac:dyDescent="0.3">
      <c r="GJ137" s="321"/>
      <c r="GK137" s="321"/>
      <c r="GL137" s="321"/>
      <c r="GM137" s="321"/>
      <c r="GN137" s="321"/>
      <c r="GO137" s="321"/>
      <c r="GP137" s="321"/>
      <c r="GQ137" s="321"/>
      <c r="GR137" s="321"/>
      <c r="GS137" s="321"/>
    </row>
    <row r="138" spans="192:201" x14ac:dyDescent="0.3">
      <c r="GJ138" s="321"/>
      <c r="GK138" s="321"/>
      <c r="GL138" s="321"/>
      <c r="GM138" s="321"/>
      <c r="GN138" s="321"/>
      <c r="GO138" s="321"/>
      <c r="GP138" s="321"/>
      <c r="GQ138" s="321"/>
      <c r="GR138" s="321"/>
      <c r="GS138" s="321"/>
    </row>
    <row r="139" spans="192:201" x14ac:dyDescent="0.3">
      <c r="GJ139" s="321"/>
      <c r="GK139" s="321"/>
      <c r="GL139" s="321"/>
      <c r="GM139" s="321"/>
      <c r="GN139" s="321"/>
      <c r="GO139" s="321"/>
      <c r="GP139" s="321"/>
      <c r="GQ139" s="321"/>
      <c r="GR139" s="321"/>
      <c r="GS139" s="321"/>
    </row>
    <row r="140" spans="192:201" x14ac:dyDescent="0.3">
      <c r="GJ140" s="321"/>
      <c r="GK140" s="321"/>
      <c r="GL140" s="321"/>
      <c r="GM140" s="321"/>
      <c r="GN140" s="321"/>
      <c r="GO140" s="321"/>
      <c r="GP140" s="321"/>
      <c r="GQ140" s="321"/>
      <c r="GR140" s="321"/>
      <c r="GS140" s="321"/>
    </row>
    <row r="141" spans="192:201" x14ac:dyDescent="0.3">
      <c r="GJ141" s="321"/>
      <c r="GK141" s="321"/>
      <c r="GL141" s="321"/>
      <c r="GM141" s="321"/>
      <c r="GN141" s="321"/>
      <c r="GO141" s="321"/>
      <c r="GP141" s="321"/>
      <c r="GQ141" s="321"/>
      <c r="GR141" s="321"/>
      <c r="GS141" s="321"/>
    </row>
    <row r="142" spans="192:201" x14ac:dyDescent="0.3">
      <c r="GJ142" s="321"/>
      <c r="GK142" s="321"/>
      <c r="GL142" s="321"/>
      <c r="GM142" s="321"/>
      <c r="GN142" s="321"/>
      <c r="GO142" s="321"/>
      <c r="GP142" s="321"/>
      <c r="GQ142" s="321"/>
      <c r="GR142" s="321"/>
      <c r="GS142" s="321"/>
    </row>
    <row r="143" spans="192:201" x14ac:dyDescent="0.3">
      <c r="GJ143" s="321"/>
      <c r="GK143" s="321"/>
      <c r="GL143" s="321"/>
      <c r="GM143" s="321"/>
      <c r="GN143" s="321"/>
      <c r="GO143" s="321"/>
      <c r="GP143" s="321"/>
      <c r="GQ143" s="321"/>
      <c r="GR143" s="321"/>
      <c r="GS143" s="321"/>
    </row>
    <row r="144" spans="192:201" x14ac:dyDescent="0.3">
      <c r="GJ144" s="321"/>
      <c r="GK144" s="321"/>
      <c r="GL144" s="321"/>
      <c r="GM144" s="321"/>
      <c r="GN144" s="321"/>
      <c r="GO144" s="321"/>
      <c r="GP144" s="321"/>
      <c r="GQ144" s="321"/>
      <c r="GR144" s="321"/>
      <c r="GS144" s="321"/>
    </row>
    <row r="145" spans="192:201" x14ac:dyDescent="0.3">
      <c r="GJ145" s="321"/>
      <c r="GK145" s="321"/>
      <c r="GL145" s="321"/>
      <c r="GM145" s="321"/>
      <c r="GN145" s="321"/>
      <c r="GO145" s="321"/>
      <c r="GP145" s="321"/>
      <c r="GQ145" s="321"/>
      <c r="GR145" s="321"/>
      <c r="GS145" s="321"/>
    </row>
    <row r="146" spans="192:201" x14ac:dyDescent="0.3">
      <c r="GJ146" s="321"/>
      <c r="GK146" s="321"/>
      <c r="GL146" s="321"/>
      <c r="GM146" s="321"/>
      <c r="GN146" s="321"/>
      <c r="GO146" s="321"/>
      <c r="GP146" s="321"/>
      <c r="GQ146" s="321"/>
      <c r="GR146" s="321"/>
      <c r="GS146" s="321"/>
    </row>
    <row r="147" spans="192:201" x14ac:dyDescent="0.3">
      <c r="GJ147" s="321"/>
      <c r="GK147" s="321"/>
      <c r="GL147" s="321"/>
      <c r="GM147" s="321"/>
      <c r="GN147" s="321"/>
      <c r="GO147" s="321"/>
      <c r="GP147" s="321"/>
      <c r="GQ147" s="321"/>
      <c r="GR147" s="321"/>
      <c r="GS147" s="321"/>
    </row>
    <row r="148" spans="192:201" x14ac:dyDescent="0.3">
      <c r="GJ148" s="321"/>
      <c r="GK148" s="321"/>
      <c r="GL148" s="321"/>
      <c r="GM148" s="321"/>
      <c r="GN148" s="321"/>
      <c r="GO148" s="321"/>
      <c r="GP148" s="321"/>
      <c r="GQ148" s="321"/>
      <c r="GR148" s="321"/>
      <c r="GS148" s="321"/>
    </row>
    <row r="149" spans="192:201" x14ac:dyDescent="0.3">
      <c r="GJ149" s="321"/>
      <c r="GK149" s="321"/>
      <c r="GL149" s="321"/>
      <c r="GM149" s="321"/>
      <c r="GN149" s="321"/>
      <c r="GO149" s="321"/>
      <c r="GP149" s="321"/>
      <c r="GQ149" s="321"/>
      <c r="GR149" s="321"/>
      <c r="GS149" s="321"/>
    </row>
    <row r="150" spans="192:201" x14ac:dyDescent="0.3">
      <c r="GJ150" s="321"/>
      <c r="GK150" s="321"/>
      <c r="GL150" s="321"/>
      <c r="GM150" s="321"/>
      <c r="GN150" s="321"/>
      <c r="GO150" s="321"/>
      <c r="GP150" s="321"/>
      <c r="GQ150" s="321"/>
      <c r="GR150" s="321"/>
      <c r="GS150" s="321"/>
    </row>
    <row r="151" spans="192:201" x14ac:dyDescent="0.3">
      <c r="GJ151" s="321"/>
      <c r="GK151" s="321"/>
      <c r="GL151" s="321"/>
      <c r="GM151" s="321"/>
      <c r="GN151" s="321"/>
      <c r="GO151" s="321"/>
      <c r="GP151" s="321"/>
      <c r="GQ151" s="321"/>
      <c r="GR151" s="321"/>
      <c r="GS151" s="321"/>
    </row>
    <row r="152" spans="192:201" x14ac:dyDescent="0.3">
      <c r="GJ152" s="321"/>
      <c r="GK152" s="321"/>
      <c r="GL152" s="321"/>
      <c r="GM152" s="321"/>
      <c r="GN152" s="321"/>
      <c r="GO152" s="321"/>
      <c r="GP152" s="321"/>
      <c r="GQ152" s="321"/>
      <c r="GR152" s="321"/>
      <c r="GS152" s="321"/>
    </row>
    <row r="153" spans="192:201" x14ac:dyDescent="0.3">
      <c r="GJ153" s="321"/>
      <c r="GK153" s="321"/>
      <c r="GL153" s="321"/>
      <c r="GM153" s="321"/>
      <c r="GN153" s="321"/>
      <c r="GO153" s="321"/>
      <c r="GP153" s="321"/>
      <c r="GQ153" s="321"/>
      <c r="GR153" s="321"/>
      <c r="GS153" s="321"/>
    </row>
    <row r="154" spans="192:201" x14ac:dyDescent="0.3">
      <c r="GJ154" s="321"/>
      <c r="GK154" s="321"/>
      <c r="GL154" s="321"/>
      <c r="GM154" s="321"/>
      <c r="GN154" s="321"/>
      <c r="GO154" s="321"/>
      <c r="GP154" s="321"/>
      <c r="GQ154" s="321"/>
      <c r="GR154" s="321"/>
      <c r="GS154" s="321"/>
    </row>
    <row r="155" spans="192:201" x14ac:dyDescent="0.3">
      <c r="GJ155" s="321"/>
      <c r="GK155" s="321"/>
      <c r="GL155" s="321"/>
      <c r="GM155" s="321"/>
      <c r="GN155" s="321"/>
      <c r="GO155" s="321"/>
      <c r="GP155" s="321"/>
      <c r="GQ155" s="321"/>
      <c r="GR155" s="321"/>
      <c r="GS155" s="321"/>
    </row>
    <row r="156" spans="192:201" x14ac:dyDescent="0.3">
      <c r="GJ156" s="321"/>
      <c r="GK156" s="321"/>
      <c r="GL156" s="321"/>
      <c r="GM156" s="321"/>
      <c r="GN156" s="321"/>
      <c r="GO156" s="321"/>
      <c r="GP156" s="321"/>
      <c r="GQ156" s="321"/>
      <c r="GR156" s="321"/>
      <c r="GS156" s="321"/>
    </row>
    <row r="157" spans="192:201" x14ac:dyDescent="0.3">
      <c r="GJ157" s="321"/>
      <c r="GK157" s="321"/>
      <c r="GL157" s="321"/>
      <c r="GM157" s="321"/>
      <c r="GN157" s="321"/>
      <c r="GO157" s="321"/>
      <c r="GP157" s="321"/>
      <c r="GQ157" s="321"/>
      <c r="GR157" s="321"/>
      <c r="GS157" s="321"/>
    </row>
    <row r="158" spans="192:201" x14ac:dyDescent="0.3">
      <c r="GJ158" s="321"/>
      <c r="GK158" s="321"/>
      <c r="GL158" s="321"/>
      <c r="GM158" s="321"/>
      <c r="GN158" s="321"/>
      <c r="GO158" s="321"/>
      <c r="GP158" s="321"/>
      <c r="GQ158" s="321"/>
      <c r="GR158" s="321"/>
      <c r="GS158" s="321"/>
    </row>
    <row r="159" spans="192:201" x14ac:dyDescent="0.3">
      <c r="GJ159" s="321"/>
      <c r="GK159" s="321"/>
      <c r="GL159" s="321"/>
      <c r="GM159" s="321"/>
      <c r="GN159" s="321"/>
      <c r="GO159" s="321"/>
      <c r="GP159" s="321"/>
      <c r="GQ159" s="321"/>
      <c r="GR159" s="321"/>
      <c r="GS159" s="321"/>
    </row>
    <row r="160" spans="192:201" x14ac:dyDescent="0.3">
      <c r="GJ160" s="321"/>
      <c r="GK160" s="321"/>
      <c r="GL160" s="321"/>
      <c r="GM160" s="321"/>
      <c r="GN160" s="321"/>
      <c r="GO160" s="321"/>
      <c r="GP160" s="321"/>
      <c r="GQ160" s="321"/>
      <c r="GR160" s="321"/>
      <c r="GS160" s="321"/>
    </row>
    <row r="161" spans="192:201" x14ac:dyDescent="0.3">
      <c r="GJ161" s="321"/>
      <c r="GK161" s="321"/>
      <c r="GL161" s="321"/>
      <c r="GM161" s="321"/>
      <c r="GN161" s="321"/>
      <c r="GO161" s="321"/>
      <c r="GP161" s="321"/>
      <c r="GQ161" s="321"/>
      <c r="GR161" s="321"/>
      <c r="GS161" s="321"/>
    </row>
    <row r="162" spans="192:201" x14ac:dyDescent="0.3">
      <c r="GJ162" s="321"/>
      <c r="GK162" s="321"/>
      <c r="GL162" s="321"/>
      <c r="GM162" s="321"/>
      <c r="GN162" s="321"/>
      <c r="GO162" s="321"/>
      <c r="GP162" s="321"/>
      <c r="GQ162" s="321"/>
      <c r="GR162" s="321"/>
      <c r="GS162" s="321"/>
    </row>
    <row r="163" spans="192:201" x14ac:dyDescent="0.3">
      <c r="GJ163" s="321"/>
      <c r="GK163" s="321"/>
      <c r="GL163" s="321"/>
      <c r="GM163" s="321"/>
      <c r="GN163" s="321"/>
      <c r="GO163" s="321"/>
      <c r="GP163" s="321"/>
      <c r="GQ163" s="321"/>
      <c r="GR163" s="321"/>
      <c r="GS163" s="321"/>
    </row>
    <row r="164" spans="192:201" x14ac:dyDescent="0.3">
      <c r="GJ164" s="321"/>
      <c r="GK164" s="321"/>
      <c r="GL164" s="321"/>
      <c r="GM164" s="321"/>
      <c r="GN164" s="321"/>
      <c r="GO164" s="321"/>
      <c r="GP164" s="321"/>
      <c r="GQ164" s="321"/>
      <c r="GR164" s="321"/>
      <c r="GS164" s="321"/>
    </row>
    <row r="165" spans="192:201" x14ac:dyDescent="0.3">
      <c r="GJ165" s="321"/>
      <c r="GK165" s="321"/>
      <c r="GL165" s="321"/>
      <c r="GM165" s="321"/>
      <c r="GN165" s="321"/>
      <c r="GO165" s="321"/>
      <c r="GP165" s="321"/>
      <c r="GQ165" s="321"/>
      <c r="GR165" s="321"/>
      <c r="GS165" s="321"/>
    </row>
    <row r="166" spans="192:201" x14ac:dyDescent="0.3">
      <c r="GJ166" s="321"/>
      <c r="GK166" s="321"/>
      <c r="GL166" s="321"/>
      <c r="GM166" s="321"/>
      <c r="GN166" s="321"/>
      <c r="GO166" s="321"/>
      <c r="GP166" s="321"/>
      <c r="GQ166" s="321"/>
      <c r="GR166" s="321"/>
      <c r="GS166" s="321"/>
    </row>
    <row r="167" spans="192:201" x14ac:dyDescent="0.3">
      <c r="GJ167" s="321"/>
      <c r="GK167" s="321"/>
      <c r="GL167" s="321"/>
      <c r="GM167" s="321"/>
      <c r="GN167" s="321"/>
      <c r="GO167" s="321"/>
      <c r="GP167" s="321"/>
      <c r="GQ167" s="321"/>
      <c r="GR167" s="321"/>
      <c r="GS167" s="321"/>
    </row>
    <row r="168" spans="192:201" x14ac:dyDescent="0.3">
      <c r="GJ168" s="321"/>
      <c r="GK168" s="321"/>
      <c r="GL168" s="321"/>
      <c r="GM168" s="321"/>
      <c r="GN168" s="321"/>
      <c r="GO168" s="321"/>
      <c r="GP168" s="321"/>
      <c r="GQ168" s="321"/>
      <c r="GR168" s="321"/>
      <c r="GS168" s="321"/>
    </row>
    <row r="169" spans="192:201" x14ac:dyDescent="0.3">
      <c r="GJ169" s="321"/>
      <c r="GK169" s="321"/>
      <c r="GL169" s="321"/>
      <c r="GM169" s="321"/>
      <c r="GN169" s="321"/>
      <c r="GO169" s="321"/>
      <c r="GP169" s="321"/>
      <c r="GQ169" s="321"/>
      <c r="GR169" s="321"/>
      <c r="GS169" s="321"/>
    </row>
    <row r="170" spans="192:201" x14ac:dyDescent="0.3">
      <c r="GJ170" s="321"/>
      <c r="GK170" s="321"/>
      <c r="GL170" s="321"/>
      <c r="GM170" s="321"/>
      <c r="GN170" s="321"/>
      <c r="GO170" s="321"/>
      <c r="GP170" s="321"/>
      <c r="GQ170" s="321"/>
      <c r="GR170" s="321"/>
      <c r="GS170" s="321"/>
    </row>
    <row r="171" spans="192:201" x14ac:dyDescent="0.3">
      <c r="GJ171" s="321"/>
      <c r="GK171" s="321"/>
      <c r="GL171" s="321"/>
      <c r="GM171" s="321"/>
      <c r="GN171" s="321"/>
      <c r="GO171" s="321"/>
      <c r="GP171" s="321"/>
      <c r="GQ171" s="321"/>
      <c r="GR171" s="321"/>
      <c r="GS171" s="321"/>
    </row>
    <row r="172" spans="192:201" x14ac:dyDescent="0.3">
      <c r="GJ172" s="321"/>
      <c r="GK172" s="321"/>
      <c r="GL172" s="321"/>
      <c r="GM172" s="321"/>
      <c r="GN172" s="321"/>
      <c r="GO172" s="321"/>
      <c r="GP172" s="321"/>
      <c r="GQ172" s="321"/>
      <c r="GR172" s="321"/>
      <c r="GS172" s="321"/>
    </row>
    <row r="173" spans="192:201" x14ac:dyDescent="0.3">
      <c r="GJ173" s="321"/>
      <c r="GK173" s="321"/>
      <c r="GL173" s="321"/>
      <c r="GM173" s="321"/>
      <c r="GN173" s="321"/>
      <c r="GO173" s="321"/>
      <c r="GP173" s="321"/>
      <c r="GQ173" s="321"/>
      <c r="GR173" s="321"/>
      <c r="GS173" s="321"/>
    </row>
    <row r="174" spans="192:201" x14ac:dyDescent="0.3">
      <c r="GJ174" s="321"/>
      <c r="GK174" s="321"/>
      <c r="GL174" s="321"/>
      <c r="GM174" s="321"/>
      <c r="GN174" s="321"/>
      <c r="GO174" s="321"/>
      <c r="GP174" s="321"/>
      <c r="GQ174" s="321"/>
      <c r="GR174" s="321"/>
      <c r="GS174" s="321"/>
    </row>
    <row r="175" spans="192:201" x14ac:dyDescent="0.3">
      <c r="GJ175" s="321"/>
      <c r="GK175" s="321"/>
      <c r="GL175" s="321"/>
      <c r="GM175" s="321"/>
      <c r="GN175" s="321"/>
      <c r="GO175" s="321"/>
      <c r="GP175" s="321"/>
      <c r="GQ175" s="321"/>
      <c r="GR175" s="321"/>
      <c r="GS175" s="321"/>
    </row>
    <row r="176" spans="192:201" x14ac:dyDescent="0.3">
      <c r="GJ176" s="321"/>
      <c r="GK176" s="321"/>
      <c r="GL176" s="321"/>
      <c r="GM176" s="321"/>
      <c r="GN176" s="321"/>
      <c r="GO176" s="321"/>
      <c r="GP176" s="321"/>
      <c r="GQ176" s="321"/>
      <c r="GR176" s="321"/>
      <c r="GS176" s="321"/>
    </row>
    <row r="177" spans="192:201" x14ac:dyDescent="0.3">
      <c r="GJ177" s="321"/>
      <c r="GK177" s="321"/>
      <c r="GL177" s="321"/>
      <c r="GM177" s="321"/>
      <c r="GN177" s="321"/>
      <c r="GO177" s="321"/>
      <c r="GP177" s="321"/>
      <c r="GQ177" s="321"/>
      <c r="GR177" s="321"/>
      <c r="GS177" s="321"/>
    </row>
    <row r="178" spans="192:201" x14ac:dyDescent="0.3">
      <c r="GJ178" s="321"/>
      <c r="GK178" s="321"/>
      <c r="GL178" s="321"/>
      <c r="GM178" s="321"/>
      <c r="GN178" s="321"/>
      <c r="GO178" s="321"/>
      <c r="GP178" s="321"/>
      <c r="GQ178" s="321"/>
      <c r="GR178" s="321"/>
      <c r="GS178" s="321"/>
    </row>
    <row r="179" spans="192:201" x14ac:dyDescent="0.3">
      <c r="GJ179" s="321"/>
      <c r="GK179" s="321"/>
      <c r="GL179" s="321"/>
      <c r="GM179" s="321"/>
      <c r="GN179" s="321"/>
      <c r="GO179" s="321"/>
      <c r="GP179" s="321"/>
      <c r="GQ179" s="321"/>
      <c r="GR179" s="321"/>
      <c r="GS179" s="321"/>
    </row>
    <row r="180" spans="192:201" x14ac:dyDescent="0.3">
      <c r="GJ180" s="321"/>
      <c r="GK180" s="321"/>
      <c r="GL180" s="321"/>
      <c r="GM180" s="321"/>
      <c r="GN180" s="321"/>
      <c r="GO180" s="321"/>
      <c r="GP180" s="321"/>
      <c r="GQ180" s="321"/>
      <c r="GR180" s="321"/>
      <c r="GS180" s="321"/>
    </row>
    <row r="181" spans="192:201" x14ac:dyDescent="0.3">
      <c r="GJ181" s="321"/>
      <c r="GK181" s="321"/>
      <c r="GL181" s="321"/>
      <c r="GM181" s="321"/>
      <c r="GN181" s="321"/>
      <c r="GO181" s="321"/>
      <c r="GP181" s="321"/>
      <c r="GQ181" s="321"/>
      <c r="GR181" s="321"/>
      <c r="GS181" s="321"/>
    </row>
    <row r="182" spans="192:201" x14ac:dyDescent="0.3">
      <c r="GJ182" s="321"/>
      <c r="GK182" s="321"/>
      <c r="GL182" s="321"/>
      <c r="GM182" s="321"/>
      <c r="GN182" s="321"/>
      <c r="GO182" s="321"/>
      <c r="GP182" s="321"/>
      <c r="GQ182" s="321"/>
      <c r="GR182" s="321"/>
      <c r="GS182" s="321"/>
    </row>
    <row r="183" spans="192:201" x14ac:dyDescent="0.3">
      <c r="GJ183" s="321"/>
      <c r="GK183" s="321"/>
      <c r="GL183" s="321"/>
      <c r="GM183" s="321"/>
      <c r="GN183" s="321"/>
      <c r="GO183" s="321"/>
      <c r="GP183" s="321"/>
      <c r="GQ183" s="321"/>
      <c r="GR183" s="321"/>
      <c r="GS183" s="321"/>
    </row>
    <row r="184" spans="192:201" x14ac:dyDescent="0.3">
      <c r="GJ184" s="321"/>
      <c r="GK184" s="321"/>
      <c r="GL184" s="321"/>
      <c r="GM184" s="321"/>
      <c r="GN184" s="321"/>
      <c r="GO184" s="321"/>
      <c r="GP184" s="321"/>
      <c r="GQ184" s="321"/>
      <c r="GR184" s="321"/>
      <c r="GS184" s="321"/>
    </row>
    <row r="185" spans="192:201" x14ac:dyDescent="0.3">
      <c r="GJ185" s="321"/>
      <c r="GK185" s="321"/>
      <c r="GL185" s="321"/>
      <c r="GM185" s="321"/>
      <c r="GN185" s="321"/>
      <c r="GO185" s="321"/>
      <c r="GP185" s="321"/>
      <c r="GQ185" s="321"/>
      <c r="GR185" s="321"/>
      <c r="GS185" s="321"/>
    </row>
    <row r="186" spans="192:201" x14ac:dyDescent="0.3">
      <c r="GJ186" s="321"/>
      <c r="GK186" s="321"/>
      <c r="GL186" s="321"/>
      <c r="GM186" s="321"/>
      <c r="GN186" s="321"/>
      <c r="GO186" s="321"/>
      <c r="GP186" s="321"/>
      <c r="GQ186" s="321"/>
      <c r="GR186" s="321"/>
      <c r="GS186" s="321"/>
    </row>
    <row r="187" spans="192:201" x14ac:dyDescent="0.3">
      <c r="GJ187" s="321"/>
      <c r="GK187" s="321"/>
      <c r="GL187" s="321"/>
      <c r="GM187" s="321"/>
      <c r="GN187" s="321"/>
      <c r="GO187" s="321"/>
      <c r="GP187" s="321"/>
      <c r="GQ187" s="321"/>
      <c r="GR187" s="321"/>
      <c r="GS187" s="321"/>
    </row>
    <row r="188" spans="192:201" x14ac:dyDescent="0.3">
      <c r="GJ188" s="321"/>
      <c r="GK188" s="321"/>
      <c r="GL188" s="321"/>
      <c r="GM188" s="321"/>
      <c r="GN188" s="321"/>
      <c r="GO188" s="321"/>
      <c r="GP188" s="321"/>
      <c r="GQ188" s="321"/>
      <c r="GR188" s="321"/>
      <c r="GS188" s="321"/>
    </row>
    <row r="189" spans="192:201" x14ac:dyDescent="0.3">
      <c r="GJ189" s="321"/>
      <c r="GK189" s="321"/>
      <c r="GL189" s="321"/>
      <c r="GM189" s="321"/>
      <c r="GN189" s="321"/>
      <c r="GO189" s="321"/>
      <c r="GP189" s="321"/>
      <c r="GQ189" s="321"/>
      <c r="GR189" s="321"/>
      <c r="GS189" s="321"/>
    </row>
    <row r="190" spans="192:201" x14ac:dyDescent="0.3">
      <c r="GJ190" s="321"/>
      <c r="GK190" s="321"/>
      <c r="GL190" s="321"/>
      <c r="GM190" s="321"/>
      <c r="GN190" s="321"/>
      <c r="GO190" s="321"/>
      <c r="GP190" s="321"/>
      <c r="GQ190" s="321"/>
      <c r="GR190" s="321"/>
      <c r="GS190" s="321"/>
    </row>
    <row r="191" spans="192:201" x14ac:dyDescent="0.3">
      <c r="GJ191" s="321"/>
      <c r="GK191" s="321"/>
      <c r="GL191" s="321"/>
      <c r="GM191" s="321"/>
      <c r="GN191" s="321"/>
      <c r="GO191" s="321"/>
      <c r="GP191" s="321"/>
      <c r="GQ191" s="321"/>
      <c r="GR191" s="321"/>
      <c r="GS191" s="321"/>
    </row>
    <row r="192" spans="192:201" x14ac:dyDescent="0.3">
      <c r="GJ192" s="321"/>
      <c r="GK192" s="321"/>
      <c r="GL192" s="321"/>
      <c r="GM192" s="321"/>
      <c r="GN192" s="321"/>
      <c r="GO192" s="321"/>
      <c r="GP192" s="321"/>
      <c r="GQ192" s="321"/>
      <c r="GR192" s="321"/>
      <c r="GS192" s="321"/>
    </row>
    <row r="193" spans="192:201" x14ac:dyDescent="0.3">
      <c r="GJ193" s="321"/>
      <c r="GK193" s="321"/>
      <c r="GL193" s="321"/>
      <c r="GM193" s="321"/>
      <c r="GN193" s="321"/>
      <c r="GO193" s="321"/>
      <c r="GP193" s="321"/>
      <c r="GQ193" s="321"/>
      <c r="GR193" s="321"/>
      <c r="GS193" s="321"/>
    </row>
    <row r="194" spans="192:201" x14ac:dyDescent="0.3">
      <c r="GJ194" s="321"/>
      <c r="GK194" s="321"/>
      <c r="GL194" s="321"/>
      <c r="GM194" s="321"/>
      <c r="GN194" s="321"/>
      <c r="GO194" s="321"/>
      <c r="GP194" s="321"/>
      <c r="GQ194" s="321"/>
      <c r="GR194" s="321"/>
      <c r="GS194" s="321"/>
    </row>
    <row r="195" spans="192:201" x14ac:dyDescent="0.3">
      <c r="GJ195" s="321"/>
      <c r="GK195" s="321"/>
      <c r="GL195" s="321"/>
      <c r="GM195" s="321"/>
      <c r="GN195" s="321"/>
      <c r="GO195" s="321"/>
      <c r="GP195" s="321"/>
      <c r="GQ195" s="321"/>
      <c r="GR195" s="321"/>
      <c r="GS195" s="321"/>
    </row>
    <row r="196" spans="192:201" x14ac:dyDescent="0.3">
      <c r="GJ196" s="321"/>
      <c r="GK196" s="321"/>
      <c r="GL196" s="321"/>
      <c r="GM196" s="321"/>
      <c r="GN196" s="321"/>
      <c r="GO196" s="321"/>
      <c r="GP196" s="321"/>
      <c r="GQ196" s="321"/>
      <c r="GR196" s="321"/>
      <c r="GS196" s="321"/>
    </row>
    <row r="197" spans="192:201" x14ac:dyDescent="0.3">
      <c r="GJ197" s="321"/>
      <c r="GK197" s="321"/>
      <c r="GL197" s="321"/>
      <c r="GM197" s="321"/>
      <c r="GN197" s="321"/>
      <c r="GO197" s="321"/>
      <c r="GP197" s="321"/>
      <c r="GQ197" s="321"/>
      <c r="GR197" s="321"/>
      <c r="GS197" s="321"/>
    </row>
    <row r="198" spans="192:201" x14ac:dyDescent="0.3">
      <c r="GJ198" s="321"/>
      <c r="GK198" s="321"/>
      <c r="GL198" s="321"/>
      <c r="GM198" s="321"/>
      <c r="GN198" s="321"/>
      <c r="GO198" s="321"/>
      <c r="GP198" s="321"/>
      <c r="GQ198" s="321"/>
      <c r="GR198" s="321"/>
      <c r="GS198" s="321"/>
    </row>
    <row r="199" spans="192:201" x14ac:dyDescent="0.3">
      <c r="GJ199" s="321"/>
      <c r="GK199" s="321"/>
      <c r="GL199" s="321"/>
      <c r="GM199" s="321"/>
      <c r="GN199" s="321"/>
      <c r="GO199" s="321"/>
      <c r="GP199" s="321"/>
      <c r="GQ199" s="321"/>
      <c r="GR199" s="321"/>
      <c r="GS199" s="321"/>
    </row>
    <row r="200" spans="192:201" x14ac:dyDescent="0.3">
      <c r="GJ200" s="321"/>
      <c r="GK200" s="321"/>
      <c r="GL200" s="321"/>
      <c r="GM200" s="321"/>
      <c r="GN200" s="321"/>
      <c r="GO200" s="321"/>
      <c r="GP200" s="321"/>
      <c r="GQ200" s="321"/>
      <c r="GR200" s="321"/>
      <c r="GS200" s="321"/>
    </row>
    <row r="201" spans="192:201" x14ac:dyDescent="0.3">
      <c r="GJ201" s="321"/>
      <c r="GK201" s="321"/>
      <c r="GL201" s="321"/>
      <c r="GM201" s="321"/>
      <c r="GN201" s="321"/>
      <c r="GO201" s="321"/>
      <c r="GP201" s="321"/>
      <c r="GQ201" s="321"/>
      <c r="GR201" s="321"/>
      <c r="GS201" s="321"/>
    </row>
    <row r="202" spans="192:201" x14ac:dyDescent="0.3">
      <c r="GJ202" s="321"/>
      <c r="GK202" s="321"/>
      <c r="GL202" s="321"/>
      <c r="GM202" s="321"/>
      <c r="GN202" s="321"/>
      <c r="GO202" s="321"/>
      <c r="GP202" s="321"/>
      <c r="GQ202" s="321"/>
      <c r="GR202" s="321"/>
      <c r="GS202" s="321"/>
    </row>
    <row r="203" spans="192:201" x14ac:dyDescent="0.3">
      <c r="GJ203" s="321"/>
      <c r="GK203" s="321"/>
      <c r="GL203" s="321"/>
      <c r="GM203" s="321"/>
      <c r="GN203" s="321"/>
      <c r="GO203" s="321"/>
      <c r="GP203" s="321"/>
      <c r="GQ203" s="321"/>
      <c r="GR203" s="321"/>
      <c r="GS203" s="321"/>
    </row>
    <row r="204" spans="192:201" x14ac:dyDescent="0.3">
      <c r="GJ204" s="321"/>
      <c r="GK204" s="321"/>
      <c r="GL204" s="321"/>
      <c r="GM204" s="321"/>
      <c r="GN204" s="321"/>
      <c r="GO204" s="321"/>
      <c r="GP204" s="321"/>
      <c r="GQ204" s="321"/>
      <c r="GR204" s="321"/>
      <c r="GS204" s="321"/>
    </row>
    <row r="205" spans="192:201" x14ac:dyDescent="0.3">
      <c r="GJ205" s="321"/>
      <c r="GK205" s="321"/>
      <c r="GL205" s="321"/>
      <c r="GM205" s="321"/>
      <c r="GN205" s="321"/>
      <c r="GO205" s="321"/>
      <c r="GP205" s="321"/>
      <c r="GQ205" s="321"/>
      <c r="GR205" s="321"/>
      <c r="GS205" s="321"/>
    </row>
    <row r="206" spans="192:201" x14ac:dyDescent="0.3">
      <c r="GJ206" s="321"/>
      <c r="GK206" s="321"/>
      <c r="GL206" s="321"/>
      <c r="GM206" s="321"/>
      <c r="GN206" s="321"/>
      <c r="GO206" s="321"/>
      <c r="GP206" s="321"/>
      <c r="GQ206" s="321"/>
      <c r="GR206" s="321"/>
      <c r="GS206" s="321"/>
    </row>
    <row r="207" spans="192:201" x14ac:dyDescent="0.3">
      <c r="GJ207" s="321"/>
      <c r="GK207" s="321"/>
      <c r="GL207" s="321"/>
      <c r="GM207" s="321"/>
      <c r="GN207" s="321"/>
      <c r="GO207" s="321"/>
      <c r="GP207" s="321"/>
      <c r="GQ207" s="321"/>
      <c r="GR207" s="321"/>
      <c r="GS207" s="321"/>
    </row>
    <row r="208" spans="192:201" x14ac:dyDescent="0.3">
      <c r="GJ208" s="321"/>
      <c r="GK208" s="321"/>
      <c r="GL208" s="321"/>
      <c r="GM208" s="321"/>
      <c r="GN208" s="321"/>
      <c r="GO208" s="321"/>
      <c r="GP208" s="321"/>
      <c r="GQ208" s="321"/>
      <c r="GR208" s="321"/>
      <c r="GS208" s="321"/>
    </row>
    <row r="209" spans="192:201" x14ac:dyDescent="0.3">
      <c r="GJ209" s="321"/>
      <c r="GK209" s="321"/>
      <c r="GL209" s="321"/>
      <c r="GM209" s="321"/>
      <c r="GN209" s="321"/>
      <c r="GO209" s="321"/>
      <c r="GP209" s="321"/>
      <c r="GQ209" s="321"/>
      <c r="GR209" s="321"/>
      <c r="GS209" s="321"/>
    </row>
    <row r="210" spans="192:201" x14ac:dyDescent="0.3">
      <c r="GJ210" s="321"/>
      <c r="GK210" s="321"/>
      <c r="GL210" s="321"/>
      <c r="GM210" s="321"/>
      <c r="GN210" s="321"/>
      <c r="GO210" s="321"/>
      <c r="GP210" s="321"/>
      <c r="GQ210" s="321"/>
      <c r="GR210" s="321"/>
      <c r="GS210" s="321"/>
    </row>
    <row r="211" spans="192:201" x14ac:dyDescent="0.3">
      <c r="GJ211" s="321"/>
      <c r="GK211" s="321"/>
      <c r="GL211" s="321"/>
      <c r="GM211" s="321"/>
      <c r="GN211" s="321"/>
      <c r="GO211" s="321"/>
      <c r="GP211" s="321"/>
      <c r="GQ211" s="321"/>
      <c r="GR211" s="321"/>
      <c r="GS211" s="321"/>
    </row>
    <row r="212" spans="192:201" x14ac:dyDescent="0.3">
      <c r="GJ212" s="321"/>
      <c r="GK212" s="321"/>
      <c r="GL212" s="321"/>
      <c r="GM212" s="321"/>
      <c r="GN212" s="321"/>
      <c r="GO212" s="321"/>
      <c r="GP212" s="321"/>
      <c r="GQ212" s="321"/>
      <c r="GR212" s="321"/>
      <c r="GS212" s="321"/>
    </row>
    <row r="213" spans="192:201" x14ac:dyDescent="0.3">
      <c r="GJ213" s="321"/>
      <c r="GK213" s="321"/>
      <c r="GL213" s="321"/>
      <c r="GM213" s="321"/>
      <c r="GN213" s="321"/>
      <c r="GO213" s="321"/>
      <c r="GP213" s="321"/>
      <c r="GQ213" s="321"/>
      <c r="GR213" s="321"/>
      <c r="GS213" s="321"/>
    </row>
    <row r="214" spans="192:201" x14ac:dyDescent="0.3">
      <c r="GJ214" s="321"/>
      <c r="GK214" s="321"/>
      <c r="GL214" s="321"/>
      <c r="GM214" s="321"/>
      <c r="GN214" s="321"/>
      <c r="GO214" s="321"/>
      <c r="GP214" s="321"/>
      <c r="GQ214" s="321"/>
      <c r="GR214" s="321"/>
      <c r="GS214" s="321"/>
    </row>
    <row r="215" spans="192:201" x14ac:dyDescent="0.3">
      <c r="GJ215" s="321"/>
      <c r="GK215" s="321"/>
      <c r="GL215" s="321"/>
      <c r="GM215" s="321"/>
      <c r="GN215" s="321"/>
      <c r="GO215" s="321"/>
      <c r="GP215" s="321"/>
      <c r="GQ215" s="321"/>
      <c r="GR215" s="321"/>
      <c r="GS215" s="321"/>
    </row>
    <row r="216" spans="192:201" x14ac:dyDescent="0.3">
      <c r="GJ216" s="321"/>
      <c r="GK216" s="321"/>
      <c r="GL216" s="321"/>
      <c r="GM216" s="321"/>
      <c r="GN216" s="321"/>
      <c r="GO216" s="321"/>
      <c r="GP216" s="321"/>
      <c r="GQ216" s="321"/>
      <c r="GR216" s="321"/>
      <c r="GS216" s="321"/>
    </row>
    <row r="217" spans="192:201" x14ac:dyDescent="0.3">
      <c r="GJ217" s="321"/>
      <c r="GK217" s="321"/>
      <c r="GL217" s="321"/>
      <c r="GM217" s="321"/>
      <c r="GN217" s="321"/>
      <c r="GO217" s="321"/>
      <c r="GP217" s="321"/>
      <c r="GQ217" s="321"/>
      <c r="GR217" s="321"/>
      <c r="GS217" s="321"/>
    </row>
    <row r="218" spans="192:201" x14ac:dyDescent="0.3">
      <c r="GJ218" s="321"/>
      <c r="GK218" s="321"/>
      <c r="GL218" s="321"/>
      <c r="GM218" s="321"/>
      <c r="GN218" s="321"/>
      <c r="GO218" s="321"/>
      <c r="GP218" s="321"/>
      <c r="GQ218" s="321"/>
      <c r="GR218" s="321"/>
      <c r="GS218" s="321"/>
    </row>
    <row r="219" spans="192:201" x14ac:dyDescent="0.3">
      <c r="GJ219" s="321"/>
      <c r="GK219" s="321"/>
      <c r="GL219" s="321"/>
      <c r="GM219" s="321"/>
      <c r="GN219" s="321"/>
      <c r="GO219" s="321"/>
      <c r="GP219" s="321"/>
      <c r="GQ219" s="321"/>
      <c r="GR219" s="321"/>
      <c r="GS219" s="321"/>
    </row>
    <row r="220" spans="192:201" x14ac:dyDescent="0.3">
      <c r="GJ220" s="321"/>
      <c r="GK220" s="321"/>
      <c r="GL220" s="321"/>
      <c r="GM220" s="321"/>
      <c r="GN220" s="321"/>
      <c r="GO220" s="321"/>
      <c r="GP220" s="321"/>
      <c r="GQ220" s="321"/>
      <c r="GR220" s="321"/>
      <c r="GS220" s="321"/>
    </row>
    <row r="221" spans="192:201" x14ac:dyDescent="0.3">
      <c r="GJ221" s="321"/>
      <c r="GK221" s="321"/>
      <c r="GL221" s="321"/>
      <c r="GM221" s="321"/>
      <c r="GN221" s="321"/>
      <c r="GO221" s="321"/>
      <c r="GP221" s="321"/>
      <c r="GQ221" s="321"/>
      <c r="GR221" s="321"/>
      <c r="GS221" s="321"/>
    </row>
    <row r="222" spans="192:201" x14ac:dyDescent="0.3">
      <c r="GJ222" s="321"/>
      <c r="GK222" s="321"/>
      <c r="GL222" s="321"/>
      <c r="GM222" s="321"/>
      <c r="GN222" s="321"/>
      <c r="GO222" s="321"/>
      <c r="GP222" s="321"/>
      <c r="GQ222" s="321"/>
      <c r="GR222" s="321"/>
      <c r="GS222" s="321"/>
    </row>
    <row r="223" spans="192:201" x14ac:dyDescent="0.3">
      <c r="GJ223" s="321"/>
      <c r="GK223" s="321"/>
      <c r="GL223" s="321"/>
      <c r="GM223" s="321"/>
      <c r="GN223" s="321"/>
      <c r="GO223" s="321"/>
      <c r="GP223" s="321"/>
      <c r="GQ223" s="321"/>
      <c r="GR223" s="321"/>
      <c r="GS223" s="321"/>
    </row>
    <row r="224" spans="192:201" x14ac:dyDescent="0.3">
      <c r="GJ224" s="321"/>
      <c r="GK224" s="321"/>
      <c r="GL224" s="321"/>
      <c r="GM224" s="321"/>
      <c r="GN224" s="321"/>
      <c r="GO224" s="321"/>
      <c r="GP224" s="321"/>
      <c r="GQ224" s="321"/>
      <c r="GR224" s="321"/>
      <c r="GS224" s="321"/>
    </row>
    <row r="225" spans="192:201" x14ac:dyDescent="0.3">
      <c r="GJ225" s="321"/>
      <c r="GK225" s="321"/>
      <c r="GL225" s="321"/>
      <c r="GM225" s="321"/>
      <c r="GN225" s="321"/>
      <c r="GO225" s="321"/>
      <c r="GP225" s="321"/>
      <c r="GQ225" s="321"/>
      <c r="GR225" s="321"/>
      <c r="GS225" s="321"/>
    </row>
    <row r="226" spans="192:201" x14ac:dyDescent="0.3">
      <c r="GJ226" s="321"/>
      <c r="GK226" s="321"/>
      <c r="GL226" s="321"/>
      <c r="GM226" s="321"/>
      <c r="GN226" s="321"/>
      <c r="GO226" s="321"/>
      <c r="GP226" s="321"/>
      <c r="GQ226" s="321"/>
      <c r="GR226" s="321"/>
      <c r="GS226" s="321"/>
    </row>
    <row r="227" spans="192:201" x14ac:dyDescent="0.3">
      <c r="GJ227" s="321"/>
      <c r="GK227" s="321"/>
      <c r="GL227" s="321"/>
      <c r="GM227" s="321"/>
      <c r="GN227" s="321"/>
      <c r="GO227" s="321"/>
      <c r="GP227" s="321"/>
      <c r="GQ227" s="321"/>
      <c r="GR227" s="321"/>
      <c r="GS227" s="321"/>
    </row>
    <row r="228" spans="192:201" x14ac:dyDescent="0.3">
      <c r="GJ228" s="321"/>
      <c r="GK228" s="321"/>
      <c r="GL228" s="321"/>
      <c r="GM228" s="321"/>
      <c r="GN228" s="321"/>
      <c r="GO228" s="321"/>
      <c r="GP228" s="321"/>
      <c r="GQ228" s="321"/>
      <c r="GR228" s="321"/>
      <c r="GS228" s="321"/>
    </row>
    <row r="229" spans="192:201" x14ac:dyDescent="0.3">
      <c r="GJ229" s="321"/>
      <c r="GK229" s="321"/>
      <c r="GL229" s="321"/>
      <c r="GM229" s="321"/>
      <c r="GN229" s="321"/>
      <c r="GO229" s="321"/>
      <c r="GP229" s="321"/>
      <c r="GQ229" s="321"/>
      <c r="GR229" s="321"/>
      <c r="GS229" s="321"/>
    </row>
    <row r="230" spans="192:201" x14ac:dyDescent="0.3">
      <c r="GJ230" s="321"/>
      <c r="GK230" s="321"/>
      <c r="GL230" s="321"/>
      <c r="GM230" s="321"/>
      <c r="GN230" s="321"/>
      <c r="GO230" s="321"/>
      <c r="GP230" s="321"/>
      <c r="GQ230" s="321"/>
      <c r="GR230" s="321"/>
      <c r="GS230" s="321"/>
    </row>
    <row r="231" spans="192:201" x14ac:dyDescent="0.3">
      <c r="GJ231" s="321"/>
      <c r="GK231" s="321"/>
      <c r="GL231" s="321"/>
      <c r="GM231" s="321"/>
      <c r="GN231" s="321"/>
      <c r="GO231" s="321"/>
      <c r="GP231" s="321"/>
      <c r="GQ231" s="321"/>
      <c r="GR231" s="321"/>
      <c r="GS231" s="321"/>
    </row>
    <row r="232" spans="192:201" x14ac:dyDescent="0.3">
      <c r="GJ232" s="321"/>
      <c r="GK232" s="321"/>
      <c r="GL232" s="321"/>
      <c r="GM232" s="321"/>
      <c r="GN232" s="321"/>
      <c r="GO232" s="321"/>
      <c r="GP232" s="321"/>
      <c r="GQ232" s="321"/>
      <c r="GR232" s="321"/>
      <c r="GS232" s="321"/>
    </row>
    <row r="233" spans="192:201" x14ac:dyDescent="0.3">
      <c r="GJ233" s="321"/>
      <c r="GK233" s="321"/>
      <c r="GL233" s="321"/>
      <c r="GM233" s="321"/>
      <c r="GN233" s="321"/>
      <c r="GO233" s="321"/>
      <c r="GP233" s="321"/>
      <c r="GQ233" s="321"/>
      <c r="GR233" s="321"/>
      <c r="GS233" s="321"/>
    </row>
    <row r="234" spans="192:201" x14ac:dyDescent="0.3">
      <c r="GJ234" s="321"/>
      <c r="GK234" s="321"/>
      <c r="GL234" s="321"/>
      <c r="GM234" s="321"/>
      <c r="GN234" s="321"/>
      <c r="GO234" s="321"/>
      <c r="GP234" s="321"/>
      <c r="GQ234" s="321"/>
      <c r="GR234" s="321"/>
      <c r="GS234" s="321"/>
    </row>
    <row r="235" spans="192:201" x14ac:dyDescent="0.3">
      <c r="GJ235" s="321"/>
      <c r="GK235" s="321"/>
      <c r="GL235" s="321"/>
      <c r="GM235" s="321"/>
      <c r="GN235" s="321"/>
      <c r="GO235" s="321"/>
      <c r="GP235" s="321"/>
      <c r="GQ235" s="321"/>
      <c r="GR235" s="321"/>
      <c r="GS235" s="321"/>
    </row>
    <row r="236" spans="192:201" x14ac:dyDescent="0.3">
      <c r="GJ236" s="321"/>
      <c r="GK236" s="321"/>
      <c r="GL236" s="321"/>
      <c r="GM236" s="321"/>
      <c r="GN236" s="321"/>
      <c r="GO236" s="321"/>
      <c r="GP236" s="321"/>
      <c r="GQ236" s="321"/>
      <c r="GR236" s="321"/>
      <c r="GS236" s="321"/>
    </row>
    <row r="237" spans="192:201" x14ac:dyDescent="0.3">
      <c r="GJ237" s="321"/>
      <c r="GK237" s="321"/>
      <c r="GL237" s="321"/>
      <c r="GM237" s="321"/>
      <c r="GN237" s="321"/>
      <c r="GO237" s="321"/>
      <c r="GP237" s="321"/>
      <c r="GQ237" s="321"/>
      <c r="GR237" s="321"/>
      <c r="GS237" s="321"/>
    </row>
    <row r="238" spans="192:201" x14ac:dyDescent="0.3">
      <c r="GJ238" s="321"/>
      <c r="GK238" s="321"/>
      <c r="GL238" s="321"/>
      <c r="GM238" s="321"/>
      <c r="GN238" s="321"/>
      <c r="GO238" s="321"/>
      <c r="GP238" s="321"/>
      <c r="GQ238" s="321"/>
      <c r="GR238" s="321"/>
      <c r="GS238" s="321"/>
    </row>
    <row r="239" spans="192:201" x14ac:dyDescent="0.3">
      <c r="GJ239" s="321"/>
      <c r="GK239" s="321"/>
      <c r="GL239" s="321"/>
      <c r="GM239" s="321"/>
      <c r="GN239" s="321"/>
      <c r="GO239" s="321"/>
      <c r="GP239" s="321"/>
      <c r="GQ239" s="321"/>
      <c r="GR239" s="321"/>
      <c r="GS239" s="321"/>
    </row>
    <row r="240" spans="192:201" x14ac:dyDescent="0.3">
      <c r="GJ240" s="321"/>
      <c r="GK240" s="321"/>
      <c r="GL240" s="321"/>
      <c r="GM240" s="321"/>
      <c r="GN240" s="321"/>
      <c r="GO240" s="321"/>
      <c r="GP240" s="321"/>
      <c r="GQ240" s="321"/>
      <c r="GR240" s="321"/>
      <c r="GS240" s="321"/>
    </row>
    <row r="241" spans="192:201" x14ac:dyDescent="0.3">
      <c r="GJ241" s="321"/>
      <c r="GK241" s="321"/>
      <c r="GL241" s="321"/>
      <c r="GM241" s="321"/>
      <c r="GN241" s="321"/>
      <c r="GO241" s="321"/>
      <c r="GP241" s="321"/>
      <c r="GQ241" s="321"/>
      <c r="GR241" s="321"/>
      <c r="GS241" s="321"/>
    </row>
    <row r="242" spans="192:201" x14ac:dyDescent="0.3">
      <c r="GJ242" s="321"/>
      <c r="GK242" s="321"/>
      <c r="GL242" s="321"/>
      <c r="GM242" s="321"/>
      <c r="GN242" s="321"/>
      <c r="GO242" s="321"/>
      <c r="GP242" s="321"/>
      <c r="GQ242" s="321"/>
      <c r="GR242" s="321"/>
      <c r="GS242" s="321"/>
    </row>
    <row r="243" spans="192:201" x14ac:dyDescent="0.3">
      <c r="GJ243" s="321"/>
      <c r="GK243" s="321"/>
      <c r="GL243" s="321"/>
      <c r="GM243" s="321"/>
      <c r="GN243" s="321"/>
      <c r="GO243" s="321"/>
      <c r="GP243" s="321"/>
      <c r="GQ243" s="321"/>
      <c r="GR243" s="321"/>
      <c r="GS243" s="321"/>
    </row>
    <row r="244" spans="192:201" x14ac:dyDescent="0.3">
      <c r="GJ244" s="321"/>
      <c r="GK244" s="321"/>
      <c r="GL244" s="321"/>
      <c r="GM244" s="321"/>
      <c r="GN244" s="321"/>
      <c r="GO244" s="321"/>
      <c r="GP244" s="321"/>
      <c r="GQ244" s="321"/>
      <c r="GR244" s="321"/>
      <c r="GS244" s="321"/>
    </row>
    <row r="245" spans="192:201" x14ac:dyDescent="0.3">
      <c r="GJ245" s="321"/>
      <c r="GK245" s="321"/>
      <c r="GL245" s="321"/>
      <c r="GM245" s="321"/>
      <c r="GN245" s="321"/>
      <c r="GO245" s="321"/>
      <c r="GP245" s="321"/>
      <c r="GQ245" s="321"/>
      <c r="GR245" s="321"/>
      <c r="GS245" s="321"/>
    </row>
    <row r="246" spans="192:201" x14ac:dyDescent="0.3">
      <c r="GJ246" s="321"/>
      <c r="GK246" s="321"/>
      <c r="GL246" s="321"/>
      <c r="GM246" s="321"/>
      <c r="GN246" s="321"/>
      <c r="GO246" s="321"/>
      <c r="GP246" s="321"/>
      <c r="GQ246" s="321"/>
      <c r="GR246" s="321"/>
      <c r="GS246" s="321"/>
    </row>
    <row r="247" spans="192:201" x14ac:dyDescent="0.3">
      <c r="GJ247" s="321"/>
      <c r="GK247" s="321"/>
      <c r="GL247" s="321"/>
      <c r="GM247" s="321"/>
      <c r="GN247" s="321"/>
      <c r="GO247" s="321"/>
      <c r="GP247" s="321"/>
      <c r="GQ247" s="321"/>
      <c r="GR247" s="321"/>
      <c r="GS247" s="321"/>
    </row>
    <row r="248" spans="192:201" x14ac:dyDescent="0.3">
      <c r="GJ248" s="321"/>
      <c r="GK248" s="321"/>
      <c r="GL248" s="321"/>
      <c r="GM248" s="321"/>
      <c r="GN248" s="321"/>
      <c r="GO248" s="321"/>
      <c r="GP248" s="321"/>
      <c r="GQ248" s="321"/>
      <c r="GR248" s="321"/>
      <c r="GS248" s="321"/>
    </row>
    <row r="249" spans="192:201" x14ac:dyDescent="0.3">
      <c r="GJ249" s="321"/>
      <c r="GK249" s="321"/>
      <c r="GL249" s="321"/>
      <c r="GM249" s="321"/>
      <c r="GN249" s="321"/>
      <c r="GO249" s="321"/>
      <c r="GP249" s="321"/>
      <c r="GQ249" s="321"/>
      <c r="GR249" s="321"/>
      <c r="GS249" s="321"/>
    </row>
    <row r="250" spans="192:201" x14ac:dyDescent="0.3">
      <c r="GJ250" s="321"/>
      <c r="GK250" s="321"/>
      <c r="GL250" s="321"/>
      <c r="GM250" s="321"/>
      <c r="GN250" s="321"/>
      <c r="GO250" s="321"/>
      <c r="GP250" s="321"/>
      <c r="GQ250" s="321"/>
      <c r="GR250" s="321"/>
      <c r="GS250" s="321"/>
    </row>
    <row r="251" spans="192:201" x14ac:dyDescent="0.3">
      <c r="GJ251" s="321"/>
      <c r="GK251" s="321"/>
      <c r="GL251" s="321"/>
      <c r="GM251" s="321"/>
      <c r="GN251" s="321"/>
      <c r="GO251" s="321"/>
      <c r="GP251" s="321"/>
      <c r="GQ251" s="321"/>
      <c r="GR251" s="321"/>
      <c r="GS251" s="321"/>
    </row>
    <row r="252" spans="192:201" x14ac:dyDescent="0.3">
      <c r="GJ252" s="321"/>
      <c r="GK252" s="321"/>
      <c r="GL252" s="321"/>
      <c r="GM252" s="321"/>
      <c r="GN252" s="321"/>
      <c r="GO252" s="321"/>
      <c r="GP252" s="321"/>
      <c r="GQ252" s="321"/>
      <c r="GR252" s="321"/>
      <c r="GS252" s="321"/>
    </row>
    <row r="253" spans="192:201" x14ac:dyDescent="0.3">
      <c r="GJ253" s="321"/>
      <c r="GK253" s="321"/>
      <c r="GL253" s="321"/>
      <c r="GM253" s="321"/>
      <c r="GN253" s="321"/>
      <c r="GO253" s="321"/>
      <c r="GP253" s="321"/>
      <c r="GQ253" s="321"/>
      <c r="GR253" s="321"/>
      <c r="GS253" s="321"/>
    </row>
    <row r="254" spans="192:201" x14ac:dyDescent="0.3">
      <c r="GJ254" s="321"/>
      <c r="GK254" s="321"/>
      <c r="GL254" s="321"/>
      <c r="GM254" s="321"/>
      <c r="GN254" s="321"/>
      <c r="GO254" s="321"/>
      <c r="GP254" s="321"/>
      <c r="GQ254" s="321"/>
      <c r="GR254" s="321"/>
      <c r="GS254" s="321"/>
    </row>
    <row r="255" spans="192:201" x14ac:dyDescent="0.3">
      <c r="GJ255" s="321"/>
      <c r="GK255" s="321"/>
      <c r="GL255" s="321"/>
      <c r="GM255" s="321"/>
      <c r="GN255" s="321"/>
      <c r="GO255" s="321"/>
      <c r="GP255" s="321"/>
      <c r="GQ255" s="321"/>
      <c r="GR255" s="321"/>
      <c r="GS255" s="321"/>
    </row>
    <row r="256" spans="192:201" x14ac:dyDescent="0.3">
      <c r="GJ256" s="321"/>
      <c r="GK256" s="321"/>
      <c r="GL256" s="321"/>
      <c r="GM256" s="321"/>
      <c r="GN256" s="321"/>
      <c r="GO256" s="321"/>
      <c r="GP256" s="321"/>
      <c r="GQ256" s="321"/>
      <c r="GR256" s="321"/>
      <c r="GS256" s="321"/>
    </row>
    <row r="257" spans="192:201" x14ac:dyDescent="0.3">
      <c r="GJ257" s="321"/>
      <c r="GK257" s="321"/>
      <c r="GL257" s="321"/>
      <c r="GM257" s="321"/>
      <c r="GN257" s="321"/>
      <c r="GO257" s="321"/>
      <c r="GP257" s="321"/>
      <c r="GQ257" s="321"/>
      <c r="GR257" s="321"/>
      <c r="GS257" s="321"/>
    </row>
    <row r="258" spans="192:201" x14ac:dyDescent="0.3">
      <c r="GJ258" s="321"/>
      <c r="GK258" s="321"/>
      <c r="GL258" s="321"/>
      <c r="GM258" s="321"/>
      <c r="GN258" s="321"/>
      <c r="GO258" s="321"/>
      <c r="GP258" s="321"/>
      <c r="GQ258" s="321"/>
      <c r="GR258" s="321"/>
      <c r="GS258" s="321"/>
    </row>
    <row r="259" spans="192:201" x14ac:dyDescent="0.3">
      <c r="GJ259" s="321"/>
      <c r="GK259" s="321"/>
      <c r="GL259" s="321"/>
      <c r="GM259" s="321"/>
      <c r="GN259" s="321"/>
      <c r="GO259" s="321"/>
      <c r="GP259" s="321"/>
      <c r="GQ259" s="321"/>
      <c r="GR259" s="321"/>
      <c r="GS259" s="321"/>
    </row>
    <row r="260" spans="192:201" x14ac:dyDescent="0.3">
      <c r="GJ260" s="321"/>
      <c r="GK260" s="321"/>
      <c r="GL260" s="321"/>
      <c r="GM260" s="321"/>
      <c r="GN260" s="321"/>
      <c r="GO260" s="321"/>
      <c r="GP260" s="321"/>
      <c r="GQ260" s="321"/>
      <c r="GR260" s="321"/>
      <c r="GS260" s="321"/>
    </row>
    <row r="261" spans="192:201" x14ac:dyDescent="0.3">
      <c r="GJ261" s="321"/>
      <c r="GK261" s="321"/>
      <c r="GL261" s="321"/>
      <c r="GM261" s="321"/>
      <c r="GN261" s="321"/>
      <c r="GO261" s="321"/>
      <c r="GP261" s="321"/>
      <c r="GQ261" s="321"/>
      <c r="GR261" s="321"/>
      <c r="GS261" s="321"/>
    </row>
    <row r="262" spans="192:201" x14ac:dyDescent="0.3">
      <c r="GJ262" s="321"/>
      <c r="GK262" s="321"/>
      <c r="GL262" s="321"/>
      <c r="GM262" s="321"/>
      <c r="GN262" s="321"/>
      <c r="GO262" s="321"/>
      <c r="GP262" s="321"/>
      <c r="GQ262" s="321"/>
      <c r="GR262" s="321"/>
      <c r="GS262" s="321"/>
    </row>
    <row r="263" spans="192:201" x14ac:dyDescent="0.3">
      <c r="GJ263" s="321"/>
      <c r="GK263" s="321"/>
      <c r="GL263" s="321"/>
      <c r="GM263" s="321"/>
      <c r="GN263" s="321"/>
      <c r="GO263" s="321"/>
      <c r="GP263" s="321"/>
      <c r="GQ263" s="321"/>
      <c r="GR263" s="321"/>
      <c r="GS263" s="321"/>
    </row>
    <row r="264" spans="192:201" x14ac:dyDescent="0.3">
      <c r="GJ264" s="321"/>
      <c r="GK264" s="321"/>
      <c r="GL264" s="321"/>
      <c r="GM264" s="321"/>
      <c r="GN264" s="321"/>
      <c r="GO264" s="321"/>
      <c r="GP264" s="321"/>
      <c r="GQ264" s="321"/>
      <c r="GR264" s="321"/>
      <c r="GS264" s="321"/>
    </row>
    <row r="265" spans="192:201" x14ac:dyDescent="0.3">
      <c r="GJ265" s="321"/>
      <c r="GK265" s="321"/>
      <c r="GL265" s="321"/>
      <c r="GM265" s="321"/>
      <c r="GN265" s="321"/>
      <c r="GO265" s="321"/>
      <c r="GP265" s="321"/>
      <c r="GQ265" s="321"/>
      <c r="GR265" s="321"/>
      <c r="GS265" s="321"/>
    </row>
    <row r="266" spans="192:201" x14ac:dyDescent="0.3">
      <c r="GJ266" s="321"/>
      <c r="GK266" s="321"/>
      <c r="GL266" s="321"/>
      <c r="GM266" s="321"/>
      <c r="GN266" s="321"/>
      <c r="GO266" s="321"/>
      <c r="GP266" s="321"/>
      <c r="GQ266" s="321"/>
      <c r="GR266" s="321"/>
      <c r="GS266" s="321"/>
    </row>
    <row r="267" spans="192:201" x14ac:dyDescent="0.3">
      <c r="GJ267" s="321"/>
      <c r="GK267" s="321"/>
      <c r="GL267" s="321"/>
      <c r="GM267" s="321"/>
      <c r="GN267" s="321"/>
      <c r="GO267" s="321"/>
      <c r="GP267" s="321"/>
      <c r="GQ267" s="321"/>
      <c r="GR267" s="321"/>
      <c r="GS267" s="321"/>
    </row>
    <row r="268" spans="192:201" x14ac:dyDescent="0.3">
      <c r="GJ268" s="321"/>
      <c r="GK268" s="321"/>
      <c r="GL268" s="321"/>
      <c r="GM268" s="321"/>
      <c r="GN268" s="321"/>
      <c r="GO268" s="321"/>
      <c r="GP268" s="321"/>
      <c r="GQ268" s="321"/>
      <c r="GR268" s="321"/>
      <c r="GS268" s="321"/>
    </row>
    <row r="269" spans="192:201" x14ac:dyDescent="0.3">
      <c r="GJ269" s="321"/>
      <c r="GK269" s="321"/>
      <c r="GL269" s="321"/>
      <c r="GM269" s="321"/>
      <c r="GN269" s="321"/>
      <c r="GO269" s="321"/>
      <c r="GP269" s="321"/>
      <c r="GQ269" s="321"/>
      <c r="GR269" s="321"/>
      <c r="GS269" s="321"/>
    </row>
    <row r="270" spans="192:201" x14ac:dyDescent="0.3">
      <c r="GJ270" s="321"/>
      <c r="GK270" s="321"/>
      <c r="GL270" s="321"/>
      <c r="GM270" s="321"/>
      <c r="GN270" s="321"/>
      <c r="GO270" s="321"/>
      <c r="GP270" s="321"/>
      <c r="GQ270" s="321"/>
      <c r="GR270" s="321"/>
      <c r="GS270" s="321"/>
    </row>
    <row r="271" spans="192:201" x14ac:dyDescent="0.3">
      <c r="GJ271" s="321"/>
      <c r="GK271" s="321"/>
      <c r="GL271" s="321"/>
      <c r="GM271" s="321"/>
      <c r="GN271" s="321"/>
      <c r="GO271" s="321"/>
      <c r="GP271" s="321"/>
      <c r="GQ271" s="321"/>
      <c r="GR271" s="321"/>
      <c r="GS271" s="321"/>
    </row>
    <row r="272" spans="192:201" x14ac:dyDescent="0.3">
      <c r="GJ272" s="321"/>
      <c r="GK272" s="321"/>
      <c r="GL272" s="321"/>
      <c r="GM272" s="321"/>
      <c r="GN272" s="321"/>
      <c r="GO272" s="321"/>
      <c r="GP272" s="321"/>
      <c r="GQ272" s="321"/>
      <c r="GR272" s="321"/>
      <c r="GS272" s="321"/>
    </row>
    <row r="273" spans="192:201" x14ac:dyDescent="0.3">
      <c r="GJ273" s="321"/>
      <c r="GK273" s="321"/>
      <c r="GL273" s="321"/>
      <c r="GM273" s="321"/>
      <c r="GN273" s="321"/>
      <c r="GO273" s="321"/>
      <c r="GP273" s="321"/>
      <c r="GQ273" s="321"/>
      <c r="GR273" s="321"/>
      <c r="GS273" s="321"/>
    </row>
    <row r="274" spans="192:201" x14ac:dyDescent="0.3">
      <c r="GJ274" s="321"/>
      <c r="GK274" s="321"/>
      <c r="GL274" s="321"/>
      <c r="GM274" s="321"/>
      <c r="GN274" s="321"/>
      <c r="GO274" s="321"/>
      <c r="GP274" s="321"/>
      <c r="GQ274" s="321"/>
      <c r="GR274" s="321"/>
      <c r="GS274" s="321"/>
    </row>
    <row r="275" spans="192:201" x14ac:dyDescent="0.3">
      <c r="GJ275" s="321"/>
      <c r="GK275" s="321"/>
      <c r="GL275" s="321"/>
      <c r="GM275" s="321"/>
      <c r="GN275" s="321"/>
      <c r="GO275" s="321"/>
      <c r="GP275" s="321"/>
      <c r="GQ275" s="321"/>
      <c r="GR275" s="321"/>
      <c r="GS275" s="321"/>
    </row>
    <row r="276" spans="192:201" x14ac:dyDescent="0.3">
      <c r="GJ276" s="321"/>
      <c r="GK276" s="321"/>
      <c r="GL276" s="321"/>
      <c r="GM276" s="321"/>
      <c r="GN276" s="321"/>
      <c r="GO276" s="321"/>
      <c r="GP276" s="321"/>
      <c r="GQ276" s="321"/>
      <c r="GR276" s="321"/>
      <c r="GS276" s="321"/>
    </row>
    <row r="277" spans="192:201" x14ac:dyDescent="0.3">
      <c r="GJ277" s="321"/>
      <c r="GK277" s="321"/>
      <c r="GL277" s="321"/>
      <c r="GM277" s="321"/>
      <c r="GN277" s="321"/>
      <c r="GO277" s="321"/>
      <c r="GP277" s="321"/>
      <c r="GQ277" s="321"/>
      <c r="GR277" s="321"/>
      <c r="GS277" s="321"/>
    </row>
    <row r="278" spans="192:201" x14ac:dyDescent="0.3">
      <c r="GJ278" s="321"/>
      <c r="GK278" s="321"/>
      <c r="GL278" s="321"/>
      <c r="GM278" s="321"/>
      <c r="GN278" s="321"/>
      <c r="GO278" s="321"/>
      <c r="GP278" s="321"/>
      <c r="GQ278" s="321"/>
      <c r="GR278" s="321"/>
      <c r="GS278" s="321"/>
    </row>
    <row r="279" spans="192:201" x14ac:dyDescent="0.3">
      <c r="GJ279" s="321"/>
      <c r="GK279" s="321"/>
      <c r="GL279" s="321"/>
      <c r="GM279" s="321"/>
      <c r="GN279" s="321"/>
      <c r="GO279" s="321"/>
      <c r="GP279" s="321"/>
      <c r="GQ279" s="321"/>
      <c r="GR279" s="321"/>
      <c r="GS279" s="321"/>
    </row>
    <row r="280" spans="192:201" x14ac:dyDescent="0.3">
      <c r="GJ280" s="321"/>
      <c r="GK280" s="321"/>
      <c r="GL280" s="321"/>
      <c r="GM280" s="321"/>
      <c r="GN280" s="321"/>
      <c r="GO280" s="321"/>
      <c r="GP280" s="321"/>
      <c r="GQ280" s="321"/>
      <c r="GR280" s="321"/>
      <c r="GS280" s="321"/>
    </row>
    <row r="281" spans="192:201" x14ac:dyDescent="0.3">
      <c r="GJ281" s="321"/>
      <c r="GK281" s="321"/>
      <c r="GL281" s="321"/>
      <c r="GM281" s="321"/>
      <c r="GN281" s="321"/>
      <c r="GO281" s="321"/>
      <c r="GP281" s="321"/>
      <c r="GQ281" s="321"/>
      <c r="GR281" s="321"/>
      <c r="GS281" s="321"/>
    </row>
    <row r="282" spans="192:201" x14ac:dyDescent="0.3">
      <c r="GJ282" s="321"/>
      <c r="GK282" s="321"/>
      <c r="GL282" s="321"/>
      <c r="GM282" s="321"/>
      <c r="GN282" s="321"/>
      <c r="GO282" s="321"/>
      <c r="GP282" s="321"/>
      <c r="GQ282" s="321"/>
      <c r="GR282" s="321"/>
      <c r="GS282" s="321"/>
    </row>
    <row r="283" spans="192:201" x14ac:dyDescent="0.3">
      <c r="GJ283" s="321"/>
      <c r="GK283" s="321"/>
      <c r="GL283" s="321"/>
      <c r="GM283" s="321"/>
      <c r="GN283" s="321"/>
      <c r="GO283" s="321"/>
      <c r="GP283" s="321"/>
      <c r="GQ283" s="321"/>
      <c r="GR283" s="321"/>
      <c r="GS283" s="321"/>
    </row>
    <row r="284" spans="192:201" x14ac:dyDescent="0.3">
      <c r="GJ284" s="321"/>
      <c r="GK284" s="321"/>
      <c r="GL284" s="321"/>
      <c r="GM284" s="321"/>
      <c r="GN284" s="321"/>
      <c r="GO284" s="321"/>
      <c r="GP284" s="321"/>
      <c r="GQ284" s="321"/>
      <c r="GR284" s="321"/>
      <c r="GS284" s="321"/>
    </row>
    <row r="285" spans="192:201" x14ac:dyDescent="0.3">
      <c r="GJ285" s="321"/>
      <c r="GK285" s="321"/>
      <c r="GL285" s="321"/>
      <c r="GM285" s="321"/>
      <c r="GN285" s="321"/>
      <c r="GO285" s="321"/>
      <c r="GP285" s="321"/>
      <c r="GQ285" s="321"/>
      <c r="GR285" s="321"/>
      <c r="GS285" s="321"/>
    </row>
    <row r="286" spans="192:201" x14ac:dyDescent="0.3">
      <c r="GJ286" s="321"/>
      <c r="GK286" s="321"/>
      <c r="GL286" s="321"/>
      <c r="GM286" s="321"/>
      <c r="GN286" s="321"/>
      <c r="GO286" s="321"/>
      <c r="GP286" s="321"/>
      <c r="GQ286" s="321"/>
      <c r="GR286" s="321"/>
      <c r="GS286" s="321"/>
    </row>
    <row r="287" spans="192:201" x14ac:dyDescent="0.3">
      <c r="GJ287" s="321"/>
      <c r="GK287" s="321"/>
      <c r="GL287" s="321"/>
      <c r="GM287" s="321"/>
      <c r="GN287" s="321"/>
      <c r="GO287" s="321"/>
      <c r="GP287" s="321"/>
      <c r="GQ287" s="321"/>
      <c r="GR287" s="321"/>
      <c r="GS287" s="321"/>
    </row>
    <row r="288" spans="192:201" x14ac:dyDescent="0.3">
      <c r="GJ288" s="321"/>
      <c r="GK288" s="321"/>
      <c r="GL288" s="321"/>
      <c r="GM288" s="321"/>
      <c r="GN288" s="321"/>
      <c r="GO288" s="321"/>
      <c r="GP288" s="321"/>
      <c r="GQ288" s="321"/>
      <c r="GR288" s="321"/>
      <c r="GS288" s="321"/>
    </row>
    <row r="289" spans="192:201" x14ac:dyDescent="0.3">
      <c r="GJ289" s="321"/>
      <c r="GK289" s="321"/>
      <c r="GL289" s="321"/>
      <c r="GM289" s="321"/>
      <c r="GN289" s="321"/>
      <c r="GO289" s="321"/>
      <c r="GP289" s="321"/>
      <c r="GQ289" s="321"/>
      <c r="GR289" s="321"/>
      <c r="GS289" s="321"/>
    </row>
    <row r="290" spans="192:201" x14ac:dyDescent="0.3">
      <c r="GJ290" s="321"/>
      <c r="GK290" s="321"/>
      <c r="GL290" s="321"/>
      <c r="GM290" s="321"/>
      <c r="GN290" s="321"/>
      <c r="GO290" s="321"/>
      <c r="GP290" s="321"/>
      <c r="GQ290" s="321"/>
      <c r="GR290" s="321"/>
      <c r="GS290" s="321"/>
    </row>
    <row r="291" spans="192:201" x14ac:dyDescent="0.3">
      <c r="GJ291" s="321"/>
      <c r="GK291" s="321"/>
      <c r="GL291" s="321"/>
      <c r="GM291" s="321"/>
      <c r="GN291" s="321"/>
      <c r="GO291" s="321"/>
      <c r="GP291" s="321"/>
      <c r="GQ291" s="321"/>
      <c r="GR291" s="321"/>
      <c r="GS291" s="321"/>
    </row>
    <row r="292" spans="192:201" x14ac:dyDescent="0.3">
      <c r="GJ292" s="321"/>
      <c r="GK292" s="321"/>
      <c r="GL292" s="321"/>
      <c r="GM292" s="321"/>
      <c r="GN292" s="321"/>
      <c r="GO292" s="321"/>
      <c r="GP292" s="321"/>
      <c r="GQ292" s="321"/>
      <c r="GR292" s="321"/>
      <c r="GS292" s="321"/>
    </row>
    <row r="293" spans="192:201" x14ac:dyDescent="0.3">
      <c r="GJ293" s="321"/>
      <c r="GK293" s="321"/>
      <c r="GL293" s="321"/>
      <c r="GM293" s="321"/>
      <c r="GN293" s="321"/>
      <c r="GO293" s="321"/>
      <c r="GP293" s="321"/>
      <c r="GQ293" s="321"/>
      <c r="GR293" s="321"/>
      <c r="GS293" s="321"/>
    </row>
    <row r="294" spans="192:201" x14ac:dyDescent="0.3">
      <c r="GJ294" s="321"/>
      <c r="GK294" s="321"/>
      <c r="GL294" s="321"/>
      <c r="GM294" s="321"/>
      <c r="GN294" s="321"/>
      <c r="GO294" s="321"/>
      <c r="GP294" s="321"/>
      <c r="GQ294" s="321"/>
      <c r="GR294" s="321"/>
      <c r="GS294" s="321"/>
    </row>
    <row r="295" spans="192:201" x14ac:dyDescent="0.3">
      <c r="GJ295" s="321"/>
      <c r="GK295" s="321"/>
      <c r="GL295" s="321"/>
      <c r="GM295" s="321"/>
      <c r="GN295" s="321"/>
      <c r="GO295" s="321"/>
      <c r="GP295" s="321"/>
      <c r="GQ295" s="321"/>
      <c r="GR295" s="321"/>
      <c r="GS295" s="321"/>
    </row>
    <row r="296" spans="192:201" x14ac:dyDescent="0.3">
      <c r="GJ296" s="321"/>
      <c r="GK296" s="321"/>
      <c r="GL296" s="321"/>
      <c r="GM296" s="321"/>
      <c r="GN296" s="321"/>
      <c r="GO296" s="321"/>
      <c r="GP296" s="321"/>
      <c r="GQ296" s="321"/>
      <c r="GR296" s="321"/>
      <c r="GS296" s="321"/>
    </row>
    <row r="297" spans="192:201" x14ac:dyDescent="0.3">
      <c r="GJ297" s="321"/>
      <c r="GK297" s="321"/>
      <c r="GL297" s="321"/>
      <c r="GM297" s="321"/>
      <c r="GN297" s="321"/>
      <c r="GO297" s="321"/>
      <c r="GP297" s="321"/>
      <c r="GQ297" s="321"/>
      <c r="GR297" s="321"/>
      <c r="GS297" s="321"/>
    </row>
    <row r="298" spans="192:201" x14ac:dyDescent="0.3">
      <c r="GJ298" s="321"/>
      <c r="GK298" s="321"/>
      <c r="GL298" s="321"/>
      <c r="GM298" s="321"/>
      <c r="GN298" s="321"/>
      <c r="GO298" s="321"/>
      <c r="GP298" s="321"/>
      <c r="GQ298" s="321"/>
      <c r="GR298" s="321"/>
      <c r="GS298" s="321"/>
    </row>
    <row r="299" spans="192:201" x14ac:dyDescent="0.3">
      <c r="GJ299" s="321"/>
      <c r="GK299" s="321"/>
      <c r="GL299" s="321"/>
      <c r="GM299" s="321"/>
      <c r="GN299" s="321"/>
      <c r="GO299" s="321"/>
      <c r="GP299" s="321"/>
      <c r="GQ299" s="321"/>
      <c r="GR299" s="321"/>
      <c r="GS299" s="321"/>
    </row>
    <row r="300" spans="192:201" x14ac:dyDescent="0.3">
      <c r="GJ300" s="321"/>
      <c r="GK300" s="321"/>
      <c r="GL300" s="321"/>
      <c r="GM300" s="321"/>
      <c r="GN300" s="321"/>
      <c r="GO300" s="321"/>
      <c r="GP300" s="321"/>
      <c r="GQ300" s="321"/>
      <c r="GR300" s="321"/>
      <c r="GS300" s="321"/>
    </row>
    <row r="301" spans="192:201" x14ac:dyDescent="0.3">
      <c r="GJ301" s="321"/>
      <c r="GK301" s="321"/>
      <c r="GL301" s="321"/>
      <c r="GM301" s="321"/>
      <c r="GN301" s="321"/>
      <c r="GO301" s="321"/>
      <c r="GP301" s="321"/>
      <c r="GQ301" s="321"/>
      <c r="GR301" s="321"/>
      <c r="GS301" s="321"/>
    </row>
    <row r="302" spans="192:201" x14ac:dyDescent="0.3">
      <c r="GJ302" s="321"/>
      <c r="GK302" s="321"/>
      <c r="GL302" s="321"/>
      <c r="GM302" s="321"/>
      <c r="GN302" s="321"/>
      <c r="GO302" s="321"/>
      <c r="GP302" s="321"/>
      <c r="GQ302" s="321"/>
      <c r="GR302" s="321"/>
      <c r="GS302" s="321"/>
    </row>
    <row r="303" spans="192:201" x14ac:dyDescent="0.3">
      <c r="GJ303" s="321"/>
      <c r="GK303" s="321"/>
      <c r="GL303" s="321"/>
      <c r="GM303" s="321"/>
      <c r="GN303" s="321"/>
      <c r="GO303" s="321"/>
      <c r="GP303" s="321"/>
      <c r="GQ303" s="321"/>
      <c r="GR303" s="321"/>
      <c r="GS303" s="321"/>
    </row>
    <row r="304" spans="192:201" x14ac:dyDescent="0.3">
      <c r="GJ304" s="321"/>
      <c r="GK304" s="321"/>
      <c r="GL304" s="321"/>
      <c r="GM304" s="321"/>
      <c r="GN304" s="321"/>
      <c r="GO304" s="321"/>
      <c r="GP304" s="321"/>
      <c r="GQ304" s="321"/>
      <c r="GR304" s="321"/>
      <c r="GS304" s="321"/>
    </row>
    <row r="305" spans="192:201" x14ac:dyDescent="0.3">
      <c r="GJ305" s="321"/>
      <c r="GK305" s="321"/>
      <c r="GL305" s="321"/>
      <c r="GM305" s="321"/>
      <c r="GN305" s="321"/>
      <c r="GO305" s="321"/>
      <c r="GP305" s="321"/>
      <c r="GQ305" s="321"/>
      <c r="GR305" s="321"/>
      <c r="GS305" s="321"/>
    </row>
    <row r="306" spans="192:201" x14ac:dyDescent="0.3">
      <c r="GJ306" s="321"/>
      <c r="GK306" s="321"/>
      <c r="GL306" s="321"/>
      <c r="GM306" s="321"/>
      <c r="GN306" s="321"/>
      <c r="GO306" s="321"/>
      <c r="GP306" s="321"/>
      <c r="GQ306" s="321"/>
      <c r="GR306" s="321"/>
      <c r="GS306" s="321"/>
    </row>
    <row r="307" spans="192:201" x14ac:dyDescent="0.3">
      <c r="GJ307" s="321"/>
      <c r="GK307" s="321"/>
      <c r="GL307" s="321"/>
      <c r="GM307" s="321"/>
      <c r="GN307" s="321"/>
      <c r="GO307" s="321"/>
      <c r="GP307" s="321"/>
      <c r="GQ307" s="321"/>
      <c r="GR307" s="321"/>
      <c r="GS307" s="321"/>
    </row>
    <row r="308" spans="192:201" x14ac:dyDescent="0.3">
      <c r="GJ308" s="321"/>
      <c r="GK308" s="321"/>
      <c r="GL308" s="321"/>
      <c r="GM308" s="321"/>
      <c r="GN308" s="321"/>
      <c r="GO308" s="321"/>
      <c r="GP308" s="321"/>
      <c r="GQ308" s="321"/>
      <c r="GR308" s="321"/>
      <c r="GS308" s="321"/>
    </row>
    <row r="309" spans="192:201" x14ac:dyDescent="0.3">
      <c r="GJ309" s="321"/>
      <c r="GK309" s="321"/>
      <c r="GL309" s="321"/>
      <c r="GM309" s="321"/>
      <c r="GN309" s="321"/>
      <c r="GO309" s="321"/>
      <c r="GP309" s="321"/>
      <c r="GQ309" s="321"/>
      <c r="GR309" s="321"/>
      <c r="GS309" s="321"/>
    </row>
    <row r="310" spans="192:201" x14ac:dyDescent="0.3">
      <c r="GJ310" s="321"/>
      <c r="GK310" s="321"/>
      <c r="GL310" s="321"/>
      <c r="GM310" s="321"/>
      <c r="GN310" s="321"/>
      <c r="GO310" s="321"/>
      <c r="GP310" s="321"/>
      <c r="GQ310" s="321"/>
      <c r="GR310" s="321"/>
      <c r="GS310" s="321"/>
    </row>
    <row r="311" spans="192:201" x14ac:dyDescent="0.3">
      <c r="GJ311" s="321"/>
      <c r="GK311" s="321"/>
      <c r="GL311" s="321"/>
      <c r="GM311" s="321"/>
      <c r="GN311" s="321"/>
      <c r="GO311" s="321"/>
      <c r="GP311" s="321"/>
      <c r="GQ311" s="321"/>
      <c r="GR311" s="321"/>
      <c r="GS311" s="321"/>
    </row>
    <row r="312" spans="192:201" x14ac:dyDescent="0.3">
      <c r="GJ312" s="321"/>
      <c r="GK312" s="321"/>
      <c r="GL312" s="321"/>
      <c r="GM312" s="321"/>
      <c r="GN312" s="321"/>
      <c r="GO312" s="321"/>
      <c r="GP312" s="321"/>
      <c r="GQ312" s="321"/>
      <c r="GR312" s="321"/>
      <c r="GS312" s="321"/>
    </row>
    <row r="313" spans="192:201" x14ac:dyDescent="0.3">
      <c r="GJ313" s="321"/>
      <c r="GK313" s="321"/>
      <c r="GL313" s="321"/>
      <c r="GM313" s="321"/>
      <c r="GN313" s="321"/>
      <c r="GO313" s="321"/>
      <c r="GP313" s="321"/>
      <c r="GQ313" s="321"/>
      <c r="GR313" s="321"/>
      <c r="GS313" s="321"/>
    </row>
    <row r="314" spans="192:201" x14ac:dyDescent="0.3">
      <c r="GJ314" s="321"/>
      <c r="GK314" s="321"/>
      <c r="GL314" s="321"/>
      <c r="GM314" s="321"/>
      <c r="GN314" s="321"/>
      <c r="GO314" s="321"/>
      <c r="GP314" s="321"/>
      <c r="GQ314" s="321"/>
      <c r="GR314" s="321"/>
      <c r="GS314" s="321"/>
    </row>
    <row r="315" spans="192:201" x14ac:dyDescent="0.3">
      <c r="GJ315" s="321"/>
      <c r="GK315" s="321"/>
      <c r="GL315" s="321"/>
      <c r="GM315" s="321"/>
      <c r="GN315" s="321"/>
      <c r="GO315" s="321"/>
      <c r="GP315" s="321"/>
      <c r="GQ315" s="321"/>
      <c r="GR315" s="321"/>
      <c r="GS315" s="321"/>
    </row>
    <row r="316" spans="192:201" x14ac:dyDescent="0.3">
      <c r="GJ316" s="321"/>
      <c r="GK316" s="321"/>
      <c r="GL316" s="321"/>
      <c r="GM316" s="321"/>
      <c r="GN316" s="321"/>
      <c r="GO316" s="321"/>
      <c r="GP316" s="321"/>
      <c r="GQ316" s="321"/>
      <c r="GR316" s="321"/>
      <c r="GS316" s="321"/>
    </row>
    <row r="317" spans="192:201" x14ac:dyDescent="0.3">
      <c r="GJ317" s="321"/>
      <c r="GK317" s="321"/>
      <c r="GL317" s="321"/>
      <c r="GM317" s="321"/>
      <c r="GN317" s="321"/>
      <c r="GO317" s="321"/>
      <c r="GP317" s="321"/>
      <c r="GQ317" s="321"/>
      <c r="GR317" s="321"/>
      <c r="GS317" s="321"/>
    </row>
    <row r="318" spans="192:201" x14ac:dyDescent="0.3">
      <c r="GJ318" s="321"/>
      <c r="GK318" s="321"/>
      <c r="GL318" s="321"/>
      <c r="GM318" s="321"/>
      <c r="GN318" s="321"/>
      <c r="GO318" s="321"/>
      <c r="GP318" s="321"/>
      <c r="GQ318" s="321"/>
      <c r="GR318" s="321"/>
      <c r="GS318" s="321"/>
    </row>
    <row r="319" spans="192:201" x14ac:dyDescent="0.3">
      <c r="GJ319" s="321"/>
      <c r="GK319" s="321"/>
      <c r="GL319" s="321"/>
      <c r="GM319" s="321"/>
      <c r="GN319" s="321"/>
      <c r="GO319" s="321"/>
      <c r="GP319" s="321"/>
      <c r="GQ319" s="321"/>
      <c r="GR319" s="321"/>
      <c r="GS319" s="321"/>
    </row>
    <row r="320" spans="192:201" x14ac:dyDescent="0.3">
      <c r="GJ320" s="321"/>
      <c r="GK320" s="321"/>
      <c r="GL320" s="321"/>
      <c r="GM320" s="321"/>
      <c r="GN320" s="321"/>
      <c r="GO320" s="321"/>
      <c r="GP320" s="321"/>
      <c r="GQ320" s="321"/>
      <c r="GR320" s="321"/>
      <c r="GS320" s="321"/>
    </row>
    <row r="321" spans="192:201" x14ac:dyDescent="0.3">
      <c r="GJ321" s="321"/>
      <c r="GK321" s="321"/>
      <c r="GL321" s="321"/>
      <c r="GM321" s="321"/>
      <c r="GN321" s="321"/>
      <c r="GO321" s="321"/>
      <c r="GP321" s="321"/>
      <c r="GQ321" s="321"/>
      <c r="GR321" s="321"/>
      <c r="GS321" s="321"/>
    </row>
    <row r="322" spans="192:201" x14ac:dyDescent="0.3">
      <c r="GJ322" s="321"/>
      <c r="GK322" s="321"/>
      <c r="GL322" s="321"/>
      <c r="GM322" s="321"/>
      <c r="GN322" s="321"/>
      <c r="GO322" s="321"/>
      <c r="GP322" s="321"/>
      <c r="GQ322" s="321"/>
      <c r="GR322" s="321"/>
      <c r="GS322" s="321"/>
    </row>
    <row r="323" spans="192:201" x14ac:dyDescent="0.3">
      <c r="GJ323" s="321"/>
      <c r="GK323" s="321"/>
      <c r="GL323" s="321"/>
      <c r="GM323" s="321"/>
      <c r="GN323" s="321"/>
      <c r="GO323" s="321"/>
      <c r="GP323" s="321"/>
      <c r="GQ323" s="321"/>
      <c r="GR323" s="321"/>
      <c r="GS323" s="321"/>
    </row>
    <row r="324" spans="192:201" x14ac:dyDescent="0.3">
      <c r="GJ324" s="321"/>
      <c r="GK324" s="321"/>
      <c r="GL324" s="321"/>
      <c r="GM324" s="321"/>
      <c r="GN324" s="321"/>
      <c r="GO324" s="321"/>
      <c r="GP324" s="321"/>
      <c r="GQ324" s="321"/>
      <c r="GR324" s="321"/>
      <c r="GS324" s="321"/>
    </row>
    <row r="325" spans="192:201" x14ac:dyDescent="0.3">
      <c r="GJ325" s="321"/>
      <c r="GK325" s="321"/>
      <c r="GL325" s="321"/>
      <c r="GM325" s="321"/>
      <c r="GN325" s="321"/>
      <c r="GO325" s="321"/>
      <c r="GP325" s="321"/>
      <c r="GQ325" s="321"/>
      <c r="GR325" s="321"/>
      <c r="GS325" s="321"/>
    </row>
    <row r="326" spans="192:201" x14ac:dyDescent="0.3">
      <c r="GJ326" s="321"/>
      <c r="GK326" s="321"/>
      <c r="GL326" s="321"/>
      <c r="GM326" s="321"/>
      <c r="GN326" s="321"/>
      <c r="GO326" s="321"/>
      <c r="GP326" s="321"/>
      <c r="GQ326" s="321"/>
      <c r="GR326" s="321"/>
      <c r="GS326" s="321"/>
    </row>
    <row r="327" spans="192:201" x14ac:dyDescent="0.3">
      <c r="GJ327" s="321"/>
      <c r="GK327" s="321"/>
      <c r="GL327" s="321"/>
      <c r="GM327" s="321"/>
      <c r="GN327" s="321"/>
      <c r="GO327" s="321"/>
      <c r="GP327" s="321"/>
      <c r="GQ327" s="321"/>
      <c r="GR327" s="321"/>
      <c r="GS327" s="321"/>
    </row>
    <row r="328" spans="192:201" x14ac:dyDescent="0.3">
      <c r="GJ328" s="321"/>
      <c r="GK328" s="321"/>
      <c r="GL328" s="321"/>
      <c r="GM328" s="321"/>
      <c r="GN328" s="321"/>
      <c r="GO328" s="321"/>
      <c r="GP328" s="321"/>
      <c r="GQ328" s="321"/>
      <c r="GR328" s="321"/>
      <c r="GS328" s="321"/>
    </row>
    <row r="329" spans="192:201" x14ac:dyDescent="0.3">
      <c r="GJ329" s="321"/>
      <c r="GK329" s="321"/>
      <c r="GL329" s="321"/>
      <c r="GM329" s="321"/>
      <c r="GN329" s="321"/>
      <c r="GO329" s="321"/>
      <c r="GP329" s="321"/>
      <c r="GQ329" s="321"/>
      <c r="GR329" s="321"/>
      <c r="GS329" s="321"/>
    </row>
    <row r="330" spans="192:201" x14ac:dyDescent="0.3">
      <c r="GJ330" s="321"/>
      <c r="GK330" s="321"/>
      <c r="GL330" s="321"/>
      <c r="GM330" s="321"/>
      <c r="GN330" s="321"/>
      <c r="GO330" s="321"/>
      <c r="GP330" s="321"/>
      <c r="GQ330" s="321"/>
      <c r="GR330" s="321"/>
      <c r="GS330" s="321"/>
    </row>
    <row r="331" spans="192:201" x14ac:dyDescent="0.3">
      <c r="GJ331" s="321"/>
      <c r="GK331" s="321"/>
      <c r="GL331" s="321"/>
      <c r="GM331" s="321"/>
      <c r="GN331" s="321"/>
      <c r="GO331" s="321"/>
      <c r="GP331" s="321"/>
      <c r="GQ331" s="321"/>
      <c r="GR331" s="321"/>
      <c r="GS331" s="321"/>
    </row>
    <row r="332" spans="192:201" x14ac:dyDescent="0.3">
      <c r="GJ332" s="321"/>
      <c r="GK332" s="321"/>
      <c r="GL332" s="321"/>
      <c r="GM332" s="321"/>
      <c r="GN332" s="321"/>
      <c r="GO332" s="321"/>
      <c r="GP332" s="321"/>
      <c r="GQ332" s="321"/>
      <c r="GR332" s="321"/>
      <c r="GS332" s="321"/>
    </row>
    <row r="333" spans="192:201" x14ac:dyDescent="0.3">
      <c r="GJ333" s="321"/>
      <c r="GK333" s="321"/>
      <c r="GL333" s="321"/>
      <c r="GM333" s="321"/>
      <c r="GN333" s="321"/>
      <c r="GO333" s="321"/>
      <c r="GP333" s="321"/>
      <c r="GQ333" s="321"/>
      <c r="GR333" s="321"/>
      <c r="GS333" s="321"/>
    </row>
    <row r="334" spans="192:201" x14ac:dyDescent="0.3">
      <c r="GJ334" s="321"/>
      <c r="GK334" s="321"/>
      <c r="GL334" s="321"/>
      <c r="GM334" s="321"/>
      <c r="GN334" s="321"/>
      <c r="GO334" s="321"/>
      <c r="GP334" s="321"/>
      <c r="GQ334" s="321"/>
      <c r="GR334" s="321"/>
      <c r="GS334" s="321"/>
    </row>
    <row r="335" spans="192:201" x14ac:dyDescent="0.3">
      <c r="GJ335" s="321"/>
      <c r="GK335" s="321"/>
      <c r="GL335" s="321"/>
      <c r="GM335" s="321"/>
      <c r="GN335" s="321"/>
      <c r="GO335" s="321"/>
      <c r="GP335" s="321"/>
      <c r="GQ335" s="321"/>
      <c r="GR335" s="321"/>
      <c r="GS335" s="321"/>
    </row>
    <row r="336" spans="192:201" x14ac:dyDescent="0.3">
      <c r="GJ336" s="321"/>
      <c r="GK336" s="321"/>
      <c r="GL336" s="321"/>
      <c r="GM336" s="321"/>
      <c r="GN336" s="321"/>
      <c r="GO336" s="321"/>
      <c r="GP336" s="321"/>
      <c r="GQ336" s="321"/>
      <c r="GR336" s="321"/>
      <c r="GS336" s="321"/>
    </row>
    <row r="337" spans="192:201" x14ac:dyDescent="0.3">
      <c r="GJ337" s="321"/>
      <c r="GK337" s="321"/>
      <c r="GL337" s="321"/>
      <c r="GM337" s="321"/>
      <c r="GN337" s="321"/>
      <c r="GO337" s="321"/>
      <c r="GP337" s="321"/>
      <c r="GQ337" s="321"/>
      <c r="GR337" s="321"/>
      <c r="GS337" s="321"/>
    </row>
    <row r="338" spans="192:201" x14ac:dyDescent="0.3">
      <c r="GJ338" s="321"/>
      <c r="GK338" s="321"/>
      <c r="GL338" s="321"/>
      <c r="GM338" s="321"/>
      <c r="GN338" s="321"/>
      <c r="GO338" s="321"/>
      <c r="GP338" s="321"/>
      <c r="GQ338" s="321"/>
      <c r="GR338" s="321"/>
      <c r="GS338" s="321"/>
    </row>
    <row r="339" spans="192:201" x14ac:dyDescent="0.3">
      <c r="GJ339" s="321"/>
      <c r="GK339" s="321"/>
      <c r="GL339" s="321"/>
      <c r="GM339" s="321"/>
      <c r="GN339" s="321"/>
      <c r="GO339" s="321"/>
      <c r="GP339" s="321"/>
      <c r="GQ339" s="321"/>
      <c r="GR339" s="321"/>
      <c r="GS339" s="321"/>
    </row>
    <row r="340" spans="192:201" x14ac:dyDescent="0.3">
      <c r="GJ340" s="321"/>
      <c r="GK340" s="321"/>
      <c r="GL340" s="321"/>
      <c r="GM340" s="321"/>
      <c r="GN340" s="321"/>
      <c r="GO340" s="321"/>
      <c r="GP340" s="321"/>
      <c r="GQ340" s="321"/>
      <c r="GR340" s="321"/>
      <c r="GS340" s="321"/>
    </row>
    <row r="341" spans="192:201" x14ac:dyDescent="0.3">
      <c r="GJ341" s="321"/>
      <c r="GK341" s="321"/>
      <c r="GL341" s="321"/>
      <c r="GM341" s="321"/>
      <c r="GN341" s="321"/>
      <c r="GO341" s="321"/>
      <c r="GP341" s="321"/>
      <c r="GQ341" s="321"/>
      <c r="GR341" s="321"/>
      <c r="GS341" s="321"/>
    </row>
    <row r="342" spans="192:201" x14ac:dyDescent="0.3">
      <c r="GJ342" s="321"/>
      <c r="GK342" s="321"/>
      <c r="GL342" s="321"/>
      <c r="GM342" s="321"/>
      <c r="GN342" s="321"/>
      <c r="GO342" s="321"/>
      <c r="GP342" s="321"/>
      <c r="GQ342" s="321"/>
      <c r="GR342" s="321"/>
      <c r="GS342" s="321"/>
    </row>
    <row r="343" spans="192:201" x14ac:dyDescent="0.3">
      <c r="GJ343" s="321"/>
      <c r="GK343" s="321"/>
      <c r="GL343" s="321"/>
      <c r="GM343" s="321"/>
      <c r="GN343" s="321"/>
      <c r="GO343" s="321"/>
      <c r="GP343" s="321"/>
      <c r="GQ343" s="321"/>
      <c r="GR343" s="321"/>
      <c r="GS343" s="321"/>
    </row>
    <row r="344" spans="192:201" x14ac:dyDescent="0.3">
      <c r="GJ344" s="321"/>
      <c r="GK344" s="321"/>
      <c r="GL344" s="321"/>
      <c r="GM344" s="321"/>
      <c r="GN344" s="321"/>
      <c r="GO344" s="321"/>
      <c r="GP344" s="321"/>
      <c r="GQ344" s="321"/>
      <c r="GR344" s="321"/>
      <c r="GS344" s="321"/>
    </row>
    <row r="345" spans="192:201" x14ac:dyDescent="0.3">
      <c r="GJ345" s="321"/>
      <c r="GK345" s="321"/>
      <c r="GL345" s="321"/>
      <c r="GM345" s="321"/>
      <c r="GN345" s="321"/>
      <c r="GO345" s="321"/>
      <c r="GP345" s="321"/>
      <c r="GQ345" s="321"/>
      <c r="GR345" s="321"/>
      <c r="GS345" s="321"/>
    </row>
    <row r="346" spans="192:201" x14ac:dyDescent="0.3">
      <c r="GJ346" s="321"/>
      <c r="GK346" s="321"/>
      <c r="GL346" s="321"/>
      <c r="GM346" s="321"/>
      <c r="GN346" s="321"/>
      <c r="GO346" s="321"/>
      <c r="GP346" s="321"/>
      <c r="GQ346" s="321"/>
      <c r="GR346" s="321"/>
      <c r="GS346" s="321"/>
    </row>
    <row r="347" spans="192:201" x14ac:dyDescent="0.3">
      <c r="GJ347" s="321"/>
      <c r="GK347" s="321"/>
      <c r="GL347" s="321"/>
      <c r="GM347" s="321"/>
      <c r="GN347" s="321"/>
      <c r="GO347" s="321"/>
      <c r="GP347" s="321"/>
      <c r="GQ347" s="321"/>
      <c r="GR347" s="321"/>
      <c r="GS347" s="321"/>
    </row>
    <row r="348" spans="192:201" x14ac:dyDescent="0.3">
      <c r="GJ348" s="321"/>
      <c r="GK348" s="321"/>
      <c r="GL348" s="321"/>
      <c r="GM348" s="321"/>
      <c r="GN348" s="321"/>
      <c r="GO348" s="321"/>
      <c r="GP348" s="321"/>
      <c r="GQ348" s="321"/>
      <c r="GR348" s="321"/>
      <c r="GS348" s="321"/>
    </row>
    <row r="349" spans="192:201" x14ac:dyDescent="0.3">
      <c r="GJ349" s="321"/>
      <c r="GK349" s="321"/>
      <c r="GL349" s="321"/>
      <c r="GM349" s="321"/>
      <c r="GN349" s="321"/>
      <c r="GO349" s="321"/>
      <c r="GP349" s="321"/>
      <c r="GQ349" s="321"/>
      <c r="GR349" s="321"/>
      <c r="GS349" s="321"/>
    </row>
    <row r="350" spans="192:201" x14ac:dyDescent="0.3">
      <c r="GJ350" s="321"/>
      <c r="GK350" s="321"/>
      <c r="GL350" s="321"/>
      <c r="GM350" s="321"/>
      <c r="GN350" s="321"/>
      <c r="GO350" s="321"/>
      <c r="GP350" s="321"/>
      <c r="GQ350" s="321"/>
      <c r="GR350" s="321"/>
      <c r="GS350" s="321"/>
    </row>
    <row r="351" spans="192:201" x14ac:dyDescent="0.3">
      <c r="GJ351" s="321"/>
      <c r="GK351" s="321"/>
      <c r="GL351" s="321"/>
      <c r="GM351" s="321"/>
      <c r="GN351" s="321"/>
      <c r="GO351" s="321"/>
      <c r="GP351" s="321"/>
      <c r="GQ351" s="321"/>
      <c r="GR351" s="321"/>
      <c r="GS351" s="321"/>
    </row>
    <row r="352" spans="192:201" x14ac:dyDescent="0.3">
      <c r="GJ352" s="321"/>
      <c r="GK352" s="321"/>
      <c r="GL352" s="321"/>
      <c r="GM352" s="321"/>
      <c r="GN352" s="321"/>
      <c r="GO352" s="321"/>
      <c r="GP352" s="321"/>
      <c r="GQ352" s="321"/>
      <c r="GR352" s="321"/>
      <c r="GS352" s="321"/>
    </row>
    <row r="353" spans="192:201" x14ac:dyDescent="0.3">
      <c r="GJ353" s="321"/>
      <c r="GK353" s="321"/>
      <c r="GL353" s="321"/>
      <c r="GM353" s="321"/>
      <c r="GN353" s="321"/>
      <c r="GO353" s="321"/>
      <c r="GP353" s="321"/>
      <c r="GQ353" s="321"/>
      <c r="GR353" s="321"/>
      <c r="GS353" s="321"/>
    </row>
    <row r="354" spans="192:201" x14ac:dyDescent="0.3">
      <c r="GJ354" s="321"/>
      <c r="GK354" s="321"/>
      <c r="GL354" s="321"/>
      <c r="GM354" s="321"/>
      <c r="GN354" s="321"/>
      <c r="GO354" s="321"/>
      <c r="GP354" s="321"/>
      <c r="GQ354" s="321"/>
      <c r="GR354" s="321"/>
      <c r="GS354" s="321"/>
    </row>
    <row r="355" spans="192:201" x14ac:dyDescent="0.3">
      <c r="GJ355" s="321"/>
      <c r="GK355" s="321"/>
      <c r="GL355" s="321"/>
      <c r="GM355" s="321"/>
      <c r="GN355" s="321"/>
      <c r="GO355" s="321"/>
      <c r="GP355" s="321"/>
      <c r="GQ355" s="321"/>
      <c r="GR355" s="321"/>
      <c r="GS355" s="321"/>
    </row>
    <row r="356" spans="192:201" x14ac:dyDescent="0.3">
      <c r="GJ356" s="321"/>
      <c r="GK356" s="321"/>
      <c r="GL356" s="321"/>
      <c r="GM356" s="321"/>
      <c r="GN356" s="321"/>
      <c r="GO356" s="321"/>
      <c r="GP356" s="321"/>
      <c r="GQ356" s="321"/>
      <c r="GR356" s="321"/>
      <c r="GS356" s="321"/>
    </row>
    <row r="357" spans="192:201" x14ac:dyDescent="0.3">
      <c r="GJ357" s="321"/>
      <c r="GK357" s="321"/>
      <c r="GL357" s="321"/>
      <c r="GM357" s="321"/>
      <c r="GN357" s="321"/>
      <c r="GO357" s="321"/>
      <c r="GP357" s="321"/>
      <c r="GQ357" s="321"/>
      <c r="GR357" s="321"/>
      <c r="GS357" s="321"/>
    </row>
    <row r="358" spans="192:201" x14ac:dyDescent="0.3">
      <c r="GJ358" s="321"/>
      <c r="GK358" s="321"/>
      <c r="GL358" s="321"/>
      <c r="GM358" s="321"/>
      <c r="GN358" s="321"/>
      <c r="GO358" s="321"/>
      <c r="GP358" s="321"/>
      <c r="GQ358" s="321"/>
      <c r="GR358" s="321"/>
      <c r="GS358" s="321"/>
    </row>
    <row r="359" spans="192:201" x14ac:dyDescent="0.3">
      <c r="GJ359" s="321"/>
      <c r="GK359" s="321"/>
      <c r="GL359" s="321"/>
      <c r="GM359" s="321"/>
      <c r="GN359" s="321"/>
      <c r="GO359" s="321"/>
      <c r="GP359" s="321"/>
      <c r="GQ359" s="321"/>
      <c r="GR359" s="321"/>
      <c r="GS359" s="321"/>
    </row>
    <row r="360" spans="192:201" x14ac:dyDescent="0.3">
      <c r="GJ360" s="321"/>
      <c r="GK360" s="321"/>
      <c r="GL360" s="321"/>
      <c r="GM360" s="321"/>
      <c r="GN360" s="321"/>
      <c r="GO360" s="321"/>
      <c r="GP360" s="321"/>
      <c r="GQ360" s="321"/>
      <c r="GR360" s="321"/>
      <c r="GS360" s="321"/>
    </row>
    <row r="361" spans="192:201" x14ac:dyDescent="0.3">
      <c r="GJ361" s="321"/>
      <c r="GK361" s="321"/>
      <c r="GL361" s="321"/>
      <c r="GM361" s="321"/>
      <c r="GN361" s="321"/>
      <c r="GO361" s="321"/>
      <c r="GP361" s="321"/>
      <c r="GQ361" s="321"/>
      <c r="GR361" s="321"/>
      <c r="GS361" s="321"/>
    </row>
    <row r="362" spans="192:201" x14ac:dyDescent="0.3">
      <c r="GJ362" s="321"/>
      <c r="GK362" s="321"/>
      <c r="GL362" s="321"/>
      <c r="GM362" s="321"/>
      <c r="GN362" s="321"/>
      <c r="GO362" s="321"/>
      <c r="GP362" s="321"/>
      <c r="GQ362" s="321"/>
      <c r="GR362" s="321"/>
      <c r="GS362" s="321"/>
    </row>
    <row r="363" spans="192:201" x14ac:dyDescent="0.3">
      <c r="GJ363" s="321"/>
      <c r="GK363" s="321"/>
      <c r="GL363" s="321"/>
      <c r="GM363" s="321"/>
      <c r="GN363" s="321"/>
      <c r="GO363" s="321"/>
      <c r="GP363" s="321"/>
      <c r="GQ363" s="321"/>
      <c r="GR363" s="321"/>
      <c r="GS363" s="321"/>
    </row>
    <row r="364" spans="192:201" x14ac:dyDescent="0.3">
      <c r="GJ364" s="321"/>
      <c r="GK364" s="321"/>
      <c r="GL364" s="321"/>
      <c r="GM364" s="321"/>
      <c r="GN364" s="321"/>
      <c r="GO364" s="321"/>
      <c r="GP364" s="321"/>
      <c r="GQ364" s="321"/>
      <c r="GR364" s="321"/>
      <c r="GS364" s="321"/>
    </row>
    <row r="365" spans="192:201" x14ac:dyDescent="0.3">
      <c r="GJ365" s="321"/>
      <c r="GK365" s="321"/>
      <c r="GL365" s="321"/>
      <c r="GM365" s="321"/>
      <c r="GN365" s="321"/>
      <c r="GO365" s="321"/>
      <c r="GP365" s="321"/>
      <c r="GQ365" s="321"/>
      <c r="GR365" s="321"/>
      <c r="GS365" s="321"/>
    </row>
    <row r="366" spans="192:201" x14ac:dyDescent="0.3">
      <c r="GJ366" s="321"/>
      <c r="GK366" s="321"/>
      <c r="GL366" s="321"/>
      <c r="GM366" s="321"/>
      <c r="GN366" s="321"/>
      <c r="GO366" s="321"/>
      <c r="GP366" s="321"/>
      <c r="GQ366" s="321"/>
      <c r="GR366" s="321"/>
      <c r="GS366" s="321"/>
    </row>
    <row r="367" spans="192:201" x14ac:dyDescent="0.3">
      <c r="GJ367" s="321"/>
      <c r="GK367" s="321"/>
      <c r="GL367" s="321"/>
      <c r="GM367" s="321"/>
      <c r="GN367" s="321"/>
      <c r="GO367" s="321"/>
      <c r="GP367" s="321"/>
      <c r="GQ367" s="321"/>
      <c r="GR367" s="321"/>
      <c r="GS367" s="321"/>
    </row>
    <row r="368" spans="192:201" x14ac:dyDescent="0.3">
      <c r="GJ368" s="321"/>
      <c r="GK368" s="321"/>
      <c r="GL368" s="321"/>
      <c r="GM368" s="321"/>
      <c r="GN368" s="321"/>
      <c r="GO368" s="321"/>
      <c r="GP368" s="321"/>
      <c r="GQ368" s="321"/>
      <c r="GR368" s="321"/>
      <c r="GS368" s="321"/>
    </row>
    <row r="369" spans="192:201" x14ac:dyDescent="0.3">
      <c r="GJ369" s="321"/>
      <c r="GK369" s="321"/>
      <c r="GL369" s="321"/>
      <c r="GM369" s="321"/>
      <c r="GN369" s="321"/>
      <c r="GO369" s="321"/>
      <c r="GP369" s="321"/>
      <c r="GQ369" s="321"/>
      <c r="GR369" s="321"/>
      <c r="GS369" s="321"/>
    </row>
    <row r="370" spans="192:201" x14ac:dyDescent="0.3">
      <c r="GJ370" s="321"/>
      <c r="GK370" s="321"/>
      <c r="GL370" s="321"/>
      <c r="GM370" s="321"/>
      <c r="GN370" s="321"/>
      <c r="GO370" s="321"/>
      <c r="GP370" s="321"/>
      <c r="GQ370" s="321"/>
      <c r="GR370" s="321"/>
      <c r="GS370" s="321"/>
    </row>
    <row r="371" spans="192:201" x14ac:dyDescent="0.3">
      <c r="GJ371" s="321"/>
      <c r="GK371" s="321"/>
      <c r="GL371" s="321"/>
      <c r="GM371" s="321"/>
      <c r="GN371" s="321"/>
      <c r="GO371" s="321"/>
      <c r="GP371" s="321"/>
      <c r="GQ371" s="321"/>
      <c r="GR371" s="321"/>
      <c r="GS371" s="321"/>
    </row>
    <row r="372" spans="192:201" x14ac:dyDescent="0.3">
      <c r="GJ372" s="321"/>
      <c r="GK372" s="321"/>
      <c r="GL372" s="321"/>
      <c r="GM372" s="321"/>
      <c r="GN372" s="321"/>
      <c r="GO372" s="321"/>
      <c r="GP372" s="321"/>
      <c r="GQ372" s="321"/>
      <c r="GR372" s="321"/>
      <c r="GS372" s="321"/>
    </row>
    <row r="373" spans="192:201" x14ac:dyDescent="0.3">
      <c r="GJ373" s="321"/>
      <c r="GK373" s="321"/>
      <c r="GL373" s="321"/>
      <c r="GM373" s="321"/>
      <c r="GN373" s="321"/>
      <c r="GO373" s="321"/>
      <c r="GP373" s="321"/>
      <c r="GQ373" s="321"/>
      <c r="GR373" s="321"/>
      <c r="GS373" s="321"/>
    </row>
    <row r="374" spans="192:201" x14ac:dyDescent="0.3">
      <c r="GJ374" s="321"/>
      <c r="GK374" s="321"/>
      <c r="GL374" s="321"/>
      <c r="GM374" s="321"/>
      <c r="GN374" s="321"/>
      <c r="GO374" s="321"/>
      <c r="GP374" s="321"/>
      <c r="GQ374" s="321"/>
      <c r="GR374" s="321"/>
      <c r="GS374" s="321"/>
    </row>
    <row r="375" spans="192:201" x14ac:dyDescent="0.3">
      <c r="GJ375" s="321"/>
      <c r="GK375" s="321"/>
      <c r="GL375" s="321"/>
      <c r="GM375" s="321"/>
      <c r="GN375" s="321"/>
      <c r="GO375" s="321"/>
      <c r="GP375" s="321"/>
      <c r="GQ375" s="321"/>
      <c r="GR375" s="321"/>
      <c r="GS375" s="321"/>
    </row>
    <row r="376" spans="192:201" x14ac:dyDescent="0.3">
      <c r="GJ376" s="321"/>
      <c r="GK376" s="321"/>
      <c r="GL376" s="321"/>
      <c r="GM376" s="321"/>
      <c r="GN376" s="321"/>
      <c r="GO376" s="321"/>
      <c r="GP376" s="321"/>
      <c r="GQ376" s="321"/>
      <c r="GR376" s="321"/>
      <c r="GS376" s="321"/>
    </row>
    <row r="377" spans="192:201" x14ac:dyDescent="0.3">
      <c r="GJ377" s="321"/>
      <c r="GK377" s="321"/>
      <c r="GL377" s="321"/>
      <c r="GM377" s="321"/>
      <c r="GN377" s="321"/>
      <c r="GO377" s="321"/>
      <c r="GP377" s="321"/>
      <c r="GQ377" s="321"/>
      <c r="GR377" s="321"/>
      <c r="GS377" s="321"/>
    </row>
    <row r="378" spans="192:201" x14ac:dyDescent="0.3">
      <c r="GJ378" s="321"/>
      <c r="GK378" s="321"/>
      <c r="GL378" s="321"/>
      <c r="GM378" s="321"/>
      <c r="GN378" s="321"/>
      <c r="GO378" s="321"/>
      <c r="GP378" s="321"/>
      <c r="GQ378" s="321"/>
      <c r="GR378" s="321"/>
      <c r="GS378" s="321"/>
    </row>
    <row r="379" spans="192:201" x14ac:dyDescent="0.3">
      <c r="GJ379" s="321"/>
      <c r="GK379" s="321"/>
      <c r="GL379" s="321"/>
      <c r="GM379" s="321"/>
      <c r="GN379" s="321"/>
      <c r="GO379" s="321"/>
      <c r="GP379" s="321"/>
      <c r="GQ379" s="321"/>
      <c r="GR379" s="321"/>
      <c r="GS379" s="321"/>
    </row>
    <row r="380" spans="192:201" x14ac:dyDescent="0.3">
      <c r="GJ380" s="321"/>
      <c r="GK380" s="321"/>
      <c r="GL380" s="321"/>
      <c r="GM380" s="321"/>
      <c r="GN380" s="321"/>
      <c r="GO380" s="321"/>
      <c r="GP380" s="321"/>
      <c r="GQ380" s="321"/>
      <c r="GR380" s="321"/>
      <c r="GS380" s="321"/>
    </row>
    <row r="381" spans="192:201" x14ac:dyDescent="0.3">
      <c r="GJ381" s="321"/>
      <c r="GK381" s="321"/>
      <c r="GL381" s="321"/>
      <c r="GM381" s="321"/>
      <c r="GN381" s="321"/>
      <c r="GO381" s="321"/>
      <c r="GP381" s="321"/>
      <c r="GQ381" s="321"/>
      <c r="GR381" s="321"/>
      <c r="GS381" s="321"/>
    </row>
    <row r="382" spans="192:201" x14ac:dyDescent="0.3">
      <c r="GJ382" s="321"/>
      <c r="GK382" s="321"/>
      <c r="GL382" s="321"/>
      <c r="GM382" s="321"/>
      <c r="GN382" s="321"/>
      <c r="GO382" s="321"/>
      <c r="GP382" s="321"/>
      <c r="GQ382" s="321"/>
      <c r="GR382" s="321"/>
      <c r="GS382" s="321"/>
    </row>
    <row r="383" spans="192:201" x14ac:dyDescent="0.3">
      <c r="GJ383" s="321"/>
      <c r="GK383" s="321"/>
      <c r="GL383" s="321"/>
      <c r="GM383" s="321"/>
      <c r="GN383" s="321"/>
      <c r="GO383" s="321"/>
      <c r="GP383" s="321"/>
      <c r="GQ383" s="321"/>
      <c r="GR383" s="321"/>
      <c r="GS383" s="321"/>
    </row>
    <row r="384" spans="192:201" x14ac:dyDescent="0.3">
      <c r="GJ384" s="321"/>
      <c r="GK384" s="321"/>
      <c r="GL384" s="321"/>
      <c r="GM384" s="321"/>
      <c r="GN384" s="321"/>
      <c r="GO384" s="321"/>
      <c r="GP384" s="321"/>
      <c r="GQ384" s="321"/>
      <c r="GR384" s="321"/>
      <c r="GS384" s="321"/>
    </row>
    <row r="385" spans="192:201" x14ac:dyDescent="0.3">
      <c r="GJ385" s="321"/>
      <c r="GK385" s="321"/>
      <c r="GL385" s="321"/>
      <c r="GM385" s="321"/>
      <c r="GN385" s="321"/>
      <c r="GO385" s="321"/>
      <c r="GP385" s="321"/>
      <c r="GQ385" s="321"/>
      <c r="GR385" s="321"/>
      <c r="GS385" s="321"/>
    </row>
    <row r="386" spans="192:201" x14ac:dyDescent="0.3">
      <c r="GJ386" s="321"/>
      <c r="GK386" s="321"/>
      <c r="GL386" s="321"/>
      <c r="GM386" s="321"/>
      <c r="GN386" s="321"/>
      <c r="GO386" s="321"/>
      <c r="GP386" s="321"/>
      <c r="GQ386" s="321"/>
      <c r="GR386" s="321"/>
      <c r="GS386" s="321"/>
    </row>
    <row r="387" spans="192:201" x14ac:dyDescent="0.3">
      <c r="GJ387" s="321"/>
      <c r="GK387" s="321"/>
      <c r="GL387" s="321"/>
      <c r="GM387" s="321"/>
      <c r="GN387" s="321"/>
      <c r="GO387" s="321"/>
      <c r="GP387" s="321"/>
      <c r="GQ387" s="321"/>
      <c r="GR387" s="321"/>
      <c r="GS387" s="321"/>
    </row>
    <row r="388" spans="192:201" x14ac:dyDescent="0.3">
      <c r="GJ388" s="321"/>
      <c r="GK388" s="321"/>
      <c r="GL388" s="321"/>
      <c r="GM388" s="321"/>
      <c r="GN388" s="321"/>
      <c r="GO388" s="321"/>
      <c r="GP388" s="321"/>
      <c r="GQ388" s="321"/>
      <c r="GR388" s="321"/>
      <c r="GS388" s="321"/>
    </row>
    <row r="389" spans="192:201" x14ac:dyDescent="0.3">
      <c r="GJ389" s="321"/>
      <c r="GK389" s="321"/>
      <c r="GL389" s="321"/>
      <c r="GM389" s="321"/>
      <c r="GN389" s="321"/>
      <c r="GO389" s="321"/>
      <c r="GP389" s="321"/>
      <c r="GQ389" s="321"/>
      <c r="GR389" s="321"/>
      <c r="GS389" s="321"/>
    </row>
    <row r="390" spans="192:201" x14ac:dyDescent="0.3">
      <c r="GJ390" s="321"/>
      <c r="GK390" s="321"/>
      <c r="GL390" s="321"/>
      <c r="GM390" s="321"/>
      <c r="GN390" s="321"/>
      <c r="GO390" s="321"/>
      <c r="GP390" s="321"/>
      <c r="GQ390" s="321"/>
      <c r="GR390" s="321"/>
      <c r="GS390" s="321"/>
    </row>
    <row r="391" spans="192:201" x14ac:dyDescent="0.3">
      <c r="GJ391" s="321"/>
      <c r="GK391" s="321"/>
      <c r="GL391" s="321"/>
      <c r="GM391" s="321"/>
      <c r="GN391" s="321"/>
      <c r="GO391" s="321"/>
      <c r="GP391" s="321"/>
      <c r="GQ391" s="321"/>
      <c r="GR391" s="321"/>
      <c r="GS391" s="321"/>
    </row>
    <row r="392" spans="192:201" x14ac:dyDescent="0.3">
      <c r="GJ392" s="321"/>
      <c r="GK392" s="321"/>
      <c r="GL392" s="321"/>
      <c r="GM392" s="321"/>
      <c r="GN392" s="321"/>
      <c r="GO392" s="321"/>
      <c r="GP392" s="321"/>
      <c r="GQ392" s="321"/>
      <c r="GR392" s="321"/>
      <c r="GS392" s="321"/>
    </row>
    <row r="393" spans="192:201" x14ac:dyDescent="0.3">
      <c r="GJ393" s="321"/>
      <c r="GK393" s="321"/>
      <c r="GL393" s="321"/>
      <c r="GM393" s="321"/>
      <c r="GN393" s="321"/>
      <c r="GO393" s="321"/>
      <c r="GP393" s="321"/>
      <c r="GQ393" s="321"/>
      <c r="GR393" s="321"/>
      <c r="GS393" s="321"/>
    </row>
    <row r="394" spans="192:201" x14ac:dyDescent="0.3">
      <c r="GJ394" s="321"/>
      <c r="GK394" s="321"/>
      <c r="GL394" s="321"/>
      <c r="GM394" s="321"/>
      <c r="GN394" s="321"/>
      <c r="GO394" s="321"/>
      <c r="GP394" s="321"/>
      <c r="GQ394" s="321"/>
      <c r="GR394" s="321"/>
      <c r="GS394" s="321"/>
    </row>
    <row r="395" spans="192:201" x14ac:dyDescent="0.3">
      <c r="GJ395" s="321"/>
      <c r="GK395" s="321"/>
      <c r="GL395" s="321"/>
      <c r="GM395" s="321"/>
      <c r="GN395" s="321"/>
      <c r="GO395" s="321"/>
      <c r="GP395" s="321"/>
      <c r="GQ395" s="321"/>
      <c r="GR395" s="321"/>
      <c r="GS395" s="321"/>
    </row>
    <row r="396" spans="192:201" x14ac:dyDescent="0.3">
      <c r="GJ396" s="321"/>
      <c r="GK396" s="321"/>
      <c r="GL396" s="321"/>
      <c r="GM396" s="321"/>
      <c r="GN396" s="321"/>
      <c r="GO396" s="321"/>
      <c r="GP396" s="321"/>
      <c r="GQ396" s="321"/>
      <c r="GR396" s="321"/>
      <c r="GS396" s="321"/>
    </row>
    <row r="397" spans="192:201" x14ac:dyDescent="0.3">
      <c r="GJ397" s="321"/>
      <c r="GK397" s="321"/>
      <c r="GL397" s="321"/>
      <c r="GM397" s="321"/>
      <c r="GN397" s="321"/>
      <c r="GO397" s="321"/>
      <c r="GP397" s="321"/>
      <c r="GQ397" s="321"/>
      <c r="GR397" s="321"/>
      <c r="GS397" s="321"/>
    </row>
    <row r="398" spans="192:201" x14ac:dyDescent="0.3">
      <c r="GJ398" s="321"/>
      <c r="GK398" s="321"/>
      <c r="GL398" s="321"/>
      <c r="GM398" s="321"/>
      <c r="GN398" s="321"/>
      <c r="GO398" s="321"/>
      <c r="GP398" s="321"/>
      <c r="GQ398" s="321"/>
      <c r="GR398" s="321"/>
      <c r="GS398" s="321"/>
    </row>
    <row r="399" spans="192:201" x14ac:dyDescent="0.3">
      <c r="GJ399" s="321"/>
      <c r="GK399" s="321"/>
      <c r="GL399" s="321"/>
      <c r="GM399" s="321"/>
      <c r="GN399" s="321"/>
      <c r="GO399" s="321"/>
      <c r="GP399" s="321"/>
      <c r="GQ399" s="321"/>
      <c r="GR399" s="321"/>
      <c r="GS399" s="321"/>
    </row>
    <row r="400" spans="192:201" x14ac:dyDescent="0.3">
      <c r="GJ400" s="321"/>
      <c r="GK400" s="321"/>
      <c r="GL400" s="321"/>
      <c r="GM400" s="321"/>
      <c r="GN400" s="321"/>
      <c r="GO400" s="321"/>
      <c r="GP400" s="321"/>
      <c r="GQ400" s="321"/>
      <c r="GR400" s="321"/>
      <c r="GS400" s="321"/>
    </row>
    <row r="401" spans="192:201" x14ac:dyDescent="0.3">
      <c r="GJ401" s="321"/>
      <c r="GK401" s="321"/>
      <c r="GL401" s="321"/>
      <c r="GM401" s="321"/>
      <c r="GN401" s="321"/>
      <c r="GO401" s="321"/>
      <c r="GP401" s="321"/>
      <c r="GQ401" s="321"/>
      <c r="GR401" s="321"/>
      <c r="GS401" s="321"/>
    </row>
    <row r="402" spans="192:201" x14ac:dyDescent="0.3">
      <c r="GJ402" s="321"/>
      <c r="GK402" s="321"/>
      <c r="GL402" s="321"/>
      <c r="GM402" s="321"/>
      <c r="GN402" s="321"/>
      <c r="GO402" s="321"/>
      <c r="GP402" s="321"/>
      <c r="GQ402" s="321"/>
      <c r="GR402" s="321"/>
      <c r="GS402" s="321"/>
    </row>
    <row r="403" spans="192:201" x14ac:dyDescent="0.3">
      <c r="GJ403" s="321"/>
      <c r="GK403" s="321"/>
      <c r="GL403" s="321"/>
      <c r="GM403" s="321"/>
      <c r="GN403" s="321"/>
      <c r="GO403" s="321"/>
      <c r="GP403" s="321"/>
      <c r="GQ403" s="321"/>
      <c r="GR403" s="321"/>
      <c r="GS403" s="321"/>
    </row>
    <row r="404" spans="192:201" x14ac:dyDescent="0.3">
      <c r="GJ404" s="321"/>
      <c r="GK404" s="321"/>
      <c r="GL404" s="321"/>
      <c r="GM404" s="321"/>
      <c r="GN404" s="321"/>
      <c r="GO404" s="321"/>
      <c r="GP404" s="321"/>
      <c r="GQ404" s="321"/>
      <c r="GR404" s="321"/>
      <c r="GS404" s="321"/>
    </row>
    <row r="405" spans="192:201" x14ac:dyDescent="0.3">
      <c r="GJ405" s="321"/>
      <c r="GK405" s="321"/>
      <c r="GL405" s="321"/>
      <c r="GM405" s="321"/>
      <c r="GN405" s="321"/>
      <c r="GO405" s="321"/>
      <c r="GP405" s="321"/>
      <c r="GQ405" s="321"/>
      <c r="GR405" s="321"/>
      <c r="GS405" s="321"/>
    </row>
    <row r="406" spans="192:201" x14ac:dyDescent="0.3">
      <c r="GJ406" s="321"/>
      <c r="GK406" s="321"/>
      <c r="GL406" s="321"/>
      <c r="GM406" s="321"/>
      <c r="GN406" s="321"/>
      <c r="GO406" s="321"/>
      <c r="GP406" s="321"/>
      <c r="GQ406" s="321"/>
      <c r="GR406" s="321"/>
      <c r="GS406" s="321"/>
    </row>
    <row r="407" spans="192:201" x14ac:dyDescent="0.3">
      <c r="GJ407" s="321"/>
      <c r="GK407" s="321"/>
      <c r="GL407" s="321"/>
      <c r="GM407" s="321"/>
      <c r="GN407" s="321"/>
      <c r="GO407" s="321"/>
      <c r="GP407" s="321"/>
      <c r="GQ407" s="321"/>
      <c r="GR407" s="321"/>
      <c r="GS407" s="321"/>
    </row>
    <row r="408" spans="192:201" x14ac:dyDescent="0.3">
      <c r="GJ408" s="321"/>
      <c r="GK408" s="321"/>
      <c r="GL408" s="321"/>
      <c r="GM408" s="321"/>
      <c r="GN408" s="321"/>
      <c r="GO408" s="321"/>
      <c r="GP408" s="321"/>
      <c r="GQ408" s="321"/>
      <c r="GR408" s="321"/>
      <c r="GS408" s="321"/>
    </row>
    <row r="409" spans="192:201" x14ac:dyDescent="0.3">
      <c r="GJ409" s="321"/>
      <c r="GK409" s="321"/>
      <c r="GL409" s="321"/>
      <c r="GM409" s="321"/>
      <c r="GN409" s="321"/>
      <c r="GO409" s="321"/>
      <c r="GP409" s="321"/>
      <c r="GQ409" s="321"/>
      <c r="GR409" s="321"/>
      <c r="GS409" s="321"/>
    </row>
    <row r="410" spans="192:201" x14ac:dyDescent="0.3">
      <c r="GJ410" s="321"/>
      <c r="GK410" s="321"/>
      <c r="GL410" s="321"/>
      <c r="GM410" s="321"/>
      <c r="GN410" s="321"/>
      <c r="GO410" s="321"/>
      <c r="GP410" s="321"/>
      <c r="GQ410" s="321"/>
      <c r="GR410" s="321"/>
      <c r="GS410" s="321"/>
    </row>
    <row r="411" spans="192:201" x14ac:dyDescent="0.3">
      <c r="GJ411" s="321"/>
      <c r="GK411" s="321"/>
      <c r="GL411" s="321"/>
      <c r="GM411" s="321"/>
      <c r="GN411" s="321"/>
      <c r="GO411" s="321"/>
      <c r="GP411" s="321"/>
      <c r="GQ411" s="321"/>
      <c r="GR411" s="321"/>
      <c r="GS411" s="321"/>
    </row>
    <row r="412" spans="192:201" x14ac:dyDescent="0.3">
      <c r="GJ412" s="321"/>
      <c r="GK412" s="321"/>
      <c r="GL412" s="321"/>
      <c r="GM412" s="321"/>
      <c r="GN412" s="321"/>
      <c r="GO412" s="321"/>
      <c r="GP412" s="321"/>
      <c r="GQ412" s="321"/>
      <c r="GR412" s="321"/>
      <c r="GS412" s="321"/>
    </row>
    <row r="413" spans="192:201" x14ac:dyDescent="0.3">
      <c r="GJ413" s="321"/>
      <c r="GK413" s="321"/>
      <c r="GL413" s="321"/>
      <c r="GM413" s="321"/>
      <c r="GN413" s="321"/>
      <c r="GO413" s="321"/>
      <c r="GP413" s="321"/>
      <c r="GQ413" s="321"/>
      <c r="GR413" s="321"/>
      <c r="GS413" s="321"/>
    </row>
    <row r="414" spans="192:201" x14ac:dyDescent="0.3">
      <c r="GJ414" s="321"/>
      <c r="GK414" s="321"/>
      <c r="GL414" s="321"/>
      <c r="GM414" s="321"/>
      <c r="GN414" s="321"/>
      <c r="GO414" s="321"/>
      <c r="GP414" s="321"/>
      <c r="GQ414" s="321"/>
      <c r="GR414" s="321"/>
      <c r="GS414" s="321"/>
    </row>
    <row r="415" spans="192:201" x14ac:dyDescent="0.3">
      <c r="GJ415" s="321"/>
      <c r="GK415" s="321"/>
      <c r="GL415" s="321"/>
      <c r="GM415" s="321"/>
      <c r="GN415" s="321"/>
      <c r="GO415" s="321"/>
      <c r="GP415" s="321"/>
      <c r="GQ415" s="321"/>
      <c r="GR415" s="321"/>
      <c r="GS415" s="321"/>
    </row>
    <row r="416" spans="192:201" x14ac:dyDescent="0.3">
      <c r="GJ416" s="321"/>
      <c r="GK416" s="321"/>
      <c r="GL416" s="321"/>
      <c r="GM416" s="321"/>
      <c r="GN416" s="321"/>
      <c r="GO416" s="321"/>
      <c r="GP416" s="321"/>
      <c r="GQ416" s="321"/>
      <c r="GR416" s="321"/>
      <c r="GS416" s="321"/>
    </row>
    <row r="417" spans="192:201" x14ac:dyDescent="0.3">
      <c r="GJ417" s="321"/>
      <c r="GK417" s="321"/>
      <c r="GL417" s="321"/>
      <c r="GM417" s="321"/>
      <c r="GN417" s="321"/>
      <c r="GO417" s="321"/>
      <c r="GP417" s="321"/>
      <c r="GQ417" s="321"/>
      <c r="GR417" s="321"/>
      <c r="GS417" s="321"/>
    </row>
    <row r="418" spans="192:201" x14ac:dyDescent="0.3">
      <c r="GJ418" s="321"/>
      <c r="GK418" s="321"/>
      <c r="GL418" s="321"/>
      <c r="GM418" s="321"/>
      <c r="GN418" s="321"/>
      <c r="GO418" s="321"/>
      <c r="GP418" s="321"/>
      <c r="GQ418" s="321"/>
      <c r="GR418" s="321"/>
      <c r="GS418" s="321"/>
    </row>
    <row r="419" spans="192:201" x14ac:dyDescent="0.3">
      <c r="GJ419" s="321"/>
      <c r="GK419" s="321"/>
      <c r="GL419" s="321"/>
      <c r="GM419" s="321"/>
      <c r="GN419" s="321"/>
      <c r="GO419" s="321"/>
      <c r="GP419" s="321"/>
      <c r="GQ419" s="321"/>
      <c r="GR419" s="321"/>
      <c r="GS419" s="321"/>
    </row>
    <row r="420" spans="192:201" x14ac:dyDescent="0.3">
      <c r="GJ420" s="321"/>
      <c r="GK420" s="321"/>
      <c r="GL420" s="321"/>
      <c r="GM420" s="321"/>
      <c r="GN420" s="321"/>
      <c r="GO420" s="321"/>
      <c r="GP420" s="321"/>
      <c r="GQ420" s="321"/>
      <c r="GR420" s="321"/>
      <c r="GS420" s="321"/>
    </row>
    <row r="421" spans="192:201" x14ac:dyDescent="0.3">
      <c r="GJ421" s="321"/>
      <c r="GK421" s="321"/>
      <c r="GL421" s="321"/>
      <c r="GM421" s="321"/>
      <c r="GN421" s="321"/>
      <c r="GO421" s="321"/>
      <c r="GP421" s="321"/>
      <c r="GQ421" s="321"/>
      <c r="GR421" s="321"/>
      <c r="GS421" s="321"/>
    </row>
    <row r="422" spans="192:201" x14ac:dyDescent="0.3">
      <c r="GJ422" s="321"/>
      <c r="GK422" s="321"/>
      <c r="GL422" s="321"/>
      <c r="GM422" s="321"/>
      <c r="GN422" s="321"/>
      <c r="GO422" s="321"/>
      <c r="GP422" s="321"/>
      <c r="GQ422" s="321"/>
      <c r="GR422" s="321"/>
      <c r="GS422" s="321"/>
    </row>
    <row r="423" spans="192:201" x14ac:dyDescent="0.3">
      <c r="GJ423" s="321"/>
      <c r="GK423" s="321"/>
      <c r="GL423" s="321"/>
      <c r="GM423" s="321"/>
      <c r="GN423" s="321"/>
      <c r="GO423" s="321"/>
      <c r="GP423" s="321"/>
      <c r="GQ423" s="321"/>
      <c r="GR423" s="321"/>
      <c r="GS423" s="321"/>
    </row>
    <row r="424" spans="192:201" x14ac:dyDescent="0.3">
      <c r="GJ424" s="321"/>
      <c r="GK424" s="321"/>
      <c r="GL424" s="321"/>
      <c r="GM424" s="321"/>
      <c r="GN424" s="321"/>
      <c r="GO424" s="321"/>
      <c r="GP424" s="321"/>
      <c r="GQ424" s="321"/>
      <c r="GR424" s="321"/>
      <c r="GS424" s="321"/>
    </row>
    <row r="425" spans="192:201" x14ac:dyDescent="0.3">
      <c r="GJ425" s="321"/>
      <c r="GK425" s="321"/>
      <c r="GL425" s="321"/>
      <c r="GM425" s="321"/>
      <c r="GN425" s="321"/>
      <c r="GO425" s="321"/>
      <c r="GP425" s="321"/>
      <c r="GQ425" s="321"/>
      <c r="GR425" s="321"/>
      <c r="GS425" s="321"/>
    </row>
    <row r="426" spans="192:201" x14ac:dyDescent="0.3">
      <c r="GJ426" s="321"/>
      <c r="GK426" s="321"/>
      <c r="GL426" s="321"/>
      <c r="GM426" s="321"/>
      <c r="GN426" s="321"/>
      <c r="GO426" s="321"/>
      <c r="GP426" s="321"/>
      <c r="GQ426" s="321"/>
      <c r="GR426" s="321"/>
      <c r="GS426" s="321"/>
    </row>
    <row r="427" spans="192:201" x14ac:dyDescent="0.3">
      <c r="GJ427" s="321"/>
      <c r="GK427" s="321"/>
      <c r="GL427" s="321"/>
      <c r="GM427" s="321"/>
      <c r="GN427" s="321"/>
      <c r="GO427" s="321"/>
      <c r="GP427" s="321"/>
      <c r="GQ427" s="321"/>
      <c r="GR427" s="321"/>
      <c r="GS427" s="321"/>
    </row>
    <row r="428" spans="192:201" x14ac:dyDescent="0.3">
      <c r="GJ428" s="321"/>
      <c r="GK428" s="321"/>
      <c r="GL428" s="321"/>
      <c r="GM428" s="321"/>
      <c r="GN428" s="321"/>
      <c r="GO428" s="321"/>
      <c r="GP428" s="321"/>
      <c r="GQ428" s="321"/>
      <c r="GR428" s="321"/>
      <c r="GS428" s="321"/>
    </row>
    <row r="429" spans="192:201" x14ac:dyDescent="0.3">
      <c r="GJ429" s="321"/>
      <c r="GK429" s="321"/>
      <c r="GL429" s="321"/>
      <c r="GM429" s="321"/>
      <c r="GN429" s="321"/>
      <c r="GO429" s="321"/>
      <c r="GP429" s="321"/>
      <c r="GQ429" s="321"/>
      <c r="GR429" s="321"/>
      <c r="GS429" s="321"/>
    </row>
    <row r="430" spans="192:201" x14ac:dyDescent="0.3">
      <c r="GJ430" s="321"/>
      <c r="GK430" s="321"/>
      <c r="GL430" s="321"/>
      <c r="GM430" s="321"/>
      <c r="GN430" s="321"/>
      <c r="GO430" s="321"/>
      <c r="GP430" s="321"/>
      <c r="GQ430" s="321"/>
      <c r="GR430" s="321"/>
      <c r="GS430" s="321"/>
    </row>
    <row r="431" spans="192:201" x14ac:dyDescent="0.3">
      <c r="GJ431" s="321"/>
      <c r="GK431" s="321"/>
      <c r="GL431" s="321"/>
      <c r="GM431" s="321"/>
      <c r="GN431" s="321"/>
      <c r="GO431" s="321"/>
      <c r="GP431" s="321"/>
      <c r="GQ431" s="321"/>
      <c r="GR431" s="321"/>
      <c r="GS431" s="321"/>
    </row>
    <row r="432" spans="192:201" x14ac:dyDescent="0.3">
      <c r="GJ432" s="321"/>
      <c r="GK432" s="321"/>
      <c r="GL432" s="321"/>
      <c r="GM432" s="321"/>
      <c r="GN432" s="321"/>
      <c r="GO432" s="321"/>
      <c r="GP432" s="321"/>
      <c r="GQ432" s="321"/>
      <c r="GR432" s="321"/>
      <c r="GS432" s="321"/>
    </row>
    <row r="433" spans="192:201" x14ac:dyDescent="0.3">
      <c r="GJ433" s="321"/>
      <c r="GK433" s="321"/>
      <c r="GL433" s="321"/>
      <c r="GM433" s="321"/>
      <c r="GN433" s="321"/>
      <c r="GO433" s="321"/>
      <c r="GP433" s="321"/>
      <c r="GQ433" s="321"/>
      <c r="GR433" s="321"/>
      <c r="GS433" s="321"/>
    </row>
    <row r="434" spans="192:201" x14ac:dyDescent="0.3">
      <c r="GJ434" s="321"/>
      <c r="GK434" s="321"/>
      <c r="GL434" s="321"/>
      <c r="GM434" s="321"/>
      <c r="GN434" s="321"/>
      <c r="GO434" s="321"/>
      <c r="GP434" s="321"/>
      <c r="GQ434" s="321"/>
      <c r="GR434" s="321"/>
      <c r="GS434" s="321"/>
    </row>
    <row r="435" spans="192:201" x14ac:dyDescent="0.3">
      <c r="GJ435" s="321"/>
      <c r="GK435" s="321"/>
      <c r="GL435" s="321"/>
      <c r="GM435" s="321"/>
      <c r="GN435" s="321"/>
      <c r="GO435" s="321"/>
      <c r="GP435" s="321"/>
      <c r="GQ435" s="321"/>
      <c r="GR435" s="321"/>
      <c r="GS435" s="321"/>
    </row>
    <row r="436" spans="192:201" x14ac:dyDescent="0.3">
      <c r="GJ436" s="321"/>
      <c r="GK436" s="321"/>
      <c r="GL436" s="321"/>
      <c r="GM436" s="321"/>
      <c r="GN436" s="321"/>
      <c r="GO436" s="321"/>
      <c r="GP436" s="321"/>
      <c r="GQ436" s="321"/>
      <c r="GR436" s="321"/>
      <c r="GS436" s="321"/>
    </row>
    <row r="437" spans="192:201" x14ac:dyDescent="0.3">
      <c r="GJ437" s="321"/>
      <c r="GK437" s="321"/>
      <c r="GL437" s="321"/>
      <c r="GM437" s="321"/>
      <c r="GN437" s="321"/>
      <c r="GO437" s="321"/>
      <c r="GP437" s="321"/>
      <c r="GQ437" s="321"/>
      <c r="GR437" s="321"/>
      <c r="GS437" s="321"/>
    </row>
    <row r="438" spans="192:201" x14ac:dyDescent="0.3">
      <c r="GJ438" s="321"/>
      <c r="GK438" s="321"/>
      <c r="GL438" s="321"/>
      <c r="GM438" s="321"/>
      <c r="GN438" s="321"/>
      <c r="GO438" s="321"/>
      <c r="GP438" s="321"/>
      <c r="GQ438" s="321"/>
      <c r="GR438" s="321"/>
      <c r="GS438" s="321"/>
    </row>
    <row r="439" spans="192:201" x14ac:dyDescent="0.3">
      <c r="GJ439" s="321"/>
      <c r="GK439" s="321"/>
      <c r="GL439" s="321"/>
      <c r="GM439" s="321"/>
      <c r="GN439" s="321"/>
      <c r="GO439" s="321"/>
      <c r="GP439" s="321"/>
      <c r="GQ439" s="321"/>
      <c r="GR439" s="321"/>
      <c r="GS439" s="321"/>
    </row>
    <row r="440" spans="192:201" x14ac:dyDescent="0.3">
      <c r="GJ440" s="321"/>
      <c r="GK440" s="321"/>
      <c r="GL440" s="321"/>
      <c r="GM440" s="321"/>
      <c r="GN440" s="321"/>
      <c r="GO440" s="321"/>
      <c r="GP440" s="321"/>
      <c r="GQ440" s="321"/>
      <c r="GR440" s="321"/>
      <c r="GS440" s="321"/>
    </row>
    <row r="441" spans="192:201" x14ac:dyDescent="0.3">
      <c r="GJ441" s="321"/>
      <c r="GK441" s="321"/>
      <c r="GL441" s="321"/>
      <c r="GM441" s="321"/>
      <c r="GN441" s="321"/>
      <c r="GO441" s="321"/>
      <c r="GP441" s="321"/>
      <c r="GQ441" s="321"/>
      <c r="GR441" s="321"/>
      <c r="GS441" s="321"/>
    </row>
    <row r="442" spans="192:201" x14ac:dyDescent="0.3">
      <c r="GJ442" s="321"/>
      <c r="GK442" s="321"/>
      <c r="GL442" s="321"/>
      <c r="GM442" s="321"/>
      <c r="GN442" s="321"/>
      <c r="GO442" s="321"/>
      <c r="GP442" s="321"/>
      <c r="GQ442" s="321"/>
      <c r="GR442" s="321"/>
      <c r="GS442" s="321"/>
    </row>
    <row r="443" spans="192:201" x14ac:dyDescent="0.3">
      <c r="GJ443" s="321"/>
      <c r="GK443" s="321"/>
      <c r="GL443" s="321"/>
      <c r="GM443" s="321"/>
      <c r="GN443" s="321"/>
      <c r="GO443" s="321"/>
      <c r="GP443" s="321"/>
      <c r="GQ443" s="321"/>
      <c r="GR443" s="321"/>
      <c r="GS443" s="321"/>
    </row>
    <row r="444" spans="192:201" x14ac:dyDescent="0.3">
      <c r="GJ444" s="321"/>
      <c r="GK444" s="321"/>
      <c r="GL444" s="321"/>
      <c r="GM444" s="321"/>
      <c r="GN444" s="321"/>
      <c r="GO444" s="321"/>
      <c r="GP444" s="321"/>
      <c r="GQ444" s="321"/>
      <c r="GR444" s="321"/>
      <c r="GS444" s="321"/>
    </row>
    <row r="445" spans="192:201" x14ac:dyDescent="0.3">
      <c r="GJ445" s="321"/>
      <c r="GK445" s="321"/>
      <c r="GL445" s="321"/>
      <c r="GM445" s="321"/>
      <c r="GN445" s="321"/>
      <c r="GO445" s="321"/>
      <c r="GP445" s="321"/>
      <c r="GQ445" s="321"/>
      <c r="GR445" s="321"/>
      <c r="GS445" s="321"/>
    </row>
    <row r="446" spans="192:201" x14ac:dyDescent="0.3">
      <c r="GJ446" s="321"/>
      <c r="GK446" s="321"/>
      <c r="GL446" s="321"/>
      <c r="GM446" s="321"/>
      <c r="GN446" s="321"/>
      <c r="GO446" s="321"/>
      <c r="GP446" s="321"/>
      <c r="GQ446" s="321"/>
      <c r="GR446" s="321"/>
      <c r="GS446" s="321"/>
    </row>
    <row r="447" spans="192:201" x14ac:dyDescent="0.3">
      <c r="GJ447" s="321"/>
      <c r="GK447" s="321"/>
      <c r="GL447" s="321"/>
      <c r="GM447" s="321"/>
      <c r="GN447" s="321"/>
      <c r="GO447" s="321"/>
      <c r="GP447" s="321"/>
      <c r="GQ447" s="321"/>
      <c r="GR447" s="321"/>
      <c r="GS447" s="321"/>
    </row>
    <row r="448" spans="192:201" x14ac:dyDescent="0.3">
      <c r="GJ448" s="321"/>
      <c r="GK448" s="321"/>
      <c r="GL448" s="321"/>
      <c r="GM448" s="321"/>
      <c r="GN448" s="321"/>
      <c r="GO448" s="321"/>
      <c r="GP448" s="321"/>
      <c r="GQ448" s="321"/>
      <c r="GR448" s="321"/>
      <c r="GS448" s="321"/>
    </row>
    <row r="449" spans="192:201" x14ac:dyDescent="0.3">
      <c r="GJ449" s="321"/>
      <c r="GK449" s="321"/>
      <c r="GL449" s="321"/>
      <c r="GM449" s="321"/>
      <c r="GN449" s="321"/>
      <c r="GO449" s="321"/>
      <c r="GP449" s="321"/>
      <c r="GQ449" s="321"/>
      <c r="GR449" s="321"/>
      <c r="GS449" s="321"/>
    </row>
    <row r="450" spans="192:201" x14ac:dyDescent="0.3">
      <c r="GJ450" s="321"/>
      <c r="GK450" s="321"/>
      <c r="GL450" s="321"/>
      <c r="GM450" s="321"/>
      <c r="GN450" s="321"/>
      <c r="GO450" s="321"/>
      <c r="GP450" s="321"/>
      <c r="GQ450" s="321"/>
      <c r="GR450" s="321"/>
      <c r="GS450" s="321"/>
    </row>
    <row r="451" spans="192:201" x14ac:dyDescent="0.3">
      <c r="GJ451" s="321"/>
      <c r="GK451" s="321"/>
      <c r="GL451" s="321"/>
      <c r="GM451" s="321"/>
      <c r="GN451" s="321"/>
      <c r="GO451" s="321"/>
      <c r="GP451" s="321"/>
      <c r="GQ451" s="321"/>
      <c r="GR451" s="321"/>
      <c r="GS451" s="321"/>
    </row>
    <row r="452" spans="192:201" x14ac:dyDescent="0.3">
      <c r="GJ452" s="321"/>
      <c r="GK452" s="321"/>
      <c r="GL452" s="321"/>
      <c r="GM452" s="321"/>
      <c r="GN452" s="321"/>
      <c r="GO452" s="321"/>
      <c r="GP452" s="321"/>
      <c r="GQ452" s="321"/>
      <c r="GR452" s="321"/>
      <c r="GS452" s="321"/>
    </row>
    <row r="453" spans="192:201" x14ac:dyDescent="0.3">
      <c r="GJ453" s="321"/>
      <c r="GK453" s="321"/>
      <c r="GL453" s="321"/>
      <c r="GM453" s="321"/>
      <c r="GN453" s="321"/>
      <c r="GO453" s="321"/>
      <c r="GP453" s="321"/>
      <c r="GQ453" s="321"/>
      <c r="GR453" s="321"/>
      <c r="GS453" s="321"/>
    </row>
    <row r="454" spans="192:201" x14ac:dyDescent="0.3">
      <c r="GJ454" s="321"/>
      <c r="GK454" s="321"/>
      <c r="GL454" s="321"/>
      <c r="GM454" s="321"/>
      <c r="GN454" s="321"/>
      <c r="GO454" s="321"/>
      <c r="GP454" s="321"/>
      <c r="GQ454" s="321"/>
      <c r="GR454" s="321"/>
      <c r="GS454" s="321"/>
    </row>
    <row r="455" spans="192:201" x14ac:dyDescent="0.3">
      <c r="GJ455" s="321"/>
      <c r="GK455" s="321"/>
      <c r="GL455" s="321"/>
      <c r="GM455" s="321"/>
      <c r="GN455" s="321"/>
      <c r="GO455" s="321"/>
      <c r="GP455" s="321"/>
      <c r="GQ455" s="321"/>
      <c r="GR455" s="321"/>
      <c r="GS455" s="321"/>
    </row>
    <row r="456" spans="192:201" x14ac:dyDescent="0.3">
      <c r="GJ456" s="321"/>
      <c r="GK456" s="321"/>
      <c r="GL456" s="321"/>
      <c r="GM456" s="321"/>
      <c r="GN456" s="321"/>
      <c r="GO456" s="321"/>
      <c r="GP456" s="321"/>
      <c r="GQ456" s="321"/>
      <c r="GR456" s="321"/>
      <c r="GS456" s="321"/>
    </row>
    <row r="457" spans="192:201" x14ac:dyDescent="0.3">
      <c r="GJ457" s="321"/>
      <c r="GK457" s="321"/>
      <c r="GL457" s="321"/>
      <c r="GM457" s="321"/>
      <c r="GN457" s="321"/>
      <c r="GO457" s="321"/>
      <c r="GP457" s="321"/>
      <c r="GQ457" s="321"/>
      <c r="GR457" s="321"/>
      <c r="GS457" s="321"/>
    </row>
    <row r="458" spans="192:201" x14ac:dyDescent="0.3">
      <c r="GJ458" s="321"/>
      <c r="GK458" s="321"/>
      <c r="GL458" s="321"/>
      <c r="GM458" s="321"/>
      <c r="GN458" s="321"/>
      <c r="GO458" s="321"/>
      <c r="GP458" s="321"/>
      <c r="GQ458" s="321"/>
      <c r="GR458" s="321"/>
      <c r="GS458" s="321"/>
    </row>
    <row r="459" spans="192:201" x14ac:dyDescent="0.3">
      <c r="GJ459" s="321"/>
      <c r="GK459" s="321"/>
      <c r="GL459" s="321"/>
      <c r="GM459" s="321"/>
      <c r="GN459" s="321"/>
      <c r="GO459" s="321"/>
      <c r="GP459" s="321"/>
      <c r="GQ459" s="321"/>
      <c r="GR459" s="321"/>
      <c r="GS459" s="321"/>
    </row>
    <row r="460" spans="192:201" x14ac:dyDescent="0.3">
      <c r="GJ460" s="321"/>
      <c r="GK460" s="321"/>
      <c r="GL460" s="321"/>
      <c r="GM460" s="321"/>
      <c r="GN460" s="321"/>
      <c r="GO460" s="321"/>
      <c r="GP460" s="321"/>
      <c r="GQ460" s="321"/>
      <c r="GR460" s="321"/>
      <c r="GS460" s="321"/>
    </row>
    <row r="461" spans="192:201" x14ac:dyDescent="0.3">
      <c r="GJ461" s="321"/>
      <c r="GK461" s="321"/>
      <c r="GL461" s="321"/>
      <c r="GM461" s="321"/>
      <c r="GN461" s="321"/>
      <c r="GO461" s="321"/>
      <c r="GP461" s="321"/>
      <c r="GQ461" s="321"/>
      <c r="GR461" s="321"/>
      <c r="GS461" s="321"/>
    </row>
    <row r="462" spans="192:201" x14ac:dyDescent="0.3">
      <c r="GJ462" s="321"/>
      <c r="GK462" s="321"/>
      <c r="GL462" s="321"/>
      <c r="GM462" s="321"/>
      <c r="GN462" s="321"/>
      <c r="GO462" s="321"/>
      <c r="GP462" s="321"/>
      <c r="GQ462" s="321"/>
      <c r="GR462" s="321"/>
      <c r="GS462" s="321"/>
    </row>
    <row r="463" spans="192:201" x14ac:dyDescent="0.3">
      <c r="GJ463" s="321"/>
      <c r="GK463" s="321"/>
      <c r="GL463" s="321"/>
      <c r="GM463" s="321"/>
      <c r="GN463" s="321"/>
      <c r="GO463" s="321"/>
      <c r="GP463" s="321"/>
      <c r="GQ463" s="321"/>
      <c r="GR463" s="321"/>
      <c r="GS463" s="321"/>
    </row>
    <row r="464" spans="192:201" x14ac:dyDescent="0.3">
      <c r="GJ464" s="321"/>
      <c r="GK464" s="321"/>
      <c r="GL464" s="321"/>
      <c r="GM464" s="321"/>
      <c r="GN464" s="321"/>
      <c r="GO464" s="321"/>
      <c r="GP464" s="321"/>
      <c r="GQ464" s="321"/>
      <c r="GR464" s="321"/>
      <c r="GS464" s="321"/>
    </row>
    <row r="465" spans="192:201" x14ac:dyDescent="0.3">
      <c r="GJ465" s="321"/>
      <c r="GK465" s="321"/>
      <c r="GL465" s="321"/>
      <c r="GM465" s="321"/>
      <c r="GN465" s="321"/>
      <c r="GO465" s="321"/>
      <c r="GP465" s="321"/>
      <c r="GQ465" s="321"/>
      <c r="GR465" s="321"/>
      <c r="GS465" s="321"/>
    </row>
    <row r="466" spans="192:201" x14ac:dyDescent="0.3">
      <c r="GJ466" s="321"/>
      <c r="GK466" s="321"/>
      <c r="GL466" s="321"/>
      <c r="GM466" s="321"/>
      <c r="GN466" s="321"/>
      <c r="GO466" s="321"/>
      <c r="GP466" s="321"/>
      <c r="GQ466" s="321"/>
      <c r="GR466" s="321"/>
      <c r="GS466" s="321"/>
    </row>
    <row r="467" spans="192:201" x14ac:dyDescent="0.3">
      <c r="GJ467" s="321"/>
      <c r="GK467" s="321"/>
      <c r="GL467" s="321"/>
      <c r="GM467" s="321"/>
      <c r="GN467" s="321"/>
      <c r="GO467" s="321"/>
      <c r="GP467" s="321"/>
      <c r="GQ467" s="321"/>
      <c r="GR467" s="321"/>
      <c r="GS467" s="321"/>
    </row>
    <row r="468" spans="192:201" x14ac:dyDescent="0.3">
      <c r="GJ468" s="321"/>
      <c r="GK468" s="321"/>
      <c r="GL468" s="321"/>
      <c r="GM468" s="321"/>
      <c r="GN468" s="321"/>
      <c r="GO468" s="321"/>
      <c r="GP468" s="321"/>
      <c r="GQ468" s="321"/>
      <c r="GR468" s="321"/>
      <c r="GS468" s="321"/>
    </row>
    <row r="469" spans="192:201" x14ac:dyDescent="0.3">
      <c r="GJ469" s="321"/>
      <c r="GK469" s="321"/>
      <c r="GL469" s="321"/>
      <c r="GM469" s="321"/>
      <c r="GN469" s="321"/>
      <c r="GO469" s="321"/>
      <c r="GP469" s="321"/>
      <c r="GQ469" s="321"/>
      <c r="GR469" s="321"/>
      <c r="GS469" s="321"/>
    </row>
    <row r="470" spans="192:201" x14ac:dyDescent="0.3">
      <c r="GJ470" s="321"/>
      <c r="GK470" s="321"/>
      <c r="GL470" s="321"/>
      <c r="GM470" s="321"/>
      <c r="GN470" s="321"/>
      <c r="GO470" s="321"/>
      <c r="GP470" s="321"/>
      <c r="GQ470" s="321"/>
      <c r="GR470" s="321"/>
      <c r="GS470" s="321"/>
    </row>
    <row r="471" spans="192:201" x14ac:dyDescent="0.3">
      <c r="GJ471" s="321"/>
      <c r="GK471" s="321"/>
      <c r="GL471" s="321"/>
      <c r="GM471" s="321"/>
      <c r="GN471" s="321"/>
      <c r="GO471" s="321"/>
      <c r="GP471" s="321"/>
      <c r="GQ471" s="321"/>
      <c r="GR471" s="321"/>
      <c r="GS471" s="321"/>
    </row>
    <row r="472" spans="192:201" x14ac:dyDescent="0.3">
      <c r="GJ472" s="321"/>
      <c r="GK472" s="321"/>
      <c r="GL472" s="321"/>
      <c r="GM472" s="321"/>
      <c r="GN472" s="321"/>
      <c r="GO472" s="321"/>
      <c r="GP472" s="321"/>
      <c r="GQ472" s="321"/>
      <c r="GR472" s="321"/>
      <c r="GS472" s="321"/>
    </row>
    <row r="473" spans="192:201" x14ac:dyDescent="0.3">
      <c r="GJ473" s="321"/>
      <c r="GK473" s="321"/>
      <c r="GL473" s="321"/>
      <c r="GM473" s="321"/>
      <c r="GN473" s="321"/>
      <c r="GO473" s="321"/>
      <c r="GP473" s="321"/>
      <c r="GQ473" s="321"/>
      <c r="GR473" s="321"/>
      <c r="GS473" s="321"/>
    </row>
    <row r="474" spans="192:201" x14ac:dyDescent="0.3">
      <c r="GJ474" s="321"/>
      <c r="GK474" s="321"/>
      <c r="GL474" s="321"/>
      <c r="GM474" s="321"/>
      <c r="GN474" s="321"/>
      <c r="GO474" s="321"/>
      <c r="GP474" s="321"/>
      <c r="GQ474" s="321"/>
      <c r="GR474" s="321"/>
      <c r="GS474" s="321"/>
    </row>
    <row r="475" spans="192:201" x14ac:dyDescent="0.3">
      <c r="GJ475" s="321"/>
      <c r="GK475" s="321"/>
      <c r="GL475" s="321"/>
      <c r="GM475" s="321"/>
      <c r="GN475" s="321"/>
      <c r="GO475" s="321"/>
      <c r="GP475" s="321"/>
      <c r="GQ475" s="321"/>
      <c r="GR475" s="321"/>
      <c r="GS475" s="321"/>
    </row>
    <row r="476" spans="192:201" x14ac:dyDescent="0.3">
      <c r="GJ476" s="321"/>
      <c r="GK476" s="321"/>
      <c r="GL476" s="321"/>
      <c r="GM476" s="321"/>
      <c r="GN476" s="321"/>
      <c r="GO476" s="321"/>
      <c r="GP476" s="321"/>
      <c r="GQ476" s="321"/>
      <c r="GR476" s="321"/>
      <c r="GS476" s="321"/>
    </row>
    <row r="477" spans="192:201" x14ac:dyDescent="0.3">
      <c r="GJ477" s="321"/>
      <c r="GK477" s="321"/>
      <c r="GL477" s="321"/>
      <c r="GM477" s="321"/>
      <c r="GN477" s="321"/>
      <c r="GO477" s="321"/>
      <c r="GP477" s="321"/>
      <c r="GQ477" s="321"/>
      <c r="GR477" s="321"/>
      <c r="GS477" s="321"/>
    </row>
    <row r="478" spans="192:201" x14ac:dyDescent="0.3">
      <c r="GJ478" s="321"/>
      <c r="GK478" s="321"/>
      <c r="GL478" s="321"/>
      <c r="GM478" s="321"/>
      <c r="GN478" s="321"/>
      <c r="GO478" s="321"/>
      <c r="GP478" s="321"/>
      <c r="GQ478" s="321"/>
      <c r="GR478" s="321"/>
      <c r="GS478" s="321"/>
    </row>
    <row r="479" spans="192:201" x14ac:dyDescent="0.3">
      <c r="GJ479" s="321"/>
      <c r="GK479" s="321"/>
      <c r="GL479" s="321"/>
      <c r="GM479" s="321"/>
      <c r="GN479" s="321"/>
      <c r="GO479" s="321"/>
      <c r="GP479" s="321"/>
      <c r="GQ479" s="321"/>
      <c r="GR479" s="321"/>
      <c r="GS479" s="321"/>
    </row>
    <row r="480" spans="192:201" x14ac:dyDescent="0.3">
      <c r="GJ480" s="321"/>
      <c r="GK480" s="321"/>
      <c r="GL480" s="321"/>
      <c r="GM480" s="321"/>
      <c r="GN480" s="321"/>
      <c r="GO480" s="321"/>
      <c r="GP480" s="321"/>
      <c r="GQ480" s="321"/>
      <c r="GR480" s="321"/>
      <c r="GS480" s="321"/>
    </row>
    <row r="481" spans="192:201" x14ac:dyDescent="0.3">
      <c r="GJ481" s="321"/>
      <c r="GK481" s="321"/>
      <c r="GL481" s="321"/>
      <c r="GM481" s="321"/>
      <c r="GN481" s="321"/>
      <c r="GO481" s="321"/>
      <c r="GP481" s="321"/>
      <c r="GQ481" s="321"/>
      <c r="GR481" s="321"/>
      <c r="GS481" s="321"/>
    </row>
    <row r="482" spans="192:201" x14ac:dyDescent="0.3">
      <c r="GJ482" s="321"/>
      <c r="GK482" s="321"/>
      <c r="GL482" s="321"/>
      <c r="GM482" s="321"/>
      <c r="GN482" s="321"/>
      <c r="GO482" s="321"/>
      <c r="GP482" s="321"/>
      <c r="GQ482" s="321"/>
      <c r="GR482" s="321"/>
      <c r="GS482" s="321"/>
    </row>
    <row r="483" spans="192:201" x14ac:dyDescent="0.3">
      <c r="GJ483" s="321"/>
      <c r="GK483" s="321"/>
      <c r="GL483" s="321"/>
      <c r="GM483" s="321"/>
      <c r="GN483" s="321"/>
      <c r="GO483" s="321"/>
      <c r="GP483" s="321"/>
      <c r="GQ483" s="321"/>
      <c r="GR483" s="321"/>
      <c r="GS483" s="321"/>
    </row>
    <row r="484" spans="192:201" x14ac:dyDescent="0.3">
      <c r="GJ484" s="321"/>
      <c r="GK484" s="321"/>
      <c r="GL484" s="321"/>
      <c r="GM484" s="321"/>
      <c r="GN484" s="321"/>
      <c r="GO484" s="321"/>
      <c r="GP484" s="321"/>
      <c r="GQ484" s="321"/>
      <c r="GR484" s="321"/>
      <c r="GS484" s="321"/>
    </row>
    <row r="485" spans="192:201" x14ac:dyDescent="0.3">
      <c r="GJ485" s="321"/>
      <c r="GK485" s="321"/>
      <c r="GL485" s="321"/>
      <c r="GM485" s="321"/>
      <c r="GN485" s="321"/>
      <c r="GO485" s="321"/>
      <c r="GP485" s="321"/>
      <c r="GQ485" s="321"/>
      <c r="GR485" s="321"/>
      <c r="GS485" s="321"/>
    </row>
    <row r="486" spans="192:201" x14ac:dyDescent="0.3">
      <c r="GJ486" s="321"/>
      <c r="GK486" s="321"/>
      <c r="GL486" s="321"/>
      <c r="GM486" s="321"/>
      <c r="GN486" s="321"/>
      <c r="GO486" s="321"/>
      <c r="GP486" s="321"/>
      <c r="GQ486" s="321"/>
      <c r="GR486" s="321"/>
      <c r="GS486" s="321"/>
    </row>
    <row r="487" spans="192:201" x14ac:dyDescent="0.3">
      <c r="GJ487" s="321"/>
      <c r="GK487" s="321"/>
      <c r="GL487" s="321"/>
      <c r="GM487" s="321"/>
      <c r="GN487" s="321"/>
      <c r="GO487" s="321"/>
      <c r="GP487" s="321"/>
      <c r="GQ487" s="321"/>
      <c r="GR487" s="321"/>
      <c r="GS487" s="321"/>
    </row>
    <row r="488" spans="192:201" x14ac:dyDescent="0.3">
      <c r="GJ488" s="321"/>
      <c r="GK488" s="321"/>
      <c r="GL488" s="321"/>
      <c r="GM488" s="321"/>
      <c r="GN488" s="321"/>
      <c r="GO488" s="321"/>
      <c r="GP488" s="321"/>
      <c r="GQ488" s="321"/>
      <c r="GR488" s="321"/>
      <c r="GS488" s="321"/>
    </row>
    <row r="489" spans="192:201" x14ac:dyDescent="0.3">
      <c r="GJ489" s="321"/>
      <c r="GK489" s="321"/>
      <c r="GL489" s="321"/>
      <c r="GM489" s="321"/>
      <c r="GN489" s="321"/>
      <c r="GO489" s="321"/>
      <c r="GP489" s="321"/>
      <c r="GQ489" s="321"/>
      <c r="GR489" s="321"/>
      <c r="GS489" s="321"/>
    </row>
    <row r="490" spans="192:201" x14ac:dyDescent="0.3">
      <c r="GJ490" s="321"/>
      <c r="GK490" s="321"/>
      <c r="GL490" s="321"/>
      <c r="GM490" s="321"/>
      <c r="GN490" s="321"/>
      <c r="GO490" s="321"/>
      <c r="GP490" s="321"/>
      <c r="GQ490" s="321"/>
      <c r="GR490" s="321"/>
      <c r="GS490" s="321"/>
    </row>
    <row r="491" spans="192:201" x14ac:dyDescent="0.3">
      <c r="GJ491" s="321"/>
      <c r="GK491" s="321"/>
      <c r="GL491" s="321"/>
      <c r="GM491" s="321"/>
      <c r="GN491" s="321"/>
      <c r="GO491" s="321"/>
      <c r="GP491" s="321"/>
      <c r="GQ491" s="321"/>
      <c r="GR491" s="321"/>
      <c r="GS491" s="321"/>
    </row>
    <row r="492" spans="192:201" x14ac:dyDescent="0.3">
      <c r="GJ492" s="321"/>
      <c r="GK492" s="321"/>
      <c r="GL492" s="321"/>
      <c r="GM492" s="321"/>
      <c r="GN492" s="321"/>
      <c r="GO492" s="321"/>
      <c r="GP492" s="321"/>
      <c r="GQ492" s="321"/>
      <c r="GR492" s="321"/>
      <c r="GS492" s="321"/>
    </row>
    <row r="493" spans="192:201" x14ac:dyDescent="0.3">
      <c r="GJ493" s="321"/>
      <c r="GK493" s="321"/>
      <c r="GL493" s="321"/>
      <c r="GM493" s="321"/>
      <c r="GN493" s="321"/>
      <c r="GO493" s="321"/>
      <c r="GP493" s="321"/>
      <c r="GQ493" s="321"/>
      <c r="GR493" s="321"/>
      <c r="GS493" s="321"/>
    </row>
    <row r="494" spans="192:201" x14ac:dyDescent="0.3">
      <c r="GJ494" s="321"/>
      <c r="GK494" s="321"/>
      <c r="GL494" s="321"/>
      <c r="GM494" s="321"/>
      <c r="GN494" s="321"/>
      <c r="GO494" s="321"/>
      <c r="GP494" s="321"/>
      <c r="GQ494" s="321"/>
      <c r="GR494" s="321"/>
      <c r="GS494" s="321"/>
    </row>
    <row r="495" spans="192:201" x14ac:dyDescent="0.3">
      <c r="GJ495" s="321"/>
      <c r="GK495" s="321"/>
      <c r="GL495" s="321"/>
      <c r="GM495" s="321"/>
      <c r="GN495" s="321"/>
      <c r="GO495" s="321"/>
      <c r="GP495" s="321"/>
      <c r="GQ495" s="321"/>
      <c r="GR495" s="321"/>
      <c r="GS495" s="321"/>
    </row>
    <row r="496" spans="192:201" x14ac:dyDescent="0.3">
      <c r="GJ496" s="321"/>
      <c r="GK496" s="321"/>
      <c r="GL496" s="321"/>
      <c r="GM496" s="321"/>
      <c r="GN496" s="321"/>
      <c r="GO496" s="321"/>
      <c r="GP496" s="321"/>
      <c r="GQ496" s="321"/>
      <c r="GR496" s="321"/>
      <c r="GS496" s="321"/>
    </row>
    <row r="497" spans="192:201" x14ac:dyDescent="0.3">
      <c r="GJ497" s="321"/>
      <c r="GK497" s="321"/>
      <c r="GL497" s="321"/>
      <c r="GM497" s="321"/>
      <c r="GN497" s="321"/>
      <c r="GO497" s="321"/>
      <c r="GP497" s="321"/>
      <c r="GQ497" s="321"/>
      <c r="GR497" s="321"/>
      <c r="GS497" s="321"/>
    </row>
    <row r="498" spans="192:201" x14ac:dyDescent="0.3">
      <c r="GJ498" s="321"/>
      <c r="GK498" s="321"/>
      <c r="GL498" s="321"/>
      <c r="GM498" s="321"/>
      <c r="GN498" s="321"/>
      <c r="GO498" s="321"/>
      <c r="GP498" s="321"/>
      <c r="GQ498" s="321"/>
      <c r="GR498" s="321"/>
      <c r="GS498" s="321"/>
    </row>
    <row r="499" spans="192:201" x14ac:dyDescent="0.3">
      <c r="GJ499" s="321"/>
      <c r="GK499" s="321"/>
      <c r="GL499" s="321"/>
      <c r="GM499" s="321"/>
      <c r="GN499" s="321"/>
      <c r="GO499" s="321"/>
      <c r="GP499" s="321"/>
      <c r="GQ499" s="321"/>
      <c r="GR499" s="321"/>
      <c r="GS499" s="321"/>
    </row>
    <row r="500" spans="192:201" x14ac:dyDescent="0.3">
      <c r="GJ500" s="321"/>
      <c r="GK500" s="321"/>
      <c r="GL500" s="321"/>
      <c r="GM500" s="321"/>
      <c r="GN500" s="321"/>
      <c r="GO500" s="321"/>
      <c r="GP500" s="321"/>
      <c r="GQ500" s="321"/>
      <c r="GR500" s="321"/>
      <c r="GS500" s="321"/>
    </row>
    <row r="501" spans="192:201" x14ac:dyDescent="0.3">
      <c r="GJ501" s="321"/>
      <c r="GK501" s="321"/>
      <c r="GL501" s="321"/>
      <c r="GM501" s="321"/>
      <c r="GN501" s="321"/>
      <c r="GO501" s="321"/>
      <c r="GP501" s="321"/>
      <c r="GQ501" s="321"/>
      <c r="GR501" s="321"/>
      <c r="GS501" s="321"/>
    </row>
    <row r="502" spans="192:201" x14ac:dyDescent="0.3">
      <c r="GJ502" s="321"/>
      <c r="GK502" s="321"/>
      <c r="GL502" s="321"/>
      <c r="GM502" s="321"/>
      <c r="GN502" s="321"/>
      <c r="GO502" s="321"/>
      <c r="GP502" s="321"/>
      <c r="GQ502" s="321"/>
      <c r="GR502" s="321"/>
      <c r="GS502" s="321"/>
    </row>
    <row r="503" spans="192:201" x14ac:dyDescent="0.3">
      <c r="GJ503" s="321"/>
      <c r="GK503" s="321"/>
      <c r="GL503" s="321"/>
      <c r="GM503" s="321"/>
      <c r="GN503" s="321"/>
      <c r="GO503" s="321"/>
      <c r="GP503" s="321"/>
      <c r="GQ503" s="321"/>
      <c r="GR503" s="321"/>
      <c r="GS503" s="321"/>
    </row>
    <row r="504" spans="192:201" x14ac:dyDescent="0.3">
      <c r="GJ504" s="321"/>
      <c r="GK504" s="321"/>
      <c r="GL504" s="321"/>
      <c r="GM504" s="321"/>
      <c r="GN504" s="321"/>
      <c r="GO504" s="321"/>
      <c r="GP504" s="321"/>
      <c r="GQ504" s="321"/>
      <c r="GR504" s="321"/>
      <c r="GS504" s="321"/>
    </row>
    <row r="505" spans="192:201" x14ac:dyDescent="0.3">
      <c r="GJ505" s="321"/>
      <c r="GK505" s="321"/>
      <c r="GL505" s="321"/>
      <c r="GM505" s="321"/>
      <c r="GN505" s="321"/>
      <c r="GO505" s="321"/>
      <c r="GP505" s="321"/>
      <c r="GQ505" s="321"/>
      <c r="GR505" s="321"/>
      <c r="GS505" s="321"/>
    </row>
    <row r="506" spans="192:201" x14ac:dyDescent="0.3">
      <c r="GJ506" s="321"/>
      <c r="GK506" s="321"/>
      <c r="GL506" s="321"/>
      <c r="GM506" s="321"/>
      <c r="GN506" s="321"/>
      <c r="GO506" s="321"/>
      <c r="GP506" s="321"/>
      <c r="GQ506" s="321"/>
      <c r="GR506" s="321"/>
      <c r="GS506" s="321"/>
    </row>
    <row r="507" spans="192:201" x14ac:dyDescent="0.3">
      <c r="GJ507" s="321"/>
      <c r="GK507" s="321"/>
      <c r="GL507" s="321"/>
      <c r="GM507" s="321"/>
      <c r="GN507" s="321"/>
      <c r="GO507" s="321"/>
      <c r="GP507" s="321"/>
      <c r="GQ507" s="321"/>
      <c r="GR507" s="321"/>
      <c r="GS507" s="321"/>
    </row>
    <row r="508" spans="192:201" x14ac:dyDescent="0.3">
      <c r="GJ508" s="321"/>
      <c r="GK508" s="321"/>
      <c r="GL508" s="321"/>
      <c r="GM508" s="321"/>
      <c r="GN508" s="321"/>
      <c r="GO508" s="321"/>
      <c r="GP508" s="321"/>
      <c r="GQ508" s="321"/>
      <c r="GR508" s="321"/>
      <c r="GS508" s="321"/>
    </row>
    <row r="509" spans="192:201" x14ac:dyDescent="0.3">
      <c r="GJ509" s="321"/>
      <c r="GK509" s="321"/>
      <c r="GL509" s="321"/>
      <c r="GM509" s="321"/>
      <c r="GN509" s="321"/>
      <c r="GO509" s="321"/>
      <c r="GP509" s="321"/>
      <c r="GQ509" s="321"/>
      <c r="GR509" s="321"/>
      <c r="GS509" s="321"/>
    </row>
    <row r="510" spans="192:201" x14ac:dyDescent="0.3">
      <c r="GJ510" s="321"/>
      <c r="GK510" s="321"/>
      <c r="GL510" s="321"/>
      <c r="GM510" s="321"/>
      <c r="GN510" s="321"/>
      <c r="GO510" s="321"/>
      <c r="GP510" s="321"/>
      <c r="GQ510" s="321"/>
      <c r="GR510" s="321"/>
      <c r="GS510" s="321"/>
    </row>
    <row r="511" spans="192:201" x14ac:dyDescent="0.3">
      <c r="GJ511" s="321"/>
      <c r="GK511" s="321"/>
      <c r="GL511" s="321"/>
      <c r="GM511" s="321"/>
      <c r="GN511" s="321"/>
      <c r="GO511" s="321"/>
      <c r="GP511" s="321"/>
      <c r="GQ511" s="321"/>
      <c r="GR511" s="321"/>
      <c r="GS511" s="321"/>
    </row>
    <row r="512" spans="192:201" x14ac:dyDescent="0.3">
      <c r="GJ512" s="321"/>
      <c r="GK512" s="321"/>
      <c r="GL512" s="321"/>
      <c r="GM512" s="321"/>
      <c r="GN512" s="321"/>
      <c r="GO512" s="321"/>
      <c r="GP512" s="321"/>
      <c r="GQ512" s="321"/>
      <c r="GR512" s="321"/>
      <c r="GS512" s="321"/>
    </row>
    <row r="513" spans="192:201" x14ac:dyDescent="0.3">
      <c r="GJ513" s="321"/>
      <c r="GK513" s="321"/>
      <c r="GL513" s="321"/>
      <c r="GM513" s="321"/>
      <c r="GN513" s="321"/>
      <c r="GO513" s="321"/>
      <c r="GP513" s="321"/>
      <c r="GQ513" s="321"/>
      <c r="GR513" s="321"/>
      <c r="GS513" s="321"/>
    </row>
    <row r="514" spans="192:201" x14ac:dyDescent="0.3">
      <c r="GJ514" s="321"/>
      <c r="GK514" s="321"/>
      <c r="GL514" s="321"/>
      <c r="GM514" s="321"/>
      <c r="GN514" s="321"/>
      <c r="GO514" s="321"/>
      <c r="GP514" s="321"/>
      <c r="GQ514" s="321"/>
      <c r="GR514" s="321"/>
      <c r="GS514" s="321"/>
    </row>
    <row r="515" spans="192:201" x14ac:dyDescent="0.3">
      <c r="GJ515" s="321"/>
      <c r="GK515" s="321"/>
      <c r="GL515" s="321"/>
      <c r="GM515" s="321"/>
      <c r="GN515" s="321"/>
      <c r="GO515" s="321"/>
      <c r="GP515" s="321"/>
      <c r="GQ515" s="321"/>
      <c r="GR515" s="321"/>
      <c r="GS515" s="321"/>
    </row>
    <row r="516" spans="192:201" x14ac:dyDescent="0.3">
      <c r="GJ516" s="321"/>
      <c r="GK516" s="321"/>
      <c r="GL516" s="321"/>
      <c r="GM516" s="321"/>
      <c r="GN516" s="321"/>
      <c r="GO516" s="321"/>
      <c r="GP516" s="321"/>
      <c r="GQ516" s="321"/>
      <c r="GR516" s="321"/>
      <c r="GS516" s="321"/>
    </row>
    <row r="517" spans="192:201" x14ac:dyDescent="0.3">
      <c r="GJ517" s="321"/>
      <c r="GK517" s="321"/>
      <c r="GL517" s="321"/>
      <c r="GM517" s="321"/>
      <c r="GN517" s="321"/>
      <c r="GO517" s="321"/>
      <c r="GP517" s="321"/>
      <c r="GQ517" s="321"/>
      <c r="GR517" s="321"/>
      <c r="GS517" s="321"/>
    </row>
    <row r="518" spans="192:201" x14ac:dyDescent="0.3">
      <c r="GJ518" s="321"/>
      <c r="GK518" s="321"/>
      <c r="GL518" s="321"/>
      <c r="GM518" s="321"/>
      <c r="GN518" s="321"/>
      <c r="GO518" s="321"/>
      <c r="GP518" s="321"/>
      <c r="GQ518" s="321"/>
      <c r="GR518" s="321"/>
      <c r="GS518" s="321"/>
    </row>
    <row r="519" spans="192:201" x14ac:dyDescent="0.3">
      <c r="GJ519" s="321"/>
      <c r="GK519" s="321"/>
      <c r="GL519" s="321"/>
      <c r="GM519" s="321"/>
      <c r="GN519" s="321"/>
      <c r="GO519" s="321"/>
      <c r="GP519" s="321"/>
      <c r="GQ519" s="321"/>
      <c r="GR519" s="321"/>
      <c r="GS519" s="321"/>
    </row>
    <row r="520" spans="192:201" x14ac:dyDescent="0.3">
      <c r="GJ520" s="321"/>
      <c r="GK520" s="321"/>
      <c r="GL520" s="321"/>
      <c r="GM520" s="321"/>
      <c r="GN520" s="321"/>
      <c r="GO520" s="321"/>
      <c r="GP520" s="321"/>
      <c r="GQ520" s="321"/>
      <c r="GR520" s="321"/>
      <c r="GS520" s="321"/>
    </row>
    <row r="521" spans="192:201" x14ac:dyDescent="0.3">
      <c r="GJ521" s="321"/>
      <c r="GK521" s="321"/>
      <c r="GL521" s="321"/>
      <c r="GM521" s="321"/>
      <c r="GN521" s="321"/>
      <c r="GO521" s="321"/>
      <c r="GP521" s="321"/>
      <c r="GQ521" s="321"/>
      <c r="GR521" s="321"/>
      <c r="GS521" s="321"/>
    </row>
    <row r="522" spans="192:201" x14ac:dyDescent="0.3">
      <c r="GJ522" s="321"/>
      <c r="GK522" s="321"/>
      <c r="GL522" s="321"/>
      <c r="GM522" s="321"/>
      <c r="GN522" s="321"/>
      <c r="GO522" s="321"/>
      <c r="GP522" s="321"/>
      <c r="GQ522" s="321"/>
      <c r="GR522" s="321"/>
      <c r="GS522" s="321"/>
    </row>
    <row r="523" spans="192:201" x14ac:dyDescent="0.3">
      <c r="GJ523" s="321"/>
      <c r="GK523" s="321"/>
      <c r="GL523" s="321"/>
      <c r="GM523" s="321"/>
      <c r="GN523" s="321"/>
      <c r="GO523" s="321"/>
      <c r="GP523" s="321"/>
      <c r="GQ523" s="321"/>
      <c r="GR523" s="321"/>
      <c r="GS523" s="321"/>
    </row>
    <row r="524" spans="192:201" x14ac:dyDescent="0.3">
      <c r="GJ524" s="321"/>
      <c r="GK524" s="321"/>
      <c r="GL524" s="321"/>
      <c r="GM524" s="321"/>
      <c r="GN524" s="321"/>
      <c r="GO524" s="321"/>
      <c r="GP524" s="321"/>
      <c r="GQ524" s="321"/>
      <c r="GR524" s="321"/>
      <c r="GS524" s="321"/>
    </row>
    <row r="525" spans="192:201" x14ac:dyDescent="0.3">
      <c r="GJ525" s="321"/>
      <c r="GK525" s="321"/>
      <c r="GL525" s="321"/>
      <c r="GM525" s="321"/>
      <c r="GN525" s="321"/>
      <c r="GO525" s="321"/>
      <c r="GP525" s="321"/>
      <c r="GQ525" s="321"/>
      <c r="GR525" s="321"/>
      <c r="GS525" s="321"/>
    </row>
    <row r="526" spans="192:201" x14ac:dyDescent="0.3">
      <c r="GJ526" s="321"/>
      <c r="GK526" s="321"/>
      <c r="GL526" s="321"/>
      <c r="GM526" s="321"/>
      <c r="GN526" s="321"/>
      <c r="GO526" s="321"/>
      <c r="GP526" s="321"/>
      <c r="GQ526" s="321"/>
      <c r="GR526" s="321"/>
      <c r="GS526" s="321"/>
    </row>
    <row r="527" spans="192:201" x14ac:dyDescent="0.3">
      <c r="GJ527" s="321"/>
      <c r="GK527" s="321"/>
      <c r="GL527" s="321"/>
      <c r="GM527" s="321"/>
      <c r="GN527" s="321"/>
      <c r="GO527" s="321"/>
      <c r="GP527" s="321"/>
      <c r="GQ527" s="321"/>
      <c r="GR527" s="321"/>
      <c r="GS527" s="321"/>
    </row>
    <row r="528" spans="192:201" x14ac:dyDescent="0.3">
      <c r="GJ528" s="321"/>
      <c r="GK528" s="321"/>
      <c r="GL528" s="321"/>
      <c r="GM528" s="321"/>
      <c r="GN528" s="321"/>
      <c r="GO528" s="321"/>
      <c r="GP528" s="321"/>
      <c r="GQ528" s="321"/>
      <c r="GR528" s="321"/>
      <c r="GS528" s="321"/>
    </row>
    <row r="529" spans="192:201" x14ac:dyDescent="0.3">
      <c r="GJ529" s="321"/>
      <c r="GK529" s="321"/>
      <c r="GL529" s="321"/>
      <c r="GM529" s="321"/>
      <c r="GN529" s="321"/>
      <c r="GO529" s="321"/>
      <c r="GP529" s="321"/>
      <c r="GQ529" s="321"/>
      <c r="GR529" s="321"/>
      <c r="GS529" s="321"/>
    </row>
    <row r="530" spans="192:201" x14ac:dyDescent="0.3">
      <c r="GJ530" s="321"/>
      <c r="GK530" s="321"/>
      <c r="GL530" s="321"/>
      <c r="GM530" s="321"/>
      <c r="GN530" s="321"/>
      <c r="GO530" s="321"/>
      <c r="GP530" s="321"/>
      <c r="GQ530" s="321"/>
      <c r="GR530" s="321"/>
      <c r="GS530" s="321"/>
    </row>
    <row r="531" spans="192:201" x14ac:dyDescent="0.3">
      <c r="GJ531" s="321"/>
      <c r="GK531" s="321"/>
      <c r="GL531" s="321"/>
      <c r="GM531" s="321"/>
      <c r="GN531" s="321"/>
      <c r="GO531" s="321"/>
      <c r="GP531" s="321"/>
      <c r="GQ531" s="321"/>
      <c r="GR531" s="321"/>
      <c r="GS531" s="321"/>
    </row>
    <row r="532" spans="192:201" x14ac:dyDescent="0.3">
      <c r="GJ532" s="321"/>
      <c r="GK532" s="321"/>
      <c r="GL532" s="321"/>
      <c r="GM532" s="321"/>
      <c r="GN532" s="321"/>
      <c r="GO532" s="321"/>
      <c r="GP532" s="321"/>
      <c r="GQ532" s="321"/>
      <c r="GR532" s="321"/>
      <c r="GS532" s="321"/>
    </row>
    <row r="533" spans="192:201" x14ac:dyDescent="0.3">
      <c r="GJ533" s="321"/>
      <c r="GK533" s="321"/>
      <c r="GL533" s="321"/>
      <c r="GM533" s="321"/>
      <c r="GN533" s="321"/>
      <c r="GO533" s="321"/>
      <c r="GP533" s="321"/>
      <c r="GQ533" s="321"/>
      <c r="GR533" s="321"/>
      <c r="GS533" s="321"/>
    </row>
    <row r="534" spans="192:201" x14ac:dyDescent="0.3">
      <c r="GJ534" s="321"/>
      <c r="GK534" s="321"/>
      <c r="GL534" s="321"/>
      <c r="GM534" s="321"/>
      <c r="GN534" s="321"/>
      <c r="GO534" s="321"/>
      <c r="GP534" s="321"/>
      <c r="GQ534" s="321"/>
      <c r="GR534" s="321"/>
      <c r="GS534" s="321"/>
    </row>
    <row r="535" spans="192:201" x14ac:dyDescent="0.3">
      <c r="GJ535" s="321"/>
      <c r="GK535" s="321"/>
      <c r="GL535" s="321"/>
      <c r="GM535" s="321"/>
      <c r="GN535" s="321"/>
      <c r="GO535" s="321"/>
      <c r="GP535" s="321"/>
      <c r="GQ535" s="321"/>
      <c r="GR535" s="321"/>
      <c r="GS535" s="321"/>
    </row>
    <row r="536" spans="192:201" x14ac:dyDescent="0.3">
      <c r="GJ536" s="321"/>
      <c r="GK536" s="321"/>
      <c r="GL536" s="321"/>
      <c r="GM536" s="321"/>
      <c r="GN536" s="321"/>
      <c r="GO536" s="321"/>
      <c r="GP536" s="321"/>
      <c r="GQ536" s="321"/>
      <c r="GR536" s="321"/>
      <c r="GS536" s="321"/>
    </row>
    <row r="537" spans="192:201" x14ac:dyDescent="0.3">
      <c r="GJ537" s="321"/>
      <c r="GK537" s="321"/>
      <c r="GL537" s="321"/>
      <c r="GM537" s="321"/>
      <c r="GN537" s="321"/>
      <c r="GO537" s="321"/>
      <c r="GP537" s="321"/>
      <c r="GQ537" s="321"/>
      <c r="GR537" s="321"/>
      <c r="GS537" s="321"/>
    </row>
    <row r="538" spans="192:201" x14ac:dyDescent="0.3">
      <c r="GJ538" s="321"/>
      <c r="GK538" s="321"/>
      <c r="GL538" s="321"/>
      <c r="GM538" s="321"/>
      <c r="GN538" s="321"/>
      <c r="GO538" s="321"/>
      <c r="GP538" s="321"/>
      <c r="GQ538" s="321"/>
      <c r="GR538" s="321"/>
      <c r="GS538" s="321"/>
    </row>
    <row r="539" spans="192:201" x14ac:dyDescent="0.3">
      <c r="GJ539" s="321"/>
      <c r="GK539" s="321"/>
      <c r="GL539" s="321"/>
      <c r="GM539" s="321"/>
      <c r="GN539" s="321"/>
      <c r="GO539" s="321"/>
      <c r="GP539" s="321"/>
      <c r="GQ539" s="321"/>
      <c r="GR539" s="321"/>
      <c r="GS539" s="321"/>
    </row>
    <row r="540" spans="192:201" x14ac:dyDescent="0.3">
      <c r="GJ540" s="321"/>
      <c r="GK540" s="321"/>
      <c r="GL540" s="321"/>
      <c r="GM540" s="321"/>
      <c r="GN540" s="321"/>
      <c r="GO540" s="321"/>
      <c r="GP540" s="321"/>
      <c r="GQ540" s="321"/>
      <c r="GR540" s="321"/>
      <c r="GS540" s="321"/>
    </row>
    <row r="541" spans="192:201" x14ac:dyDescent="0.3">
      <c r="GJ541" s="321"/>
      <c r="GK541" s="321"/>
      <c r="GL541" s="321"/>
      <c r="GM541" s="321"/>
      <c r="GN541" s="321"/>
      <c r="GO541" s="321"/>
      <c r="GP541" s="321"/>
      <c r="GQ541" s="321"/>
      <c r="GR541" s="321"/>
      <c r="GS541" s="321"/>
    </row>
    <row r="542" spans="192:201" x14ac:dyDescent="0.3">
      <c r="GJ542" s="321"/>
      <c r="GK542" s="321"/>
      <c r="GL542" s="321"/>
      <c r="GM542" s="321"/>
      <c r="GN542" s="321"/>
      <c r="GO542" s="321"/>
      <c r="GP542" s="321"/>
      <c r="GQ542" s="321"/>
      <c r="GR542" s="321"/>
      <c r="GS542" s="321"/>
    </row>
    <row r="543" spans="192:201" x14ac:dyDescent="0.3">
      <c r="GJ543" s="321"/>
      <c r="GK543" s="321"/>
      <c r="GL543" s="321"/>
      <c r="GM543" s="321"/>
      <c r="GN543" s="321"/>
      <c r="GO543" s="321"/>
      <c r="GP543" s="321"/>
      <c r="GQ543" s="321"/>
      <c r="GR543" s="321"/>
      <c r="GS543" s="321"/>
    </row>
    <row r="544" spans="192:201" x14ac:dyDescent="0.3">
      <c r="GJ544" s="321"/>
      <c r="GK544" s="321"/>
      <c r="GL544" s="321"/>
      <c r="GM544" s="321"/>
      <c r="GN544" s="321"/>
      <c r="GO544" s="321"/>
      <c r="GP544" s="321"/>
      <c r="GQ544" s="321"/>
      <c r="GR544" s="321"/>
      <c r="GS544" s="321"/>
    </row>
    <row r="545" spans="192:201" x14ac:dyDescent="0.3">
      <c r="GJ545" s="321"/>
      <c r="GK545" s="321"/>
      <c r="GL545" s="321"/>
      <c r="GM545" s="321"/>
      <c r="GN545" s="321"/>
      <c r="GO545" s="321"/>
      <c r="GP545" s="321"/>
      <c r="GQ545" s="321"/>
      <c r="GR545" s="321"/>
      <c r="GS545" s="321"/>
    </row>
    <row r="546" spans="192:201" x14ac:dyDescent="0.3">
      <c r="GJ546" s="321"/>
      <c r="GK546" s="321"/>
      <c r="GL546" s="321"/>
      <c r="GM546" s="321"/>
      <c r="GN546" s="321"/>
      <c r="GO546" s="321"/>
      <c r="GP546" s="321"/>
      <c r="GQ546" s="321"/>
      <c r="GR546" s="321"/>
      <c r="GS546" s="321"/>
    </row>
    <row r="547" spans="192:201" x14ac:dyDescent="0.3">
      <c r="GJ547" s="321"/>
      <c r="GK547" s="321"/>
      <c r="GL547" s="321"/>
      <c r="GM547" s="321"/>
      <c r="GN547" s="321"/>
      <c r="GO547" s="321"/>
      <c r="GP547" s="321"/>
      <c r="GQ547" s="321"/>
      <c r="GR547" s="321"/>
      <c r="GS547" s="321"/>
    </row>
    <row r="548" spans="192:201" x14ac:dyDescent="0.3">
      <c r="GJ548" s="321"/>
      <c r="GK548" s="321"/>
      <c r="GL548" s="321"/>
      <c r="GM548" s="321"/>
      <c r="GN548" s="321"/>
      <c r="GO548" s="321"/>
      <c r="GP548" s="321"/>
      <c r="GQ548" s="321"/>
      <c r="GR548" s="321"/>
      <c r="GS548" s="321"/>
    </row>
    <row r="549" spans="192:201" x14ac:dyDescent="0.3">
      <c r="GJ549" s="321"/>
      <c r="GK549" s="321"/>
      <c r="GL549" s="321"/>
      <c r="GM549" s="321"/>
      <c r="GN549" s="321"/>
      <c r="GO549" s="321"/>
      <c r="GP549" s="321"/>
      <c r="GQ549" s="321"/>
      <c r="GR549" s="321"/>
      <c r="GS549" s="321"/>
    </row>
    <row r="550" spans="192:201" x14ac:dyDescent="0.3">
      <c r="GJ550" s="321"/>
      <c r="GK550" s="321"/>
      <c r="GL550" s="321"/>
      <c r="GM550" s="321"/>
      <c r="GN550" s="321"/>
      <c r="GO550" s="321"/>
      <c r="GP550" s="321"/>
      <c r="GQ550" s="321"/>
      <c r="GR550" s="321"/>
      <c r="GS550" s="321"/>
    </row>
    <row r="551" spans="192:201" x14ac:dyDescent="0.3">
      <c r="GJ551" s="321"/>
      <c r="GK551" s="321"/>
      <c r="GL551" s="321"/>
      <c r="GM551" s="321"/>
      <c r="GN551" s="321"/>
      <c r="GO551" s="321"/>
      <c r="GP551" s="321"/>
      <c r="GQ551" s="321"/>
      <c r="GR551" s="321"/>
      <c r="GS551" s="321"/>
    </row>
    <row r="552" spans="192:201" x14ac:dyDescent="0.3">
      <c r="GJ552" s="321"/>
      <c r="GK552" s="321"/>
      <c r="GL552" s="321"/>
      <c r="GM552" s="321"/>
      <c r="GN552" s="321"/>
      <c r="GO552" s="321"/>
      <c r="GP552" s="321"/>
      <c r="GQ552" s="321"/>
      <c r="GR552" s="321"/>
      <c r="GS552" s="321"/>
    </row>
    <row r="553" spans="192:201" x14ac:dyDescent="0.3">
      <c r="GJ553" s="321"/>
      <c r="GK553" s="321"/>
      <c r="GL553" s="321"/>
      <c r="GM553" s="321"/>
      <c r="GN553" s="321"/>
      <c r="GO553" s="321"/>
      <c r="GP553" s="321"/>
      <c r="GQ553" s="321"/>
      <c r="GR553" s="321"/>
      <c r="GS553" s="321"/>
    </row>
    <row r="554" spans="192:201" x14ac:dyDescent="0.3">
      <c r="GJ554" s="321"/>
      <c r="GK554" s="321"/>
      <c r="GL554" s="321"/>
      <c r="GM554" s="321"/>
      <c r="GN554" s="321"/>
      <c r="GO554" s="321"/>
      <c r="GP554" s="321"/>
      <c r="GQ554" s="321"/>
      <c r="GR554" s="321"/>
      <c r="GS554" s="321"/>
    </row>
    <row r="555" spans="192:201" x14ac:dyDescent="0.3">
      <c r="GJ555" s="321"/>
      <c r="GK555" s="321"/>
      <c r="GL555" s="321"/>
      <c r="GM555" s="321"/>
      <c r="GN555" s="321"/>
      <c r="GO555" s="321"/>
      <c r="GP555" s="321"/>
      <c r="GQ555" s="321"/>
      <c r="GR555" s="321"/>
      <c r="GS555" s="321"/>
    </row>
    <row r="556" spans="192:201" x14ac:dyDescent="0.3">
      <c r="GJ556" s="321"/>
      <c r="GK556" s="321"/>
      <c r="GL556" s="321"/>
      <c r="GM556" s="321"/>
      <c r="GN556" s="321"/>
      <c r="GO556" s="321"/>
      <c r="GP556" s="321"/>
      <c r="GQ556" s="321"/>
      <c r="GR556" s="321"/>
      <c r="GS556" s="321"/>
    </row>
    <row r="557" spans="192:201" x14ac:dyDescent="0.3">
      <c r="GJ557" s="321"/>
      <c r="GK557" s="321"/>
      <c r="GL557" s="321"/>
      <c r="GM557" s="321"/>
      <c r="GN557" s="321"/>
      <c r="GO557" s="321"/>
      <c r="GP557" s="321"/>
      <c r="GQ557" s="321"/>
      <c r="GR557" s="321"/>
      <c r="GS557" s="321"/>
    </row>
    <row r="558" spans="192:201" x14ac:dyDescent="0.3">
      <c r="GJ558" s="321"/>
      <c r="GK558" s="321"/>
      <c r="GL558" s="321"/>
      <c r="GM558" s="321"/>
      <c r="GN558" s="321"/>
      <c r="GO558" s="321"/>
      <c r="GP558" s="321"/>
      <c r="GQ558" s="321"/>
      <c r="GR558" s="321"/>
      <c r="GS558" s="321"/>
    </row>
    <row r="559" spans="192:201" x14ac:dyDescent="0.3">
      <c r="GJ559" s="321"/>
      <c r="GK559" s="321"/>
      <c r="GL559" s="321"/>
      <c r="GM559" s="321"/>
      <c r="GN559" s="321"/>
      <c r="GO559" s="321"/>
      <c r="GP559" s="321"/>
      <c r="GQ559" s="321"/>
      <c r="GR559" s="321"/>
      <c r="GS559" s="321"/>
    </row>
    <row r="560" spans="192:201" x14ac:dyDescent="0.3">
      <c r="GJ560" s="321"/>
      <c r="GK560" s="321"/>
      <c r="GL560" s="321"/>
      <c r="GM560" s="321"/>
      <c r="GN560" s="321"/>
      <c r="GO560" s="321"/>
      <c r="GP560" s="321"/>
      <c r="GQ560" s="321"/>
      <c r="GR560" s="321"/>
      <c r="GS560" s="321"/>
    </row>
    <row r="561" spans="192:201" x14ac:dyDescent="0.3">
      <c r="GJ561" s="321"/>
      <c r="GK561" s="321"/>
      <c r="GL561" s="321"/>
      <c r="GM561" s="321"/>
      <c r="GN561" s="321"/>
      <c r="GO561" s="321"/>
      <c r="GP561" s="321"/>
      <c r="GQ561" s="321"/>
      <c r="GR561" s="321"/>
      <c r="GS561" s="321"/>
    </row>
    <row r="562" spans="192:201" x14ac:dyDescent="0.3">
      <c r="GJ562" s="321"/>
      <c r="GK562" s="321"/>
      <c r="GL562" s="321"/>
      <c r="GM562" s="321"/>
      <c r="GN562" s="321"/>
      <c r="GO562" s="321"/>
      <c r="GP562" s="321"/>
      <c r="GQ562" s="321"/>
      <c r="GR562" s="321"/>
      <c r="GS562" s="321"/>
    </row>
    <row r="563" spans="192:201" x14ac:dyDescent="0.3">
      <c r="GJ563" s="321"/>
      <c r="GK563" s="321"/>
      <c r="GL563" s="321"/>
      <c r="GM563" s="321"/>
      <c r="GN563" s="321"/>
      <c r="GO563" s="321"/>
      <c r="GP563" s="321"/>
      <c r="GQ563" s="321"/>
      <c r="GR563" s="321"/>
      <c r="GS563" s="321"/>
    </row>
    <row r="564" spans="192:201" x14ac:dyDescent="0.3">
      <c r="GJ564" s="321"/>
      <c r="GK564" s="321"/>
      <c r="GL564" s="321"/>
      <c r="GM564" s="321"/>
      <c r="GN564" s="321"/>
      <c r="GO564" s="321"/>
      <c r="GP564" s="321"/>
      <c r="GQ564" s="321"/>
      <c r="GR564" s="321"/>
      <c r="GS564" s="321"/>
    </row>
    <row r="565" spans="192:201" x14ac:dyDescent="0.3">
      <c r="GJ565" s="321"/>
      <c r="GK565" s="321"/>
      <c r="GL565" s="321"/>
      <c r="GM565" s="321"/>
      <c r="GN565" s="321"/>
      <c r="GO565" s="321"/>
      <c r="GP565" s="321"/>
      <c r="GQ565" s="321"/>
      <c r="GR565" s="321"/>
      <c r="GS565" s="321"/>
    </row>
    <row r="566" spans="192:201" x14ac:dyDescent="0.3">
      <c r="GJ566" s="321"/>
      <c r="GK566" s="321"/>
      <c r="GL566" s="321"/>
      <c r="GM566" s="321"/>
      <c r="GN566" s="321"/>
      <c r="GO566" s="321"/>
      <c r="GP566" s="321"/>
      <c r="GQ566" s="321"/>
      <c r="GR566" s="321"/>
      <c r="GS566" s="321"/>
    </row>
    <row r="567" spans="192:201" x14ac:dyDescent="0.3">
      <c r="GJ567" s="321"/>
      <c r="GK567" s="321"/>
      <c r="GL567" s="321"/>
      <c r="GM567" s="321"/>
      <c r="GN567" s="321"/>
      <c r="GO567" s="321"/>
      <c r="GP567" s="321"/>
      <c r="GQ567" s="321"/>
      <c r="GR567" s="321"/>
      <c r="GS567" s="321"/>
    </row>
    <row r="568" spans="192:201" x14ac:dyDescent="0.3">
      <c r="GJ568" s="321"/>
      <c r="GK568" s="321"/>
      <c r="GL568" s="321"/>
      <c r="GM568" s="321"/>
      <c r="GN568" s="321"/>
      <c r="GO568" s="321"/>
      <c r="GP568" s="321"/>
      <c r="GQ568" s="321"/>
      <c r="GR568" s="321"/>
      <c r="GS568" s="321"/>
    </row>
    <row r="569" spans="192:201" x14ac:dyDescent="0.3">
      <c r="GJ569" s="321"/>
      <c r="GK569" s="321"/>
      <c r="GL569" s="321"/>
      <c r="GM569" s="321"/>
      <c r="GN569" s="321"/>
      <c r="GO569" s="321"/>
      <c r="GP569" s="321"/>
      <c r="GQ569" s="321"/>
      <c r="GR569" s="321"/>
      <c r="GS569" s="321"/>
    </row>
    <row r="570" spans="192:201" x14ac:dyDescent="0.3">
      <c r="GJ570" s="321"/>
      <c r="GK570" s="321"/>
      <c r="GL570" s="321"/>
      <c r="GM570" s="321"/>
      <c r="GN570" s="321"/>
      <c r="GO570" s="321"/>
      <c r="GP570" s="321"/>
      <c r="GQ570" s="321"/>
      <c r="GR570" s="321"/>
      <c r="GS570" s="321"/>
    </row>
    <row r="571" spans="192:201" x14ac:dyDescent="0.3">
      <c r="GJ571" s="321"/>
      <c r="GK571" s="321"/>
      <c r="GL571" s="321"/>
      <c r="GM571" s="321"/>
      <c r="GN571" s="321"/>
      <c r="GO571" s="321"/>
      <c r="GP571" s="321"/>
      <c r="GQ571" s="321"/>
      <c r="GR571" s="321"/>
      <c r="GS571" s="321"/>
    </row>
    <row r="572" spans="192:201" x14ac:dyDescent="0.3">
      <c r="GJ572" s="321"/>
      <c r="GK572" s="321"/>
      <c r="GL572" s="321"/>
      <c r="GM572" s="321"/>
      <c r="GN572" s="321"/>
      <c r="GO572" s="321"/>
      <c r="GP572" s="321"/>
      <c r="GQ572" s="321"/>
      <c r="GR572" s="321"/>
      <c r="GS572" s="321"/>
    </row>
    <row r="573" spans="192:201" x14ac:dyDescent="0.3">
      <c r="GJ573" s="321"/>
      <c r="GK573" s="321"/>
      <c r="GL573" s="321"/>
      <c r="GM573" s="321"/>
      <c r="GN573" s="321"/>
      <c r="GO573" s="321"/>
      <c r="GP573" s="321"/>
      <c r="GQ573" s="321"/>
      <c r="GR573" s="321"/>
      <c r="GS573" s="321"/>
    </row>
    <row r="574" spans="192:201" x14ac:dyDescent="0.3">
      <c r="GJ574" s="321"/>
      <c r="GK574" s="321"/>
      <c r="GL574" s="321"/>
      <c r="GM574" s="321"/>
      <c r="GN574" s="321"/>
      <c r="GO574" s="321"/>
      <c r="GP574" s="321"/>
      <c r="GQ574" s="321"/>
      <c r="GR574" s="321"/>
      <c r="GS574" s="321"/>
    </row>
    <row r="575" spans="192:201" x14ac:dyDescent="0.3">
      <c r="GJ575" s="321"/>
      <c r="GK575" s="321"/>
      <c r="GL575" s="321"/>
      <c r="GM575" s="321"/>
      <c r="GN575" s="321"/>
      <c r="GO575" s="321"/>
      <c r="GP575" s="321"/>
      <c r="GQ575" s="321"/>
      <c r="GR575" s="321"/>
      <c r="GS575" s="321"/>
    </row>
    <row r="576" spans="192:201" x14ac:dyDescent="0.3">
      <c r="GJ576" s="321"/>
      <c r="GK576" s="321"/>
      <c r="GL576" s="321"/>
      <c r="GM576" s="321"/>
      <c r="GN576" s="321"/>
      <c r="GO576" s="321"/>
      <c r="GP576" s="321"/>
      <c r="GQ576" s="321"/>
      <c r="GR576" s="321"/>
      <c r="GS576" s="321"/>
    </row>
    <row r="577" spans="192:201" x14ac:dyDescent="0.3">
      <c r="GJ577" s="321"/>
      <c r="GK577" s="321"/>
      <c r="GL577" s="321"/>
      <c r="GM577" s="321"/>
      <c r="GN577" s="321"/>
      <c r="GO577" s="321"/>
      <c r="GP577" s="321"/>
      <c r="GQ577" s="321"/>
      <c r="GR577" s="321"/>
      <c r="GS577" s="321"/>
    </row>
    <row r="578" spans="192:201" x14ac:dyDescent="0.3">
      <c r="GJ578" s="321"/>
      <c r="GK578" s="321"/>
      <c r="GL578" s="321"/>
      <c r="GM578" s="321"/>
      <c r="GN578" s="321"/>
      <c r="GO578" s="321"/>
      <c r="GP578" s="321"/>
      <c r="GQ578" s="321"/>
      <c r="GR578" s="321"/>
      <c r="GS578" s="321"/>
    </row>
    <row r="579" spans="192:201" x14ac:dyDescent="0.3">
      <c r="GJ579" s="321"/>
      <c r="GK579" s="321"/>
      <c r="GL579" s="321"/>
      <c r="GM579" s="321"/>
      <c r="GN579" s="321"/>
      <c r="GO579" s="321"/>
      <c r="GP579" s="321"/>
      <c r="GQ579" s="321"/>
      <c r="GR579" s="321"/>
      <c r="GS579" s="321"/>
    </row>
    <row r="580" spans="192:201" x14ac:dyDescent="0.3">
      <c r="GJ580" s="321"/>
      <c r="GK580" s="321"/>
      <c r="GL580" s="321"/>
      <c r="GM580" s="321"/>
      <c r="GN580" s="321"/>
      <c r="GO580" s="321"/>
      <c r="GP580" s="321"/>
      <c r="GQ580" s="321"/>
      <c r="GR580" s="321"/>
      <c r="GS580" s="321"/>
    </row>
    <row r="581" spans="192:201" x14ac:dyDescent="0.3">
      <c r="GJ581" s="321"/>
      <c r="GK581" s="321"/>
      <c r="GL581" s="321"/>
      <c r="GM581" s="321"/>
      <c r="GN581" s="321"/>
      <c r="GO581" s="321"/>
      <c r="GP581" s="321"/>
      <c r="GQ581" s="321"/>
      <c r="GR581" s="321"/>
      <c r="GS581" s="321"/>
    </row>
    <row r="582" spans="192:201" x14ac:dyDescent="0.3">
      <c r="GJ582" s="321"/>
      <c r="GK582" s="321"/>
      <c r="GL582" s="321"/>
      <c r="GM582" s="321"/>
      <c r="GN582" s="321"/>
      <c r="GO582" s="321"/>
      <c r="GP582" s="321"/>
      <c r="GQ582" s="321"/>
      <c r="GR582" s="321"/>
      <c r="GS582" s="321"/>
    </row>
    <row r="583" spans="192:201" x14ac:dyDescent="0.3">
      <c r="GJ583" s="321"/>
      <c r="GK583" s="321"/>
      <c r="GL583" s="321"/>
      <c r="GM583" s="321"/>
      <c r="GN583" s="321"/>
      <c r="GO583" s="321"/>
      <c r="GP583" s="321"/>
      <c r="GQ583" s="321"/>
      <c r="GR583" s="321"/>
      <c r="GS583" s="321"/>
    </row>
    <row r="584" spans="192:201" x14ac:dyDescent="0.3">
      <c r="GJ584" s="321"/>
      <c r="GK584" s="321"/>
      <c r="GL584" s="321"/>
      <c r="GM584" s="321"/>
      <c r="GN584" s="321"/>
      <c r="GO584" s="321"/>
      <c r="GP584" s="321"/>
      <c r="GQ584" s="321"/>
      <c r="GR584" s="321"/>
      <c r="GS584" s="321"/>
    </row>
    <row r="585" spans="192:201" x14ac:dyDescent="0.3">
      <c r="GJ585" s="321"/>
      <c r="GK585" s="321"/>
      <c r="GL585" s="321"/>
      <c r="GM585" s="321"/>
      <c r="GN585" s="321"/>
      <c r="GO585" s="321"/>
      <c r="GP585" s="321"/>
      <c r="GQ585" s="321"/>
      <c r="GR585" s="321"/>
      <c r="GS585" s="321"/>
    </row>
    <row r="586" spans="192:201" x14ac:dyDescent="0.3">
      <c r="GJ586" s="321"/>
      <c r="GK586" s="321"/>
      <c r="GL586" s="321"/>
      <c r="GM586" s="321"/>
      <c r="GN586" s="321"/>
      <c r="GO586" s="321"/>
      <c r="GP586" s="321"/>
      <c r="GQ586" s="321"/>
      <c r="GR586" s="321"/>
      <c r="GS586" s="321"/>
    </row>
    <row r="587" spans="192:201" x14ac:dyDescent="0.3">
      <c r="GJ587" s="321"/>
      <c r="GK587" s="321"/>
      <c r="GL587" s="321"/>
      <c r="GM587" s="321"/>
      <c r="GN587" s="321"/>
      <c r="GO587" s="321"/>
      <c r="GP587" s="321"/>
      <c r="GQ587" s="321"/>
      <c r="GR587" s="321"/>
      <c r="GS587" s="321"/>
    </row>
    <row r="588" spans="192:201" x14ac:dyDescent="0.3">
      <c r="GJ588" s="321"/>
      <c r="GK588" s="321"/>
      <c r="GL588" s="321"/>
      <c r="GM588" s="321"/>
      <c r="GN588" s="321"/>
      <c r="GO588" s="321"/>
      <c r="GP588" s="321"/>
      <c r="GQ588" s="321"/>
      <c r="GR588" s="321"/>
      <c r="GS588" s="321"/>
    </row>
    <row r="589" spans="192:201" x14ac:dyDescent="0.3">
      <c r="GJ589" s="321"/>
      <c r="GK589" s="321"/>
      <c r="GL589" s="321"/>
      <c r="GM589" s="321"/>
      <c r="GN589" s="321"/>
      <c r="GO589" s="321"/>
      <c r="GP589" s="321"/>
      <c r="GQ589" s="321"/>
      <c r="GR589" s="321"/>
      <c r="GS589" s="321"/>
    </row>
    <row r="590" spans="192:201" x14ac:dyDescent="0.3">
      <c r="GJ590" s="321"/>
      <c r="GK590" s="321"/>
      <c r="GL590" s="321"/>
      <c r="GM590" s="321"/>
      <c r="GN590" s="321"/>
      <c r="GO590" s="321"/>
      <c r="GP590" s="321"/>
      <c r="GQ590" s="321"/>
      <c r="GR590" s="321"/>
      <c r="GS590" s="321"/>
    </row>
    <row r="591" spans="192:201" x14ac:dyDescent="0.3">
      <c r="GJ591" s="321"/>
      <c r="GK591" s="321"/>
      <c r="GL591" s="321"/>
      <c r="GM591" s="321"/>
      <c r="GN591" s="321"/>
      <c r="GO591" s="321"/>
      <c r="GP591" s="321"/>
      <c r="GQ591" s="321"/>
      <c r="GR591" s="321"/>
      <c r="GS591" s="321"/>
    </row>
    <row r="592" spans="192:201" x14ac:dyDescent="0.3">
      <c r="GJ592" s="321"/>
      <c r="GK592" s="321"/>
      <c r="GL592" s="321"/>
      <c r="GM592" s="321"/>
      <c r="GN592" s="321"/>
      <c r="GO592" s="321"/>
      <c r="GP592" s="321"/>
      <c r="GQ592" s="321"/>
      <c r="GR592" s="321"/>
      <c r="GS592" s="321"/>
    </row>
    <row r="593" spans="192:201" x14ac:dyDescent="0.3">
      <c r="GJ593" s="321"/>
      <c r="GK593" s="321"/>
      <c r="GL593" s="321"/>
      <c r="GM593" s="321"/>
      <c r="GN593" s="321"/>
      <c r="GO593" s="321"/>
      <c r="GP593" s="321"/>
      <c r="GQ593" s="321"/>
      <c r="GR593" s="321"/>
      <c r="GS593" s="321"/>
    </row>
    <row r="594" spans="192:201" x14ac:dyDescent="0.3">
      <c r="GJ594" s="321"/>
      <c r="GK594" s="321"/>
      <c r="GL594" s="321"/>
      <c r="GM594" s="321"/>
      <c r="GN594" s="321"/>
      <c r="GO594" s="321"/>
      <c r="GP594" s="321"/>
      <c r="GQ594" s="321"/>
      <c r="GR594" s="321"/>
      <c r="GS594" s="321"/>
    </row>
    <row r="595" spans="192:201" x14ac:dyDescent="0.3">
      <c r="GJ595" s="321"/>
      <c r="GK595" s="321"/>
      <c r="GL595" s="321"/>
      <c r="GM595" s="321"/>
      <c r="GN595" s="321"/>
      <c r="GO595" s="321"/>
      <c r="GP595" s="321"/>
      <c r="GQ595" s="321"/>
      <c r="GR595" s="321"/>
      <c r="GS595" s="321"/>
    </row>
    <row r="596" spans="192:201" x14ac:dyDescent="0.3">
      <c r="GJ596" s="321"/>
      <c r="GK596" s="321"/>
      <c r="GL596" s="321"/>
      <c r="GM596" s="321"/>
      <c r="GN596" s="321"/>
      <c r="GO596" s="321"/>
      <c r="GP596" s="321"/>
      <c r="GQ596" s="321"/>
      <c r="GR596" s="321"/>
      <c r="GS596" s="321"/>
    </row>
    <row r="597" spans="192:201" x14ac:dyDescent="0.3">
      <c r="GJ597" s="321"/>
      <c r="GK597" s="321"/>
      <c r="GL597" s="321"/>
      <c r="GM597" s="321"/>
      <c r="GN597" s="321"/>
      <c r="GO597" s="321"/>
      <c r="GP597" s="321"/>
      <c r="GQ597" s="321"/>
      <c r="GR597" s="321"/>
      <c r="GS597" s="321"/>
    </row>
    <row r="598" spans="192:201" x14ac:dyDescent="0.3">
      <c r="GJ598" s="321"/>
      <c r="GK598" s="321"/>
      <c r="GL598" s="321"/>
      <c r="GM598" s="321"/>
      <c r="GN598" s="321"/>
      <c r="GO598" s="321"/>
      <c r="GP598" s="321"/>
      <c r="GQ598" s="321"/>
      <c r="GR598" s="321"/>
      <c r="GS598" s="321"/>
    </row>
    <row r="599" spans="192:201" x14ac:dyDescent="0.3">
      <c r="GJ599" s="321"/>
      <c r="GK599" s="321"/>
      <c r="GL599" s="321"/>
      <c r="GM599" s="321"/>
      <c r="GN599" s="321"/>
      <c r="GO599" s="321"/>
      <c r="GP599" s="321"/>
      <c r="GQ599" s="321"/>
      <c r="GR599" s="321"/>
      <c r="GS599" s="321"/>
    </row>
    <row r="600" spans="192:201" x14ac:dyDescent="0.3">
      <c r="GJ600" s="321"/>
      <c r="GK600" s="321"/>
      <c r="GL600" s="321"/>
      <c r="GM600" s="321"/>
      <c r="GN600" s="321"/>
      <c r="GO600" s="321"/>
      <c r="GP600" s="321"/>
      <c r="GQ600" s="321"/>
      <c r="GR600" s="321"/>
      <c r="GS600" s="321"/>
    </row>
    <row r="601" spans="192:201" x14ac:dyDescent="0.3">
      <c r="GJ601" s="321"/>
      <c r="GK601" s="321"/>
      <c r="GL601" s="321"/>
      <c r="GM601" s="321"/>
      <c r="GN601" s="321"/>
      <c r="GO601" s="321"/>
      <c r="GP601" s="321"/>
      <c r="GQ601" s="321"/>
      <c r="GR601" s="321"/>
      <c r="GS601" s="321"/>
    </row>
    <row r="602" spans="192:201" x14ac:dyDescent="0.3">
      <c r="GJ602" s="321"/>
      <c r="GK602" s="321"/>
      <c r="GL602" s="321"/>
      <c r="GM602" s="321"/>
      <c r="GN602" s="321"/>
      <c r="GO602" s="321"/>
      <c r="GP602" s="321"/>
      <c r="GQ602" s="321"/>
      <c r="GR602" s="321"/>
      <c r="GS602" s="321"/>
    </row>
    <row r="603" spans="192:201" x14ac:dyDescent="0.3">
      <c r="GJ603" s="321"/>
      <c r="GK603" s="321"/>
      <c r="GL603" s="321"/>
      <c r="GM603" s="321"/>
      <c r="GN603" s="321"/>
      <c r="GO603" s="321"/>
      <c r="GP603" s="321"/>
      <c r="GQ603" s="321"/>
      <c r="GR603" s="321"/>
      <c r="GS603" s="321"/>
    </row>
    <row r="604" spans="192:201" x14ac:dyDescent="0.3">
      <c r="GJ604" s="321"/>
      <c r="GK604" s="321"/>
      <c r="GL604" s="321"/>
      <c r="GM604" s="321"/>
      <c r="GN604" s="321"/>
      <c r="GO604" s="321"/>
      <c r="GP604" s="321"/>
      <c r="GQ604" s="321"/>
      <c r="GR604" s="321"/>
      <c r="GS604" s="321"/>
    </row>
    <row r="605" spans="192:201" x14ac:dyDescent="0.3">
      <c r="GJ605" s="321"/>
      <c r="GK605" s="321"/>
      <c r="GL605" s="321"/>
      <c r="GM605" s="321"/>
      <c r="GN605" s="321"/>
      <c r="GO605" s="321"/>
      <c r="GP605" s="321"/>
      <c r="GQ605" s="321"/>
      <c r="GR605" s="321"/>
      <c r="GS605" s="321"/>
    </row>
    <row r="606" spans="192:201" x14ac:dyDescent="0.3">
      <c r="GJ606" s="321"/>
      <c r="GK606" s="321"/>
      <c r="GL606" s="321"/>
      <c r="GM606" s="321"/>
      <c r="GN606" s="321"/>
      <c r="GO606" s="321"/>
      <c r="GP606" s="321"/>
      <c r="GQ606" s="321"/>
      <c r="GR606" s="321"/>
      <c r="GS606" s="321"/>
    </row>
    <row r="607" spans="192:201" x14ac:dyDescent="0.3">
      <c r="GJ607" s="321"/>
      <c r="GK607" s="321"/>
      <c r="GL607" s="321"/>
      <c r="GM607" s="321"/>
      <c r="GN607" s="321"/>
      <c r="GO607" s="321"/>
      <c r="GP607" s="321"/>
      <c r="GQ607" s="321"/>
      <c r="GR607" s="321"/>
      <c r="GS607" s="321"/>
    </row>
    <row r="608" spans="192:201" x14ac:dyDescent="0.3">
      <c r="GJ608" s="321"/>
      <c r="GK608" s="321"/>
      <c r="GL608" s="321"/>
      <c r="GM608" s="321"/>
      <c r="GN608" s="321"/>
      <c r="GO608" s="321"/>
      <c r="GP608" s="321"/>
      <c r="GQ608" s="321"/>
      <c r="GR608" s="321"/>
      <c r="GS608" s="321"/>
    </row>
    <row r="609" spans="192:201" x14ac:dyDescent="0.3">
      <c r="GJ609" s="321"/>
      <c r="GK609" s="321"/>
      <c r="GL609" s="321"/>
      <c r="GM609" s="321"/>
      <c r="GN609" s="321"/>
      <c r="GO609" s="321"/>
      <c r="GP609" s="321"/>
      <c r="GQ609" s="321"/>
      <c r="GR609" s="321"/>
      <c r="GS609" s="321"/>
    </row>
    <row r="610" spans="192:201" x14ac:dyDescent="0.3">
      <c r="GJ610" s="321"/>
      <c r="GK610" s="321"/>
      <c r="GL610" s="321"/>
      <c r="GM610" s="321"/>
      <c r="GN610" s="321"/>
      <c r="GO610" s="321"/>
      <c r="GP610" s="321"/>
      <c r="GQ610" s="321"/>
      <c r="GR610" s="321"/>
      <c r="GS610" s="321"/>
    </row>
    <row r="611" spans="192:201" x14ac:dyDescent="0.3">
      <c r="GJ611" s="321"/>
      <c r="GK611" s="321"/>
      <c r="GL611" s="321"/>
      <c r="GM611" s="321"/>
      <c r="GN611" s="321"/>
      <c r="GO611" s="321"/>
      <c r="GP611" s="321"/>
      <c r="GQ611" s="321"/>
      <c r="GR611" s="321"/>
      <c r="GS611" s="321"/>
    </row>
    <row r="612" spans="192:201" x14ac:dyDescent="0.3">
      <c r="GJ612" s="321"/>
      <c r="GK612" s="321"/>
      <c r="GL612" s="321"/>
      <c r="GM612" s="321"/>
      <c r="GN612" s="321"/>
      <c r="GO612" s="321"/>
      <c r="GP612" s="321"/>
      <c r="GQ612" s="321"/>
      <c r="GR612" s="321"/>
      <c r="GS612" s="321"/>
    </row>
    <row r="613" spans="192:201" x14ac:dyDescent="0.3">
      <c r="GJ613" s="321"/>
      <c r="GK613" s="321"/>
      <c r="GL613" s="321"/>
      <c r="GM613" s="321"/>
      <c r="GN613" s="321"/>
      <c r="GO613" s="321"/>
      <c r="GP613" s="321"/>
      <c r="GQ613" s="321"/>
      <c r="GR613" s="321"/>
      <c r="GS613" s="321"/>
    </row>
    <row r="614" spans="192:201" x14ac:dyDescent="0.3">
      <c r="GJ614" s="321"/>
      <c r="GK614" s="321"/>
      <c r="GL614" s="321"/>
      <c r="GM614" s="321"/>
      <c r="GN614" s="321"/>
      <c r="GO614" s="321"/>
      <c r="GP614" s="321"/>
      <c r="GQ614" s="321"/>
      <c r="GR614" s="321"/>
      <c r="GS614" s="321"/>
    </row>
    <row r="615" spans="192:201" x14ac:dyDescent="0.3">
      <c r="GJ615" s="321"/>
      <c r="GK615" s="321"/>
      <c r="GL615" s="321"/>
      <c r="GM615" s="321"/>
      <c r="GN615" s="321"/>
      <c r="GO615" s="321"/>
      <c r="GP615" s="321"/>
      <c r="GQ615" s="321"/>
      <c r="GR615" s="321"/>
      <c r="GS615" s="321"/>
    </row>
    <row r="616" spans="192:201" x14ac:dyDescent="0.3">
      <c r="GJ616" s="321"/>
      <c r="GK616" s="321"/>
      <c r="GL616" s="321"/>
      <c r="GM616" s="321"/>
      <c r="GN616" s="321"/>
      <c r="GO616" s="321"/>
      <c r="GP616" s="321"/>
      <c r="GQ616" s="321"/>
      <c r="GR616" s="321"/>
      <c r="GS616" s="321"/>
    </row>
    <row r="617" spans="192:201" x14ac:dyDescent="0.3">
      <c r="GJ617" s="321"/>
      <c r="GK617" s="321"/>
      <c r="GL617" s="321"/>
      <c r="GM617" s="321"/>
      <c r="GN617" s="321"/>
      <c r="GO617" s="321"/>
      <c r="GP617" s="321"/>
      <c r="GQ617" s="321"/>
      <c r="GR617" s="321"/>
      <c r="GS617" s="321"/>
    </row>
    <row r="618" spans="192:201" x14ac:dyDescent="0.3">
      <c r="GJ618" s="321"/>
      <c r="GK618" s="321"/>
      <c r="GL618" s="321"/>
      <c r="GM618" s="321"/>
      <c r="GN618" s="321"/>
      <c r="GO618" s="321"/>
      <c r="GP618" s="321"/>
      <c r="GQ618" s="321"/>
      <c r="GR618" s="321"/>
      <c r="GS618" s="321"/>
    </row>
    <row r="619" spans="192:201" x14ac:dyDescent="0.3">
      <c r="GJ619" s="321"/>
      <c r="GK619" s="321"/>
      <c r="GL619" s="321"/>
      <c r="GM619" s="321"/>
      <c r="GN619" s="321"/>
      <c r="GO619" s="321"/>
      <c r="GP619" s="321"/>
      <c r="GQ619" s="321"/>
      <c r="GR619" s="321"/>
      <c r="GS619" s="321"/>
    </row>
    <row r="620" spans="192:201" x14ac:dyDescent="0.3">
      <c r="GJ620" s="321"/>
      <c r="GK620" s="321"/>
      <c r="GL620" s="321"/>
      <c r="GM620" s="321"/>
      <c r="GN620" s="321"/>
      <c r="GO620" s="321"/>
      <c r="GP620" s="321"/>
      <c r="GQ620" s="321"/>
      <c r="GR620" s="321"/>
      <c r="GS620" s="321"/>
    </row>
    <row r="621" spans="192:201" x14ac:dyDescent="0.3">
      <c r="GJ621" s="321"/>
      <c r="GK621" s="321"/>
      <c r="GL621" s="321"/>
      <c r="GM621" s="321"/>
      <c r="GN621" s="321"/>
      <c r="GO621" s="321"/>
      <c r="GP621" s="321"/>
      <c r="GQ621" s="321"/>
      <c r="GR621" s="321"/>
      <c r="GS621" s="321"/>
    </row>
    <row r="622" spans="192:201" x14ac:dyDescent="0.3">
      <c r="GJ622" s="321"/>
      <c r="GK622" s="321"/>
      <c r="GL622" s="321"/>
      <c r="GM622" s="321"/>
      <c r="GN622" s="321"/>
      <c r="GO622" s="321"/>
      <c r="GP622" s="321"/>
      <c r="GQ622" s="321"/>
      <c r="GR622" s="321"/>
      <c r="GS622" s="321"/>
    </row>
    <row r="623" spans="192:201" x14ac:dyDescent="0.3">
      <c r="GJ623" s="321"/>
      <c r="GK623" s="321"/>
      <c r="GL623" s="321"/>
      <c r="GM623" s="321"/>
      <c r="GN623" s="321"/>
      <c r="GO623" s="321"/>
      <c r="GP623" s="321"/>
      <c r="GQ623" s="321"/>
      <c r="GR623" s="321"/>
      <c r="GS623" s="321"/>
    </row>
    <row r="624" spans="192:201" x14ac:dyDescent="0.3">
      <c r="GJ624" s="321"/>
      <c r="GK624" s="321"/>
      <c r="GL624" s="321"/>
      <c r="GM624" s="321"/>
      <c r="GN624" s="321"/>
      <c r="GO624" s="321"/>
      <c r="GP624" s="321"/>
      <c r="GQ624" s="321"/>
      <c r="GR624" s="321"/>
      <c r="GS624" s="321"/>
    </row>
    <row r="625" spans="192:201" x14ac:dyDescent="0.3">
      <c r="GJ625" s="321"/>
      <c r="GK625" s="321"/>
      <c r="GL625" s="321"/>
      <c r="GM625" s="321"/>
      <c r="GN625" s="321"/>
      <c r="GO625" s="321"/>
      <c r="GP625" s="321"/>
      <c r="GQ625" s="321"/>
      <c r="GR625" s="321"/>
      <c r="GS625" s="321"/>
    </row>
    <row r="626" spans="192:201" x14ac:dyDescent="0.3">
      <c r="GJ626" s="321"/>
      <c r="GK626" s="321"/>
      <c r="GL626" s="321"/>
      <c r="GM626" s="321"/>
      <c r="GN626" s="321"/>
      <c r="GO626" s="321"/>
      <c r="GP626" s="321"/>
      <c r="GQ626" s="321"/>
      <c r="GR626" s="321"/>
      <c r="GS626" s="321"/>
    </row>
    <row r="627" spans="192:201" x14ac:dyDescent="0.3">
      <c r="GJ627" s="321"/>
      <c r="GK627" s="321"/>
      <c r="GL627" s="321"/>
      <c r="GM627" s="321"/>
      <c r="GN627" s="321"/>
      <c r="GO627" s="321"/>
      <c r="GP627" s="321"/>
      <c r="GQ627" s="321"/>
      <c r="GR627" s="321"/>
      <c r="GS627" s="321"/>
    </row>
    <row r="628" spans="192:201" x14ac:dyDescent="0.3">
      <c r="GJ628" s="321"/>
      <c r="GK628" s="321"/>
      <c r="GL628" s="321"/>
      <c r="GM628" s="321"/>
      <c r="GN628" s="321"/>
      <c r="GO628" s="321"/>
      <c r="GP628" s="321"/>
      <c r="GQ628" s="321"/>
      <c r="GR628" s="321"/>
      <c r="GS628" s="321"/>
    </row>
    <row r="629" spans="192:201" x14ac:dyDescent="0.3">
      <c r="GJ629" s="321"/>
      <c r="GK629" s="321"/>
      <c r="GL629" s="321"/>
      <c r="GM629" s="321"/>
      <c r="GN629" s="321"/>
      <c r="GO629" s="321"/>
      <c r="GP629" s="321"/>
      <c r="GQ629" s="321"/>
      <c r="GR629" s="321"/>
      <c r="GS629" s="321"/>
    </row>
    <row r="630" spans="192:201" x14ac:dyDescent="0.3">
      <c r="GJ630" s="321"/>
      <c r="GK630" s="321"/>
      <c r="GL630" s="321"/>
      <c r="GM630" s="321"/>
      <c r="GN630" s="321"/>
      <c r="GO630" s="321"/>
      <c r="GP630" s="321"/>
      <c r="GQ630" s="321"/>
      <c r="GR630" s="321"/>
      <c r="GS630" s="321"/>
    </row>
    <row r="631" spans="192:201" x14ac:dyDescent="0.3">
      <c r="GJ631" s="321"/>
      <c r="GK631" s="321"/>
      <c r="GL631" s="321"/>
      <c r="GM631" s="321"/>
      <c r="GN631" s="321"/>
      <c r="GO631" s="321"/>
      <c r="GP631" s="321"/>
      <c r="GQ631" s="321"/>
      <c r="GR631" s="321"/>
      <c r="GS631" s="321"/>
    </row>
    <row r="632" spans="192:201" x14ac:dyDescent="0.3">
      <c r="GJ632" s="321"/>
      <c r="GK632" s="321"/>
      <c r="GL632" s="321"/>
      <c r="GM632" s="321"/>
      <c r="GN632" s="321"/>
      <c r="GO632" s="321"/>
      <c r="GP632" s="321"/>
      <c r="GQ632" s="321"/>
      <c r="GR632" s="321"/>
      <c r="GS632" s="321"/>
    </row>
    <row r="633" spans="192:201" x14ac:dyDescent="0.3">
      <c r="GJ633" s="321"/>
      <c r="GK633" s="321"/>
      <c r="GL633" s="321"/>
      <c r="GM633" s="321"/>
      <c r="GN633" s="321"/>
      <c r="GO633" s="321"/>
      <c r="GP633" s="321"/>
      <c r="GQ633" s="321"/>
      <c r="GR633" s="321"/>
      <c r="GS633" s="321"/>
    </row>
    <row r="634" spans="192:201" x14ac:dyDescent="0.3">
      <c r="GJ634" s="321"/>
      <c r="GK634" s="321"/>
      <c r="GL634" s="321"/>
      <c r="GM634" s="321"/>
      <c r="GN634" s="321"/>
      <c r="GO634" s="321"/>
      <c r="GP634" s="321"/>
      <c r="GQ634" s="321"/>
      <c r="GR634" s="321"/>
      <c r="GS634" s="321"/>
    </row>
    <row r="635" spans="192:201" x14ac:dyDescent="0.3">
      <c r="GJ635" s="321"/>
      <c r="GK635" s="321"/>
      <c r="GL635" s="321"/>
      <c r="GM635" s="321"/>
      <c r="GN635" s="321"/>
      <c r="GO635" s="321"/>
      <c r="GP635" s="321"/>
      <c r="GQ635" s="321"/>
      <c r="GR635" s="321"/>
      <c r="GS635" s="321"/>
    </row>
    <row r="636" spans="192:201" x14ac:dyDescent="0.3">
      <c r="GJ636" s="321"/>
      <c r="GK636" s="321"/>
      <c r="GL636" s="321"/>
      <c r="GM636" s="321"/>
      <c r="GN636" s="321"/>
      <c r="GO636" s="321"/>
      <c r="GP636" s="321"/>
      <c r="GQ636" s="321"/>
      <c r="GR636" s="321"/>
      <c r="GS636" s="321"/>
    </row>
    <row r="637" spans="192:201" x14ac:dyDescent="0.3">
      <c r="GJ637" s="321"/>
      <c r="GK637" s="321"/>
      <c r="GL637" s="321"/>
      <c r="GM637" s="321"/>
      <c r="GN637" s="321"/>
      <c r="GO637" s="321"/>
      <c r="GP637" s="321"/>
      <c r="GQ637" s="321"/>
      <c r="GR637" s="321"/>
      <c r="GS637" s="321"/>
    </row>
    <row r="638" spans="192:201" x14ac:dyDescent="0.3">
      <c r="GJ638" s="321"/>
      <c r="GK638" s="321"/>
      <c r="GL638" s="321"/>
      <c r="GM638" s="321"/>
      <c r="GN638" s="321"/>
      <c r="GO638" s="321"/>
      <c r="GP638" s="321"/>
      <c r="GQ638" s="321"/>
      <c r="GR638" s="321"/>
      <c r="GS638" s="321"/>
    </row>
    <row r="639" spans="192:201" x14ac:dyDescent="0.3">
      <c r="GJ639" s="321"/>
      <c r="GK639" s="321"/>
      <c r="GL639" s="321"/>
      <c r="GM639" s="321"/>
      <c r="GN639" s="321"/>
      <c r="GO639" s="321"/>
      <c r="GP639" s="321"/>
      <c r="GQ639" s="321"/>
      <c r="GR639" s="321"/>
      <c r="GS639" s="321"/>
    </row>
    <row r="640" spans="192:201" x14ac:dyDescent="0.3">
      <c r="GJ640" s="321"/>
      <c r="GK640" s="321"/>
      <c r="GL640" s="321"/>
      <c r="GM640" s="321"/>
      <c r="GN640" s="321"/>
      <c r="GO640" s="321"/>
      <c r="GP640" s="321"/>
      <c r="GQ640" s="321"/>
      <c r="GR640" s="321"/>
      <c r="GS640" s="321"/>
    </row>
    <row r="641" spans="192:201" x14ac:dyDescent="0.3">
      <c r="GJ641" s="321"/>
      <c r="GK641" s="321"/>
      <c r="GL641" s="321"/>
      <c r="GM641" s="321"/>
      <c r="GN641" s="321"/>
      <c r="GO641" s="321"/>
      <c r="GP641" s="321"/>
      <c r="GQ641" s="321"/>
      <c r="GR641" s="321"/>
      <c r="GS641" s="321"/>
    </row>
    <row r="642" spans="192:201" x14ac:dyDescent="0.3">
      <c r="GJ642" s="321"/>
      <c r="GK642" s="321"/>
      <c r="GL642" s="321"/>
      <c r="GM642" s="321"/>
      <c r="GN642" s="321"/>
      <c r="GO642" s="321"/>
      <c r="GP642" s="321"/>
      <c r="GQ642" s="321"/>
      <c r="GR642" s="321"/>
      <c r="GS642" s="321"/>
    </row>
    <row r="643" spans="192:201" x14ac:dyDescent="0.3">
      <c r="GJ643" s="321"/>
      <c r="GK643" s="321"/>
      <c r="GL643" s="321"/>
      <c r="GM643" s="321"/>
      <c r="GN643" s="321"/>
      <c r="GO643" s="321"/>
      <c r="GP643" s="321"/>
      <c r="GQ643" s="321"/>
      <c r="GR643" s="321"/>
      <c r="GS643" s="321"/>
    </row>
    <row r="644" spans="192:201" x14ac:dyDescent="0.3">
      <c r="GJ644" s="321"/>
      <c r="GK644" s="321"/>
      <c r="GL644" s="321"/>
      <c r="GM644" s="321"/>
      <c r="GN644" s="321"/>
      <c r="GO644" s="321"/>
      <c r="GP644" s="321"/>
      <c r="GQ644" s="321"/>
      <c r="GR644" s="321"/>
      <c r="GS644" s="321"/>
    </row>
    <row r="645" spans="192:201" x14ac:dyDescent="0.3">
      <c r="GJ645" s="321"/>
      <c r="GK645" s="321"/>
      <c r="GL645" s="321"/>
      <c r="GM645" s="321"/>
      <c r="GN645" s="321"/>
      <c r="GO645" s="321"/>
      <c r="GP645" s="321"/>
      <c r="GQ645" s="321"/>
      <c r="GR645" s="321"/>
      <c r="GS645" s="321"/>
    </row>
    <row r="646" spans="192:201" x14ac:dyDescent="0.3">
      <c r="GJ646" s="321"/>
      <c r="GK646" s="321"/>
      <c r="GL646" s="321"/>
      <c r="GM646" s="321"/>
      <c r="GN646" s="321"/>
      <c r="GO646" s="321"/>
      <c r="GP646" s="321"/>
      <c r="GQ646" s="321"/>
      <c r="GR646" s="321"/>
      <c r="GS646" s="321"/>
    </row>
    <row r="647" spans="192:201" x14ac:dyDescent="0.3">
      <c r="GJ647" s="321"/>
      <c r="GK647" s="321"/>
      <c r="GL647" s="321"/>
      <c r="GM647" s="321"/>
      <c r="GN647" s="321"/>
      <c r="GO647" s="321"/>
      <c r="GP647" s="321"/>
      <c r="GQ647" s="321"/>
      <c r="GR647" s="321"/>
      <c r="GS647" s="321"/>
    </row>
    <row r="648" spans="192:201" x14ac:dyDescent="0.3">
      <c r="GJ648" s="321"/>
      <c r="GK648" s="321"/>
      <c r="GL648" s="321"/>
      <c r="GM648" s="321"/>
      <c r="GN648" s="321"/>
      <c r="GO648" s="321"/>
      <c r="GP648" s="321"/>
      <c r="GQ648" s="321"/>
      <c r="GR648" s="321"/>
      <c r="GS648" s="321"/>
    </row>
    <row r="649" spans="192:201" x14ac:dyDescent="0.3">
      <c r="GJ649" s="321"/>
      <c r="GK649" s="321"/>
      <c r="GL649" s="321"/>
      <c r="GM649" s="321"/>
      <c r="GN649" s="321"/>
      <c r="GO649" s="321"/>
      <c r="GP649" s="321"/>
      <c r="GQ649" s="321"/>
      <c r="GR649" s="321"/>
      <c r="GS649" s="321"/>
    </row>
    <row r="650" spans="192:201" x14ac:dyDescent="0.3">
      <c r="GJ650" s="321"/>
      <c r="GK650" s="321"/>
      <c r="GL650" s="321"/>
      <c r="GM650" s="321"/>
      <c r="GN650" s="321"/>
      <c r="GO650" s="321"/>
      <c r="GP650" s="321"/>
      <c r="GQ650" s="321"/>
      <c r="GR650" s="321"/>
      <c r="GS650" s="321"/>
    </row>
    <row r="651" spans="192:201" x14ac:dyDescent="0.3">
      <c r="GJ651" s="321"/>
      <c r="GK651" s="321"/>
      <c r="GL651" s="321"/>
      <c r="GM651" s="321"/>
      <c r="GN651" s="321"/>
      <c r="GO651" s="321"/>
      <c r="GP651" s="321"/>
      <c r="GQ651" s="321"/>
      <c r="GR651" s="321"/>
      <c r="GS651" s="321"/>
    </row>
    <row r="652" spans="192:201" x14ac:dyDescent="0.3">
      <c r="GJ652" s="321"/>
      <c r="GK652" s="321"/>
      <c r="GL652" s="321"/>
      <c r="GM652" s="321"/>
      <c r="GN652" s="321"/>
      <c r="GO652" s="321"/>
      <c r="GP652" s="321"/>
      <c r="GQ652" s="321"/>
      <c r="GR652" s="321"/>
      <c r="GS652" s="321"/>
    </row>
    <row r="653" spans="192:201" x14ac:dyDescent="0.3">
      <c r="GJ653" s="321"/>
      <c r="GK653" s="321"/>
      <c r="GL653" s="321"/>
      <c r="GM653" s="321"/>
      <c r="GN653" s="321"/>
      <c r="GO653" s="321"/>
      <c r="GP653" s="321"/>
      <c r="GQ653" s="321"/>
      <c r="GR653" s="321"/>
      <c r="GS653" s="321"/>
    </row>
    <row r="654" spans="192:201" x14ac:dyDescent="0.3">
      <c r="GJ654" s="321"/>
      <c r="GK654" s="321"/>
      <c r="GL654" s="321"/>
      <c r="GM654" s="321"/>
      <c r="GN654" s="321"/>
      <c r="GO654" s="321"/>
      <c r="GP654" s="321"/>
      <c r="GQ654" s="321"/>
      <c r="GR654" s="321"/>
      <c r="GS654" s="321"/>
    </row>
    <row r="655" spans="192:201" x14ac:dyDescent="0.3">
      <c r="GJ655" s="321"/>
      <c r="GK655" s="321"/>
      <c r="GL655" s="321"/>
      <c r="GM655" s="321"/>
      <c r="GN655" s="321"/>
      <c r="GO655" s="321"/>
      <c r="GP655" s="321"/>
      <c r="GQ655" s="321"/>
      <c r="GR655" s="321"/>
      <c r="GS655" s="321"/>
    </row>
    <row r="656" spans="192:201" x14ac:dyDescent="0.3">
      <c r="GJ656" s="321"/>
      <c r="GK656" s="321"/>
      <c r="GL656" s="321"/>
      <c r="GM656" s="321"/>
      <c r="GN656" s="321"/>
      <c r="GO656" s="321"/>
      <c r="GP656" s="321"/>
      <c r="GQ656" s="321"/>
      <c r="GR656" s="321"/>
      <c r="GS656" s="321"/>
    </row>
    <row r="657" spans="192:201" x14ac:dyDescent="0.3">
      <c r="GJ657" s="321"/>
      <c r="GK657" s="321"/>
      <c r="GL657" s="321"/>
      <c r="GM657" s="321"/>
      <c r="GN657" s="321"/>
      <c r="GO657" s="321"/>
      <c r="GP657" s="321"/>
      <c r="GQ657" s="321"/>
      <c r="GR657" s="321"/>
      <c r="GS657" s="321"/>
    </row>
    <row r="658" spans="192:201" x14ac:dyDescent="0.3">
      <c r="GJ658" s="321"/>
      <c r="GK658" s="321"/>
      <c r="GL658" s="321"/>
      <c r="GM658" s="321"/>
      <c r="GN658" s="321"/>
      <c r="GO658" s="321"/>
      <c r="GP658" s="321"/>
      <c r="GQ658" s="321"/>
      <c r="GR658" s="321"/>
      <c r="GS658" s="321"/>
    </row>
    <row r="659" spans="192:201" x14ac:dyDescent="0.3">
      <c r="GJ659" s="321"/>
      <c r="GK659" s="321"/>
      <c r="GL659" s="321"/>
      <c r="GM659" s="321"/>
      <c r="GN659" s="321"/>
      <c r="GO659" s="321"/>
      <c r="GP659" s="321"/>
      <c r="GQ659" s="321"/>
      <c r="GR659" s="321"/>
      <c r="GS659" s="321"/>
    </row>
    <row r="660" spans="192:201" x14ac:dyDescent="0.3">
      <c r="GJ660" s="321"/>
      <c r="GK660" s="321"/>
      <c r="GL660" s="321"/>
      <c r="GM660" s="321"/>
      <c r="GN660" s="321"/>
      <c r="GO660" s="321"/>
      <c r="GP660" s="321"/>
      <c r="GQ660" s="321"/>
      <c r="GR660" s="321"/>
      <c r="GS660" s="321"/>
    </row>
    <row r="661" spans="192:201" x14ac:dyDescent="0.3">
      <c r="GJ661" s="321"/>
      <c r="GK661" s="321"/>
      <c r="GL661" s="321"/>
      <c r="GM661" s="321"/>
      <c r="GN661" s="321"/>
      <c r="GO661" s="321"/>
      <c r="GP661" s="321"/>
      <c r="GQ661" s="321"/>
      <c r="GR661" s="321"/>
      <c r="GS661" s="321"/>
    </row>
  </sheetData>
  <mergeCells count="347">
    <mergeCell ref="ABD3:ABE3"/>
    <mergeCell ref="AAF3:AAG3"/>
    <mergeCell ref="AAJ3:AAK3"/>
    <mergeCell ref="AAL3:AAM3"/>
    <mergeCell ref="AAN3:AAO3"/>
    <mergeCell ref="AAR3:AAS3"/>
    <mergeCell ref="AAT3:AAU3"/>
    <mergeCell ref="AAV3:AAW3"/>
    <mergeCell ref="AAZ3:ABA3"/>
    <mergeCell ref="ABB3:ABC3"/>
    <mergeCell ref="ZF3:ZG3"/>
    <mergeCell ref="ZJ3:ZK3"/>
    <mergeCell ref="ZL3:ZM3"/>
    <mergeCell ref="ZP3:ZQ3"/>
    <mergeCell ref="ZT3:ZU3"/>
    <mergeCell ref="ZV3:ZW3"/>
    <mergeCell ref="ZX3:ZY3"/>
    <mergeCell ref="AAB3:AAC3"/>
    <mergeCell ref="AAD3:AAE3"/>
    <mergeCell ref="YB3:YC3"/>
    <mergeCell ref="YF3:YG3"/>
    <mergeCell ref="YH3:YI3"/>
    <mergeCell ref="YL3:YM3"/>
    <mergeCell ref="YP3:YQ3"/>
    <mergeCell ref="YR3:YS3"/>
    <mergeCell ref="YV3:YW3"/>
    <mergeCell ref="YZ3:ZA3"/>
    <mergeCell ref="ZB3:ZC3"/>
    <mergeCell ref="WX3:WY3"/>
    <mergeCell ref="XB3:XC3"/>
    <mergeCell ref="XD3:XE3"/>
    <mergeCell ref="XH3:XI3"/>
    <mergeCell ref="XL3:XM3"/>
    <mergeCell ref="XN3:XO3"/>
    <mergeCell ref="XR3:XS3"/>
    <mergeCell ref="XV3:XW3"/>
    <mergeCell ref="XX3:XY3"/>
    <mergeCell ref="YO2:YX2"/>
    <mergeCell ref="YY2:ZH2"/>
    <mergeCell ref="ZI2:ZR2"/>
    <mergeCell ref="ZS2:ZZ2"/>
    <mergeCell ref="AAA2:AAH2"/>
    <mergeCell ref="AAI2:AAP2"/>
    <mergeCell ref="AAQ2:AAX2"/>
    <mergeCell ref="AAY2:ABF2"/>
    <mergeCell ref="VC3:VC4"/>
    <mergeCell ref="VJ3:VK3"/>
    <mergeCell ref="VL3:VL4"/>
    <mergeCell ref="VM3:VM4"/>
    <mergeCell ref="VN3:VO3"/>
    <mergeCell ref="VP3:VQ3"/>
    <mergeCell ref="VT3:VU3"/>
    <mergeCell ref="VV3:VV4"/>
    <mergeCell ref="VX3:VY3"/>
    <mergeCell ref="VZ3:WA3"/>
    <mergeCell ref="WD3:WE3"/>
    <mergeCell ref="WH3:WI3"/>
    <mergeCell ref="WJ3:WK3"/>
    <mergeCell ref="WN3:WO3"/>
    <mergeCell ref="WR3:WS3"/>
    <mergeCell ref="WT3:WU3"/>
    <mergeCell ref="VC2:VL2"/>
    <mergeCell ref="VM2:VV2"/>
    <mergeCell ref="VW2:WF2"/>
    <mergeCell ref="WG2:WP2"/>
    <mergeCell ref="WQ2:WZ2"/>
    <mergeCell ref="XA2:XJ2"/>
    <mergeCell ref="XK2:XT2"/>
    <mergeCell ref="XU2:YD2"/>
    <mergeCell ref="YE2:YN2"/>
    <mergeCell ref="UY3:UZ3"/>
    <mergeCell ref="TS3:TT3"/>
    <mergeCell ref="TW3:TX3"/>
    <mergeCell ref="TY3:TZ3"/>
    <mergeCell ref="UU3:UV3"/>
    <mergeCell ref="UW3:UX3"/>
    <mergeCell ref="UA3:UB3"/>
    <mergeCell ref="UE3:UF3"/>
    <mergeCell ref="UG3:UH3"/>
    <mergeCell ref="UI3:UJ3"/>
    <mergeCell ref="UM3:UN3"/>
    <mergeCell ref="UO3:UP3"/>
    <mergeCell ref="UQ3:UR3"/>
    <mergeCell ref="SQ3:SR3"/>
    <mergeCell ref="SU3:SV3"/>
    <mergeCell ref="SW3:SX3"/>
    <mergeCell ref="TA3:TB3"/>
    <mergeCell ref="TE3:TF3"/>
    <mergeCell ref="TG3:TH3"/>
    <mergeCell ref="TK3:TL3"/>
    <mergeCell ref="TO3:TP3"/>
    <mergeCell ref="TQ3:TR3"/>
    <mergeCell ref="QI3:QJ3"/>
    <mergeCell ref="QM3:QN3"/>
    <mergeCell ref="QO3:QP3"/>
    <mergeCell ref="QS3:QT3"/>
    <mergeCell ref="QW3:QX3"/>
    <mergeCell ref="SC3:SD3"/>
    <mergeCell ref="SG3:SH3"/>
    <mergeCell ref="SK3:SL3"/>
    <mergeCell ref="SM3:SN3"/>
    <mergeCell ref="PI3:PJ3"/>
    <mergeCell ref="PK3:PL3"/>
    <mergeCell ref="PO3:PP3"/>
    <mergeCell ref="PQ3:PQ4"/>
    <mergeCell ref="PS3:PT3"/>
    <mergeCell ref="PU3:PV3"/>
    <mergeCell ref="PY3:PZ3"/>
    <mergeCell ref="QC3:QD3"/>
    <mergeCell ref="QE3:QF3"/>
    <mergeCell ref="OJ3:OK3"/>
    <mergeCell ref="OL3:OM3"/>
    <mergeCell ref="PH3:PH4"/>
    <mergeCell ref="OP3:OQ3"/>
    <mergeCell ref="OR3:OS3"/>
    <mergeCell ref="OX3:OX4"/>
    <mergeCell ref="OT3:OU3"/>
    <mergeCell ref="OY3:OZ3"/>
    <mergeCell ref="PA3:PB3"/>
    <mergeCell ref="PE3:PF3"/>
    <mergeCell ref="PG3:PG4"/>
    <mergeCell ref="NL3:NM3"/>
    <mergeCell ref="NN3:NO3"/>
    <mergeCell ref="NR3:NS3"/>
    <mergeCell ref="NT3:NU3"/>
    <mergeCell ref="NV3:NW3"/>
    <mergeCell ref="NZ3:OA3"/>
    <mergeCell ref="OB3:OC3"/>
    <mergeCell ref="OD3:OE3"/>
    <mergeCell ref="OH3:OI3"/>
    <mergeCell ref="MH3:MI3"/>
    <mergeCell ref="ML3:MM3"/>
    <mergeCell ref="MP3:MQ3"/>
    <mergeCell ref="MR3:MS3"/>
    <mergeCell ref="MV3:MW3"/>
    <mergeCell ref="MZ3:NA3"/>
    <mergeCell ref="NB3:NC3"/>
    <mergeCell ref="NF3:NG3"/>
    <mergeCell ref="NJ3:NK3"/>
    <mergeCell ref="LD3:LE3"/>
    <mergeCell ref="LH3:LI3"/>
    <mergeCell ref="LL3:LM3"/>
    <mergeCell ref="LN3:LO3"/>
    <mergeCell ref="LR3:LS3"/>
    <mergeCell ref="LV3:LW3"/>
    <mergeCell ref="LX3:LY3"/>
    <mergeCell ref="MB3:MC3"/>
    <mergeCell ref="MF3:MG3"/>
    <mergeCell ref="JZ3:KA3"/>
    <mergeCell ref="KD3:KE3"/>
    <mergeCell ref="KH3:KI3"/>
    <mergeCell ref="KJ3:KK3"/>
    <mergeCell ref="KN3:KO3"/>
    <mergeCell ref="KR3:KS3"/>
    <mergeCell ref="KT3:KU3"/>
    <mergeCell ref="KX3:KY3"/>
    <mergeCell ref="LB3:LC3"/>
    <mergeCell ref="JC3:JC4"/>
    <mergeCell ref="JD3:JE3"/>
    <mergeCell ref="JF3:JG3"/>
    <mergeCell ref="JJ3:JK3"/>
    <mergeCell ref="JL3:JL4"/>
    <mergeCell ref="JN3:JO3"/>
    <mergeCell ref="JP3:JQ3"/>
    <mergeCell ref="JT3:JU3"/>
    <mergeCell ref="JX3:JY3"/>
    <mergeCell ref="HO3:HP3"/>
    <mergeCell ref="HQ3:HR3"/>
    <mergeCell ref="HU3:HV3"/>
    <mergeCell ref="HW3:HX3"/>
    <mergeCell ref="HY3:HZ3"/>
    <mergeCell ref="IC3:ID3"/>
    <mergeCell ref="JB3:JB4"/>
    <mergeCell ref="IE3:IF3"/>
    <mergeCell ref="IG3:IH3"/>
    <mergeCell ref="IK3:IL3"/>
    <mergeCell ref="IM3:IN3"/>
    <mergeCell ref="IO3:IP3"/>
    <mergeCell ref="IS3:IS4"/>
    <mergeCell ref="IT3:IU3"/>
    <mergeCell ref="IV3:IW3"/>
    <mergeCell ref="IZ3:JA3"/>
    <mergeCell ref="GM3:GN3"/>
    <mergeCell ref="GQ3:GR3"/>
    <mergeCell ref="GU3:GV3"/>
    <mergeCell ref="GW3:GX3"/>
    <mergeCell ref="HA3:HB3"/>
    <mergeCell ref="HE3:HF3"/>
    <mergeCell ref="HG3:HH3"/>
    <mergeCell ref="HI3:HJ3"/>
    <mergeCell ref="HM3:HN3"/>
    <mergeCell ref="FK3:FL3"/>
    <mergeCell ref="FM3:FN3"/>
    <mergeCell ref="FQ3:FR3"/>
    <mergeCell ref="FS3:FT3"/>
    <mergeCell ref="FW3:FX3"/>
    <mergeCell ref="GA3:GB3"/>
    <mergeCell ref="GC3:GD3"/>
    <mergeCell ref="GG3:GH3"/>
    <mergeCell ref="GK3:GL3"/>
    <mergeCell ref="EM3:EN3"/>
    <mergeCell ref="EO3:EP3"/>
    <mergeCell ref="ES3:ET3"/>
    <mergeCell ref="EU3:EV3"/>
    <mergeCell ref="EW3:EX3"/>
    <mergeCell ref="FA3:FB3"/>
    <mergeCell ref="FC3:FD3"/>
    <mergeCell ref="FE3:FF3"/>
    <mergeCell ref="FI3:FJ3"/>
    <mergeCell ref="QV2:RE2"/>
    <mergeCell ref="RF2:RO2"/>
    <mergeCell ref="RP2:RY2"/>
    <mergeCell ref="RZ2:SI2"/>
    <mergeCell ref="SJ2:SS2"/>
    <mergeCell ref="ST2:TC2"/>
    <mergeCell ref="UT2:VA2"/>
    <mergeCell ref="BQ3:BR3"/>
    <mergeCell ref="BS3:BT3"/>
    <mergeCell ref="BU3:BV3"/>
    <mergeCell ref="BY3:BZ3"/>
    <mergeCell ref="CA3:CB3"/>
    <mergeCell ref="CC3:CD3"/>
    <mergeCell ref="CG3:CH3"/>
    <mergeCell ref="CI3:CJ3"/>
    <mergeCell ref="CK3:CL3"/>
    <mergeCell ref="CO3:CP3"/>
    <mergeCell ref="CQ3:CR3"/>
    <mergeCell ref="CS3:CT3"/>
    <mergeCell ref="CW3:CX3"/>
    <mergeCell ref="CY3:CZ3"/>
    <mergeCell ref="DA3:DB3"/>
    <mergeCell ref="DD3:DD4"/>
    <mergeCell ref="DE3:DF3"/>
    <mergeCell ref="NQ2:NX2"/>
    <mergeCell ref="NY2:OF2"/>
    <mergeCell ref="OG2:ON2"/>
    <mergeCell ref="OO2:OV2"/>
    <mergeCell ref="OX2:PG2"/>
    <mergeCell ref="PH2:PQ2"/>
    <mergeCell ref="PR2:QA2"/>
    <mergeCell ref="QB2:QK2"/>
    <mergeCell ref="QL2:QU2"/>
    <mergeCell ref="KG2:KP2"/>
    <mergeCell ref="KQ2:KZ2"/>
    <mergeCell ref="LA2:LJ2"/>
    <mergeCell ref="LK2:LT2"/>
    <mergeCell ref="LU2:MD2"/>
    <mergeCell ref="ME2:MN2"/>
    <mergeCell ref="MO2:MX2"/>
    <mergeCell ref="MY2:NH2"/>
    <mergeCell ref="NI2:NP2"/>
    <mergeCell ref="HD2:HK2"/>
    <mergeCell ref="HL2:HS2"/>
    <mergeCell ref="HT2:IA2"/>
    <mergeCell ref="IB2:II2"/>
    <mergeCell ref="IJ2:IQ2"/>
    <mergeCell ref="IS2:JB2"/>
    <mergeCell ref="JC2:JL2"/>
    <mergeCell ref="JM2:JV2"/>
    <mergeCell ref="JW2:KF2"/>
    <mergeCell ref="B2:B4"/>
    <mergeCell ref="EJ2:EQ2"/>
    <mergeCell ref="ER2:EY2"/>
    <mergeCell ref="EZ2:FG2"/>
    <mergeCell ref="FH2:FO2"/>
    <mergeCell ref="FP2:FY2"/>
    <mergeCell ref="FZ2:GI2"/>
    <mergeCell ref="GJ2:GS2"/>
    <mergeCell ref="GT2:HC2"/>
    <mergeCell ref="DG3:DH3"/>
    <mergeCell ref="DI3:DJ3"/>
    <mergeCell ref="DL3:DL4"/>
    <mergeCell ref="DM3:DN3"/>
    <mergeCell ref="DO3:DP3"/>
    <mergeCell ref="DQ3:DR3"/>
    <mergeCell ref="DK3:DK4"/>
    <mergeCell ref="DS3:DS4"/>
    <mergeCell ref="DU3:DV3"/>
    <mergeCell ref="DW3:DX3"/>
    <mergeCell ref="DY3:DZ3"/>
    <mergeCell ref="EC3:ED3"/>
    <mergeCell ref="EE3:EF3"/>
    <mergeCell ref="EG3:EH3"/>
    <mergeCell ref="EK3:EL3"/>
    <mergeCell ref="CF2:CM2"/>
    <mergeCell ref="CN2:CU2"/>
    <mergeCell ref="CV2:DC2"/>
    <mergeCell ref="DD2:DK2"/>
    <mergeCell ref="DL2:DS2"/>
    <mergeCell ref="DT2:EA2"/>
    <mergeCell ref="EB2:EI2"/>
    <mergeCell ref="AU3:AV3"/>
    <mergeCell ref="AW3:AX3"/>
    <mergeCell ref="BA3:BB3"/>
    <mergeCell ref="BC3:BD3"/>
    <mergeCell ref="BE3:BF3"/>
    <mergeCell ref="BI3:BJ3"/>
    <mergeCell ref="BK3:BL3"/>
    <mergeCell ref="BM3:BN3"/>
    <mergeCell ref="TN2:TU2"/>
    <mergeCell ref="TV2:UC2"/>
    <mergeCell ref="UD2:UK2"/>
    <mergeCell ref="UL2:US2"/>
    <mergeCell ref="D3:D4"/>
    <mergeCell ref="E3:F3"/>
    <mergeCell ref="G3:H3"/>
    <mergeCell ref="I3:J3"/>
    <mergeCell ref="K3:K4"/>
    <mergeCell ref="M3:N3"/>
    <mergeCell ref="O3:P3"/>
    <mergeCell ref="Q3:R3"/>
    <mergeCell ref="U3:V3"/>
    <mergeCell ref="W3:X3"/>
    <mergeCell ref="Y3:Z3"/>
    <mergeCell ref="AC3:AD3"/>
    <mergeCell ref="AE3:AF3"/>
    <mergeCell ref="AG3:AH3"/>
    <mergeCell ref="AK3:AL3"/>
    <mergeCell ref="AM3:AN3"/>
    <mergeCell ref="AO3:AP3"/>
    <mergeCell ref="AS3:AT3"/>
    <mergeCell ref="BP2:BW2"/>
    <mergeCell ref="BX2:CE2"/>
    <mergeCell ref="VD3:VE3"/>
    <mergeCell ref="VF3:VG3"/>
    <mergeCell ref="A50:C50"/>
    <mergeCell ref="A52:C52"/>
    <mergeCell ref="A54:C54"/>
    <mergeCell ref="QY3:QZ3"/>
    <mergeCell ref="RC3:RD3"/>
    <mergeCell ref="RG3:RH3"/>
    <mergeCell ref="RI3:RJ3"/>
    <mergeCell ref="RM3:RN3"/>
    <mergeCell ref="RQ3:RR3"/>
    <mergeCell ref="RS3:RT3"/>
    <mergeCell ref="RW3:RX3"/>
    <mergeCell ref="SA3:SB3"/>
    <mergeCell ref="A2:A3"/>
    <mergeCell ref="D2:K2"/>
    <mergeCell ref="L2:S2"/>
    <mergeCell ref="T2:AA2"/>
    <mergeCell ref="AB2:AI2"/>
    <mergeCell ref="AJ2:AQ2"/>
    <mergeCell ref="AR2:AY2"/>
    <mergeCell ref="AZ2:BG2"/>
    <mergeCell ref="BH2:BO2"/>
    <mergeCell ref="TD2:TM2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U36"/>
  <sheetViews>
    <sheetView zoomScale="94" zoomScaleNormal="94" workbookViewId="0">
      <pane xSplit="2" ySplit="5" topLeftCell="U6" activePane="bottomRight" state="frozen"/>
      <selection pane="topRight" activeCell="C1" sqref="C1"/>
      <selection pane="bottomLeft" activeCell="A6" sqref="A6"/>
      <selection pane="bottomRight" activeCell="V19" sqref="V19"/>
    </sheetView>
  </sheetViews>
  <sheetFormatPr defaultRowHeight="14" x14ac:dyDescent="0.3"/>
  <cols>
    <col min="1" max="1" width="3.3984375" style="168" customWidth="1"/>
    <col min="2" max="2" width="24.3984375" style="168" customWidth="1"/>
    <col min="3" max="7" width="4.69921875" style="168" customWidth="1"/>
    <col min="8" max="8" width="11.5" style="168" customWidth="1"/>
    <col min="9" max="9" width="10.796875" style="168" customWidth="1"/>
    <col min="10" max="10" width="4.69921875" style="3682" customWidth="1"/>
    <col min="11" max="14" width="4.69921875" style="168" customWidth="1"/>
    <col min="15" max="15" width="6.59765625" style="168" customWidth="1"/>
    <col min="16" max="16" width="11.296875" style="168" customWidth="1"/>
    <col min="17" max="17" width="10.796875" style="168" customWidth="1"/>
    <col min="18" max="18" width="4.69921875" style="3682" customWidth="1"/>
    <col min="19" max="19" width="1.19921875" style="1" customWidth="1"/>
    <col min="20" max="20" width="3" style="168" customWidth="1"/>
    <col min="21" max="22" width="9" style="168" customWidth="1"/>
    <col min="23" max="24" width="10.69921875" style="168" bestFit="1" customWidth="1"/>
    <col min="25" max="26" width="11.19921875" style="168" bestFit="1" customWidth="1"/>
    <col min="27" max="27" width="6.3984375" style="168" bestFit="1" customWidth="1"/>
    <col min="28" max="28" width="4.69921875" style="168" customWidth="1"/>
    <col min="29" max="31" width="10.59765625" style="168" customWidth="1"/>
    <col min="32" max="32" width="10.69921875" style="168" bestFit="1" customWidth="1"/>
    <col min="33" max="33" width="10.59765625" style="168" customWidth="1"/>
    <col min="34" max="34" width="10.296875" style="168" customWidth="1"/>
    <col min="35" max="35" width="5.296875" style="168" customWidth="1"/>
    <col min="36" max="36" width="4.69921875" style="168" customWidth="1"/>
    <col min="37" max="39" width="10.59765625" style="168" customWidth="1"/>
    <col min="40" max="40" width="10.69921875" style="168" bestFit="1" customWidth="1"/>
    <col min="41" max="42" width="10.59765625" style="168" customWidth="1"/>
    <col min="43" max="43" width="4.59765625" style="168" customWidth="1"/>
    <col min="44" max="44" width="4.69921875" style="168" customWidth="1"/>
    <col min="45" max="45" width="10.59765625" style="168" customWidth="1"/>
    <col min="46" max="46" width="10.69921875" style="168" bestFit="1" customWidth="1"/>
    <col min="47" max="49" width="10.59765625" style="168" customWidth="1"/>
    <col min="50" max="50" width="10.69921875" style="168" bestFit="1" customWidth="1"/>
    <col min="51" max="51" width="4.69921875" style="168" bestFit="1" customWidth="1"/>
    <col min="52" max="52" width="4.796875" style="168" bestFit="1" customWidth="1"/>
    <col min="53" max="57" width="10.69921875" style="168" bestFit="1" customWidth="1"/>
    <col min="58" max="58" width="10.296875" style="168" bestFit="1" customWidth="1"/>
    <col min="59" max="59" width="5.296875" style="168" bestFit="1" customWidth="1"/>
    <col min="60" max="60" width="4.796875" style="168" bestFit="1" customWidth="1"/>
    <col min="61" max="61" width="11.796875" style="168" bestFit="1" customWidth="1"/>
    <col min="62" max="62" width="10.69921875" style="168" bestFit="1" customWidth="1"/>
    <col min="63" max="63" width="10.796875" style="168" bestFit="1" customWidth="1"/>
    <col min="64" max="66" width="10.69921875" style="168" bestFit="1" customWidth="1"/>
    <col min="67" max="67" width="5.69921875" style="168" bestFit="1" customWidth="1"/>
    <col min="68" max="68" width="4.796875" style="168" bestFit="1" customWidth="1"/>
    <col min="69" max="69" width="11.796875" style="168" bestFit="1" customWidth="1"/>
    <col min="70" max="70" width="10.69921875" style="168" bestFit="1" customWidth="1"/>
    <col min="71" max="71" width="10.796875" style="168" bestFit="1" customWidth="1"/>
    <col min="72" max="74" width="10.69921875" style="168" bestFit="1" customWidth="1"/>
    <col min="75" max="75" width="5.69921875" style="168" bestFit="1" customWidth="1"/>
    <col min="76" max="76" width="4.09765625" style="168" bestFit="1" customWidth="1"/>
    <col min="77" max="77" width="11.69921875" style="168" bestFit="1" customWidth="1"/>
    <col min="78" max="82" width="10.59765625" style="168" bestFit="1" customWidth="1"/>
    <col min="83" max="83" width="4.59765625" style="168" bestFit="1" customWidth="1"/>
    <col min="84" max="84" width="4.69921875" style="168" bestFit="1" customWidth="1"/>
    <col min="85" max="89" width="10.59765625" style="168" bestFit="1" customWidth="1"/>
    <col min="90" max="90" width="9.3984375" style="168" bestFit="1" customWidth="1"/>
    <col min="91" max="91" width="7.8984375" style="168" bestFit="1" customWidth="1"/>
    <col min="92" max="92" width="4.09765625" style="168" bestFit="1" customWidth="1"/>
    <col min="93" max="93" width="11.69921875" style="168" bestFit="1" customWidth="1"/>
    <col min="94" max="96" width="10.59765625" style="168" bestFit="1" customWidth="1"/>
    <col min="97" max="97" width="11.69921875" style="168" bestFit="1" customWidth="1"/>
    <col min="98" max="98" width="10.59765625" style="168" bestFit="1" customWidth="1"/>
    <col min="99" max="99" width="7.8984375" style="168" bestFit="1" customWidth="1"/>
    <col min="100" max="100" width="3.09765625" style="168" bestFit="1" customWidth="1"/>
    <col min="101" max="106" width="11.69921875" style="168" bestFit="1" customWidth="1"/>
    <col min="107" max="107" width="5.59765625" style="168" bestFit="1" customWidth="1"/>
    <col min="108" max="108" width="3.09765625" style="168" hidden="1" customWidth="1"/>
    <col min="109" max="110" width="10.69921875" style="168" hidden="1" customWidth="1"/>
    <col min="111" max="111" width="11.796875" style="168" hidden="1" customWidth="1"/>
    <col min="112" max="112" width="10.69921875" style="168" hidden="1" customWidth="1"/>
    <col min="113" max="113" width="11.296875" style="168" hidden="1" customWidth="1"/>
    <col min="114" max="114" width="10.8984375" style="168" hidden="1" customWidth="1"/>
    <col min="115" max="115" width="5.3984375" style="168" hidden="1" customWidth="1"/>
    <col min="116" max="116" width="3.09765625" style="168" hidden="1" customWidth="1"/>
    <col min="117" max="117" width="11.69921875" style="168" hidden="1" customWidth="1"/>
    <col min="118" max="119" width="11.796875" style="168" hidden="1" customWidth="1"/>
    <col min="120" max="120" width="10.69921875" style="168" hidden="1" customWidth="1"/>
    <col min="121" max="121" width="11.796875" style="168" hidden="1" customWidth="1"/>
    <col min="122" max="122" width="13.59765625" style="168" hidden="1" customWidth="1"/>
    <col min="123" max="123" width="6.8984375" style="168" hidden="1" customWidth="1"/>
    <col min="124" max="124" width="10.19921875" style="168" bestFit="1" customWidth="1"/>
    <col min="125" max="125" width="14.3984375" style="168" bestFit="1" customWidth="1"/>
    <col min="126" max="16384" width="8.796875" style="168"/>
  </cols>
  <sheetData>
    <row r="2" spans="1:125" ht="19.350000000000001" customHeight="1" x14ac:dyDescent="0.3">
      <c r="A2" s="6818" t="s">
        <v>0</v>
      </c>
      <c r="B2" s="6828" t="s">
        <v>174</v>
      </c>
      <c r="C2" s="6821" t="s">
        <v>931</v>
      </c>
      <c r="D2" s="6822"/>
      <c r="E2" s="6822"/>
      <c r="F2" s="6822"/>
      <c r="G2" s="6822"/>
      <c r="H2" s="6822"/>
      <c r="I2" s="6822"/>
      <c r="J2" s="6823"/>
      <c r="K2" s="6821" t="s">
        <v>653</v>
      </c>
      <c r="L2" s="6822"/>
      <c r="M2" s="6822"/>
      <c r="N2" s="6822"/>
      <c r="O2" s="6822"/>
      <c r="P2" s="6822"/>
      <c r="Q2" s="6822"/>
      <c r="R2" s="6823"/>
      <c r="S2" s="4275"/>
      <c r="T2" s="6821" t="s">
        <v>1080</v>
      </c>
      <c r="U2" s="6822"/>
      <c r="V2" s="6822"/>
      <c r="W2" s="6822"/>
      <c r="X2" s="6822"/>
      <c r="Y2" s="6822"/>
      <c r="Z2" s="6822"/>
      <c r="AA2" s="6823"/>
      <c r="AB2" s="6821" t="s">
        <v>1081</v>
      </c>
      <c r="AC2" s="6822"/>
      <c r="AD2" s="6822"/>
      <c r="AE2" s="6822"/>
      <c r="AF2" s="6822"/>
      <c r="AG2" s="6822"/>
      <c r="AH2" s="6822"/>
      <c r="AI2" s="6822"/>
      <c r="AJ2" s="6821" t="s">
        <v>963</v>
      </c>
      <c r="AK2" s="6822"/>
      <c r="AL2" s="6822"/>
      <c r="AM2" s="6822"/>
      <c r="AN2" s="6822"/>
      <c r="AO2" s="6822"/>
      <c r="AP2" s="6822"/>
      <c r="AQ2" s="6823"/>
      <c r="AR2" s="6821" t="s">
        <v>970</v>
      </c>
      <c r="AS2" s="6822"/>
      <c r="AT2" s="6822"/>
      <c r="AU2" s="6822"/>
      <c r="AV2" s="6822"/>
      <c r="AW2" s="6822"/>
      <c r="AX2" s="6822"/>
      <c r="AY2" s="6823"/>
      <c r="AZ2" s="6821" t="s">
        <v>1002</v>
      </c>
      <c r="BA2" s="6822"/>
      <c r="BB2" s="6822"/>
      <c r="BC2" s="6822"/>
      <c r="BD2" s="6822"/>
      <c r="BE2" s="6822"/>
      <c r="BF2" s="6822"/>
      <c r="BG2" s="6822"/>
      <c r="BH2" s="6821" t="s">
        <v>1003</v>
      </c>
      <c r="BI2" s="6822"/>
      <c r="BJ2" s="6822"/>
      <c r="BK2" s="6822"/>
      <c r="BL2" s="6822"/>
      <c r="BM2" s="6822"/>
      <c r="BN2" s="6822"/>
      <c r="BO2" s="6823"/>
      <c r="BP2" s="6821" t="s">
        <v>1004</v>
      </c>
      <c r="BQ2" s="6822"/>
      <c r="BR2" s="6822"/>
      <c r="BS2" s="6822"/>
      <c r="BT2" s="6822"/>
      <c r="BU2" s="6822"/>
      <c r="BV2" s="6822"/>
      <c r="BW2" s="6823"/>
      <c r="BX2" s="6821" t="s">
        <v>1054</v>
      </c>
      <c r="BY2" s="6822"/>
      <c r="BZ2" s="6822"/>
      <c r="CA2" s="6822"/>
      <c r="CB2" s="6822"/>
      <c r="CC2" s="6822"/>
      <c r="CD2" s="6822"/>
      <c r="CE2" s="6823"/>
      <c r="CF2" s="6821" t="s">
        <v>1055</v>
      </c>
      <c r="CG2" s="6822"/>
      <c r="CH2" s="6822"/>
      <c r="CI2" s="6822"/>
      <c r="CJ2" s="6822"/>
      <c r="CK2" s="6822"/>
      <c r="CL2" s="6822"/>
      <c r="CM2" s="6823"/>
      <c r="CN2" s="6821" t="s">
        <v>665</v>
      </c>
      <c r="CO2" s="6822"/>
      <c r="CP2" s="6822"/>
      <c r="CQ2" s="6822"/>
      <c r="CR2" s="6822"/>
      <c r="CS2" s="6822"/>
      <c r="CT2" s="6822"/>
      <c r="CU2" s="6823"/>
      <c r="CV2" s="6836" t="s">
        <v>998</v>
      </c>
      <c r="CW2" s="6837"/>
      <c r="CX2" s="6837"/>
      <c r="CY2" s="6837"/>
      <c r="CZ2" s="6837"/>
      <c r="DA2" s="6837"/>
      <c r="DB2" s="6837"/>
      <c r="DC2" s="6838"/>
      <c r="DD2" s="6809" t="s">
        <v>350</v>
      </c>
      <c r="DE2" s="6810"/>
      <c r="DF2" s="6810"/>
      <c r="DG2" s="6810"/>
      <c r="DH2" s="6810"/>
      <c r="DI2" s="6810"/>
      <c r="DJ2" s="6810"/>
      <c r="DK2" s="6811"/>
      <c r="DL2" s="6809" t="s">
        <v>182</v>
      </c>
      <c r="DM2" s="6810"/>
      <c r="DN2" s="6810"/>
      <c r="DO2" s="6810"/>
      <c r="DP2" s="6810"/>
      <c r="DQ2" s="6810"/>
      <c r="DR2" s="6810"/>
      <c r="DS2" s="6811"/>
    </row>
    <row r="3" spans="1:125" x14ac:dyDescent="0.3">
      <c r="A3" s="6819"/>
      <c r="B3" s="6829"/>
      <c r="C3" s="6591" t="s">
        <v>5</v>
      </c>
      <c r="D3" s="6824" t="s">
        <v>6</v>
      </c>
      <c r="E3" s="6824"/>
      <c r="F3" s="6825" t="s">
        <v>136</v>
      </c>
      <c r="G3" s="6826"/>
      <c r="H3" s="6827" t="s">
        <v>8</v>
      </c>
      <c r="I3" s="6827"/>
      <c r="J3" s="6592" t="s">
        <v>9</v>
      </c>
      <c r="K3" s="6591" t="s">
        <v>5</v>
      </c>
      <c r="L3" s="6824" t="s">
        <v>6</v>
      </c>
      <c r="M3" s="6824"/>
      <c r="N3" s="6824" t="s">
        <v>7</v>
      </c>
      <c r="O3" s="6824"/>
      <c r="P3" s="6827" t="s">
        <v>8</v>
      </c>
      <c r="Q3" s="6827"/>
      <c r="R3" s="6592" t="s">
        <v>9</v>
      </c>
      <c r="S3" s="4277"/>
      <c r="T3" s="6591" t="s">
        <v>5</v>
      </c>
      <c r="U3" s="6825" t="s">
        <v>6</v>
      </c>
      <c r="V3" s="6826"/>
      <c r="W3" s="6825" t="s">
        <v>136</v>
      </c>
      <c r="X3" s="6826"/>
      <c r="Y3" s="6827" t="s">
        <v>8</v>
      </c>
      <c r="Z3" s="6827"/>
      <c r="AA3" s="6593" t="s">
        <v>9</v>
      </c>
      <c r="AB3" s="6594" t="s">
        <v>5</v>
      </c>
      <c r="AC3" s="6825" t="s">
        <v>6</v>
      </c>
      <c r="AD3" s="6826"/>
      <c r="AE3" s="6825" t="s">
        <v>136</v>
      </c>
      <c r="AF3" s="6826"/>
      <c r="AG3" s="6827" t="s">
        <v>8</v>
      </c>
      <c r="AH3" s="6827"/>
      <c r="AI3" s="6595" t="s">
        <v>9</v>
      </c>
      <c r="AJ3" s="6591" t="s">
        <v>5</v>
      </c>
      <c r="AK3" s="6824" t="s">
        <v>6</v>
      </c>
      <c r="AL3" s="6824"/>
      <c r="AM3" s="6831" t="s">
        <v>136</v>
      </c>
      <c r="AN3" s="6832"/>
      <c r="AO3" s="6833" t="s">
        <v>8</v>
      </c>
      <c r="AP3" s="6834"/>
      <c r="AQ3" s="6593" t="s">
        <v>9</v>
      </c>
      <c r="AR3" s="6591" t="s">
        <v>5</v>
      </c>
      <c r="AS3" s="6824" t="s">
        <v>6</v>
      </c>
      <c r="AT3" s="6824"/>
      <c r="AU3" s="6831" t="s">
        <v>136</v>
      </c>
      <c r="AV3" s="6835"/>
      <c r="AW3" s="6827" t="s">
        <v>8</v>
      </c>
      <c r="AX3" s="6827"/>
      <c r="AY3" s="6593" t="s">
        <v>9</v>
      </c>
      <c r="AZ3" s="6591" t="s">
        <v>5</v>
      </c>
      <c r="BA3" s="6824" t="s">
        <v>6</v>
      </c>
      <c r="BB3" s="6824"/>
      <c r="BC3" s="6825" t="s">
        <v>136</v>
      </c>
      <c r="BD3" s="6826"/>
      <c r="BE3" s="6827" t="s">
        <v>8</v>
      </c>
      <c r="BF3" s="6827"/>
      <c r="BG3" s="6595" t="s">
        <v>9</v>
      </c>
      <c r="BH3" s="6591" t="s">
        <v>5</v>
      </c>
      <c r="BI3" s="6824" t="s">
        <v>6</v>
      </c>
      <c r="BJ3" s="6824"/>
      <c r="BK3" s="6825" t="s">
        <v>136</v>
      </c>
      <c r="BL3" s="6826"/>
      <c r="BM3" s="6827" t="s">
        <v>8</v>
      </c>
      <c r="BN3" s="6827"/>
      <c r="BO3" s="6593" t="s">
        <v>9</v>
      </c>
      <c r="BP3" s="6591" t="s">
        <v>5</v>
      </c>
      <c r="BQ3" s="6824" t="s">
        <v>6</v>
      </c>
      <c r="BR3" s="6824"/>
      <c r="BS3" s="6825" t="s">
        <v>136</v>
      </c>
      <c r="BT3" s="6826"/>
      <c r="BU3" s="6827" t="s">
        <v>8</v>
      </c>
      <c r="BV3" s="6827"/>
      <c r="BW3" s="6593" t="s">
        <v>9</v>
      </c>
      <c r="BX3" s="6591" t="s">
        <v>5</v>
      </c>
      <c r="BY3" s="6824" t="s">
        <v>6</v>
      </c>
      <c r="BZ3" s="6824"/>
      <c r="CA3" s="6825" t="s">
        <v>136</v>
      </c>
      <c r="CB3" s="6826"/>
      <c r="CC3" s="6827" t="s">
        <v>8</v>
      </c>
      <c r="CD3" s="6827"/>
      <c r="CE3" s="6593" t="s">
        <v>9</v>
      </c>
      <c r="CF3" s="6591" t="s">
        <v>5</v>
      </c>
      <c r="CG3" s="6824" t="s">
        <v>6</v>
      </c>
      <c r="CH3" s="6824"/>
      <c r="CI3" s="6825" t="s">
        <v>136</v>
      </c>
      <c r="CJ3" s="6826"/>
      <c r="CK3" s="6827" t="s">
        <v>8</v>
      </c>
      <c r="CL3" s="6827"/>
      <c r="CM3" s="6593" t="s">
        <v>9</v>
      </c>
      <c r="CN3" s="6591" t="s">
        <v>5</v>
      </c>
      <c r="CO3" s="6824" t="s">
        <v>6</v>
      </c>
      <c r="CP3" s="6824"/>
      <c r="CQ3" s="6825" t="s">
        <v>136</v>
      </c>
      <c r="CR3" s="6826"/>
      <c r="CS3" s="6827" t="s">
        <v>8</v>
      </c>
      <c r="CT3" s="6827"/>
      <c r="CU3" s="6593" t="s">
        <v>9</v>
      </c>
      <c r="CV3" s="6591" t="s">
        <v>5</v>
      </c>
      <c r="CW3" s="6824" t="s">
        <v>6</v>
      </c>
      <c r="CX3" s="6824"/>
      <c r="CY3" s="6839" t="s">
        <v>7</v>
      </c>
      <c r="CZ3" s="6832"/>
      <c r="DA3" s="6840" t="s">
        <v>8</v>
      </c>
      <c r="DB3" s="6834"/>
      <c r="DC3" s="6596" t="s">
        <v>9</v>
      </c>
      <c r="DD3" s="4276" t="s">
        <v>5</v>
      </c>
      <c r="DE3" s="6812" t="s">
        <v>6</v>
      </c>
      <c r="DF3" s="6812"/>
      <c r="DG3" s="6813" t="s">
        <v>7</v>
      </c>
      <c r="DH3" s="6814"/>
      <c r="DI3" s="6816" t="s">
        <v>8</v>
      </c>
      <c r="DJ3" s="6817"/>
      <c r="DK3" s="4278" t="s">
        <v>9</v>
      </c>
      <c r="DL3" s="4276" t="s">
        <v>5</v>
      </c>
      <c r="DM3" s="6812" t="s">
        <v>6</v>
      </c>
      <c r="DN3" s="6812"/>
      <c r="DO3" s="6813" t="s">
        <v>7</v>
      </c>
      <c r="DP3" s="6814"/>
      <c r="DQ3" s="6815" t="s">
        <v>8</v>
      </c>
      <c r="DR3" s="6815"/>
      <c r="DS3" s="4278" t="s">
        <v>9</v>
      </c>
    </row>
    <row r="4" spans="1:125" x14ac:dyDescent="0.3">
      <c r="A4" s="6820"/>
      <c r="B4" s="6830"/>
      <c r="C4" s="6597"/>
      <c r="D4" s="6598" t="s">
        <v>932</v>
      </c>
      <c r="E4" s="6599" t="s">
        <v>11</v>
      </c>
      <c r="F4" s="6598" t="s">
        <v>932</v>
      </c>
      <c r="G4" s="6600" t="s">
        <v>11</v>
      </c>
      <c r="H4" s="6598" t="s">
        <v>932</v>
      </c>
      <c r="I4" s="6599" t="s">
        <v>11</v>
      </c>
      <c r="J4" s="6601"/>
      <c r="K4" s="6597"/>
      <c r="L4" s="6598" t="s">
        <v>932</v>
      </c>
      <c r="M4" s="6599" t="s">
        <v>11</v>
      </c>
      <c r="N4" s="6598" t="s">
        <v>932</v>
      </c>
      <c r="O4" s="6600" t="s">
        <v>11</v>
      </c>
      <c r="P4" s="6598" t="s">
        <v>932</v>
      </c>
      <c r="Q4" s="6602" t="s">
        <v>11</v>
      </c>
      <c r="R4" s="6601"/>
      <c r="S4" s="4284"/>
      <c r="T4" s="6597"/>
      <c r="U4" s="6603" t="s">
        <v>932</v>
      </c>
      <c r="V4" s="6600" t="s">
        <v>11</v>
      </c>
      <c r="W4" s="6603" t="s">
        <v>932</v>
      </c>
      <c r="X4" s="6600" t="s">
        <v>11</v>
      </c>
      <c r="Y4" s="6603" t="s">
        <v>932</v>
      </c>
      <c r="Z4" s="6599" t="s">
        <v>11</v>
      </c>
      <c r="AA4" s="6604"/>
      <c r="AB4" s="6605"/>
      <c r="AC4" s="6603" t="s">
        <v>932</v>
      </c>
      <c r="AD4" s="6600" t="s">
        <v>11</v>
      </c>
      <c r="AE4" s="6603" t="s">
        <v>932</v>
      </c>
      <c r="AF4" s="6600" t="s">
        <v>11</v>
      </c>
      <c r="AG4" s="6598" t="s">
        <v>932</v>
      </c>
      <c r="AH4" s="6599" t="s">
        <v>11</v>
      </c>
      <c r="AI4" s="6606"/>
      <c r="AJ4" s="6597"/>
      <c r="AK4" s="6598" t="s">
        <v>932</v>
      </c>
      <c r="AL4" s="6599" t="s">
        <v>11</v>
      </c>
      <c r="AM4" s="6603" t="s">
        <v>932</v>
      </c>
      <c r="AN4" s="6599" t="s">
        <v>11</v>
      </c>
      <c r="AO4" s="6603" t="s">
        <v>932</v>
      </c>
      <c r="AP4" s="6599" t="s">
        <v>11</v>
      </c>
      <c r="AQ4" s="6604"/>
      <c r="AR4" s="6597"/>
      <c r="AS4" s="6598" t="s">
        <v>932</v>
      </c>
      <c r="AT4" s="6599" t="s">
        <v>11</v>
      </c>
      <c r="AU4" s="6603" t="s">
        <v>932</v>
      </c>
      <c r="AV4" s="6600" t="s">
        <v>11</v>
      </c>
      <c r="AW4" s="6598" t="s">
        <v>932</v>
      </c>
      <c r="AX4" s="6599" t="s">
        <v>11</v>
      </c>
      <c r="AY4" s="6604"/>
      <c r="AZ4" s="6597"/>
      <c r="BA4" s="6598" t="s">
        <v>932</v>
      </c>
      <c r="BB4" s="6599" t="s">
        <v>11</v>
      </c>
      <c r="BC4" s="6603" t="s">
        <v>932</v>
      </c>
      <c r="BD4" s="6600" t="s">
        <v>11</v>
      </c>
      <c r="BE4" s="6603" t="s">
        <v>932</v>
      </c>
      <c r="BF4" s="6599" t="s">
        <v>11</v>
      </c>
      <c r="BG4" s="6604"/>
      <c r="BH4" s="6597"/>
      <c r="BI4" s="6598" t="s">
        <v>932</v>
      </c>
      <c r="BJ4" s="6599" t="s">
        <v>11</v>
      </c>
      <c r="BK4" s="6603" t="s">
        <v>932</v>
      </c>
      <c r="BL4" s="6600" t="s">
        <v>11</v>
      </c>
      <c r="BM4" s="6603" t="s">
        <v>932</v>
      </c>
      <c r="BN4" s="6599" t="s">
        <v>11</v>
      </c>
      <c r="BO4" s="6604"/>
      <c r="BP4" s="6597"/>
      <c r="BQ4" s="6598" t="s">
        <v>932</v>
      </c>
      <c r="BR4" s="6599" t="s">
        <v>11</v>
      </c>
      <c r="BS4" s="6603" t="s">
        <v>932</v>
      </c>
      <c r="BT4" s="6600" t="s">
        <v>11</v>
      </c>
      <c r="BU4" s="6603" t="s">
        <v>932</v>
      </c>
      <c r="BV4" s="6599" t="s">
        <v>11</v>
      </c>
      <c r="BW4" s="6604"/>
      <c r="BX4" s="6597"/>
      <c r="BY4" s="6598" t="s">
        <v>932</v>
      </c>
      <c r="BZ4" s="6599" t="s">
        <v>11</v>
      </c>
      <c r="CA4" s="6603" t="s">
        <v>932</v>
      </c>
      <c r="CB4" s="6600" t="s">
        <v>11</v>
      </c>
      <c r="CC4" s="6603" t="s">
        <v>932</v>
      </c>
      <c r="CD4" s="6599" t="s">
        <v>11</v>
      </c>
      <c r="CE4" s="6604"/>
      <c r="CF4" s="6597"/>
      <c r="CG4" s="6598" t="s">
        <v>932</v>
      </c>
      <c r="CH4" s="6599" t="s">
        <v>11</v>
      </c>
      <c r="CI4" s="6603" t="s">
        <v>932</v>
      </c>
      <c r="CJ4" s="6600" t="s">
        <v>11</v>
      </c>
      <c r="CK4" s="6603" t="s">
        <v>932</v>
      </c>
      <c r="CL4" s="6599" t="s">
        <v>11</v>
      </c>
      <c r="CM4" s="6604"/>
      <c r="CN4" s="6597"/>
      <c r="CO4" s="6598" t="s">
        <v>932</v>
      </c>
      <c r="CP4" s="6599" t="s">
        <v>11</v>
      </c>
      <c r="CQ4" s="6603" t="s">
        <v>932</v>
      </c>
      <c r="CR4" s="6600" t="s">
        <v>11</v>
      </c>
      <c r="CS4" s="6603" t="s">
        <v>932</v>
      </c>
      <c r="CT4" s="6599" t="s">
        <v>11</v>
      </c>
      <c r="CU4" s="6604"/>
      <c r="CV4" s="6597"/>
      <c r="CW4" s="6598" t="s">
        <v>932</v>
      </c>
      <c r="CX4" s="6599" t="s">
        <v>11</v>
      </c>
      <c r="CY4" s="6607" t="s">
        <v>932</v>
      </c>
      <c r="CZ4" s="6599" t="s">
        <v>11</v>
      </c>
      <c r="DA4" s="6607" t="s">
        <v>932</v>
      </c>
      <c r="DB4" s="6599" t="s">
        <v>11</v>
      </c>
      <c r="DC4" s="6604"/>
      <c r="DD4" s="4280"/>
      <c r="DE4" s="4281" t="s">
        <v>932</v>
      </c>
      <c r="DF4" s="4142" t="s">
        <v>11</v>
      </c>
      <c r="DG4" s="4285" t="s">
        <v>932</v>
      </c>
      <c r="DH4" s="4282" t="s">
        <v>11</v>
      </c>
      <c r="DI4" s="4285" t="s">
        <v>932</v>
      </c>
      <c r="DJ4" s="4142" t="s">
        <v>11</v>
      </c>
      <c r="DK4" s="4829"/>
      <c r="DL4" s="4280"/>
      <c r="DM4" s="4281" t="s">
        <v>596</v>
      </c>
      <c r="DN4" s="4142" t="s">
        <v>11</v>
      </c>
      <c r="DO4" s="4285" t="s">
        <v>596</v>
      </c>
      <c r="DP4" s="4282" t="s">
        <v>11</v>
      </c>
      <c r="DQ4" s="4281" t="s">
        <v>596</v>
      </c>
      <c r="DR4" s="4142" t="s">
        <v>11</v>
      </c>
      <c r="DS4" s="4829"/>
    </row>
    <row r="5" spans="1:125" x14ac:dyDescent="0.3">
      <c r="A5" s="4288"/>
      <c r="B5" s="4289"/>
      <c r="C5" s="4288"/>
      <c r="D5" s="4290"/>
      <c r="E5" s="391"/>
      <c r="F5" s="4290"/>
      <c r="G5" s="4291"/>
      <c r="H5" s="4290"/>
      <c r="I5" s="391"/>
      <c r="J5" s="4292"/>
      <c r="K5" s="4293"/>
      <c r="L5" s="4290"/>
      <c r="M5" s="391"/>
      <c r="N5" s="4290"/>
      <c r="O5" s="391"/>
      <c r="P5" s="4290"/>
      <c r="Q5" s="4294"/>
      <c r="R5" s="4292"/>
      <c r="S5" s="4284"/>
      <c r="T5" s="4288"/>
      <c r="U5" s="4295"/>
      <c r="V5" s="4291"/>
      <c r="W5" s="4295"/>
      <c r="X5" s="4291"/>
      <c r="Y5" s="4290"/>
      <c r="Z5" s="391"/>
      <c r="AA5" s="4296"/>
      <c r="AB5" s="4293"/>
      <c r="AC5" s="4295"/>
      <c r="AD5" s="4291"/>
      <c r="AE5" s="4295"/>
      <c r="AF5" s="391"/>
      <c r="AG5" s="4290"/>
      <c r="AH5" s="391"/>
      <c r="AI5" s="4284"/>
      <c r="AJ5" s="4288"/>
      <c r="AK5" s="4290"/>
      <c r="AL5" s="391"/>
      <c r="AM5" s="4295"/>
      <c r="AN5" s="391"/>
      <c r="AO5" s="4295"/>
      <c r="AP5" s="391"/>
      <c r="AQ5" s="4296"/>
      <c r="AR5" s="4288"/>
      <c r="AS5" s="4290"/>
      <c r="AT5" s="391"/>
      <c r="AU5" s="4295"/>
      <c r="AV5" s="391"/>
      <c r="AW5" s="4290"/>
      <c r="AX5" s="391"/>
      <c r="AY5" s="4296"/>
      <c r="AZ5" s="4288"/>
      <c r="BA5" s="4290"/>
      <c r="BB5" s="391"/>
      <c r="BC5" s="4295"/>
      <c r="BD5" s="391"/>
      <c r="BE5" s="4290"/>
      <c r="BF5" s="391"/>
      <c r="BG5" s="4284"/>
      <c r="BH5" s="4288"/>
      <c r="BI5" s="4290"/>
      <c r="BJ5" s="391"/>
      <c r="BK5" s="4295"/>
      <c r="BL5" s="391"/>
      <c r="BM5" s="4290"/>
      <c r="BN5" s="391"/>
      <c r="BO5" s="4296"/>
      <c r="BP5" s="4288"/>
      <c r="BQ5" s="4290"/>
      <c r="BR5" s="391"/>
      <c r="BS5" s="4295"/>
      <c r="BT5" s="391"/>
      <c r="BU5" s="4831"/>
      <c r="BV5" s="391"/>
      <c r="BW5" s="4296"/>
      <c r="BX5" s="4288"/>
      <c r="BY5" s="4290"/>
      <c r="BZ5" s="391"/>
      <c r="CA5" s="4295"/>
      <c r="CB5" s="391"/>
      <c r="CC5" s="4831"/>
      <c r="CD5" s="391"/>
      <c r="CE5" s="4296"/>
      <c r="CF5" s="4288"/>
      <c r="CG5" s="4290"/>
      <c r="CH5" s="391"/>
      <c r="CI5" s="4295"/>
      <c r="CJ5" s="391"/>
      <c r="CK5" s="4831"/>
      <c r="CL5" s="391"/>
      <c r="CM5" s="4296"/>
      <c r="CN5" s="4288"/>
      <c r="CO5" s="4290"/>
      <c r="CP5" s="391"/>
      <c r="CQ5" s="4295"/>
      <c r="CR5" s="391"/>
      <c r="CS5" s="4831"/>
      <c r="CT5" s="391"/>
      <c r="CU5" s="4296"/>
      <c r="CV5" s="4288"/>
      <c r="CW5" s="4290"/>
      <c r="CX5" s="391"/>
      <c r="CY5" s="4297"/>
      <c r="CZ5" s="391"/>
      <c r="DA5" s="4297"/>
      <c r="DB5" s="391"/>
      <c r="DC5" s="4296"/>
      <c r="DD5" s="4288"/>
      <c r="DE5" s="4290"/>
      <c r="DF5" s="391"/>
      <c r="DG5" s="4295"/>
      <c r="DH5" s="4291"/>
      <c r="DI5" s="4295"/>
      <c r="DJ5" s="391"/>
      <c r="DK5" s="4296"/>
      <c r="DL5" s="4288"/>
      <c r="DM5" s="4290"/>
      <c r="DN5" s="391"/>
      <c r="DO5" s="4295"/>
      <c r="DP5" s="4291"/>
      <c r="DQ5" s="4290"/>
      <c r="DR5" s="391"/>
      <c r="DS5" s="4296"/>
    </row>
    <row r="6" spans="1:125" s="393" customFormat="1" ht="15.6" x14ac:dyDescent="0.3">
      <c r="A6" s="5">
        <v>1</v>
      </c>
      <c r="B6" s="6" t="s">
        <v>12</v>
      </c>
      <c r="C6" s="13">
        <v>0</v>
      </c>
      <c r="D6" s="171">
        <v>0</v>
      </c>
      <c r="E6" s="171">
        <f>D6*60</f>
        <v>0</v>
      </c>
      <c r="F6" s="245">
        <v>0</v>
      </c>
      <c r="G6" s="176">
        <f>F6*60</f>
        <v>0</v>
      </c>
      <c r="H6" s="171">
        <f>D6-F6</f>
        <v>0</v>
      </c>
      <c r="I6" s="171">
        <f>H6*60</f>
        <v>0</v>
      </c>
      <c r="J6" s="858">
        <v>0</v>
      </c>
      <c r="K6" s="14"/>
      <c r="L6" s="171">
        <v>0</v>
      </c>
      <c r="M6" s="171">
        <f>L6*60</f>
        <v>0</v>
      </c>
      <c r="N6" s="267">
        <v>0</v>
      </c>
      <c r="O6" s="268">
        <f>N6*60</f>
        <v>0</v>
      </c>
      <c r="P6" s="171">
        <f>L6-N6</f>
        <v>0</v>
      </c>
      <c r="Q6" s="171">
        <f>P6*60</f>
        <v>0</v>
      </c>
      <c r="R6" s="858">
        <v>0</v>
      </c>
      <c r="S6" s="55"/>
      <c r="T6" s="11">
        <v>2</v>
      </c>
      <c r="U6" s="3553">
        <v>973896</v>
      </c>
      <c r="V6" s="176">
        <f>U6*0.55</f>
        <v>535642.80000000005</v>
      </c>
      <c r="W6" s="245">
        <f>X6*1.88</f>
        <v>4365094.92</v>
      </c>
      <c r="X6" s="176">
        <f>2604165-644203+361897</f>
        <v>2321859</v>
      </c>
      <c r="Y6" s="171">
        <f>U6-W6</f>
        <v>-3391198.92</v>
      </c>
      <c r="Z6" s="171">
        <f>V6-X6</f>
        <v>-1786216.2</v>
      </c>
      <c r="AA6" s="10">
        <f>Z6/V6</f>
        <v>-3.3347152243995435</v>
      </c>
      <c r="AB6" s="13">
        <v>6</v>
      </c>
      <c r="AC6" s="3553">
        <v>3550024</v>
      </c>
      <c r="AD6" s="176">
        <f>AC6*0.55</f>
        <v>1952513.2000000002</v>
      </c>
      <c r="AE6" s="245">
        <f>AF6*1.88</f>
        <v>3105746.84</v>
      </c>
      <c r="AF6" s="4097">
        <f>624194+1027799</f>
        <v>1651993</v>
      </c>
      <c r="AG6" s="171">
        <f>AC6-AE6</f>
        <v>444277.16000000015</v>
      </c>
      <c r="AH6" s="171">
        <f>AD6-AF6</f>
        <v>300520.20000000019</v>
      </c>
      <c r="AI6" s="55">
        <f>AH6/AD6</f>
        <v>0.15391455484142189</v>
      </c>
      <c r="AJ6" s="13">
        <v>8</v>
      </c>
      <c r="AK6" s="3759">
        <v>5309312</v>
      </c>
      <c r="AL6" s="176">
        <f>AK6*0.55</f>
        <v>2920121.6</v>
      </c>
      <c r="AM6" s="245">
        <f>AN6*1.88</f>
        <v>4055015.2399999998</v>
      </c>
      <c r="AN6" s="4097">
        <f>983166+1173757</f>
        <v>2156923</v>
      </c>
      <c r="AO6" s="245">
        <f>AK6-AM6</f>
        <v>1254296.7600000002</v>
      </c>
      <c r="AP6" s="171">
        <f>AL6-AN6</f>
        <v>763198.60000000009</v>
      </c>
      <c r="AQ6" s="10">
        <f>AP6/AL6</f>
        <v>0.2613584995912499</v>
      </c>
      <c r="AR6" s="13">
        <v>9</v>
      </c>
      <c r="AS6" s="171">
        <v>5960400</v>
      </c>
      <c r="AT6" s="176">
        <f>AS6*0.53</f>
        <v>3159012</v>
      </c>
      <c r="AU6" s="245">
        <f>AV6*1.88</f>
        <v>3643124.1599999997</v>
      </c>
      <c r="AV6" s="268">
        <v>1937832</v>
      </c>
      <c r="AW6" s="171">
        <f>AS6-AU6</f>
        <v>2317275.8400000003</v>
      </c>
      <c r="AX6" s="171">
        <f>AT6-AV6</f>
        <v>1221180</v>
      </c>
      <c r="AY6" s="10">
        <f>AX6/AT6</f>
        <v>0.38657023145211222</v>
      </c>
      <c r="AZ6" s="13">
        <v>12</v>
      </c>
      <c r="BA6" s="171">
        <v>5010852</v>
      </c>
      <c r="BB6" s="176">
        <f>BA6*0.55</f>
        <v>2755968.6</v>
      </c>
      <c r="BC6" s="245">
        <f>BD6*1.88</f>
        <v>3705391.6399999997</v>
      </c>
      <c r="BD6" s="268">
        <v>1970953</v>
      </c>
      <c r="BE6" s="171">
        <f>BA6-BC6</f>
        <v>1305460.3600000003</v>
      </c>
      <c r="BF6" s="171">
        <f>BB6-BD6</f>
        <v>785015.60000000009</v>
      </c>
      <c r="BG6" s="55">
        <f>BF6/BB6</f>
        <v>0.28484199711128788</v>
      </c>
      <c r="BH6" s="13">
        <v>16</v>
      </c>
      <c r="BI6" s="171">
        <v>6031864</v>
      </c>
      <c r="BJ6" s="176">
        <f>BI6*0.55</f>
        <v>3317525.2</v>
      </c>
      <c r="BK6" s="245">
        <f>BL6*1.88</f>
        <v>4746571.3599999994</v>
      </c>
      <c r="BL6" s="268">
        <v>2524772</v>
      </c>
      <c r="BM6" s="267">
        <f>BI6-BK6</f>
        <v>1285292.6400000006</v>
      </c>
      <c r="BN6" s="171">
        <f>BJ6-BL6</f>
        <v>792753.20000000019</v>
      </c>
      <c r="BO6" s="10">
        <f>BN6/BJ6</f>
        <v>0.23895920971451856</v>
      </c>
      <c r="BP6" s="13">
        <v>19</v>
      </c>
      <c r="BQ6" s="445">
        <v>9685966</v>
      </c>
      <c r="BR6" s="176">
        <f>BQ6*0.55</f>
        <v>5327281.3000000007</v>
      </c>
      <c r="BS6" s="245">
        <f>BT6*1.88</f>
        <v>5517595.0800000001</v>
      </c>
      <c r="BT6" s="268">
        <v>2934891</v>
      </c>
      <c r="BU6" s="267">
        <f>BQ6-BS6</f>
        <v>4168370.92</v>
      </c>
      <c r="BV6" s="171">
        <f>BR6-BT6</f>
        <v>2392390.3000000007</v>
      </c>
      <c r="BW6" s="10">
        <f>BV6/BR6</f>
        <v>0.44908278074221469</v>
      </c>
      <c r="BX6" s="13">
        <v>21</v>
      </c>
      <c r="BY6" s="445">
        <v>9352885</v>
      </c>
      <c r="BZ6" s="176">
        <f>BY6*0.55</f>
        <v>5144086.75</v>
      </c>
      <c r="CA6" s="245">
        <f>CB6*1.88</f>
        <v>5551852.4399999995</v>
      </c>
      <c r="CB6" s="268">
        <v>2953113</v>
      </c>
      <c r="CC6" s="267">
        <f>BY6-CA6</f>
        <v>3801032.5600000005</v>
      </c>
      <c r="CD6" s="171">
        <f>BZ6-CB6</f>
        <v>2190973.75</v>
      </c>
      <c r="CE6" s="10">
        <f>CD6/BZ6</f>
        <v>0.42592084007914527</v>
      </c>
      <c r="CF6" s="13">
        <v>20</v>
      </c>
      <c r="CG6" s="171">
        <v>6502923</v>
      </c>
      <c r="CH6" s="176">
        <f>CG6*0.55</f>
        <v>3576607.6500000004</v>
      </c>
      <c r="CI6" s="245">
        <f>CJ6*1.88</f>
        <v>5273706.4399999995</v>
      </c>
      <c r="CJ6" s="268">
        <v>2805163</v>
      </c>
      <c r="CK6" s="267">
        <f>CG6-CI6</f>
        <v>1229216.5600000005</v>
      </c>
      <c r="CL6" s="171">
        <f>CH6-CJ6</f>
        <v>771444.65000000037</v>
      </c>
      <c r="CM6" s="10">
        <f>CL6/CH6</f>
        <v>0.21569171838012488</v>
      </c>
      <c r="CN6" s="13">
        <v>22</v>
      </c>
      <c r="CO6" s="171">
        <v>4002515</v>
      </c>
      <c r="CP6" s="176">
        <f>CO6*0.55</f>
        <v>2201383.25</v>
      </c>
      <c r="CQ6" s="245">
        <f>CR6*1.88</f>
        <v>5530480.5999999996</v>
      </c>
      <c r="CR6" s="268">
        <v>2941745</v>
      </c>
      <c r="CS6" s="267">
        <f>CO6-CQ6</f>
        <v>-1527965.5999999996</v>
      </c>
      <c r="CT6" s="171">
        <f>CP6-CR6</f>
        <v>-740361.75</v>
      </c>
      <c r="CU6" s="10">
        <f>CT6/CP6</f>
        <v>-0.33631660911383787</v>
      </c>
      <c r="CV6" s="59"/>
      <c r="CW6" s="9">
        <f t="shared" ref="CW6:DB7" si="0">BI6+BA6+AS6+AK6+AC6+U6+BQ6+BY6+CG6+CO6</f>
        <v>56380637</v>
      </c>
      <c r="CX6" s="9">
        <f t="shared" si="0"/>
        <v>30890142.350000001</v>
      </c>
      <c r="CY6" s="59">
        <f t="shared" si="0"/>
        <v>45494578.719999999</v>
      </c>
      <c r="CZ6" s="9">
        <f t="shared" si="0"/>
        <v>24199244</v>
      </c>
      <c r="DA6" s="59">
        <f t="shared" si="0"/>
        <v>10886058.280000003</v>
      </c>
      <c r="DB6" s="9">
        <f t="shared" si="0"/>
        <v>6690898.3500000015</v>
      </c>
      <c r="DC6" s="10">
        <f>DB6/CX6</f>
        <v>0.21660302740560214</v>
      </c>
      <c r="DD6" s="59">
        <v>8</v>
      </c>
      <c r="DE6" s="9">
        <f t="shared" ref="DE6:DJ6" si="1">U6+AC6+AK6</f>
        <v>9833232</v>
      </c>
      <c r="DF6" s="9">
        <f t="shared" si="1"/>
        <v>5408277.5999999996</v>
      </c>
      <c r="DG6" s="57">
        <f t="shared" si="1"/>
        <v>11525857</v>
      </c>
      <c r="DH6" s="58">
        <f t="shared" si="1"/>
        <v>6130775</v>
      </c>
      <c r="DI6" s="57">
        <f t="shared" si="1"/>
        <v>-1692624.9999999995</v>
      </c>
      <c r="DJ6" s="9">
        <f t="shared" si="1"/>
        <v>-722497.39999999967</v>
      </c>
      <c r="DK6" s="10">
        <f>DJ6/DF6</f>
        <v>-0.13359103460221786</v>
      </c>
      <c r="DL6" s="59">
        <v>1</v>
      </c>
      <c r="DM6" s="9">
        <f t="shared" ref="DM6:DR7" si="2">AS6+BA6+BI6</f>
        <v>17003116</v>
      </c>
      <c r="DN6" s="9">
        <f t="shared" si="2"/>
        <v>9232505.8000000007</v>
      </c>
      <c r="DO6" s="57">
        <f t="shared" si="2"/>
        <v>12095087.159999998</v>
      </c>
      <c r="DP6" s="58">
        <f t="shared" si="2"/>
        <v>6433557</v>
      </c>
      <c r="DQ6" s="9">
        <f t="shared" si="2"/>
        <v>4908028.8400000017</v>
      </c>
      <c r="DR6" s="9">
        <f t="shared" si="2"/>
        <v>2798948.8000000003</v>
      </c>
      <c r="DS6" s="10">
        <f>DR6/DN6</f>
        <v>0.30316241989254966</v>
      </c>
    </row>
    <row r="7" spans="1:125" ht="15.05" x14ac:dyDescent="0.3">
      <c r="A7" s="5"/>
      <c r="B7" s="260" t="s">
        <v>1033</v>
      </c>
      <c r="C7" s="12"/>
      <c r="D7" s="1"/>
      <c r="E7" s="1"/>
      <c r="F7" s="142"/>
      <c r="G7" s="143"/>
      <c r="H7" s="1"/>
      <c r="I7" s="1"/>
      <c r="J7" s="3676"/>
      <c r="K7" s="1"/>
      <c r="L7" s="1"/>
      <c r="M7" s="1"/>
      <c r="N7" s="230"/>
      <c r="O7" s="859"/>
      <c r="P7" s="1"/>
      <c r="Q7" s="1"/>
      <c r="R7" s="3676"/>
      <c r="T7" s="12"/>
      <c r="U7" s="142"/>
      <c r="V7" s="143"/>
      <c r="W7" s="142"/>
      <c r="X7" s="143"/>
      <c r="Y7" s="1"/>
      <c r="Z7" s="1"/>
      <c r="AA7" s="15"/>
      <c r="AB7" s="1"/>
      <c r="AC7" s="142"/>
      <c r="AD7" s="143"/>
      <c r="AE7" s="142"/>
      <c r="AF7" s="143"/>
      <c r="AG7" s="1"/>
      <c r="AH7" s="1"/>
      <c r="AI7" s="1"/>
      <c r="AJ7" s="12"/>
      <c r="AK7" s="1"/>
      <c r="AL7" s="1"/>
      <c r="AM7" s="230"/>
      <c r="AN7" s="1"/>
      <c r="AO7" s="142"/>
      <c r="AP7" s="1"/>
      <c r="AQ7" s="15"/>
      <c r="AR7" s="12"/>
      <c r="AS7" s="1"/>
      <c r="AT7" s="1"/>
      <c r="AU7" s="230"/>
      <c r="AV7" s="859"/>
      <c r="AW7" s="1"/>
      <c r="AX7" s="1"/>
      <c r="AY7" s="15"/>
      <c r="AZ7" s="1"/>
      <c r="BA7" s="1"/>
      <c r="BB7" s="1"/>
      <c r="BC7" s="142"/>
      <c r="BD7" s="143"/>
      <c r="BE7" s="1"/>
      <c r="BF7" s="1"/>
      <c r="BG7" s="1"/>
      <c r="BH7" s="12"/>
      <c r="BI7" s="172">
        <v>6075000</v>
      </c>
      <c r="BJ7" s="176">
        <f>BI7*0.55</f>
        <v>3341250.0000000005</v>
      </c>
      <c r="BK7" s="245">
        <f>BL7*1.88</f>
        <v>0</v>
      </c>
      <c r="BL7" s="268">
        <v>0</v>
      </c>
      <c r="BM7" s="171">
        <f>BI7-BK7</f>
        <v>6075000</v>
      </c>
      <c r="BN7" s="171">
        <f>BJ7-BL7</f>
        <v>3341250.0000000005</v>
      </c>
      <c r="BO7" s="10">
        <f>BN7/BJ7</f>
        <v>1</v>
      </c>
      <c r="BP7" s="12"/>
      <c r="BQ7" s="172"/>
      <c r="BR7" s="176"/>
      <c r="BS7" s="245"/>
      <c r="BT7" s="268"/>
      <c r="BU7" s="171"/>
      <c r="BV7" s="171"/>
      <c r="BW7" s="10"/>
      <c r="BX7" s="12"/>
      <c r="BY7" s="172">
        <v>850000</v>
      </c>
      <c r="BZ7" s="176">
        <f>BY7*0.55</f>
        <v>467500.00000000006</v>
      </c>
      <c r="CA7" s="245">
        <v>0</v>
      </c>
      <c r="CB7" s="268">
        <v>0</v>
      </c>
      <c r="CC7" s="267">
        <f>BY7-CA7</f>
        <v>850000</v>
      </c>
      <c r="CD7" s="171">
        <f>BZ7-CB7</f>
        <v>467500.00000000006</v>
      </c>
      <c r="CE7" s="858">
        <v>0</v>
      </c>
      <c r="CF7" s="12"/>
      <c r="CG7" s="172">
        <v>0</v>
      </c>
      <c r="CH7" s="176">
        <f>CG7*0.53</f>
        <v>0</v>
      </c>
      <c r="CI7" s="245">
        <v>0</v>
      </c>
      <c r="CJ7" s="268">
        <v>0</v>
      </c>
      <c r="CK7" s="267">
        <f>CG7-CI7</f>
        <v>0</v>
      </c>
      <c r="CL7" s="171">
        <f>CH7-CJ7</f>
        <v>0</v>
      </c>
      <c r="CM7" s="858">
        <v>0</v>
      </c>
      <c r="CN7" s="12"/>
      <c r="CO7" s="172">
        <v>7011000</v>
      </c>
      <c r="CP7" s="176">
        <f>CO7*0.55</f>
        <v>3856050.0000000005</v>
      </c>
      <c r="CQ7" s="245">
        <v>0</v>
      </c>
      <c r="CR7" s="268">
        <v>0</v>
      </c>
      <c r="CS7" s="267">
        <f>CO7-CQ7</f>
        <v>7011000</v>
      </c>
      <c r="CT7" s="171">
        <f>CP7-CR7</f>
        <v>3856050.0000000005</v>
      </c>
      <c r="CU7" s="858">
        <v>0</v>
      </c>
      <c r="CV7" s="12"/>
      <c r="CW7" s="9">
        <f t="shared" si="0"/>
        <v>13936000</v>
      </c>
      <c r="CX7" s="9">
        <f t="shared" si="0"/>
        <v>7664800.0000000009</v>
      </c>
      <c r="CY7" s="59">
        <f t="shared" si="0"/>
        <v>0</v>
      </c>
      <c r="CZ7" s="9">
        <f t="shared" si="0"/>
        <v>0</v>
      </c>
      <c r="DA7" s="59">
        <f t="shared" si="0"/>
        <v>13936000</v>
      </c>
      <c r="DB7" s="9">
        <f t="shared" si="0"/>
        <v>7664800.0000000009</v>
      </c>
      <c r="DC7" s="10">
        <f>DB7/CX7</f>
        <v>1</v>
      </c>
      <c r="DD7" s="12"/>
      <c r="DE7" s="1"/>
      <c r="DF7" s="1"/>
      <c r="DG7" s="142"/>
      <c r="DH7" s="143"/>
      <c r="DI7" s="142"/>
      <c r="DJ7" s="1"/>
      <c r="DK7" s="17"/>
      <c r="DL7" s="59"/>
      <c r="DM7" s="9">
        <f t="shared" si="2"/>
        <v>6075000</v>
      </c>
      <c r="DN7" s="9">
        <f t="shared" si="2"/>
        <v>3341250.0000000005</v>
      </c>
      <c r="DO7" s="57">
        <f t="shared" si="2"/>
        <v>0</v>
      </c>
      <c r="DP7" s="58">
        <f t="shared" si="2"/>
        <v>0</v>
      </c>
      <c r="DQ7" s="9">
        <f t="shared" si="2"/>
        <v>6075000</v>
      </c>
      <c r="DR7" s="9">
        <f t="shared" si="2"/>
        <v>3341250.0000000005</v>
      </c>
      <c r="DS7" s="10">
        <f>DR7/DN7</f>
        <v>1</v>
      </c>
    </row>
    <row r="8" spans="1:125" x14ac:dyDescent="0.3">
      <c r="A8" s="5"/>
      <c r="B8" s="1"/>
      <c r="C8" s="12"/>
      <c r="D8" s="1"/>
      <c r="E8" s="1"/>
      <c r="F8" s="142"/>
      <c r="G8" s="143"/>
      <c r="H8" s="1"/>
      <c r="I8" s="1"/>
      <c r="J8" s="3676"/>
      <c r="K8" s="1"/>
      <c r="L8" s="1"/>
      <c r="M8" s="1"/>
      <c r="N8" s="230"/>
      <c r="O8" s="859"/>
      <c r="P8" s="1"/>
      <c r="Q8" s="1"/>
      <c r="R8" s="3676"/>
      <c r="T8" s="12"/>
      <c r="U8" s="142"/>
      <c r="V8" s="143"/>
      <c r="W8" s="142"/>
      <c r="X8" s="143"/>
      <c r="Y8" s="1"/>
      <c r="Z8" s="1"/>
      <c r="AA8" s="15"/>
      <c r="AB8" s="1"/>
      <c r="AC8" s="142"/>
      <c r="AD8" s="143"/>
      <c r="AE8" s="142"/>
      <c r="AF8" s="143"/>
      <c r="AG8" s="1"/>
      <c r="AH8" s="1"/>
      <c r="AI8" s="1"/>
      <c r="AJ8" s="12"/>
      <c r="AK8" s="1"/>
      <c r="AL8" s="1"/>
      <c r="AM8" s="230"/>
      <c r="AN8" s="1"/>
      <c r="AO8" s="142"/>
      <c r="AP8" s="1"/>
      <c r="AQ8" s="15"/>
      <c r="AR8" s="12"/>
      <c r="AS8" s="1"/>
      <c r="AT8" s="1"/>
      <c r="AU8" s="230"/>
      <c r="AV8" s="859"/>
      <c r="AW8" s="1"/>
      <c r="AX8" s="1"/>
      <c r="AY8" s="15"/>
      <c r="AZ8" s="1"/>
      <c r="BA8" s="1"/>
      <c r="BB8" s="1"/>
      <c r="BC8" s="142"/>
      <c r="BD8" s="143"/>
      <c r="BE8" s="1"/>
      <c r="BF8" s="1"/>
      <c r="BG8" s="1"/>
      <c r="BH8" s="12"/>
      <c r="BI8" s="1"/>
      <c r="BJ8" s="1"/>
      <c r="BK8" s="142"/>
      <c r="BL8" s="143"/>
      <c r="BM8" s="1"/>
      <c r="BN8" s="1"/>
      <c r="BO8" s="15"/>
      <c r="BP8" s="12"/>
      <c r="BQ8" s="1"/>
      <c r="BR8" s="1"/>
      <c r="BS8" s="142"/>
      <c r="BT8" s="143"/>
      <c r="BU8" s="1"/>
      <c r="BV8" s="1"/>
      <c r="BW8" s="15"/>
      <c r="BX8" s="12"/>
      <c r="BY8" s="1"/>
      <c r="BZ8" s="1"/>
      <c r="CA8" s="142"/>
      <c r="CB8" s="143"/>
      <c r="CC8" s="1"/>
      <c r="CD8" s="1"/>
      <c r="CE8" s="15"/>
      <c r="CF8" s="12"/>
      <c r="CG8" s="1"/>
      <c r="CH8" s="1"/>
      <c r="CI8" s="142"/>
      <c r="CJ8" s="143"/>
      <c r="CK8" s="1"/>
      <c r="CL8" s="1"/>
      <c r="CM8" s="15"/>
      <c r="CN8" s="12"/>
      <c r="CO8" s="1"/>
      <c r="CP8" s="1"/>
      <c r="CQ8" s="142"/>
      <c r="CR8" s="143"/>
      <c r="CS8" s="1"/>
      <c r="CT8" s="1"/>
      <c r="CU8" s="15"/>
      <c r="CV8" s="12"/>
      <c r="CW8" s="1"/>
      <c r="CX8" s="1"/>
      <c r="CY8" s="12"/>
      <c r="CZ8" s="1"/>
      <c r="DA8" s="12"/>
      <c r="DB8" s="1"/>
      <c r="DC8" s="17"/>
      <c r="DD8" s="12"/>
      <c r="DE8" s="1"/>
      <c r="DF8" s="1"/>
      <c r="DG8" s="142"/>
      <c r="DH8" s="143"/>
      <c r="DI8" s="142"/>
      <c r="DJ8" s="1"/>
      <c r="DK8" s="17"/>
      <c r="DL8" s="12"/>
      <c r="DM8" s="1"/>
      <c r="DN8" s="1"/>
      <c r="DO8" s="142"/>
      <c r="DP8" s="143"/>
      <c r="DQ8" s="1"/>
      <c r="DR8" s="1"/>
      <c r="DS8" s="17"/>
    </row>
    <row r="9" spans="1:125" ht="15.05" x14ac:dyDescent="0.3">
      <c r="A9" s="4298"/>
      <c r="B9" s="4299" t="s">
        <v>2</v>
      </c>
      <c r="C9" s="4300">
        <f t="shared" ref="C9:I9" si="3">SUM(C6:C8)</f>
        <v>0</v>
      </c>
      <c r="D9" s="4156">
        <f t="shared" si="3"/>
        <v>0</v>
      </c>
      <c r="E9" s="4156">
        <f t="shared" si="3"/>
        <v>0</v>
      </c>
      <c r="F9" s="4301">
        <f t="shared" si="3"/>
        <v>0</v>
      </c>
      <c r="G9" s="4302">
        <f t="shared" si="3"/>
        <v>0</v>
      </c>
      <c r="H9" s="4156">
        <f t="shared" si="3"/>
        <v>0</v>
      </c>
      <c r="I9" s="4156">
        <f t="shared" si="3"/>
        <v>0</v>
      </c>
      <c r="J9" s="4303">
        <v>0</v>
      </c>
      <c r="K9" s="4300">
        <v>0</v>
      </c>
      <c r="L9" s="4156">
        <f t="shared" ref="L9:Q9" si="4">SUM(L6:L8)</f>
        <v>0</v>
      </c>
      <c r="M9" s="4156">
        <f t="shared" si="4"/>
        <v>0</v>
      </c>
      <c r="N9" s="4304">
        <f t="shared" si="4"/>
        <v>0</v>
      </c>
      <c r="O9" s="4305">
        <f t="shared" si="4"/>
        <v>0</v>
      </c>
      <c r="P9" s="4156">
        <f t="shared" si="4"/>
        <v>0</v>
      </c>
      <c r="Q9" s="4156">
        <f t="shared" si="4"/>
        <v>0</v>
      </c>
      <c r="R9" s="4303">
        <v>0</v>
      </c>
      <c r="S9" s="6608"/>
      <c r="T9" s="4300">
        <f t="shared" ref="T9:Z9" si="5">SUM(T6:T8)</f>
        <v>2</v>
      </c>
      <c r="U9" s="4301">
        <f t="shared" si="5"/>
        <v>973896</v>
      </c>
      <c r="V9" s="4302">
        <f t="shared" si="5"/>
        <v>535642.80000000005</v>
      </c>
      <c r="W9" s="4301">
        <f t="shared" si="5"/>
        <v>4365094.92</v>
      </c>
      <c r="X9" s="4302">
        <f t="shared" si="5"/>
        <v>2321859</v>
      </c>
      <c r="Y9" s="4156">
        <f t="shared" si="5"/>
        <v>-3391198.92</v>
      </c>
      <c r="Z9" s="4156">
        <f t="shared" si="5"/>
        <v>-1786216.2</v>
      </c>
      <c r="AA9" s="4152">
        <f>Z9/V9</f>
        <v>-3.3347152243995435</v>
      </c>
      <c r="AB9" s="4156">
        <f t="shared" ref="AB9:AH9" si="6">SUM(AB6:AB8)</f>
        <v>6</v>
      </c>
      <c r="AC9" s="4301">
        <f t="shared" si="6"/>
        <v>3550024</v>
      </c>
      <c r="AD9" s="4302">
        <f t="shared" si="6"/>
        <v>1952513.2000000002</v>
      </c>
      <c r="AE9" s="4301">
        <f t="shared" si="6"/>
        <v>3105746.84</v>
      </c>
      <c r="AF9" s="4302">
        <f t="shared" si="6"/>
        <v>1651993</v>
      </c>
      <c r="AG9" s="4156">
        <f t="shared" si="6"/>
        <v>444277.16000000015</v>
      </c>
      <c r="AH9" s="4156">
        <f t="shared" si="6"/>
        <v>300520.20000000019</v>
      </c>
      <c r="AI9" s="4306">
        <f>AH9/AD9</f>
        <v>0.15391455484142189</v>
      </c>
      <c r="AJ9" s="4300">
        <f t="shared" ref="AJ9:AP9" si="7">SUM(AJ6:AJ8)</f>
        <v>8</v>
      </c>
      <c r="AK9" s="4156">
        <f t="shared" si="7"/>
        <v>5309312</v>
      </c>
      <c r="AL9" s="4156">
        <f t="shared" si="7"/>
        <v>2920121.6</v>
      </c>
      <c r="AM9" s="4304">
        <f t="shared" si="7"/>
        <v>4055015.2399999998</v>
      </c>
      <c r="AN9" s="4156">
        <f t="shared" si="7"/>
        <v>2156923</v>
      </c>
      <c r="AO9" s="4301">
        <f t="shared" si="7"/>
        <v>1254296.7600000002</v>
      </c>
      <c r="AP9" s="4156">
        <f t="shared" si="7"/>
        <v>763198.60000000009</v>
      </c>
      <c r="AQ9" s="4152">
        <f>AP9/AL9</f>
        <v>0.2613584995912499</v>
      </c>
      <c r="AR9" s="4300">
        <f t="shared" ref="AR9:AX9" si="8">SUM(AR6:AR8)</f>
        <v>9</v>
      </c>
      <c r="AS9" s="4156">
        <f t="shared" si="8"/>
        <v>5960400</v>
      </c>
      <c r="AT9" s="4156">
        <f t="shared" si="8"/>
        <v>3159012</v>
      </c>
      <c r="AU9" s="4304">
        <f t="shared" si="8"/>
        <v>3643124.1599999997</v>
      </c>
      <c r="AV9" s="4305">
        <f t="shared" si="8"/>
        <v>1937832</v>
      </c>
      <c r="AW9" s="4156">
        <f t="shared" si="8"/>
        <v>2317275.8400000003</v>
      </c>
      <c r="AX9" s="4156">
        <f t="shared" si="8"/>
        <v>1221180</v>
      </c>
      <c r="AY9" s="4152">
        <f>AX9/AT9</f>
        <v>0.38657023145211222</v>
      </c>
      <c r="AZ9" s="4300">
        <f t="shared" ref="AZ9:BF9" si="9">SUM(AZ6:AZ8)</f>
        <v>12</v>
      </c>
      <c r="BA9" s="4156">
        <f t="shared" si="9"/>
        <v>5010852</v>
      </c>
      <c r="BB9" s="4156">
        <f t="shared" si="9"/>
        <v>2755968.6</v>
      </c>
      <c r="BC9" s="4304">
        <f t="shared" si="9"/>
        <v>3705391.6399999997</v>
      </c>
      <c r="BD9" s="4305">
        <f t="shared" si="9"/>
        <v>1970953</v>
      </c>
      <c r="BE9" s="4156">
        <f t="shared" si="9"/>
        <v>1305460.3600000003</v>
      </c>
      <c r="BF9" s="4156">
        <f t="shared" si="9"/>
        <v>785015.60000000009</v>
      </c>
      <c r="BG9" s="4306">
        <f>BF9/BB9</f>
        <v>0.28484199711128788</v>
      </c>
      <c r="BH9" s="4300">
        <f t="shared" ref="BH9:BN9" si="10">SUM(BH6:BH8)</f>
        <v>16</v>
      </c>
      <c r="BI9" s="4156">
        <f t="shared" si="10"/>
        <v>12106864</v>
      </c>
      <c r="BJ9" s="4156">
        <f t="shared" si="10"/>
        <v>6658775.2000000011</v>
      </c>
      <c r="BK9" s="4304">
        <f t="shared" si="10"/>
        <v>4746571.3599999994</v>
      </c>
      <c r="BL9" s="4305">
        <f t="shared" si="10"/>
        <v>2524772</v>
      </c>
      <c r="BM9" s="4156">
        <f t="shared" si="10"/>
        <v>7360292.6400000006</v>
      </c>
      <c r="BN9" s="4156">
        <f t="shared" si="10"/>
        <v>4134003.2000000007</v>
      </c>
      <c r="BO9" s="4152">
        <f>BN9/BJ9</f>
        <v>0.62083537525039134</v>
      </c>
      <c r="BP9" s="4300">
        <f t="shared" ref="BP9:BV9" si="11">SUM(BP6:BP8)</f>
        <v>19</v>
      </c>
      <c r="BQ9" s="4156">
        <f t="shared" si="11"/>
        <v>9685966</v>
      </c>
      <c r="BR9" s="4156">
        <f t="shared" si="11"/>
        <v>5327281.3000000007</v>
      </c>
      <c r="BS9" s="4304">
        <f t="shared" si="11"/>
        <v>5517595.0800000001</v>
      </c>
      <c r="BT9" s="4305">
        <f t="shared" si="11"/>
        <v>2934891</v>
      </c>
      <c r="BU9" s="4156">
        <f t="shared" si="11"/>
        <v>4168370.92</v>
      </c>
      <c r="BV9" s="4156">
        <f t="shared" si="11"/>
        <v>2392390.3000000007</v>
      </c>
      <c r="BW9" s="4152">
        <f>BV9/BR9</f>
        <v>0.44908278074221469</v>
      </c>
      <c r="BX9" s="4300">
        <f t="shared" ref="BX9:CD9" si="12">SUM(BX6:BX8)</f>
        <v>21</v>
      </c>
      <c r="BY9" s="4156">
        <f t="shared" si="12"/>
        <v>10202885</v>
      </c>
      <c r="BZ9" s="4156">
        <f t="shared" si="12"/>
        <v>5611586.75</v>
      </c>
      <c r="CA9" s="4304">
        <f t="shared" si="12"/>
        <v>5551852.4399999995</v>
      </c>
      <c r="CB9" s="4305">
        <f t="shared" si="12"/>
        <v>2953113</v>
      </c>
      <c r="CC9" s="4156">
        <f t="shared" si="12"/>
        <v>4651032.5600000005</v>
      </c>
      <c r="CD9" s="4156">
        <f t="shared" si="12"/>
        <v>2658473.75</v>
      </c>
      <c r="CE9" s="4152">
        <f>CD9/BZ9</f>
        <v>0.47374724270278812</v>
      </c>
      <c r="CF9" s="4300">
        <f t="shared" ref="CF9:CL9" si="13">SUM(CF6:CF8)</f>
        <v>20</v>
      </c>
      <c r="CG9" s="4156">
        <f t="shared" si="13"/>
        <v>6502923</v>
      </c>
      <c r="CH9" s="4156">
        <f t="shared" si="13"/>
        <v>3576607.6500000004</v>
      </c>
      <c r="CI9" s="4304">
        <f t="shared" si="13"/>
        <v>5273706.4399999995</v>
      </c>
      <c r="CJ9" s="4305">
        <f t="shared" si="13"/>
        <v>2805163</v>
      </c>
      <c r="CK9" s="4156">
        <f t="shared" si="13"/>
        <v>1229216.5600000005</v>
      </c>
      <c r="CL9" s="4156">
        <f t="shared" si="13"/>
        <v>771444.65000000037</v>
      </c>
      <c r="CM9" s="4152">
        <f>CL9/CH9</f>
        <v>0.21569171838012488</v>
      </c>
      <c r="CN9" s="4300">
        <f t="shared" ref="CN9:CT9" si="14">SUM(CN6:CN8)</f>
        <v>22</v>
      </c>
      <c r="CO9" s="4156">
        <f t="shared" si="14"/>
        <v>11013515</v>
      </c>
      <c r="CP9" s="4156">
        <f t="shared" si="14"/>
        <v>6057433.25</v>
      </c>
      <c r="CQ9" s="4304">
        <f t="shared" si="14"/>
        <v>5530480.5999999996</v>
      </c>
      <c r="CR9" s="4305">
        <f t="shared" si="14"/>
        <v>2941745</v>
      </c>
      <c r="CS9" s="4156">
        <f t="shared" si="14"/>
        <v>5483034.4000000004</v>
      </c>
      <c r="CT9" s="4156">
        <f t="shared" si="14"/>
        <v>3115688.2500000005</v>
      </c>
      <c r="CU9" s="4152">
        <f>CT9/CP9</f>
        <v>0.51435783464885898</v>
      </c>
      <c r="CV9" s="4300"/>
      <c r="CW9" s="4156">
        <f t="shared" ref="CW9:DB9" si="15">SUM(CW6:CW8)</f>
        <v>70316637</v>
      </c>
      <c r="CX9" s="4156">
        <f t="shared" si="15"/>
        <v>38554942.350000001</v>
      </c>
      <c r="CY9" s="4300">
        <f t="shared" si="15"/>
        <v>45494578.719999999</v>
      </c>
      <c r="CZ9" s="4156">
        <f t="shared" si="15"/>
        <v>24199244</v>
      </c>
      <c r="DA9" s="4300">
        <f t="shared" si="15"/>
        <v>24822058.280000001</v>
      </c>
      <c r="DB9" s="4156">
        <f t="shared" si="15"/>
        <v>14355698.350000001</v>
      </c>
      <c r="DC9" s="4152">
        <f>DB9/CX9</f>
        <v>0.37234391948195977</v>
      </c>
      <c r="DD9" s="4156">
        <f t="shared" ref="DD9:DJ9" si="16">SUM(DD6:DD8)</f>
        <v>8</v>
      </c>
      <c r="DE9" s="4156">
        <f t="shared" si="16"/>
        <v>9833232</v>
      </c>
      <c r="DF9" s="4156">
        <f t="shared" si="16"/>
        <v>5408277.5999999996</v>
      </c>
      <c r="DG9" s="4301">
        <f t="shared" si="16"/>
        <v>11525857</v>
      </c>
      <c r="DH9" s="4302">
        <f t="shared" si="16"/>
        <v>6130775</v>
      </c>
      <c r="DI9" s="4301">
        <f t="shared" si="16"/>
        <v>-1692624.9999999995</v>
      </c>
      <c r="DJ9" s="4156">
        <f t="shared" si="16"/>
        <v>-722497.39999999967</v>
      </c>
      <c r="DK9" s="4152">
        <f>DJ9/DF9</f>
        <v>-0.13359103460221786</v>
      </c>
      <c r="DL9" s="4156">
        <f t="shared" ref="DL9:DR9" si="17">SUM(DL6:DL8)</f>
        <v>1</v>
      </c>
      <c r="DM9" s="4156">
        <f t="shared" si="17"/>
        <v>23078116</v>
      </c>
      <c r="DN9" s="4156">
        <f t="shared" si="17"/>
        <v>12573755.800000001</v>
      </c>
      <c r="DO9" s="4301">
        <f t="shared" si="17"/>
        <v>12095087.159999998</v>
      </c>
      <c r="DP9" s="4302">
        <f t="shared" si="17"/>
        <v>6433557</v>
      </c>
      <c r="DQ9" s="4156">
        <f t="shared" si="17"/>
        <v>10983028.840000002</v>
      </c>
      <c r="DR9" s="4156">
        <f t="shared" si="17"/>
        <v>6140198.8000000007</v>
      </c>
      <c r="DS9" s="4152">
        <f>DR9/DN9</f>
        <v>0.48833450384013344</v>
      </c>
      <c r="DU9" s="4098"/>
    </row>
    <row r="10" spans="1:125" ht="15.6" x14ac:dyDescent="0.35">
      <c r="A10" s="21"/>
      <c r="B10" s="22"/>
      <c r="C10" s="21"/>
      <c r="D10" s="23"/>
      <c r="E10" s="23"/>
      <c r="F10" s="23"/>
      <c r="G10" s="23"/>
      <c r="H10" s="23"/>
      <c r="I10" s="23"/>
      <c r="J10" s="3677"/>
      <c r="K10" s="21"/>
      <c r="L10" s="23"/>
      <c r="M10" s="23"/>
      <c r="N10" s="23"/>
      <c r="O10" s="23"/>
      <c r="P10" s="23"/>
      <c r="Q10" s="23"/>
      <c r="R10" s="3677"/>
      <c r="S10" s="23"/>
      <c r="T10" s="21"/>
      <c r="U10" s="23"/>
      <c r="V10" s="23"/>
      <c r="W10" s="23"/>
      <c r="X10" s="23"/>
      <c r="Y10" s="23"/>
      <c r="Z10" s="23"/>
      <c r="AA10" s="24"/>
      <c r="AB10" s="23"/>
      <c r="AC10" s="23"/>
      <c r="AD10" s="23"/>
      <c r="AE10" s="23"/>
      <c r="AF10" s="23"/>
      <c r="AG10" s="23"/>
      <c r="AH10" s="23"/>
      <c r="AI10" s="23"/>
      <c r="AJ10" s="21"/>
      <c r="AK10" s="23"/>
      <c r="AL10" s="23"/>
      <c r="AM10" s="23"/>
      <c r="AN10" s="23"/>
      <c r="AO10" s="23"/>
      <c r="AP10" s="23"/>
      <c r="AQ10" s="24"/>
      <c r="AR10" s="21"/>
      <c r="AS10" s="23"/>
      <c r="AT10" s="23"/>
      <c r="AU10" s="23"/>
      <c r="AV10" s="23"/>
      <c r="AW10" s="23"/>
      <c r="AX10" s="23"/>
      <c r="AY10" s="24"/>
      <c r="AZ10" s="23"/>
      <c r="BA10" s="23"/>
      <c r="BB10" s="23"/>
      <c r="BC10" s="23"/>
      <c r="BD10" s="23"/>
      <c r="BE10" s="23"/>
      <c r="BF10" s="23"/>
      <c r="BG10" s="23"/>
      <c r="BH10" s="21"/>
      <c r="BI10" s="23"/>
      <c r="BJ10" s="23"/>
      <c r="BK10" s="23"/>
      <c r="BL10" s="23"/>
      <c r="BM10" s="23"/>
      <c r="BN10" s="23"/>
      <c r="BO10" s="24"/>
      <c r="BP10" s="21"/>
      <c r="BQ10" s="23"/>
      <c r="BR10" s="23"/>
      <c r="BS10" s="23"/>
      <c r="BT10" s="23"/>
      <c r="BU10" s="23"/>
      <c r="BV10" s="23"/>
      <c r="BW10" s="24"/>
      <c r="BX10" s="21"/>
      <c r="BY10" s="23"/>
      <c r="BZ10" s="23"/>
      <c r="CA10" s="23"/>
      <c r="CB10" s="23"/>
      <c r="CC10" s="23"/>
      <c r="CD10" s="23"/>
      <c r="CE10" s="24"/>
      <c r="CF10" s="21"/>
      <c r="CG10" s="23"/>
      <c r="CH10" s="23"/>
      <c r="CI10" s="23"/>
      <c r="CJ10" s="23"/>
      <c r="CK10" s="23"/>
      <c r="CL10" s="23"/>
      <c r="CM10" s="24"/>
      <c r="CN10" s="21"/>
      <c r="CO10" s="23"/>
      <c r="CP10" s="23"/>
      <c r="CQ10" s="23"/>
      <c r="CR10" s="23"/>
      <c r="CS10" s="23"/>
      <c r="CT10" s="23"/>
      <c r="CU10" s="24"/>
      <c r="CV10" s="21"/>
      <c r="CW10" s="23"/>
      <c r="CX10" s="23"/>
      <c r="CY10" s="23"/>
      <c r="CZ10" s="23"/>
      <c r="DA10" s="23"/>
      <c r="DB10" s="23"/>
      <c r="DC10" s="30"/>
      <c r="DD10" s="21"/>
      <c r="DE10" s="23"/>
      <c r="DF10" s="23"/>
      <c r="DG10" s="23"/>
      <c r="DH10" s="23"/>
      <c r="DI10" s="23"/>
      <c r="DJ10" s="23"/>
      <c r="DK10" s="30"/>
      <c r="DL10" s="21"/>
      <c r="DM10" s="23"/>
      <c r="DN10" s="23"/>
      <c r="DO10" s="23"/>
      <c r="DP10" s="23"/>
      <c r="DQ10" s="23"/>
      <c r="DR10" s="23"/>
      <c r="DS10" s="30"/>
      <c r="DU10" s="4098"/>
    </row>
    <row r="11" spans="1:125" x14ac:dyDescent="0.3">
      <c r="A11" s="12"/>
      <c r="B11" s="31" t="s">
        <v>597</v>
      </c>
      <c r="C11" s="12"/>
      <c r="D11" s="1"/>
      <c r="E11" s="1"/>
      <c r="F11" s="1"/>
      <c r="G11" s="1"/>
      <c r="H11" s="1"/>
      <c r="I11" s="1"/>
      <c r="J11" s="3676"/>
      <c r="K11" s="12"/>
      <c r="L11" s="1"/>
      <c r="M11" s="1"/>
      <c r="N11" s="1"/>
      <c r="O11" s="1"/>
      <c r="P11" s="1"/>
      <c r="Q11" s="1"/>
      <c r="R11" s="3676"/>
      <c r="T11" s="12"/>
      <c r="U11" s="1"/>
      <c r="V11" s="1"/>
      <c r="W11" s="1"/>
      <c r="X11" s="1"/>
      <c r="Y11" s="1"/>
      <c r="Z11" s="1"/>
      <c r="AA11" s="15"/>
      <c r="AB11" s="1"/>
      <c r="AC11" s="1"/>
      <c r="AD11" s="1"/>
      <c r="AE11" s="1"/>
      <c r="AF11" s="1"/>
      <c r="AG11" s="1"/>
      <c r="AH11" s="1"/>
      <c r="AI11" s="1"/>
      <c r="AJ11" s="12"/>
      <c r="AK11" s="1"/>
      <c r="AL11" s="1"/>
      <c r="AM11" s="1"/>
      <c r="AN11" s="1"/>
      <c r="AO11" s="1"/>
      <c r="AP11" s="1"/>
      <c r="AQ11" s="15"/>
      <c r="AR11" s="12"/>
      <c r="AS11" s="1"/>
      <c r="AT11" s="1"/>
      <c r="AU11" s="1"/>
      <c r="AV11" s="1"/>
      <c r="AW11" s="1"/>
      <c r="AX11" s="1"/>
      <c r="AY11" s="15"/>
      <c r="AZ11" s="1"/>
      <c r="BA11" s="1"/>
      <c r="BB11" s="1"/>
      <c r="BC11" s="1"/>
      <c r="BD11" s="1"/>
      <c r="BE11" s="1"/>
      <c r="BF11" s="1"/>
      <c r="BG11" s="1"/>
      <c r="BH11" s="12"/>
      <c r="BI11" s="1"/>
      <c r="BJ11" s="1"/>
      <c r="BK11" s="1"/>
      <c r="BL11" s="1"/>
      <c r="BM11" s="1"/>
      <c r="BN11" s="1"/>
      <c r="BO11" s="15"/>
      <c r="BP11" s="12"/>
      <c r="BQ11" s="1"/>
      <c r="BR11" s="1"/>
      <c r="BS11" s="1"/>
      <c r="BT11" s="1"/>
      <c r="BU11" s="1"/>
      <c r="BV11" s="1"/>
      <c r="BW11" s="15"/>
      <c r="BX11" s="12"/>
      <c r="BY11" s="1"/>
      <c r="BZ11" s="1"/>
      <c r="CA11" s="1"/>
      <c r="CB11" s="1"/>
      <c r="CC11" s="1"/>
      <c r="CD11" s="1"/>
      <c r="CE11" s="15"/>
      <c r="CF11" s="12"/>
      <c r="CG11" s="1"/>
      <c r="CH11" s="1"/>
      <c r="CI11" s="1"/>
      <c r="CJ11" s="1"/>
      <c r="CK11" s="1"/>
      <c r="CL11" s="1"/>
      <c r="CM11" s="15"/>
      <c r="CN11" s="12"/>
      <c r="CO11" s="1"/>
      <c r="CP11" s="1"/>
      <c r="CQ11" s="1"/>
      <c r="CR11" s="1"/>
      <c r="CS11" s="1"/>
      <c r="CT11" s="1"/>
      <c r="CU11" s="15"/>
      <c r="CV11" s="12"/>
      <c r="CW11" s="1"/>
      <c r="CX11" s="1"/>
      <c r="CY11" s="1"/>
      <c r="CZ11" s="1"/>
      <c r="DA11" s="9">
        <f t="shared" ref="DA11:DB17" si="18">BM11+BE11+AW11+AO11+AG11+Y11+BU11+CC11</f>
        <v>0</v>
      </c>
      <c r="DB11" s="9">
        <f t="shared" si="18"/>
        <v>0</v>
      </c>
      <c r="DC11" s="17"/>
      <c r="DD11" s="12"/>
      <c r="DE11" s="1"/>
      <c r="DF11" s="1"/>
      <c r="DG11" s="1"/>
      <c r="DH11" s="1"/>
      <c r="DI11" s="1"/>
      <c r="DJ11" s="1"/>
      <c r="DK11" s="17"/>
      <c r="DL11" s="12"/>
      <c r="DM11" s="1"/>
      <c r="DN11" s="1"/>
      <c r="DO11" s="1"/>
      <c r="DP11" s="1"/>
      <c r="DQ11" s="1"/>
      <c r="DR11" s="1"/>
      <c r="DS11" s="17"/>
    </row>
    <row r="12" spans="1:125" x14ac:dyDescent="0.3">
      <c r="A12" s="12"/>
      <c r="B12" s="32" t="s">
        <v>1005</v>
      </c>
      <c r="C12" s="12"/>
      <c r="D12" s="1"/>
      <c r="E12" s="1"/>
      <c r="F12" s="1"/>
      <c r="G12" s="1"/>
      <c r="H12" s="172">
        <f t="shared" ref="H12:H25" si="19">I12*1.88</f>
        <v>3118081.52</v>
      </c>
      <c r="I12" s="172">
        <f>1023616+634938</f>
        <v>1658554</v>
      </c>
      <c r="J12" s="3676"/>
      <c r="K12" s="12"/>
      <c r="L12" s="1"/>
      <c r="M12" s="1"/>
      <c r="N12" s="1"/>
      <c r="O12" s="1"/>
      <c r="P12" s="172">
        <f t="shared" ref="P12:Q24" si="20">H12</f>
        <v>3118081.52</v>
      </c>
      <c r="Q12" s="172">
        <f t="shared" si="20"/>
        <v>1658554</v>
      </c>
      <c r="R12" s="3676"/>
      <c r="T12" s="12"/>
      <c r="U12" s="1"/>
      <c r="V12" s="1"/>
      <c r="W12" s="1"/>
      <c r="X12" s="1"/>
      <c r="Y12" s="172">
        <f>Z12*1.88</f>
        <v>0</v>
      </c>
      <c r="Z12" s="172">
        <v>0</v>
      </c>
      <c r="AA12" s="15"/>
      <c r="AB12" s="1"/>
      <c r="AC12" s="1"/>
      <c r="AD12" s="1"/>
      <c r="AE12" s="1"/>
      <c r="AF12" s="1"/>
      <c r="AG12" s="172">
        <f>AH12*1.88</f>
        <v>0</v>
      </c>
      <c r="AH12" s="172">
        <v>0</v>
      </c>
      <c r="AI12" s="1"/>
      <c r="AJ12" s="12"/>
      <c r="AK12" s="1"/>
      <c r="AL12" s="1"/>
      <c r="AM12" s="1"/>
      <c r="AN12" s="1"/>
      <c r="AO12" s="172">
        <f>AP12*1.88</f>
        <v>0</v>
      </c>
      <c r="AP12" s="172">
        <v>0</v>
      </c>
      <c r="AQ12" s="15"/>
      <c r="AR12" s="12"/>
      <c r="AS12" s="1"/>
      <c r="AT12" s="1"/>
      <c r="AU12" s="1"/>
      <c r="AV12" s="1"/>
      <c r="AW12" s="172">
        <f>AX12*1.88</f>
        <v>0</v>
      </c>
      <c r="AX12" s="172">
        <v>0</v>
      </c>
      <c r="AY12" s="15"/>
      <c r="AZ12" s="1"/>
      <c r="BA12" s="1"/>
      <c r="BB12" s="1"/>
      <c r="BC12" s="1"/>
      <c r="BD12" s="1"/>
      <c r="BE12" s="172">
        <f>BF12*1.88</f>
        <v>0</v>
      </c>
      <c r="BF12" s="172">
        <v>0</v>
      </c>
      <c r="BG12" s="1"/>
      <c r="BH12" s="12"/>
      <c r="BI12" s="1"/>
      <c r="BJ12" s="1"/>
      <c r="BK12" s="1"/>
      <c r="BL12" s="1"/>
      <c r="BM12" s="172">
        <f>BN12*1.88</f>
        <v>0</v>
      </c>
      <c r="BN12" s="172">
        <v>0</v>
      </c>
      <c r="BO12" s="15"/>
      <c r="BP12" s="12"/>
      <c r="BQ12" s="1"/>
      <c r="BR12" s="1"/>
      <c r="BS12" s="1"/>
      <c r="BT12" s="1"/>
      <c r="BU12" s="172">
        <f>BV12*1.88</f>
        <v>0</v>
      </c>
      <c r="BV12" s="172">
        <v>0</v>
      </c>
      <c r="BW12" s="15"/>
      <c r="BX12" s="12"/>
      <c r="BY12" s="1"/>
      <c r="BZ12" s="1"/>
      <c r="CA12" s="1"/>
      <c r="CB12" s="1"/>
      <c r="CC12" s="172">
        <f>CD12*1.88</f>
        <v>0</v>
      </c>
      <c r="CD12" s="172">
        <v>0</v>
      </c>
      <c r="CE12" s="15"/>
      <c r="CF12" s="12"/>
      <c r="CG12" s="1"/>
      <c r="CH12" s="1"/>
      <c r="CI12" s="1"/>
      <c r="CJ12" s="1"/>
      <c r="CK12" s="172">
        <f>CL12*1.88</f>
        <v>0</v>
      </c>
      <c r="CL12" s="172">
        <v>0</v>
      </c>
      <c r="CM12" s="15"/>
      <c r="CN12" s="12"/>
      <c r="CO12" s="1"/>
      <c r="CP12" s="1"/>
      <c r="CQ12" s="1"/>
      <c r="CR12" s="1"/>
      <c r="CS12" s="172">
        <f>CT12*1.88</f>
        <v>0</v>
      </c>
      <c r="CT12" s="172">
        <v>0</v>
      </c>
      <c r="CU12" s="15"/>
      <c r="CV12" s="12"/>
      <c r="CW12" s="1"/>
      <c r="CX12" s="1"/>
      <c r="CY12" s="1"/>
      <c r="CZ12" s="1"/>
      <c r="DA12" s="9">
        <f t="shared" si="18"/>
        <v>0</v>
      </c>
      <c r="DB12" s="9">
        <f t="shared" si="18"/>
        <v>0</v>
      </c>
      <c r="DC12" s="17"/>
      <c r="DD12" s="12"/>
      <c r="DE12" s="1"/>
      <c r="DF12" s="1"/>
      <c r="DG12" s="1"/>
      <c r="DH12" s="1"/>
      <c r="DI12" s="9">
        <f>Y12+AG12+AO12</f>
        <v>0</v>
      </c>
      <c r="DJ12" s="9">
        <f>Z12+AH12+AP12</f>
        <v>0</v>
      </c>
      <c r="DK12" s="17"/>
      <c r="DL12" s="12"/>
      <c r="DM12" s="1"/>
      <c r="DN12" s="1"/>
      <c r="DO12" s="1"/>
      <c r="DP12" s="1"/>
      <c r="DQ12" s="9">
        <f>AW12+BE12+BM12</f>
        <v>0</v>
      </c>
      <c r="DR12" s="9">
        <f>AX12+BF12+BN12</f>
        <v>0</v>
      </c>
      <c r="DS12" s="17"/>
      <c r="DU12" s="4098"/>
    </row>
    <row r="13" spans="1:125" ht="14" hidden="1" customHeight="1" x14ac:dyDescent="0.3">
      <c r="A13" s="12"/>
      <c r="B13" s="32" t="s">
        <v>933</v>
      </c>
      <c r="C13" s="12"/>
      <c r="D13" s="1"/>
      <c r="E13" s="1"/>
      <c r="F13" s="1"/>
      <c r="G13" s="1"/>
      <c r="H13" s="172">
        <f>I13*1.88</f>
        <v>547166.48</v>
      </c>
      <c r="I13" s="172">
        <v>291046</v>
      </c>
      <c r="J13" s="3676"/>
      <c r="K13" s="12"/>
      <c r="L13" s="1"/>
      <c r="M13" s="1"/>
      <c r="N13" s="1"/>
      <c r="O13" s="1"/>
      <c r="P13" s="172">
        <f>H13</f>
        <v>547166.48</v>
      </c>
      <c r="Q13" s="172">
        <f>I13</f>
        <v>291046</v>
      </c>
      <c r="R13" s="3676"/>
      <c r="T13" s="12"/>
      <c r="U13" s="1"/>
      <c r="V13" s="1"/>
      <c r="W13" s="1"/>
      <c r="X13" s="1"/>
      <c r="Y13" s="172">
        <f>Z13*1.88</f>
        <v>1211584.8</v>
      </c>
      <c r="Z13" s="172">
        <v>644460</v>
      </c>
      <c r="AA13" s="15"/>
      <c r="AB13" s="1"/>
      <c r="AC13" s="1"/>
      <c r="AD13" s="1"/>
      <c r="AE13" s="1"/>
      <c r="AF13" s="1"/>
      <c r="AG13" s="172">
        <f>AH13*1.88</f>
        <v>1211584.8</v>
      </c>
      <c r="AH13" s="172">
        <v>644460</v>
      </c>
      <c r="AI13" s="1"/>
      <c r="AJ13" s="12"/>
      <c r="AK13" s="1"/>
      <c r="AL13" s="1"/>
      <c r="AM13" s="1"/>
      <c r="AN13" s="1"/>
      <c r="AO13" s="172">
        <f>AP13*1.88</f>
        <v>1211584.8</v>
      </c>
      <c r="AP13" s="172">
        <v>644460</v>
      </c>
      <c r="AQ13" s="15"/>
      <c r="AR13" s="12"/>
      <c r="AS13" s="1"/>
      <c r="AT13" s="1"/>
      <c r="AU13" s="1"/>
      <c r="AV13" s="1"/>
      <c r="AW13" s="172">
        <f>AX13*1.88</f>
        <v>1211584.8</v>
      </c>
      <c r="AX13" s="172">
        <v>644460</v>
      </c>
      <c r="AY13" s="15"/>
      <c r="AZ13" s="1"/>
      <c r="BA13" s="1"/>
      <c r="BB13" s="1"/>
      <c r="BC13" s="1"/>
      <c r="BD13" s="1"/>
      <c r="BE13" s="172">
        <f>BF13*1.88</f>
        <v>1316594.0799999998</v>
      </c>
      <c r="BF13" s="172">
        <f>724125-23809</f>
        <v>700316</v>
      </c>
      <c r="BG13" s="1"/>
      <c r="BH13" s="12"/>
      <c r="BI13" s="1"/>
      <c r="BJ13" s="1"/>
      <c r="BK13" s="1"/>
      <c r="BL13" s="1"/>
      <c r="BM13" s="172">
        <f>BN13*1.88</f>
        <v>1316594.0799999998</v>
      </c>
      <c r="BN13" s="172">
        <f>724125-23809</f>
        <v>700316</v>
      </c>
      <c r="BO13" s="15"/>
      <c r="BP13" s="12"/>
      <c r="BQ13" s="1"/>
      <c r="BR13" s="1"/>
      <c r="BS13" s="1"/>
      <c r="BT13" s="1"/>
      <c r="BU13" s="172">
        <f>BV13*1.88</f>
        <v>1316594.0799999998</v>
      </c>
      <c r="BV13" s="172">
        <f>724125-23809</f>
        <v>700316</v>
      </c>
      <c r="BW13" s="15"/>
      <c r="BX13" s="12"/>
      <c r="BY13" s="1"/>
      <c r="BZ13" s="1"/>
      <c r="CA13" s="1"/>
      <c r="CB13" s="1"/>
      <c r="CC13" s="172">
        <f>CD13*1.88</f>
        <v>1316594.0799999998</v>
      </c>
      <c r="CD13" s="172">
        <f>724125-23809</f>
        <v>700316</v>
      </c>
      <c r="CE13" s="15"/>
      <c r="CF13" s="12"/>
      <c r="CG13" s="1"/>
      <c r="CH13" s="1"/>
      <c r="CI13" s="1"/>
      <c r="CJ13" s="1"/>
      <c r="CK13" s="172">
        <f>CL13*1.88</f>
        <v>1316594.0799999998</v>
      </c>
      <c r="CL13" s="172">
        <f>724125-23809</f>
        <v>700316</v>
      </c>
      <c r="CM13" s="15"/>
      <c r="CN13" s="12"/>
      <c r="CO13" s="1"/>
      <c r="CP13" s="1"/>
      <c r="CQ13" s="1"/>
      <c r="CR13" s="1"/>
      <c r="CS13" s="172">
        <f>CT13*1.88</f>
        <v>1316594.0799999998</v>
      </c>
      <c r="CT13" s="172">
        <f>724125-23809</f>
        <v>700316</v>
      </c>
      <c r="CU13" s="15"/>
      <c r="CV13" s="12"/>
      <c r="CW13" s="1"/>
      <c r="CX13" s="1"/>
      <c r="CY13" s="1"/>
      <c r="CZ13" s="1"/>
      <c r="DA13" s="9">
        <f>BM13+BE13+AW13+AO13+AG13+Y13+BU13+CC13+CK13+CS13</f>
        <v>12745903.68</v>
      </c>
      <c r="DB13" s="9">
        <f>BN13+BF13+AX13+AP13+AH13+Z13+BV13+CD13+CL13+CT13</f>
        <v>6779736</v>
      </c>
      <c r="DC13" s="17"/>
      <c r="DD13" s="12"/>
      <c r="DE13" s="1"/>
      <c r="DF13" s="1"/>
      <c r="DG13" s="1"/>
      <c r="DH13" s="1"/>
      <c r="DI13" s="9">
        <f t="shared" ref="DI13:DJ25" si="21">Y13+AG13+AO13</f>
        <v>3634754.4000000004</v>
      </c>
      <c r="DJ13" s="9">
        <f t="shared" si="21"/>
        <v>1933380</v>
      </c>
      <c r="DK13" s="17"/>
      <c r="DL13" s="12"/>
      <c r="DM13" s="1"/>
      <c r="DN13" s="1"/>
      <c r="DO13" s="1"/>
      <c r="DP13" s="1"/>
      <c r="DQ13" s="9">
        <f t="shared" ref="DQ13:DR26" si="22">AW13+BE13+BM13</f>
        <v>3844772.96</v>
      </c>
      <c r="DR13" s="9">
        <f t="shared" si="22"/>
        <v>2045092</v>
      </c>
      <c r="DS13" s="17"/>
      <c r="DT13" s="1648"/>
      <c r="DU13" s="4098"/>
    </row>
    <row r="14" spans="1:125" hidden="1" x14ac:dyDescent="0.3">
      <c r="A14" s="12"/>
      <c r="B14" s="1" t="s">
        <v>25</v>
      </c>
      <c r="C14" s="12"/>
      <c r="D14" s="1"/>
      <c r="E14" s="1"/>
      <c r="F14" s="1"/>
      <c r="G14" s="1"/>
      <c r="H14" s="172">
        <f t="shared" si="19"/>
        <v>0</v>
      </c>
      <c r="I14" s="172">
        <v>0</v>
      </c>
      <c r="J14" s="3676"/>
      <c r="K14" s="12"/>
      <c r="L14" s="1"/>
      <c r="M14" s="1"/>
      <c r="N14" s="1"/>
      <c r="O14" s="1"/>
      <c r="P14" s="172">
        <f t="shared" si="20"/>
        <v>0</v>
      </c>
      <c r="Q14" s="172">
        <f t="shared" si="20"/>
        <v>0</v>
      </c>
      <c r="R14" s="3676"/>
      <c r="T14" s="12"/>
      <c r="U14" s="1"/>
      <c r="V14" s="1"/>
      <c r="W14" s="1"/>
      <c r="X14" s="1"/>
      <c r="Y14" s="172">
        <f t="shared" ref="Y14:Y25" si="23">Z14*1.88</f>
        <v>0</v>
      </c>
      <c r="Z14" s="172">
        <v>0</v>
      </c>
      <c r="AA14" s="15"/>
      <c r="AB14" s="1"/>
      <c r="AC14" s="1"/>
      <c r="AD14" s="1"/>
      <c r="AE14" s="1"/>
      <c r="AF14" s="1"/>
      <c r="AG14" s="172">
        <f t="shared" ref="AG14:AG25" si="24">AH14*1.88</f>
        <v>0</v>
      </c>
      <c r="AH14" s="172">
        <v>0</v>
      </c>
      <c r="AI14" s="1"/>
      <c r="AJ14" s="12"/>
      <c r="AK14" s="1"/>
      <c r="AL14" s="1"/>
      <c r="AM14" s="1"/>
      <c r="AN14" s="1"/>
      <c r="AO14" s="172">
        <f t="shared" ref="AO14:AO19" si="25">AP14*1.88</f>
        <v>0</v>
      </c>
      <c r="AP14" s="1"/>
      <c r="AQ14" s="15"/>
      <c r="AR14" s="12"/>
      <c r="AS14" s="1"/>
      <c r="AT14" s="1"/>
      <c r="AU14" s="1"/>
      <c r="AV14" s="1"/>
      <c r="AW14" s="172">
        <f t="shared" ref="AW14:AW19" si="26">AX14*1.88</f>
        <v>0</v>
      </c>
      <c r="AX14" s="329">
        <v>0</v>
      </c>
      <c r="AY14" s="15"/>
      <c r="AZ14" s="1"/>
      <c r="BA14" s="1"/>
      <c r="BB14" s="1"/>
      <c r="BC14" s="1"/>
      <c r="BD14" s="1"/>
      <c r="BE14" s="172">
        <f t="shared" ref="BE14:BE19" si="27">BF14*1.88</f>
        <v>0</v>
      </c>
      <c r="BF14" s="329">
        <v>0</v>
      </c>
      <c r="BG14" s="1"/>
      <c r="BH14" s="12"/>
      <c r="BI14" s="1"/>
      <c r="BJ14" s="1"/>
      <c r="BK14" s="1"/>
      <c r="BL14" s="1"/>
      <c r="BM14" s="172">
        <f t="shared" ref="BM14:BM19" si="28">BN14*1.88</f>
        <v>0</v>
      </c>
      <c r="BN14" s="329">
        <v>0</v>
      </c>
      <c r="BO14" s="15"/>
      <c r="BP14" s="12"/>
      <c r="BQ14" s="1"/>
      <c r="BR14" s="1"/>
      <c r="BS14" s="1"/>
      <c r="BT14" s="1"/>
      <c r="BU14" s="172">
        <f t="shared" ref="BU14:BU19" si="29">BV14*1.88</f>
        <v>0</v>
      </c>
      <c r="BV14" s="329">
        <v>0</v>
      </c>
      <c r="BW14" s="15"/>
      <c r="BX14" s="12"/>
      <c r="BY14" s="1"/>
      <c r="BZ14" s="1"/>
      <c r="CA14" s="1"/>
      <c r="CB14" s="1"/>
      <c r="CC14" s="172">
        <f t="shared" ref="CC14:CC19" si="30">CD14*1.88</f>
        <v>0</v>
      </c>
      <c r="CD14" s="329">
        <v>0</v>
      </c>
      <c r="CE14" s="15"/>
      <c r="CF14" s="12"/>
      <c r="CG14" s="1"/>
      <c r="CH14" s="1"/>
      <c r="CI14" s="1"/>
      <c r="CJ14" s="1"/>
      <c r="CK14" s="172">
        <f t="shared" ref="CK14:CK19" si="31">CL14*1.88</f>
        <v>0</v>
      </c>
      <c r="CL14" s="329">
        <v>0</v>
      </c>
      <c r="CM14" s="15"/>
      <c r="CN14" s="12"/>
      <c r="CO14" s="1"/>
      <c r="CP14" s="1"/>
      <c r="CQ14" s="1"/>
      <c r="CR14" s="1"/>
      <c r="CS14" s="172">
        <f t="shared" ref="CS14:CS19" si="32">CT14*1.88</f>
        <v>0</v>
      </c>
      <c r="CT14" s="329">
        <v>0</v>
      </c>
      <c r="CU14" s="15"/>
      <c r="CV14" s="12"/>
      <c r="CW14" s="1"/>
      <c r="CX14" s="1"/>
      <c r="CY14" s="1"/>
      <c r="CZ14" s="1"/>
      <c r="DA14" s="9">
        <f t="shared" ref="DA14:DB26" si="33">BM14+BE14+AW14+AO14+AG14+Y14+BU14+CC14+CK14+CS14</f>
        <v>0</v>
      </c>
      <c r="DB14" s="9">
        <f t="shared" si="18"/>
        <v>0</v>
      </c>
      <c r="DC14" s="17"/>
      <c r="DD14" s="12"/>
      <c r="DE14" s="1"/>
      <c r="DF14" s="1"/>
      <c r="DG14" s="1"/>
      <c r="DH14" s="1"/>
      <c r="DI14" s="9">
        <f t="shared" si="21"/>
        <v>0</v>
      </c>
      <c r="DJ14" s="9">
        <f t="shared" si="21"/>
        <v>0</v>
      </c>
      <c r="DK14" s="17"/>
      <c r="DL14" s="12"/>
      <c r="DM14" s="1"/>
      <c r="DN14" s="1"/>
      <c r="DO14" s="1"/>
      <c r="DP14" s="1"/>
      <c r="DQ14" s="9">
        <f t="shared" si="22"/>
        <v>0</v>
      </c>
      <c r="DR14" s="9">
        <f t="shared" si="22"/>
        <v>0</v>
      </c>
      <c r="DS14" s="17"/>
    </row>
    <row r="15" spans="1:125" hidden="1" x14ac:dyDescent="0.3">
      <c r="A15" s="12"/>
      <c r="B15" s="1" t="s">
        <v>954</v>
      </c>
      <c r="C15" s="12"/>
      <c r="D15" s="1"/>
      <c r="E15" s="1"/>
      <c r="F15" s="1"/>
      <c r="G15" s="1"/>
      <c r="H15" s="172">
        <f t="shared" si="19"/>
        <v>225600</v>
      </c>
      <c r="I15" s="172">
        <v>120000</v>
      </c>
      <c r="J15" s="3676"/>
      <c r="K15" s="12"/>
      <c r="L15" s="1"/>
      <c r="M15" s="1"/>
      <c r="N15" s="1"/>
      <c r="O15" s="1"/>
      <c r="P15" s="172">
        <f t="shared" si="20"/>
        <v>225600</v>
      </c>
      <c r="Q15" s="172">
        <f t="shared" si="20"/>
        <v>120000</v>
      </c>
      <c r="R15" s="3676"/>
      <c r="T15" s="12"/>
      <c r="U15" s="1"/>
      <c r="V15" s="1"/>
      <c r="W15" s="1"/>
      <c r="X15" s="1"/>
      <c r="Y15" s="172">
        <f t="shared" si="23"/>
        <v>0</v>
      </c>
      <c r="Z15" s="172">
        <v>0</v>
      </c>
      <c r="AA15" s="15"/>
      <c r="AB15" s="1"/>
      <c r="AC15" s="1"/>
      <c r="AD15" s="1"/>
      <c r="AE15" s="1"/>
      <c r="AF15" s="1"/>
      <c r="AG15" s="172">
        <f t="shared" si="24"/>
        <v>0</v>
      </c>
      <c r="AH15" s="172">
        <v>0</v>
      </c>
      <c r="AI15" s="1"/>
      <c r="AJ15" s="12"/>
      <c r="AK15" s="1"/>
      <c r="AL15" s="1"/>
      <c r="AM15" s="1"/>
      <c r="AN15" s="1"/>
      <c r="AO15" s="172">
        <f t="shared" si="25"/>
        <v>0</v>
      </c>
      <c r="AP15" s="1"/>
      <c r="AQ15" s="15"/>
      <c r="AR15" s="12"/>
      <c r="AS15" s="1"/>
      <c r="AT15" s="1"/>
      <c r="AU15" s="1"/>
      <c r="AV15" s="1"/>
      <c r="AW15" s="172">
        <f t="shared" si="26"/>
        <v>0</v>
      </c>
      <c r="AX15" s="329">
        <v>0</v>
      </c>
      <c r="AY15" s="15"/>
      <c r="AZ15" s="1"/>
      <c r="BA15" s="1"/>
      <c r="BB15" s="1"/>
      <c r="BC15" s="1"/>
      <c r="BD15" s="1"/>
      <c r="BE15" s="172">
        <f t="shared" si="27"/>
        <v>0</v>
      </c>
      <c r="BF15" s="329">
        <v>0</v>
      </c>
      <c r="BG15" s="1"/>
      <c r="BH15" s="12"/>
      <c r="BI15" s="1"/>
      <c r="BJ15" s="1"/>
      <c r="BK15" s="1"/>
      <c r="BL15" s="1"/>
      <c r="BM15" s="172">
        <f t="shared" si="28"/>
        <v>0</v>
      </c>
      <c r="BN15" s="329">
        <v>0</v>
      </c>
      <c r="BO15" s="15"/>
      <c r="BP15" s="12"/>
      <c r="BQ15" s="1"/>
      <c r="BR15" s="1"/>
      <c r="BS15" s="1"/>
      <c r="BT15" s="1"/>
      <c r="BU15" s="172">
        <f t="shared" si="29"/>
        <v>0</v>
      </c>
      <c r="BV15" s="329">
        <v>0</v>
      </c>
      <c r="BW15" s="15"/>
      <c r="BX15" s="12"/>
      <c r="BY15" s="1"/>
      <c r="BZ15" s="1"/>
      <c r="CA15" s="1"/>
      <c r="CB15" s="1"/>
      <c r="CC15" s="172">
        <f t="shared" si="30"/>
        <v>0</v>
      </c>
      <c r="CD15" s="329">
        <v>0</v>
      </c>
      <c r="CE15" s="15"/>
      <c r="CF15" s="12"/>
      <c r="CG15" s="1"/>
      <c r="CH15" s="1"/>
      <c r="CI15" s="1"/>
      <c r="CJ15" s="1"/>
      <c r="CK15" s="172">
        <f t="shared" si="31"/>
        <v>0</v>
      </c>
      <c r="CL15" s="329">
        <v>0</v>
      </c>
      <c r="CM15" s="15"/>
      <c r="CN15" s="12"/>
      <c r="CO15" s="1"/>
      <c r="CP15" s="1"/>
      <c r="CQ15" s="1"/>
      <c r="CR15" s="1"/>
      <c r="CS15" s="172">
        <f t="shared" si="32"/>
        <v>0</v>
      </c>
      <c r="CT15" s="329">
        <v>0</v>
      </c>
      <c r="CU15" s="15"/>
      <c r="CV15" s="12"/>
      <c r="CW15" s="1"/>
      <c r="CX15" s="1"/>
      <c r="CY15" s="1"/>
      <c r="CZ15" s="1"/>
      <c r="DA15" s="9">
        <f t="shared" si="33"/>
        <v>0</v>
      </c>
      <c r="DB15" s="9">
        <f t="shared" si="18"/>
        <v>0</v>
      </c>
      <c r="DC15" s="17"/>
      <c r="DD15" s="12"/>
      <c r="DE15" s="1"/>
      <c r="DF15" s="1"/>
      <c r="DG15" s="1"/>
      <c r="DH15" s="1"/>
      <c r="DI15" s="9">
        <f t="shared" si="21"/>
        <v>0</v>
      </c>
      <c r="DJ15" s="9">
        <f t="shared" si="21"/>
        <v>0</v>
      </c>
      <c r="DK15" s="17"/>
      <c r="DL15" s="12"/>
      <c r="DM15" s="1"/>
      <c r="DN15" s="1"/>
      <c r="DO15" s="1"/>
      <c r="DP15" s="1"/>
      <c r="DQ15" s="9">
        <f t="shared" si="22"/>
        <v>0</v>
      </c>
      <c r="DR15" s="9">
        <f t="shared" si="22"/>
        <v>0</v>
      </c>
      <c r="DS15" s="17"/>
    </row>
    <row r="16" spans="1:125" hidden="1" x14ac:dyDescent="0.3">
      <c r="A16" s="12"/>
      <c r="B16" s="1" t="s">
        <v>28</v>
      </c>
      <c r="C16" s="12"/>
      <c r="D16" s="1"/>
      <c r="E16" s="1"/>
      <c r="F16" s="1"/>
      <c r="G16" s="1"/>
      <c r="H16" s="172">
        <f t="shared" si="19"/>
        <v>0</v>
      </c>
      <c r="I16" s="172">
        <v>0</v>
      </c>
      <c r="J16" s="3676"/>
      <c r="K16" s="12"/>
      <c r="L16" s="1"/>
      <c r="M16" s="1"/>
      <c r="N16" s="1"/>
      <c r="O16" s="1"/>
      <c r="P16" s="172">
        <f t="shared" si="20"/>
        <v>0</v>
      </c>
      <c r="Q16" s="172">
        <f t="shared" si="20"/>
        <v>0</v>
      </c>
      <c r="R16" s="3676"/>
      <c r="T16" s="12"/>
      <c r="U16" s="1"/>
      <c r="V16" s="1"/>
      <c r="W16" s="1"/>
      <c r="X16" s="1"/>
      <c r="Y16" s="172">
        <f t="shared" si="23"/>
        <v>0</v>
      </c>
      <c r="Z16" s="172">
        <v>0</v>
      </c>
      <c r="AA16" s="15"/>
      <c r="AB16" s="1"/>
      <c r="AC16" s="1"/>
      <c r="AD16" s="1"/>
      <c r="AE16" s="1"/>
      <c r="AF16" s="1"/>
      <c r="AG16" s="172">
        <f t="shared" si="24"/>
        <v>0</v>
      </c>
      <c r="AH16" s="172">
        <v>0</v>
      </c>
      <c r="AI16" s="1"/>
      <c r="AJ16" s="12"/>
      <c r="AK16" s="1"/>
      <c r="AL16" s="1"/>
      <c r="AM16" s="1"/>
      <c r="AN16" s="1"/>
      <c r="AO16" s="172">
        <f t="shared" si="25"/>
        <v>0</v>
      </c>
      <c r="AP16" s="1"/>
      <c r="AQ16" s="15"/>
      <c r="AR16" s="12"/>
      <c r="AS16" s="1"/>
      <c r="AT16" s="1"/>
      <c r="AU16" s="1"/>
      <c r="AV16" s="1"/>
      <c r="AW16" s="172">
        <f t="shared" si="26"/>
        <v>0</v>
      </c>
      <c r="AX16" s="329">
        <v>0</v>
      </c>
      <c r="AY16" s="15"/>
      <c r="AZ16" s="1"/>
      <c r="BA16" s="1"/>
      <c r="BB16" s="1"/>
      <c r="BC16" s="1"/>
      <c r="BD16" s="1"/>
      <c r="BE16" s="172">
        <f t="shared" si="27"/>
        <v>0</v>
      </c>
      <c r="BF16" s="329">
        <v>0</v>
      </c>
      <c r="BG16" s="1"/>
      <c r="BH16" s="12"/>
      <c r="BI16" s="1"/>
      <c r="BJ16" s="1"/>
      <c r="BK16" s="1"/>
      <c r="BL16" s="1"/>
      <c r="BM16" s="172">
        <f t="shared" si="28"/>
        <v>0</v>
      </c>
      <c r="BN16" s="329">
        <v>0</v>
      </c>
      <c r="BO16" s="15"/>
      <c r="BP16" s="12"/>
      <c r="BQ16" s="1"/>
      <c r="BR16" s="1"/>
      <c r="BS16" s="1"/>
      <c r="BT16" s="1"/>
      <c r="BU16" s="172">
        <f t="shared" si="29"/>
        <v>0</v>
      </c>
      <c r="BV16" s="329">
        <v>0</v>
      </c>
      <c r="BW16" s="15"/>
      <c r="BX16" s="12"/>
      <c r="BY16" s="1"/>
      <c r="BZ16" s="1"/>
      <c r="CA16" s="1"/>
      <c r="CB16" s="1"/>
      <c r="CC16" s="172">
        <f t="shared" si="30"/>
        <v>0</v>
      </c>
      <c r="CD16" s="329">
        <v>0</v>
      </c>
      <c r="CE16" s="15"/>
      <c r="CF16" s="12"/>
      <c r="CG16" s="1"/>
      <c r="CH16" s="1"/>
      <c r="CI16" s="1"/>
      <c r="CJ16" s="1"/>
      <c r="CK16" s="172">
        <f t="shared" si="31"/>
        <v>0</v>
      </c>
      <c r="CL16" s="329">
        <v>0</v>
      </c>
      <c r="CM16" s="15"/>
      <c r="CN16" s="12"/>
      <c r="CO16" s="1"/>
      <c r="CP16" s="1"/>
      <c r="CQ16" s="1"/>
      <c r="CR16" s="1"/>
      <c r="CS16" s="172">
        <f t="shared" si="32"/>
        <v>0</v>
      </c>
      <c r="CT16" s="329">
        <v>0</v>
      </c>
      <c r="CU16" s="15"/>
      <c r="CV16" s="12"/>
      <c r="CW16" s="1"/>
      <c r="CX16" s="1"/>
      <c r="CY16" s="1"/>
      <c r="CZ16" s="1"/>
      <c r="DA16" s="9">
        <f t="shared" si="33"/>
        <v>0</v>
      </c>
      <c r="DB16" s="9">
        <f t="shared" si="18"/>
        <v>0</v>
      </c>
      <c r="DC16" s="17"/>
      <c r="DD16" s="12"/>
      <c r="DE16" s="1"/>
      <c r="DF16" s="1"/>
      <c r="DG16" s="1"/>
      <c r="DH16" s="1"/>
      <c r="DI16" s="9">
        <f t="shared" si="21"/>
        <v>0</v>
      </c>
      <c r="DJ16" s="9">
        <f t="shared" si="21"/>
        <v>0</v>
      </c>
      <c r="DK16" s="17"/>
      <c r="DL16" s="12"/>
      <c r="DM16" s="1"/>
      <c r="DN16" s="1"/>
      <c r="DO16" s="1"/>
      <c r="DP16" s="1"/>
      <c r="DQ16" s="9">
        <f t="shared" si="22"/>
        <v>0</v>
      </c>
      <c r="DR16" s="9">
        <f t="shared" si="22"/>
        <v>0</v>
      </c>
      <c r="DS16" s="17"/>
    </row>
    <row r="17" spans="1:123" hidden="1" x14ac:dyDescent="0.3">
      <c r="A17" s="12"/>
      <c r="B17" s="1" t="s">
        <v>598</v>
      </c>
      <c r="C17" s="12"/>
      <c r="D17" s="1"/>
      <c r="E17" s="1"/>
      <c r="F17" s="1"/>
      <c r="G17" s="1"/>
      <c r="H17" s="172">
        <f t="shared" si="19"/>
        <v>0</v>
      </c>
      <c r="I17" s="172">
        <v>0</v>
      </c>
      <c r="J17" s="3676"/>
      <c r="K17" s="12"/>
      <c r="L17" s="1"/>
      <c r="M17" s="1"/>
      <c r="N17" s="1"/>
      <c r="O17" s="1"/>
      <c r="P17" s="172">
        <f t="shared" si="20"/>
        <v>0</v>
      </c>
      <c r="Q17" s="172">
        <f t="shared" si="20"/>
        <v>0</v>
      </c>
      <c r="R17" s="3676"/>
      <c r="T17" s="12"/>
      <c r="U17" s="1"/>
      <c r="V17" s="1"/>
      <c r="W17" s="1"/>
      <c r="X17" s="1"/>
      <c r="Y17" s="172">
        <f t="shared" si="23"/>
        <v>0</v>
      </c>
      <c r="Z17" s="172">
        <v>0</v>
      </c>
      <c r="AA17" s="15"/>
      <c r="AB17" s="1"/>
      <c r="AC17" s="1"/>
      <c r="AD17" s="1"/>
      <c r="AE17" s="1"/>
      <c r="AF17" s="1"/>
      <c r="AG17" s="172">
        <f t="shared" si="24"/>
        <v>0</v>
      </c>
      <c r="AH17" s="172">
        <v>0</v>
      </c>
      <c r="AI17" s="1"/>
      <c r="AJ17" s="12"/>
      <c r="AK17" s="1"/>
      <c r="AL17" s="1"/>
      <c r="AM17" s="1"/>
      <c r="AN17" s="1"/>
      <c r="AO17" s="172">
        <f t="shared" si="25"/>
        <v>0</v>
      </c>
      <c r="AP17" s="1"/>
      <c r="AQ17" s="15"/>
      <c r="AR17" s="12"/>
      <c r="AS17" s="1"/>
      <c r="AT17" s="1"/>
      <c r="AU17" s="1"/>
      <c r="AV17" s="1"/>
      <c r="AW17" s="172">
        <f t="shared" si="26"/>
        <v>0</v>
      </c>
      <c r="AX17" s="329">
        <v>0</v>
      </c>
      <c r="AY17" s="15"/>
      <c r="AZ17" s="1"/>
      <c r="BA17" s="1"/>
      <c r="BB17" s="1"/>
      <c r="BC17" s="1"/>
      <c r="BD17" s="1"/>
      <c r="BE17" s="172">
        <f t="shared" si="27"/>
        <v>0</v>
      </c>
      <c r="BF17" s="329">
        <v>0</v>
      </c>
      <c r="BG17" s="1"/>
      <c r="BH17" s="12"/>
      <c r="BI17" s="1"/>
      <c r="BJ17" s="1"/>
      <c r="BK17" s="1"/>
      <c r="BL17" s="1"/>
      <c r="BM17" s="172">
        <f t="shared" si="28"/>
        <v>0</v>
      </c>
      <c r="BN17" s="329">
        <v>0</v>
      </c>
      <c r="BO17" s="15"/>
      <c r="BP17" s="12"/>
      <c r="BQ17" s="1"/>
      <c r="BR17" s="1"/>
      <c r="BS17" s="1"/>
      <c r="BT17" s="1"/>
      <c r="BU17" s="172">
        <f t="shared" si="29"/>
        <v>0</v>
      </c>
      <c r="BV17" s="329">
        <v>0</v>
      </c>
      <c r="BW17" s="15"/>
      <c r="BX17" s="12"/>
      <c r="BY17" s="1"/>
      <c r="BZ17" s="1"/>
      <c r="CA17" s="1"/>
      <c r="CB17" s="1"/>
      <c r="CC17" s="172">
        <f t="shared" si="30"/>
        <v>0</v>
      </c>
      <c r="CD17" s="329">
        <v>0</v>
      </c>
      <c r="CE17" s="15"/>
      <c r="CF17" s="12"/>
      <c r="CG17" s="1"/>
      <c r="CH17" s="1"/>
      <c r="CI17" s="1"/>
      <c r="CJ17" s="1"/>
      <c r="CK17" s="172">
        <f t="shared" si="31"/>
        <v>0</v>
      </c>
      <c r="CL17" s="329">
        <v>0</v>
      </c>
      <c r="CM17" s="15"/>
      <c r="CN17" s="12"/>
      <c r="CO17" s="1"/>
      <c r="CP17" s="1"/>
      <c r="CQ17" s="1"/>
      <c r="CR17" s="1"/>
      <c r="CS17" s="172">
        <f t="shared" si="32"/>
        <v>0</v>
      </c>
      <c r="CT17" s="329">
        <v>0</v>
      </c>
      <c r="CU17" s="15"/>
      <c r="CV17" s="12"/>
      <c r="CW17" s="1"/>
      <c r="CX17" s="1"/>
      <c r="CY17" s="1"/>
      <c r="CZ17" s="1"/>
      <c r="DA17" s="9">
        <f t="shared" si="33"/>
        <v>0</v>
      </c>
      <c r="DB17" s="9">
        <f t="shared" si="18"/>
        <v>0</v>
      </c>
      <c r="DC17" s="17"/>
      <c r="DD17" s="12"/>
      <c r="DE17" s="1"/>
      <c r="DF17" s="1"/>
      <c r="DG17" s="1"/>
      <c r="DH17" s="1"/>
      <c r="DI17" s="9">
        <f t="shared" si="21"/>
        <v>0</v>
      </c>
      <c r="DJ17" s="9">
        <f t="shared" si="21"/>
        <v>0</v>
      </c>
      <c r="DK17" s="17"/>
      <c r="DL17" s="12"/>
      <c r="DM17" s="1"/>
      <c r="DN17" s="1"/>
      <c r="DO17" s="1"/>
      <c r="DP17" s="1"/>
      <c r="DQ17" s="9">
        <f t="shared" si="22"/>
        <v>0</v>
      </c>
      <c r="DR17" s="9">
        <f t="shared" si="22"/>
        <v>0</v>
      </c>
      <c r="DS17" s="17"/>
    </row>
    <row r="18" spans="1:123" x14ac:dyDescent="0.3">
      <c r="A18" s="12"/>
      <c r="B18" s="1" t="s">
        <v>29</v>
      </c>
      <c r="C18" s="12"/>
      <c r="D18" s="1"/>
      <c r="E18" s="1"/>
      <c r="F18" s="1"/>
      <c r="G18" s="1"/>
      <c r="H18" s="172">
        <f t="shared" si="19"/>
        <v>0</v>
      </c>
      <c r="I18" s="172">
        <v>0</v>
      </c>
      <c r="J18" s="3676"/>
      <c r="K18" s="12"/>
      <c r="L18" s="1"/>
      <c r="M18" s="1"/>
      <c r="N18" s="1"/>
      <c r="O18" s="1"/>
      <c r="P18" s="172">
        <f t="shared" si="20"/>
        <v>0</v>
      </c>
      <c r="Q18" s="172">
        <f t="shared" si="20"/>
        <v>0</v>
      </c>
      <c r="R18" s="3676"/>
      <c r="T18" s="12"/>
      <c r="U18" s="1"/>
      <c r="V18" s="1"/>
      <c r="W18" s="1"/>
      <c r="X18" s="1"/>
      <c r="Y18" s="172">
        <f t="shared" si="23"/>
        <v>0</v>
      </c>
      <c r="Z18" s="172">
        <v>0</v>
      </c>
      <c r="AA18" s="15"/>
      <c r="AB18" s="1"/>
      <c r="AC18" s="1"/>
      <c r="AD18" s="1"/>
      <c r="AE18" s="1"/>
      <c r="AF18" s="1"/>
      <c r="AG18" s="172">
        <f t="shared" si="24"/>
        <v>0</v>
      </c>
      <c r="AH18" s="172">
        <v>0</v>
      </c>
      <c r="AI18" s="1"/>
      <c r="AJ18" s="12"/>
      <c r="AK18" s="1"/>
      <c r="AL18" s="1"/>
      <c r="AM18" s="1"/>
      <c r="AN18" s="1"/>
      <c r="AO18" s="172">
        <f t="shared" si="25"/>
        <v>0</v>
      </c>
      <c r="AP18" s="1"/>
      <c r="AQ18" s="15"/>
      <c r="AR18" s="12"/>
      <c r="AS18" s="1"/>
      <c r="AT18" s="1"/>
      <c r="AU18" s="1"/>
      <c r="AV18" s="1"/>
      <c r="AW18" s="172">
        <f t="shared" si="26"/>
        <v>0</v>
      </c>
      <c r="AX18" s="329">
        <v>0</v>
      </c>
      <c r="AY18" s="15"/>
      <c r="AZ18" s="1"/>
      <c r="BA18" s="1"/>
      <c r="BB18" s="1"/>
      <c r="BC18" s="1"/>
      <c r="BD18" s="1"/>
      <c r="BE18" s="172">
        <f t="shared" si="27"/>
        <v>0</v>
      </c>
      <c r="BF18" s="329">
        <v>0</v>
      </c>
      <c r="BG18" s="1"/>
      <c r="BH18" s="12"/>
      <c r="BI18" s="1"/>
      <c r="BJ18" s="1"/>
      <c r="BK18" s="1"/>
      <c r="BL18" s="1"/>
      <c r="BM18" s="172">
        <f t="shared" si="28"/>
        <v>0</v>
      </c>
      <c r="BN18" s="329">
        <v>0</v>
      </c>
      <c r="BO18" s="15"/>
      <c r="BP18" s="12"/>
      <c r="BQ18" s="1"/>
      <c r="BR18" s="1"/>
      <c r="BS18" s="1"/>
      <c r="BT18" s="1"/>
      <c r="BU18" s="172">
        <f t="shared" si="29"/>
        <v>0</v>
      </c>
      <c r="BV18" s="329">
        <v>0</v>
      </c>
      <c r="BW18" s="15"/>
      <c r="BX18" s="12"/>
      <c r="BY18" s="1"/>
      <c r="BZ18" s="1"/>
      <c r="CA18" s="1"/>
      <c r="CB18" s="1"/>
      <c r="CC18" s="172">
        <f t="shared" si="30"/>
        <v>0</v>
      </c>
      <c r="CD18" s="329">
        <v>0</v>
      </c>
      <c r="CE18" s="15"/>
      <c r="CF18" s="12"/>
      <c r="CG18" s="1"/>
      <c r="CH18" s="1"/>
      <c r="CI18" s="1"/>
      <c r="CJ18" s="1"/>
      <c r="CK18" s="172">
        <f t="shared" si="31"/>
        <v>0</v>
      </c>
      <c r="CL18" s="329">
        <v>0</v>
      </c>
      <c r="CM18" s="15"/>
      <c r="CN18" s="12"/>
      <c r="CO18" s="1"/>
      <c r="CP18" s="1"/>
      <c r="CQ18" s="1"/>
      <c r="CR18" s="1"/>
      <c r="CS18" s="172">
        <f t="shared" si="32"/>
        <v>0</v>
      </c>
      <c r="CT18" s="329">
        <v>0</v>
      </c>
      <c r="CU18" s="15"/>
      <c r="CV18" s="12"/>
      <c r="CW18" s="1"/>
      <c r="CX18" s="1"/>
      <c r="CY18" s="1"/>
      <c r="CZ18" s="1"/>
      <c r="DA18" s="9">
        <f t="shared" si="33"/>
        <v>0</v>
      </c>
      <c r="DB18" s="9">
        <f t="shared" si="33"/>
        <v>0</v>
      </c>
      <c r="DC18" s="17"/>
      <c r="DD18" s="12"/>
      <c r="DE18" s="1"/>
      <c r="DF18" s="1"/>
      <c r="DG18" s="1"/>
      <c r="DH18" s="1"/>
      <c r="DI18" s="9">
        <f t="shared" si="21"/>
        <v>0</v>
      </c>
      <c r="DJ18" s="9">
        <f t="shared" si="21"/>
        <v>0</v>
      </c>
      <c r="DK18" s="17"/>
      <c r="DL18" s="12"/>
      <c r="DM18" s="1"/>
      <c r="DN18" s="1"/>
      <c r="DO18" s="1"/>
      <c r="DP18" s="1"/>
      <c r="DQ18" s="9">
        <f t="shared" si="22"/>
        <v>0</v>
      </c>
      <c r="DR18" s="9">
        <f t="shared" si="22"/>
        <v>0</v>
      </c>
      <c r="DS18" s="17"/>
    </row>
    <row r="19" spans="1:123" x14ac:dyDescent="0.3">
      <c r="A19" s="12"/>
      <c r="B19" s="1" t="s">
        <v>987</v>
      </c>
      <c r="C19" s="12"/>
      <c r="D19" s="1"/>
      <c r="E19" s="1"/>
      <c r="F19" s="1"/>
      <c r="G19" s="1"/>
      <c r="H19" s="172">
        <f t="shared" si="19"/>
        <v>475865.59999999998</v>
      </c>
      <c r="I19" s="172">
        <v>253120</v>
      </c>
      <c r="J19" s="3676"/>
      <c r="K19" s="12"/>
      <c r="L19" s="1"/>
      <c r="M19" s="1"/>
      <c r="N19" s="1"/>
      <c r="O19" s="1"/>
      <c r="P19" s="172">
        <f t="shared" si="20"/>
        <v>475865.59999999998</v>
      </c>
      <c r="Q19" s="172">
        <f t="shared" si="20"/>
        <v>253120</v>
      </c>
      <c r="R19" s="3676"/>
      <c r="T19" s="12"/>
      <c r="U19" s="1"/>
      <c r="V19" s="1"/>
      <c r="W19" s="1"/>
      <c r="X19" s="1"/>
      <c r="Y19" s="172">
        <f t="shared" si="23"/>
        <v>0</v>
      </c>
      <c r="Z19" s="172">
        <v>0</v>
      </c>
      <c r="AA19" s="15"/>
      <c r="AB19" s="1"/>
      <c r="AC19" s="1"/>
      <c r="AD19" s="1"/>
      <c r="AE19" s="1"/>
      <c r="AF19" s="1"/>
      <c r="AG19" s="172">
        <f t="shared" si="24"/>
        <v>0</v>
      </c>
      <c r="AH19" s="172">
        <v>0</v>
      </c>
      <c r="AI19" s="1"/>
      <c r="AJ19" s="12"/>
      <c r="AK19" s="1"/>
      <c r="AL19" s="1"/>
      <c r="AM19" s="1"/>
      <c r="AN19" s="1"/>
      <c r="AO19" s="172">
        <f t="shared" si="25"/>
        <v>0</v>
      </c>
      <c r="AP19" s="1"/>
      <c r="AQ19" s="15"/>
      <c r="AR19" s="12"/>
      <c r="AS19" s="1"/>
      <c r="AT19" s="1"/>
      <c r="AU19" s="1"/>
      <c r="AV19" s="1"/>
      <c r="AW19" s="172">
        <f t="shared" si="26"/>
        <v>134232</v>
      </c>
      <c r="AX19" s="172">
        <v>71400</v>
      </c>
      <c r="AY19" s="15"/>
      <c r="AZ19" s="1"/>
      <c r="BA19" s="1"/>
      <c r="BB19" s="1"/>
      <c r="BC19" s="1"/>
      <c r="BD19" s="1"/>
      <c r="BE19" s="172">
        <f t="shared" si="27"/>
        <v>162432</v>
      </c>
      <c r="BF19" s="172">
        <v>86400</v>
      </c>
      <c r="BG19" s="1"/>
      <c r="BH19" s="12"/>
      <c r="BI19" s="1"/>
      <c r="BJ19" s="1"/>
      <c r="BK19" s="1"/>
      <c r="BL19" s="1"/>
      <c r="BM19" s="172">
        <f t="shared" si="28"/>
        <v>162432</v>
      </c>
      <c r="BN19" s="172">
        <v>86400</v>
      </c>
      <c r="BO19" s="15"/>
      <c r="BP19" s="12"/>
      <c r="BQ19" s="1"/>
      <c r="BR19" s="1"/>
      <c r="BS19" s="1"/>
      <c r="BT19" s="1"/>
      <c r="BU19" s="172">
        <f t="shared" si="29"/>
        <v>162432</v>
      </c>
      <c r="BV19" s="172">
        <v>86400</v>
      </c>
      <c r="BW19" s="15"/>
      <c r="BX19" s="12"/>
      <c r="BY19" s="1"/>
      <c r="BZ19" s="1"/>
      <c r="CA19" s="1"/>
      <c r="CB19" s="1"/>
      <c r="CC19" s="172">
        <f t="shared" si="30"/>
        <v>162432</v>
      </c>
      <c r="CD19" s="172">
        <v>86400</v>
      </c>
      <c r="CE19" s="15"/>
      <c r="CF19" s="12"/>
      <c r="CG19" s="1"/>
      <c r="CH19" s="1"/>
      <c r="CI19" s="1"/>
      <c r="CJ19" s="1"/>
      <c r="CK19" s="172">
        <f t="shared" si="31"/>
        <v>162432</v>
      </c>
      <c r="CL19" s="172">
        <v>86400</v>
      </c>
      <c r="CM19" s="15"/>
      <c r="CN19" s="12"/>
      <c r="CO19" s="1"/>
      <c r="CP19" s="1"/>
      <c r="CQ19" s="1"/>
      <c r="CR19" s="1"/>
      <c r="CS19" s="172">
        <f t="shared" si="32"/>
        <v>162432</v>
      </c>
      <c r="CT19" s="172">
        <v>86400</v>
      </c>
      <c r="CU19" s="15"/>
      <c r="CV19" s="12"/>
      <c r="CW19" s="1"/>
      <c r="CX19" s="1"/>
      <c r="CY19" s="1"/>
      <c r="CZ19" s="1"/>
      <c r="DA19" s="9">
        <f t="shared" si="33"/>
        <v>1108824</v>
      </c>
      <c r="DB19" s="9">
        <f t="shared" si="33"/>
        <v>589800</v>
      </c>
      <c r="DC19" s="17"/>
      <c r="DD19" s="12"/>
      <c r="DE19" s="1"/>
      <c r="DF19" s="1"/>
      <c r="DG19" s="1"/>
      <c r="DH19" s="1"/>
      <c r="DI19" s="9">
        <f t="shared" si="21"/>
        <v>0</v>
      </c>
      <c r="DJ19" s="9">
        <f t="shared" si="21"/>
        <v>0</v>
      </c>
      <c r="DK19" s="17"/>
      <c r="DL19" s="12"/>
      <c r="DM19" s="1"/>
      <c r="DN19" s="1"/>
      <c r="DO19" s="1"/>
      <c r="DP19" s="1"/>
      <c r="DQ19" s="9">
        <f t="shared" si="22"/>
        <v>459096</v>
      </c>
      <c r="DR19" s="9">
        <f t="shared" si="22"/>
        <v>244200</v>
      </c>
      <c r="DS19" s="17"/>
    </row>
    <row r="20" spans="1:123" ht="14" hidden="1" customHeight="1" x14ac:dyDescent="0.3">
      <c r="A20" s="12"/>
      <c r="B20" s="1" t="s">
        <v>988</v>
      </c>
      <c r="C20" s="12"/>
      <c r="D20" s="1"/>
      <c r="E20" s="1"/>
      <c r="F20" s="1"/>
      <c r="G20" s="1"/>
      <c r="H20" s="172">
        <f t="shared" si="19"/>
        <v>376000</v>
      </c>
      <c r="I20" s="172">
        <v>200000</v>
      </c>
      <c r="J20" s="3676"/>
      <c r="K20" s="12"/>
      <c r="L20" s="1"/>
      <c r="M20" s="1"/>
      <c r="N20" s="1"/>
      <c r="O20" s="1"/>
      <c r="P20" s="172">
        <f t="shared" si="20"/>
        <v>376000</v>
      </c>
      <c r="Q20" s="172">
        <f t="shared" si="20"/>
        <v>200000</v>
      </c>
      <c r="R20" s="3676"/>
      <c r="T20" s="12"/>
      <c r="U20" s="1"/>
      <c r="V20" s="1"/>
      <c r="W20" s="1"/>
      <c r="X20" s="1"/>
      <c r="Y20" s="172">
        <f>Z20*1.88</f>
        <v>1211101.6399999999</v>
      </c>
      <c r="Z20" s="172">
        <v>644203</v>
      </c>
      <c r="AA20" s="15"/>
      <c r="AB20" s="1"/>
      <c r="AC20" s="1"/>
      <c r="AD20" s="1"/>
      <c r="AE20" s="1"/>
      <c r="AF20" s="1"/>
      <c r="AG20" s="172">
        <f>AH20*1.88</f>
        <v>94000</v>
      </c>
      <c r="AH20" s="172">
        <v>50000</v>
      </c>
      <c r="AI20" s="1"/>
      <c r="AJ20" s="12"/>
      <c r="AK20" s="1"/>
      <c r="AL20" s="1"/>
      <c r="AM20" s="1"/>
      <c r="AN20" s="1"/>
      <c r="AO20" s="172">
        <f>AP20*1.88</f>
        <v>0</v>
      </c>
      <c r="AP20" s="1"/>
      <c r="AQ20" s="15"/>
      <c r="AR20" s="12"/>
      <c r="AS20" s="1"/>
      <c r="AT20" s="1"/>
      <c r="AU20" s="1"/>
      <c r="AV20" s="1"/>
      <c r="AW20" s="172">
        <f>AX20*1.88</f>
        <v>194000.96</v>
      </c>
      <c r="AX20" s="172">
        <f>50000+53192</f>
        <v>103192</v>
      </c>
      <c r="AY20" s="15"/>
      <c r="AZ20" s="1"/>
      <c r="BA20" s="1"/>
      <c r="BB20" s="1"/>
      <c r="BC20" s="1"/>
      <c r="BD20" s="1"/>
      <c r="BE20" s="172">
        <f>BF20*1.88</f>
        <v>372561.48</v>
      </c>
      <c r="BF20" s="172">
        <f>50000+3645+3527+4404+16195+120400</f>
        <v>198171</v>
      </c>
      <c r="BG20" s="1"/>
      <c r="BH20" s="12"/>
      <c r="BI20" s="1"/>
      <c r="BJ20" s="1"/>
      <c r="BK20" s="1"/>
      <c r="BL20" s="1"/>
      <c r="BM20" s="172">
        <f>BN20*1.88</f>
        <v>94000</v>
      </c>
      <c r="BN20" s="172">
        <v>50000</v>
      </c>
      <c r="BO20" s="15"/>
      <c r="BP20" s="12"/>
      <c r="BQ20" s="1"/>
      <c r="BR20" s="1"/>
      <c r="BS20" s="1"/>
      <c r="BT20" s="1"/>
      <c r="BU20" s="172">
        <f>BV20*1.88</f>
        <v>106032</v>
      </c>
      <c r="BV20" s="172">
        <f>50000+6400</f>
        <v>56400</v>
      </c>
      <c r="BW20" s="15"/>
      <c r="BX20" s="12"/>
      <c r="BY20" s="1"/>
      <c r="BZ20" s="1"/>
      <c r="CA20" s="1"/>
      <c r="CB20" s="1"/>
      <c r="CC20" s="172">
        <f>CD20*1.88</f>
        <v>94000</v>
      </c>
      <c r="CD20" s="172">
        <f>50000</f>
        <v>50000</v>
      </c>
      <c r="CE20" s="15"/>
      <c r="CF20" s="12"/>
      <c r="CG20" s="1"/>
      <c r="CH20" s="1"/>
      <c r="CI20" s="1"/>
      <c r="CJ20" s="1"/>
      <c r="CK20" s="172">
        <f>CL20*1.88</f>
        <v>94000</v>
      </c>
      <c r="CL20" s="172">
        <f>50000</f>
        <v>50000</v>
      </c>
      <c r="CM20" s="15"/>
      <c r="CN20" s="12"/>
      <c r="CO20" s="1"/>
      <c r="CP20" s="1"/>
      <c r="CQ20" s="1"/>
      <c r="CR20" s="1"/>
      <c r="CS20" s="172">
        <f>CT20*1.88</f>
        <v>94000</v>
      </c>
      <c r="CT20" s="172">
        <f>50000</f>
        <v>50000</v>
      </c>
      <c r="CU20" s="15"/>
      <c r="CV20" s="12"/>
      <c r="CW20" s="1"/>
      <c r="CX20" s="1"/>
      <c r="CY20" s="1"/>
      <c r="CZ20" s="1"/>
      <c r="DA20" s="9">
        <f t="shared" si="33"/>
        <v>2353696.08</v>
      </c>
      <c r="DB20" s="9">
        <f t="shared" si="33"/>
        <v>1251966</v>
      </c>
      <c r="DC20" s="17"/>
      <c r="DD20" s="12"/>
      <c r="DE20" s="1"/>
      <c r="DF20" s="1"/>
      <c r="DG20" s="1"/>
      <c r="DH20" s="1"/>
      <c r="DI20" s="9">
        <f t="shared" si="21"/>
        <v>1305101.6399999999</v>
      </c>
      <c r="DJ20" s="9">
        <f t="shared" si="21"/>
        <v>694203</v>
      </c>
      <c r="DK20" s="17"/>
      <c r="DL20" s="12"/>
      <c r="DM20" s="1"/>
      <c r="DN20" s="1"/>
      <c r="DO20" s="1"/>
      <c r="DP20" s="1"/>
      <c r="DQ20" s="9">
        <f t="shared" si="22"/>
        <v>660562.43999999994</v>
      </c>
      <c r="DR20" s="9">
        <f t="shared" si="22"/>
        <v>351363</v>
      </c>
      <c r="DS20" s="17"/>
    </row>
    <row r="21" spans="1:123" ht="14" hidden="1" customHeight="1" x14ac:dyDescent="0.3">
      <c r="A21" s="12"/>
      <c r="B21" s="1" t="s">
        <v>916</v>
      </c>
      <c r="C21" s="12"/>
      <c r="D21" s="1"/>
      <c r="E21" s="1"/>
      <c r="F21" s="1"/>
      <c r="G21" s="1"/>
      <c r="H21" s="172"/>
      <c r="I21" s="172"/>
      <c r="J21" s="3676"/>
      <c r="K21" s="12"/>
      <c r="L21" s="1"/>
      <c r="M21" s="1"/>
      <c r="N21" s="1"/>
      <c r="O21" s="1"/>
      <c r="P21" s="172"/>
      <c r="Q21" s="172"/>
      <c r="R21" s="3676"/>
      <c r="T21" s="12"/>
      <c r="U21" s="1"/>
      <c r="V21" s="1"/>
      <c r="W21" s="1"/>
      <c r="X21" s="1"/>
      <c r="Y21" s="172"/>
      <c r="Z21" s="172"/>
      <c r="AA21" s="15"/>
      <c r="AB21" s="1"/>
      <c r="AC21" s="1"/>
      <c r="AD21" s="1"/>
      <c r="AE21" s="1"/>
      <c r="AF21" s="1"/>
      <c r="AG21" s="172"/>
      <c r="AH21" s="172"/>
      <c r="AI21" s="1"/>
      <c r="AJ21" s="12"/>
      <c r="AK21" s="1"/>
      <c r="AL21" s="1"/>
      <c r="AM21" s="1"/>
      <c r="AN21" s="1"/>
      <c r="AO21" s="172"/>
      <c r="AP21" s="1"/>
      <c r="AQ21" s="15"/>
      <c r="AR21" s="12"/>
      <c r="AS21" s="1"/>
      <c r="AT21" s="1"/>
      <c r="AU21" s="1"/>
      <c r="AV21" s="1"/>
      <c r="AW21" s="172"/>
      <c r="AX21" s="172"/>
      <c r="AY21" s="15"/>
      <c r="AZ21" s="1"/>
      <c r="BA21" s="1"/>
      <c r="BB21" s="1"/>
      <c r="BC21" s="1"/>
      <c r="BD21" s="1"/>
      <c r="BE21" s="172"/>
      <c r="BF21" s="172"/>
      <c r="BG21" s="1"/>
      <c r="BH21" s="12"/>
      <c r="BI21" s="1"/>
      <c r="BJ21" s="1"/>
      <c r="BK21" s="1"/>
      <c r="BL21" s="1"/>
      <c r="BM21" s="172"/>
      <c r="BN21" s="172"/>
      <c r="BO21" s="15"/>
      <c r="BP21" s="12"/>
      <c r="BQ21" s="1"/>
      <c r="BR21" s="1"/>
      <c r="BS21" s="1"/>
      <c r="BT21" s="1"/>
      <c r="BU21" s="172">
        <v>8182</v>
      </c>
      <c r="BV21" s="172">
        <f>BU21*0.55</f>
        <v>4500.1000000000004</v>
      </c>
      <c r="BW21" s="15"/>
      <c r="BX21" s="12"/>
      <c r="BY21" s="1"/>
      <c r="BZ21" s="1"/>
      <c r="CA21" s="1"/>
      <c r="CB21" s="1"/>
      <c r="CC21" s="172">
        <v>0</v>
      </c>
      <c r="CD21" s="172">
        <f>CC21*0.53</f>
        <v>0</v>
      </c>
      <c r="CE21" s="15"/>
      <c r="CF21" s="12"/>
      <c r="CG21" s="1"/>
      <c r="CH21" s="1"/>
      <c r="CI21" s="1"/>
      <c r="CJ21" s="1"/>
      <c r="CK21" s="172">
        <v>0</v>
      </c>
      <c r="CL21" s="172">
        <f>CK21*0.53</f>
        <v>0</v>
      </c>
      <c r="CM21" s="15"/>
      <c r="CN21" s="12"/>
      <c r="CO21" s="1"/>
      <c r="CP21" s="1"/>
      <c r="CQ21" s="1"/>
      <c r="CR21" s="1"/>
      <c r="CS21" s="172">
        <f>CT21*1.88</f>
        <v>16920</v>
      </c>
      <c r="CT21" s="172">
        <v>9000</v>
      </c>
      <c r="CU21" s="15"/>
      <c r="CV21" s="12"/>
      <c r="CW21" s="1"/>
      <c r="CX21" s="1"/>
      <c r="CY21" s="1"/>
      <c r="CZ21" s="1"/>
      <c r="DA21" s="9">
        <f t="shared" si="33"/>
        <v>25102</v>
      </c>
      <c r="DB21" s="9">
        <f t="shared" si="33"/>
        <v>13500.1</v>
      </c>
      <c r="DC21" s="17"/>
      <c r="DD21" s="12"/>
      <c r="DE21" s="1"/>
      <c r="DF21" s="1"/>
      <c r="DG21" s="1"/>
      <c r="DH21" s="1"/>
      <c r="DI21" s="9"/>
      <c r="DJ21" s="9"/>
      <c r="DK21" s="17"/>
      <c r="DL21" s="12"/>
      <c r="DM21" s="1"/>
      <c r="DN21" s="1"/>
      <c r="DO21" s="1"/>
      <c r="DP21" s="1"/>
      <c r="DQ21" s="9"/>
      <c r="DR21" s="9"/>
      <c r="DS21" s="17"/>
    </row>
    <row r="22" spans="1:123" x14ac:dyDescent="0.3">
      <c r="A22" s="12"/>
      <c r="B22" s="1" t="s">
        <v>1082</v>
      </c>
      <c r="C22" s="12"/>
      <c r="D22" s="1"/>
      <c r="E22" s="1"/>
      <c r="F22" s="1"/>
      <c r="G22" s="1"/>
      <c r="H22" s="172"/>
      <c r="I22" s="172"/>
      <c r="J22" s="3676"/>
      <c r="K22" s="12"/>
      <c r="L22" s="1"/>
      <c r="M22" s="1"/>
      <c r="N22" s="1"/>
      <c r="O22" s="1"/>
      <c r="P22" s="172"/>
      <c r="Q22" s="172"/>
      <c r="R22" s="3676"/>
      <c r="T22" s="12"/>
      <c r="U22" s="1"/>
      <c r="V22" s="1"/>
      <c r="W22" s="1"/>
      <c r="X22" s="1"/>
      <c r="Y22" s="172"/>
      <c r="Z22" s="172"/>
      <c r="AA22" s="15"/>
      <c r="AB22" s="1"/>
      <c r="AC22" s="1"/>
      <c r="AD22" s="1"/>
      <c r="AE22" s="1"/>
      <c r="AF22" s="1"/>
      <c r="AG22" s="172"/>
      <c r="AH22" s="172"/>
      <c r="AI22" s="1"/>
      <c r="AJ22" s="12"/>
      <c r="AK22" s="1"/>
      <c r="AL22" s="1"/>
      <c r="AM22" s="1"/>
      <c r="AN22" s="1"/>
      <c r="AO22" s="172"/>
      <c r="AP22" s="1"/>
      <c r="AQ22" s="15"/>
      <c r="AR22" s="12"/>
      <c r="AS22" s="1"/>
      <c r="AT22" s="1"/>
      <c r="AU22" s="1"/>
      <c r="AV22" s="1"/>
      <c r="AW22" s="172"/>
      <c r="AX22" s="172"/>
      <c r="AY22" s="15"/>
      <c r="AZ22" s="1"/>
      <c r="BA22" s="1"/>
      <c r="BB22" s="1"/>
      <c r="BC22" s="1"/>
      <c r="BD22" s="1"/>
      <c r="BE22" s="172"/>
      <c r="BF22" s="172"/>
      <c r="BG22" s="1"/>
      <c r="BH22" s="12"/>
      <c r="BI22" s="1"/>
      <c r="BJ22" s="1"/>
      <c r="BK22" s="1"/>
      <c r="BL22" s="1"/>
      <c r="BM22" s="172"/>
      <c r="BN22" s="172"/>
      <c r="BO22" s="15"/>
      <c r="BP22" s="12"/>
      <c r="BQ22" s="1"/>
      <c r="BR22" s="1"/>
      <c r="BS22" s="1"/>
      <c r="BT22" s="1"/>
      <c r="BU22" s="172"/>
      <c r="BV22" s="172"/>
      <c r="BW22" s="15"/>
      <c r="BX22" s="12"/>
      <c r="BY22" s="1"/>
      <c r="BZ22" s="1"/>
      <c r="CA22" s="1"/>
      <c r="CB22" s="1"/>
      <c r="CC22" s="172"/>
      <c r="CD22" s="172"/>
      <c r="CE22" s="15"/>
      <c r="CF22" s="12"/>
      <c r="CG22" s="1"/>
      <c r="CH22" s="1"/>
      <c r="CI22" s="1"/>
      <c r="CJ22" s="1"/>
      <c r="CK22" s="172"/>
      <c r="CL22" s="172"/>
      <c r="CM22" s="15"/>
      <c r="CN22" s="12"/>
      <c r="CO22" s="1"/>
      <c r="CP22" s="1"/>
      <c r="CQ22" s="1"/>
      <c r="CR22" s="1"/>
      <c r="CS22" s="172">
        <v>166100</v>
      </c>
      <c r="CT22" s="172">
        <f>CS22*0.55</f>
        <v>91355.000000000015</v>
      </c>
      <c r="CU22" s="15"/>
      <c r="CV22" s="12"/>
      <c r="CW22" s="1"/>
      <c r="CX22" s="1"/>
      <c r="CY22" s="1"/>
      <c r="CZ22" s="1"/>
      <c r="DA22" s="9"/>
      <c r="DB22" s="9"/>
      <c r="DC22" s="17"/>
      <c r="DD22" s="12"/>
      <c r="DE22" s="1"/>
      <c r="DF22" s="1"/>
      <c r="DG22" s="1"/>
      <c r="DH22" s="1"/>
      <c r="DI22" s="9"/>
      <c r="DJ22" s="9"/>
      <c r="DK22" s="17"/>
      <c r="DL22" s="12"/>
      <c r="DM22" s="1"/>
      <c r="DN22" s="1"/>
      <c r="DO22" s="1"/>
      <c r="DP22" s="1"/>
      <c r="DQ22" s="9"/>
      <c r="DR22" s="9"/>
      <c r="DS22" s="17"/>
    </row>
    <row r="23" spans="1:123" x14ac:dyDescent="0.3">
      <c r="A23" s="12"/>
      <c r="B23" s="1" t="s">
        <v>1006</v>
      </c>
      <c r="C23" s="12"/>
      <c r="D23" s="1"/>
      <c r="E23" s="1"/>
      <c r="F23" s="1"/>
      <c r="G23" s="1"/>
      <c r="H23" s="172"/>
      <c r="I23" s="172"/>
      <c r="J23" s="3676"/>
      <c r="K23" s="12"/>
      <c r="L23" s="1"/>
      <c r="M23" s="1"/>
      <c r="N23" s="1"/>
      <c r="O23" s="1"/>
      <c r="P23" s="172"/>
      <c r="Q23" s="172"/>
      <c r="R23" s="3676"/>
      <c r="T23" s="12"/>
      <c r="U23" s="1"/>
      <c r="V23" s="1"/>
      <c r="W23" s="1"/>
      <c r="X23" s="1"/>
      <c r="Y23" s="172"/>
      <c r="Z23" s="172"/>
      <c r="AA23" s="15"/>
      <c r="AB23" s="1"/>
      <c r="AC23" s="1"/>
      <c r="AD23" s="1"/>
      <c r="AE23" s="1"/>
      <c r="AF23" s="1"/>
      <c r="AG23" s="172"/>
      <c r="AH23" s="172"/>
      <c r="AI23" s="1"/>
      <c r="AJ23" s="12"/>
      <c r="AK23" s="1"/>
      <c r="AL23" s="1"/>
      <c r="AM23" s="1"/>
      <c r="AN23" s="1"/>
      <c r="AO23" s="172"/>
      <c r="AP23" s="1"/>
      <c r="AQ23" s="15"/>
      <c r="AR23" s="12"/>
      <c r="AS23" s="1"/>
      <c r="AT23" s="1"/>
      <c r="AU23" s="1"/>
      <c r="AV23" s="1"/>
      <c r="AW23" s="172"/>
      <c r="AX23" s="172"/>
      <c r="AY23" s="15"/>
      <c r="AZ23" s="1"/>
      <c r="BA23" s="1"/>
      <c r="BB23" s="1"/>
      <c r="BC23" s="1"/>
      <c r="BD23" s="1"/>
      <c r="BE23" s="172"/>
      <c r="BF23" s="172"/>
      <c r="BG23" s="1"/>
      <c r="BH23" s="12"/>
      <c r="BI23" s="1"/>
      <c r="BJ23" s="1"/>
      <c r="BK23" s="1"/>
      <c r="BL23" s="1"/>
      <c r="BM23" s="172">
        <f>BN23*1.88</f>
        <v>63920</v>
      </c>
      <c r="BN23" s="172">
        <v>34000</v>
      </c>
      <c r="BO23" s="15"/>
      <c r="BP23" s="12"/>
      <c r="BQ23" s="1"/>
      <c r="BR23" s="1"/>
      <c r="BS23" s="1"/>
      <c r="BT23" s="1"/>
      <c r="BU23" s="172">
        <f>BV23*1.88</f>
        <v>0</v>
      </c>
      <c r="BV23" s="172">
        <v>0</v>
      </c>
      <c r="BW23" s="15"/>
      <c r="BX23" s="12"/>
      <c r="BY23" s="1"/>
      <c r="BZ23" s="1"/>
      <c r="CA23" s="1"/>
      <c r="CB23" s="1"/>
      <c r="CC23" s="172">
        <f>CD23*1.88</f>
        <v>0</v>
      </c>
      <c r="CD23" s="172">
        <v>0</v>
      </c>
      <c r="CE23" s="15"/>
      <c r="CF23" s="12"/>
      <c r="CG23" s="1"/>
      <c r="CH23" s="1"/>
      <c r="CI23" s="1"/>
      <c r="CJ23" s="1"/>
      <c r="CK23" s="172">
        <f>CL23*1.88</f>
        <v>0</v>
      </c>
      <c r="CL23" s="172">
        <v>0</v>
      </c>
      <c r="CM23" s="15"/>
      <c r="CN23" s="12"/>
      <c r="CO23" s="1"/>
      <c r="CP23" s="1"/>
      <c r="CQ23" s="1"/>
      <c r="CR23" s="1"/>
      <c r="CS23" s="172">
        <f>CT23*1.88</f>
        <v>0</v>
      </c>
      <c r="CT23" s="172">
        <v>0</v>
      </c>
      <c r="CU23" s="15"/>
      <c r="CV23" s="12"/>
      <c r="CW23" s="1"/>
      <c r="CX23" s="1"/>
      <c r="CY23" s="1"/>
      <c r="CZ23" s="1"/>
      <c r="DA23" s="9">
        <f t="shared" si="33"/>
        <v>63920</v>
      </c>
      <c r="DB23" s="9">
        <f t="shared" si="33"/>
        <v>34000</v>
      </c>
      <c r="DC23" s="17"/>
      <c r="DD23" s="12"/>
      <c r="DE23" s="1"/>
      <c r="DF23" s="1"/>
      <c r="DG23" s="1"/>
      <c r="DH23" s="1"/>
      <c r="DI23" s="9"/>
      <c r="DJ23" s="9"/>
      <c r="DK23" s="17"/>
      <c r="DL23" s="12"/>
      <c r="DM23" s="1"/>
      <c r="DN23" s="1"/>
      <c r="DO23" s="1"/>
      <c r="DP23" s="1"/>
      <c r="DQ23" s="9"/>
      <c r="DR23" s="9"/>
      <c r="DS23" s="17"/>
    </row>
    <row r="24" spans="1:123" x14ac:dyDescent="0.3">
      <c r="A24" s="12"/>
      <c r="B24" s="1" t="s">
        <v>955</v>
      </c>
      <c r="C24" s="12"/>
      <c r="D24" s="1"/>
      <c r="E24" s="1"/>
      <c r="F24" s="1"/>
      <c r="G24" s="1"/>
      <c r="H24" s="172">
        <f t="shared" si="19"/>
        <v>4700000</v>
      </c>
      <c r="I24" s="172">
        <v>2500000</v>
      </c>
      <c r="J24" s="3676"/>
      <c r="K24" s="12"/>
      <c r="L24" s="1"/>
      <c r="M24" s="1"/>
      <c r="N24" s="1"/>
      <c r="O24" s="1"/>
      <c r="P24" s="172">
        <f t="shared" si="20"/>
        <v>4700000</v>
      </c>
      <c r="Q24" s="172">
        <f t="shared" si="20"/>
        <v>2500000</v>
      </c>
      <c r="R24" s="3676"/>
      <c r="T24" s="12"/>
      <c r="U24" s="1"/>
      <c r="V24" s="1"/>
      <c r="W24" s="1"/>
      <c r="X24" s="1"/>
      <c r="Y24" s="172">
        <v>0</v>
      </c>
      <c r="Z24" s="172">
        <v>0</v>
      </c>
      <c r="AA24" s="15"/>
      <c r="AB24" s="1"/>
      <c r="AC24" s="1"/>
      <c r="AD24" s="1"/>
      <c r="AE24" s="1"/>
      <c r="AF24" s="1"/>
      <c r="AG24" s="172">
        <v>0</v>
      </c>
      <c r="AH24" s="172">
        <v>0</v>
      </c>
      <c r="AI24" s="1"/>
      <c r="AJ24" s="12"/>
      <c r="AK24" s="1"/>
      <c r="AL24" s="1"/>
      <c r="AM24" s="1"/>
      <c r="AN24" s="1"/>
      <c r="AO24" s="172">
        <v>0</v>
      </c>
      <c r="AP24" s="1"/>
      <c r="AQ24" s="15"/>
      <c r="AR24" s="12"/>
      <c r="AS24" s="1"/>
      <c r="AT24" s="1"/>
      <c r="AU24" s="1"/>
      <c r="AV24" s="1"/>
      <c r="AW24" s="172">
        <v>0</v>
      </c>
      <c r="AX24" s="329">
        <v>0</v>
      </c>
      <c r="AY24" s="15"/>
      <c r="AZ24" s="1"/>
      <c r="BA24" s="1"/>
      <c r="BB24" s="1"/>
      <c r="BC24" s="1"/>
      <c r="BD24" s="1"/>
      <c r="BE24" s="172">
        <v>0</v>
      </c>
      <c r="BF24" s="329">
        <v>0</v>
      </c>
      <c r="BG24" s="1"/>
      <c r="BH24" s="12"/>
      <c r="BI24" s="1"/>
      <c r="BJ24" s="1"/>
      <c r="BK24" s="1"/>
      <c r="BL24" s="1"/>
      <c r="BM24" s="172">
        <v>0</v>
      </c>
      <c r="BN24" s="329">
        <v>0</v>
      </c>
      <c r="BO24" s="15"/>
      <c r="BP24" s="12"/>
      <c r="BQ24" s="1"/>
      <c r="BR24" s="1"/>
      <c r="BS24" s="1"/>
      <c r="BT24" s="1"/>
      <c r="BU24" s="172">
        <v>0</v>
      </c>
      <c r="BV24" s="329">
        <v>0</v>
      </c>
      <c r="BW24" s="15"/>
      <c r="BX24" s="12"/>
      <c r="BY24" s="1"/>
      <c r="BZ24" s="1"/>
      <c r="CA24" s="1"/>
      <c r="CB24" s="1"/>
      <c r="CC24" s="172">
        <v>0</v>
      </c>
      <c r="CD24" s="329">
        <v>0</v>
      </c>
      <c r="CE24" s="15"/>
      <c r="CF24" s="12"/>
      <c r="CG24" s="1"/>
      <c r="CH24" s="1"/>
      <c r="CI24" s="1"/>
      <c r="CJ24" s="1"/>
      <c r="CK24" s="172">
        <v>0</v>
      </c>
      <c r="CL24" s="329">
        <v>0</v>
      </c>
      <c r="CM24" s="15"/>
      <c r="CN24" s="12"/>
      <c r="CO24" s="1"/>
      <c r="CP24" s="1"/>
      <c r="CQ24" s="1"/>
      <c r="CR24" s="1"/>
      <c r="CS24" s="172">
        <v>0</v>
      </c>
      <c r="CT24" s="329">
        <v>0</v>
      </c>
      <c r="CU24" s="15"/>
      <c r="CV24" s="12"/>
      <c r="CW24" s="1"/>
      <c r="CX24" s="1"/>
      <c r="CY24" s="1"/>
      <c r="CZ24" s="1"/>
      <c r="DA24" s="9">
        <f t="shared" si="33"/>
        <v>0</v>
      </c>
      <c r="DB24" s="9">
        <f t="shared" si="33"/>
        <v>0</v>
      </c>
      <c r="DC24" s="17"/>
      <c r="DD24" s="12"/>
      <c r="DE24" s="1"/>
      <c r="DF24" s="1"/>
      <c r="DG24" s="1"/>
      <c r="DH24" s="1"/>
      <c r="DI24" s="9">
        <f t="shared" si="21"/>
        <v>0</v>
      </c>
      <c r="DJ24" s="9">
        <f t="shared" si="21"/>
        <v>0</v>
      </c>
      <c r="DK24" s="17"/>
      <c r="DL24" s="12"/>
      <c r="DM24" s="1"/>
      <c r="DN24" s="1"/>
      <c r="DO24" s="1"/>
      <c r="DP24" s="1"/>
      <c r="DQ24" s="9">
        <f t="shared" si="22"/>
        <v>0</v>
      </c>
      <c r="DR24" s="9">
        <f t="shared" si="22"/>
        <v>0</v>
      </c>
      <c r="DS24" s="17"/>
    </row>
    <row r="25" spans="1:123" x14ac:dyDescent="0.3">
      <c r="A25" s="12"/>
      <c r="B25" s="1" t="s">
        <v>290</v>
      </c>
      <c r="C25" s="12"/>
      <c r="D25" s="1"/>
      <c r="E25" s="1"/>
      <c r="F25" s="1"/>
      <c r="G25" s="1"/>
      <c r="H25" s="172">
        <f t="shared" si="19"/>
        <v>0</v>
      </c>
      <c r="I25" s="172">
        <v>0</v>
      </c>
      <c r="J25" s="3676"/>
      <c r="K25" s="12"/>
      <c r="L25" s="1"/>
      <c r="M25" s="1"/>
      <c r="N25" s="1"/>
      <c r="O25" s="1"/>
      <c r="P25" s="329">
        <v>0</v>
      </c>
      <c r="Q25" s="172">
        <f>(5022720*5%)</f>
        <v>251136</v>
      </c>
      <c r="R25" s="3676"/>
      <c r="T25" s="12"/>
      <c r="U25" s="1"/>
      <c r="V25" s="1"/>
      <c r="W25" s="1"/>
      <c r="X25" s="1"/>
      <c r="Y25" s="172">
        <f t="shared" si="23"/>
        <v>0</v>
      </c>
      <c r="Z25" s="172">
        <v>0</v>
      </c>
      <c r="AA25" s="15"/>
      <c r="AB25" s="1"/>
      <c r="AC25" s="1"/>
      <c r="AD25" s="1"/>
      <c r="AE25" s="1"/>
      <c r="AF25" s="1"/>
      <c r="AG25" s="172">
        <f t="shared" si="24"/>
        <v>0</v>
      </c>
      <c r="AH25" s="172">
        <v>0</v>
      </c>
      <c r="AI25" s="1"/>
      <c r="AJ25" s="12"/>
      <c r="AK25" s="1"/>
      <c r="AL25" s="1"/>
      <c r="AM25" s="1"/>
      <c r="AN25" s="1"/>
      <c r="AO25" s="172"/>
      <c r="AP25" s="172"/>
      <c r="AQ25" s="15"/>
      <c r="AR25" s="12"/>
      <c r="AS25" s="1"/>
      <c r="AT25" s="1"/>
      <c r="AU25" s="1"/>
      <c r="AV25" s="1"/>
      <c r="AW25" s="172"/>
      <c r="AX25" s="172"/>
      <c r="AY25" s="15"/>
      <c r="AZ25" s="1"/>
      <c r="BA25" s="1"/>
      <c r="BB25" s="1"/>
      <c r="BC25" s="1"/>
      <c r="BD25" s="1"/>
      <c r="BE25" s="172"/>
      <c r="BF25" s="172"/>
      <c r="BG25" s="1"/>
      <c r="BH25" s="12"/>
      <c r="BI25" s="1"/>
      <c r="BJ25" s="1"/>
      <c r="BK25" s="1"/>
      <c r="BL25" s="1"/>
      <c r="BM25" s="172"/>
      <c r="BN25" s="172"/>
      <c r="BO25" s="15"/>
      <c r="BP25" s="12"/>
      <c r="BQ25" s="1"/>
      <c r="BR25" s="1"/>
      <c r="BS25" s="1"/>
      <c r="BT25" s="1"/>
      <c r="BU25" s="172">
        <v>3905</v>
      </c>
      <c r="BV25" s="172">
        <f>BU25*0.53</f>
        <v>2069.65</v>
      </c>
      <c r="BW25" s="15"/>
      <c r="BX25" s="12"/>
      <c r="BY25" s="1"/>
      <c r="BZ25" s="1"/>
      <c r="CA25" s="1"/>
      <c r="CB25" s="1"/>
      <c r="CC25" s="172">
        <v>3905</v>
      </c>
      <c r="CD25" s="172">
        <f>CC25*0.53</f>
        <v>2069.65</v>
      </c>
      <c r="CE25" s="15"/>
      <c r="CF25" s="12"/>
      <c r="CG25" s="1"/>
      <c r="CH25" s="1"/>
      <c r="CI25" s="1"/>
      <c r="CJ25" s="1"/>
      <c r="CK25" s="172">
        <v>3905</v>
      </c>
      <c r="CL25" s="172">
        <f>CK25*0.55</f>
        <v>2147.75</v>
      </c>
      <c r="CM25" s="15"/>
      <c r="CN25" s="12"/>
      <c r="CO25" s="1"/>
      <c r="CP25" s="1"/>
      <c r="CQ25" s="1"/>
      <c r="CR25" s="1"/>
      <c r="CS25" s="172">
        <v>-33858</v>
      </c>
      <c r="CT25" s="172">
        <f>CS25*0.55</f>
        <v>-18621.900000000001</v>
      </c>
      <c r="CU25" s="15"/>
      <c r="CV25" s="12"/>
      <c r="CW25" s="1"/>
      <c r="CX25" s="1"/>
      <c r="CY25" s="1"/>
      <c r="CZ25" s="1"/>
      <c r="DA25" s="9">
        <f t="shared" si="33"/>
        <v>-22143</v>
      </c>
      <c r="DB25" s="9">
        <f t="shared" si="33"/>
        <v>-12334.850000000002</v>
      </c>
      <c r="DC25" s="17"/>
      <c r="DD25" s="12"/>
      <c r="DE25" s="1"/>
      <c r="DF25" s="1"/>
      <c r="DG25" s="1"/>
      <c r="DH25" s="1"/>
      <c r="DI25" s="9">
        <f t="shared" si="21"/>
        <v>0</v>
      </c>
      <c r="DJ25" s="9">
        <f t="shared" si="21"/>
        <v>0</v>
      </c>
      <c r="DK25" s="17"/>
      <c r="DL25" s="12"/>
      <c r="DM25" s="1"/>
      <c r="DN25" s="1"/>
      <c r="DO25" s="1"/>
      <c r="DP25" s="1"/>
      <c r="DQ25" s="9">
        <f t="shared" si="22"/>
        <v>0</v>
      </c>
      <c r="DR25" s="9">
        <f t="shared" si="22"/>
        <v>0</v>
      </c>
      <c r="DS25" s="17"/>
    </row>
    <row r="26" spans="1:123" x14ac:dyDescent="0.3">
      <c r="A26" s="12"/>
      <c r="B26" s="1"/>
      <c r="C26" s="12"/>
      <c r="D26" s="1"/>
      <c r="E26" s="1"/>
      <c r="F26" s="1"/>
      <c r="G26" s="1"/>
      <c r="H26" s="1"/>
      <c r="I26" s="172"/>
      <c r="J26" s="3676"/>
      <c r="K26" s="12"/>
      <c r="L26" s="1"/>
      <c r="M26" s="1"/>
      <c r="N26" s="1"/>
      <c r="O26" s="1"/>
      <c r="P26" s="1"/>
      <c r="Q26" s="1"/>
      <c r="R26" s="3676"/>
      <c r="T26" s="12"/>
      <c r="U26" s="1"/>
      <c r="V26" s="1"/>
      <c r="W26" s="1"/>
      <c r="X26" s="1"/>
      <c r="Y26" s="1"/>
      <c r="Z26" s="1"/>
      <c r="AA26" s="15"/>
      <c r="AB26" s="1"/>
      <c r="AC26" s="1"/>
      <c r="AD26" s="1"/>
      <c r="AE26" s="1"/>
      <c r="AF26" s="1"/>
      <c r="AG26" s="1"/>
      <c r="AH26" s="1"/>
      <c r="AI26" s="1"/>
      <c r="AJ26" s="12"/>
      <c r="AK26" s="1"/>
      <c r="AL26" s="1"/>
      <c r="AM26" s="1"/>
      <c r="AN26" s="1"/>
      <c r="AO26" s="1"/>
      <c r="AP26" s="1"/>
      <c r="AQ26" s="15"/>
      <c r="AR26" s="12"/>
      <c r="AS26" s="1"/>
      <c r="AT26" s="1"/>
      <c r="AU26" s="1"/>
      <c r="AV26" s="1"/>
      <c r="AW26" s="1"/>
      <c r="AX26" s="1"/>
      <c r="AY26" s="15"/>
      <c r="AZ26" s="1"/>
      <c r="BA26" s="1"/>
      <c r="BB26" s="1"/>
      <c r="BC26" s="1"/>
      <c r="BD26" s="1"/>
      <c r="BE26" s="1"/>
      <c r="BF26" s="1"/>
      <c r="BG26" s="1"/>
      <c r="BH26" s="12"/>
      <c r="BI26" s="1"/>
      <c r="BJ26" s="1"/>
      <c r="BK26" s="1"/>
      <c r="BL26" s="1"/>
      <c r="BM26" s="1"/>
      <c r="BN26" s="1"/>
      <c r="BO26" s="15"/>
      <c r="BP26" s="12"/>
      <c r="BQ26" s="1"/>
      <c r="BR26" s="1"/>
      <c r="BS26" s="1"/>
      <c r="BT26" s="1"/>
      <c r="BU26" s="1"/>
      <c r="BV26" s="1"/>
      <c r="BW26" s="15"/>
      <c r="BX26" s="12"/>
      <c r="BY26" s="1"/>
      <c r="BZ26" s="1"/>
      <c r="CA26" s="1"/>
      <c r="CB26" s="1"/>
      <c r="CC26" s="1"/>
      <c r="CD26" s="1"/>
      <c r="CE26" s="15"/>
      <c r="CF26" s="12"/>
      <c r="CG26" s="1"/>
      <c r="CH26" s="1"/>
      <c r="CI26" s="1"/>
      <c r="CJ26" s="1"/>
      <c r="CK26" s="1"/>
      <c r="CL26" s="1"/>
      <c r="CM26" s="15"/>
      <c r="CN26" s="12"/>
      <c r="CO26" s="1"/>
      <c r="CP26" s="1"/>
      <c r="CQ26" s="1"/>
      <c r="CR26" s="1"/>
      <c r="CS26" s="1"/>
      <c r="CT26" s="1"/>
      <c r="CU26" s="15"/>
      <c r="CV26" s="12"/>
      <c r="CW26" s="1"/>
      <c r="CX26" s="1"/>
      <c r="CY26" s="1"/>
      <c r="CZ26" s="1"/>
      <c r="DA26" s="9">
        <f t="shared" si="33"/>
        <v>0</v>
      </c>
      <c r="DB26" s="9">
        <f t="shared" si="33"/>
        <v>0</v>
      </c>
      <c r="DC26" s="17"/>
      <c r="DD26" s="12"/>
      <c r="DE26" s="1"/>
      <c r="DF26" s="1"/>
      <c r="DG26" s="1"/>
      <c r="DH26" s="1"/>
      <c r="DI26" s="9"/>
      <c r="DJ26" s="9"/>
      <c r="DK26" s="17"/>
      <c r="DL26" s="12"/>
      <c r="DM26" s="1"/>
      <c r="DN26" s="50"/>
      <c r="DO26" s="233"/>
      <c r="DP26" s="1"/>
      <c r="DQ26" s="9">
        <f t="shared" si="22"/>
        <v>0</v>
      </c>
      <c r="DR26" s="9">
        <f t="shared" si="22"/>
        <v>0</v>
      </c>
      <c r="DS26" s="17"/>
    </row>
    <row r="27" spans="1:123" x14ac:dyDescent="0.3">
      <c r="A27" s="36"/>
      <c r="B27" s="37" t="s">
        <v>32</v>
      </c>
      <c r="C27" s="41"/>
      <c r="D27" s="180"/>
      <c r="E27" s="38"/>
      <c r="F27" s="180"/>
      <c r="G27" s="38"/>
      <c r="H27" s="180">
        <f>SUM(H11:H26)</f>
        <v>9442713.5999999996</v>
      </c>
      <c r="I27" s="180">
        <f>SUM(I11:I26)</f>
        <v>5022720</v>
      </c>
      <c r="J27" s="3678"/>
      <c r="K27" s="41"/>
      <c r="L27" s="180"/>
      <c r="M27" s="38"/>
      <c r="N27" s="180"/>
      <c r="O27" s="38"/>
      <c r="P27" s="180">
        <f>SUM(P11:P26)</f>
        <v>9442713.5999999996</v>
      </c>
      <c r="Q27" s="180">
        <f>SUM(Q11:Q26)</f>
        <v>5273856</v>
      </c>
      <c r="R27" s="3678"/>
      <c r="S27" s="32"/>
      <c r="T27" s="41"/>
      <c r="U27" s="180"/>
      <c r="V27" s="38"/>
      <c r="W27" s="180"/>
      <c r="X27" s="38"/>
      <c r="Y27" s="180">
        <f>SUM(Y11:Y26)</f>
        <v>2422686.44</v>
      </c>
      <c r="Z27" s="180">
        <f>SUM(Z11:Z26)</f>
        <v>1288663</v>
      </c>
      <c r="AA27" s="39"/>
      <c r="AB27" s="906"/>
      <c r="AC27" s="180"/>
      <c r="AD27" s="38"/>
      <c r="AE27" s="180"/>
      <c r="AF27" s="38"/>
      <c r="AG27" s="180">
        <f>SUM(AG11:AG26)</f>
        <v>1305584.8</v>
      </c>
      <c r="AH27" s="180">
        <f>SUM(AH11:AH26)</f>
        <v>694460</v>
      </c>
      <c r="AI27" s="38"/>
      <c r="AJ27" s="41"/>
      <c r="AK27" s="180"/>
      <c r="AL27" s="38"/>
      <c r="AM27" s="180"/>
      <c r="AN27" s="38"/>
      <c r="AO27" s="180">
        <f>SUM(AO11:AO26)</f>
        <v>1211584.8</v>
      </c>
      <c r="AP27" s="180">
        <f>SUM(AP11:AP26)</f>
        <v>644460</v>
      </c>
      <c r="AQ27" s="38"/>
      <c r="AR27" s="41"/>
      <c r="AS27" s="180"/>
      <c r="AT27" s="38"/>
      <c r="AU27" s="180"/>
      <c r="AV27" s="38"/>
      <c r="AW27" s="180">
        <f>SUM(AW11:AW26)</f>
        <v>1539817.76</v>
      </c>
      <c r="AX27" s="180">
        <f>SUM(AX11:AX26)</f>
        <v>819052</v>
      </c>
      <c r="AY27" s="39"/>
      <c r="AZ27" s="38"/>
      <c r="BA27" s="38"/>
      <c r="BB27" s="38"/>
      <c r="BC27" s="38"/>
      <c r="BD27" s="38"/>
      <c r="BE27" s="180">
        <f>SUM(BE11:BE26)</f>
        <v>1851587.5599999998</v>
      </c>
      <c r="BF27" s="180">
        <f>SUM(BF11:BF26)</f>
        <v>984887</v>
      </c>
      <c r="BG27" s="38"/>
      <c r="BH27" s="36"/>
      <c r="BI27" s="38"/>
      <c r="BJ27" s="38"/>
      <c r="BK27" s="38"/>
      <c r="BL27" s="38"/>
      <c r="BM27" s="180">
        <f>SUM(BM11:BM26)</f>
        <v>1636946.0799999998</v>
      </c>
      <c r="BN27" s="180">
        <f>SUM(BN11:BN26)</f>
        <v>870716</v>
      </c>
      <c r="BO27" s="39"/>
      <c r="BP27" s="36"/>
      <c r="BQ27" s="38"/>
      <c r="BR27" s="38"/>
      <c r="BS27" s="38"/>
      <c r="BT27" s="38"/>
      <c r="BU27" s="180">
        <f>SUM(BU11:BU26)</f>
        <v>1597145.0799999998</v>
      </c>
      <c r="BV27" s="180">
        <f>SUM(BV11:BV26)</f>
        <v>849685.75</v>
      </c>
      <c r="BW27" s="39"/>
      <c r="BX27" s="36"/>
      <c r="BY27" s="38"/>
      <c r="BZ27" s="38"/>
      <c r="CA27" s="38"/>
      <c r="CB27" s="38"/>
      <c r="CC27" s="180">
        <f>SUM(CC11:CC26)</f>
        <v>1576931.0799999998</v>
      </c>
      <c r="CD27" s="180">
        <f>SUM(CD11:CD26)</f>
        <v>838785.65</v>
      </c>
      <c r="CE27" s="39"/>
      <c r="CF27" s="36"/>
      <c r="CG27" s="38"/>
      <c r="CH27" s="38"/>
      <c r="CI27" s="38"/>
      <c r="CJ27" s="38"/>
      <c r="CK27" s="180">
        <f>SUM(CK11:CK26)</f>
        <v>1576931.0799999998</v>
      </c>
      <c r="CL27" s="180">
        <f>SUM(CL11:CL26)</f>
        <v>838863.75</v>
      </c>
      <c r="CM27" s="39"/>
      <c r="CN27" s="36"/>
      <c r="CO27" s="38"/>
      <c r="CP27" s="38"/>
      <c r="CQ27" s="38"/>
      <c r="CR27" s="38"/>
      <c r="CS27" s="180">
        <f>SUM(CS11:CS26)</f>
        <v>1722188.0799999998</v>
      </c>
      <c r="CT27" s="180">
        <f>SUM(CT11:CT26)</f>
        <v>918449.1</v>
      </c>
      <c r="CU27" s="39"/>
      <c r="CV27" s="41"/>
      <c r="CW27" s="180"/>
      <c r="CX27" s="38"/>
      <c r="CY27" s="180"/>
      <c r="CZ27" s="38"/>
      <c r="DA27" s="180">
        <f>SUM(DA11:DA26)</f>
        <v>16275302.76</v>
      </c>
      <c r="DB27" s="180">
        <f>SUM(DB11:DB26)</f>
        <v>8656667.25</v>
      </c>
      <c r="DC27" s="39"/>
      <c r="DD27" s="41"/>
      <c r="DE27" s="180"/>
      <c r="DF27" s="38"/>
      <c r="DG27" s="180"/>
      <c r="DH27" s="38"/>
      <c r="DI27" s="180">
        <f>SUM(DI11:DI26)</f>
        <v>4939856.04</v>
      </c>
      <c r="DJ27" s="180">
        <f>SUM(DJ11:DJ26)</f>
        <v>2627583</v>
      </c>
      <c r="DK27" s="39"/>
      <c r="DL27" s="41"/>
      <c r="DM27" s="180"/>
      <c r="DN27" s="4140"/>
      <c r="DO27" s="180"/>
      <c r="DP27" s="38"/>
      <c r="DQ27" s="180">
        <f>SUM(DQ11:DQ26)</f>
        <v>4964431.4000000004</v>
      </c>
      <c r="DR27" s="180">
        <f>SUM(DR11:DR26)</f>
        <v>2640655</v>
      </c>
      <c r="DS27" s="39"/>
    </row>
    <row r="28" spans="1:123" s="4317" customFormat="1" ht="15.05" x14ac:dyDescent="0.35">
      <c r="A28" s="4307"/>
      <c r="B28" s="4308" t="s">
        <v>33</v>
      </c>
      <c r="C28" s="4309"/>
      <c r="D28" s="4310"/>
      <c r="E28" s="4311"/>
      <c r="F28" s="4310"/>
      <c r="G28" s="4311"/>
      <c r="H28" s="4310">
        <f>H9-H27</f>
        <v>-9442713.5999999996</v>
      </c>
      <c r="I28" s="4310">
        <f>I9-I27</f>
        <v>-5022720</v>
      </c>
      <c r="J28" s="4312">
        <v>0</v>
      </c>
      <c r="K28" s="4309"/>
      <c r="L28" s="4310"/>
      <c r="M28" s="4311"/>
      <c r="N28" s="4310"/>
      <c r="O28" s="4311"/>
      <c r="P28" s="4310">
        <f>P9-P27</f>
        <v>-9442713.5999999996</v>
      </c>
      <c r="Q28" s="4310">
        <f>Q9-Q27</f>
        <v>-5273856</v>
      </c>
      <c r="R28" s="4312">
        <v>0</v>
      </c>
      <c r="S28" s="4313"/>
      <c r="T28" s="4309"/>
      <c r="U28" s="4310"/>
      <c r="V28" s="4311"/>
      <c r="W28" s="4310"/>
      <c r="X28" s="4311"/>
      <c r="Y28" s="4310">
        <f>Y9-Y27</f>
        <v>-5813885.3599999994</v>
      </c>
      <c r="Z28" s="4310">
        <f>Z9-Z27</f>
        <v>-3074879.2</v>
      </c>
      <c r="AA28" s="4314">
        <f>Z28/V9</f>
        <v>-5.740540524394242</v>
      </c>
      <c r="AB28" s="4311"/>
      <c r="AC28" s="4310"/>
      <c r="AD28" s="4311"/>
      <c r="AE28" s="4310"/>
      <c r="AF28" s="4311"/>
      <c r="AG28" s="4310">
        <f>AG9-AG27</f>
        <v>-861307.6399999999</v>
      </c>
      <c r="AH28" s="4310">
        <f>AH9-AH27</f>
        <v>-393939.79999999981</v>
      </c>
      <c r="AI28" s="4315">
        <f>AH28/AD9</f>
        <v>-0.20176037734341554</v>
      </c>
      <c r="AJ28" s="4309"/>
      <c r="AK28" s="4310"/>
      <c r="AL28" s="4311"/>
      <c r="AM28" s="4310"/>
      <c r="AN28" s="4311"/>
      <c r="AO28" s="4310">
        <f>AO9-AO27</f>
        <v>42711.960000000196</v>
      </c>
      <c r="AP28" s="4310">
        <f>AP9-AP27</f>
        <v>118738.60000000009</v>
      </c>
      <c r="AQ28" s="4315">
        <f>AP28/AL9</f>
        <v>4.0662210779167582E-2</v>
      </c>
      <c r="AR28" s="4309"/>
      <c r="AS28" s="4310"/>
      <c r="AT28" s="4311"/>
      <c r="AU28" s="4310"/>
      <c r="AV28" s="4311"/>
      <c r="AW28" s="4310">
        <f>AW9-AW27</f>
        <v>777458.08000000031</v>
      </c>
      <c r="AX28" s="4310">
        <f>AX9-AX27</f>
        <v>402128</v>
      </c>
      <c r="AY28" s="4314">
        <f>AX28/AT9</f>
        <v>0.12729549618678246</v>
      </c>
      <c r="AZ28" s="4315"/>
      <c r="BA28" s="4315"/>
      <c r="BB28" s="4315"/>
      <c r="BC28" s="4315"/>
      <c r="BD28" s="4315"/>
      <c r="BE28" s="4310">
        <f>BE9-BE27</f>
        <v>-546127.19999999949</v>
      </c>
      <c r="BF28" s="4310">
        <f>BF9-BF27</f>
        <v>-199871.39999999991</v>
      </c>
      <c r="BG28" s="4315">
        <f>BF28/BB9</f>
        <v>-7.2523104943938724E-2</v>
      </c>
      <c r="BH28" s="4316"/>
      <c r="BI28" s="4315"/>
      <c r="BJ28" s="4315"/>
      <c r="BK28" s="4315"/>
      <c r="BL28" s="4315"/>
      <c r="BM28" s="4310">
        <f>BM9-BM27</f>
        <v>5723346.5600000005</v>
      </c>
      <c r="BN28" s="4310">
        <f>BN9-BN27</f>
        <v>3263287.2000000007</v>
      </c>
      <c r="BO28" s="4314">
        <f>BN28/BJ9</f>
        <v>0.49007318943579897</v>
      </c>
      <c r="BP28" s="4316"/>
      <c r="BQ28" s="4315"/>
      <c r="BR28" s="4315"/>
      <c r="BS28" s="4315"/>
      <c r="BT28" s="4315"/>
      <c r="BU28" s="4310">
        <f>BU9-BU27</f>
        <v>2571225.84</v>
      </c>
      <c r="BV28" s="4310">
        <f>BV9-BV27</f>
        <v>1542704.5500000007</v>
      </c>
      <c r="BW28" s="4314">
        <f>BV28/BR9</f>
        <v>0.28958571232196817</v>
      </c>
      <c r="BX28" s="4316"/>
      <c r="BY28" s="4315"/>
      <c r="BZ28" s="4315"/>
      <c r="CA28" s="4315"/>
      <c r="CB28" s="4315"/>
      <c r="CC28" s="4310">
        <f>CC9-CC27</f>
        <v>3074101.4800000004</v>
      </c>
      <c r="CD28" s="4310">
        <f>CD9-CD27</f>
        <v>1819688.1</v>
      </c>
      <c r="CE28" s="4314">
        <f>CD28/BZ9</f>
        <v>0.324273361718947</v>
      </c>
      <c r="CF28" s="4316"/>
      <c r="CG28" s="4315"/>
      <c r="CH28" s="4315"/>
      <c r="CI28" s="4315"/>
      <c r="CJ28" s="4315"/>
      <c r="CK28" s="4310">
        <f>CK9-CK27</f>
        <v>-347714.51999999932</v>
      </c>
      <c r="CL28" s="4310">
        <f>CL9-CL27</f>
        <v>-67419.099999999627</v>
      </c>
      <c r="CM28" s="4314">
        <f>CL28/CH9</f>
        <v>-1.8850012804731215E-2</v>
      </c>
      <c r="CN28" s="4316"/>
      <c r="CO28" s="4315"/>
      <c r="CP28" s="4315"/>
      <c r="CQ28" s="4315"/>
      <c r="CR28" s="4315"/>
      <c r="CS28" s="4310">
        <f>CS9-CS27</f>
        <v>3760846.3200000003</v>
      </c>
      <c r="CT28" s="4310">
        <f>CT9-CT27</f>
        <v>2197239.1500000004</v>
      </c>
      <c r="CU28" s="4314">
        <f>CT28/CP9</f>
        <v>0.36273435617305405</v>
      </c>
      <c r="CV28" s="4309"/>
      <c r="CW28" s="4310"/>
      <c r="CX28" s="4311"/>
      <c r="CY28" s="4310"/>
      <c r="CZ28" s="4311"/>
      <c r="DA28" s="4310">
        <f>DA9-DA27</f>
        <v>8546755.5200000014</v>
      </c>
      <c r="DB28" s="4310">
        <f>DB9-DB27</f>
        <v>5699031.1000000015</v>
      </c>
      <c r="DC28" s="4314">
        <f>DB28/CX9</f>
        <v>0.14781583767560741</v>
      </c>
      <c r="DD28" s="4309"/>
      <c r="DE28" s="4310"/>
      <c r="DF28" s="4311"/>
      <c r="DG28" s="4310"/>
      <c r="DH28" s="4311"/>
      <c r="DI28" s="4310">
        <f>DI9-DI27</f>
        <v>-6632481.0399999991</v>
      </c>
      <c r="DJ28" s="4310">
        <f>DJ9-DJ27</f>
        <v>-3350080.3999999994</v>
      </c>
      <c r="DK28" s="4314">
        <f>DJ28/DF9</f>
        <v>-0.61943573310659938</v>
      </c>
      <c r="DL28" s="4309"/>
      <c r="DM28" s="4310"/>
      <c r="DN28" s="4311"/>
      <c r="DO28" s="4310"/>
      <c r="DP28" s="4311"/>
      <c r="DQ28" s="4310">
        <f>DQ9-DQ27</f>
        <v>6018597.4400000013</v>
      </c>
      <c r="DR28" s="4310">
        <f>DR9-DR27</f>
        <v>3499543.8000000007</v>
      </c>
      <c r="DS28" s="4314">
        <f>DR28/DN9</f>
        <v>0.2783212793109916</v>
      </c>
    </row>
    <row r="29" spans="1:123" x14ac:dyDescent="0.3">
      <c r="A29" s="12"/>
      <c r="B29" s="1" t="s">
        <v>34</v>
      </c>
      <c r="C29" s="49"/>
      <c r="D29" s="184"/>
      <c r="E29" s="50"/>
      <c r="F29" s="184"/>
      <c r="G29" s="50"/>
      <c r="H29" s="182"/>
      <c r="I29" s="183">
        <v>0</v>
      </c>
      <c r="J29" s="3679"/>
      <c r="K29" s="49"/>
      <c r="L29" s="184"/>
      <c r="M29" s="50"/>
      <c r="N29" s="184"/>
      <c r="O29" s="50"/>
      <c r="P29" s="182"/>
      <c r="Q29" s="183">
        <v>0</v>
      </c>
      <c r="R29" s="3679"/>
      <c r="S29" s="3"/>
      <c r="T29" s="49"/>
      <c r="U29" s="184"/>
      <c r="V29" s="50"/>
      <c r="W29" s="184"/>
      <c r="X29" s="50"/>
      <c r="Y29" s="182"/>
      <c r="Z29" s="183">
        <v>0</v>
      </c>
      <c r="AA29" s="47"/>
      <c r="AB29" s="50"/>
      <c r="AC29" s="184"/>
      <c r="AD29" s="50"/>
      <c r="AE29" s="184"/>
      <c r="AF29" s="50"/>
      <c r="AG29" s="182"/>
      <c r="AH29" s="183">
        <v>0</v>
      </c>
      <c r="AI29" s="56"/>
      <c r="AJ29" s="49"/>
      <c r="AK29" s="184"/>
      <c r="AL29" s="50"/>
      <c r="AM29" s="184"/>
      <c r="AN29" s="50"/>
      <c r="AO29" s="182"/>
      <c r="AP29" s="183">
        <v>0</v>
      </c>
      <c r="AQ29" s="56"/>
      <c r="AR29" s="49"/>
      <c r="AS29" s="184"/>
      <c r="AT29" s="50"/>
      <c r="AU29" s="184"/>
      <c r="AV29" s="50"/>
      <c r="AW29" s="182"/>
      <c r="AX29" s="183">
        <v>0</v>
      </c>
      <c r="AY29" s="47"/>
      <c r="AZ29" s="56"/>
      <c r="BA29" s="56"/>
      <c r="BB29" s="56"/>
      <c r="BC29" s="56"/>
      <c r="BD29" s="56"/>
      <c r="BE29" s="182"/>
      <c r="BF29" s="183">
        <v>0</v>
      </c>
      <c r="BG29" s="56"/>
      <c r="BH29" s="1504"/>
      <c r="BI29" s="56"/>
      <c r="BJ29" s="56"/>
      <c r="BK29" s="56"/>
      <c r="BL29" s="56"/>
      <c r="BM29" s="903">
        <f>BN29*1.88</f>
        <v>94931.427200000006</v>
      </c>
      <c r="BN29" s="4832">
        <f>BL9*2%</f>
        <v>50495.44</v>
      </c>
      <c r="BO29" s="47"/>
      <c r="BP29" s="1504"/>
      <c r="BQ29" s="56"/>
      <c r="BR29" s="56"/>
      <c r="BS29" s="56"/>
      <c r="BT29" s="56"/>
      <c r="BU29" s="903">
        <f>BV29*1.88</f>
        <v>110351.9016</v>
      </c>
      <c r="BV29" s="4832">
        <f>BT9*2%</f>
        <v>58697.82</v>
      </c>
      <c r="BW29" s="47"/>
      <c r="BX29" s="1504"/>
      <c r="BY29" s="56"/>
      <c r="BZ29" s="56"/>
      <c r="CA29" s="56"/>
      <c r="CB29" s="56"/>
      <c r="CC29" s="903">
        <f>CD29*1.88</f>
        <v>111037.0488</v>
      </c>
      <c r="CD29" s="4832">
        <f>CB9*2%</f>
        <v>59062.26</v>
      </c>
      <c r="CE29" s="47"/>
      <c r="CF29" s="1504"/>
      <c r="CG29" s="56"/>
      <c r="CH29" s="56"/>
      <c r="CI29" s="56"/>
      <c r="CJ29" s="56"/>
      <c r="CK29" s="903">
        <f>CL29*1.88</f>
        <v>105474.12879999999</v>
      </c>
      <c r="CL29" s="4832">
        <f>CJ9*2%</f>
        <v>56103.26</v>
      </c>
      <c r="CM29" s="47"/>
      <c r="CN29" s="1504"/>
      <c r="CO29" s="56"/>
      <c r="CP29" s="56"/>
      <c r="CQ29" s="56"/>
      <c r="CR29" s="56"/>
      <c r="CS29" s="903">
        <f>CT29*1.88</f>
        <v>110609.61199999999</v>
      </c>
      <c r="CT29" s="4832">
        <f>CR9*2%</f>
        <v>58834.9</v>
      </c>
      <c r="CU29" s="47"/>
      <c r="CV29" s="49"/>
      <c r="CW29" s="184"/>
      <c r="CX29" s="50"/>
      <c r="CY29" s="184"/>
      <c r="CZ29" s="50"/>
      <c r="DA29" s="903">
        <f>DB29*1.88</f>
        <v>532404.11840000004</v>
      </c>
      <c r="DB29" s="4833">
        <f t="shared" ref="DB29" si="34">BN29+BF29+AX29+AP29+AH29+Z29+BV29+CD29+CL29+CT29</f>
        <v>283193.68000000005</v>
      </c>
      <c r="DC29" s="47"/>
      <c r="DD29" s="49"/>
      <c r="DE29" s="184"/>
      <c r="DF29" s="50"/>
      <c r="DG29" s="184"/>
      <c r="DH29" s="50"/>
      <c r="DI29" s="182"/>
      <c r="DJ29" s="183">
        <v>0</v>
      </c>
      <c r="DK29" s="47"/>
      <c r="DL29" s="49"/>
      <c r="DM29" s="184"/>
      <c r="DN29" s="50"/>
      <c r="DO29" s="184"/>
      <c r="DP29" s="50"/>
      <c r="DQ29" s="182"/>
      <c r="DR29" s="183">
        <v>0</v>
      </c>
      <c r="DS29" s="47"/>
    </row>
    <row r="30" spans="1:123" ht="15.05" x14ac:dyDescent="0.35">
      <c r="A30" s="907"/>
      <c r="B30" s="4830" t="s">
        <v>35</v>
      </c>
      <c r="C30" s="1353"/>
      <c r="D30" s="1354"/>
      <c r="E30" s="1355"/>
      <c r="F30" s="1354"/>
      <c r="G30" s="1355"/>
      <c r="H30" s="1356">
        <f>H28-H29</f>
        <v>-9442713.5999999996</v>
      </c>
      <c r="I30" s="1356">
        <f>I28-I29</f>
        <v>-5022720</v>
      </c>
      <c r="J30" s="3680">
        <v>0</v>
      </c>
      <c r="K30" s="1353"/>
      <c r="L30" s="1354"/>
      <c r="M30" s="1355"/>
      <c r="N30" s="1354"/>
      <c r="O30" s="1355"/>
      <c r="P30" s="1356">
        <f>P28-P29</f>
        <v>-9442713.5999999996</v>
      </c>
      <c r="Q30" s="1356">
        <f>Q28-Q29</f>
        <v>-5273856</v>
      </c>
      <c r="R30" s="3680">
        <v>0</v>
      </c>
      <c r="S30" s="472"/>
      <c r="T30" s="1353"/>
      <c r="U30" s="1354"/>
      <c r="V30" s="1355"/>
      <c r="W30" s="1354"/>
      <c r="X30" s="1355"/>
      <c r="Y30" s="1356">
        <f>Y28-Y29</f>
        <v>-5813885.3599999994</v>
      </c>
      <c r="Z30" s="1356">
        <f>Z28-Z29</f>
        <v>-3074879.2</v>
      </c>
      <c r="AA30" s="46">
        <f>Z30/V9</f>
        <v>-5.740540524394242</v>
      </c>
      <c r="AB30" s="1358"/>
      <c r="AC30" s="1354"/>
      <c r="AD30" s="1355"/>
      <c r="AE30" s="1354"/>
      <c r="AF30" s="1355"/>
      <c r="AG30" s="1356">
        <f>AG28-AG29</f>
        <v>-861307.6399999999</v>
      </c>
      <c r="AH30" s="1356">
        <f>AH28-AH29</f>
        <v>-393939.79999999981</v>
      </c>
      <c r="AI30" s="1359">
        <f>AH30/AD9</f>
        <v>-0.20176037734341554</v>
      </c>
      <c r="AJ30" s="1353"/>
      <c r="AK30" s="1354"/>
      <c r="AL30" s="1355"/>
      <c r="AM30" s="1354"/>
      <c r="AN30" s="1355"/>
      <c r="AO30" s="1356">
        <f>AO28-AO29</f>
        <v>42711.960000000196</v>
      </c>
      <c r="AP30" s="1356">
        <f>AP28-AP29</f>
        <v>118738.60000000009</v>
      </c>
      <c r="AQ30" s="1359">
        <f>AP30/AL9</f>
        <v>4.0662210779167582E-2</v>
      </c>
      <c r="AR30" s="1353"/>
      <c r="AS30" s="1354"/>
      <c r="AT30" s="1355"/>
      <c r="AU30" s="1354"/>
      <c r="AV30" s="1355"/>
      <c r="AW30" s="1356">
        <f>AW28-AW29</f>
        <v>777458.08000000031</v>
      </c>
      <c r="AX30" s="1356">
        <f>AX28-AX29</f>
        <v>402128</v>
      </c>
      <c r="AY30" s="1357">
        <f>AX30/AT9</f>
        <v>0.12729549618678246</v>
      </c>
      <c r="AZ30" s="1359"/>
      <c r="BA30" s="1359"/>
      <c r="BB30" s="1359"/>
      <c r="BC30" s="1359"/>
      <c r="BD30" s="1359"/>
      <c r="BE30" s="1356">
        <f>BE28-BE29</f>
        <v>-546127.19999999949</v>
      </c>
      <c r="BF30" s="1356">
        <f>BF28-BF29</f>
        <v>-199871.39999999991</v>
      </c>
      <c r="BG30" s="1359">
        <f>BF30/BB9</f>
        <v>-7.2523104943938724E-2</v>
      </c>
      <c r="BH30" s="1505"/>
      <c r="BI30" s="1359"/>
      <c r="BJ30" s="1359"/>
      <c r="BK30" s="1359"/>
      <c r="BL30" s="1359"/>
      <c r="BM30" s="1356">
        <f>BM28-BM29</f>
        <v>5628415.1328000007</v>
      </c>
      <c r="BN30" s="1356">
        <f>BN28-BN29</f>
        <v>3212791.7600000007</v>
      </c>
      <c r="BO30" s="1357">
        <f>BN30/BJ9</f>
        <v>0.4824898969408068</v>
      </c>
      <c r="BP30" s="1505"/>
      <c r="BQ30" s="1359"/>
      <c r="BR30" s="1359"/>
      <c r="BS30" s="1359"/>
      <c r="BT30" s="1359"/>
      <c r="BU30" s="1356">
        <f>BU28-BU29</f>
        <v>2460873.9383999999</v>
      </c>
      <c r="BV30" s="1356">
        <f>BV28-BV29</f>
        <v>1484006.7300000007</v>
      </c>
      <c r="BW30" s="1357">
        <f>BV30/BR9</f>
        <v>0.27856736793681242</v>
      </c>
      <c r="BX30" s="1505"/>
      <c r="BY30" s="1359"/>
      <c r="BZ30" s="1359"/>
      <c r="CA30" s="1359"/>
      <c r="CB30" s="1359"/>
      <c r="CC30" s="1356">
        <f>CC28-CC29</f>
        <v>2963064.4312000005</v>
      </c>
      <c r="CD30" s="1356">
        <f>CD28-CD29</f>
        <v>1760625.84</v>
      </c>
      <c r="CE30" s="1357">
        <f>CD30/BZ9</f>
        <v>0.31374830657300273</v>
      </c>
      <c r="CF30" s="1505"/>
      <c r="CG30" s="1359"/>
      <c r="CH30" s="1359"/>
      <c r="CI30" s="1359"/>
      <c r="CJ30" s="1359"/>
      <c r="CK30" s="1356">
        <f>CK28-CK29</f>
        <v>-453188.64879999933</v>
      </c>
      <c r="CL30" s="1356">
        <f>CL28-CL29</f>
        <v>-123522.35999999964</v>
      </c>
      <c r="CM30" s="1357">
        <f>CL30/CH9</f>
        <v>-3.4536178437128723E-2</v>
      </c>
      <c r="CN30" s="1505"/>
      <c r="CO30" s="1359"/>
      <c r="CP30" s="1359"/>
      <c r="CQ30" s="1359"/>
      <c r="CR30" s="1359"/>
      <c r="CS30" s="1356">
        <f>CS28-CS29</f>
        <v>3650236.7080000001</v>
      </c>
      <c r="CT30" s="1356">
        <f>CT28-CT29</f>
        <v>2138404.2500000005</v>
      </c>
      <c r="CU30" s="1357">
        <f>CT30/CP9</f>
        <v>0.35302151286603123</v>
      </c>
      <c r="CV30" s="1353"/>
      <c r="CW30" s="1354"/>
      <c r="CX30" s="1355"/>
      <c r="CY30" s="1354"/>
      <c r="CZ30" s="1355"/>
      <c r="DA30" s="1356">
        <f>DA28-DA29</f>
        <v>8014351.4016000014</v>
      </c>
      <c r="DB30" s="1356">
        <f>DB28-DB29</f>
        <v>5415837.4200000018</v>
      </c>
      <c r="DC30" s="1357">
        <f>DB30/CX9</f>
        <v>0.1404706398166875</v>
      </c>
      <c r="DD30" s="1353"/>
      <c r="DE30" s="1354"/>
      <c r="DF30" s="1355"/>
      <c r="DG30" s="1354"/>
      <c r="DH30" s="1355"/>
      <c r="DI30" s="1356">
        <f>DI28-DI29</f>
        <v>-6632481.0399999991</v>
      </c>
      <c r="DJ30" s="1356">
        <f>DJ28-DJ29</f>
        <v>-3350080.3999999994</v>
      </c>
      <c r="DK30" s="1357">
        <f>DJ30/DF9</f>
        <v>-0.61943573310659938</v>
      </c>
      <c r="DL30" s="1353"/>
      <c r="DM30" s="1354"/>
      <c r="DN30" s="1355"/>
      <c r="DO30" s="1354"/>
      <c r="DP30" s="1355"/>
      <c r="DQ30" s="1356">
        <f>DQ28-DQ29</f>
        <v>6018597.4400000013</v>
      </c>
      <c r="DR30" s="1356">
        <f>DR28-DR29</f>
        <v>3499543.8000000007</v>
      </c>
      <c r="DS30" s="1357">
        <f>DR30/DN9</f>
        <v>0.2783212793109916</v>
      </c>
    </row>
    <row r="31" spans="1:123" x14ac:dyDescent="0.3">
      <c r="A31" s="12"/>
      <c r="B31" s="1" t="s">
        <v>934</v>
      </c>
      <c r="C31" s="49"/>
      <c r="D31" s="184"/>
      <c r="E31" s="50"/>
      <c r="F31" s="184"/>
      <c r="G31" s="50"/>
      <c r="H31" s="902">
        <v>0</v>
      </c>
      <c r="I31" s="902">
        <v>0</v>
      </c>
      <c r="J31" s="3681"/>
      <c r="K31" s="49"/>
      <c r="L31" s="184"/>
      <c r="M31" s="50"/>
      <c r="N31" s="184"/>
      <c r="O31" s="50"/>
      <c r="P31" s="902">
        <v>0</v>
      </c>
      <c r="Q31" s="902">
        <v>0</v>
      </c>
      <c r="R31" s="3681"/>
      <c r="S31" s="3"/>
      <c r="T31" s="49"/>
      <c r="U31" s="184"/>
      <c r="V31" s="50"/>
      <c r="W31" s="184"/>
      <c r="X31" s="50"/>
      <c r="Y31" s="902">
        <v>0</v>
      </c>
      <c r="Z31" s="902">
        <v>0</v>
      </c>
      <c r="AA31" s="54"/>
      <c r="AB31" s="50"/>
      <c r="AC31" s="184"/>
      <c r="AD31" s="50"/>
      <c r="AE31" s="184"/>
      <c r="AF31" s="50"/>
      <c r="AG31" s="902">
        <v>0</v>
      </c>
      <c r="AH31" s="902">
        <v>0</v>
      </c>
      <c r="AI31" s="1360"/>
      <c r="AJ31" s="49"/>
      <c r="AK31" s="184"/>
      <c r="AL31" s="50"/>
      <c r="AM31" s="1506"/>
      <c r="AN31" s="1506"/>
      <c r="AO31" s="902">
        <v>0</v>
      </c>
      <c r="AP31" s="902">
        <v>0</v>
      </c>
      <c r="AQ31" s="1360"/>
      <c r="AR31" s="49"/>
      <c r="AS31" s="184"/>
      <c r="AT31" s="50"/>
      <c r="AU31" s="184"/>
      <c r="AV31" s="50"/>
      <c r="AW31" s="902">
        <v>0</v>
      </c>
      <c r="AX31" s="902">
        <v>0</v>
      </c>
      <c r="AY31" s="54"/>
      <c r="AZ31" s="56"/>
      <c r="BA31" s="56"/>
      <c r="BB31" s="56"/>
      <c r="BC31" s="56"/>
      <c r="BD31" s="56"/>
      <c r="BE31" s="902">
        <v>0</v>
      </c>
      <c r="BF31" s="902">
        <v>0</v>
      </c>
      <c r="BG31" s="1360"/>
      <c r="BH31" s="1504"/>
      <c r="BI31" s="56"/>
      <c r="BJ31" s="56"/>
      <c r="BK31" s="56"/>
      <c r="BL31" s="56"/>
      <c r="BM31" s="903">
        <f>BN31*1.88</f>
        <v>2085893.1782400005</v>
      </c>
      <c r="BN31" s="902">
        <f>BN28*34%</f>
        <v>1109517.6480000003</v>
      </c>
      <c r="BO31" s="54"/>
      <c r="BP31" s="1504"/>
      <c r="BQ31" s="56"/>
      <c r="BR31" s="56"/>
      <c r="BS31" s="56"/>
      <c r="BT31" s="56"/>
      <c r="BU31" s="903">
        <f>BV31*1.88</f>
        <v>986096.74836000043</v>
      </c>
      <c r="BV31" s="902">
        <f>BV28*34%</f>
        <v>524519.54700000025</v>
      </c>
      <c r="BW31" s="54"/>
      <c r="BX31" s="1504"/>
      <c r="BY31" s="56"/>
      <c r="BZ31" s="56"/>
      <c r="CA31" s="56"/>
      <c r="CB31" s="56"/>
      <c r="CC31" s="903">
        <f>CD31*1.88</f>
        <v>1163144.6335199999</v>
      </c>
      <c r="CD31" s="902">
        <f>CD28*34%</f>
        <v>618693.95400000003</v>
      </c>
      <c r="CE31" s="54"/>
      <c r="CF31" s="1504"/>
      <c r="CG31" s="56"/>
      <c r="CH31" s="56"/>
      <c r="CI31" s="56"/>
      <c r="CJ31" s="56"/>
      <c r="CK31" s="903">
        <v>0</v>
      </c>
      <c r="CL31" s="902">
        <v>0</v>
      </c>
      <c r="CM31" s="54"/>
      <c r="CN31" s="1504"/>
      <c r="CO31" s="56"/>
      <c r="CP31" s="56"/>
      <c r="CQ31" s="56"/>
      <c r="CR31" s="56"/>
      <c r="CS31" s="903">
        <f>CT31*1.88</f>
        <v>1404475.2646800003</v>
      </c>
      <c r="CT31" s="902">
        <f>CT28*34%</f>
        <v>747061.31100000022</v>
      </c>
      <c r="CU31" s="54"/>
      <c r="CV31" s="49"/>
      <c r="CW31" s="184"/>
      <c r="CX31" s="50"/>
      <c r="CY31" s="184"/>
      <c r="CZ31" s="50"/>
      <c r="DA31" s="903">
        <f>DB31*1.88</f>
        <v>3642820.6791200009</v>
      </c>
      <c r="DB31" s="902">
        <f>DB28*34%</f>
        <v>1937670.5740000007</v>
      </c>
      <c r="DC31" s="54"/>
      <c r="DD31" s="49"/>
      <c r="DE31" s="184"/>
      <c r="DF31" s="50"/>
      <c r="DG31" s="184"/>
      <c r="DH31" s="50"/>
      <c r="DI31" s="902">
        <v>0</v>
      </c>
      <c r="DJ31" s="902">
        <v>0</v>
      </c>
      <c r="DK31" s="54"/>
      <c r="DL31" s="49"/>
      <c r="DM31" s="184"/>
      <c r="DN31" s="50"/>
      <c r="DO31" s="184"/>
      <c r="DP31" s="50"/>
      <c r="DQ31" s="902">
        <v>0</v>
      </c>
      <c r="DR31" s="902">
        <v>0</v>
      </c>
      <c r="DS31" s="54"/>
    </row>
    <row r="32" spans="1:123" ht="15.05" x14ac:dyDescent="0.35">
      <c r="A32" s="6483"/>
      <c r="B32" s="6484" t="s">
        <v>37</v>
      </c>
      <c r="C32" s="6485"/>
      <c r="D32" s="6486"/>
      <c r="E32" s="6487"/>
      <c r="F32" s="6486"/>
      <c r="G32" s="6487"/>
      <c r="H32" s="6488">
        <f>H30-H31</f>
        <v>-9442713.5999999996</v>
      </c>
      <c r="I32" s="6488">
        <f>I30-I31</f>
        <v>-5022720</v>
      </c>
      <c r="J32" s="6489">
        <v>0</v>
      </c>
      <c r="K32" s="6485"/>
      <c r="L32" s="6486"/>
      <c r="M32" s="6487"/>
      <c r="N32" s="6486"/>
      <c r="O32" s="6487"/>
      <c r="P32" s="6488">
        <f>P30-P31</f>
        <v>-9442713.5999999996</v>
      </c>
      <c r="Q32" s="6488">
        <f>Q30-Q31</f>
        <v>-5273856</v>
      </c>
      <c r="R32" s="6489">
        <v>0</v>
      </c>
      <c r="S32" s="472"/>
      <c r="T32" s="6233"/>
      <c r="U32" s="6234"/>
      <c r="V32" s="6232"/>
      <c r="W32" s="6234"/>
      <c r="X32" s="6232"/>
      <c r="Y32" s="6221">
        <f>Y30-Y31</f>
        <v>-5813885.3599999994</v>
      </c>
      <c r="Z32" s="6221">
        <f>Z30-Z31</f>
        <v>-3074879.2</v>
      </c>
      <c r="AA32" s="6235">
        <f>Z32/V9</f>
        <v>-5.740540524394242</v>
      </c>
      <c r="AB32" s="6232"/>
      <c r="AC32" s="6234"/>
      <c r="AD32" s="6232"/>
      <c r="AE32" s="6234"/>
      <c r="AF32" s="6232"/>
      <c r="AG32" s="6221">
        <f>AG30-AG31</f>
        <v>-861307.6399999999</v>
      </c>
      <c r="AH32" s="6221">
        <f>AH30-AH31</f>
        <v>-393939.79999999981</v>
      </c>
      <c r="AI32" s="6225">
        <f>AH32/AD9</f>
        <v>-0.20176037734341554</v>
      </c>
      <c r="AJ32" s="6233"/>
      <c r="AK32" s="6234"/>
      <c r="AL32" s="6232"/>
      <c r="AM32" s="6234"/>
      <c r="AN32" s="6232"/>
      <c r="AO32" s="6221">
        <f>AO30-AO31</f>
        <v>42711.960000000196</v>
      </c>
      <c r="AP32" s="6221">
        <f>AP30-AP31</f>
        <v>118738.60000000009</v>
      </c>
      <c r="AQ32" s="6225">
        <f>AP32/AL9</f>
        <v>4.0662210779167582E-2</v>
      </c>
      <c r="AR32" s="6233"/>
      <c r="AS32" s="6234"/>
      <c r="AT32" s="6232"/>
      <c r="AU32" s="6234"/>
      <c r="AV32" s="6232"/>
      <c r="AW32" s="6221">
        <f>AW30-AW31</f>
        <v>777458.08000000031</v>
      </c>
      <c r="AX32" s="6221">
        <f>AX30-AX31</f>
        <v>402128</v>
      </c>
      <c r="AY32" s="6223">
        <f>AX32/AT9</f>
        <v>0.12729549618678246</v>
      </c>
      <c r="AZ32" s="6490"/>
      <c r="BA32" s="6490"/>
      <c r="BB32" s="6490"/>
      <c r="BC32" s="6490"/>
      <c r="BD32" s="6490"/>
      <c r="BE32" s="6221">
        <f>BE30-BE31</f>
        <v>-546127.19999999949</v>
      </c>
      <c r="BF32" s="6221">
        <f>BF30-BF31</f>
        <v>-199871.39999999991</v>
      </c>
      <c r="BG32" s="6225">
        <f>BF32/BB9</f>
        <v>-7.2523104943938724E-2</v>
      </c>
      <c r="BH32" s="6491"/>
      <c r="BI32" s="6490"/>
      <c r="BJ32" s="6490"/>
      <c r="BK32" s="6490"/>
      <c r="BL32" s="6490"/>
      <c r="BM32" s="6221">
        <f>BM30-BM31</f>
        <v>3542521.9545600004</v>
      </c>
      <c r="BN32" s="6221">
        <f>BN30-BN31</f>
        <v>2103274.1120000007</v>
      </c>
      <c r="BO32" s="6223">
        <f>BN32/BJ9</f>
        <v>0.31586501253263516</v>
      </c>
      <c r="BP32" s="6491"/>
      <c r="BQ32" s="6490"/>
      <c r="BR32" s="6490"/>
      <c r="BS32" s="6490"/>
      <c r="BT32" s="6490"/>
      <c r="BU32" s="6221">
        <f>BU30-BU31</f>
        <v>1474777.1900399993</v>
      </c>
      <c r="BV32" s="6221">
        <f>BV30-BV31</f>
        <v>959487.18300000043</v>
      </c>
      <c r="BW32" s="6223">
        <f>BV32/BR9</f>
        <v>0.18010822574734325</v>
      </c>
      <c r="BX32" s="6491"/>
      <c r="BY32" s="6490"/>
      <c r="BZ32" s="6490"/>
      <c r="CA32" s="6490"/>
      <c r="CB32" s="6490"/>
      <c r="CC32" s="6221">
        <f>CC30-CC31</f>
        <v>1799919.7976800005</v>
      </c>
      <c r="CD32" s="6221">
        <f>CD30-CD31</f>
        <v>1141931.8859999999</v>
      </c>
      <c r="CE32" s="6223">
        <f>CD32/BZ9</f>
        <v>0.20349536358856074</v>
      </c>
      <c r="CF32" s="6491"/>
      <c r="CG32" s="6490"/>
      <c r="CH32" s="6490"/>
      <c r="CI32" s="6490"/>
      <c r="CJ32" s="6490"/>
      <c r="CK32" s="6221">
        <f>CK30-CK31</f>
        <v>-453188.64879999933</v>
      </c>
      <c r="CL32" s="6221">
        <f>CL30-CL31</f>
        <v>-123522.35999999964</v>
      </c>
      <c r="CM32" s="6223">
        <f>CL32/CH9</f>
        <v>-3.4536178437128723E-2</v>
      </c>
      <c r="CN32" s="6491"/>
      <c r="CO32" s="6490"/>
      <c r="CP32" s="6490"/>
      <c r="CQ32" s="6490"/>
      <c r="CR32" s="6490"/>
      <c r="CS32" s="6221">
        <f>CS30-CS31</f>
        <v>2245761.4433199996</v>
      </c>
      <c r="CT32" s="6221">
        <f>CT30-CT31</f>
        <v>1391342.9390000002</v>
      </c>
      <c r="CU32" s="6223">
        <f>CT32/CP9</f>
        <v>0.22969183176719285</v>
      </c>
      <c r="CV32" s="6233"/>
      <c r="CW32" s="6234"/>
      <c r="CX32" s="6232"/>
      <c r="CY32" s="6234"/>
      <c r="CZ32" s="6232"/>
      <c r="DA32" s="6221">
        <f>DA30-DA31</f>
        <v>4371530.7224800009</v>
      </c>
      <c r="DB32" s="6221">
        <f>DB30-DB31</f>
        <v>3478166.8460000008</v>
      </c>
      <c r="DC32" s="6223">
        <f>DB32/CX9</f>
        <v>9.0213255006980991E-2</v>
      </c>
      <c r="DD32" s="4323"/>
      <c r="DE32" s="4324"/>
      <c r="DF32" s="4325"/>
      <c r="DG32" s="4324"/>
      <c r="DH32" s="4325"/>
      <c r="DI32" s="4326">
        <f>DI30-DI31</f>
        <v>-6632481.0399999991</v>
      </c>
      <c r="DJ32" s="4326">
        <f>DJ30-DJ31</f>
        <v>-3350080.3999999994</v>
      </c>
      <c r="DK32" s="4327">
        <f>DJ32/DF9</f>
        <v>-0.61943573310659938</v>
      </c>
      <c r="DL32" s="4323"/>
      <c r="DM32" s="4324"/>
      <c r="DN32" s="4325"/>
      <c r="DO32" s="4324"/>
      <c r="DP32" s="4325"/>
      <c r="DQ32" s="4326">
        <f>DQ30-DQ31</f>
        <v>6018597.4400000013</v>
      </c>
      <c r="DR32" s="4326">
        <f>DR30-DR31</f>
        <v>3499543.8000000007</v>
      </c>
      <c r="DS32" s="4327">
        <f>DR32/DN9</f>
        <v>0.2783212793109916</v>
      </c>
    </row>
    <row r="34" spans="10:105" x14ac:dyDescent="0.3">
      <c r="J34" s="168"/>
      <c r="R34" s="168"/>
      <c r="S34" s="168"/>
      <c r="U34" s="168" t="s">
        <v>1007</v>
      </c>
      <c r="V34" s="168" t="s">
        <v>1008</v>
      </c>
      <c r="BE34" s="1648"/>
    </row>
    <row r="35" spans="10:105" x14ac:dyDescent="0.3">
      <c r="J35" s="168"/>
      <c r="R35" s="168"/>
      <c r="S35" s="168"/>
      <c r="DA35" s="1648"/>
    </row>
    <row r="36" spans="10:105" x14ac:dyDescent="0.3">
      <c r="J36" s="168"/>
      <c r="R36" s="168"/>
      <c r="S36" s="168"/>
      <c r="DA36" s="4098"/>
    </row>
  </sheetData>
  <mergeCells count="62">
    <mergeCell ref="CV2:DC2"/>
    <mergeCell ref="CW3:CX3"/>
    <mergeCell ref="CY3:CZ3"/>
    <mergeCell ref="DA3:DB3"/>
    <mergeCell ref="BS3:BT3"/>
    <mergeCell ref="BU3:BV3"/>
    <mergeCell ref="CK3:CL3"/>
    <mergeCell ref="BY3:BZ3"/>
    <mergeCell ref="CA3:CB3"/>
    <mergeCell ref="CC3:CD3"/>
    <mergeCell ref="CG3:CH3"/>
    <mergeCell ref="CI3:CJ3"/>
    <mergeCell ref="CF2:CM2"/>
    <mergeCell ref="BX2:CE2"/>
    <mergeCell ref="BP2:BW2"/>
    <mergeCell ref="BQ3:BR3"/>
    <mergeCell ref="D3:E3"/>
    <mergeCell ref="F3:G3"/>
    <mergeCell ref="H3:I3"/>
    <mergeCell ref="L3:M3"/>
    <mergeCell ref="N3:O3"/>
    <mergeCell ref="P3:Q3"/>
    <mergeCell ref="BE3:BF3"/>
    <mergeCell ref="AJ2:AQ2"/>
    <mergeCell ref="AR2:AY2"/>
    <mergeCell ref="AZ2:BG2"/>
    <mergeCell ref="Y3:Z3"/>
    <mergeCell ref="BM3:BN3"/>
    <mergeCell ref="AK3:AL3"/>
    <mergeCell ref="AM3:AN3"/>
    <mergeCell ref="AO3:AP3"/>
    <mergeCell ref="AS3:AT3"/>
    <mergeCell ref="BI3:BJ3"/>
    <mergeCell ref="BK3:BL3"/>
    <mergeCell ref="AU3:AV3"/>
    <mergeCell ref="AW3:AX3"/>
    <mergeCell ref="BA3:BB3"/>
    <mergeCell ref="BC3:BD3"/>
    <mergeCell ref="A2:A4"/>
    <mergeCell ref="CN2:CU2"/>
    <mergeCell ref="CO3:CP3"/>
    <mergeCell ref="CQ3:CR3"/>
    <mergeCell ref="CS3:CT3"/>
    <mergeCell ref="AB2:AI2"/>
    <mergeCell ref="AC3:AD3"/>
    <mergeCell ref="AE3:AF3"/>
    <mergeCell ref="AG3:AH3"/>
    <mergeCell ref="T2:AA2"/>
    <mergeCell ref="U3:V3"/>
    <mergeCell ref="W3:X3"/>
    <mergeCell ref="B2:B4"/>
    <mergeCell ref="C2:J2"/>
    <mergeCell ref="K2:R2"/>
    <mergeCell ref="BH2:BO2"/>
    <mergeCell ref="DL2:DS2"/>
    <mergeCell ref="DM3:DN3"/>
    <mergeCell ref="DO3:DP3"/>
    <mergeCell ref="DQ3:DR3"/>
    <mergeCell ref="DD2:DK2"/>
    <mergeCell ref="DE3:DF3"/>
    <mergeCell ref="DG3:DH3"/>
    <mergeCell ref="DI3:DJ3"/>
  </mergeCells>
  <pageMargins left="0.7" right="0.7" top="0.75" bottom="0.75" header="0.3" footer="0.3"/>
  <pageSetup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C54"/>
  <sheetViews>
    <sheetView zoomScaleNormal="100" workbookViewId="0">
      <pane xSplit="2" ySplit="4" topLeftCell="GY5" activePane="bottomRight" state="frozen"/>
      <selection pane="topRight" activeCell="C1" sqref="C1"/>
      <selection pane="bottomLeft" activeCell="A5" sqref="A5"/>
      <selection pane="bottomRight" activeCell="HH24" sqref="HH24"/>
    </sheetView>
  </sheetViews>
  <sheetFormatPr defaultColWidth="5.3984375" defaultRowHeight="14" x14ac:dyDescent="0.3"/>
  <cols>
    <col min="1" max="1" width="3.796875" style="1" customWidth="1"/>
    <col min="2" max="2" width="14.5" style="1" customWidth="1"/>
    <col min="3" max="3" width="3" style="1" hidden="1" customWidth="1"/>
    <col min="4" max="4" width="7.8984375" style="172" hidden="1" customWidth="1"/>
    <col min="5" max="5" width="10.296875" style="1" hidden="1" customWidth="1"/>
    <col min="6" max="6" width="7.8984375" style="172" hidden="1" customWidth="1"/>
    <col min="7" max="7" width="9" style="1" hidden="1" customWidth="1"/>
    <col min="8" max="8" width="6.796875" style="1" hidden="1" customWidth="1"/>
    <col min="9" max="9" width="10.296875" style="1" hidden="1" customWidth="1"/>
    <col min="10" max="10" width="4.59765625" style="1" hidden="1" customWidth="1"/>
    <col min="11" max="11" width="3" style="1" hidden="1" customWidth="1"/>
    <col min="12" max="12" width="7.8984375" style="1" hidden="1" customWidth="1"/>
    <col min="13" max="13" width="10.59765625" style="1" hidden="1" customWidth="1"/>
    <col min="14" max="14" width="7.8984375" style="1" hidden="1" customWidth="1"/>
    <col min="15" max="15" width="10.59765625" style="1" hidden="1" customWidth="1"/>
    <col min="16" max="16" width="6.796875" style="1" hidden="1" customWidth="1"/>
    <col min="17" max="17" width="9" style="1" hidden="1" customWidth="1"/>
    <col min="18" max="18" width="4.59765625" style="1" hidden="1" customWidth="1"/>
    <col min="19" max="19" width="3" style="1" hidden="1" customWidth="1"/>
    <col min="20" max="20" width="7.8984375" style="1" hidden="1" customWidth="1"/>
    <col min="21" max="21" width="10.59765625" style="1" hidden="1" customWidth="1"/>
    <col min="22" max="22" width="7.8984375" style="1" hidden="1" customWidth="1"/>
    <col min="23" max="23" width="9" style="1" hidden="1" customWidth="1"/>
    <col min="24" max="24" width="6.796875" style="1" hidden="1" customWidth="1"/>
    <col min="25" max="25" width="9" style="1" hidden="1" customWidth="1"/>
    <col min="26" max="26" width="4.59765625" style="1" hidden="1" customWidth="1"/>
    <col min="27" max="27" width="3" style="1" hidden="1" customWidth="1"/>
    <col min="28" max="28" width="7.8984375" style="1" hidden="1" customWidth="1"/>
    <col min="29" max="29" width="10.59765625" style="1" hidden="1" customWidth="1"/>
    <col min="30" max="30" width="7.8984375" style="1" hidden="1" customWidth="1"/>
    <col min="31" max="31" width="10.59765625" style="1" hidden="1" customWidth="1"/>
    <col min="32" max="32" width="6.796875" style="1" hidden="1" customWidth="1"/>
    <col min="33" max="33" width="9" style="1" hidden="1" customWidth="1"/>
    <col min="34" max="34" width="4.59765625" style="1" hidden="1" customWidth="1"/>
    <col min="35" max="35" width="3" style="1" hidden="1" customWidth="1"/>
    <col min="36" max="36" width="7.8984375" style="1" hidden="1" customWidth="1"/>
    <col min="37" max="37" width="10.59765625" style="1" hidden="1" customWidth="1"/>
    <col min="38" max="38" width="7.8984375" style="1" hidden="1" customWidth="1"/>
    <col min="39" max="39" width="10.59765625" style="1" hidden="1" customWidth="1"/>
    <col min="40" max="40" width="6.796875" style="1" hidden="1" customWidth="1"/>
    <col min="41" max="41" width="9" style="1" hidden="1" customWidth="1"/>
    <col min="42" max="42" width="4.59765625" style="1" hidden="1" customWidth="1"/>
    <col min="43" max="43" width="3" style="1" hidden="1" customWidth="1"/>
    <col min="44" max="44" width="7.8984375" style="1" hidden="1" customWidth="1"/>
    <col min="45" max="45" width="10.59765625" style="1" hidden="1" customWidth="1"/>
    <col min="46" max="46" width="12" style="1" hidden="1" customWidth="1"/>
    <col min="47" max="47" width="10.59765625" style="1" hidden="1" customWidth="1"/>
    <col min="48" max="48" width="6.796875" style="1" hidden="1" customWidth="1"/>
    <col min="49" max="49" width="9" style="1" hidden="1" customWidth="1"/>
    <col min="50" max="50" width="4.59765625" style="1" hidden="1" customWidth="1"/>
    <col min="51" max="51" width="3" style="1" hidden="1" customWidth="1"/>
    <col min="52" max="52" width="9" style="1" hidden="1" customWidth="1"/>
    <col min="53" max="53" width="10.59765625" style="1" hidden="1" customWidth="1"/>
    <col min="54" max="54" width="7.8984375" style="1" hidden="1" customWidth="1"/>
    <col min="55" max="55" width="10.59765625" style="1" hidden="1" customWidth="1"/>
    <col min="56" max="56" width="8" style="1" hidden="1" customWidth="1"/>
    <col min="57" max="57" width="10.59765625" style="1" hidden="1" customWidth="1"/>
    <col min="58" max="58" width="4.59765625" style="3" hidden="1" customWidth="1"/>
    <col min="59" max="59" width="3" style="1" hidden="1" customWidth="1"/>
    <col min="60" max="60" width="7.8984375" style="1" hidden="1" customWidth="1"/>
    <col min="61" max="61" width="10.59765625" style="1" hidden="1" customWidth="1"/>
    <col min="62" max="62" width="7.8984375" style="1" hidden="1" customWidth="1"/>
    <col min="63" max="63" width="10.59765625" style="1" hidden="1" customWidth="1"/>
    <col min="64" max="64" width="7.8984375" style="1" hidden="1" customWidth="1"/>
    <col min="65" max="65" width="10.59765625" style="1" hidden="1" customWidth="1"/>
    <col min="66" max="66" width="4.59765625" style="1" hidden="1" customWidth="1"/>
    <col min="67" max="67" width="3" style="1" hidden="1" customWidth="1"/>
    <col min="68" max="68" width="7.8984375" style="1" hidden="1" customWidth="1"/>
    <col min="69" max="69" width="10.59765625" style="1" hidden="1" customWidth="1"/>
    <col min="70" max="70" width="7.8984375" style="1" hidden="1" customWidth="1"/>
    <col min="71" max="71" width="10.59765625" style="1" hidden="1" customWidth="1"/>
    <col min="72" max="72" width="7.8984375" style="1" hidden="1" customWidth="1"/>
    <col min="73" max="73" width="10.59765625" style="1" hidden="1" customWidth="1"/>
    <col min="74" max="74" width="4.59765625" style="1" hidden="1" customWidth="1"/>
    <col min="75" max="75" width="3.3984375" style="1" hidden="1" customWidth="1"/>
    <col min="76" max="76" width="3" style="1" hidden="1" customWidth="1"/>
    <col min="77" max="77" width="7.8984375" style="1" hidden="1" customWidth="1"/>
    <col min="78" max="78" width="10.59765625" style="1" hidden="1" customWidth="1"/>
    <col min="79" max="79" width="7.8984375" style="1" hidden="1" customWidth="1"/>
    <col min="80" max="80" width="10.59765625" style="1" hidden="1" customWidth="1"/>
    <col min="81" max="81" width="7.59765625" style="1" hidden="1" customWidth="1"/>
    <col min="82" max="82" width="9" style="1" hidden="1" customWidth="1"/>
    <col min="83" max="83" width="4.59765625" style="1" hidden="1" customWidth="1"/>
    <col min="84" max="84" width="3" style="1" hidden="1" customWidth="1"/>
    <col min="85" max="85" width="7.8984375" style="1" hidden="1" customWidth="1"/>
    <col min="86" max="86" width="10.59765625" style="1" hidden="1" customWidth="1"/>
    <col min="87" max="87" width="7.8984375" style="1" hidden="1" customWidth="1"/>
    <col min="88" max="88" width="10.59765625" style="1" hidden="1" customWidth="1"/>
    <col min="89" max="89" width="6.796875" style="1" hidden="1" customWidth="1"/>
    <col min="90" max="90" width="9" style="1" hidden="1" customWidth="1"/>
    <col min="91" max="91" width="4.59765625" style="1" hidden="1" customWidth="1"/>
    <col min="92" max="92" width="3" style="1" hidden="1" customWidth="1"/>
    <col min="93" max="93" width="7.8984375" style="1" hidden="1" customWidth="1"/>
    <col min="94" max="94" width="10.59765625" style="1" hidden="1" customWidth="1"/>
    <col min="95" max="95" width="7.8984375" style="1" hidden="1" customWidth="1"/>
    <col min="96" max="96" width="10.59765625" style="1" hidden="1" customWidth="1"/>
    <col min="97" max="97" width="6.796875" style="1" hidden="1" customWidth="1"/>
    <col min="98" max="98" width="9" style="1" hidden="1" customWidth="1"/>
    <col min="99" max="99" width="4.59765625" style="1" hidden="1" customWidth="1"/>
    <col min="100" max="100" width="4.69921875" style="1" hidden="1" customWidth="1"/>
    <col min="101" max="101" width="17.296875" style="1" hidden="1" customWidth="1"/>
    <col min="102" max="106" width="4.69921875" style="1" hidden="1" customWidth="1"/>
    <col min="107" max="107" width="7.8984375" style="1" hidden="1" customWidth="1"/>
    <col min="108" max="108" width="3" style="1" hidden="1" customWidth="1"/>
    <col min="109" max="109" width="6.8984375" style="1" hidden="1" customWidth="1"/>
    <col min="110" max="110" width="8.8984375" style="1" hidden="1" customWidth="1"/>
    <col min="111" max="111" width="6.69921875" style="1" hidden="1" customWidth="1"/>
    <col min="112" max="112" width="12.09765625" style="1" hidden="1" customWidth="1"/>
    <col min="113" max="113" width="5.3984375" style="1" hidden="1" customWidth="1"/>
    <col min="114" max="114" width="10.5" style="1" hidden="1" customWidth="1"/>
    <col min="115" max="115" width="4.796875" style="1" hidden="1" customWidth="1"/>
    <col min="116" max="116" width="4.8984375" style="1" hidden="1" customWidth="1"/>
    <col min="117" max="117" width="8" style="1" hidden="1" customWidth="1"/>
    <col min="118" max="118" width="9.09765625" style="1" hidden="1" customWidth="1"/>
    <col min="119" max="119" width="8" style="1" hidden="1" customWidth="1"/>
    <col min="120" max="120" width="9.09765625" style="1" hidden="1" customWidth="1"/>
    <col min="121" max="121" width="6.8984375" style="1" hidden="1" customWidth="1"/>
    <col min="122" max="122" width="9.09765625" style="1" hidden="1" customWidth="1"/>
    <col min="123" max="123" width="4.59765625" style="1" hidden="1" customWidth="1"/>
    <col min="124" max="124" width="3" style="1" hidden="1" customWidth="1"/>
    <col min="125" max="125" width="7.8984375" style="1" hidden="1" customWidth="1"/>
    <col min="126" max="126" width="10.59765625" style="1" hidden="1" customWidth="1"/>
    <col min="127" max="127" width="7.8984375" style="1" hidden="1" customWidth="1"/>
    <col min="128" max="128" width="10.59765625" style="1" hidden="1" customWidth="1"/>
    <col min="129" max="129" width="6.796875" style="1" hidden="1" customWidth="1"/>
    <col min="130" max="130" width="9.296875" style="1" hidden="1" customWidth="1"/>
    <col min="131" max="131" width="4.59765625" style="1" hidden="1" customWidth="1"/>
    <col min="132" max="132" width="4.69921875" style="1" hidden="1" customWidth="1"/>
    <col min="133" max="133" width="7.8984375" style="1" hidden="1" customWidth="1"/>
    <col min="134" max="134" width="10.59765625" style="1" hidden="1" customWidth="1"/>
    <col min="135" max="135" width="7.8984375" style="1" hidden="1" customWidth="1"/>
    <col min="136" max="136" width="9" style="1" hidden="1" customWidth="1"/>
    <col min="137" max="137" width="6.796875" style="1" hidden="1" customWidth="1"/>
    <col min="138" max="138" width="9" style="1" hidden="1" customWidth="1"/>
    <col min="139" max="139" width="4.59765625" style="1" hidden="1" customWidth="1"/>
    <col min="140" max="140" width="4.69921875" style="1" customWidth="1"/>
    <col min="141" max="141" width="8" style="1" bestFit="1" customWidth="1"/>
    <col min="142" max="142" width="10.59765625" style="1" customWidth="1"/>
    <col min="143" max="143" width="8" style="1" bestFit="1" customWidth="1"/>
    <col min="144" max="144" width="10.59765625" style="1" customWidth="1"/>
    <col min="145" max="145" width="6.796875" style="1" customWidth="1"/>
    <col min="146" max="146" width="9" style="1" customWidth="1"/>
    <col min="147" max="147" width="4.8984375" style="1" customWidth="1"/>
    <col min="148" max="148" width="3" style="1" hidden="1" customWidth="1"/>
    <col min="149" max="149" width="9" style="1" hidden="1" customWidth="1"/>
    <col min="150" max="150" width="10.59765625" style="1" hidden="1" customWidth="1"/>
    <col min="151" max="151" width="9" style="1" hidden="1" customWidth="1"/>
    <col min="152" max="152" width="10.59765625" style="1" hidden="1" customWidth="1"/>
    <col min="153" max="153" width="7.8984375" style="1" hidden="1" customWidth="1"/>
    <col min="154" max="154" width="10.59765625" style="1" hidden="1" customWidth="1"/>
    <col min="155" max="155" width="0.19921875" style="1" customWidth="1"/>
    <col min="156" max="156" width="1.19921875" style="1" customWidth="1"/>
    <col min="157" max="157" width="3" style="2" customWidth="1"/>
    <col min="158" max="158" width="7.8984375" style="1" customWidth="1"/>
    <col min="159" max="159" width="10.59765625" style="1" customWidth="1"/>
    <col min="160" max="160" width="7.8984375" style="1" customWidth="1"/>
    <col min="161" max="161" width="10.59765625" style="1" customWidth="1"/>
    <col min="162" max="162" width="6.796875" style="1" customWidth="1"/>
    <col min="163" max="163" width="9" style="1" customWidth="1"/>
    <col min="164" max="164" width="4.59765625" style="1" customWidth="1"/>
    <col min="165" max="165" width="4.69921875" style="1" customWidth="1"/>
    <col min="166" max="166" width="7.8984375" style="1" customWidth="1"/>
    <col min="167" max="167" width="10.59765625" style="1" customWidth="1"/>
    <col min="168" max="168" width="7.8984375" style="1" customWidth="1"/>
    <col min="169" max="169" width="10.59765625" style="1" customWidth="1"/>
    <col min="170" max="170" width="7.8984375" style="1" customWidth="1"/>
    <col min="171" max="171" width="9.09765625" style="1" customWidth="1"/>
    <col min="172" max="172" width="4.59765625" style="1" customWidth="1"/>
    <col min="173" max="173" width="4.69921875" style="1" customWidth="1"/>
    <col min="174" max="174" width="8" style="1" customWidth="1"/>
    <col min="175" max="175" width="10.59765625" style="1" customWidth="1"/>
    <col min="176" max="176" width="7.8984375" style="1" customWidth="1"/>
    <col min="177" max="177" width="10.59765625" style="1" customWidth="1"/>
    <col min="178" max="178" width="6.796875" style="1" customWidth="1"/>
    <col min="179" max="179" width="9" style="1" customWidth="1"/>
    <col min="180" max="180" width="4.796875" style="1" customWidth="1"/>
    <col min="181" max="181" width="4.8984375" style="1" customWidth="1"/>
    <col min="182" max="182" width="8" style="1" customWidth="1"/>
    <col min="183" max="183" width="10.796875" style="1" customWidth="1"/>
    <col min="184" max="184" width="8" style="1" customWidth="1"/>
    <col min="185" max="185" width="10.796875" style="1" customWidth="1"/>
    <col min="186" max="186" width="6.8984375" style="1" customWidth="1"/>
    <col min="187" max="187" width="9.09765625" style="1" customWidth="1"/>
    <col min="188" max="188" width="4.796875" style="1" customWidth="1"/>
    <col min="189" max="189" width="3.09765625" style="1" bestFit="1" customWidth="1"/>
    <col min="190" max="190" width="8" style="1" bestFit="1" customWidth="1"/>
    <col min="191" max="191" width="10.796875" style="1" bestFit="1" customWidth="1"/>
    <col min="192" max="192" width="8" style="1" bestFit="1" customWidth="1"/>
    <col min="193" max="193" width="10.796875" style="1" bestFit="1" customWidth="1"/>
    <col min="194" max="194" width="6.8984375" style="1" bestFit="1" customWidth="1"/>
    <col min="195" max="195" width="9.09765625" style="1" bestFit="1" customWidth="1"/>
    <col min="196" max="196" width="4.796875" style="1" bestFit="1" customWidth="1"/>
    <col min="197" max="197" width="4.8984375" style="1" bestFit="1" customWidth="1"/>
    <col min="198" max="198" width="8" style="1" bestFit="1" customWidth="1"/>
    <col min="199" max="199" width="10.796875" style="1" bestFit="1" customWidth="1"/>
    <col min="200" max="200" width="8" style="1" bestFit="1" customWidth="1"/>
    <col min="201" max="201" width="9.09765625" style="1" bestFit="1" customWidth="1"/>
    <col min="202" max="202" width="6.8984375" style="1" bestFit="1" customWidth="1"/>
    <col min="203" max="203" width="9.09765625" style="1" bestFit="1" customWidth="1"/>
    <col min="204" max="204" width="4.796875" style="1" bestFit="1" customWidth="1"/>
    <col min="205" max="205" width="4.8984375" style="1" bestFit="1" customWidth="1"/>
    <col min="206" max="206" width="7.796875" style="1" bestFit="1" customWidth="1"/>
    <col min="207" max="207" width="9.09765625" style="1" bestFit="1" customWidth="1"/>
    <col min="208" max="208" width="6.69921875" style="1" bestFit="1" customWidth="1"/>
    <col min="209" max="209" width="9.09765625" style="1" bestFit="1" customWidth="1"/>
    <col min="210" max="210" width="6.8984375" style="1" bestFit="1" customWidth="1"/>
    <col min="211" max="211" width="8" style="1" bestFit="1" customWidth="1"/>
    <col min="212" max="212" width="4.796875" style="1" bestFit="1" customWidth="1"/>
    <col min="213" max="213" width="3.09765625" style="1" bestFit="1" customWidth="1"/>
    <col min="214" max="214" width="8" style="1" bestFit="1" customWidth="1"/>
    <col min="215" max="215" width="9.09765625" style="1" bestFit="1" customWidth="1"/>
    <col min="216" max="216" width="6.8984375" style="1" bestFit="1" customWidth="1"/>
    <col min="217" max="217" width="9.09765625" style="1" bestFit="1" customWidth="1"/>
    <col min="218" max="218" width="6.8984375" style="1" bestFit="1" customWidth="1"/>
    <col min="219" max="219" width="8" style="1" bestFit="1" customWidth="1"/>
    <col min="220" max="220" width="4.796875" style="1" bestFit="1" customWidth="1"/>
    <col min="221" max="221" width="3.09765625" style="1" bestFit="1" customWidth="1"/>
    <col min="222" max="222" width="8" style="1" bestFit="1" customWidth="1"/>
    <col min="223" max="223" width="9.09765625" style="1" bestFit="1" customWidth="1"/>
    <col min="224" max="224" width="8" style="1" bestFit="1" customWidth="1"/>
    <col min="225" max="225" width="9.09765625" style="1" bestFit="1" customWidth="1"/>
    <col min="226" max="226" width="6.8984375" style="1" bestFit="1" customWidth="1"/>
    <col min="227" max="227" width="9.09765625" style="1" bestFit="1" customWidth="1"/>
    <col min="228" max="228" width="4.796875" style="1" customWidth="1"/>
    <col min="229" max="229" width="3.09765625" style="1" bestFit="1" customWidth="1"/>
    <col min="230" max="230" width="8" style="1" bestFit="1" customWidth="1"/>
    <col min="231" max="231" width="10.796875" style="1" bestFit="1" customWidth="1"/>
    <col min="232" max="232" width="8" style="1" bestFit="1" customWidth="1"/>
    <col min="233" max="233" width="10.796875" style="1" bestFit="1" customWidth="1"/>
    <col min="234" max="234" width="6.8984375" style="1" bestFit="1" customWidth="1"/>
    <col min="235" max="235" width="9.09765625" style="1" bestFit="1" customWidth="1"/>
    <col min="236" max="236" width="4.796875" style="1" customWidth="1"/>
    <col min="237" max="244" width="4.796875" style="1" hidden="1" customWidth="1"/>
    <col min="245" max="251" width="4.8984375" style="1" hidden="1" customWidth="1"/>
    <col min="252" max="252" width="8.09765625" style="1" hidden="1" customWidth="1"/>
    <col min="253" max="253" width="3.09765625" style="1" bestFit="1" customWidth="1"/>
    <col min="254" max="254" width="9.09765625" style="1" bestFit="1" customWidth="1"/>
    <col min="255" max="255" width="11.796875" style="1" bestFit="1" customWidth="1"/>
    <col min="256" max="256" width="9.09765625" style="1" bestFit="1" customWidth="1"/>
    <col min="257" max="257" width="10.796875" style="1" bestFit="1" customWidth="1"/>
    <col min="258" max="258" width="8" style="1" bestFit="1" customWidth="1"/>
    <col min="259" max="259" width="10.796875" style="1" bestFit="1" customWidth="1"/>
    <col min="260" max="260" width="4.796875" style="1" bestFit="1" customWidth="1"/>
    <col min="261" max="262" width="5.3984375" style="1"/>
    <col min="263" max="263" width="9.09765625" style="1" bestFit="1" customWidth="1"/>
    <col min="264" max="16384" width="5.3984375" style="1"/>
  </cols>
  <sheetData>
    <row r="2" spans="1:260" ht="20.95" customHeight="1" x14ac:dyDescent="0.3">
      <c r="A2" s="6842" t="s">
        <v>0</v>
      </c>
      <c r="B2" s="6844" t="s">
        <v>174</v>
      </c>
      <c r="C2" s="6847" t="s">
        <v>467</v>
      </c>
      <c r="D2" s="6848"/>
      <c r="E2" s="6848"/>
      <c r="F2" s="6848"/>
      <c r="G2" s="6848"/>
      <c r="H2" s="6848"/>
      <c r="I2" s="6848"/>
      <c r="J2" s="6849"/>
      <c r="K2" s="6847" t="s">
        <v>468</v>
      </c>
      <c r="L2" s="6848"/>
      <c r="M2" s="6848"/>
      <c r="N2" s="6848"/>
      <c r="O2" s="6848"/>
      <c r="P2" s="6848"/>
      <c r="Q2" s="6848"/>
      <c r="R2" s="6849"/>
      <c r="S2" s="6848" t="s">
        <v>469</v>
      </c>
      <c r="T2" s="6848"/>
      <c r="U2" s="6848"/>
      <c r="V2" s="6848"/>
      <c r="W2" s="6848"/>
      <c r="X2" s="6848"/>
      <c r="Y2" s="6848"/>
      <c r="Z2" s="6848"/>
      <c r="AA2" s="6847" t="s">
        <v>207</v>
      </c>
      <c r="AB2" s="6848"/>
      <c r="AC2" s="6848"/>
      <c r="AD2" s="6848"/>
      <c r="AE2" s="6848"/>
      <c r="AF2" s="6848"/>
      <c r="AG2" s="6848"/>
      <c r="AH2" s="6849"/>
      <c r="AI2" s="6847" t="s">
        <v>208</v>
      </c>
      <c r="AJ2" s="6848"/>
      <c r="AK2" s="6848"/>
      <c r="AL2" s="6848"/>
      <c r="AM2" s="6848"/>
      <c r="AN2" s="6848"/>
      <c r="AO2" s="6848"/>
      <c r="AP2" s="6849"/>
      <c r="AQ2" s="6848" t="s">
        <v>470</v>
      </c>
      <c r="AR2" s="6848"/>
      <c r="AS2" s="6848"/>
      <c r="AT2" s="6848"/>
      <c r="AU2" s="6848"/>
      <c r="AV2" s="6848"/>
      <c r="AW2" s="6848"/>
      <c r="AX2" s="6848"/>
      <c r="AY2" s="6856" t="s">
        <v>200</v>
      </c>
      <c r="AZ2" s="6857"/>
      <c r="BA2" s="6857"/>
      <c r="BB2" s="6857"/>
      <c r="BC2" s="6857"/>
      <c r="BD2" s="6857"/>
      <c r="BE2" s="6857"/>
      <c r="BF2" s="6858"/>
      <c r="BG2" s="6847" t="s">
        <v>209</v>
      </c>
      <c r="BH2" s="6848"/>
      <c r="BI2" s="6848"/>
      <c r="BJ2" s="6848"/>
      <c r="BK2" s="6848"/>
      <c r="BL2" s="6848"/>
      <c r="BM2" s="6848"/>
      <c r="BN2" s="6848"/>
      <c r="BO2" s="6847" t="s">
        <v>210</v>
      </c>
      <c r="BP2" s="6848"/>
      <c r="BQ2" s="6848"/>
      <c r="BR2" s="6848"/>
      <c r="BS2" s="6848"/>
      <c r="BT2" s="6848"/>
      <c r="BU2" s="6848"/>
      <c r="BV2" s="6849"/>
      <c r="BW2" s="4834"/>
      <c r="BX2" s="6847" t="s">
        <v>471</v>
      </c>
      <c r="BY2" s="6848"/>
      <c r="BZ2" s="6848"/>
      <c r="CA2" s="6848"/>
      <c r="CB2" s="6848"/>
      <c r="CC2" s="6848"/>
      <c r="CD2" s="6848"/>
      <c r="CE2" s="6849"/>
      <c r="CF2" s="6847" t="s">
        <v>472</v>
      </c>
      <c r="CG2" s="6848"/>
      <c r="CH2" s="6848"/>
      <c r="CI2" s="6848"/>
      <c r="CJ2" s="6848"/>
      <c r="CK2" s="6848"/>
      <c r="CL2" s="6848"/>
      <c r="CM2" s="6849"/>
      <c r="CN2" s="6848" t="s">
        <v>473</v>
      </c>
      <c r="CO2" s="6848"/>
      <c r="CP2" s="6848"/>
      <c r="CQ2" s="6848"/>
      <c r="CR2" s="6848"/>
      <c r="CS2" s="6848"/>
      <c r="CT2" s="6848"/>
      <c r="CU2" s="6848"/>
      <c r="CV2" s="6847" t="s">
        <v>625</v>
      </c>
      <c r="CW2" s="6848"/>
      <c r="CX2" s="6848"/>
      <c r="CY2" s="6848"/>
      <c r="CZ2" s="6848"/>
      <c r="DA2" s="6848"/>
      <c r="DB2" s="6848"/>
      <c r="DC2" s="6849"/>
      <c r="DD2" s="6847" t="s">
        <v>626</v>
      </c>
      <c r="DE2" s="6848"/>
      <c r="DF2" s="6848"/>
      <c r="DG2" s="6848"/>
      <c r="DH2" s="6848"/>
      <c r="DI2" s="6848"/>
      <c r="DJ2" s="6848"/>
      <c r="DK2" s="6849"/>
      <c r="DL2" s="6847" t="s">
        <v>627</v>
      </c>
      <c r="DM2" s="6848"/>
      <c r="DN2" s="6848"/>
      <c r="DO2" s="6848"/>
      <c r="DP2" s="6848"/>
      <c r="DQ2" s="6848"/>
      <c r="DR2" s="6848"/>
      <c r="DS2" s="6849"/>
      <c r="DT2" s="6847" t="s">
        <v>628</v>
      </c>
      <c r="DU2" s="6848"/>
      <c r="DV2" s="6848"/>
      <c r="DW2" s="6848"/>
      <c r="DX2" s="6848"/>
      <c r="DY2" s="6848"/>
      <c r="DZ2" s="6848"/>
      <c r="EA2" s="6849"/>
      <c r="EB2" s="6847" t="s">
        <v>532</v>
      </c>
      <c r="EC2" s="6848"/>
      <c r="ED2" s="6848"/>
      <c r="EE2" s="6848"/>
      <c r="EF2" s="6848"/>
      <c r="EG2" s="6848"/>
      <c r="EH2" s="6848"/>
      <c r="EI2" s="6849"/>
      <c r="EJ2" s="6848" t="s">
        <v>470</v>
      </c>
      <c r="EK2" s="6848"/>
      <c r="EL2" s="6848"/>
      <c r="EM2" s="6848"/>
      <c r="EN2" s="6848"/>
      <c r="EO2" s="6848"/>
      <c r="EP2" s="6848"/>
      <c r="EQ2" s="6848"/>
      <c r="ER2" s="6856" t="s">
        <v>453</v>
      </c>
      <c r="ES2" s="6857"/>
      <c r="ET2" s="6857"/>
      <c r="EU2" s="6857"/>
      <c r="EV2" s="6857"/>
      <c r="EW2" s="6857"/>
      <c r="EX2" s="6857"/>
      <c r="EY2" s="6858"/>
      <c r="EZ2" s="4834"/>
      <c r="FA2" s="6847" t="s">
        <v>670</v>
      </c>
      <c r="FB2" s="6848"/>
      <c r="FC2" s="6848"/>
      <c r="FD2" s="6848"/>
      <c r="FE2" s="6848"/>
      <c r="FF2" s="6848"/>
      <c r="FG2" s="6848"/>
      <c r="FH2" s="6849"/>
      <c r="FI2" s="6847" t="s">
        <v>671</v>
      </c>
      <c r="FJ2" s="6848"/>
      <c r="FK2" s="6848"/>
      <c r="FL2" s="6848"/>
      <c r="FM2" s="6848"/>
      <c r="FN2" s="6848"/>
      <c r="FO2" s="6848"/>
      <c r="FP2" s="6849"/>
      <c r="FQ2" s="6848" t="s">
        <v>672</v>
      </c>
      <c r="FR2" s="6848"/>
      <c r="FS2" s="6848"/>
      <c r="FT2" s="6848"/>
      <c r="FU2" s="6848"/>
      <c r="FV2" s="6848"/>
      <c r="FW2" s="6848"/>
      <c r="FX2" s="6848"/>
      <c r="FY2" s="6847" t="s">
        <v>972</v>
      </c>
      <c r="FZ2" s="6848"/>
      <c r="GA2" s="6848"/>
      <c r="GB2" s="6848"/>
      <c r="GC2" s="6848"/>
      <c r="GD2" s="6848"/>
      <c r="GE2" s="6848"/>
      <c r="GF2" s="6849"/>
      <c r="GG2" s="6847" t="s">
        <v>986</v>
      </c>
      <c r="GH2" s="6848"/>
      <c r="GI2" s="6848"/>
      <c r="GJ2" s="6848"/>
      <c r="GK2" s="6848"/>
      <c r="GL2" s="6848"/>
      <c r="GM2" s="6848"/>
      <c r="GN2" s="6849"/>
      <c r="GO2" s="6847" t="s">
        <v>942</v>
      </c>
      <c r="GP2" s="6848"/>
      <c r="GQ2" s="6848"/>
      <c r="GR2" s="6848"/>
      <c r="GS2" s="6848"/>
      <c r="GT2" s="6848"/>
      <c r="GU2" s="6848"/>
      <c r="GV2" s="6849"/>
      <c r="GW2" s="6847" t="s">
        <v>923</v>
      </c>
      <c r="GX2" s="6848"/>
      <c r="GY2" s="6848"/>
      <c r="GZ2" s="6848"/>
      <c r="HA2" s="6848"/>
      <c r="HB2" s="6848"/>
      <c r="HC2" s="6848"/>
      <c r="HD2" s="6849"/>
      <c r="HE2" s="6847" t="s">
        <v>663</v>
      </c>
      <c r="HF2" s="6848"/>
      <c r="HG2" s="6848"/>
      <c r="HH2" s="6848"/>
      <c r="HI2" s="6848"/>
      <c r="HJ2" s="6848"/>
      <c r="HK2" s="6848"/>
      <c r="HL2" s="6849"/>
      <c r="HM2" s="6847" t="s">
        <v>664</v>
      </c>
      <c r="HN2" s="6848"/>
      <c r="HO2" s="6848"/>
      <c r="HP2" s="6848"/>
      <c r="HQ2" s="6848"/>
      <c r="HR2" s="6848"/>
      <c r="HS2" s="6848"/>
      <c r="HT2" s="6849"/>
      <c r="HU2" s="6847" t="s">
        <v>665</v>
      </c>
      <c r="HV2" s="6848"/>
      <c r="HW2" s="6848"/>
      <c r="HX2" s="6848"/>
      <c r="HY2" s="6848"/>
      <c r="HZ2" s="6848"/>
      <c r="IA2" s="6848"/>
      <c r="IB2" s="6849"/>
      <c r="IC2" s="6847" t="s">
        <v>666</v>
      </c>
      <c r="ID2" s="6848"/>
      <c r="IE2" s="6848"/>
      <c r="IF2" s="6848"/>
      <c r="IG2" s="6848"/>
      <c r="IH2" s="6848"/>
      <c r="II2" s="6848"/>
      <c r="IJ2" s="6849"/>
      <c r="IK2" s="6810" t="s">
        <v>673</v>
      </c>
      <c r="IL2" s="6810"/>
      <c r="IM2" s="6810"/>
      <c r="IN2" s="6810"/>
      <c r="IO2" s="6810"/>
      <c r="IP2" s="6810"/>
      <c r="IQ2" s="6810"/>
      <c r="IR2" s="6810"/>
      <c r="IS2" s="6859" t="s">
        <v>998</v>
      </c>
      <c r="IT2" s="6860"/>
      <c r="IU2" s="6860"/>
      <c r="IV2" s="6860"/>
      <c r="IW2" s="6860"/>
      <c r="IX2" s="6860"/>
      <c r="IY2" s="6860"/>
      <c r="IZ2" s="6861"/>
    </row>
    <row r="3" spans="1:260" s="4" customFormat="1" ht="12.9" customHeight="1" x14ac:dyDescent="0.3">
      <c r="A3" s="6843"/>
      <c r="B3" s="6845"/>
      <c r="C3" s="4836" t="s">
        <v>5</v>
      </c>
      <c r="D3" s="6850" t="s">
        <v>6</v>
      </c>
      <c r="E3" s="6850"/>
      <c r="F3" s="6854" t="s">
        <v>7</v>
      </c>
      <c r="G3" s="6855"/>
      <c r="H3" s="6853" t="s">
        <v>8</v>
      </c>
      <c r="I3" s="6853"/>
      <c r="J3" s="4835" t="s">
        <v>9</v>
      </c>
      <c r="K3" s="4836" t="s">
        <v>5</v>
      </c>
      <c r="L3" s="6850" t="s">
        <v>6</v>
      </c>
      <c r="M3" s="6850"/>
      <c r="N3" s="6851" t="s">
        <v>7</v>
      </c>
      <c r="O3" s="6852"/>
      <c r="P3" s="6853" t="s">
        <v>8</v>
      </c>
      <c r="Q3" s="6853"/>
      <c r="R3" s="4835" t="s">
        <v>9</v>
      </c>
      <c r="S3" s="6531" t="s">
        <v>5</v>
      </c>
      <c r="T3" s="6850" t="s">
        <v>6</v>
      </c>
      <c r="U3" s="6850"/>
      <c r="V3" s="6850" t="s">
        <v>7</v>
      </c>
      <c r="W3" s="6850"/>
      <c r="X3" s="6853" t="s">
        <v>8</v>
      </c>
      <c r="Y3" s="6853"/>
      <c r="Z3" s="4837" t="s">
        <v>9</v>
      </c>
      <c r="AA3" s="4836" t="s">
        <v>5</v>
      </c>
      <c r="AB3" s="6850" t="s">
        <v>6</v>
      </c>
      <c r="AC3" s="6850"/>
      <c r="AD3" s="6850" t="s">
        <v>7</v>
      </c>
      <c r="AE3" s="6850"/>
      <c r="AF3" s="6853" t="s">
        <v>8</v>
      </c>
      <c r="AG3" s="6853"/>
      <c r="AH3" s="4835" t="s">
        <v>9</v>
      </c>
      <c r="AI3" s="4836" t="s">
        <v>5</v>
      </c>
      <c r="AJ3" s="6850" t="s">
        <v>6</v>
      </c>
      <c r="AK3" s="6850"/>
      <c r="AL3" s="6850" t="s">
        <v>7</v>
      </c>
      <c r="AM3" s="6850"/>
      <c r="AN3" s="6853" t="s">
        <v>8</v>
      </c>
      <c r="AO3" s="6853"/>
      <c r="AP3" s="4835" t="s">
        <v>9</v>
      </c>
      <c r="AQ3" s="6531" t="s">
        <v>5</v>
      </c>
      <c r="AR3" s="6850" t="s">
        <v>6</v>
      </c>
      <c r="AS3" s="6850"/>
      <c r="AT3" s="6850" t="s">
        <v>7</v>
      </c>
      <c r="AU3" s="6850"/>
      <c r="AV3" s="6853" t="s">
        <v>8</v>
      </c>
      <c r="AW3" s="6853"/>
      <c r="AX3" s="4837" t="s">
        <v>9</v>
      </c>
      <c r="AY3" s="4836" t="s">
        <v>5</v>
      </c>
      <c r="AZ3" s="6850" t="s">
        <v>6</v>
      </c>
      <c r="BA3" s="6850"/>
      <c r="BB3" s="6851" t="s">
        <v>7</v>
      </c>
      <c r="BC3" s="6852"/>
      <c r="BD3" s="6853" t="s">
        <v>8</v>
      </c>
      <c r="BE3" s="6853"/>
      <c r="BF3" s="4835" t="s">
        <v>9</v>
      </c>
      <c r="BG3" s="4836" t="s">
        <v>5</v>
      </c>
      <c r="BH3" s="6850" t="s">
        <v>6</v>
      </c>
      <c r="BI3" s="6850"/>
      <c r="BJ3" s="6850" t="s">
        <v>7</v>
      </c>
      <c r="BK3" s="6850"/>
      <c r="BL3" s="6853" t="s">
        <v>8</v>
      </c>
      <c r="BM3" s="6853"/>
      <c r="BN3" s="4837" t="s">
        <v>9</v>
      </c>
      <c r="BO3" s="4836" t="s">
        <v>5</v>
      </c>
      <c r="BP3" s="6850" t="s">
        <v>6</v>
      </c>
      <c r="BQ3" s="6850"/>
      <c r="BR3" s="6850" t="s">
        <v>7</v>
      </c>
      <c r="BS3" s="6850"/>
      <c r="BT3" s="6853" t="s">
        <v>8</v>
      </c>
      <c r="BU3" s="6853"/>
      <c r="BV3" s="4835" t="s">
        <v>9</v>
      </c>
      <c r="BW3" s="4838"/>
      <c r="BX3" s="4836" t="s">
        <v>5</v>
      </c>
      <c r="BY3" s="6850" t="s">
        <v>6</v>
      </c>
      <c r="BZ3" s="6850"/>
      <c r="CA3" s="6854" t="s">
        <v>7</v>
      </c>
      <c r="CB3" s="6855"/>
      <c r="CC3" s="6853" t="s">
        <v>8</v>
      </c>
      <c r="CD3" s="6853"/>
      <c r="CE3" s="4835" t="s">
        <v>9</v>
      </c>
      <c r="CF3" s="4836" t="s">
        <v>5</v>
      </c>
      <c r="CG3" s="6850" t="s">
        <v>6</v>
      </c>
      <c r="CH3" s="6850"/>
      <c r="CI3" s="6851" t="s">
        <v>7</v>
      </c>
      <c r="CJ3" s="6852"/>
      <c r="CK3" s="6853" t="s">
        <v>8</v>
      </c>
      <c r="CL3" s="6853"/>
      <c r="CM3" s="4835" t="s">
        <v>9</v>
      </c>
      <c r="CN3" s="6531" t="s">
        <v>5</v>
      </c>
      <c r="CO3" s="6850" t="s">
        <v>6</v>
      </c>
      <c r="CP3" s="6850"/>
      <c r="CQ3" s="6850" t="s">
        <v>7</v>
      </c>
      <c r="CR3" s="6850"/>
      <c r="CS3" s="6853" t="s">
        <v>8</v>
      </c>
      <c r="CT3" s="6853"/>
      <c r="CU3" s="4837" t="s">
        <v>9</v>
      </c>
      <c r="CV3" s="4836" t="s">
        <v>5</v>
      </c>
      <c r="CW3" s="6850" t="s">
        <v>6</v>
      </c>
      <c r="CX3" s="6850"/>
      <c r="CY3" s="6851" t="s">
        <v>7</v>
      </c>
      <c r="CZ3" s="6852"/>
      <c r="DA3" s="6853" t="s">
        <v>8</v>
      </c>
      <c r="DB3" s="6853"/>
      <c r="DC3" s="4835" t="s">
        <v>9</v>
      </c>
      <c r="DD3" s="4836" t="s">
        <v>5</v>
      </c>
      <c r="DE3" s="6850" t="s">
        <v>6</v>
      </c>
      <c r="DF3" s="6850"/>
      <c r="DG3" s="6851" t="s">
        <v>7</v>
      </c>
      <c r="DH3" s="6852"/>
      <c r="DI3" s="6853" t="s">
        <v>8</v>
      </c>
      <c r="DJ3" s="6853"/>
      <c r="DK3" s="4835" t="s">
        <v>9</v>
      </c>
      <c r="DL3" s="4836" t="s">
        <v>5</v>
      </c>
      <c r="DM3" s="6850" t="s">
        <v>6</v>
      </c>
      <c r="DN3" s="6850"/>
      <c r="DO3" s="6851" t="s">
        <v>7</v>
      </c>
      <c r="DP3" s="6852"/>
      <c r="DQ3" s="6853" t="s">
        <v>8</v>
      </c>
      <c r="DR3" s="6853"/>
      <c r="DS3" s="4835" t="s">
        <v>9</v>
      </c>
      <c r="DT3" s="4836" t="s">
        <v>5</v>
      </c>
      <c r="DU3" s="6850" t="s">
        <v>6</v>
      </c>
      <c r="DV3" s="6850"/>
      <c r="DW3" s="6851" t="s">
        <v>7</v>
      </c>
      <c r="DX3" s="6852"/>
      <c r="DY3" s="6853" t="s">
        <v>8</v>
      </c>
      <c r="DZ3" s="6853"/>
      <c r="EA3" s="4835" t="s">
        <v>9</v>
      </c>
      <c r="EB3" s="4836" t="s">
        <v>5</v>
      </c>
      <c r="EC3" s="6850" t="s">
        <v>6</v>
      </c>
      <c r="ED3" s="6850"/>
      <c r="EE3" s="6851" t="s">
        <v>7</v>
      </c>
      <c r="EF3" s="6852"/>
      <c r="EG3" s="6853" t="s">
        <v>8</v>
      </c>
      <c r="EH3" s="6853"/>
      <c r="EI3" s="4835" t="s">
        <v>9</v>
      </c>
      <c r="EJ3" s="6531" t="s">
        <v>5</v>
      </c>
      <c r="EK3" s="6850" t="s">
        <v>6</v>
      </c>
      <c r="EL3" s="6850"/>
      <c r="EM3" s="6851" t="s">
        <v>7</v>
      </c>
      <c r="EN3" s="6852"/>
      <c r="EO3" s="6853" t="s">
        <v>8</v>
      </c>
      <c r="EP3" s="6853"/>
      <c r="EQ3" s="4837" t="s">
        <v>9</v>
      </c>
      <c r="ER3" s="4836" t="s">
        <v>5</v>
      </c>
      <c r="ES3" s="6850" t="s">
        <v>6</v>
      </c>
      <c r="ET3" s="6850"/>
      <c r="EU3" s="6851" t="s">
        <v>7</v>
      </c>
      <c r="EV3" s="6852"/>
      <c r="EW3" s="6853" t="s">
        <v>8</v>
      </c>
      <c r="EX3" s="6853"/>
      <c r="EY3" s="4835" t="s">
        <v>9</v>
      </c>
      <c r="EZ3" s="4838"/>
      <c r="FA3" s="4836" t="s">
        <v>5</v>
      </c>
      <c r="FB3" s="6850" t="s">
        <v>6</v>
      </c>
      <c r="FC3" s="6850"/>
      <c r="FD3" s="6854" t="s">
        <v>7</v>
      </c>
      <c r="FE3" s="6855"/>
      <c r="FF3" s="6853" t="s">
        <v>8</v>
      </c>
      <c r="FG3" s="6853"/>
      <c r="FH3" s="4835" t="s">
        <v>9</v>
      </c>
      <c r="FI3" s="4836" t="s">
        <v>5</v>
      </c>
      <c r="FJ3" s="6850" t="s">
        <v>6</v>
      </c>
      <c r="FK3" s="6850"/>
      <c r="FL3" s="6851" t="s">
        <v>7</v>
      </c>
      <c r="FM3" s="6852"/>
      <c r="FN3" s="6853" t="s">
        <v>8</v>
      </c>
      <c r="FO3" s="6853"/>
      <c r="FP3" s="4835" t="s">
        <v>9</v>
      </c>
      <c r="FQ3" s="6531" t="s">
        <v>5</v>
      </c>
      <c r="FR3" s="6850" t="s">
        <v>6</v>
      </c>
      <c r="FS3" s="6850"/>
      <c r="FT3" s="6850" t="s">
        <v>7</v>
      </c>
      <c r="FU3" s="6850"/>
      <c r="FV3" s="6853" t="s">
        <v>8</v>
      </c>
      <c r="FW3" s="6853"/>
      <c r="FX3" s="4837" t="s">
        <v>9</v>
      </c>
      <c r="FY3" s="4836" t="s">
        <v>5</v>
      </c>
      <c r="FZ3" s="6850" t="s">
        <v>6</v>
      </c>
      <c r="GA3" s="6850"/>
      <c r="GB3" s="6851" t="s">
        <v>7</v>
      </c>
      <c r="GC3" s="6852"/>
      <c r="GD3" s="6853" t="s">
        <v>8</v>
      </c>
      <c r="GE3" s="6853"/>
      <c r="GF3" s="4835" t="s">
        <v>9</v>
      </c>
      <c r="GG3" s="4836" t="s">
        <v>5</v>
      </c>
      <c r="GH3" s="6850" t="s">
        <v>6</v>
      </c>
      <c r="GI3" s="6850"/>
      <c r="GJ3" s="6851" t="s">
        <v>7</v>
      </c>
      <c r="GK3" s="6852"/>
      <c r="GL3" s="6853" t="s">
        <v>8</v>
      </c>
      <c r="GM3" s="6853"/>
      <c r="GN3" s="4835" t="s">
        <v>9</v>
      </c>
      <c r="GO3" s="4836" t="s">
        <v>5</v>
      </c>
      <c r="GP3" s="6850" t="s">
        <v>6</v>
      </c>
      <c r="GQ3" s="6850"/>
      <c r="GR3" s="6851" t="s">
        <v>7</v>
      </c>
      <c r="GS3" s="6852"/>
      <c r="GT3" s="6853" t="s">
        <v>8</v>
      </c>
      <c r="GU3" s="6853"/>
      <c r="GV3" s="4835" t="s">
        <v>9</v>
      </c>
      <c r="GW3" s="4836" t="s">
        <v>5</v>
      </c>
      <c r="GX3" s="6850" t="s">
        <v>6</v>
      </c>
      <c r="GY3" s="6850"/>
      <c r="GZ3" s="6851" t="s">
        <v>7</v>
      </c>
      <c r="HA3" s="6852"/>
      <c r="HB3" s="6853" t="s">
        <v>8</v>
      </c>
      <c r="HC3" s="6853"/>
      <c r="HD3" s="4835" t="s">
        <v>9</v>
      </c>
      <c r="HE3" s="4836" t="s">
        <v>5</v>
      </c>
      <c r="HF3" s="6850" t="s">
        <v>6</v>
      </c>
      <c r="HG3" s="6850"/>
      <c r="HH3" s="6851" t="s">
        <v>7</v>
      </c>
      <c r="HI3" s="6852"/>
      <c r="HJ3" s="6853" t="s">
        <v>8</v>
      </c>
      <c r="HK3" s="6853"/>
      <c r="HL3" s="4835" t="s">
        <v>9</v>
      </c>
      <c r="HM3" s="4836" t="s">
        <v>5</v>
      </c>
      <c r="HN3" s="6850" t="s">
        <v>6</v>
      </c>
      <c r="HO3" s="6850"/>
      <c r="HP3" s="6851" t="s">
        <v>7</v>
      </c>
      <c r="HQ3" s="6852"/>
      <c r="HR3" s="6853" t="s">
        <v>8</v>
      </c>
      <c r="HS3" s="6853"/>
      <c r="HT3" s="4835" t="s">
        <v>9</v>
      </c>
      <c r="HU3" s="4836" t="s">
        <v>5</v>
      </c>
      <c r="HV3" s="6850" t="s">
        <v>6</v>
      </c>
      <c r="HW3" s="6850"/>
      <c r="HX3" s="6851" t="s">
        <v>7</v>
      </c>
      <c r="HY3" s="6852"/>
      <c r="HZ3" s="6853" t="s">
        <v>8</v>
      </c>
      <c r="IA3" s="6853"/>
      <c r="IB3" s="4835" t="s">
        <v>9</v>
      </c>
      <c r="IC3" s="4836" t="s">
        <v>5</v>
      </c>
      <c r="ID3" s="6850" t="s">
        <v>6</v>
      </c>
      <c r="IE3" s="6850"/>
      <c r="IF3" s="6851" t="s">
        <v>7</v>
      </c>
      <c r="IG3" s="6852"/>
      <c r="IH3" s="6853" t="s">
        <v>8</v>
      </c>
      <c r="II3" s="6853"/>
      <c r="IJ3" s="4835" t="s">
        <v>9</v>
      </c>
      <c r="IK3" s="6530" t="s">
        <v>5</v>
      </c>
      <c r="IL3" s="6812" t="s">
        <v>6</v>
      </c>
      <c r="IM3" s="6812"/>
      <c r="IN3" s="6813" t="s">
        <v>7</v>
      </c>
      <c r="IO3" s="6814"/>
      <c r="IP3" s="6815" t="s">
        <v>8</v>
      </c>
      <c r="IQ3" s="6815"/>
      <c r="IR3" s="4279" t="s">
        <v>9</v>
      </c>
      <c r="IS3" s="4836" t="s">
        <v>5</v>
      </c>
      <c r="IT3" s="6850" t="s">
        <v>6</v>
      </c>
      <c r="IU3" s="6850"/>
      <c r="IV3" s="6851" t="s">
        <v>7</v>
      </c>
      <c r="IW3" s="6852"/>
      <c r="IX3" s="6853" t="s">
        <v>8</v>
      </c>
      <c r="IY3" s="6853"/>
      <c r="IZ3" s="4835" t="s">
        <v>9</v>
      </c>
    </row>
    <row r="4" spans="1:260" s="848" customFormat="1" ht="16.149999999999999" customHeight="1" x14ac:dyDescent="0.3">
      <c r="A4" s="4839"/>
      <c r="B4" s="6846"/>
      <c r="C4" s="4839"/>
      <c r="D4" s="4840" t="s">
        <v>475</v>
      </c>
      <c r="E4" s="4841" t="s">
        <v>11</v>
      </c>
      <c r="F4" s="4848" t="s">
        <v>475</v>
      </c>
      <c r="G4" s="4849" t="s">
        <v>11</v>
      </c>
      <c r="H4" s="4840" t="s">
        <v>475</v>
      </c>
      <c r="I4" s="4845" t="s">
        <v>11</v>
      </c>
      <c r="J4" s="6154"/>
      <c r="K4" s="4839"/>
      <c r="L4" s="4840" t="s">
        <v>475</v>
      </c>
      <c r="M4" s="4841" t="s">
        <v>11</v>
      </c>
      <c r="N4" s="4842" t="s">
        <v>475</v>
      </c>
      <c r="O4" s="4844" t="s">
        <v>11</v>
      </c>
      <c r="P4" s="4840" t="s">
        <v>475</v>
      </c>
      <c r="Q4" s="4845" t="s">
        <v>11</v>
      </c>
      <c r="R4" s="6154"/>
      <c r="S4" s="4843"/>
      <c r="T4" s="4840" t="s">
        <v>475</v>
      </c>
      <c r="U4" s="4841" t="s">
        <v>11</v>
      </c>
      <c r="V4" s="4840" t="s">
        <v>475</v>
      </c>
      <c r="W4" s="4841" t="s">
        <v>11</v>
      </c>
      <c r="X4" s="4840" t="s">
        <v>475</v>
      </c>
      <c r="Y4" s="4845" t="s">
        <v>11</v>
      </c>
      <c r="Z4" s="4846"/>
      <c r="AA4" s="4839"/>
      <c r="AB4" s="4840" t="s">
        <v>475</v>
      </c>
      <c r="AC4" s="4841" t="s">
        <v>11</v>
      </c>
      <c r="AD4" s="4840" t="s">
        <v>475</v>
      </c>
      <c r="AE4" s="4841" t="s">
        <v>11</v>
      </c>
      <c r="AF4" s="4840" t="s">
        <v>475</v>
      </c>
      <c r="AG4" s="4845" t="s">
        <v>11</v>
      </c>
      <c r="AH4" s="6154"/>
      <c r="AI4" s="4839"/>
      <c r="AJ4" s="4840" t="s">
        <v>475</v>
      </c>
      <c r="AK4" s="4841" t="s">
        <v>11</v>
      </c>
      <c r="AL4" s="4840" t="s">
        <v>475</v>
      </c>
      <c r="AM4" s="4841" t="s">
        <v>11</v>
      </c>
      <c r="AN4" s="4840" t="s">
        <v>10</v>
      </c>
      <c r="AO4" s="4845" t="s">
        <v>11</v>
      </c>
      <c r="AP4" s="6154"/>
      <c r="AQ4" s="4843"/>
      <c r="AR4" s="4840" t="s">
        <v>475</v>
      </c>
      <c r="AS4" s="4841" t="s">
        <v>11</v>
      </c>
      <c r="AT4" s="4840" t="s">
        <v>475</v>
      </c>
      <c r="AU4" s="4841" t="s">
        <v>11</v>
      </c>
      <c r="AV4" s="4840" t="s">
        <v>475</v>
      </c>
      <c r="AW4" s="4841" t="s">
        <v>11</v>
      </c>
      <c r="AX4" s="4846"/>
      <c r="AY4" s="4839"/>
      <c r="AZ4" s="4840" t="s">
        <v>10</v>
      </c>
      <c r="BA4" s="4841" t="s">
        <v>11</v>
      </c>
      <c r="BB4" s="4842" t="s">
        <v>10</v>
      </c>
      <c r="BC4" s="4844" t="s">
        <v>11</v>
      </c>
      <c r="BD4" s="4840" t="s">
        <v>10</v>
      </c>
      <c r="BE4" s="4841" t="s">
        <v>11</v>
      </c>
      <c r="BF4" s="6154"/>
      <c r="BG4" s="4839"/>
      <c r="BH4" s="4840" t="s">
        <v>10</v>
      </c>
      <c r="BI4" s="4841" t="s">
        <v>11</v>
      </c>
      <c r="BJ4" s="4840" t="s">
        <v>10</v>
      </c>
      <c r="BK4" s="4841" t="s">
        <v>11</v>
      </c>
      <c r="BL4" s="4840" t="s">
        <v>10</v>
      </c>
      <c r="BM4" s="4845" t="s">
        <v>11</v>
      </c>
      <c r="BN4" s="4846"/>
      <c r="BO4" s="4839"/>
      <c r="BP4" s="4840" t="s">
        <v>10</v>
      </c>
      <c r="BQ4" s="4841" t="s">
        <v>11</v>
      </c>
      <c r="BR4" s="4840" t="s">
        <v>10</v>
      </c>
      <c r="BS4" s="4841" t="s">
        <v>11</v>
      </c>
      <c r="BT4" s="4840" t="s">
        <v>10</v>
      </c>
      <c r="BU4" s="4845" t="s">
        <v>11</v>
      </c>
      <c r="BV4" s="6154"/>
      <c r="BW4" s="4847"/>
      <c r="BX4" s="4839"/>
      <c r="BY4" s="4840" t="s">
        <v>475</v>
      </c>
      <c r="BZ4" s="4841" t="s">
        <v>11</v>
      </c>
      <c r="CA4" s="4848" t="s">
        <v>475</v>
      </c>
      <c r="CB4" s="4849" t="s">
        <v>11</v>
      </c>
      <c r="CC4" s="4840" t="s">
        <v>475</v>
      </c>
      <c r="CD4" s="4845" t="s">
        <v>11</v>
      </c>
      <c r="CE4" s="6154"/>
      <c r="CF4" s="4839"/>
      <c r="CG4" s="4840" t="s">
        <v>475</v>
      </c>
      <c r="CH4" s="4841" t="s">
        <v>11</v>
      </c>
      <c r="CI4" s="4842" t="s">
        <v>475</v>
      </c>
      <c r="CJ4" s="4844" t="s">
        <v>11</v>
      </c>
      <c r="CK4" s="4840" t="s">
        <v>475</v>
      </c>
      <c r="CL4" s="4845" t="s">
        <v>11</v>
      </c>
      <c r="CM4" s="6154"/>
      <c r="CN4" s="4843"/>
      <c r="CO4" s="4840" t="s">
        <v>475</v>
      </c>
      <c r="CP4" s="4841" t="s">
        <v>11</v>
      </c>
      <c r="CQ4" s="4840" t="s">
        <v>475</v>
      </c>
      <c r="CR4" s="4841" t="s">
        <v>11</v>
      </c>
      <c r="CS4" s="4840" t="s">
        <v>475</v>
      </c>
      <c r="CT4" s="4845" t="s">
        <v>11</v>
      </c>
      <c r="CU4" s="4846"/>
      <c r="CV4" s="4839"/>
      <c r="CW4" s="4840" t="s">
        <v>475</v>
      </c>
      <c r="CX4" s="4841" t="s">
        <v>11</v>
      </c>
      <c r="CY4" s="4842" t="s">
        <v>475</v>
      </c>
      <c r="CZ4" s="4844" t="s">
        <v>11</v>
      </c>
      <c r="DA4" s="4840" t="s">
        <v>475</v>
      </c>
      <c r="DB4" s="4845" t="s">
        <v>11</v>
      </c>
      <c r="DC4" s="6154"/>
      <c r="DD4" s="4839"/>
      <c r="DE4" s="4840" t="s">
        <v>475</v>
      </c>
      <c r="DF4" s="4841" t="s">
        <v>11</v>
      </c>
      <c r="DG4" s="4842" t="s">
        <v>475</v>
      </c>
      <c r="DH4" s="4844" t="s">
        <v>11</v>
      </c>
      <c r="DI4" s="4840" t="s">
        <v>475</v>
      </c>
      <c r="DJ4" s="4845" t="s">
        <v>11</v>
      </c>
      <c r="DK4" s="6154"/>
      <c r="DL4" s="4839"/>
      <c r="DM4" s="4840" t="s">
        <v>475</v>
      </c>
      <c r="DN4" s="4841" t="s">
        <v>11</v>
      </c>
      <c r="DO4" s="4842" t="s">
        <v>475</v>
      </c>
      <c r="DP4" s="4844" t="s">
        <v>11</v>
      </c>
      <c r="DQ4" s="4840" t="s">
        <v>10</v>
      </c>
      <c r="DR4" s="4845" t="s">
        <v>11</v>
      </c>
      <c r="DS4" s="6154"/>
      <c r="DT4" s="4839"/>
      <c r="DU4" s="4840" t="s">
        <v>475</v>
      </c>
      <c r="DV4" s="4841" t="s">
        <v>11</v>
      </c>
      <c r="DW4" s="4842" t="s">
        <v>475</v>
      </c>
      <c r="DX4" s="4844" t="s">
        <v>11</v>
      </c>
      <c r="DY4" s="4840" t="s">
        <v>10</v>
      </c>
      <c r="DZ4" s="4845" t="s">
        <v>11</v>
      </c>
      <c r="EA4" s="6154"/>
      <c r="EB4" s="4839"/>
      <c r="EC4" s="4840" t="s">
        <v>475</v>
      </c>
      <c r="ED4" s="4841" t="s">
        <v>11</v>
      </c>
      <c r="EE4" s="4842" t="s">
        <v>475</v>
      </c>
      <c r="EF4" s="4844" t="s">
        <v>11</v>
      </c>
      <c r="EG4" s="4840" t="s">
        <v>10</v>
      </c>
      <c r="EH4" s="4845" t="s">
        <v>11</v>
      </c>
      <c r="EI4" s="6154"/>
      <c r="EJ4" s="4843"/>
      <c r="EK4" s="4840" t="s">
        <v>10</v>
      </c>
      <c r="EL4" s="4841" t="s">
        <v>11</v>
      </c>
      <c r="EM4" s="4842" t="s">
        <v>10</v>
      </c>
      <c r="EN4" s="4844" t="s">
        <v>11</v>
      </c>
      <c r="EO4" s="4840" t="s">
        <v>10</v>
      </c>
      <c r="EP4" s="4841" t="s">
        <v>11</v>
      </c>
      <c r="EQ4" s="4846"/>
      <c r="ER4" s="4839"/>
      <c r="ES4" s="4840" t="s">
        <v>10</v>
      </c>
      <c r="ET4" s="4841" t="s">
        <v>11</v>
      </c>
      <c r="EU4" s="4842" t="s">
        <v>10</v>
      </c>
      <c r="EV4" s="4844" t="s">
        <v>11</v>
      </c>
      <c r="EW4" s="4840" t="s">
        <v>10</v>
      </c>
      <c r="EX4" s="4841" t="s">
        <v>11</v>
      </c>
      <c r="EY4" s="6154"/>
      <c r="EZ4" s="4847"/>
      <c r="FA4" s="4839"/>
      <c r="FB4" s="4840" t="s">
        <v>475</v>
      </c>
      <c r="FC4" s="4841" t="s">
        <v>11</v>
      </c>
      <c r="FD4" s="4848" t="s">
        <v>475</v>
      </c>
      <c r="FE4" s="4849" t="s">
        <v>11</v>
      </c>
      <c r="FF4" s="4840" t="s">
        <v>475</v>
      </c>
      <c r="FG4" s="4845" t="s">
        <v>11</v>
      </c>
      <c r="FH4" s="6154"/>
      <c r="FI4" s="4839"/>
      <c r="FJ4" s="4840" t="s">
        <v>475</v>
      </c>
      <c r="FK4" s="4841" t="s">
        <v>11</v>
      </c>
      <c r="FL4" s="4842" t="s">
        <v>475</v>
      </c>
      <c r="FM4" s="4844" t="s">
        <v>11</v>
      </c>
      <c r="FN4" s="4840" t="s">
        <v>475</v>
      </c>
      <c r="FO4" s="4845" t="s">
        <v>11</v>
      </c>
      <c r="FP4" s="6154"/>
      <c r="FQ4" s="4843"/>
      <c r="FR4" s="4840" t="s">
        <v>475</v>
      </c>
      <c r="FS4" s="4841" t="s">
        <v>11</v>
      </c>
      <c r="FT4" s="4840" t="s">
        <v>475</v>
      </c>
      <c r="FU4" s="4841" t="s">
        <v>11</v>
      </c>
      <c r="FV4" s="4840" t="s">
        <v>475</v>
      </c>
      <c r="FW4" s="4845" t="s">
        <v>11</v>
      </c>
      <c r="FX4" s="4846"/>
      <c r="FY4" s="4839"/>
      <c r="FZ4" s="4840" t="s">
        <v>475</v>
      </c>
      <c r="GA4" s="4841" t="s">
        <v>11</v>
      </c>
      <c r="GB4" s="4842" t="s">
        <v>475</v>
      </c>
      <c r="GC4" s="4844" t="s">
        <v>11</v>
      </c>
      <c r="GD4" s="4840" t="s">
        <v>475</v>
      </c>
      <c r="GE4" s="4845" t="s">
        <v>11</v>
      </c>
      <c r="GF4" s="6154"/>
      <c r="GG4" s="4839"/>
      <c r="GH4" s="4840" t="s">
        <v>475</v>
      </c>
      <c r="GI4" s="4841" t="s">
        <v>11</v>
      </c>
      <c r="GJ4" s="4842" t="s">
        <v>475</v>
      </c>
      <c r="GK4" s="4844" t="s">
        <v>11</v>
      </c>
      <c r="GL4" s="4840" t="s">
        <v>475</v>
      </c>
      <c r="GM4" s="4845" t="s">
        <v>11</v>
      </c>
      <c r="GN4" s="6154"/>
      <c r="GO4" s="4839"/>
      <c r="GP4" s="4840" t="s">
        <v>475</v>
      </c>
      <c r="GQ4" s="4841" t="s">
        <v>11</v>
      </c>
      <c r="GR4" s="4842" t="s">
        <v>475</v>
      </c>
      <c r="GS4" s="4844" t="s">
        <v>11</v>
      </c>
      <c r="GT4" s="4840" t="s">
        <v>10</v>
      </c>
      <c r="GU4" s="4845" t="s">
        <v>11</v>
      </c>
      <c r="GV4" s="6154"/>
      <c r="GW4" s="4839"/>
      <c r="GX4" s="4840" t="s">
        <v>475</v>
      </c>
      <c r="GY4" s="4841" t="s">
        <v>11</v>
      </c>
      <c r="GZ4" s="4842" t="s">
        <v>475</v>
      </c>
      <c r="HA4" s="4844" t="s">
        <v>11</v>
      </c>
      <c r="HB4" s="4840" t="s">
        <v>10</v>
      </c>
      <c r="HC4" s="4845" t="s">
        <v>11</v>
      </c>
      <c r="HD4" s="6154"/>
      <c r="HE4" s="4839"/>
      <c r="HF4" s="4840" t="s">
        <v>475</v>
      </c>
      <c r="HG4" s="4841" t="s">
        <v>11</v>
      </c>
      <c r="HH4" s="4842" t="s">
        <v>475</v>
      </c>
      <c r="HI4" s="4844" t="s">
        <v>11</v>
      </c>
      <c r="HJ4" s="4840" t="s">
        <v>10</v>
      </c>
      <c r="HK4" s="4845" t="s">
        <v>11</v>
      </c>
      <c r="HL4" s="6154"/>
      <c r="HM4" s="4839"/>
      <c r="HN4" s="4840" t="s">
        <v>475</v>
      </c>
      <c r="HO4" s="4841" t="s">
        <v>11</v>
      </c>
      <c r="HP4" s="4842" t="s">
        <v>475</v>
      </c>
      <c r="HQ4" s="4844" t="s">
        <v>11</v>
      </c>
      <c r="HR4" s="4840" t="s">
        <v>10</v>
      </c>
      <c r="HS4" s="4845" t="s">
        <v>11</v>
      </c>
      <c r="HT4" s="6154"/>
      <c r="HU4" s="4839"/>
      <c r="HV4" s="4840" t="s">
        <v>475</v>
      </c>
      <c r="HW4" s="4841" t="s">
        <v>11</v>
      </c>
      <c r="HX4" s="4842" t="s">
        <v>475</v>
      </c>
      <c r="HY4" s="4844" t="s">
        <v>11</v>
      </c>
      <c r="HZ4" s="4840" t="s">
        <v>10</v>
      </c>
      <c r="IA4" s="4845" t="s">
        <v>11</v>
      </c>
      <c r="IB4" s="6154"/>
      <c r="IC4" s="4839"/>
      <c r="ID4" s="4840" t="s">
        <v>475</v>
      </c>
      <c r="IE4" s="4841" t="s">
        <v>11</v>
      </c>
      <c r="IF4" s="4842" t="s">
        <v>475</v>
      </c>
      <c r="IG4" s="4844" t="s">
        <v>11</v>
      </c>
      <c r="IH4" s="4840" t="s">
        <v>10</v>
      </c>
      <c r="II4" s="4845" t="s">
        <v>11</v>
      </c>
      <c r="IJ4" s="6154"/>
      <c r="IK4" s="4286"/>
      <c r="IL4" s="4281" t="s">
        <v>10</v>
      </c>
      <c r="IM4" s="4142" t="s">
        <v>11</v>
      </c>
      <c r="IN4" s="4285" t="s">
        <v>10</v>
      </c>
      <c r="IO4" s="4282" t="s">
        <v>11</v>
      </c>
      <c r="IP4" s="4281" t="s">
        <v>10</v>
      </c>
      <c r="IQ4" s="4142" t="s">
        <v>11</v>
      </c>
      <c r="IR4" s="4287"/>
      <c r="IS4" s="4839"/>
      <c r="IT4" s="4840" t="s">
        <v>10</v>
      </c>
      <c r="IU4" s="4841" t="s">
        <v>11</v>
      </c>
      <c r="IV4" s="4842" t="s">
        <v>10</v>
      </c>
      <c r="IW4" s="4844" t="s">
        <v>11</v>
      </c>
      <c r="IX4" s="4840" t="s">
        <v>10</v>
      </c>
      <c r="IY4" s="4841" t="s">
        <v>11</v>
      </c>
      <c r="IZ4" s="6154"/>
    </row>
    <row r="5" spans="1:260" s="848" customFormat="1" ht="9.6999999999999993" customHeight="1" x14ac:dyDescent="0.3">
      <c r="A5" s="4400"/>
      <c r="B5" s="4401"/>
      <c r="C5" s="4400"/>
      <c r="D5" s="4402"/>
      <c r="E5" s="4403"/>
      <c r="F5" s="4410"/>
      <c r="G5" s="4404"/>
      <c r="H5" s="4402"/>
      <c r="I5" s="4405"/>
      <c r="J5" s="4406"/>
      <c r="K5" s="4400"/>
      <c r="L5" s="4402"/>
      <c r="M5" s="4403"/>
      <c r="N5" s="4411"/>
      <c r="O5" s="4407"/>
      <c r="P5" s="4402"/>
      <c r="Q5" s="4405"/>
      <c r="R5" s="4406"/>
      <c r="S5" s="4408"/>
      <c r="T5" s="4402"/>
      <c r="U5" s="4403"/>
      <c r="V5" s="4402"/>
      <c r="W5" s="4403"/>
      <c r="X5" s="4402"/>
      <c r="Y5" s="4405"/>
      <c r="Z5" s="4409"/>
      <c r="AA5" s="4408"/>
      <c r="AB5" s="4402"/>
      <c r="AC5" s="4403"/>
      <c r="AD5" s="4402"/>
      <c r="AE5" s="4403"/>
      <c r="AF5" s="4402"/>
      <c r="AG5" s="4405"/>
      <c r="AH5" s="4406"/>
      <c r="AI5" s="4400"/>
      <c r="AJ5" s="4402"/>
      <c r="AK5" s="4403"/>
      <c r="AL5" s="4402"/>
      <c r="AM5" s="4403"/>
      <c r="AN5" s="4402"/>
      <c r="AO5" s="4405"/>
      <c r="AP5" s="4406"/>
      <c r="AQ5" s="4408"/>
      <c r="AR5" s="4402"/>
      <c r="AS5" s="4403"/>
      <c r="AT5" s="4402"/>
      <c r="AU5" s="4403"/>
      <c r="AV5" s="4402"/>
      <c r="AW5" s="4403"/>
      <c r="AX5" s="4409"/>
      <c r="AY5" s="4400"/>
      <c r="AZ5" s="4402"/>
      <c r="BA5" s="4403"/>
      <c r="BB5" s="4411"/>
      <c r="BC5" s="4407"/>
      <c r="BD5" s="4402"/>
      <c r="BE5" s="4403"/>
      <c r="BF5" s="4406"/>
      <c r="BG5" s="4400"/>
      <c r="BH5" s="4402"/>
      <c r="BI5" s="4403"/>
      <c r="BJ5" s="4402"/>
      <c r="BK5" s="4403"/>
      <c r="BL5" s="4402"/>
      <c r="BM5" s="4405"/>
      <c r="BN5" s="4409"/>
      <c r="BO5" s="4400"/>
      <c r="BP5" s="4402"/>
      <c r="BQ5" s="4403"/>
      <c r="BR5" s="4402"/>
      <c r="BS5" s="4403"/>
      <c r="BT5" s="4402"/>
      <c r="BU5" s="4405"/>
      <c r="BV5" s="4406"/>
      <c r="BW5" s="175"/>
      <c r="BX5" s="4400"/>
      <c r="BY5" s="4402"/>
      <c r="BZ5" s="4403"/>
      <c r="CA5" s="4410"/>
      <c r="CB5" s="4404"/>
      <c r="CC5" s="4402"/>
      <c r="CD5" s="4405"/>
      <c r="CE5" s="4406"/>
      <c r="CF5" s="4400"/>
      <c r="CG5" s="4402"/>
      <c r="CH5" s="4403"/>
      <c r="CI5" s="4411"/>
      <c r="CJ5" s="4407"/>
      <c r="CK5" s="4402"/>
      <c r="CL5" s="4405"/>
      <c r="CM5" s="4406"/>
      <c r="CN5" s="4408"/>
      <c r="CO5" s="4402"/>
      <c r="CP5" s="4403"/>
      <c r="CQ5" s="4402"/>
      <c r="CR5" s="4403"/>
      <c r="CS5" s="4402"/>
      <c r="CT5" s="4405"/>
      <c r="CU5" s="4409"/>
      <c r="CV5" s="4408"/>
      <c r="CW5" s="4402"/>
      <c r="CX5" s="4403"/>
      <c r="CY5" s="4411"/>
      <c r="CZ5" s="4407"/>
      <c r="DA5" s="4402"/>
      <c r="DB5" s="4405"/>
      <c r="DC5" s="4406"/>
      <c r="DD5" s="4408"/>
      <c r="DE5" s="4402"/>
      <c r="DF5" s="4403"/>
      <c r="DG5" s="4411"/>
      <c r="DH5" s="4407"/>
      <c r="DI5" s="4402"/>
      <c r="DJ5" s="4405"/>
      <c r="DK5" s="4406"/>
      <c r="DL5" s="4400"/>
      <c r="DM5" s="4402"/>
      <c r="DN5" s="4403"/>
      <c r="DO5" s="4411"/>
      <c r="DP5" s="4407"/>
      <c r="DQ5" s="4402"/>
      <c r="DR5" s="4405"/>
      <c r="DS5" s="4406"/>
      <c r="DT5" s="4400"/>
      <c r="DU5" s="4402"/>
      <c r="DV5" s="4403"/>
      <c r="DW5" s="4411"/>
      <c r="DX5" s="4407"/>
      <c r="DY5" s="4402"/>
      <c r="DZ5" s="4405"/>
      <c r="EA5" s="4406"/>
      <c r="EB5" s="4400"/>
      <c r="EC5" s="4402"/>
      <c r="ED5" s="4403"/>
      <c r="EE5" s="4411"/>
      <c r="EF5" s="4407"/>
      <c r="EG5" s="4402"/>
      <c r="EH5" s="4405"/>
      <c r="EI5" s="4406"/>
      <c r="EJ5" s="4408"/>
      <c r="EK5" s="4402"/>
      <c r="EL5" s="4403"/>
      <c r="EM5" s="4411"/>
      <c r="EN5" s="4407"/>
      <c r="EO5" s="4402"/>
      <c r="EP5" s="4403"/>
      <c r="EQ5" s="4409"/>
      <c r="ER5" s="4400"/>
      <c r="ES5" s="4402"/>
      <c r="ET5" s="4403"/>
      <c r="EU5" s="4411"/>
      <c r="EV5" s="4407"/>
      <c r="EW5" s="4402"/>
      <c r="EX5" s="4403"/>
      <c r="EY5" s="4406"/>
      <c r="EZ5" s="175"/>
      <c r="FA5" s="4400"/>
      <c r="FB5" s="4402"/>
      <c r="FC5" s="4403"/>
      <c r="FD5" s="4410"/>
      <c r="FE5" s="4404"/>
      <c r="FF5" s="4402"/>
      <c r="FG5" s="4405"/>
      <c r="FH5" s="4406"/>
      <c r="FI5" s="4400"/>
      <c r="FJ5" s="4402"/>
      <c r="FK5" s="4403"/>
      <c r="FL5" s="4411"/>
      <c r="FM5" s="4407"/>
      <c r="FN5" s="4402"/>
      <c r="FO5" s="4405"/>
      <c r="FP5" s="4406"/>
      <c r="FQ5" s="4408"/>
      <c r="FR5" s="4402"/>
      <c r="FS5" s="4403"/>
      <c r="FT5" s="4402"/>
      <c r="FU5" s="4403"/>
      <c r="FV5" s="4402"/>
      <c r="FW5" s="4405"/>
      <c r="FX5" s="4409"/>
      <c r="FY5" s="4408"/>
      <c r="FZ5" s="4402"/>
      <c r="GA5" s="4403"/>
      <c r="GB5" s="4411"/>
      <c r="GC5" s="4407"/>
      <c r="GD5" s="4402"/>
      <c r="GE5" s="4405"/>
      <c r="GF5" s="4406"/>
      <c r="GG5" s="4408"/>
      <c r="GH5" s="4402"/>
      <c r="GI5" s="4403"/>
      <c r="GJ5" s="4411"/>
      <c r="GK5" s="4407"/>
      <c r="GL5" s="4402"/>
      <c r="GM5" s="4405"/>
      <c r="GN5" s="4406"/>
      <c r="GO5" s="4400"/>
      <c r="GP5" s="4402"/>
      <c r="GQ5" s="4403"/>
      <c r="GR5" s="4411"/>
      <c r="GS5" s="4407"/>
      <c r="GT5" s="4402"/>
      <c r="GU5" s="4405"/>
      <c r="GV5" s="4406"/>
      <c r="GW5" s="4400"/>
      <c r="GX5" s="4402"/>
      <c r="GY5" s="4403"/>
      <c r="GZ5" s="4411"/>
      <c r="HA5" s="4407"/>
      <c r="HB5" s="4402"/>
      <c r="HC5" s="4405"/>
      <c r="HD5" s="4406"/>
      <c r="HE5" s="4400"/>
      <c r="HF5" s="4402"/>
      <c r="HG5" s="4403"/>
      <c r="HH5" s="4411"/>
      <c r="HI5" s="4407"/>
      <c r="HJ5" s="4402"/>
      <c r="HK5" s="4405"/>
      <c r="HL5" s="4406"/>
      <c r="HM5" s="4400"/>
      <c r="HN5" s="4402"/>
      <c r="HO5" s="4403"/>
      <c r="HP5" s="4411"/>
      <c r="HQ5" s="4407"/>
      <c r="HR5" s="4402"/>
      <c r="HS5" s="4405"/>
      <c r="HT5" s="4406"/>
      <c r="HU5" s="4400"/>
      <c r="HV5" s="4402"/>
      <c r="HW5" s="4403"/>
      <c r="HX5" s="4411"/>
      <c r="HY5" s="4407"/>
      <c r="HZ5" s="4402"/>
      <c r="IA5" s="4405"/>
      <c r="IB5" s="4406"/>
      <c r="IC5" s="4400"/>
      <c r="ID5" s="4402"/>
      <c r="IE5" s="4403"/>
      <c r="IF5" s="4411"/>
      <c r="IG5" s="4407"/>
      <c r="IH5" s="4402"/>
      <c r="II5" s="4405"/>
      <c r="IJ5" s="4406"/>
      <c r="IK5" s="4408"/>
      <c r="IL5" s="4402"/>
      <c r="IM5" s="4403"/>
      <c r="IN5" s="4411"/>
      <c r="IO5" s="4407"/>
      <c r="IP5" s="4402"/>
      <c r="IQ5" s="4403"/>
      <c r="IR5" s="4409"/>
      <c r="IS5" s="4400"/>
      <c r="IT5" s="4402"/>
      <c r="IU5" s="4403"/>
      <c r="IV5" s="4412"/>
      <c r="IW5" s="4407"/>
      <c r="IX5" s="4402"/>
      <c r="IY5" s="4403"/>
      <c r="IZ5" s="4406"/>
    </row>
    <row r="6" spans="1:260" s="14" customFormat="1" ht="20.45" customHeight="1" x14ac:dyDescent="0.3">
      <c r="A6" s="5">
        <v>1</v>
      </c>
      <c r="B6" s="6" t="s">
        <v>14</v>
      </c>
      <c r="C6" s="13">
        <v>2</v>
      </c>
      <c r="D6" s="171">
        <v>14630</v>
      </c>
      <c r="E6" s="171">
        <f>D6*60</f>
        <v>877800</v>
      </c>
      <c r="F6" s="267">
        <v>10240</v>
      </c>
      <c r="G6" s="268">
        <f>F6*60</f>
        <v>614400</v>
      </c>
      <c r="H6" s="171">
        <f>D6-F6</f>
        <v>4390</v>
      </c>
      <c r="I6" s="171">
        <f>H6*60</f>
        <v>263400</v>
      </c>
      <c r="J6" s="10">
        <f>I6/E6</f>
        <v>0.30006835269993165</v>
      </c>
      <c r="K6" s="13">
        <v>2</v>
      </c>
      <c r="L6" s="171">
        <v>27725</v>
      </c>
      <c r="M6" s="171">
        <f>L6*60</f>
        <v>1663500</v>
      </c>
      <c r="N6" s="262">
        <v>19280</v>
      </c>
      <c r="O6" s="176">
        <f>N6*60</f>
        <v>1156800</v>
      </c>
      <c r="P6" s="171">
        <f>L6-N6</f>
        <v>8445</v>
      </c>
      <c r="Q6" s="171">
        <f>P6*60</f>
        <v>506700</v>
      </c>
      <c r="R6" s="10">
        <f>Q6/M6</f>
        <v>0.30459873760144274</v>
      </c>
      <c r="S6" s="13">
        <v>2</v>
      </c>
      <c r="T6" s="171">
        <v>19236</v>
      </c>
      <c r="U6" s="171">
        <f>T6*60</f>
        <v>1154160</v>
      </c>
      <c r="V6" s="262">
        <v>13392</v>
      </c>
      <c r="W6" s="176">
        <f>V6*60</f>
        <v>803520</v>
      </c>
      <c r="X6" s="171">
        <f>T6-V6</f>
        <v>5844</v>
      </c>
      <c r="Y6" s="171">
        <f>X6*60</f>
        <v>350640</v>
      </c>
      <c r="Z6" s="10">
        <f>Y6/U6</f>
        <v>0.30380536494073612</v>
      </c>
      <c r="AA6" s="14">
        <v>2</v>
      </c>
      <c r="AB6" s="171">
        <v>26213</v>
      </c>
      <c r="AC6" s="171">
        <f>AB6*60</f>
        <v>1572780</v>
      </c>
      <c r="AD6" s="171">
        <v>18080</v>
      </c>
      <c r="AE6" s="171">
        <f>AD6*60</f>
        <v>1084800</v>
      </c>
      <c r="AF6" s="171">
        <f>AB6-AD6</f>
        <v>8133</v>
      </c>
      <c r="AG6" s="171">
        <f>AF6*60</f>
        <v>487980</v>
      </c>
      <c r="AH6" s="10">
        <f>AG6/AC6</f>
        <v>0.31026589859993131</v>
      </c>
      <c r="AI6" s="13">
        <v>2</v>
      </c>
      <c r="AJ6" s="171">
        <v>25772.800000000003</v>
      </c>
      <c r="AK6" s="171">
        <f>AJ6*60</f>
        <v>1546368.0000000002</v>
      </c>
      <c r="AL6" s="171">
        <v>18880</v>
      </c>
      <c r="AM6" s="171">
        <f>AL6*60</f>
        <v>1132800</v>
      </c>
      <c r="AN6" s="171">
        <f>AJ6-AL6</f>
        <v>6892.8000000000029</v>
      </c>
      <c r="AO6" s="171">
        <f>AN6*60</f>
        <v>413568.00000000017</v>
      </c>
      <c r="AP6" s="10">
        <f>AO6/AK6</f>
        <v>0.26744474795132861</v>
      </c>
      <c r="AQ6" s="13">
        <v>2</v>
      </c>
      <c r="AR6" s="171">
        <v>26621.440000000002</v>
      </c>
      <c r="AS6" s="171">
        <f>AR6*60</f>
        <v>1597286.4000000001</v>
      </c>
      <c r="AT6" s="171">
        <v>19424</v>
      </c>
      <c r="AU6" s="171">
        <f>AT6*60</f>
        <v>1165440</v>
      </c>
      <c r="AV6" s="171">
        <f>AR6-AT6</f>
        <v>7197.4400000000023</v>
      </c>
      <c r="AW6" s="171">
        <f>AV6*60</f>
        <v>431846.40000000014</v>
      </c>
      <c r="AX6" s="55">
        <f>AW6/AS6</f>
        <v>0.27036253485912115</v>
      </c>
      <c r="AY6" s="59">
        <v>2</v>
      </c>
      <c r="AZ6" s="9">
        <f>AR6+AJ6+AB6+T6+L6+D6</f>
        <v>140198.24</v>
      </c>
      <c r="BA6" s="9">
        <f>AS6+AK6+AC6+U6+M6+E6</f>
        <v>8411894.4000000004</v>
      </c>
      <c r="BB6" s="57">
        <f>AT6+AL6+AD6+V6+N6+F6</f>
        <v>99296</v>
      </c>
      <c r="BC6" s="58">
        <f>AU6+AM6+AE6+W6+O6+G6</f>
        <v>5957760</v>
      </c>
      <c r="BD6" s="171">
        <f>AZ6-BB6</f>
        <v>40902.239999999991</v>
      </c>
      <c r="BE6" s="171">
        <f>BD6*60</f>
        <v>2454134.3999999994</v>
      </c>
      <c r="BF6" s="10">
        <f>BE6/BA6</f>
        <v>0.29174574516769958</v>
      </c>
      <c r="BG6" s="13">
        <v>2</v>
      </c>
      <c r="BH6" s="9">
        <f t="shared" ref="BH6:BM6" si="0">D6+L6+T6</f>
        <v>61591</v>
      </c>
      <c r="BI6" s="9">
        <f t="shared" si="0"/>
        <v>3695460</v>
      </c>
      <c r="BJ6" s="9">
        <f t="shared" si="0"/>
        <v>42912</v>
      </c>
      <c r="BK6" s="9">
        <f t="shared" si="0"/>
        <v>2574720</v>
      </c>
      <c r="BL6" s="9">
        <f t="shared" si="0"/>
        <v>18679</v>
      </c>
      <c r="BM6" s="9">
        <f t="shared" si="0"/>
        <v>1120740</v>
      </c>
      <c r="BN6" s="55">
        <f>BM6/BI6</f>
        <v>0.30327482911464337</v>
      </c>
      <c r="BO6" s="13">
        <v>2</v>
      </c>
      <c r="BP6" s="9">
        <f t="shared" ref="BP6:BU6" si="1">AB6+AJ6+AR6</f>
        <v>78607.240000000005</v>
      </c>
      <c r="BQ6" s="9">
        <f t="shared" si="1"/>
        <v>4716434.4000000004</v>
      </c>
      <c r="BR6" s="9">
        <f t="shared" si="1"/>
        <v>56384</v>
      </c>
      <c r="BS6" s="9">
        <f t="shared" si="1"/>
        <v>3383040</v>
      </c>
      <c r="BT6" s="9">
        <f t="shared" si="1"/>
        <v>22223.240000000005</v>
      </c>
      <c r="BU6" s="9">
        <f t="shared" si="1"/>
        <v>1333394.4000000004</v>
      </c>
      <c r="BV6" s="10">
        <f>BU6/BQ6</f>
        <v>0.28271238120051034</v>
      </c>
      <c r="BX6" s="13">
        <v>2</v>
      </c>
      <c r="BY6" s="171">
        <v>25772.800000000003</v>
      </c>
      <c r="BZ6" s="171">
        <f>BY6*60</f>
        <v>1546368.0000000002</v>
      </c>
      <c r="CA6" s="267">
        <v>18880</v>
      </c>
      <c r="CB6" s="268">
        <f>CA6*60</f>
        <v>1132800</v>
      </c>
      <c r="CC6" s="171">
        <f>(BY6-CA6)+1319</f>
        <v>8211.8000000000029</v>
      </c>
      <c r="CD6" s="171">
        <f>CC6*60</f>
        <v>492708.00000000017</v>
      </c>
      <c r="CE6" s="10">
        <f>CD6/BZ6</f>
        <v>0.31862273404519498</v>
      </c>
      <c r="CF6" s="177">
        <v>2</v>
      </c>
      <c r="CG6" s="171">
        <v>27061.440000000002</v>
      </c>
      <c r="CH6" s="171">
        <f>CG6*60</f>
        <v>1623686.4000000001</v>
      </c>
      <c r="CI6" s="245">
        <v>19824</v>
      </c>
      <c r="CJ6" s="176">
        <f>CI6*60</f>
        <v>1189440</v>
      </c>
      <c r="CK6" s="171">
        <f>CG6-CI6</f>
        <v>7237.4400000000023</v>
      </c>
      <c r="CL6" s="171">
        <f>CK6*60</f>
        <v>434246.40000000014</v>
      </c>
      <c r="CM6" s="10">
        <f>CL6/CH6</f>
        <v>0.26744474795132861</v>
      </c>
      <c r="CN6" s="13">
        <v>2</v>
      </c>
      <c r="CO6" s="171">
        <v>25710.080000000002</v>
      </c>
      <c r="CP6" s="171">
        <f>CO6*60</f>
        <v>1542604.8</v>
      </c>
      <c r="CQ6" s="245">
        <f>18768+1600</f>
        <v>20368</v>
      </c>
      <c r="CR6" s="176">
        <f>CQ6*60</f>
        <v>1222080</v>
      </c>
      <c r="CS6" s="171">
        <f>CO6-CQ6</f>
        <v>5342.0800000000017</v>
      </c>
      <c r="CT6" s="171">
        <f>CS6*60</f>
        <v>320524.8000000001</v>
      </c>
      <c r="CU6" s="10">
        <f>CT6/CP6</f>
        <v>0.20778153938066321</v>
      </c>
      <c r="CX6" s="171">
        <f>CW6*60</f>
        <v>0</v>
      </c>
      <c r="CY6" s="262"/>
      <c r="CZ6" s="176">
        <f>CY6*60</f>
        <v>0</v>
      </c>
      <c r="DA6" s="171">
        <f>CW6-CY6</f>
        <v>0</v>
      </c>
      <c r="DB6" s="171">
        <f>DA6*60</f>
        <v>0</v>
      </c>
      <c r="DC6" s="10">
        <v>0</v>
      </c>
      <c r="DD6" s="171">
        <v>1</v>
      </c>
      <c r="DE6" s="171">
        <v>3840</v>
      </c>
      <c r="DF6" s="171">
        <f>DE6*60</f>
        <v>230400</v>
      </c>
      <c r="DG6" s="245">
        <v>3200</v>
      </c>
      <c r="DH6" s="1538">
        <f>DG6*60</f>
        <v>192000</v>
      </c>
      <c r="DI6" s="171">
        <f>DE6-DG6</f>
        <v>640</v>
      </c>
      <c r="DJ6" s="171">
        <f>DI6*60</f>
        <v>38400</v>
      </c>
      <c r="DK6" s="10">
        <f>DJ6/DF6</f>
        <v>0.16666666666666666</v>
      </c>
      <c r="DL6" s="13">
        <v>2</v>
      </c>
      <c r="DM6" s="171">
        <v>16320</v>
      </c>
      <c r="DN6" s="171">
        <f>DM6*60</f>
        <v>979200</v>
      </c>
      <c r="DO6" s="245">
        <v>12800</v>
      </c>
      <c r="DP6" s="176">
        <f>DO6*60</f>
        <v>768000</v>
      </c>
      <c r="DQ6" s="171">
        <f>DM6-DO6</f>
        <v>3520</v>
      </c>
      <c r="DR6" s="171">
        <f>DQ6*60</f>
        <v>211200</v>
      </c>
      <c r="DS6" s="10">
        <f>DR6/DN6</f>
        <v>0.21568627450980393</v>
      </c>
      <c r="DT6" s="13">
        <v>2</v>
      </c>
      <c r="DU6" s="171">
        <v>21920</v>
      </c>
      <c r="DV6" s="171">
        <f>DU6*60</f>
        <v>1315200</v>
      </c>
      <c r="DW6" s="245">
        <v>16800</v>
      </c>
      <c r="DX6" s="176">
        <f>DW6*60</f>
        <v>1008000</v>
      </c>
      <c r="DY6" s="171">
        <f>DU6-DW6</f>
        <v>5120</v>
      </c>
      <c r="DZ6" s="171">
        <f>DY6*60</f>
        <v>307200</v>
      </c>
      <c r="EA6" s="10">
        <f>DZ6/DV6</f>
        <v>0.23357664233576642</v>
      </c>
      <c r="EB6" s="13">
        <v>2</v>
      </c>
      <c r="EC6" s="171">
        <v>20800</v>
      </c>
      <c r="ED6" s="171">
        <f>EC6*60</f>
        <v>1248000</v>
      </c>
      <c r="EE6" s="245">
        <v>16000</v>
      </c>
      <c r="EF6" s="176">
        <f>EE6*60</f>
        <v>960000</v>
      </c>
      <c r="EG6" s="171">
        <f>EC6-EE6</f>
        <v>4800</v>
      </c>
      <c r="EH6" s="171">
        <f>EG6*60</f>
        <v>288000</v>
      </c>
      <c r="EI6" s="10">
        <f>EH6/ED6</f>
        <v>0.23076923076923078</v>
      </c>
      <c r="EJ6" s="13">
        <v>2</v>
      </c>
      <c r="EK6" s="171">
        <f>20800+1320</f>
        <v>22120</v>
      </c>
      <c r="EL6" s="171">
        <f>EK6*60</f>
        <v>1327200</v>
      </c>
      <c r="EM6" s="245">
        <f>18800-2720</f>
        <v>16080</v>
      </c>
      <c r="EN6" s="176">
        <f>EM6*60</f>
        <v>964800</v>
      </c>
      <c r="EO6" s="171">
        <f>EK6-EM6</f>
        <v>6040</v>
      </c>
      <c r="EP6" s="171">
        <f>EO6*60</f>
        <v>362400</v>
      </c>
      <c r="EQ6" s="55">
        <f>EP6/EL6</f>
        <v>0.27305605786618448</v>
      </c>
      <c r="ER6" s="59">
        <v>2</v>
      </c>
      <c r="ES6" s="9">
        <f t="shared" ref="ES6:EX6" si="2">BY6+CG6+CO6+CW6+DE6+DM6+DU6+EC6+EK6</f>
        <v>163544.32000000001</v>
      </c>
      <c r="ET6" s="9">
        <f t="shared" si="2"/>
        <v>9812659.1999999993</v>
      </c>
      <c r="EU6" s="57">
        <f t="shared" si="2"/>
        <v>123952</v>
      </c>
      <c r="EV6" s="58">
        <f t="shared" si="2"/>
        <v>7437120</v>
      </c>
      <c r="EW6" s="9">
        <f t="shared" si="2"/>
        <v>40911.320000000007</v>
      </c>
      <c r="EX6" s="9">
        <f t="shared" si="2"/>
        <v>2454679.2000000002</v>
      </c>
      <c r="EY6" s="10">
        <f>EX6/ET6</f>
        <v>0.25015433125406011</v>
      </c>
      <c r="FA6" s="11">
        <v>2</v>
      </c>
      <c r="FB6" s="171">
        <v>22880</v>
      </c>
      <c r="FC6" s="171">
        <f>FB6*60</f>
        <v>1372800</v>
      </c>
      <c r="FD6" s="267">
        <v>17600</v>
      </c>
      <c r="FE6" s="268">
        <f>FD6*60</f>
        <v>1056000</v>
      </c>
      <c r="FF6" s="171">
        <f>(FB6-FD6)</f>
        <v>5280</v>
      </c>
      <c r="FG6" s="171">
        <f>FF6*60</f>
        <v>316800</v>
      </c>
      <c r="FH6" s="10">
        <f>FG6/FC6</f>
        <v>0.23076923076923078</v>
      </c>
      <c r="FI6" s="177">
        <v>2</v>
      </c>
      <c r="FJ6" s="171">
        <v>21920</v>
      </c>
      <c r="FK6" s="171">
        <f>FJ6*60</f>
        <v>1315200</v>
      </c>
      <c r="FL6" s="245">
        <v>16800</v>
      </c>
      <c r="FM6" s="176">
        <f>FL6*60</f>
        <v>1008000</v>
      </c>
      <c r="FN6" s="171">
        <f>FJ6-FL6</f>
        <v>5120</v>
      </c>
      <c r="FO6" s="171">
        <f>FN6*60</f>
        <v>307200</v>
      </c>
      <c r="FP6" s="10">
        <f>FO6/FK6</f>
        <v>0.23357664233576642</v>
      </c>
      <c r="FQ6" s="13">
        <v>2</v>
      </c>
      <c r="FR6" s="171">
        <f>21920-1120</f>
        <v>20800</v>
      </c>
      <c r="FS6" s="171">
        <f>FR6*60</f>
        <v>1248000</v>
      </c>
      <c r="FT6" s="245">
        <f>16800-880</f>
        <v>15920</v>
      </c>
      <c r="FU6" s="176">
        <f>FT6*60</f>
        <v>955200</v>
      </c>
      <c r="FV6" s="171">
        <f>FR6-FT6</f>
        <v>4880</v>
      </c>
      <c r="FW6" s="171">
        <f>FV6*60</f>
        <v>292800</v>
      </c>
      <c r="FX6" s="10">
        <f>FW6/FS6</f>
        <v>0.23461538461538461</v>
      </c>
      <c r="FY6" s="14">
        <v>2</v>
      </c>
      <c r="FZ6" s="14">
        <v>22880</v>
      </c>
      <c r="GA6" s="171">
        <f>FZ6*60</f>
        <v>1372800</v>
      </c>
      <c r="GB6" s="262">
        <v>17952</v>
      </c>
      <c r="GC6" s="176">
        <f>GB6*60</f>
        <v>1077120</v>
      </c>
      <c r="GD6" s="171">
        <f>FZ6-GB6</f>
        <v>4928</v>
      </c>
      <c r="GE6" s="171">
        <f>GD6*60</f>
        <v>295680</v>
      </c>
      <c r="GF6" s="10">
        <f>GE6/GA6</f>
        <v>0.2153846153846154</v>
      </c>
      <c r="GG6" s="14">
        <v>2</v>
      </c>
      <c r="GH6" s="171">
        <v>21440</v>
      </c>
      <c r="GI6" s="171">
        <f>GH6*60</f>
        <v>1286400</v>
      </c>
      <c r="GJ6" s="245">
        <v>16704</v>
      </c>
      <c r="GK6" s="176">
        <f>GJ6*60</f>
        <v>1002240</v>
      </c>
      <c r="GL6" s="171">
        <f>GH6-GJ6</f>
        <v>4736</v>
      </c>
      <c r="GM6" s="171">
        <f>GL6*60</f>
        <v>284160</v>
      </c>
      <c r="GN6" s="10">
        <f>GM6/GI6</f>
        <v>0.22089552238805971</v>
      </c>
      <c r="GO6" s="13">
        <v>2</v>
      </c>
      <c r="GP6" s="171">
        <v>20800</v>
      </c>
      <c r="GQ6" s="171">
        <f>GP6*60</f>
        <v>1248000</v>
      </c>
      <c r="GR6" s="245">
        <v>16320</v>
      </c>
      <c r="GS6" s="176">
        <f>GR6*60</f>
        <v>979200</v>
      </c>
      <c r="GT6" s="171">
        <f>GP6-GR6</f>
        <v>4480</v>
      </c>
      <c r="GU6" s="171">
        <f>GT6*60</f>
        <v>268800</v>
      </c>
      <c r="GV6" s="10">
        <f>GU6/GQ6</f>
        <v>0.2153846153846154</v>
      </c>
      <c r="GW6" s="13">
        <v>1</v>
      </c>
      <c r="GX6" s="171">
        <v>10560</v>
      </c>
      <c r="GY6" s="171">
        <f>GX6*60</f>
        <v>633600</v>
      </c>
      <c r="GZ6" s="245">
        <v>9152</v>
      </c>
      <c r="HA6" s="176">
        <f>GZ6*60</f>
        <v>549120</v>
      </c>
      <c r="HB6" s="171">
        <f>GX6-GZ6</f>
        <v>1408</v>
      </c>
      <c r="HC6" s="171">
        <f>HB6*60</f>
        <v>84480</v>
      </c>
      <c r="HD6" s="10">
        <f>HC6/GY6</f>
        <v>0.13333333333333333</v>
      </c>
      <c r="HE6" s="13">
        <v>1</v>
      </c>
      <c r="HF6" s="171">
        <v>10080</v>
      </c>
      <c r="HG6" s="171">
        <f>HF6*60</f>
        <v>604800</v>
      </c>
      <c r="HH6" s="245">
        <v>8736</v>
      </c>
      <c r="HI6" s="176">
        <f>HH6*60</f>
        <v>524160</v>
      </c>
      <c r="HJ6" s="171">
        <f>HF6-HH6</f>
        <v>1344</v>
      </c>
      <c r="HK6" s="171">
        <f>HJ6*60</f>
        <v>80640</v>
      </c>
      <c r="HL6" s="10">
        <f>HK6/HG6</f>
        <v>0.13333333333333333</v>
      </c>
      <c r="HM6" s="13">
        <v>2</v>
      </c>
      <c r="HN6" s="171">
        <v>12072</v>
      </c>
      <c r="HO6" s="171">
        <f>HN6*60</f>
        <v>724320</v>
      </c>
      <c r="HP6" s="245">
        <v>10256</v>
      </c>
      <c r="HQ6" s="176">
        <f>HP6*60</f>
        <v>615360</v>
      </c>
      <c r="HR6" s="171">
        <f>HN6-HP6</f>
        <v>1816</v>
      </c>
      <c r="HS6" s="171">
        <f>HR6*60</f>
        <v>108960</v>
      </c>
      <c r="HT6" s="10">
        <f>HS6/HO6</f>
        <v>0.15043074884029159</v>
      </c>
      <c r="HU6" s="13">
        <v>2</v>
      </c>
      <c r="HV6" s="171">
        <v>21296</v>
      </c>
      <c r="HW6" s="171">
        <f>HV6*60</f>
        <v>1277760</v>
      </c>
      <c r="HX6" s="245">
        <v>17952</v>
      </c>
      <c r="HY6" s="176">
        <f>HX6*60</f>
        <v>1077120</v>
      </c>
      <c r="HZ6" s="171">
        <f>HV6-HX6</f>
        <v>3344</v>
      </c>
      <c r="IA6" s="171">
        <f>HZ6*60</f>
        <v>200640</v>
      </c>
      <c r="IB6" s="10">
        <f>IA6/HW6</f>
        <v>0.15702479338842976</v>
      </c>
      <c r="IC6" s="13"/>
      <c r="ID6" s="171">
        <v>0</v>
      </c>
      <c r="IE6" s="171">
        <f>ID6*60</f>
        <v>0</v>
      </c>
      <c r="IF6" s="245">
        <v>0</v>
      </c>
      <c r="IG6" s="176">
        <f>IF6*60</f>
        <v>0</v>
      </c>
      <c r="IH6" s="171">
        <f>ID6-IF6</f>
        <v>0</v>
      </c>
      <c r="II6" s="171">
        <f>IH6*60</f>
        <v>0</v>
      </c>
      <c r="IJ6" s="10" t="e">
        <f>II6/IE6</f>
        <v>#DIV/0!</v>
      </c>
      <c r="IK6" s="13"/>
      <c r="IL6" s="171"/>
      <c r="IM6" s="171">
        <f>IL6*60</f>
        <v>0</v>
      </c>
      <c r="IN6" s="245"/>
      <c r="IO6" s="176">
        <f>IN6*60</f>
        <v>0</v>
      </c>
      <c r="IP6" s="171">
        <f>IL6-IN6</f>
        <v>0</v>
      </c>
      <c r="IQ6" s="171">
        <f>IP6*60</f>
        <v>0</v>
      </c>
      <c r="IR6" s="55" t="e">
        <f>IQ6/IM6</f>
        <v>#DIV/0!</v>
      </c>
      <c r="IS6" s="59">
        <v>2</v>
      </c>
      <c r="IT6" s="9">
        <f t="shared" ref="IT6:IY6" si="3">FB6+FJ6+FR6+FZ6+GH6+GP6+GX6+HF6+IL6+HN6+HV6+ID6</f>
        <v>184728</v>
      </c>
      <c r="IU6" s="9">
        <f t="shared" si="3"/>
        <v>11083680</v>
      </c>
      <c r="IV6" s="57">
        <f t="shared" si="3"/>
        <v>147392</v>
      </c>
      <c r="IW6" s="58">
        <f t="shared" si="3"/>
        <v>8843520</v>
      </c>
      <c r="IX6" s="9">
        <f t="shared" si="3"/>
        <v>37336</v>
      </c>
      <c r="IY6" s="9">
        <f t="shared" si="3"/>
        <v>2240160</v>
      </c>
      <c r="IZ6" s="10">
        <f>IY6/IU6</f>
        <v>0.20211337750638778</v>
      </c>
    </row>
    <row r="7" spans="1:260" ht="15.6" x14ac:dyDescent="0.3">
      <c r="A7" s="5"/>
      <c r="B7" s="6"/>
      <c r="C7" s="12"/>
      <c r="F7" s="270"/>
      <c r="G7" s="859"/>
      <c r="J7" s="15"/>
      <c r="K7" s="12"/>
      <c r="N7" s="142"/>
      <c r="O7" s="143"/>
      <c r="R7" s="15"/>
      <c r="S7" s="12"/>
      <c r="V7" s="142"/>
      <c r="W7" s="143"/>
      <c r="Z7" s="15"/>
      <c r="AH7" s="15"/>
      <c r="AI7" s="12"/>
      <c r="AP7" s="15"/>
      <c r="AY7" s="253"/>
      <c r="AZ7" s="16"/>
      <c r="BA7" s="16"/>
      <c r="BB7" s="254"/>
      <c r="BC7" s="255"/>
      <c r="BD7" s="16"/>
      <c r="BE7" s="16"/>
      <c r="BF7" s="17"/>
      <c r="BG7" s="12"/>
      <c r="BO7" s="12"/>
      <c r="BV7" s="15"/>
      <c r="BX7" s="12"/>
      <c r="BY7" s="172"/>
      <c r="CA7" s="270"/>
      <c r="CB7" s="859"/>
      <c r="CE7" s="15"/>
      <c r="CF7" s="256"/>
      <c r="CG7" s="172"/>
      <c r="CH7" s="172"/>
      <c r="CI7" s="250"/>
      <c r="CJ7" s="205"/>
      <c r="CK7" s="172"/>
      <c r="CL7" s="172"/>
      <c r="CM7" s="15"/>
      <c r="CN7" s="12"/>
      <c r="CQ7" s="142"/>
      <c r="CR7" s="143"/>
      <c r="CU7" s="15"/>
      <c r="CY7" s="142"/>
      <c r="CZ7" s="143"/>
      <c r="DC7" s="15"/>
      <c r="DG7" s="142"/>
      <c r="DH7" s="143"/>
      <c r="DK7" s="15"/>
      <c r="DL7" s="12"/>
      <c r="DO7" s="142"/>
      <c r="DP7" s="143"/>
      <c r="DS7" s="15"/>
      <c r="DT7" s="12"/>
      <c r="DW7" s="142"/>
      <c r="DX7" s="143"/>
      <c r="EA7" s="15"/>
      <c r="EB7" s="12"/>
      <c r="EE7" s="142"/>
      <c r="EF7" s="143"/>
      <c r="EI7" s="15"/>
      <c r="EM7" s="142"/>
      <c r="EN7" s="143"/>
      <c r="ER7" s="253"/>
      <c r="ES7" s="16"/>
      <c r="ET7" s="16"/>
      <c r="EU7" s="254"/>
      <c r="EV7" s="255"/>
      <c r="EW7" s="16"/>
      <c r="EX7" s="16"/>
      <c r="EY7" s="17"/>
      <c r="FA7" s="19"/>
      <c r="FB7" s="172"/>
      <c r="FD7" s="270"/>
      <c r="FE7" s="859"/>
      <c r="FH7" s="15"/>
      <c r="FI7" s="256"/>
      <c r="FJ7" s="172"/>
      <c r="FK7" s="172"/>
      <c r="FL7" s="250"/>
      <c r="FM7" s="205"/>
      <c r="FN7" s="172"/>
      <c r="FO7" s="172"/>
      <c r="FP7" s="15"/>
      <c r="FQ7" s="12"/>
      <c r="FT7" s="142"/>
      <c r="FU7" s="143"/>
      <c r="FX7" s="15"/>
      <c r="GB7" s="142"/>
      <c r="GC7" s="143"/>
      <c r="GF7" s="15"/>
      <c r="GJ7" s="142"/>
      <c r="GK7" s="143"/>
      <c r="GN7" s="15"/>
      <c r="GO7" s="12"/>
      <c r="GR7" s="142"/>
      <c r="GS7" s="143"/>
      <c r="GV7" s="15"/>
      <c r="GW7" s="12"/>
      <c r="GZ7" s="142"/>
      <c r="HA7" s="143"/>
      <c r="HD7" s="15"/>
      <c r="HE7" s="12"/>
      <c r="HH7" s="142"/>
      <c r="HI7" s="143"/>
      <c r="HL7" s="15"/>
      <c r="HM7" s="12"/>
      <c r="HP7" s="142"/>
      <c r="HQ7" s="143"/>
      <c r="HT7" s="15"/>
      <c r="HU7" s="12"/>
      <c r="HX7" s="142"/>
      <c r="HY7" s="143"/>
      <c r="IB7" s="15"/>
      <c r="IC7" s="12"/>
      <c r="IF7" s="142"/>
      <c r="IG7" s="143"/>
      <c r="IJ7" s="15"/>
      <c r="IN7" s="142"/>
      <c r="IO7" s="143"/>
      <c r="IS7" s="253"/>
      <c r="IT7" s="16"/>
      <c r="IU7" s="16"/>
      <c r="IV7" s="254"/>
      <c r="IW7" s="255"/>
      <c r="IX7" s="16"/>
      <c r="IY7" s="16"/>
      <c r="IZ7" s="17"/>
    </row>
    <row r="8" spans="1:260" ht="19.350000000000001" hidden="1" customHeight="1" x14ac:dyDescent="0.3">
      <c r="A8" s="5"/>
      <c r="B8" s="6"/>
      <c r="C8" s="12"/>
      <c r="F8" s="270"/>
      <c r="G8" s="859"/>
      <c r="J8" s="15"/>
      <c r="K8" s="12"/>
      <c r="N8" s="142"/>
      <c r="O8" s="143"/>
      <c r="R8" s="15"/>
      <c r="S8" s="12"/>
      <c r="V8" s="142"/>
      <c r="W8" s="143"/>
      <c r="Z8" s="15"/>
      <c r="AH8" s="15"/>
      <c r="AI8" s="12"/>
      <c r="AP8" s="15"/>
      <c r="AY8" s="253"/>
      <c r="AZ8" s="16"/>
      <c r="BA8" s="16"/>
      <c r="BB8" s="254"/>
      <c r="BC8" s="255"/>
      <c r="BD8" s="16"/>
      <c r="BE8" s="16"/>
      <c r="BF8" s="17"/>
      <c r="BG8" s="12"/>
      <c r="BO8" s="12"/>
      <c r="BV8" s="15"/>
      <c r="BX8" s="12"/>
      <c r="BY8" s="172"/>
      <c r="CA8" s="270"/>
      <c r="CB8" s="859"/>
      <c r="CE8" s="15"/>
      <c r="CF8" s="256"/>
      <c r="CG8" s="172"/>
      <c r="CH8" s="172"/>
      <c r="CI8" s="250"/>
      <c r="CJ8" s="205"/>
      <c r="CK8" s="172"/>
      <c r="CL8" s="172"/>
      <c r="CM8" s="15"/>
      <c r="CN8" s="12"/>
      <c r="CQ8" s="142"/>
      <c r="CR8" s="143"/>
      <c r="CU8" s="15"/>
      <c r="CY8" s="142"/>
      <c r="CZ8" s="143"/>
      <c r="DC8" s="15"/>
      <c r="DG8" s="142"/>
      <c r="DH8" s="143"/>
      <c r="DK8" s="15"/>
      <c r="DL8" s="12"/>
      <c r="DO8" s="142"/>
      <c r="DP8" s="143"/>
      <c r="DS8" s="15"/>
      <c r="DT8" s="12"/>
      <c r="DW8" s="142"/>
      <c r="DX8" s="143"/>
      <c r="EA8" s="15"/>
      <c r="EB8" s="12"/>
      <c r="EE8" s="142"/>
      <c r="EF8" s="143"/>
      <c r="EI8" s="15"/>
      <c r="EM8" s="142"/>
      <c r="EN8" s="143"/>
      <c r="ER8" s="253"/>
      <c r="ES8" s="16"/>
      <c r="ET8" s="16"/>
      <c r="EU8" s="254"/>
      <c r="EV8" s="255"/>
      <c r="EW8" s="16"/>
      <c r="EX8" s="16"/>
      <c r="EY8" s="17"/>
      <c r="FA8" s="19"/>
      <c r="FB8" s="172"/>
      <c r="FD8" s="270"/>
      <c r="FE8" s="859"/>
      <c r="FH8" s="15"/>
      <c r="FI8" s="256"/>
      <c r="FJ8" s="172"/>
      <c r="FK8" s="172"/>
      <c r="FL8" s="250"/>
      <c r="FM8" s="205"/>
      <c r="FN8" s="172"/>
      <c r="FO8" s="172"/>
      <c r="FP8" s="15"/>
      <c r="FQ8" s="12"/>
      <c r="FT8" s="142"/>
      <c r="FU8" s="143"/>
      <c r="FX8" s="15"/>
      <c r="GB8" s="142"/>
      <c r="GC8" s="143"/>
      <c r="GF8" s="15"/>
      <c r="GJ8" s="142"/>
      <c r="GK8" s="143"/>
      <c r="GN8" s="15"/>
      <c r="GO8" s="12"/>
      <c r="GR8" s="142"/>
      <c r="GS8" s="143"/>
      <c r="GV8" s="15"/>
      <c r="GW8" s="12"/>
      <c r="GZ8" s="142"/>
      <c r="HA8" s="143"/>
      <c r="HD8" s="15"/>
      <c r="HE8" s="12"/>
      <c r="HH8" s="142"/>
      <c r="HI8" s="143"/>
      <c r="HL8" s="15"/>
      <c r="HM8" s="12"/>
      <c r="HP8" s="142"/>
      <c r="HQ8" s="143"/>
      <c r="HT8" s="15"/>
      <c r="HU8" s="12"/>
      <c r="HX8" s="142"/>
      <c r="HY8" s="143"/>
      <c r="IB8" s="15"/>
      <c r="IC8" s="12"/>
      <c r="IF8" s="142"/>
      <c r="IG8" s="143"/>
      <c r="IJ8" s="15"/>
      <c r="IN8" s="142"/>
      <c r="IO8" s="143"/>
      <c r="IS8" s="253"/>
      <c r="IT8" s="16"/>
      <c r="IU8" s="16"/>
      <c r="IV8" s="254"/>
      <c r="IW8" s="255"/>
      <c r="IX8" s="16"/>
      <c r="IY8" s="16"/>
      <c r="IZ8" s="17"/>
    </row>
    <row r="9" spans="1:260" ht="19.350000000000001" hidden="1" customHeight="1" x14ac:dyDescent="0.3">
      <c r="A9" s="5"/>
      <c r="B9" s="6"/>
      <c r="C9" s="12"/>
      <c r="F9" s="270"/>
      <c r="G9" s="859"/>
      <c r="J9" s="15"/>
      <c r="K9" s="12"/>
      <c r="N9" s="142"/>
      <c r="O9" s="143"/>
      <c r="R9" s="15"/>
      <c r="S9" s="12"/>
      <c r="V9" s="142"/>
      <c r="W9" s="143"/>
      <c r="Z9" s="15"/>
      <c r="AH9" s="15"/>
      <c r="AI9" s="12"/>
      <c r="AP9" s="15"/>
      <c r="AY9" s="253"/>
      <c r="AZ9" s="16"/>
      <c r="BA9" s="16"/>
      <c r="BB9" s="254"/>
      <c r="BC9" s="255"/>
      <c r="BD9" s="16"/>
      <c r="BE9" s="16"/>
      <c r="BF9" s="17"/>
      <c r="BG9" s="12"/>
      <c r="BO9" s="12"/>
      <c r="BV9" s="15"/>
      <c r="BX9" s="12"/>
      <c r="BY9" s="172"/>
      <c r="CA9" s="270"/>
      <c r="CB9" s="859"/>
      <c r="CE9" s="15"/>
      <c r="CF9" s="256"/>
      <c r="CG9" s="172"/>
      <c r="CH9" s="172"/>
      <c r="CI9" s="250"/>
      <c r="CJ9" s="205"/>
      <c r="CK9" s="172"/>
      <c r="CL9" s="172"/>
      <c r="CM9" s="15"/>
      <c r="CN9" s="12"/>
      <c r="CQ9" s="142"/>
      <c r="CR9" s="143"/>
      <c r="CU9" s="15"/>
      <c r="CY9" s="142"/>
      <c r="CZ9" s="143"/>
      <c r="DC9" s="15"/>
      <c r="DG9" s="142"/>
      <c r="DH9" s="143"/>
      <c r="DK9" s="15"/>
      <c r="DL9" s="12"/>
      <c r="DO9" s="142"/>
      <c r="DP9" s="143"/>
      <c r="DS9" s="15"/>
      <c r="DT9" s="12"/>
      <c r="DW9" s="142"/>
      <c r="DX9" s="143"/>
      <c r="EA9" s="15"/>
      <c r="EB9" s="12"/>
      <c r="EE9" s="142"/>
      <c r="EF9" s="143"/>
      <c r="EI9" s="15"/>
      <c r="EM9" s="142"/>
      <c r="EN9" s="143"/>
      <c r="ER9" s="253"/>
      <c r="ES9" s="16"/>
      <c r="ET9" s="16"/>
      <c r="EU9" s="254"/>
      <c r="EV9" s="255"/>
      <c r="EW9" s="16"/>
      <c r="EX9" s="16"/>
      <c r="EY9" s="17"/>
      <c r="FA9" s="19"/>
      <c r="FB9" s="172"/>
      <c r="FD9" s="270"/>
      <c r="FE9" s="859"/>
      <c r="FH9" s="15"/>
      <c r="FI9" s="256"/>
      <c r="FJ9" s="172"/>
      <c r="FK9" s="172"/>
      <c r="FL9" s="250"/>
      <c r="FM9" s="205"/>
      <c r="FN9" s="172"/>
      <c r="FO9" s="172"/>
      <c r="FP9" s="15"/>
      <c r="FQ9" s="12"/>
      <c r="FT9" s="142"/>
      <c r="FU9" s="143"/>
      <c r="FX9" s="15"/>
      <c r="GB9" s="142"/>
      <c r="GC9" s="143"/>
      <c r="GF9" s="15"/>
      <c r="GJ9" s="142"/>
      <c r="GK9" s="143"/>
      <c r="GN9" s="15"/>
      <c r="GO9" s="12"/>
      <c r="GR9" s="142"/>
      <c r="GS9" s="143"/>
      <c r="GV9" s="15"/>
      <c r="GW9" s="12"/>
      <c r="GZ9" s="142"/>
      <c r="HA9" s="143"/>
      <c r="HD9" s="15"/>
      <c r="HE9" s="12"/>
      <c r="HH9" s="142"/>
      <c r="HI9" s="143"/>
      <c r="HL9" s="15"/>
      <c r="HM9" s="12"/>
      <c r="HP9" s="142"/>
      <c r="HQ9" s="143"/>
      <c r="HT9" s="15"/>
      <c r="HU9" s="12"/>
      <c r="HX9" s="142"/>
      <c r="HY9" s="143"/>
      <c r="IB9" s="15"/>
      <c r="IC9" s="12"/>
      <c r="IF9" s="142"/>
      <c r="IG9" s="143"/>
      <c r="IJ9" s="15"/>
      <c r="IN9" s="142"/>
      <c r="IO9" s="143"/>
      <c r="IS9" s="253"/>
      <c r="IT9" s="16"/>
      <c r="IU9" s="16"/>
      <c r="IV9" s="254"/>
      <c r="IW9" s="255"/>
      <c r="IX9" s="16"/>
      <c r="IY9" s="16"/>
      <c r="IZ9" s="17"/>
    </row>
    <row r="10" spans="1:260" ht="19.350000000000001" hidden="1" customHeight="1" x14ac:dyDescent="0.3">
      <c r="A10" s="5"/>
      <c r="B10" s="6"/>
      <c r="C10" s="12"/>
      <c r="F10" s="270"/>
      <c r="G10" s="859"/>
      <c r="J10" s="15"/>
      <c r="K10" s="12"/>
      <c r="N10" s="142"/>
      <c r="O10" s="143"/>
      <c r="R10" s="15"/>
      <c r="S10" s="12"/>
      <c r="V10" s="142"/>
      <c r="W10" s="143"/>
      <c r="Z10" s="15"/>
      <c r="AH10" s="15"/>
      <c r="AI10" s="12"/>
      <c r="AP10" s="15"/>
      <c r="AY10" s="253"/>
      <c r="AZ10" s="16"/>
      <c r="BA10" s="16"/>
      <c r="BB10" s="254"/>
      <c r="BC10" s="255"/>
      <c r="BD10" s="16"/>
      <c r="BE10" s="16"/>
      <c r="BF10" s="17"/>
      <c r="BG10" s="12"/>
      <c r="BO10" s="12"/>
      <c r="BV10" s="15"/>
      <c r="BX10" s="12"/>
      <c r="BY10" s="172"/>
      <c r="CA10" s="270"/>
      <c r="CB10" s="859"/>
      <c r="CE10" s="15"/>
      <c r="CF10" s="256"/>
      <c r="CG10" s="172"/>
      <c r="CH10" s="172"/>
      <c r="CI10" s="250"/>
      <c r="CJ10" s="205"/>
      <c r="CK10" s="172"/>
      <c r="CL10" s="172"/>
      <c r="CM10" s="15"/>
      <c r="CN10" s="12"/>
      <c r="CQ10" s="142"/>
      <c r="CR10" s="143"/>
      <c r="CU10" s="15"/>
      <c r="CY10" s="142"/>
      <c r="CZ10" s="143"/>
      <c r="DC10" s="15"/>
      <c r="DG10" s="142"/>
      <c r="DH10" s="143"/>
      <c r="DK10" s="15"/>
      <c r="DL10" s="12"/>
      <c r="DO10" s="142"/>
      <c r="DP10" s="143"/>
      <c r="DS10" s="15"/>
      <c r="DT10" s="12"/>
      <c r="DW10" s="142"/>
      <c r="DX10" s="143"/>
      <c r="EA10" s="15"/>
      <c r="EB10" s="12"/>
      <c r="EE10" s="142"/>
      <c r="EF10" s="143"/>
      <c r="EI10" s="15"/>
      <c r="EM10" s="142"/>
      <c r="EN10" s="143"/>
      <c r="ER10" s="253"/>
      <c r="ES10" s="16"/>
      <c r="ET10" s="16"/>
      <c r="EU10" s="254"/>
      <c r="EV10" s="255"/>
      <c r="EW10" s="16"/>
      <c r="EX10" s="16"/>
      <c r="EY10" s="17"/>
      <c r="FA10" s="19"/>
      <c r="FB10" s="172"/>
      <c r="FD10" s="270"/>
      <c r="FE10" s="859"/>
      <c r="FH10" s="15"/>
      <c r="FI10" s="256"/>
      <c r="FJ10" s="172"/>
      <c r="FK10" s="172"/>
      <c r="FL10" s="250"/>
      <c r="FM10" s="205"/>
      <c r="FN10" s="172"/>
      <c r="FO10" s="172"/>
      <c r="FP10" s="15"/>
      <c r="FQ10" s="12"/>
      <c r="FT10" s="142"/>
      <c r="FU10" s="143"/>
      <c r="FX10" s="15"/>
      <c r="GB10" s="142"/>
      <c r="GC10" s="143"/>
      <c r="GF10" s="15"/>
      <c r="GJ10" s="142"/>
      <c r="GK10" s="143"/>
      <c r="GN10" s="15"/>
      <c r="GO10" s="12"/>
      <c r="GR10" s="142"/>
      <c r="GS10" s="143"/>
      <c r="GV10" s="15"/>
      <c r="GW10" s="12"/>
      <c r="GZ10" s="142"/>
      <c r="HA10" s="143"/>
      <c r="HD10" s="15"/>
      <c r="HE10" s="12"/>
      <c r="HH10" s="142"/>
      <c r="HI10" s="143"/>
      <c r="HL10" s="15"/>
      <c r="HM10" s="12"/>
      <c r="HP10" s="142"/>
      <c r="HQ10" s="143"/>
      <c r="HT10" s="15"/>
      <c r="HU10" s="12"/>
      <c r="HX10" s="142"/>
      <c r="HY10" s="143"/>
      <c r="IB10" s="15"/>
      <c r="IC10" s="12"/>
      <c r="IF10" s="142"/>
      <c r="IG10" s="143"/>
      <c r="IJ10" s="15"/>
      <c r="IN10" s="142"/>
      <c r="IO10" s="143"/>
      <c r="IS10" s="253"/>
      <c r="IT10" s="16"/>
      <c r="IU10" s="16"/>
      <c r="IV10" s="254"/>
      <c r="IW10" s="255"/>
      <c r="IX10" s="16"/>
      <c r="IY10" s="16"/>
      <c r="IZ10" s="17"/>
    </row>
    <row r="11" spans="1:260" ht="19.350000000000001" hidden="1" customHeight="1" x14ac:dyDescent="0.3">
      <c r="A11" s="5"/>
      <c r="B11" s="6"/>
      <c r="C11" s="12"/>
      <c r="F11" s="270"/>
      <c r="G11" s="859"/>
      <c r="J11" s="15"/>
      <c r="K11" s="12"/>
      <c r="N11" s="142"/>
      <c r="O11" s="143"/>
      <c r="R11" s="15"/>
      <c r="S11" s="12"/>
      <c r="V11" s="142"/>
      <c r="W11" s="143"/>
      <c r="Z11" s="15"/>
      <c r="AH11" s="15"/>
      <c r="AI11" s="12"/>
      <c r="AP11" s="15"/>
      <c r="AY11" s="253"/>
      <c r="AZ11" s="16"/>
      <c r="BA11" s="16"/>
      <c r="BB11" s="254"/>
      <c r="BC11" s="255"/>
      <c r="BD11" s="16"/>
      <c r="BE11" s="16"/>
      <c r="BF11" s="17"/>
      <c r="BG11" s="12"/>
      <c r="BO11" s="12"/>
      <c r="BV11" s="15"/>
      <c r="BX11" s="12"/>
      <c r="BY11" s="172"/>
      <c r="CA11" s="270"/>
      <c r="CB11" s="859"/>
      <c r="CE11" s="15"/>
      <c r="CF11" s="256"/>
      <c r="CG11" s="172"/>
      <c r="CH11" s="172"/>
      <c r="CI11" s="250"/>
      <c r="CJ11" s="205"/>
      <c r="CK11" s="172"/>
      <c r="CL11" s="172"/>
      <c r="CM11" s="15"/>
      <c r="CN11" s="12"/>
      <c r="CQ11" s="142"/>
      <c r="CR11" s="143"/>
      <c r="CU11" s="15"/>
      <c r="CY11" s="142"/>
      <c r="CZ11" s="143"/>
      <c r="DC11" s="15"/>
      <c r="DG11" s="142"/>
      <c r="DH11" s="143"/>
      <c r="DK11" s="15"/>
      <c r="DL11" s="12"/>
      <c r="DO11" s="142"/>
      <c r="DP11" s="143"/>
      <c r="DS11" s="15"/>
      <c r="DT11" s="12"/>
      <c r="DW11" s="142"/>
      <c r="DX11" s="143"/>
      <c r="EA11" s="15"/>
      <c r="EB11" s="12"/>
      <c r="EE11" s="142"/>
      <c r="EF11" s="143"/>
      <c r="EI11" s="15"/>
      <c r="EM11" s="142"/>
      <c r="EN11" s="143"/>
      <c r="ER11" s="253"/>
      <c r="ES11" s="16"/>
      <c r="ET11" s="16"/>
      <c r="EU11" s="254"/>
      <c r="EV11" s="255"/>
      <c r="EW11" s="16"/>
      <c r="EX11" s="16"/>
      <c r="EY11" s="17"/>
      <c r="FA11" s="19"/>
      <c r="FB11" s="172"/>
      <c r="FD11" s="270"/>
      <c r="FE11" s="859"/>
      <c r="FH11" s="15"/>
      <c r="FI11" s="256"/>
      <c r="FJ11" s="172"/>
      <c r="FK11" s="172"/>
      <c r="FL11" s="250"/>
      <c r="FM11" s="205"/>
      <c r="FN11" s="172"/>
      <c r="FO11" s="172"/>
      <c r="FP11" s="15"/>
      <c r="FQ11" s="12"/>
      <c r="FT11" s="142"/>
      <c r="FU11" s="143"/>
      <c r="FX11" s="15"/>
      <c r="GB11" s="142"/>
      <c r="GC11" s="143"/>
      <c r="GF11" s="15"/>
      <c r="GJ11" s="142"/>
      <c r="GK11" s="143"/>
      <c r="GN11" s="15"/>
      <c r="GO11" s="12"/>
      <c r="GR11" s="142"/>
      <c r="GS11" s="143"/>
      <c r="GV11" s="15"/>
      <c r="GW11" s="12"/>
      <c r="GZ11" s="142"/>
      <c r="HA11" s="143"/>
      <c r="HD11" s="15"/>
      <c r="HE11" s="12"/>
      <c r="HH11" s="142"/>
      <c r="HI11" s="143"/>
      <c r="HL11" s="15"/>
      <c r="HM11" s="12"/>
      <c r="HP11" s="142"/>
      <c r="HQ11" s="143"/>
      <c r="HT11" s="15"/>
      <c r="HU11" s="12"/>
      <c r="HX11" s="142"/>
      <c r="HY11" s="143"/>
      <c r="IB11" s="15"/>
      <c r="IC11" s="12"/>
      <c r="IF11" s="142"/>
      <c r="IG11" s="143"/>
      <c r="IJ11" s="15"/>
      <c r="IN11" s="142"/>
      <c r="IO11" s="143"/>
      <c r="IS11" s="253"/>
      <c r="IT11" s="16"/>
      <c r="IU11" s="16"/>
      <c r="IV11" s="254"/>
      <c r="IW11" s="255"/>
      <c r="IX11" s="16"/>
      <c r="IY11" s="16"/>
      <c r="IZ11" s="17"/>
    </row>
    <row r="12" spans="1:260" ht="14" hidden="1" customHeight="1" x14ac:dyDescent="0.3">
      <c r="A12" s="5"/>
      <c r="B12" s="259"/>
      <c r="C12" s="12"/>
      <c r="F12" s="270"/>
      <c r="G12" s="859"/>
      <c r="J12" s="15"/>
      <c r="K12" s="12"/>
      <c r="N12" s="142"/>
      <c r="O12" s="143"/>
      <c r="R12" s="15"/>
      <c r="S12" s="12"/>
      <c r="V12" s="142"/>
      <c r="W12" s="143"/>
      <c r="Z12" s="15"/>
      <c r="AH12" s="15"/>
      <c r="AI12" s="12"/>
      <c r="AP12" s="15"/>
      <c r="AY12" s="12"/>
      <c r="AZ12" s="16"/>
      <c r="BA12" s="16"/>
      <c r="BB12" s="254"/>
      <c r="BC12" s="255"/>
      <c r="BD12" s="16"/>
      <c r="BE12" s="16"/>
      <c r="BF12" s="17"/>
      <c r="BG12" s="12"/>
      <c r="BO12" s="12"/>
      <c r="BV12" s="15"/>
      <c r="BX12" s="12"/>
      <c r="BY12" s="172"/>
      <c r="CA12" s="270"/>
      <c r="CB12" s="859"/>
      <c r="CE12" s="15"/>
      <c r="CF12" s="256"/>
      <c r="CG12" s="172"/>
      <c r="CH12" s="172"/>
      <c r="CI12" s="250"/>
      <c r="CJ12" s="205"/>
      <c r="CK12" s="172"/>
      <c r="CL12" s="172"/>
      <c r="CM12" s="15"/>
      <c r="CN12" s="12"/>
      <c r="CQ12" s="142"/>
      <c r="CR12" s="143"/>
      <c r="CU12" s="15"/>
      <c r="CY12" s="142"/>
      <c r="CZ12" s="143"/>
      <c r="DC12" s="15"/>
      <c r="DG12" s="142"/>
      <c r="DH12" s="143"/>
      <c r="DK12" s="15"/>
      <c r="DL12" s="12"/>
      <c r="DO12" s="142"/>
      <c r="DP12" s="143"/>
      <c r="DS12" s="15"/>
      <c r="DT12" s="12"/>
      <c r="DW12" s="142"/>
      <c r="DX12" s="143"/>
      <c r="EA12" s="15"/>
      <c r="EB12" s="12"/>
      <c r="EE12" s="142"/>
      <c r="EF12" s="143"/>
      <c r="EI12" s="15"/>
      <c r="EM12" s="142"/>
      <c r="EN12" s="143"/>
      <c r="ER12" s="12"/>
      <c r="ES12" s="16"/>
      <c r="ET12" s="16"/>
      <c r="EU12" s="254"/>
      <c r="EV12" s="255"/>
      <c r="EW12" s="16"/>
      <c r="EX12" s="16"/>
      <c r="EY12" s="17"/>
      <c r="FA12" s="19"/>
      <c r="FB12" s="172"/>
      <c r="FD12" s="270"/>
      <c r="FE12" s="859"/>
      <c r="FH12" s="15"/>
      <c r="FI12" s="256"/>
      <c r="FJ12" s="172"/>
      <c r="FK12" s="172"/>
      <c r="FL12" s="250"/>
      <c r="FM12" s="205"/>
      <c r="FN12" s="172"/>
      <c r="FO12" s="172"/>
      <c r="FP12" s="15"/>
      <c r="FQ12" s="12"/>
      <c r="FT12" s="142"/>
      <c r="FU12" s="143"/>
      <c r="FX12" s="15"/>
      <c r="GB12" s="142"/>
      <c r="GC12" s="143"/>
      <c r="GF12" s="15"/>
      <c r="GJ12" s="142"/>
      <c r="GK12" s="143"/>
      <c r="GN12" s="15"/>
      <c r="GO12" s="12"/>
      <c r="GR12" s="142"/>
      <c r="GS12" s="143"/>
      <c r="GV12" s="15"/>
      <c r="GW12" s="12"/>
      <c r="GZ12" s="142"/>
      <c r="HA12" s="143"/>
      <c r="HD12" s="15"/>
      <c r="HE12" s="12"/>
      <c r="HH12" s="142"/>
      <c r="HI12" s="143"/>
      <c r="HL12" s="15"/>
      <c r="HM12" s="12"/>
      <c r="HP12" s="142"/>
      <c r="HQ12" s="143"/>
      <c r="HT12" s="15"/>
      <c r="HU12" s="12"/>
      <c r="HX12" s="142"/>
      <c r="HY12" s="143"/>
      <c r="IB12" s="15"/>
      <c r="IC12" s="12"/>
      <c r="IF12" s="142"/>
      <c r="IG12" s="143"/>
      <c r="IJ12" s="15"/>
      <c r="IN12" s="142"/>
      <c r="IO12" s="143"/>
      <c r="IS12" s="12"/>
      <c r="IT12" s="16"/>
      <c r="IU12" s="16"/>
      <c r="IV12" s="254"/>
      <c r="IW12" s="255"/>
      <c r="IX12" s="16"/>
      <c r="IY12" s="16"/>
      <c r="IZ12" s="17"/>
    </row>
    <row r="13" spans="1:260" ht="14" hidden="1" customHeight="1" x14ac:dyDescent="0.3">
      <c r="A13" s="5"/>
      <c r="B13" s="259"/>
      <c r="C13" s="12"/>
      <c r="F13" s="270"/>
      <c r="G13" s="859"/>
      <c r="J13" s="15"/>
      <c r="K13" s="12"/>
      <c r="N13" s="142"/>
      <c r="O13" s="143"/>
      <c r="R13" s="15"/>
      <c r="S13" s="12"/>
      <c r="V13" s="142"/>
      <c r="W13" s="143"/>
      <c r="Z13" s="15"/>
      <c r="AH13" s="15"/>
      <c r="AI13" s="12"/>
      <c r="AP13" s="15"/>
      <c r="AY13" s="12"/>
      <c r="AZ13" s="16"/>
      <c r="BA13" s="16"/>
      <c r="BB13" s="254"/>
      <c r="BC13" s="255"/>
      <c r="BD13" s="16"/>
      <c r="BE13" s="16"/>
      <c r="BF13" s="17"/>
      <c r="BG13" s="12"/>
      <c r="BO13" s="12"/>
      <c r="BV13" s="15"/>
      <c r="BX13" s="12"/>
      <c r="BY13" s="172"/>
      <c r="CA13" s="270"/>
      <c r="CB13" s="859"/>
      <c r="CE13" s="15"/>
      <c r="CF13" s="256"/>
      <c r="CG13" s="172"/>
      <c r="CH13" s="172"/>
      <c r="CI13" s="250"/>
      <c r="CJ13" s="205"/>
      <c r="CK13" s="172"/>
      <c r="CL13" s="172"/>
      <c r="CM13" s="15"/>
      <c r="CN13" s="12"/>
      <c r="CQ13" s="142"/>
      <c r="CR13" s="143"/>
      <c r="CU13" s="15"/>
      <c r="CY13" s="142"/>
      <c r="CZ13" s="143"/>
      <c r="DC13" s="15"/>
      <c r="DG13" s="142"/>
      <c r="DH13" s="143"/>
      <c r="DK13" s="15"/>
      <c r="DL13" s="12"/>
      <c r="DO13" s="142"/>
      <c r="DP13" s="143"/>
      <c r="DS13" s="15"/>
      <c r="DT13" s="12"/>
      <c r="DW13" s="142"/>
      <c r="DX13" s="143"/>
      <c r="EA13" s="15"/>
      <c r="EB13" s="12"/>
      <c r="EE13" s="142"/>
      <c r="EF13" s="143"/>
      <c r="EI13" s="15"/>
      <c r="EM13" s="142"/>
      <c r="EN13" s="143"/>
      <c r="ER13" s="12"/>
      <c r="ES13" s="16"/>
      <c r="ET13" s="16"/>
      <c r="EU13" s="254"/>
      <c r="EV13" s="255"/>
      <c r="EW13" s="16"/>
      <c r="EX13" s="16"/>
      <c r="EY13" s="17"/>
      <c r="FA13" s="19"/>
      <c r="FB13" s="172"/>
      <c r="FD13" s="270"/>
      <c r="FE13" s="859"/>
      <c r="FH13" s="15"/>
      <c r="FI13" s="256"/>
      <c r="FJ13" s="172"/>
      <c r="FK13" s="172"/>
      <c r="FL13" s="250"/>
      <c r="FM13" s="205"/>
      <c r="FN13" s="172"/>
      <c r="FO13" s="172"/>
      <c r="FP13" s="15"/>
      <c r="FQ13" s="12"/>
      <c r="FT13" s="142"/>
      <c r="FU13" s="143"/>
      <c r="FX13" s="15"/>
      <c r="GB13" s="142"/>
      <c r="GC13" s="143"/>
      <c r="GF13" s="15"/>
      <c r="GJ13" s="142"/>
      <c r="GK13" s="143"/>
      <c r="GN13" s="15"/>
      <c r="GO13" s="12"/>
      <c r="GR13" s="142"/>
      <c r="GS13" s="143"/>
      <c r="GV13" s="15"/>
      <c r="GW13" s="12"/>
      <c r="GZ13" s="142"/>
      <c r="HA13" s="143"/>
      <c r="HD13" s="15"/>
      <c r="HE13" s="12"/>
      <c r="HH13" s="142"/>
      <c r="HI13" s="143"/>
      <c r="HL13" s="15"/>
      <c r="HM13" s="12"/>
      <c r="HP13" s="142"/>
      <c r="HQ13" s="143"/>
      <c r="HT13" s="15"/>
      <c r="HU13" s="12"/>
      <c r="HX13" s="142"/>
      <c r="HY13" s="143"/>
      <c r="IB13" s="15"/>
      <c r="IC13" s="12"/>
      <c r="IF13" s="142"/>
      <c r="IG13" s="143"/>
      <c r="IJ13" s="15"/>
      <c r="IN13" s="142"/>
      <c r="IO13" s="143"/>
      <c r="IS13" s="12"/>
      <c r="IT13" s="16"/>
      <c r="IU13" s="16"/>
      <c r="IV13" s="254"/>
      <c r="IW13" s="255"/>
      <c r="IX13" s="16"/>
      <c r="IY13" s="16"/>
      <c r="IZ13" s="17"/>
    </row>
    <row r="14" spans="1:260" ht="15.6" hidden="1" customHeight="1" x14ac:dyDescent="0.3">
      <c r="A14" s="5"/>
      <c r="B14" s="229"/>
      <c r="C14" s="12"/>
      <c r="F14" s="270"/>
      <c r="G14" s="859"/>
      <c r="J14" s="15"/>
      <c r="K14" s="12"/>
      <c r="N14" s="142"/>
      <c r="O14" s="143"/>
      <c r="R14" s="15"/>
      <c r="S14" s="12"/>
      <c r="V14" s="142"/>
      <c r="W14" s="143"/>
      <c r="Z14" s="15"/>
      <c r="AH14" s="15"/>
      <c r="AI14" s="12"/>
      <c r="AP14" s="15"/>
      <c r="AY14" s="12"/>
      <c r="AZ14" s="16"/>
      <c r="BA14" s="16"/>
      <c r="BB14" s="254"/>
      <c r="BC14" s="255"/>
      <c r="BD14" s="16"/>
      <c r="BE14" s="16"/>
      <c r="BF14" s="17"/>
      <c r="BG14" s="12"/>
      <c r="BO14" s="12"/>
      <c r="BV14" s="15"/>
      <c r="BX14" s="12"/>
      <c r="BY14" s="172"/>
      <c r="CA14" s="270"/>
      <c r="CB14" s="859"/>
      <c r="CE14" s="15"/>
      <c r="CF14" s="256"/>
      <c r="CG14" s="172"/>
      <c r="CH14" s="172"/>
      <c r="CI14" s="250"/>
      <c r="CJ14" s="205"/>
      <c r="CK14" s="172"/>
      <c r="CL14" s="172"/>
      <c r="CM14" s="15"/>
      <c r="CN14" s="12"/>
      <c r="CQ14" s="142"/>
      <c r="CR14" s="143"/>
      <c r="CU14" s="15"/>
      <c r="CY14" s="142"/>
      <c r="CZ14" s="143"/>
      <c r="DC14" s="15"/>
      <c r="DG14" s="142"/>
      <c r="DH14" s="143"/>
      <c r="DK14" s="15"/>
      <c r="DL14" s="12"/>
      <c r="DO14" s="142"/>
      <c r="DP14" s="143"/>
      <c r="DS14" s="15"/>
      <c r="DT14" s="12"/>
      <c r="DW14" s="142"/>
      <c r="DX14" s="143"/>
      <c r="EA14" s="15"/>
      <c r="EB14" s="12"/>
      <c r="EE14" s="142"/>
      <c r="EF14" s="143"/>
      <c r="EI14" s="15"/>
      <c r="EM14" s="142"/>
      <c r="EN14" s="143"/>
      <c r="ER14" s="12"/>
      <c r="ES14" s="16"/>
      <c r="ET14" s="16"/>
      <c r="EU14" s="254"/>
      <c r="EV14" s="255"/>
      <c r="EW14" s="16"/>
      <c r="EX14" s="16"/>
      <c r="EY14" s="17"/>
      <c r="FA14" s="19"/>
      <c r="FB14" s="172"/>
      <c r="FD14" s="270"/>
      <c r="FE14" s="859"/>
      <c r="FH14" s="15"/>
      <c r="FI14" s="256"/>
      <c r="FJ14" s="172"/>
      <c r="FK14" s="172"/>
      <c r="FL14" s="250"/>
      <c r="FM14" s="205"/>
      <c r="FN14" s="172"/>
      <c r="FO14" s="172"/>
      <c r="FP14" s="15"/>
      <c r="FQ14" s="12"/>
      <c r="FT14" s="142"/>
      <c r="FU14" s="143"/>
      <c r="FX14" s="15"/>
      <c r="GB14" s="142"/>
      <c r="GC14" s="143"/>
      <c r="GF14" s="15"/>
      <c r="GJ14" s="142"/>
      <c r="GK14" s="143"/>
      <c r="GN14" s="15"/>
      <c r="GO14" s="12"/>
      <c r="GR14" s="142"/>
      <c r="GS14" s="143"/>
      <c r="GV14" s="15"/>
      <c r="GW14" s="12"/>
      <c r="GZ14" s="142"/>
      <c r="HA14" s="143"/>
      <c r="HD14" s="15"/>
      <c r="HE14" s="12"/>
      <c r="HH14" s="142"/>
      <c r="HI14" s="143"/>
      <c r="HL14" s="15"/>
      <c r="HM14" s="12"/>
      <c r="HP14" s="142"/>
      <c r="HQ14" s="143"/>
      <c r="HT14" s="15"/>
      <c r="HU14" s="12"/>
      <c r="HX14" s="142"/>
      <c r="HY14" s="143"/>
      <c r="IB14" s="15"/>
      <c r="IC14" s="12"/>
      <c r="IF14" s="142"/>
      <c r="IG14" s="143"/>
      <c r="IJ14" s="15"/>
      <c r="IN14" s="142"/>
      <c r="IO14" s="143"/>
      <c r="IS14" s="12"/>
      <c r="IT14" s="16"/>
      <c r="IU14" s="16"/>
      <c r="IV14" s="254"/>
      <c r="IW14" s="255"/>
      <c r="IX14" s="16"/>
      <c r="IY14" s="16"/>
      <c r="IZ14" s="17"/>
    </row>
    <row r="15" spans="1:260" ht="15.6" hidden="1" customHeight="1" x14ac:dyDescent="0.3">
      <c r="A15" s="5"/>
      <c r="B15" s="229"/>
      <c r="C15" s="12"/>
      <c r="F15" s="270"/>
      <c r="G15" s="859"/>
      <c r="J15" s="15"/>
      <c r="K15" s="12"/>
      <c r="N15" s="142"/>
      <c r="O15" s="143"/>
      <c r="R15" s="15"/>
      <c r="S15" s="12"/>
      <c r="V15" s="142"/>
      <c r="W15" s="143"/>
      <c r="Z15" s="15"/>
      <c r="AH15" s="15"/>
      <c r="AI15" s="12"/>
      <c r="AP15" s="15"/>
      <c r="AY15" s="12"/>
      <c r="AZ15" s="16"/>
      <c r="BA15" s="16"/>
      <c r="BB15" s="254"/>
      <c r="BC15" s="255"/>
      <c r="BD15" s="16"/>
      <c r="BE15" s="16"/>
      <c r="BF15" s="17"/>
      <c r="BG15" s="12"/>
      <c r="BO15" s="12"/>
      <c r="BV15" s="15"/>
      <c r="BX15" s="12"/>
      <c r="BY15" s="172"/>
      <c r="CA15" s="270"/>
      <c r="CB15" s="859"/>
      <c r="CE15" s="15"/>
      <c r="CF15" s="256"/>
      <c r="CG15" s="172"/>
      <c r="CH15" s="172"/>
      <c r="CI15" s="250"/>
      <c r="CJ15" s="205"/>
      <c r="CK15" s="172"/>
      <c r="CL15" s="172"/>
      <c r="CM15" s="15"/>
      <c r="CN15" s="12"/>
      <c r="CQ15" s="142"/>
      <c r="CR15" s="143"/>
      <c r="CU15" s="15"/>
      <c r="CY15" s="142"/>
      <c r="CZ15" s="143"/>
      <c r="DC15" s="15"/>
      <c r="DG15" s="142"/>
      <c r="DH15" s="143"/>
      <c r="DK15" s="15"/>
      <c r="DL15" s="12"/>
      <c r="DO15" s="142"/>
      <c r="DP15" s="143"/>
      <c r="DS15" s="15"/>
      <c r="DT15" s="12"/>
      <c r="DW15" s="142"/>
      <c r="DX15" s="143"/>
      <c r="EA15" s="15"/>
      <c r="EB15" s="12"/>
      <c r="EE15" s="142"/>
      <c r="EF15" s="143"/>
      <c r="EI15" s="15"/>
      <c r="EM15" s="142"/>
      <c r="EN15" s="143"/>
      <c r="ER15" s="12"/>
      <c r="ES15" s="16"/>
      <c r="ET15" s="16"/>
      <c r="EU15" s="254"/>
      <c r="EV15" s="255"/>
      <c r="EW15" s="16"/>
      <c r="EX15" s="16"/>
      <c r="EY15" s="17"/>
      <c r="FA15" s="19"/>
      <c r="FB15" s="172"/>
      <c r="FD15" s="270"/>
      <c r="FE15" s="859"/>
      <c r="FH15" s="15"/>
      <c r="FI15" s="256"/>
      <c r="FJ15" s="172"/>
      <c r="FK15" s="172"/>
      <c r="FL15" s="250"/>
      <c r="FM15" s="205"/>
      <c r="FN15" s="172"/>
      <c r="FO15" s="172"/>
      <c r="FP15" s="15"/>
      <c r="FQ15" s="12"/>
      <c r="FT15" s="142"/>
      <c r="FU15" s="143"/>
      <c r="FX15" s="15"/>
      <c r="GB15" s="142"/>
      <c r="GC15" s="143"/>
      <c r="GF15" s="15"/>
      <c r="GJ15" s="142"/>
      <c r="GK15" s="143"/>
      <c r="GN15" s="15"/>
      <c r="GO15" s="12"/>
      <c r="GR15" s="142"/>
      <c r="GS15" s="143"/>
      <c r="GV15" s="15"/>
      <c r="GW15" s="12"/>
      <c r="GZ15" s="142"/>
      <c r="HA15" s="143"/>
      <c r="HD15" s="15"/>
      <c r="HE15" s="12"/>
      <c r="HH15" s="142"/>
      <c r="HI15" s="143"/>
      <c r="HL15" s="15"/>
      <c r="HM15" s="12"/>
      <c r="HP15" s="142"/>
      <c r="HQ15" s="143"/>
      <c r="HT15" s="15"/>
      <c r="HU15" s="12"/>
      <c r="HX15" s="142"/>
      <c r="HY15" s="143"/>
      <c r="IB15" s="15"/>
      <c r="IC15" s="12"/>
      <c r="IF15" s="142"/>
      <c r="IG15" s="143"/>
      <c r="IJ15" s="15"/>
      <c r="IN15" s="142"/>
      <c r="IO15" s="143"/>
      <c r="IS15" s="12"/>
      <c r="IT15" s="16"/>
      <c r="IU15" s="16"/>
      <c r="IV15" s="254"/>
      <c r="IW15" s="255"/>
      <c r="IX15" s="16"/>
      <c r="IY15" s="16"/>
      <c r="IZ15" s="17"/>
    </row>
    <row r="16" spans="1:260" ht="15.05" hidden="1" customHeight="1" x14ac:dyDescent="0.3">
      <c r="A16" s="5"/>
      <c r="B16" s="260"/>
      <c r="C16" s="12"/>
      <c r="F16" s="270"/>
      <c r="G16" s="859"/>
      <c r="J16" s="15"/>
      <c r="K16" s="12"/>
      <c r="N16" s="142"/>
      <c r="O16" s="143"/>
      <c r="R16" s="15"/>
      <c r="S16" s="12"/>
      <c r="V16" s="142"/>
      <c r="W16" s="143"/>
      <c r="Z16" s="15"/>
      <c r="AH16" s="15"/>
      <c r="AI16" s="12"/>
      <c r="AP16" s="15"/>
      <c r="AY16" s="12"/>
      <c r="BB16" s="142"/>
      <c r="BC16" s="143"/>
      <c r="BF16" s="17"/>
      <c r="BG16" s="12"/>
      <c r="BO16" s="12"/>
      <c r="BV16" s="15"/>
      <c r="BX16" s="12"/>
      <c r="BY16" s="172"/>
      <c r="CA16" s="270"/>
      <c r="CB16" s="859"/>
      <c r="CE16" s="15"/>
      <c r="CF16" s="256"/>
      <c r="CG16" s="172"/>
      <c r="CH16" s="172"/>
      <c r="CI16" s="250"/>
      <c r="CJ16" s="205"/>
      <c r="CK16" s="172"/>
      <c r="CL16" s="172"/>
      <c r="CM16" s="15"/>
      <c r="CN16" s="12"/>
      <c r="CQ16" s="142"/>
      <c r="CR16" s="143"/>
      <c r="CU16" s="15"/>
      <c r="CY16" s="142"/>
      <c r="CZ16" s="143"/>
      <c r="DC16" s="15"/>
      <c r="DG16" s="142"/>
      <c r="DH16" s="143"/>
      <c r="DK16" s="15"/>
      <c r="DL16" s="12"/>
      <c r="DO16" s="142"/>
      <c r="DP16" s="143"/>
      <c r="DS16" s="15"/>
      <c r="DT16" s="12"/>
      <c r="DW16" s="142"/>
      <c r="DX16" s="143"/>
      <c r="EA16" s="15"/>
      <c r="EB16" s="12"/>
      <c r="EE16" s="142"/>
      <c r="EF16" s="143"/>
      <c r="EI16" s="15"/>
      <c r="EM16" s="142"/>
      <c r="EN16" s="143"/>
      <c r="ER16" s="12"/>
      <c r="EU16" s="142"/>
      <c r="EV16" s="143"/>
      <c r="EY16" s="17"/>
      <c r="FA16" s="19"/>
      <c r="FB16" s="172"/>
      <c r="FD16" s="270"/>
      <c r="FE16" s="859"/>
      <c r="FH16" s="15"/>
      <c r="FI16" s="256"/>
      <c r="FJ16" s="172"/>
      <c r="FK16" s="172"/>
      <c r="FL16" s="250"/>
      <c r="FM16" s="205"/>
      <c r="FN16" s="172"/>
      <c r="FO16" s="172"/>
      <c r="FP16" s="15"/>
      <c r="FQ16" s="12"/>
      <c r="FT16" s="142"/>
      <c r="FU16" s="143"/>
      <c r="FX16" s="15"/>
      <c r="GB16" s="142"/>
      <c r="GC16" s="143"/>
      <c r="GF16" s="15"/>
      <c r="GJ16" s="142"/>
      <c r="GK16" s="143"/>
      <c r="GN16" s="15"/>
      <c r="GO16" s="12"/>
      <c r="GR16" s="142"/>
      <c r="GS16" s="143"/>
      <c r="GV16" s="15"/>
      <c r="GW16" s="12"/>
      <c r="GZ16" s="142"/>
      <c r="HA16" s="143"/>
      <c r="HD16" s="15"/>
      <c r="HE16" s="12"/>
      <c r="HH16" s="142"/>
      <c r="HI16" s="143"/>
      <c r="HL16" s="15"/>
      <c r="HM16" s="12"/>
      <c r="HP16" s="142"/>
      <c r="HQ16" s="143"/>
      <c r="HT16" s="15"/>
      <c r="HU16" s="12"/>
      <c r="HX16" s="142"/>
      <c r="HY16" s="143"/>
      <c r="IB16" s="15"/>
      <c r="IC16" s="12"/>
      <c r="IF16" s="142"/>
      <c r="IG16" s="143"/>
      <c r="IJ16" s="15"/>
      <c r="IN16" s="142"/>
      <c r="IO16" s="143"/>
      <c r="IS16" s="12"/>
      <c r="IV16" s="142"/>
      <c r="IW16" s="143"/>
      <c r="IZ16" s="17"/>
    </row>
    <row r="17" spans="1:263" ht="14" hidden="1" customHeight="1" x14ac:dyDescent="0.3">
      <c r="A17" s="5"/>
      <c r="C17" s="12"/>
      <c r="F17" s="270"/>
      <c r="G17" s="859"/>
      <c r="J17" s="15"/>
      <c r="K17" s="12"/>
      <c r="N17" s="142"/>
      <c r="O17" s="143"/>
      <c r="R17" s="15"/>
      <c r="S17" s="12"/>
      <c r="V17" s="142"/>
      <c r="W17" s="143"/>
      <c r="Z17" s="15"/>
      <c r="AH17" s="15"/>
      <c r="AI17" s="12"/>
      <c r="AP17" s="15"/>
      <c r="AY17" s="12"/>
      <c r="BB17" s="142"/>
      <c r="BC17" s="143"/>
      <c r="BF17" s="17"/>
      <c r="BG17" s="12"/>
      <c r="BO17" s="12"/>
      <c r="BV17" s="15"/>
      <c r="BX17" s="12"/>
      <c r="BY17" s="172"/>
      <c r="CA17" s="270"/>
      <c r="CB17" s="859"/>
      <c r="CE17" s="15"/>
      <c r="CF17" s="256"/>
      <c r="CG17" s="172"/>
      <c r="CH17" s="172"/>
      <c r="CI17" s="250"/>
      <c r="CJ17" s="205"/>
      <c r="CK17" s="172"/>
      <c r="CL17" s="172"/>
      <c r="CM17" s="15"/>
      <c r="CN17" s="12"/>
      <c r="CQ17" s="142"/>
      <c r="CR17" s="143"/>
      <c r="CU17" s="15"/>
      <c r="CY17" s="142"/>
      <c r="CZ17" s="143"/>
      <c r="DC17" s="15"/>
      <c r="DG17" s="142"/>
      <c r="DH17" s="143"/>
      <c r="DK17" s="15"/>
      <c r="DL17" s="12"/>
      <c r="DO17" s="142"/>
      <c r="DP17" s="143"/>
      <c r="DS17" s="15"/>
      <c r="DT17" s="12"/>
      <c r="DW17" s="142"/>
      <c r="DX17" s="143"/>
      <c r="EA17" s="15"/>
      <c r="EB17" s="12"/>
      <c r="EE17" s="142"/>
      <c r="EF17" s="143"/>
      <c r="EI17" s="15"/>
      <c r="EM17" s="142"/>
      <c r="EN17" s="143"/>
      <c r="ER17" s="12"/>
      <c r="EU17" s="142"/>
      <c r="EV17" s="143"/>
      <c r="EY17" s="17"/>
      <c r="FA17" s="19"/>
      <c r="FB17" s="172"/>
      <c r="FD17" s="270"/>
      <c r="FE17" s="859"/>
      <c r="FH17" s="15"/>
      <c r="FI17" s="256"/>
      <c r="FJ17" s="172"/>
      <c r="FK17" s="172"/>
      <c r="FL17" s="250"/>
      <c r="FM17" s="205"/>
      <c r="FN17" s="172"/>
      <c r="FO17" s="172"/>
      <c r="FP17" s="15"/>
      <c r="FQ17" s="12"/>
      <c r="FT17" s="142"/>
      <c r="FU17" s="143"/>
      <c r="FX17" s="15"/>
      <c r="GB17" s="142"/>
      <c r="GC17" s="143"/>
      <c r="GF17" s="15"/>
      <c r="GJ17" s="142"/>
      <c r="GK17" s="143"/>
      <c r="GN17" s="15"/>
      <c r="GO17" s="12"/>
      <c r="GR17" s="142"/>
      <c r="GS17" s="143"/>
      <c r="GV17" s="15"/>
      <c r="GW17" s="12"/>
      <c r="GZ17" s="142"/>
      <c r="HA17" s="143"/>
      <c r="HD17" s="15"/>
      <c r="HE17" s="12"/>
      <c r="HH17" s="142"/>
      <c r="HI17" s="143"/>
      <c r="HL17" s="15"/>
      <c r="HM17" s="12"/>
      <c r="HP17" s="142"/>
      <c r="HQ17" s="143"/>
      <c r="HT17" s="15"/>
      <c r="HU17" s="12"/>
      <c r="HX17" s="142"/>
      <c r="HY17" s="143"/>
      <c r="IB17" s="15"/>
      <c r="IC17" s="12"/>
      <c r="IF17" s="142"/>
      <c r="IG17" s="143"/>
      <c r="IJ17" s="15"/>
      <c r="IN17" s="142"/>
      <c r="IO17" s="143"/>
      <c r="IS17" s="12"/>
      <c r="IV17" s="142"/>
      <c r="IW17" s="143"/>
      <c r="IZ17" s="17"/>
    </row>
    <row r="18" spans="1:263" s="20" customFormat="1" ht="18.8" customHeight="1" x14ac:dyDescent="0.3">
      <c r="A18" s="6191"/>
      <c r="B18" s="6192" t="s">
        <v>2</v>
      </c>
      <c r="C18" s="6211">
        <f t="shared" ref="C18:I18" si="4">SUM(C6:C17)</f>
        <v>2</v>
      </c>
      <c r="D18" s="6194">
        <f t="shared" si="4"/>
        <v>14630</v>
      </c>
      <c r="E18" s="6194">
        <f t="shared" si="4"/>
        <v>877800</v>
      </c>
      <c r="F18" s="6207">
        <f t="shared" si="4"/>
        <v>10240</v>
      </c>
      <c r="G18" s="6208">
        <f t="shared" si="4"/>
        <v>614400</v>
      </c>
      <c r="H18" s="6194">
        <f t="shared" si="4"/>
        <v>4390</v>
      </c>
      <c r="I18" s="6194">
        <f t="shared" si="4"/>
        <v>263400</v>
      </c>
      <c r="J18" s="6200">
        <f>I18/E18</f>
        <v>0.30006835269993165</v>
      </c>
      <c r="K18" s="6211">
        <f t="shared" ref="K18:Q18" si="5">SUM(K6:K17)</f>
        <v>2</v>
      </c>
      <c r="L18" s="6194">
        <f t="shared" si="5"/>
        <v>27725</v>
      </c>
      <c r="M18" s="6194">
        <f t="shared" si="5"/>
        <v>1663500</v>
      </c>
      <c r="N18" s="6195">
        <f t="shared" si="5"/>
        <v>19280</v>
      </c>
      <c r="O18" s="6196">
        <f t="shared" si="5"/>
        <v>1156800</v>
      </c>
      <c r="P18" s="6194">
        <f t="shared" si="5"/>
        <v>8445</v>
      </c>
      <c r="Q18" s="6194">
        <f t="shared" si="5"/>
        <v>506700</v>
      </c>
      <c r="R18" s="6200">
        <f>Q18/M18</f>
        <v>0.30459873760144274</v>
      </c>
      <c r="S18" s="6211">
        <f t="shared" ref="S18:Y18" si="6">SUM(S6:S17)</f>
        <v>2</v>
      </c>
      <c r="T18" s="6194">
        <f t="shared" si="6"/>
        <v>19236</v>
      </c>
      <c r="U18" s="6194">
        <f t="shared" si="6"/>
        <v>1154160</v>
      </c>
      <c r="V18" s="6195">
        <f t="shared" si="6"/>
        <v>13392</v>
      </c>
      <c r="W18" s="6196">
        <f t="shared" si="6"/>
        <v>803520</v>
      </c>
      <c r="X18" s="6194">
        <f t="shared" si="6"/>
        <v>5844</v>
      </c>
      <c r="Y18" s="6194">
        <f t="shared" si="6"/>
        <v>350640</v>
      </c>
      <c r="Z18" s="6200">
        <f>Y18/U18</f>
        <v>0.30380536494073612</v>
      </c>
      <c r="AA18" s="6211">
        <f t="shared" ref="AA18:AG18" si="7">SUM(AA6:AA17)</f>
        <v>2</v>
      </c>
      <c r="AB18" s="6194">
        <f t="shared" si="7"/>
        <v>26213</v>
      </c>
      <c r="AC18" s="6194">
        <f t="shared" si="7"/>
        <v>1572780</v>
      </c>
      <c r="AD18" s="6216">
        <f t="shared" si="7"/>
        <v>18080</v>
      </c>
      <c r="AE18" s="6217">
        <f t="shared" si="7"/>
        <v>1084800</v>
      </c>
      <c r="AF18" s="6194">
        <f t="shared" si="7"/>
        <v>8133</v>
      </c>
      <c r="AG18" s="6194">
        <f t="shared" si="7"/>
        <v>487980</v>
      </c>
      <c r="AH18" s="6200">
        <f>AG18/AC18</f>
        <v>0.31026589859993131</v>
      </c>
      <c r="AI18" s="6211">
        <f t="shared" ref="AI18:AO18" si="8">SUM(AI6:AI17)</f>
        <v>2</v>
      </c>
      <c r="AJ18" s="6194">
        <f t="shared" si="8"/>
        <v>25772.800000000003</v>
      </c>
      <c r="AK18" s="6194">
        <f t="shared" si="8"/>
        <v>1546368.0000000002</v>
      </c>
      <c r="AL18" s="6216">
        <f t="shared" si="8"/>
        <v>18880</v>
      </c>
      <c r="AM18" s="6217">
        <f t="shared" si="8"/>
        <v>1132800</v>
      </c>
      <c r="AN18" s="6194">
        <f t="shared" si="8"/>
        <v>6892.8000000000029</v>
      </c>
      <c r="AO18" s="6194">
        <f t="shared" si="8"/>
        <v>413568.00000000017</v>
      </c>
      <c r="AP18" s="6200">
        <f>AO18/AK18</f>
        <v>0.26744474795132861</v>
      </c>
      <c r="AQ18" s="6194">
        <f t="shared" ref="AQ18:AW18" si="9">SUM(AQ6:AQ17)</f>
        <v>2</v>
      </c>
      <c r="AR18" s="6194">
        <f t="shared" si="9"/>
        <v>26621.440000000002</v>
      </c>
      <c r="AS18" s="6194">
        <f t="shared" si="9"/>
        <v>1597286.4000000001</v>
      </c>
      <c r="AT18" s="6216">
        <f t="shared" si="9"/>
        <v>19424</v>
      </c>
      <c r="AU18" s="6217">
        <f t="shared" si="9"/>
        <v>1165440</v>
      </c>
      <c r="AV18" s="6194">
        <f t="shared" si="9"/>
        <v>7197.4400000000023</v>
      </c>
      <c r="AW18" s="6194">
        <f t="shared" si="9"/>
        <v>431846.40000000014</v>
      </c>
      <c r="AX18" s="6200">
        <f>AW18/AS18</f>
        <v>0.27036253485912115</v>
      </c>
      <c r="AY18" s="6194">
        <f t="shared" ref="AY18:BE18" si="10">SUM(AY6:AY17)</f>
        <v>2</v>
      </c>
      <c r="AZ18" s="6194">
        <f t="shared" si="10"/>
        <v>140198.24</v>
      </c>
      <c r="BA18" s="6194">
        <f t="shared" si="10"/>
        <v>8411894.4000000004</v>
      </c>
      <c r="BB18" s="6195">
        <f t="shared" si="10"/>
        <v>99296</v>
      </c>
      <c r="BC18" s="6196">
        <f t="shared" si="10"/>
        <v>5957760</v>
      </c>
      <c r="BD18" s="6194">
        <f t="shared" si="10"/>
        <v>40902.239999999991</v>
      </c>
      <c r="BE18" s="6194">
        <f t="shared" si="10"/>
        <v>2454134.3999999994</v>
      </c>
      <c r="BF18" s="6200">
        <f>BE18/BA18</f>
        <v>0.29174574516769958</v>
      </c>
      <c r="BG18" s="6211">
        <f t="shared" ref="BG18:BM18" si="11">SUM(BG6:BG17)</f>
        <v>2</v>
      </c>
      <c r="BH18" s="6194">
        <f t="shared" si="11"/>
        <v>61591</v>
      </c>
      <c r="BI18" s="6194">
        <f t="shared" si="11"/>
        <v>3695460</v>
      </c>
      <c r="BJ18" s="6216">
        <f t="shared" si="11"/>
        <v>42912</v>
      </c>
      <c r="BK18" s="6217">
        <f t="shared" si="11"/>
        <v>2574720</v>
      </c>
      <c r="BL18" s="6194">
        <f t="shared" si="11"/>
        <v>18679</v>
      </c>
      <c r="BM18" s="6194">
        <f t="shared" si="11"/>
        <v>1120740</v>
      </c>
      <c r="BN18" s="6199">
        <f>BM18/BI18</f>
        <v>0.30327482911464337</v>
      </c>
      <c r="BO18" s="6211">
        <f t="shared" ref="BO18:BU18" si="12">SUM(BO6:BO17)</f>
        <v>2</v>
      </c>
      <c r="BP18" s="6194">
        <f t="shared" si="12"/>
        <v>78607.240000000005</v>
      </c>
      <c r="BQ18" s="6194">
        <f t="shared" si="12"/>
        <v>4716434.4000000004</v>
      </c>
      <c r="BR18" s="6216">
        <f t="shared" si="12"/>
        <v>56384</v>
      </c>
      <c r="BS18" s="6217">
        <f t="shared" si="12"/>
        <v>3383040</v>
      </c>
      <c r="BT18" s="6194">
        <f t="shared" si="12"/>
        <v>22223.240000000005</v>
      </c>
      <c r="BU18" s="6194">
        <f t="shared" si="12"/>
        <v>1333394.4000000004</v>
      </c>
      <c r="BV18" s="6200">
        <f>BU18/BQ18</f>
        <v>0.28271238120051034</v>
      </c>
      <c r="BW18" s="6212"/>
      <c r="BX18" s="6211">
        <f t="shared" ref="BX18:CD18" si="13">SUM(BX6:BX17)</f>
        <v>2</v>
      </c>
      <c r="BY18" s="6194">
        <f t="shared" si="13"/>
        <v>25772.800000000003</v>
      </c>
      <c r="BZ18" s="6194">
        <f t="shared" si="13"/>
        <v>1546368.0000000002</v>
      </c>
      <c r="CA18" s="6207">
        <f t="shared" si="13"/>
        <v>18880</v>
      </c>
      <c r="CB18" s="6208">
        <f t="shared" si="13"/>
        <v>1132800</v>
      </c>
      <c r="CC18" s="6194">
        <f t="shared" si="13"/>
        <v>8211.8000000000029</v>
      </c>
      <c r="CD18" s="6194">
        <f t="shared" si="13"/>
        <v>492708.00000000017</v>
      </c>
      <c r="CE18" s="6200">
        <f>CD18/BZ18</f>
        <v>0.31862273404519498</v>
      </c>
      <c r="CF18" s="6211">
        <f t="shared" ref="CF18:CL18" si="14">SUM(CF6:CF17)</f>
        <v>2</v>
      </c>
      <c r="CG18" s="6194">
        <f t="shared" si="14"/>
        <v>27061.440000000002</v>
      </c>
      <c r="CH18" s="6194">
        <f t="shared" si="14"/>
        <v>1623686.4000000001</v>
      </c>
      <c r="CI18" s="6195">
        <f t="shared" si="14"/>
        <v>19824</v>
      </c>
      <c r="CJ18" s="6196">
        <f t="shared" si="14"/>
        <v>1189440</v>
      </c>
      <c r="CK18" s="6194">
        <f t="shared" si="14"/>
        <v>7237.4400000000023</v>
      </c>
      <c r="CL18" s="6194">
        <f t="shared" si="14"/>
        <v>434246.40000000014</v>
      </c>
      <c r="CM18" s="6200">
        <f>CL18/CH18</f>
        <v>0.26744474795132861</v>
      </c>
      <c r="CN18" s="6211">
        <f t="shared" ref="CN18:CT18" si="15">SUM(CN6:CN17)</f>
        <v>2</v>
      </c>
      <c r="CO18" s="6194">
        <f t="shared" si="15"/>
        <v>25710.080000000002</v>
      </c>
      <c r="CP18" s="6194">
        <f t="shared" si="15"/>
        <v>1542604.8</v>
      </c>
      <c r="CQ18" s="6195">
        <f t="shared" si="15"/>
        <v>20368</v>
      </c>
      <c r="CR18" s="6196">
        <f t="shared" si="15"/>
        <v>1222080</v>
      </c>
      <c r="CS18" s="6194">
        <f t="shared" si="15"/>
        <v>5342.0800000000017</v>
      </c>
      <c r="CT18" s="6194">
        <f t="shared" si="15"/>
        <v>320524.8000000001</v>
      </c>
      <c r="CU18" s="6200">
        <f>CT18/CP18</f>
        <v>0.20778153938066321</v>
      </c>
      <c r="CV18" s="6211">
        <f t="shared" ref="CV18:DJ18" si="16">SUM(CV6:CV17)</f>
        <v>0</v>
      </c>
      <c r="CW18" s="6194">
        <f t="shared" si="16"/>
        <v>0</v>
      </c>
      <c r="CX18" s="6194">
        <f t="shared" si="16"/>
        <v>0</v>
      </c>
      <c r="CY18" s="6195">
        <f t="shared" si="16"/>
        <v>0</v>
      </c>
      <c r="CZ18" s="6196">
        <f t="shared" si="16"/>
        <v>0</v>
      </c>
      <c r="DA18" s="6194">
        <f t="shared" si="16"/>
        <v>0</v>
      </c>
      <c r="DB18" s="6194">
        <f t="shared" si="16"/>
        <v>0</v>
      </c>
      <c r="DC18" s="6200" t="e">
        <f>DB18/CX18</f>
        <v>#DIV/0!</v>
      </c>
      <c r="DD18" s="6211">
        <f t="shared" si="16"/>
        <v>1</v>
      </c>
      <c r="DE18" s="6194">
        <f t="shared" si="16"/>
        <v>3840</v>
      </c>
      <c r="DF18" s="6194">
        <f t="shared" si="16"/>
        <v>230400</v>
      </c>
      <c r="DG18" s="6195">
        <f t="shared" si="16"/>
        <v>3200</v>
      </c>
      <c r="DH18" s="6196">
        <f t="shared" si="16"/>
        <v>192000</v>
      </c>
      <c r="DI18" s="6194">
        <f t="shared" si="16"/>
        <v>640</v>
      </c>
      <c r="DJ18" s="6194">
        <f t="shared" si="16"/>
        <v>38400</v>
      </c>
      <c r="DK18" s="6200">
        <f>DJ18/DF18</f>
        <v>0.16666666666666666</v>
      </c>
      <c r="DL18" s="6211">
        <f t="shared" ref="DL18:DR18" si="17">SUM(DL6:DL17)</f>
        <v>2</v>
      </c>
      <c r="DM18" s="6194">
        <f t="shared" si="17"/>
        <v>16320</v>
      </c>
      <c r="DN18" s="6194">
        <f>SUM(DN6:DN17)</f>
        <v>979200</v>
      </c>
      <c r="DO18" s="6195">
        <f t="shared" si="17"/>
        <v>12800</v>
      </c>
      <c r="DP18" s="6196">
        <f t="shared" si="17"/>
        <v>768000</v>
      </c>
      <c r="DQ18" s="6194">
        <f t="shared" si="17"/>
        <v>3520</v>
      </c>
      <c r="DR18" s="6194">
        <f t="shared" si="17"/>
        <v>211200</v>
      </c>
      <c r="DS18" s="6200">
        <f>DR18/DN18</f>
        <v>0.21568627450980393</v>
      </c>
      <c r="DT18" s="6211">
        <f t="shared" ref="DT18:DZ18" si="18">SUM(DT6:DT17)</f>
        <v>2</v>
      </c>
      <c r="DU18" s="6194">
        <f t="shared" si="18"/>
        <v>21920</v>
      </c>
      <c r="DV18" s="6194">
        <f t="shared" si="18"/>
        <v>1315200</v>
      </c>
      <c r="DW18" s="6195">
        <f t="shared" si="18"/>
        <v>16800</v>
      </c>
      <c r="DX18" s="6196">
        <f t="shared" si="18"/>
        <v>1008000</v>
      </c>
      <c r="DY18" s="6194">
        <f t="shared" si="18"/>
        <v>5120</v>
      </c>
      <c r="DZ18" s="6194">
        <f t="shared" si="18"/>
        <v>307200</v>
      </c>
      <c r="EA18" s="6200">
        <f>DZ18/DV18</f>
        <v>0.23357664233576642</v>
      </c>
      <c r="EB18" s="6211">
        <f t="shared" ref="EB18:EH18" si="19">SUM(EB6:EB17)</f>
        <v>2</v>
      </c>
      <c r="EC18" s="6194">
        <f t="shared" si="19"/>
        <v>20800</v>
      </c>
      <c r="ED18" s="6194">
        <f t="shared" si="19"/>
        <v>1248000</v>
      </c>
      <c r="EE18" s="6195">
        <f t="shared" si="19"/>
        <v>16000</v>
      </c>
      <c r="EF18" s="6196">
        <f t="shared" si="19"/>
        <v>960000</v>
      </c>
      <c r="EG18" s="6194">
        <f t="shared" si="19"/>
        <v>4800</v>
      </c>
      <c r="EH18" s="6194">
        <f t="shared" si="19"/>
        <v>288000</v>
      </c>
      <c r="EI18" s="6200">
        <f>EH18/ED18</f>
        <v>0.23076923076923078</v>
      </c>
      <c r="EJ18" s="6194">
        <f t="shared" ref="EJ18:EP18" si="20">SUM(EJ6:EJ17)</f>
        <v>2</v>
      </c>
      <c r="EK18" s="6194">
        <f t="shared" si="20"/>
        <v>22120</v>
      </c>
      <c r="EL18" s="6194">
        <f t="shared" si="20"/>
        <v>1327200</v>
      </c>
      <c r="EM18" s="6195">
        <f t="shared" si="20"/>
        <v>16080</v>
      </c>
      <c r="EN18" s="6196">
        <f t="shared" si="20"/>
        <v>964800</v>
      </c>
      <c r="EO18" s="6194">
        <f t="shared" si="20"/>
        <v>6040</v>
      </c>
      <c r="EP18" s="6194">
        <f t="shared" si="20"/>
        <v>362400</v>
      </c>
      <c r="EQ18" s="6200">
        <f>EP18/EL18</f>
        <v>0.27305605786618448</v>
      </c>
      <c r="ER18" s="6194">
        <f t="shared" ref="ER18:EX18" si="21">SUM(ER6:ER17)</f>
        <v>2</v>
      </c>
      <c r="ES18" s="6194">
        <f t="shared" si="21"/>
        <v>163544.32000000001</v>
      </c>
      <c r="ET18" s="6194">
        <f t="shared" si="21"/>
        <v>9812659.1999999993</v>
      </c>
      <c r="EU18" s="6195">
        <f t="shared" si="21"/>
        <v>123952</v>
      </c>
      <c r="EV18" s="6196">
        <f t="shared" si="21"/>
        <v>7437120</v>
      </c>
      <c r="EW18" s="6194">
        <f t="shared" si="21"/>
        <v>40911.320000000007</v>
      </c>
      <c r="EX18" s="6194">
        <f t="shared" si="21"/>
        <v>2454679.2000000002</v>
      </c>
      <c r="EY18" s="6200">
        <f>EX18/ET18</f>
        <v>0.25015433125406011</v>
      </c>
      <c r="EZ18" s="6212"/>
      <c r="FA18" s="6215">
        <f t="shared" ref="FA18:FG18" si="22">SUM(FA6:FA17)</f>
        <v>2</v>
      </c>
      <c r="FB18" s="6194">
        <f t="shared" si="22"/>
        <v>22880</v>
      </c>
      <c r="FC18" s="6194">
        <f t="shared" si="22"/>
        <v>1372800</v>
      </c>
      <c r="FD18" s="6207">
        <f t="shared" si="22"/>
        <v>17600</v>
      </c>
      <c r="FE18" s="6208">
        <f t="shared" si="22"/>
        <v>1056000</v>
      </c>
      <c r="FF18" s="6194">
        <f t="shared" si="22"/>
        <v>5280</v>
      </c>
      <c r="FG18" s="6194">
        <f t="shared" si="22"/>
        <v>316800</v>
      </c>
      <c r="FH18" s="6200">
        <f>FG18/FC18</f>
        <v>0.23076923076923078</v>
      </c>
      <c r="FI18" s="6211">
        <f t="shared" ref="FI18:FO18" si="23">SUM(FI6:FI17)</f>
        <v>2</v>
      </c>
      <c r="FJ18" s="6194">
        <f t="shared" si="23"/>
        <v>21920</v>
      </c>
      <c r="FK18" s="6194">
        <f t="shared" si="23"/>
        <v>1315200</v>
      </c>
      <c r="FL18" s="6195">
        <f t="shared" si="23"/>
        <v>16800</v>
      </c>
      <c r="FM18" s="6196">
        <f t="shared" si="23"/>
        <v>1008000</v>
      </c>
      <c r="FN18" s="6194">
        <f t="shared" si="23"/>
        <v>5120</v>
      </c>
      <c r="FO18" s="6194">
        <f t="shared" si="23"/>
        <v>307200</v>
      </c>
      <c r="FP18" s="6200">
        <f>FO18/FK18</f>
        <v>0.23357664233576642</v>
      </c>
      <c r="FQ18" s="6211">
        <f t="shared" ref="FQ18:FW18" si="24">SUM(FQ6:FQ17)</f>
        <v>2</v>
      </c>
      <c r="FR18" s="6194">
        <f t="shared" si="24"/>
        <v>20800</v>
      </c>
      <c r="FS18" s="6194">
        <f t="shared" si="24"/>
        <v>1248000</v>
      </c>
      <c r="FT18" s="6195">
        <f t="shared" si="24"/>
        <v>15920</v>
      </c>
      <c r="FU18" s="6196">
        <f t="shared" si="24"/>
        <v>955200</v>
      </c>
      <c r="FV18" s="6194">
        <f t="shared" si="24"/>
        <v>4880</v>
      </c>
      <c r="FW18" s="6194">
        <f t="shared" si="24"/>
        <v>292800</v>
      </c>
      <c r="FX18" s="6200">
        <f>FW18/FS18</f>
        <v>0.23461538461538461</v>
      </c>
      <c r="FY18" s="6211">
        <f t="shared" ref="FY18:GE18" si="25">SUM(FY6:FY17)</f>
        <v>2</v>
      </c>
      <c r="FZ18" s="6194">
        <f t="shared" si="25"/>
        <v>22880</v>
      </c>
      <c r="GA18" s="6194">
        <f t="shared" si="25"/>
        <v>1372800</v>
      </c>
      <c r="GB18" s="6195">
        <f t="shared" si="25"/>
        <v>17952</v>
      </c>
      <c r="GC18" s="6196">
        <f t="shared" si="25"/>
        <v>1077120</v>
      </c>
      <c r="GD18" s="6194">
        <f t="shared" si="25"/>
        <v>4928</v>
      </c>
      <c r="GE18" s="6194">
        <f t="shared" si="25"/>
        <v>295680</v>
      </c>
      <c r="GF18" s="6200">
        <f>GE18/GA18</f>
        <v>0.2153846153846154</v>
      </c>
      <c r="GG18" s="6211">
        <f t="shared" ref="GG18:GM18" si="26">SUM(GG6:GG17)</f>
        <v>2</v>
      </c>
      <c r="GH18" s="6194">
        <f t="shared" si="26"/>
        <v>21440</v>
      </c>
      <c r="GI18" s="6194">
        <f t="shared" si="26"/>
        <v>1286400</v>
      </c>
      <c r="GJ18" s="6195">
        <f t="shared" si="26"/>
        <v>16704</v>
      </c>
      <c r="GK18" s="6196">
        <f t="shared" si="26"/>
        <v>1002240</v>
      </c>
      <c r="GL18" s="6194">
        <f t="shared" si="26"/>
        <v>4736</v>
      </c>
      <c r="GM18" s="6194">
        <f t="shared" si="26"/>
        <v>284160</v>
      </c>
      <c r="GN18" s="6200">
        <f>GM18/GI18</f>
        <v>0.22089552238805971</v>
      </c>
      <c r="GO18" s="6211">
        <f t="shared" ref="GO18:GU18" si="27">SUM(GO6:GO17)</f>
        <v>2</v>
      </c>
      <c r="GP18" s="6194">
        <f t="shared" si="27"/>
        <v>20800</v>
      </c>
      <c r="GQ18" s="6194">
        <f t="shared" si="27"/>
        <v>1248000</v>
      </c>
      <c r="GR18" s="6195">
        <f t="shared" si="27"/>
        <v>16320</v>
      </c>
      <c r="GS18" s="6196">
        <f t="shared" si="27"/>
        <v>979200</v>
      </c>
      <c r="GT18" s="6194">
        <f t="shared" si="27"/>
        <v>4480</v>
      </c>
      <c r="GU18" s="6194">
        <f t="shared" si="27"/>
        <v>268800</v>
      </c>
      <c r="GV18" s="6200">
        <f>GU18/GQ18</f>
        <v>0.2153846153846154</v>
      </c>
      <c r="GW18" s="6211">
        <f t="shared" ref="GW18:HC18" si="28">SUM(GW6:GW17)</f>
        <v>1</v>
      </c>
      <c r="GX18" s="6194">
        <f t="shared" si="28"/>
        <v>10560</v>
      </c>
      <c r="GY18" s="6194">
        <f t="shared" si="28"/>
        <v>633600</v>
      </c>
      <c r="GZ18" s="6195">
        <f t="shared" si="28"/>
        <v>9152</v>
      </c>
      <c r="HA18" s="6196">
        <f t="shared" si="28"/>
        <v>549120</v>
      </c>
      <c r="HB18" s="6194">
        <f t="shared" si="28"/>
        <v>1408</v>
      </c>
      <c r="HC18" s="6194">
        <f t="shared" si="28"/>
        <v>84480</v>
      </c>
      <c r="HD18" s="6200">
        <f>HC18/GY18</f>
        <v>0.13333333333333333</v>
      </c>
      <c r="HE18" s="6211">
        <f t="shared" ref="HE18:HK18" si="29">SUM(HE6:HE17)</f>
        <v>1</v>
      </c>
      <c r="HF18" s="6194">
        <f t="shared" si="29"/>
        <v>10080</v>
      </c>
      <c r="HG18" s="6194">
        <f t="shared" si="29"/>
        <v>604800</v>
      </c>
      <c r="HH18" s="6195">
        <f t="shared" si="29"/>
        <v>8736</v>
      </c>
      <c r="HI18" s="6196">
        <f t="shared" si="29"/>
        <v>524160</v>
      </c>
      <c r="HJ18" s="6194">
        <f t="shared" si="29"/>
        <v>1344</v>
      </c>
      <c r="HK18" s="6194">
        <f t="shared" si="29"/>
        <v>80640</v>
      </c>
      <c r="HL18" s="6200">
        <f>HK18/HG18</f>
        <v>0.13333333333333333</v>
      </c>
      <c r="HM18" s="6211">
        <f t="shared" ref="HM18:HS18" si="30">SUM(HM6:HM17)</f>
        <v>2</v>
      </c>
      <c r="HN18" s="6194">
        <f t="shared" si="30"/>
        <v>12072</v>
      </c>
      <c r="HO18" s="6194">
        <f t="shared" si="30"/>
        <v>724320</v>
      </c>
      <c r="HP18" s="6195">
        <f t="shared" si="30"/>
        <v>10256</v>
      </c>
      <c r="HQ18" s="6196">
        <f t="shared" si="30"/>
        <v>615360</v>
      </c>
      <c r="HR18" s="6194">
        <f t="shared" si="30"/>
        <v>1816</v>
      </c>
      <c r="HS18" s="6194">
        <f t="shared" si="30"/>
        <v>108960</v>
      </c>
      <c r="HT18" s="6200">
        <f>HS18/HO18</f>
        <v>0.15043074884029159</v>
      </c>
      <c r="HU18" s="6211">
        <f t="shared" ref="HU18:IA18" si="31">SUM(HU6:HU17)</f>
        <v>2</v>
      </c>
      <c r="HV18" s="6194">
        <f t="shared" si="31"/>
        <v>21296</v>
      </c>
      <c r="HW18" s="6194">
        <f t="shared" si="31"/>
        <v>1277760</v>
      </c>
      <c r="HX18" s="6195">
        <f t="shared" si="31"/>
        <v>17952</v>
      </c>
      <c r="HY18" s="6196">
        <f t="shared" si="31"/>
        <v>1077120</v>
      </c>
      <c r="HZ18" s="6194">
        <f t="shared" si="31"/>
        <v>3344</v>
      </c>
      <c r="IA18" s="6194">
        <f t="shared" si="31"/>
        <v>200640</v>
      </c>
      <c r="IB18" s="6200">
        <f>IA18/HW18</f>
        <v>0.15702479338842976</v>
      </c>
      <c r="IC18" s="6211">
        <f t="shared" ref="IC18:II18" si="32">SUM(IC6:IC17)</f>
        <v>0</v>
      </c>
      <c r="ID18" s="6194">
        <f t="shared" si="32"/>
        <v>0</v>
      </c>
      <c r="IE18" s="6194">
        <f t="shared" si="32"/>
        <v>0</v>
      </c>
      <c r="IF18" s="6195">
        <f t="shared" si="32"/>
        <v>0</v>
      </c>
      <c r="IG18" s="6196">
        <f t="shared" si="32"/>
        <v>0</v>
      </c>
      <c r="IH18" s="6194">
        <f t="shared" si="32"/>
        <v>0</v>
      </c>
      <c r="II18" s="6194">
        <f t="shared" si="32"/>
        <v>0</v>
      </c>
      <c r="IJ18" s="6200" t="e">
        <f>II18/IE18</f>
        <v>#DIV/0!</v>
      </c>
      <c r="IK18" s="6194">
        <f t="shared" ref="IK18:IQ18" si="33">SUM(IK6:IK17)</f>
        <v>0</v>
      </c>
      <c r="IL18" s="6194">
        <f t="shared" si="33"/>
        <v>0</v>
      </c>
      <c r="IM18" s="6194">
        <f t="shared" si="33"/>
        <v>0</v>
      </c>
      <c r="IN18" s="6195">
        <f t="shared" si="33"/>
        <v>0</v>
      </c>
      <c r="IO18" s="6196">
        <f t="shared" si="33"/>
        <v>0</v>
      </c>
      <c r="IP18" s="6194">
        <f t="shared" si="33"/>
        <v>0</v>
      </c>
      <c r="IQ18" s="6194">
        <f t="shared" si="33"/>
        <v>0</v>
      </c>
      <c r="IR18" s="6200" t="e">
        <f>IQ18/IM18</f>
        <v>#DIV/0!</v>
      </c>
      <c r="IS18" s="6194">
        <f t="shared" ref="IS18:IY18" si="34">SUM(IS6:IS17)</f>
        <v>2</v>
      </c>
      <c r="IT18" s="6194">
        <f t="shared" si="34"/>
        <v>184728</v>
      </c>
      <c r="IU18" s="6194">
        <f t="shared" si="34"/>
        <v>11083680</v>
      </c>
      <c r="IV18" s="6195">
        <f t="shared" si="34"/>
        <v>147392</v>
      </c>
      <c r="IW18" s="6196">
        <f t="shared" si="34"/>
        <v>8843520</v>
      </c>
      <c r="IX18" s="6194">
        <f t="shared" si="34"/>
        <v>37336</v>
      </c>
      <c r="IY18" s="6194">
        <f t="shared" si="34"/>
        <v>2240160</v>
      </c>
      <c r="IZ18" s="6200">
        <f>IY18/IU18</f>
        <v>0.20211337750638778</v>
      </c>
      <c r="JC18" s="4850">
        <f>HC18*5</f>
        <v>422400</v>
      </c>
    </row>
    <row r="19" spans="1:263" s="23" customFormat="1" ht="15.6" x14ac:dyDescent="0.35">
      <c r="A19" s="21"/>
      <c r="B19" s="22" t="s">
        <v>18</v>
      </c>
      <c r="C19" s="21"/>
      <c r="D19" s="271"/>
      <c r="F19" s="271"/>
      <c r="J19" s="24"/>
      <c r="K19" s="21"/>
      <c r="R19" s="24"/>
      <c r="S19" s="21"/>
      <c r="Z19" s="24"/>
      <c r="AA19" s="21"/>
      <c r="AH19" s="24"/>
      <c r="AI19" s="21"/>
      <c r="AP19" s="24"/>
      <c r="AX19" s="24"/>
      <c r="AY19" s="21"/>
      <c r="BF19" s="30"/>
      <c r="BG19" s="21"/>
      <c r="BO19" s="21"/>
      <c r="BV19" s="24"/>
      <c r="BX19" s="21"/>
      <c r="BY19" s="271"/>
      <c r="CA19" s="271"/>
      <c r="CE19" s="24"/>
      <c r="CF19" s="21"/>
      <c r="CM19" s="24"/>
      <c r="CN19" s="21"/>
      <c r="CU19" s="24"/>
      <c r="CV19" s="21"/>
      <c r="DC19" s="24"/>
      <c r="DK19" s="24"/>
      <c r="DL19" s="21"/>
      <c r="DS19" s="24"/>
      <c r="DT19" s="21"/>
      <c r="EA19" s="24"/>
      <c r="EB19" s="21"/>
      <c r="EI19" s="24"/>
      <c r="EQ19" s="24"/>
      <c r="ER19" s="21"/>
      <c r="EY19" s="30"/>
      <c r="FA19" s="28"/>
      <c r="FB19" s="271"/>
      <c r="FD19" s="271"/>
      <c r="FH19" s="24"/>
      <c r="FI19" s="21"/>
      <c r="FP19" s="24"/>
      <c r="FQ19" s="21"/>
      <c r="FX19" s="24"/>
      <c r="FY19" s="21"/>
      <c r="GF19" s="24"/>
      <c r="GG19" s="21"/>
      <c r="GN19" s="24"/>
      <c r="GO19" s="21"/>
      <c r="GV19" s="24"/>
      <c r="GW19" s="21"/>
      <c r="HD19" s="24"/>
      <c r="HE19" s="21"/>
      <c r="HL19" s="24"/>
      <c r="HM19" s="21"/>
      <c r="HT19" s="24"/>
      <c r="HU19" s="21"/>
      <c r="IB19" s="24"/>
      <c r="IC19" s="21"/>
      <c r="IJ19" s="24"/>
      <c r="IR19" s="24"/>
      <c r="IS19" s="21"/>
      <c r="IZ19" s="30"/>
    </row>
    <row r="20" spans="1:263" x14ac:dyDescent="0.3">
      <c r="A20" s="12"/>
      <c r="B20" s="31" t="s">
        <v>476</v>
      </c>
      <c r="C20" s="12"/>
      <c r="J20" s="15"/>
      <c r="K20" s="12"/>
      <c r="R20" s="15"/>
      <c r="S20" s="12"/>
      <c r="Z20" s="15"/>
      <c r="AA20" s="12"/>
      <c r="AH20" s="15"/>
      <c r="AI20" s="12"/>
      <c r="AP20" s="15"/>
      <c r="AX20" s="15"/>
      <c r="AY20" s="12"/>
      <c r="BF20" s="17"/>
      <c r="BG20" s="12"/>
      <c r="BO20" s="12"/>
      <c r="BV20" s="15"/>
      <c r="BX20" s="12"/>
      <c r="BY20" s="172"/>
      <c r="CA20" s="172"/>
      <c r="CE20" s="15"/>
      <c r="CF20" s="12"/>
      <c r="CM20" s="15"/>
      <c r="CN20" s="12"/>
      <c r="CU20" s="15"/>
      <c r="CV20" s="12"/>
      <c r="DC20" s="15"/>
      <c r="DK20" s="15"/>
      <c r="DL20" s="12"/>
      <c r="DS20" s="15"/>
      <c r="DT20" s="12"/>
      <c r="EA20" s="15"/>
      <c r="EB20" s="12"/>
      <c r="EI20" s="15"/>
      <c r="EQ20" s="15"/>
      <c r="ER20" s="12"/>
      <c r="EX20" s="9">
        <f>CD20+CL20+CT20+DB20+DJ20+DR20+DZ20+EH20+EP20</f>
        <v>0</v>
      </c>
      <c r="EY20" s="17"/>
      <c r="FA20" s="19"/>
      <c r="FB20" s="172"/>
      <c r="FD20" s="172"/>
      <c r="FH20" s="15"/>
      <c r="FI20" s="12"/>
      <c r="FP20" s="15"/>
      <c r="FQ20" s="12"/>
      <c r="FX20" s="15"/>
      <c r="FY20" s="12"/>
      <c r="GF20" s="15"/>
      <c r="GG20" s="12"/>
      <c r="GN20" s="15"/>
      <c r="GO20" s="12"/>
      <c r="GV20" s="15"/>
      <c r="GW20" s="12"/>
      <c r="HD20" s="15"/>
      <c r="HE20" s="12"/>
      <c r="HL20" s="15"/>
      <c r="HM20" s="12"/>
      <c r="HT20" s="15"/>
      <c r="HU20" s="12"/>
      <c r="IB20" s="15"/>
      <c r="IC20" s="12"/>
      <c r="IJ20" s="15"/>
      <c r="IR20" s="15"/>
      <c r="IS20" s="12"/>
      <c r="IY20" s="9">
        <f t="shared" ref="IY20:IY26" si="35">FG20+FO20+FW20+GE20+GM20+GU20+HC20+HK20+IQ20</f>
        <v>0</v>
      </c>
      <c r="IZ20" s="17"/>
    </row>
    <row r="21" spans="1:263" x14ac:dyDescent="0.3">
      <c r="A21" s="12"/>
      <c r="B21" s="1" t="s">
        <v>21</v>
      </c>
      <c r="C21" s="12"/>
      <c r="J21" s="15"/>
      <c r="K21" s="12"/>
      <c r="R21" s="15"/>
      <c r="S21" s="12"/>
      <c r="Z21" s="15"/>
      <c r="AA21" s="12"/>
      <c r="AH21" s="15"/>
      <c r="AI21" s="12"/>
      <c r="AP21" s="15"/>
      <c r="AX21" s="15"/>
      <c r="AY21" s="12"/>
      <c r="BF21" s="17"/>
      <c r="BG21" s="12"/>
      <c r="BO21" s="12"/>
      <c r="BV21" s="15"/>
      <c r="BX21" s="12"/>
      <c r="BY21" s="172"/>
      <c r="CA21" s="172"/>
      <c r="CE21" s="15"/>
      <c r="CF21" s="12"/>
      <c r="CM21" s="15"/>
      <c r="CN21" s="12"/>
      <c r="CU21" s="15"/>
      <c r="CV21" s="12"/>
      <c r="DC21" s="15"/>
      <c r="DK21" s="15"/>
      <c r="DL21" s="12"/>
      <c r="DS21" s="15"/>
      <c r="DT21" s="12"/>
      <c r="EA21" s="15"/>
      <c r="EB21" s="12"/>
      <c r="EI21" s="15"/>
      <c r="EQ21" s="15"/>
      <c r="ER21" s="12"/>
      <c r="EX21" s="9">
        <f t="shared" ref="EW21:EX26" si="36">CD21+CL21+CT21+DB21+DJ21+DR21+DZ21+EH21+EP21</f>
        <v>0</v>
      </c>
      <c r="EY21" s="17"/>
      <c r="FA21" s="19"/>
      <c r="FB21" s="172"/>
      <c r="FD21" s="172"/>
      <c r="FH21" s="15"/>
      <c r="FI21" s="12"/>
      <c r="FP21" s="15"/>
      <c r="FQ21" s="12"/>
      <c r="FX21" s="15"/>
      <c r="FY21" s="12"/>
      <c r="GF21" s="15"/>
      <c r="GG21" s="12"/>
      <c r="GN21" s="15"/>
      <c r="GO21" s="12"/>
      <c r="GV21" s="15"/>
      <c r="GW21" s="12"/>
      <c r="HD21" s="15"/>
      <c r="HE21" s="12"/>
      <c r="HL21" s="15"/>
      <c r="HM21" s="12"/>
      <c r="HT21" s="15"/>
      <c r="HU21" s="12"/>
      <c r="IB21" s="15"/>
      <c r="IC21" s="12"/>
      <c r="IJ21" s="15"/>
      <c r="IR21" s="15"/>
      <c r="IS21" s="12"/>
      <c r="IY21" s="9">
        <f t="shared" si="35"/>
        <v>0</v>
      </c>
      <c r="IZ21" s="17"/>
    </row>
    <row r="22" spans="1:263" x14ac:dyDescent="0.3">
      <c r="A22" s="12"/>
      <c r="B22" s="1" t="s">
        <v>477</v>
      </c>
      <c r="C22" s="12"/>
      <c r="J22" s="15"/>
      <c r="K22" s="12"/>
      <c r="R22" s="15"/>
      <c r="S22" s="12"/>
      <c r="Z22" s="15"/>
      <c r="AA22" s="12"/>
      <c r="AH22" s="15"/>
      <c r="AI22" s="12"/>
      <c r="AP22" s="15"/>
      <c r="AX22" s="15"/>
      <c r="AY22" s="12"/>
      <c r="BF22" s="17"/>
      <c r="BG22" s="12"/>
      <c r="BO22" s="12"/>
      <c r="BV22" s="15"/>
      <c r="BX22" s="12"/>
      <c r="BY22" s="172"/>
      <c r="CA22" s="172"/>
      <c r="CC22" s="172">
        <v>825</v>
      </c>
      <c r="CD22" s="172">
        <f>CC22*60</f>
        <v>49500</v>
      </c>
      <c r="CE22" s="15"/>
      <c r="CF22" s="12"/>
      <c r="CK22" s="1">
        <v>900</v>
      </c>
      <c r="CL22" s="1">
        <f>CK22*60</f>
        <v>54000</v>
      </c>
      <c r="CM22" s="15"/>
      <c r="CN22" s="12"/>
      <c r="CS22" s="172">
        <v>0</v>
      </c>
      <c r="CT22" s="172">
        <f>CS22*60</f>
        <v>0</v>
      </c>
      <c r="CU22" s="15"/>
      <c r="CV22" s="12"/>
      <c r="DC22" s="15"/>
      <c r="DI22" s="172">
        <v>350</v>
      </c>
      <c r="DJ22" s="172">
        <f>DI22*60</f>
        <v>21000</v>
      </c>
      <c r="DK22" s="15"/>
      <c r="DL22" s="12"/>
      <c r="DQ22" s="172">
        <v>152.28</v>
      </c>
      <c r="DR22" s="172">
        <f>DQ22*60</f>
        <v>9136.7999999999993</v>
      </c>
      <c r="DS22" s="15"/>
      <c r="DT22" s="12"/>
      <c r="DY22" s="172">
        <v>2000</v>
      </c>
      <c r="DZ22" s="172">
        <f>DY22*60</f>
        <v>120000</v>
      </c>
      <c r="EA22" s="15"/>
      <c r="EB22" s="12"/>
      <c r="EG22" s="172">
        <v>1250</v>
      </c>
      <c r="EH22" s="172">
        <f>EG22*60</f>
        <v>75000</v>
      </c>
      <c r="EI22" s="15"/>
      <c r="EO22" s="172">
        <v>2736</v>
      </c>
      <c r="EP22" s="172">
        <f>EO22*60</f>
        <v>164160</v>
      </c>
      <c r="EQ22" s="15"/>
      <c r="ER22" s="12"/>
      <c r="EW22" s="9">
        <f t="shared" si="36"/>
        <v>8213.2800000000007</v>
      </c>
      <c r="EX22" s="9">
        <f t="shared" si="36"/>
        <v>492796.8</v>
      </c>
      <c r="EY22" s="17"/>
      <c r="FA22" s="19"/>
      <c r="FB22" s="172"/>
      <c r="FD22" s="172"/>
      <c r="FF22" s="172">
        <v>0</v>
      </c>
      <c r="FG22" s="172">
        <f>FF22*60</f>
        <v>0</v>
      </c>
      <c r="FH22" s="15"/>
      <c r="FI22" s="12"/>
      <c r="FN22" s="172">
        <v>0</v>
      </c>
      <c r="FO22" s="172">
        <f>FN22*60</f>
        <v>0</v>
      </c>
      <c r="FP22" s="15"/>
      <c r="FQ22" s="12"/>
      <c r="FV22" s="172">
        <v>0</v>
      </c>
      <c r="FW22" s="172">
        <f>FV22*60</f>
        <v>0</v>
      </c>
      <c r="FX22" s="15"/>
      <c r="FY22" s="12"/>
      <c r="GF22" s="15"/>
      <c r="GG22" s="12"/>
      <c r="GN22" s="15"/>
      <c r="GO22" s="12"/>
      <c r="GT22" s="172">
        <v>2650</v>
      </c>
      <c r="GU22" s="172">
        <f>GT22*60</f>
        <v>159000</v>
      </c>
      <c r="GV22" s="15"/>
      <c r="GW22" s="12"/>
      <c r="HB22" s="172">
        <v>0</v>
      </c>
      <c r="HC22" s="172">
        <f>HB22*60</f>
        <v>0</v>
      </c>
      <c r="HD22" s="15"/>
      <c r="HE22" s="12"/>
      <c r="HJ22" s="172">
        <v>0</v>
      </c>
      <c r="HK22" s="172">
        <f>HJ22*60</f>
        <v>0</v>
      </c>
      <c r="HL22" s="15"/>
      <c r="HM22" s="12"/>
      <c r="HR22" s="172">
        <v>0</v>
      </c>
      <c r="HS22" s="172">
        <f>HR22*60</f>
        <v>0</v>
      </c>
      <c r="HT22" s="15"/>
      <c r="HU22" s="12"/>
      <c r="HZ22" s="172">
        <v>0</v>
      </c>
      <c r="IA22" s="172">
        <f>HZ22*60</f>
        <v>0</v>
      </c>
      <c r="IB22" s="15"/>
      <c r="IC22" s="12"/>
      <c r="IH22" s="172">
        <v>0</v>
      </c>
      <c r="II22" s="172">
        <f>IH22*60</f>
        <v>0</v>
      </c>
      <c r="IJ22" s="15"/>
      <c r="IP22" s="172">
        <v>0</v>
      </c>
      <c r="IQ22" s="172">
        <f>IP22*60</f>
        <v>0</v>
      </c>
      <c r="IR22" s="15"/>
      <c r="IS22" s="12"/>
      <c r="IX22" s="9">
        <f>FF22+FN22+FV22+GD22+GL22+GT22+HB22+HJ22+IP22+HR22+HZ22+IH22</f>
        <v>2650</v>
      </c>
      <c r="IY22" s="9">
        <f>FG22+FO22+FW22+GE22+GM22+GU22+HC22+HK22+IQ22+HS22+IA22+II22</f>
        <v>159000</v>
      </c>
      <c r="IZ22" s="17"/>
    </row>
    <row r="23" spans="1:263" x14ac:dyDescent="0.3">
      <c r="A23" s="12"/>
      <c r="B23" s="1" t="s">
        <v>290</v>
      </c>
      <c r="C23" s="12"/>
      <c r="J23" s="15"/>
      <c r="K23" s="12"/>
      <c r="R23" s="15"/>
      <c r="S23" s="12"/>
      <c r="Z23" s="15"/>
      <c r="AA23" s="12"/>
      <c r="AH23" s="15"/>
      <c r="AI23" s="12"/>
      <c r="AP23" s="15"/>
      <c r="AV23" s="172">
        <v>598.34</v>
      </c>
      <c r="AW23" s="172">
        <v>35900.400000000001</v>
      </c>
      <c r="AX23" s="15"/>
      <c r="AY23" s="12"/>
      <c r="BD23" s="172">
        <v>598.34</v>
      </c>
      <c r="BE23" s="172">
        <f>BD23*60</f>
        <v>35900.400000000001</v>
      </c>
      <c r="BF23" s="17"/>
      <c r="BG23" s="12"/>
      <c r="BO23" s="12"/>
      <c r="BV23" s="15"/>
      <c r="BX23" s="12"/>
      <c r="BY23" s="172"/>
      <c r="CA23" s="172"/>
      <c r="CC23" s="35">
        <v>91.35</v>
      </c>
      <c r="CD23" s="1">
        <f>CC23*60</f>
        <v>5481</v>
      </c>
      <c r="CE23" s="15"/>
      <c r="CF23" s="12"/>
      <c r="CK23" s="35">
        <v>41.75</v>
      </c>
      <c r="CL23" s="1">
        <f>CK23*60</f>
        <v>2505</v>
      </c>
      <c r="CM23" s="15"/>
      <c r="CN23" s="12"/>
      <c r="CS23" s="35">
        <v>41.75</v>
      </c>
      <c r="CT23" s="1">
        <f>CS23*60</f>
        <v>2505</v>
      </c>
      <c r="CU23" s="15"/>
      <c r="CV23" s="12"/>
      <c r="DA23" s="329">
        <v>0</v>
      </c>
      <c r="DB23" s="329">
        <f>DA23*60</f>
        <v>0</v>
      </c>
      <c r="DC23" s="15"/>
      <c r="DI23" s="172">
        <v>145.5</v>
      </c>
      <c r="DJ23" s="172">
        <f>DI23*60</f>
        <v>8730</v>
      </c>
      <c r="DK23" s="15"/>
      <c r="DL23" s="12"/>
      <c r="DQ23" s="172">
        <v>122.25</v>
      </c>
      <c r="DR23" s="172">
        <f>DQ23*60</f>
        <v>7335</v>
      </c>
      <c r="DS23" s="15"/>
      <c r="DT23" s="12"/>
      <c r="DY23" s="172">
        <v>100</v>
      </c>
      <c r="DZ23" s="172">
        <f>DY23*60</f>
        <v>6000</v>
      </c>
      <c r="EA23" s="15"/>
      <c r="EB23" s="12"/>
      <c r="EG23" s="172">
        <v>100</v>
      </c>
      <c r="EH23" s="172">
        <f>EG23*60</f>
        <v>6000</v>
      </c>
      <c r="EI23" s="15"/>
      <c r="EO23" s="329">
        <v>0</v>
      </c>
      <c r="EP23" s="172">
        <f>EO23*60</f>
        <v>0</v>
      </c>
      <c r="EQ23" s="15"/>
      <c r="ER23" s="12"/>
      <c r="EW23" s="9">
        <f t="shared" si="36"/>
        <v>642.6</v>
      </c>
      <c r="EX23" s="9">
        <f t="shared" si="36"/>
        <v>38556</v>
      </c>
      <c r="EY23" s="17"/>
      <c r="FA23" s="19"/>
      <c r="FB23" s="172"/>
      <c r="FD23" s="172"/>
      <c r="FF23" s="172">
        <v>245</v>
      </c>
      <c r="FG23" s="172">
        <f>FF23*60</f>
        <v>14700</v>
      </c>
      <c r="FH23" s="880"/>
      <c r="FI23" s="12"/>
      <c r="FN23" s="172">
        <v>179.36</v>
      </c>
      <c r="FO23" s="172">
        <f>FN23*60</f>
        <v>10761.6</v>
      </c>
      <c r="FP23" s="15"/>
      <c r="FQ23" s="12"/>
      <c r="FV23" s="35">
        <v>48.11</v>
      </c>
      <c r="FW23" s="1">
        <f>FV23*60</f>
        <v>2886.6</v>
      </c>
      <c r="FX23" s="15"/>
      <c r="FY23" s="12"/>
      <c r="GD23" s="172">
        <v>48</v>
      </c>
      <c r="GE23" s="172">
        <f>GD23*60</f>
        <v>2880</v>
      </c>
      <c r="GF23" s="15"/>
      <c r="GG23" s="12"/>
      <c r="GL23" s="172">
        <v>26.12</v>
      </c>
      <c r="GM23" s="172">
        <f>GL23*60</f>
        <v>1567.2</v>
      </c>
      <c r="GN23" s="15"/>
      <c r="GO23" s="12"/>
      <c r="GT23" s="172">
        <v>26.3</v>
      </c>
      <c r="GU23" s="172">
        <f>GT23*60</f>
        <v>1578</v>
      </c>
      <c r="GV23" s="15"/>
      <c r="GW23" s="12"/>
      <c r="HB23" s="172">
        <v>146.31</v>
      </c>
      <c r="HC23" s="172">
        <f>HB23*60</f>
        <v>8778.6</v>
      </c>
      <c r="HD23" s="15"/>
      <c r="HE23" s="12"/>
      <c r="HJ23" s="172">
        <v>146.31</v>
      </c>
      <c r="HK23" s="172">
        <f>HJ23*60</f>
        <v>8778.6</v>
      </c>
      <c r="HL23" s="15"/>
      <c r="HM23" s="12"/>
      <c r="HR23" s="172">
        <v>23.06</v>
      </c>
      <c r="HS23" s="172">
        <f>HR23*60</f>
        <v>1383.6</v>
      </c>
      <c r="HT23" s="15"/>
      <c r="HU23" s="12"/>
      <c r="HZ23" s="172">
        <v>23.06</v>
      </c>
      <c r="IA23" s="172">
        <f>HZ23*60</f>
        <v>1383.6</v>
      </c>
      <c r="IB23" s="15"/>
      <c r="IC23" s="12"/>
      <c r="IH23" s="172">
        <v>0</v>
      </c>
      <c r="II23" s="172">
        <f>IH23*60</f>
        <v>0</v>
      </c>
      <c r="IJ23" s="15"/>
      <c r="IP23" s="329">
        <v>0</v>
      </c>
      <c r="IQ23" s="172">
        <f>IP23*60</f>
        <v>0</v>
      </c>
      <c r="IR23" s="15"/>
      <c r="IS23" s="12"/>
      <c r="IX23" s="9">
        <f t="shared" ref="IX23:IY25" si="37">FF23+FN23+FV23+GD23+GL23+GT23+HB23+HJ23+IP23+HR23+HZ23+IH23</f>
        <v>911.62999999999988</v>
      </c>
      <c r="IY23" s="9">
        <f t="shared" si="37"/>
        <v>54697.799999999988</v>
      </c>
      <c r="IZ23" s="17"/>
    </row>
    <row r="24" spans="1:263" x14ac:dyDescent="0.3">
      <c r="A24" s="12"/>
      <c r="B24" s="1" t="s">
        <v>1012</v>
      </c>
      <c r="C24" s="12"/>
      <c r="J24" s="15"/>
      <c r="K24" s="12"/>
      <c r="R24" s="15"/>
      <c r="S24" s="12"/>
      <c r="Z24" s="15"/>
      <c r="AA24" s="12"/>
      <c r="AH24" s="15"/>
      <c r="AI24" s="12"/>
      <c r="AP24" s="15"/>
      <c r="AV24" s="172"/>
      <c r="AW24" s="172"/>
      <c r="AX24" s="15"/>
      <c r="AY24" s="12"/>
      <c r="BD24" s="172"/>
      <c r="BE24" s="172"/>
      <c r="BF24" s="17"/>
      <c r="BG24" s="12"/>
      <c r="BO24" s="12"/>
      <c r="BV24" s="15"/>
      <c r="BX24" s="12"/>
      <c r="BY24" s="172"/>
      <c r="CA24" s="172"/>
      <c r="CC24" s="35"/>
      <c r="CE24" s="15"/>
      <c r="CF24" s="12"/>
      <c r="CK24" s="35"/>
      <c r="CM24" s="15"/>
      <c r="CN24" s="12"/>
      <c r="CS24" s="35"/>
      <c r="CU24" s="15"/>
      <c r="CV24" s="12"/>
      <c r="DA24" s="329"/>
      <c r="DB24" s="329"/>
      <c r="DC24" s="15"/>
      <c r="DI24" s="172"/>
      <c r="DJ24" s="172"/>
      <c r="DK24" s="15"/>
      <c r="DL24" s="12"/>
      <c r="DQ24" s="172"/>
      <c r="DR24" s="172"/>
      <c r="DS24" s="15"/>
      <c r="DT24" s="12"/>
      <c r="DY24" s="172"/>
      <c r="DZ24" s="172"/>
      <c r="EA24" s="15"/>
      <c r="EB24" s="12"/>
      <c r="EG24" s="172"/>
      <c r="EH24" s="172"/>
      <c r="EI24" s="15"/>
      <c r="EO24" s="329"/>
      <c r="EP24" s="172"/>
      <c r="EQ24" s="15"/>
      <c r="ER24" s="12"/>
      <c r="EW24" s="9"/>
      <c r="EX24" s="9"/>
      <c r="EY24" s="17"/>
      <c r="FA24" s="19"/>
      <c r="FB24" s="172"/>
      <c r="FD24" s="172"/>
      <c r="FF24" s="172"/>
      <c r="FG24" s="172"/>
      <c r="FH24" s="880"/>
      <c r="FI24" s="12"/>
      <c r="FN24" s="172"/>
      <c r="FO24" s="172"/>
      <c r="FP24" s="15"/>
      <c r="FQ24" s="12"/>
      <c r="FV24" s="35"/>
      <c r="FX24" s="15"/>
      <c r="FY24" s="12"/>
      <c r="GD24" s="172"/>
      <c r="GE24" s="172"/>
      <c r="GF24" s="15"/>
      <c r="GG24" s="12"/>
      <c r="GL24" s="172"/>
      <c r="GM24" s="172"/>
      <c r="GN24" s="15"/>
      <c r="GO24" s="12"/>
      <c r="GT24" s="172">
        <v>900</v>
      </c>
      <c r="GU24" s="172">
        <f>GT24*60</f>
        <v>54000</v>
      </c>
      <c r="GV24" s="15"/>
      <c r="GW24" s="12"/>
      <c r="HB24" s="172">
        <v>0</v>
      </c>
      <c r="HC24" s="172">
        <v>0</v>
      </c>
      <c r="HD24" s="15"/>
      <c r="HE24" s="12"/>
      <c r="HJ24" s="172">
        <v>0</v>
      </c>
      <c r="HK24" s="172">
        <v>0</v>
      </c>
      <c r="HL24" s="15"/>
      <c r="HM24" s="12"/>
      <c r="HR24" s="172">
        <v>0</v>
      </c>
      <c r="HS24" s="172">
        <v>0</v>
      </c>
      <c r="HT24" s="15"/>
      <c r="HU24" s="12"/>
      <c r="HZ24" s="172">
        <v>0</v>
      </c>
      <c r="IA24" s="172">
        <v>0</v>
      </c>
      <c r="IB24" s="15"/>
      <c r="IC24" s="12"/>
      <c r="IH24" s="172">
        <v>0</v>
      </c>
      <c r="II24" s="172">
        <v>0</v>
      </c>
      <c r="IJ24" s="15"/>
      <c r="IP24" s="329"/>
      <c r="IQ24" s="172"/>
      <c r="IR24" s="15"/>
      <c r="IS24" s="12"/>
      <c r="IX24" s="9">
        <f t="shared" si="37"/>
        <v>900</v>
      </c>
      <c r="IY24" s="9">
        <f t="shared" si="37"/>
        <v>54000</v>
      </c>
      <c r="IZ24" s="17"/>
    </row>
    <row r="25" spans="1:263" x14ac:dyDescent="0.3">
      <c r="A25" s="12"/>
      <c r="B25" s="1" t="s">
        <v>1013</v>
      </c>
      <c r="C25" s="12"/>
      <c r="J25" s="15"/>
      <c r="K25" s="12"/>
      <c r="R25" s="15"/>
      <c r="S25" s="12"/>
      <c r="Z25" s="15"/>
      <c r="AA25" s="12"/>
      <c r="AH25" s="15"/>
      <c r="AI25" s="12"/>
      <c r="AP25" s="15"/>
      <c r="AX25" s="15"/>
      <c r="AY25" s="12"/>
      <c r="BF25" s="17"/>
      <c r="BG25" s="12"/>
      <c r="BO25" s="12"/>
      <c r="BV25" s="15"/>
      <c r="BX25" s="12"/>
      <c r="BY25" s="172"/>
      <c r="CA25" s="172"/>
      <c r="CE25" s="15"/>
      <c r="CF25" s="12"/>
      <c r="CM25" s="15"/>
      <c r="CN25" s="12"/>
      <c r="CU25" s="15"/>
      <c r="CV25" s="12"/>
      <c r="DC25" s="15"/>
      <c r="DK25" s="15"/>
      <c r="DL25" s="12"/>
      <c r="DS25" s="15"/>
      <c r="DT25" s="12"/>
      <c r="EA25" s="15"/>
      <c r="EB25" s="12"/>
      <c r="EI25" s="15"/>
      <c r="EQ25" s="15"/>
      <c r="ER25" s="12"/>
      <c r="EW25" s="9">
        <f t="shared" si="36"/>
        <v>0</v>
      </c>
      <c r="EX25" s="9">
        <f t="shared" si="36"/>
        <v>0</v>
      </c>
      <c r="EY25" s="17"/>
      <c r="FA25" s="19"/>
      <c r="FB25" s="172"/>
      <c r="FD25" s="172"/>
      <c r="FH25" s="15"/>
      <c r="FI25" s="12"/>
      <c r="FN25" s="329"/>
      <c r="FO25" s="329"/>
      <c r="FP25" s="15"/>
      <c r="FQ25" s="12"/>
      <c r="FX25" s="15"/>
      <c r="FY25" s="12"/>
      <c r="GD25" s="16"/>
      <c r="GE25" s="16"/>
      <c r="GF25" s="15"/>
      <c r="GG25" s="12"/>
      <c r="GL25" s="16"/>
      <c r="GM25" s="16"/>
      <c r="GN25" s="15"/>
      <c r="GO25" s="12"/>
      <c r="GV25" s="15"/>
      <c r="GW25" s="12"/>
      <c r="HD25" s="15"/>
      <c r="HE25" s="12"/>
      <c r="HL25" s="15"/>
      <c r="HM25" s="12"/>
      <c r="HT25" s="15"/>
      <c r="HU25" s="12"/>
      <c r="IB25" s="15"/>
      <c r="IC25" s="12"/>
      <c r="IJ25" s="15"/>
      <c r="IR25" s="15"/>
      <c r="IS25" s="12"/>
      <c r="IX25" s="9">
        <f t="shared" si="37"/>
        <v>0</v>
      </c>
      <c r="IY25" s="9">
        <f t="shared" si="37"/>
        <v>0</v>
      </c>
      <c r="IZ25" s="17"/>
    </row>
    <row r="26" spans="1:263" ht="7" customHeight="1" x14ac:dyDescent="0.3">
      <c r="A26" s="12"/>
      <c r="C26" s="12"/>
      <c r="J26" s="15"/>
      <c r="K26" s="12"/>
      <c r="R26" s="15"/>
      <c r="S26" s="12"/>
      <c r="Z26" s="15"/>
      <c r="AA26" s="12"/>
      <c r="AH26" s="15"/>
      <c r="AI26" s="12"/>
      <c r="AP26" s="15"/>
      <c r="AX26" s="15"/>
      <c r="AY26" s="12"/>
      <c r="BF26" s="17"/>
      <c r="BG26" s="12"/>
      <c r="BO26" s="12"/>
      <c r="BV26" s="15"/>
      <c r="BX26" s="12"/>
      <c r="BY26" s="172"/>
      <c r="CA26" s="172"/>
      <c r="CE26" s="15"/>
      <c r="CF26" s="12"/>
      <c r="CM26" s="15"/>
      <c r="CN26" s="12"/>
      <c r="CU26" s="15"/>
      <c r="CV26" s="12"/>
      <c r="DC26" s="15"/>
      <c r="DK26" s="15"/>
      <c r="DL26" s="12"/>
      <c r="DS26" s="15"/>
      <c r="DT26" s="12"/>
      <c r="EA26" s="15"/>
      <c r="EB26" s="12"/>
      <c r="EI26" s="15"/>
      <c r="EQ26" s="15"/>
      <c r="ER26" s="12"/>
      <c r="EX26" s="9">
        <f t="shared" si="36"/>
        <v>0</v>
      </c>
      <c r="EY26" s="17"/>
      <c r="FA26" s="19"/>
      <c r="FB26" s="172"/>
      <c r="FD26" s="172"/>
      <c r="FH26" s="15"/>
      <c r="FI26" s="12"/>
      <c r="FP26" s="15"/>
      <c r="FQ26" s="12"/>
      <c r="FX26" s="15"/>
      <c r="FY26" s="12"/>
      <c r="GD26" s="16"/>
      <c r="GE26" s="16"/>
      <c r="GF26" s="15"/>
      <c r="GG26" s="12"/>
      <c r="GL26" s="16"/>
      <c r="GM26" s="16"/>
      <c r="GN26" s="15"/>
      <c r="GO26" s="12"/>
      <c r="GV26" s="15"/>
      <c r="GW26" s="12"/>
      <c r="HD26" s="15"/>
      <c r="HE26" s="12"/>
      <c r="HL26" s="15"/>
      <c r="HM26" s="12"/>
      <c r="HT26" s="15"/>
      <c r="HU26" s="12"/>
      <c r="IB26" s="15"/>
      <c r="IC26" s="12"/>
      <c r="IJ26" s="15"/>
      <c r="IR26" s="15"/>
      <c r="IS26" s="12"/>
      <c r="IY26" s="9">
        <f t="shared" si="35"/>
        <v>0</v>
      </c>
      <c r="IZ26" s="17"/>
    </row>
    <row r="27" spans="1:263" ht="14" hidden="1" customHeight="1" x14ac:dyDescent="0.3">
      <c r="A27" s="12"/>
      <c r="B27" s="31" t="s">
        <v>478</v>
      </c>
      <c r="C27" s="12"/>
      <c r="J27" s="15"/>
      <c r="K27" s="12"/>
      <c r="R27" s="15"/>
      <c r="S27" s="12"/>
      <c r="Z27" s="15"/>
      <c r="AA27" s="12"/>
      <c r="AH27" s="15"/>
      <c r="AI27" s="12"/>
      <c r="AP27" s="15"/>
      <c r="AX27" s="15"/>
      <c r="AY27" s="12"/>
      <c r="BF27" s="17"/>
      <c r="BG27" s="12"/>
      <c r="BO27" s="12"/>
      <c r="BV27" s="15"/>
      <c r="BX27" s="12"/>
      <c r="BY27" s="172"/>
      <c r="CA27" s="172"/>
      <c r="CE27" s="15"/>
      <c r="CF27" s="12"/>
      <c r="CM27" s="15"/>
      <c r="CN27" s="12"/>
      <c r="CU27" s="15"/>
      <c r="CV27" s="12"/>
      <c r="DC27" s="15"/>
      <c r="DK27" s="15"/>
      <c r="DL27" s="12"/>
      <c r="DS27" s="15"/>
      <c r="DT27" s="12"/>
      <c r="EA27" s="15"/>
      <c r="EB27" s="12"/>
      <c r="EI27" s="15"/>
      <c r="EQ27" s="15"/>
      <c r="ER27" s="12"/>
      <c r="EX27" s="9">
        <f t="shared" ref="EX27:EX45" si="38">CD27+CL27+CT27+DB27+DJ27+DR27</f>
        <v>0</v>
      </c>
      <c r="EY27" s="17"/>
      <c r="FA27" s="19"/>
      <c r="FB27" s="172"/>
      <c r="FD27" s="172"/>
      <c r="FH27" s="15"/>
      <c r="FI27" s="12"/>
      <c r="FP27" s="15"/>
      <c r="FQ27" s="12"/>
      <c r="FX27" s="15"/>
      <c r="FY27" s="12"/>
      <c r="GD27" s="16"/>
      <c r="GE27" s="16"/>
      <c r="GF27" s="15"/>
      <c r="GG27" s="12"/>
      <c r="GL27" s="16"/>
      <c r="GM27" s="16"/>
      <c r="GN27" s="15"/>
      <c r="GO27" s="12"/>
      <c r="GV27" s="15"/>
      <c r="GW27" s="12"/>
      <c r="HD27" s="15"/>
      <c r="HE27" s="12"/>
      <c r="HL27" s="15"/>
      <c r="HM27" s="12"/>
      <c r="HT27" s="15"/>
      <c r="HU27" s="12"/>
      <c r="IB27" s="15"/>
      <c r="IC27" s="12"/>
      <c r="IJ27" s="15"/>
      <c r="IR27" s="15"/>
      <c r="IS27" s="12"/>
      <c r="IY27" s="9">
        <f t="shared" ref="IY27:IY45" si="39">FG27+FO27+FW27+GE27+GM27+GU27</f>
        <v>0</v>
      </c>
      <c r="IZ27" s="17"/>
    </row>
    <row r="28" spans="1:263" ht="14" hidden="1" customHeight="1" x14ac:dyDescent="0.3">
      <c r="A28" s="12"/>
      <c r="B28" s="32" t="s">
        <v>24</v>
      </c>
      <c r="C28" s="12"/>
      <c r="J28" s="15"/>
      <c r="K28" s="12"/>
      <c r="R28" s="15"/>
      <c r="S28" s="12"/>
      <c r="Z28" s="15"/>
      <c r="AA28" s="12"/>
      <c r="AH28" s="15"/>
      <c r="AI28" s="12"/>
      <c r="AP28" s="15"/>
      <c r="AX28" s="15"/>
      <c r="AY28" s="12"/>
      <c r="BF28" s="17"/>
      <c r="BG28" s="12"/>
      <c r="BO28" s="12"/>
      <c r="BV28" s="15"/>
      <c r="BX28" s="12"/>
      <c r="BY28" s="172"/>
      <c r="CA28" s="172"/>
      <c r="CE28" s="15"/>
      <c r="CF28" s="12"/>
      <c r="CM28" s="15"/>
      <c r="CN28" s="12"/>
      <c r="CU28" s="15"/>
      <c r="CV28" s="12"/>
      <c r="DC28" s="15"/>
      <c r="DK28" s="15"/>
      <c r="DL28" s="12"/>
      <c r="DS28" s="15"/>
      <c r="DT28" s="12"/>
      <c r="EA28" s="15"/>
      <c r="EB28" s="12"/>
      <c r="EI28" s="15"/>
      <c r="EQ28" s="15"/>
      <c r="ER28" s="12"/>
      <c r="EX28" s="9">
        <f t="shared" si="38"/>
        <v>0</v>
      </c>
      <c r="EY28" s="17"/>
      <c r="FA28" s="19"/>
      <c r="FB28" s="172"/>
      <c r="FD28" s="172"/>
      <c r="FH28" s="15"/>
      <c r="FI28" s="12"/>
      <c r="FP28" s="15"/>
      <c r="FQ28" s="12"/>
      <c r="FX28" s="15"/>
      <c r="FY28" s="12"/>
      <c r="GD28" s="16"/>
      <c r="GE28" s="16"/>
      <c r="GF28" s="15"/>
      <c r="GG28" s="12"/>
      <c r="GL28" s="16"/>
      <c r="GM28" s="16"/>
      <c r="GN28" s="15"/>
      <c r="GO28" s="12"/>
      <c r="GV28" s="15"/>
      <c r="GW28" s="12"/>
      <c r="HD28" s="15"/>
      <c r="HE28" s="12"/>
      <c r="HL28" s="15"/>
      <c r="HM28" s="12"/>
      <c r="HT28" s="15"/>
      <c r="HU28" s="12"/>
      <c r="IB28" s="15"/>
      <c r="IC28" s="12"/>
      <c r="IJ28" s="15"/>
      <c r="IR28" s="15"/>
      <c r="IS28" s="12"/>
      <c r="IY28" s="9">
        <f t="shared" si="39"/>
        <v>0</v>
      </c>
      <c r="IZ28" s="17"/>
    </row>
    <row r="29" spans="1:263" ht="14" hidden="1" customHeight="1" x14ac:dyDescent="0.3">
      <c r="A29" s="12"/>
      <c r="B29" s="1" t="s">
        <v>25</v>
      </c>
      <c r="C29" s="12"/>
      <c r="J29" s="15"/>
      <c r="K29" s="12"/>
      <c r="R29" s="15"/>
      <c r="S29" s="12"/>
      <c r="Z29" s="15"/>
      <c r="AA29" s="12"/>
      <c r="AH29" s="15"/>
      <c r="AI29" s="12"/>
      <c r="AP29" s="15"/>
      <c r="AX29" s="15"/>
      <c r="AY29" s="12"/>
      <c r="BF29" s="17"/>
      <c r="BG29" s="12"/>
      <c r="BO29" s="12"/>
      <c r="BV29" s="15"/>
      <c r="BX29" s="12"/>
      <c r="BY29" s="172"/>
      <c r="CA29" s="172"/>
      <c r="CE29" s="15"/>
      <c r="CF29" s="12"/>
      <c r="CM29" s="15"/>
      <c r="CN29" s="12"/>
      <c r="CU29" s="15"/>
      <c r="CV29" s="12"/>
      <c r="DC29" s="15"/>
      <c r="DK29" s="15"/>
      <c r="DL29" s="12"/>
      <c r="DS29" s="15"/>
      <c r="DT29" s="12"/>
      <c r="EA29" s="15"/>
      <c r="EB29" s="12"/>
      <c r="EI29" s="15"/>
      <c r="EQ29" s="15"/>
      <c r="ER29" s="12"/>
      <c r="EX29" s="9">
        <f t="shared" si="38"/>
        <v>0</v>
      </c>
      <c r="EY29" s="17"/>
      <c r="FA29" s="19"/>
      <c r="FB29" s="172"/>
      <c r="FD29" s="172"/>
      <c r="FH29" s="15"/>
      <c r="FI29" s="12"/>
      <c r="FP29" s="15"/>
      <c r="FQ29" s="12"/>
      <c r="FX29" s="15"/>
      <c r="FY29" s="12"/>
      <c r="GD29" s="16"/>
      <c r="GE29" s="16"/>
      <c r="GF29" s="15"/>
      <c r="GG29" s="12"/>
      <c r="GL29" s="16"/>
      <c r="GM29" s="16"/>
      <c r="GN29" s="15"/>
      <c r="GO29" s="12"/>
      <c r="GV29" s="15"/>
      <c r="GW29" s="12"/>
      <c r="HD29" s="15"/>
      <c r="HE29" s="12"/>
      <c r="HL29" s="15"/>
      <c r="HM29" s="12"/>
      <c r="HT29" s="15"/>
      <c r="HU29" s="12"/>
      <c r="IB29" s="15"/>
      <c r="IC29" s="12"/>
      <c r="IJ29" s="15"/>
      <c r="IR29" s="15"/>
      <c r="IS29" s="12"/>
      <c r="IY29" s="9">
        <f t="shared" si="39"/>
        <v>0</v>
      </c>
      <c r="IZ29" s="17"/>
    </row>
    <row r="30" spans="1:263" ht="14" hidden="1" customHeight="1" x14ac:dyDescent="0.3">
      <c r="A30" s="12"/>
      <c r="B30" s="1" t="s">
        <v>26</v>
      </c>
      <c r="C30" s="12"/>
      <c r="J30" s="15"/>
      <c r="K30" s="12"/>
      <c r="R30" s="15"/>
      <c r="S30" s="12"/>
      <c r="Z30" s="15"/>
      <c r="AA30" s="12"/>
      <c r="AH30" s="15"/>
      <c r="AI30" s="12"/>
      <c r="AP30" s="15"/>
      <c r="AX30" s="15"/>
      <c r="AY30" s="12"/>
      <c r="BF30" s="17"/>
      <c r="BG30" s="12"/>
      <c r="BO30" s="12"/>
      <c r="BV30" s="15"/>
      <c r="BX30" s="12"/>
      <c r="BY30" s="172"/>
      <c r="CA30" s="172"/>
      <c r="CE30" s="15"/>
      <c r="CF30" s="12"/>
      <c r="CM30" s="15"/>
      <c r="CN30" s="12"/>
      <c r="CU30" s="15"/>
      <c r="CV30" s="12"/>
      <c r="DC30" s="15"/>
      <c r="DK30" s="15"/>
      <c r="DL30" s="12"/>
      <c r="DS30" s="15"/>
      <c r="DT30" s="12"/>
      <c r="EA30" s="15"/>
      <c r="EB30" s="12"/>
      <c r="EI30" s="15"/>
      <c r="EQ30" s="15"/>
      <c r="ER30" s="12"/>
      <c r="EX30" s="9">
        <f t="shared" si="38"/>
        <v>0</v>
      </c>
      <c r="EY30" s="17"/>
      <c r="FA30" s="19"/>
      <c r="FB30" s="172"/>
      <c r="FD30" s="172"/>
      <c r="FH30" s="15"/>
      <c r="FI30" s="12"/>
      <c r="FP30" s="15"/>
      <c r="FQ30" s="12"/>
      <c r="FX30" s="15"/>
      <c r="FY30" s="12"/>
      <c r="GD30" s="16"/>
      <c r="GE30" s="16"/>
      <c r="GF30" s="15"/>
      <c r="GG30" s="12"/>
      <c r="GL30" s="16"/>
      <c r="GM30" s="16"/>
      <c r="GN30" s="15"/>
      <c r="GO30" s="12"/>
      <c r="GV30" s="15"/>
      <c r="GW30" s="12"/>
      <c r="HD30" s="15"/>
      <c r="HE30" s="12"/>
      <c r="HL30" s="15"/>
      <c r="HM30" s="12"/>
      <c r="HT30" s="15"/>
      <c r="HU30" s="12"/>
      <c r="IB30" s="15"/>
      <c r="IC30" s="12"/>
      <c r="IJ30" s="15"/>
      <c r="IR30" s="15"/>
      <c r="IS30" s="12"/>
      <c r="IY30" s="9">
        <f t="shared" si="39"/>
        <v>0</v>
      </c>
      <c r="IZ30" s="17"/>
    </row>
    <row r="31" spans="1:263" ht="14" hidden="1" customHeight="1" x14ac:dyDescent="0.3">
      <c r="A31" s="12"/>
      <c r="B31" s="1" t="s">
        <v>27</v>
      </c>
      <c r="C31" s="12"/>
      <c r="J31" s="15"/>
      <c r="K31" s="12"/>
      <c r="R31" s="15"/>
      <c r="S31" s="12"/>
      <c r="Z31" s="15"/>
      <c r="AA31" s="12"/>
      <c r="AH31" s="15"/>
      <c r="AI31" s="12"/>
      <c r="AP31" s="15"/>
      <c r="AX31" s="15"/>
      <c r="AY31" s="12"/>
      <c r="BF31" s="17"/>
      <c r="BG31" s="12"/>
      <c r="BO31" s="12"/>
      <c r="BV31" s="15"/>
      <c r="BX31" s="12"/>
      <c r="BY31" s="172"/>
      <c r="CA31" s="172"/>
      <c r="CE31" s="15"/>
      <c r="CF31" s="12"/>
      <c r="CM31" s="15"/>
      <c r="CN31" s="12"/>
      <c r="CU31" s="15"/>
      <c r="CV31" s="12"/>
      <c r="DC31" s="15"/>
      <c r="DK31" s="15"/>
      <c r="DL31" s="12"/>
      <c r="DS31" s="15"/>
      <c r="DT31" s="12"/>
      <c r="EA31" s="15"/>
      <c r="EB31" s="12"/>
      <c r="EI31" s="15"/>
      <c r="EQ31" s="15"/>
      <c r="ER31" s="12"/>
      <c r="EX31" s="9">
        <f t="shared" si="38"/>
        <v>0</v>
      </c>
      <c r="EY31" s="17"/>
      <c r="FA31" s="19"/>
      <c r="FB31" s="172"/>
      <c r="FD31" s="172"/>
      <c r="FH31" s="15"/>
      <c r="FI31" s="12"/>
      <c r="FP31" s="15"/>
      <c r="FQ31" s="12"/>
      <c r="FX31" s="15"/>
      <c r="FY31" s="12"/>
      <c r="GD31" s="16"/>
      <c r="GE31" s="16"/>
      <c r="GF31" s="15"/>
      <c r="GG31" s="12"/>
      <c r="GL31" s="16"/>
      <c r="GM31" s="16"/>
      <c r="GN31" s="15"/>
      <c r="GO31" s="12"/>
      <c r="GV31" s="15"/>
      <c r="GW31" s="12"/>
      <c r="HD31" s="15"/>
      <c r="HE31" s="12"/>
      <c r="HL31" s="15"/>
      <c r="HM31" s="12"/>
      <c r="HT31" s="15"/>
      <c r="HU31" s="12"/>
      <c r="IB31" s="15"/>
      <c r="IC31" s="12"/>
      <c r="IJ31" s="15"/>
      <c r="IR31" s="15"/>
      <c r="IS31" s="12"/>
      <c r="IY31" s="9">
        <f t="shared" si="39"/>
        <v>0</v>
      </c>
      <c r="IZ31" s="17"/>
    </row>
    <row r="32" spans="1:263" ht="14" hidden="1" customHeight="1" x14ac:dyDescent="0.3">
      <c r="A32" s="12"/>
      <c r="B32" s="1" t="s">
        <v>28</v>
      </c>
      <c r="C32" s="12"/>
      <c r="J32" s="15"/>
      <c r="K32" s="12"/>
      <c r="R32" s="15"/>
      <c r="S32" s="12"/>
      <c r="Z32" s="15"/>
      <c r="AA32" s="12"/>
      <c r="AH32" s="15"/>
      <c r="AI32" s="12"/>
      <c r="AP32" s="15"/>
      <c r="AX32" s="15"/>
      <c r="AY32" s="12"/>
      <c r="BF32" s="17"/>
      <c r="BG32" s="12"/>
      <c r="BO32" s="12"/>
      <c r="BV32" s="15"/>
      <c r="BX32" s="12"/>
      <c r="BY32" s="172"/>
      <c r="CA32" s="172"/>
      <c r="CE32" s="15"/>
      <c r="CF32" s="12"/>
      <c r="CM32" s="15"/>
      <c r="CN32" s="12"/>
      <c r="CU32" s="15"/>
      <c r="CV32" s="12"/>
      <c r="DC32" s="15"/>
      <c r="DK32" s="15"/>
      <c r="DL32" s="12"/>
      <c r="DS32" s="15"/>
      <c r="DT32" s="12"/>
      <c r="EA32" s="15"/>
      <c r="EB32" s="12"/>
      <c r="EI32" s="15"/>
      <c r="EQ32" s="15"/>
      <c r="ER32" s="12"/>
      <c r="EX32" s="9">
        <f t="shared" si="38"/>
        <v>0</v>
      </c>
      <c r="EY32" s="17"/>
      <c r="FA32" s="19"/>
      <c r="FB32" s="172"/>
      <c r="FD32" s="172"/>
      <c r="FH32" s="15"/>
      <c r="FI32" s="12"/>
      <c r="FP32" s="15"/>
      <c r="FQ32" s="12"/>
      <c r="FX32" s="15"/>
      <c r="FY32" s="12"/>
      <c r="GD32" s="16"/>
      <c r="GE32" s="16"/>
      <c r="GF32" s="15"/>
      <c r="GG32" s="12"/>
      <c r="GL32" s="16"/>
      <c r="GM32" s="16"/>
      <c r="GN32" s="15"/>
      <c r="GO32" s="12"/>
      <c r="GV32" s="15"/>
      <c r="GW32" s="12"/>
      <c r="HD32" s="15"/>
      <c r="HE32" s="12"/>
      <c r="HL32" s="15"/>
      <c r="HM32" s="12"/>
      <c r="HT32" s="15"/>
      <c r="HU32" s="12"/>
      <c r="IB32" s="15"/>
      <c r="IC32" s="12"/>
      <c r="IJ32" s="15"/>
      <c r="IR32" s="15"/>
      <c r="IS32" s="12"/>
      <c r="IY32" s="9">
        <f t="shared" si="39"/>
        <v>0</v>
      </c>
      <c r="IZ32" s="17"/>
    </row>
    <row r="33" spans="1:260" ht="14" hidden="1" customHeight="1" x14ac:dyDescent="0.3">
      <c r="A33" s="12"/>
      <c r="B33" s="1" t="s">
        <v>29</v>
      </c>
      <c r="C33" s="12"/>
      <c r="J33" s="15"/>
      <c r="K33" s="12"/>
      <c r="R33" s="15"/>
      <c r="S33" s="12"/>
      <c r="Z33" s="15"/>
      <c r="AA33" s="12"/>
      <c r="AH33" s="15"/>
      <c r="AI33" s="12"/>
      <c r="AP33" s="15"/>
      <c r="AX33" s="15"/>
      <c r="AY33" s="12"/>
      <c r="BF33" s="17"/>
      <c r="BG33" s="12"/>
      <c r="BO33" s="12"/>
      <c r="BV33" s="15"/>
      <c r="BX33" s="12"/>
      <c r="BY33" s="172"/>
      <c r="CA33" s="172"/>
      <c r="CE33" s="15"/>
      <c r="CF33" s="12"/>
      <c r="CM33" s="15"/>
      <c r="CN33" s="12"/>
      <c r="CU33" s="15"/>
      <c r="CV33" s="12"/>
      <c r="DC33" s="15"/>
      <c r="DK33" s="15"/>
      <c r="DL33" s="12"/>
      <c r="DS33" s="15"/>
      <c r="DT33" s="12"/>
      <c r="EA33" s="15"/>
      <c r="EB33" s="12"/>
      <c r="EI33" s="15"/>
      <c r="EQ33" s="15"/>
      <c r="ER33" s="12"/>
      <c r="EX33" s="9">
        <f t="shared" si="38"/>
        <v>0</v>
      </c>
      <c r="EY33" s="17"/>
      <c r="FA33" s="19"/>
      <c r="FB33" s="172"/>
      <c r="FD33" s="172"/>
      <c r="FH33" s="15"/>
      <c r="FI33" s="12"/>
      <c r="FP33" s="15"/>
      <c r="FQ33" s="12"/>
      <c r="FX33" s="15"/>
      <c r="FY33" s="12"/>
      <c r="GD33" s="16"/>
      <c r="GE33" s="16"/>
      <c r="GF33" s="15"/>
      <c r="GG33" s="12"/>
      <c r="GL33" s="16"/>
      <c r="GM33" s="16"/>
      <c r="GN33" s="15"/>
      <c r="GO33" s="12"/>
      <c r="GV33" s="15"/>
      <c r="GW33" s="12"/>
      <c r="HD33" s="15"/>
      <c r="HE33" s="12"/>
      <c r="HL33" s="15"/>
      <c r="HM33" s="12"/>
      <c r="HT33" s="15"/>
      <c r="HU33" s="12"/>
      <c r="IB33" s="15"/>
      <c r="IC33" s="12"/>
      <c r="IJ33" s="15"/>
      <c r="IR33" s="15"/>
      <c r="IS33" s="12"/>
      <c r="IY33" s="9">
        <f t="shared" si="39"/>
        <v>0</v>
      </c>
      <c r="IZ33" s="17"/>
    </row>
    <row r="34" spans="1:260" ht="14" hidden="1" customHeight="1" x14ac:dyDescent="0.3">
      <c r="A34" s="12"/>
      <c r="B34" s="1" t="s">
        <v>30</v>
      </c>
      <c r="C34" s="12"/>
      <c r="J34" s="15"/>
      <c r="K34" s="12"/>
      <c r="R34" s="15"/>
      <c r="S34" s="12"/>
      <c r="Z34" s="15"/>
      <c r="AA34" s="12"/>
      <c r="AH34" s="15"/>
      <c r="AI34" s="12"/>
      <c r="AP34" s="15"/>
      <c r="AX34" s="15"/>
      <c r="AY34" s="12"/>
      <c r="BF34" s="17"/>
      <c r="BG34" s="12"/>
      <c r="BO34" s="12"/>
      <c r="BV34" s="15"/>
      <c r="BX34" s="12"/>
      <c r="BY34" s="172"/>
      <c r="CA34" s="172"/>
      <c r="CE34" s="15"/>
      <c r="CF34" s="12"/>
      <c r="CM34" s="15"/>
      <c r="CN34" s="12"/>
      <c r="CU34" s="15"/>
      <c r="CV34" s="12"/>
      <c r="DC34" s="15"/>
      <c r="DK34" s="15"/>
      <c r="DL34" s="12"/>
      <c r="DS34" s="15"/>
      <c r="DT34" s="12"/>
      <c r="EA34" s="15"/>
      <c r="EB34" s="12"/>
      <c r="EI34" s="15"/>
      <c r="EQ34" s="15"/>
      <c r="ER34" s="12"/>
      <c r="EX34" s="9">
        <f t="shared" si="38"/>
        <v>0</v>
      </c>
      <c r="EY34" s="17"/>
      <c r="FA34" s="19"/>
      <c r="FB34" s="172"/>
      <c r="FD34" s="172"/>
      <c r="FH34" s="15"/>
      <c r="FI34" s="12"/>
      <c r="FP34" s="15"/>
      <c r="FQ34" s="12"/>
      <c r="FX34" s="15"/>
      <c r="FY34" s="12"/>
      <c r="GD34" s="16"/>
      <c r="GE34" s="16"/>
      <c r="GF34" s="15"/>
      <c r="GG34" s="12"/>
      <c r="GL34" s="16"/>
      <c r="GM34" s="16"/>
      <c r="GN34" s="15"/>
      <c r="GO34" s="12"/>
      <c r="GV34" s="15"/>
      <c r="GW34" s="12"/>
      <c r="HD34" s="15"/>
      <c r="HE34" s="12"/>
      <c r="HL34" s="15"/>
      <c r="HM34" s="12"/>
      <c r="HT34" s="15"/>
      <c r="HU34" s="12"/>
      <c r="IB34" s="15"/>
      <c r="IC34" s="12"/>
      <c r="IJ34" s="15"/>
      <c r="IR34" s="15"/>
      <c r="IS34" s="12"/>
      <c r="IY34" s="9">
        <f t="shared" si="39"/>
        <v>0</v>
      </c>
      <c r="IZ34" s="17"/>
    </row>
    <row r="35" spans="1:260" ht="14" hidden="1" customHeight="1" x14ac:dyDescent="0.3">
      <c r="A35" s="12"/>
      <c r="B35" s="1" t="s">
        <v>31</v>
      </c>
      <c r="C35" s="12"/>
      <c r="J35" s="15"/>
      <c r="K35" s="12"/>
      <c r="R35" s="15"/>
      <c r="S35" s="12"/>
      <c r="Z35" s="15"/>
      <c r="AA35" s="12"/>
      <c r="AH35" s="15"/>
      <c r="AI35" s="12"/>
      <c r="AP35" s="15"/>
      <c r="AX35" s="15"/>
      <c r="AY35" s="12"/>
      <c r="BF35" s="17"/>
      <c r="BG35" s="12"/>
      <c r="BO35" s="12"/>
      <c r="BV35" s="15"/>
      <c r="BX35" s="12"/>
      <c r="BY35" s="172"/>
      <c r="CA35" s="172"/>
      <c r="CE35" s="15"/>
      <c r="CF35" s="12"/>
      <c r="CM35" s="15"/>
      <c r="CN35" s="12"/>
      <c r="CU35" s="15"/>
      <c r="CV35" s="12"/>
      <c r="DC35" s="15"/>
      <c r="DK35" s="15"/>
      <c r="DL35" s="12"/>
      <c r="DS35" s="15"/>
      <c r="DT35" s="12"/>
      <c r="EA35" s="15"/>
      <c r="EB35" s="12"/>
      <c r="EI35" s="15"/>
      <c r="EQ35" s="15"/>
      <c r="ER35" s="12"/>
      <c r="EX35" s="9">
        <f t="shared" si="38"/>
        <v>0</v>
      </c>
      <c r="EY35" s="17"/>
      <c r="FA35" s="19"/>
      <c r="FB35" s="172"/>
      <c r="FD35" s="172"/>
      <c r="FH35" s="15"/>
      <c r="FI35" s="12"/>
      <c r="FP35" s="15"/>
      <c r="FQ35" s="12"/>
      <c r="FX35" s="15"/>
      <c r="FY35" s="12"/>
      <c r="GD35" s="16"/>
      <c r="GE35" s="16"/>
      <c r="GF35" s="15"/>
      <c r="GG35" s="12"/>
      <c r="GL35" s="16"/>
      <c r="GM35" s="16"/>
      <c r="GN35" s="15"/>
      <c r="GO35" s="12"/>
      <c r="GV35" s="15"/>
      <c r="GW35" s="12"/>
      <c r="HD35" s="15"/>
      <c r="HE35" s="12"/>
      <c r="HL35" s="15"/>
      <c r="HM35" s="12"/>
      <c r="HT35" s="15"/>
      <c r="HU35" s="12"/>
      <c r="IB35" s="15"/>
      <c r="IC35" s="12"/>
      <c r="IJ35" s="15"/>
      <c r="IR35" s="15"/>
      <c r="IS35" s="12"/>
      <c r="IY35" s="9">
        <f t="shared" si="39"/>
        <v>0</v>
      </c>
      <c r="IZ35" s="17"/>
    </row>
    <row r="36" spans="1:260" ht="14" hidden="1" customHeight="1" x14ac:dyDescent="0.3">
      <c r="A36" s="12"/>
      <c r="B36" s="1" t="s">
        <v>156</v>
      </c>
      <c r="C36" s="12"/>
      <c r="J36" s="15"/>
      <c r="K36" s="12"/>
      <c r="R36" s="15"/>
      <c r="S36" s="12"/>
      <c r="Z36" s="15"/>
      <c r="AA36" s="12"/>
      <c r="AH36" s="15"/>
      <c r="AI36" s="12"/>
      <c r="AP36" s="15"/>
      <c r="AX36" s="15"/>
      <c r="AY36" s="12"/>
      <c r="BF36" s="17"/>
      <c r="BG36" s="12"/>
      <c r="BO36" s="12"/>
      <c r="BV36" s="15"/>
      <c r="BX36" s="12"/>
      <c r="BY36" s="172"/>
      <c r="CA36" s="172"/>
      <c r="CE36" s="15"/>
      <c r="CF36" s="12"/>
      <c r="CM36" s="15"/>
      <c r="CN36" s="12"/>
      <c r="CU36" s="15"/>
      <c r="CV36" s="12"/>
      <c r="DC36" s="15"/>
      <c r="DK36" s="15"/>
      <c r="DL36" s="12"/>
      <c r="DS36" s="15"/>
      <c r="DT36" s="12"/>
      <c r="EA36" s="15"/>
      <c r="EB36" s="12"/>
      <c r="EI36" s="15"/>
      <c r="EQ36" s="15"/>
      <c r="ER36" s="12"/>
      <c r="EX36" s="9">
        <f t="shared" si="38"/>
        <v>0</v>
      </c>
      <c r="EY36" s="17"/>
      <c r="FA36" s="19"/>
      <c r="FB36" s="172"/>
      <c r="FD36" s="172"/>
      <c r="FH36" s="15"/>
      <c r="FI36" s="12"/>
      <c r="FP36" s="15"/>
      <c r="FQ36" s="12"/>
      <c r="FX36" s="15"/>
      <c r="FY36" s="12"/>
      <c r="GD36" s="16"/>
      <c r="GE36" s="16"/>
      <c r="GF36" s="15"/>
      <c r="GG36" s="12"/>
      <c r="GL36" s="16"/>
      <c r="GM36" s="16"/>
      <c r="GN36" s="15"/>
      <c r="GO36" s="12"/>
      <c r="GV36" s="15"/>
      <c r="GW36" s="12"/>
      <c r="HD36" s="15"/>
      <c r="HE36" s="12"/>
      <c r="HL36" s="15"/>
      <c r="HM36" s="12"/>
      <c r="HT36" s="15"/>
      <c r="HU36" s="12"/>
      <c r="IB36" s="15"/>
      <c r="IC36" s="12"/>
      <c r="IJ36" s="15"/>
      <c r="IR36" s="15"/>
      <c r="IS36" s="12"/>
      <c r="IY36" s="9">
        <f t="shared" si="39"/>
        <v>0</v>
      </c>
      <c r="IZ36" s="17"/>
    </row>
    <row r="37" spans="1:260" ht="14" hidden="1" customHeight="1" x14ac:dyDescent="0.3">
      <c r="A37" s="12"/>
      <c r="B37" s="1" t="s">
        <v>157</v>
      </c>
      <c r="C37" s="12"/>
      <c r="J37" s="15"/>
      <c r="K37" s="12"/>
      <c r="R37" s="15"/>
      <c r="S37" s="12"/>
      <c r="Z37" s="15"/>
      <c r="AA37" s="12"/>
      <c r="AH37" s="15"/>
      <c r="AI37" s="12"/>
      <c r="AP37" s="15"/>
      <c r="AX37" s="15"/>
      <c r="AY37" s="12"/>
      <c r="BF37" s="17"/>
      <c r="BG37" s="12"/>
      <c r="BO37" s="12"/>
      <c r="BV37" s="15"/>
      <c r="BX37" s="12"/>
      <c r="BY37" s="172"/>
      <c r="CA37" s="172"/>
      <c r="CE37" s="15"/>
      <c r="CF37" s="12"/>
      <c r="CM37" s="15"/>
      <c r="CN37" s="12"/>
      <c r="CU37" s="15"/>
      <c r="CV37" s="12"/>
      <c r="DC37" s="15"/>
      <c r="DK37" s="15"/>
      <c r="DL37" s="12"/>
      <c r="DS37" s="15"/>
      <c r="DT37" s="12"/>
      <c r="EA37" s="15"/>
      <c r="EB37" s="12"/>
      <c r="EI37" s="15"/>
      <c r="EQ37" s="15"/>
      <c r="ER37" s="12"/>
      <c r="EX37" s="9">
        <f t="shared" si="38"/>
        <v>0</v>
      </c>
      <c r="EY37" s="17"/>
      <c r="FA37" s="19"/>
      <c r="FB37" s="172"/>
      <c r="FD37" s="172"/>
      <c r="FH37" s="15"/>
      <c r="FI37" s="12"/>
      <c r="FP37" s="15"/>
      <c r="FQ37" s="12"/>
      <c r="FX37" s="15"/>
      <c r="FY37" s="12"/>
      <c r="GD37" s="16"/>
      <c r="GE37" s="16"/>
      <c r="GF37" s="15"/>
      <c r="GG37" s="12"/>
      <c r="GL37" s="16"/>
      <c r="GM37" s="16"/>
      <c r="GN37" s="15"/>
      <c r="GO37" s="12"/>
      <c r="GV37" s="15"/>
      <c r="GW37" s="12"/>
      <c r="HD37" s="15"/>
      <c r="HE37" s="12"/>
      <c r="HL37" s="15"/>
      <c r="HM37" s="12"/>
      <c r="HT37" s="15"/>
      <c r="HU37" s="12"/>
      <c r="IB37" s="15"/>
      <c r="IC37" s="12"/>
      <c r="IJ37" s="15"/>
      <c r="IR37" s="15"/>
      <c r="IS37" s="12"/>
      <c r="IY37" s="9">
        <f t="shared" si="39"/>
        <v>0</v>
      </c>
      <c r="IZ37" s="17"/>
    </row>
    <row r="38" spans="1:260" ht="14" hidden="1" customHeight="1" x14ac:dyDescent="0.3">
      <c r="A38" s="12"/>
      <c r="B38" s="1" t="s">
        <v>158</v>
      </c>
      <c r="C38" s="12"/>
      <c r="J38" s="15"/>
      <c r="K38" s="12"/>
      <c r="R38" s="15"/>
      <c r="S38" s="12"/>
      <c r="Z38" s="15"/>
      <c r="AA38" s="12"/>
      <c r="AH38" s="15"/>
      <c r="AI38" s="12"/>
      <c r="AP38" s="15"/>
      <c r="AX38" s="15"/>
      <c r="AY38" s="12"/>
      <c r="BF38" s="17"/>
      <c r="BG38" s="12"/>
      <c r="BO38" s="12"/>
      <c r="BV38" s="15"/>
      <c r="BX38" s="12"/>
      <c r="BY38" s="172"/>
      <c r="CA38" s="172"/>
      <c r="CE38" s="15"/>
      <c r="CF38" s="12"/>
      <c r="CM38" s="15"/>
      <c r="CN38" s="12"/>
      <c r="CU38" s="15"/>
      <c r="CV38" s="12"/>
      <c r="DC38" s="15"/>
      <c r="DK38" s="15"/>
      <c r="DL38" s="12"/>
      <c r="DS38" s="15"/>
      <c r="DT38" s="12"/>
      <c r="EA38" s="15"/>
      <c r="EB38" s="12"/>
      <c r="EI38" s="15"/>
      <c r="EQ38" s="15"/>
      <c r="ER38" s="12"/>
      <c r="EX38" s="9">
        <f t="shared" si="38"/>
        <v>0</v>
      </c>
      <c r="EY38" s="17"/>
      <c r="FA38" s="19"/>
      <c r="FB38" s="172"/>
      <c r="FD38" s="172"/>
      <c r="FH38" s="15"/>
      <c r="FI38" s="12"/>
      <c r="FP38" s="15"/>
      <c r="FQ38" s="12"/>
      <c r="FX38" s="15"/>
      <c r="FY38" s="12"/>
      <c r="GD38" s="16"/>
      <c r="GE38" s="16"/>
      <c r="GF38" s="15"/>
      <c r="GG38" s="12"/>
      <c r="GL38" s="16"/>
      <c r="GM38" s="16"/>
      <c r="GN38" s="15"/>
      <c r="GO38" s="12"/>
      <c r="GV38" s="15"/>
      <c r="GW38" s="12"/>
      <c r="HD38" s="15"/>
      <c r="HE38" s="12"/>
      <c r="HL38" s="15"/>
      <c r="HM38" s="12"/>
      <c r="HT38" s="15"/>
      <c r="HU38" s="12"/>
      <c r="IB38" s="15"/>
      <c r="IC38" s="12"/>
      <c r="IJ38" s="15"/>
      <c r="IR38" s="15"/>
      <c r="IS38" s="12"/>
      <c r="IY38" s="9">
        <f t="shared" si="39"/>
        <v>0</v>
      </c>
      <c r="IZ38" s="17"/>
    </row>
    <row r="39" spans="1:260" ht="14" hidden="1" customHeight="1" x14ac:dyDescent="0.3">
      <c r="A39" s="12"/>
      <c r="B39" s="1" t="s">
        <v>159</v>
      </c>
      <c r="C39" s="12"/>
      <c r="J39" s="15"/>
      <c r="K39" s="12"/>
      <c r="R39" s="15"/>
      <c r="S39" s="12"/>
      <c r="Z39" s="15"/>
      <c r="AA39" s="12"/>
      <c r="AH39" s="15"/>
      <c r="AI39" s="12"/>
      <c r="AP39" s="15"/>
      <c r="AX39" s="15"/>
      <c r="AY39" s="12"/>
      <c r="BF39" s="17"/>
      <c r="BG39" s="12"/>
      <c r="BO39" s="12"/>
      <c r="BV39" s="15"/>
      <c r="BX39" s="12"/>
      <c r="BY39" s="172"/>
      <c r="CA39" s="172"/>
      <c r="CE39" s="15"/>
      <c r="CF39" s="12"/>
      <c r="CM39" s="15"/>
      <c r="CN39" s="12"/>
      <c r="CU39" s="15"/>
      <c r="CV39" s="12"/>
      <c r="DC39" s="15"/>
      <c r="DK39" s="15"/>
      <c r="DL39" s="12"/>
      <c r="DS39" s="15"/>
      <c r="DT39" s="12"/>
      <c r="EA39" s="15"/>
      <c r="EB39" s="12"/>
      <c r="EI39" s="15"/>
      <c r="EQ39" s="15"/>
      <c r="ER39" s="12"/>
      <c r="EX39" s="9">
        <f t="shared" si="38"/>
        <v>0</v>
      </c>
      <c r="EY39" s="17"/>
      <c r="FA39" s="19"/>
      <c r="FB39" s="172"/>
      <c r="FD39" s="172"/>
      <c r="FH39" s="15"/>
      <c r="FI39" s="12"/>
      <c r="FP39" s="15"/>
      <c r="FQ39" s="12"/>
      <c r="FX39" s="15"/>
      <c r="FY39" s="12"/>
      <c r="GD39" s="16"/>
      <c r="GE39" s="16"/>
      <c r="GF39" s="15"/>
      <c r="GG39" s="12"/>
      <c r="GL39" s="16"/>
      <c r="GM39" s="16"/>
      <c r="GN39" s="15"/>
      <c r="GO39" s="12"/>
      <c r="GV39" s="15"/>
      <c r="GW39" s="12"/>
      <c r="HD39" s="15"/>
      <c r="HE39" s="12"/>
      <c r="HL39" s="15"/>
      <c r="HM39" s="12"/>
      <c r="HT39" s="15"/>
      <c r="HU39" s="12"/>
      <c r="IB39" s="15"/>
      <c r="IC39" s="12"/>
      <c r="IJ39" s="15"/>
      <c r="IR39" s="15"/>
      <c r="IS39" s="12"/>
      <c r="IY39" s="9">
        <f t="shared" si="39"/>
        <v>0</v>
      </c>
      <c r="IZ39" s="17"/>
    </row>
    <row r="40" spans="1:260" ht="14" hidden="1" customHeight="1" x14ac:dyDescent="0.3">
      <c r="A40" s="12"/>
      <c r="B40" s="1" t="s">
        <v>160</v>
      </c>
      <c r="C40" s="12"/>
      <c r="J40" s="15"/>
      <c r="K40" s="12"/>
      <c r="R40" s="15"/>
      <c r="S40" s="12"/>
      <c r="Z40" s="15"/>
      <c r="AA40" s="12"/>
      <c r="AH40" s="15"/>
      <c r="AI40" s="12"/>
      <c r="AP40" s="15"/>
      <c r="AX40" s="15"/>
      <c r="AY40" s="12"/>
      <c r="BF40" s="17"/>
      <c r="BG40" s="12"/>
      <c r="BO40" s="12"/>
      <c r="BV40" s="15"/>
      <c r="BX40" s="12"/>
      <c r="BY40" s="172"/>
      <c r="CA40" s="172"/>
      <c r="CE40" s="15"/>
      <c r="CF40" s="12"/>
      <c r="CM40" s="15"/>
      <c r="CN40" s="12"/>
      <c r="CU40" s="15"/>
      <c r="CV40" s="12"/>
      <c r="DC40" s="15"/>
      <c r="DK40" s="15"/>
      <c r="DL40" s="12"/>
      <c r="DS40" s="15"/>
      <c r="DT40" s="12"/>
      <c r="EA40" s="15"/>
      <c r="EB40" s="12"/>
      <c r="EI40" s="15"/>
      <c r="EQ40" s="15"/>
      <c r="ER40" s="12"/>
      <c r="EX40" s="9">
        <f t="shared" si="38"/>
        <v>0</v>
      </c>
      <c r="EY40" s="17"/>
      <c r="FA40" s="19"/>
      <c r="FB40" s="172"/>
      <c r="FD40" s="172"/>
      <c r="FH40" s="15"/>
      <c r="FI40" s="12"/>
      <c r="FP40" s="15"/>
      <c r="FQ40" s="12"/>
      <c r="FX40" s="15"/>
      <c r="FY40" s="12"/>
      <c r="GD40" s="16"/>
      <c r="GE40" s="16"/>
      <c r="GF40" s="15"/>
      <c r="GG40" s="12"/>
      <c r="GL40" s="16"/>
      <c r="GM40" s="16"/>
      <c r="GN40" s="15"/>
      <c r="GO40" s="12"/>
      <c r="GV40" s="15"/>
      <c r="GW40" s="12"/>
      <c r="HD40" s="15"/>
      <c r="HE40" s="12"/>
      <c r="HL40" s="15"/>
      <c r="HM40" s="12"/>
      <c r="HT40" s="15"/>
      <c r="HU40" s="12"/>
      <c r="IB40" s="15"/>
      <c r="IC40" s="12"/>
      <c r="IJ40" s="15"/>
      <c r="IR40" s="15"/>
      <c r="IS40" s="12"/>
      <c r="IY40" s="9">
        <f t="shared" si="39"/>
        <v>0</v>
      </c>
      <c r="IZ40" s="17"/>
    </row>
    <row r="41" spans="1:260" ht="14" hidden="1" customHeight="1" x14ac:dyDescent="0.3">
      <c r="A41" s="12"/>
      <c r="B41" s="1" t="s">
        <v>161</v>
      </c>
      <c r="C41" s="12"/>
      <c r="J41" s="15"/>
      <c r="K41" s="12"/>
      <c r="R41" s="15"/>
      <c r="S41" s="12"/>
      <c r="Z41" s="15"/>
      <c r="AA41" s="12"/>
      <c r="AH41" s="15"/>
      <c r="AI41" s="12"/>
      <c r="AP41" s="15"/>
      <c r="AX41" s="15"/>
      <c r="AY41" s="12"/>
      <c r="BF41" s="17"/>
      <c r="BG41" s="12"/>
      <c r="BO41" s="12"/>
      <c r="BV41" s="15"/>
      <c r="BX41" s="12"/>
      <c r="BY41" s="172"/>
      <c r="CA41" s="172"/>
      <c r="CE41" s="15"/>
      <c r="CF41" s="12"/>
      <c r="CM41" s="15"/>
      <c r="CN41" s="12"/>
      <c r="CU41" s="15"/>
      <c r="CV41" s="12"/>
      <c r="DC41" s="15"/>
      <c r="DK41" s="15"/>
      <c r="DL41" s="12"/>
      <c r="DS41" s="15"/>
      <c r="DT41" s="12"/>
      <c r="EA41" s="15"/>
      <c r="EB41" s="12"/>
      <c r="EI41" s="15"/>
      <c r="EQ41" s="15"/>
      <c r="ER41" s="12"/>
      <c r="EX41" s="9">
        <f t="shared" si="38"/>
        <v>0</v>
      </c>
      <c r="EY41" s="17"/>
      <c r="FA41" s="19"/>
      <c r="FB41" s="172"/>
      <c r="FD41" s="172"/>
      <c r="FH41" s="15"/>
      <c r="FI41" s="12"/>
      <c r="FP41" s="15"/>
      <c r="FQ41" s="12"/>
      <c r="FX41" s="15"/>
      <c r="FY41" s="12"/>
      <c r="GD41" s="16"/>
      <c r="GE41" s="16"/>
      <c r="GF41" s="15"/>
      <c r="GG41" s="12"/>
      <c r="GL41" s="16"/>
      <c r="GM41" s="16"/>
      <c r="GN41" s="15"/>
      <c r="GO41" s="12"/>
      <c r="GV41" s="15"/>
      <c r="GW41" s="12"/>
      <c r="HD41" s="15"/>
      <c r="HE41" s="12"/>
      <c r="HL41" s="15"/>
      <c r="HM41" s="12"/>
      <c r="HT41" s="15"/>
      <c r="HU41" s="12"/>
      <c r="IB41" s="15"/>
      <c r="IC41" s="12"/>
      <c r="IJ41" s="15"/>
      <c r="IR41" s="15"/>
      <c r="IS41" s="12"/>
      <c r="IY41" s="9">
        <f t="shared" si="39"/>
        <v>0</v>
      </c>
      <c r="IZ41" s="17"/>
    </row>
    <row r="42" spans="1:260" ht="14" hidden="1" customHeight="1" x14ac:dyDescent="0.3">
      <c r="A42" s="12"/>
      <c r="B42" s="1" t="s">
        <v>162</v>
      </c>
      <c r="C42" s="12"/>
      <c r="J42" s="15"/>
      <c r="K42" s="12"/>
      <c r="R42" s="15"/>
      <c r="S42" s="12"/>
      <c r="Z42" s="15"/>
      <c r="AA42" s="12"/>
      <c r="AH42" s="15"/>
      <c r="AI42" s="12"/>
      <c r="AP42" s="15"/>
      <c r="AX42" s="15"/>
      <c r="AY42" s="12"/>
      <c r="BF42" s="17"/>
      <c r="BG42" s="12"/>
      <c r="BO42" s="12"/>
      <c r="BV42" s="15"/>
      <c r="BX42" s="12"/>
      <c r="BY42" s="172"/>
      <c r="CA42" s="172"/>
      <c r="CE42" s="15"/>
      <c r="CF42" s="12"/>
      <c r="CM42" s="15"/>
      <c r="CN42" s="12"/>
      <c r="CU42" s="15"/>
      <c r="CV42" s="12"/>
      <c r="DC42" s="15"/>
      <c r="DK42" s="15"/>
      <c r="DL42" s="12"/>
      <c r="DS42" s="15"/>
      <c r="DT42" s="12"/>
      <c r="EA42" s="15"/>
      <c r="EB42" s="12"/>
      <c r="EI42" s="15"/>
      <c r="EQ42" s="15"/>
      <c r="ER42" s="12"/>
      <c r="EX42" s="9">
        <f t="shared" si="38"/>
        <v>0</v>
      </c>
      <c r="EY42" s="17"/>
      <c r="FA42" s="19"/>
      <c r="FB42" s="172"/>
      <c r="FD42" s="172"/>
      <c r="FH42" s="15"/>
      <c r="FI42" s="12"/>
      <c r="FP42" s="15"/>
      <c r="FQ42" s="12"/>
      <c r="FX42" s="15"/>
      <c r="FY42" s="12"/>
      <c r="GD42" s="16"/>
      <c r="GE42" s="16"/>
      <c r="GF42" s="15"/>
      <c r="GG42" s="12"/>
      <c r="GL42" s="16"/>
      <c r="GM42" s="16"/>
      <c r="GN42" s="15"/>
      <c r="GO42" s="12"/>
      <c r="GV42" s="15"/>
      <c r="GW42" s="12"/>
      <c r="HD42" s="15"/>
      <c r="HE42" s="12"/>
      <c r="HL42" s="15"/>
      <c r="HM42" s="12"/>
      <c r="HT42" s="15"/>
      <c r="HU42" s="12"/>
      <c r="IB42" s="15"/>
      <c r="IC42" s="12"/>
      <c r="IJ42" s="15"/>
      <c r="IR42" s="15"/>
      <c r="IS42" s="12"/>
      <c r="IY42" s="9">
        <f t="shared" si="39"/>
        <v>0</v>
      </c>
      <c r="IZ42" s="17"/>
    </row>
    <row r="43" spans="1:260" ht="14" hidden="1" customHeight="1" x14ac:dyDescent="0.3">
      <c r="A43" s="12"/>
      <c r="B43" s="1" t="s">
        <v>163</v>
      </c>
      <c r="C43" s="12"/>
      <c r="J43" s="15"/>
      <c r="K43" s="12"/>
      <c r="R43" s="15"/>
      <c r="S43" s="12"/>
      <c r="Z43" s="15"/>
      <c r="AA43" s="12"/>
      <c r="AH43" s="15"/>
      <c r="AI43" s="12"/>
      <c r="AP43" s="15"/>
      <c r="AX43" s="15"/>
      <c r="AY43" s="12"/>
      <c r="BF43" s="17"/>
      <c r="BG43" s="12"/>
      <c r="BO43" s="12"/>
      <c r="BV43" s="15"/>
      <c r="BX43" s="12"/>
      <c r="BY43" s="172"/>
      <c r="CA43" s="172"/>
      <c r="CE43" s="15"/>
      <c r="CF43" s="12"/>
      <c r="CM43" s="15"/>
      <c r="CN43" s="12"/>
      <c r="CU43" s="15"/>
      <c r="CV43" s="12"/>
      <c r="DC43" s="15"/>
      <c r="DK43" s="15"/>
      <c r="DL43" s="12"/>
      <c r="DS43" s="15"/>
      <c r="DT43" s="12"/>
      <c r="EA43" s="15"/>
      <c r="EB43" s="12"/>
      <c r="EI43" s="15"/>
      <c r="EQ43" s="15"/>
      <c r="ER43" s="12"/>
      <c r="EX43" s="9">
        <f t="shared" si="38"/>
        <v>0</v>
      </c>
      <c r="EY43" s="17"/>
      <c r="FA43" s="19"/>
      <c r="FB43" s="172"/>
      <c r="FD43" s="172"/>
      <c r="FH43" s="15"/>
      <c r="FI43" s="12"/>
      <c r="FP43" s="15"/>
      <c r="FQ43" s="12"/>
      <c r="FX43" s="15"/>
      <c r="FY43" s="12"/>
      <c r="GD43" s="16"/>
      <c r="GE43" s="16"/>
      <c r="GF43" s="15"/>
      <c r="GG43" s="12"/>
      <c r="GL43" s="16"/>
      <c r="GM43" s="16"/>
      <c r="GN43" s="15"/>
      <c r="GO43" s="12"/>
      <c r="GV43" s="15"/>
      <c r="GW43" s="12"/>
      <c r="HD43" s="15"/>
      <c r="HE43" s="12"/>
      <c r="HL43" s="15"/>
      <c r="HM43" s="12"/>
      <c r="HT43" s="15"/>
      <c r="HU43" s="12"/>
      <c r="IB43" s="15"/>
      <c r="IC43" s="12"/>
      <c r="IJ43" s="15"/>
      <c r="IR43" s="15"/>
      <c r="IS43" s="12"/>
      <c r="IY43" s="9">
        <f t="shared" si="39"/>
        <v>0</v>
      </c>
      <c r="IZ43" s="17"/>
    </row>
    <row r="44" spans="1:260" ht="14" hidden="1" customHeight="1" x14ac:dyDescent="0.3">
      <c r="A44" s="12"/>
      <c r="C44" s="12"/>
      <c r="J44" s="15"/>
      <c r="K44" s="12"/>
      <c r="R44" s="15"/>
      <c r="S44" s="12"/>
      <c r="Z44" s="15"/>
      <c r="AA44" s="12"/>
      <c r="AH44" s="15"/>
      <c r="AI44" s="12"/>
      <c r="AP44" s="15"/>
      <c r="AX44" s="15"/>
      <c r="AY44" s="12"/>
      <c r="BF44" s="17"/>
      <c r="BG44" s="12"/>
      <c r="BO44" s="12"/>
      <c r="BV44" s="15"/>
      <c r="BX44" s="12"/>
      <c r="BY44" s="172"/>
      <c r="CA44" s="172"/>
      <c r="CE44" s="15"/>
      <c r="CF44" s="12"/>
      <c r="CM44" s="15"/>
      <c r="CN44" s="12"/>
      <c r="CU44" s="15"/>
      <c r="CV44" s="12"/>
      <c r="DC44" s="15"/>
      <c r="DK44" s="15"/>
      <c r="DL44" s="12"/>
      <c r="DS44" s="15"/>
      <c r="DT44" s="12"/>
      <c r="EA44" s="15"/>
      <c r="EB44" s="12"/>
      <c r="EI44" s="15"/>
      <c r="EQ44" s="15"/>
      <c r="ER44" s="12"/>
      <c r="EX44" s="9">
        <f t="shared" si="38"/>
        <v>0</v>
      </c>
      <c r="EY44" s="17"/>
      <c r="FA44" s="19"/>
      <c r="FB44" s="172"/>
      <c r="FD44" s="172"/>
      <c r="FH44" s="15"/>
      <c r="FI44" s="12"/>
      <c r="FP44" s="15"/>
      <c r="FQ44" s="12"/>
      <c r="FX44" s="15"/>
      <c r="FY44" s="12"/>
      <c r="GD44" s="16"/>
      <c r="GE44" s="16"/>
      <c r="GF44" s="15"/>
      <c r="GG44" s="12"/>
      <c r="GL44" s="16"/>
      <c r="GM44" s="16"/>
      <c r="GN44" s="15"/>
      <c r="GO44" s="12"/>
      <c r="GV44" s="15"/>
      <c r="GW44" s="12"/>
      <c r="HD44" s="15"/>
      <c r="HE44" s="12"/>
      <c r="HL44" s="15"/>
      <c r="HM44" s="12"/>
      <c r="HT44" s="15"/>
      <c r="HU44" s="12"/>
      <c r="IB44" s="15"/>
      <c r="IC44" s="12"/>
      <c r="IJ44" s="15"/>
      <c r="IR44" s="15"/>
      <c r="IS44" s="12"/>
      <c r="IY44" s="9">
        <f t="shared" si="39"/>
        <v>0</v>
      </c>
      <c r="IZ44" s="17"/>
    </row>
    <row r="45" spans="1:260" ht="14" hidden="1" customHeight="1" x14ac:dyDescent="0.3">
      <c r="A45" s="12"/>
      <c r="C45" s="12"/>
      <c r="J45" s="15"/>
      <c r="K45" s="12"/>
      <c r="R45" s="15"/>
      <c r="S45" s="12"/>
      <c r="Z45" s="15"/>
      <c r="AA45" s="12"/>
      <c r="AH45" s="15"/>
      <c r="AI45" s="12"/>
      <c r="AP45" s="15"/>
      <c r="AX45" s="15"/>
      <c r="AY45" s="12"/>
      <c r="BF45" s="17"/>
      <c r="BG45" s="12"/>
      <c r="BO45" s="12"/>
      <c r="BV45" s="15"/>
      <c r="BX45" s="12"/>
      <c r="BY45" s="172"/>
      <c r="CA45" s="172"/>
      <c r="CE45" s="15"/>
      <c r="CF45" s="12"/>
      <c r="CM45" s="15"/>
      <c r="CN45" s="12"/>
      <c r="CU45" s="15"/>
      <c r="CV45" s="12"/>
      <c r="DC45" s="15"/>
      <c r="DK45" s="15"/>
      <c r="DL45" s="12"/>
      <c r="DS45" s="15"/>
      <c r="DT45" s="12"/>
      <c r="EA45" s="15"/>
      <c r="EB45" s="12"/>
      <c r="EI45" s="15"/>
      <c r="EQ45" s="15"/>
      <c r="ER45" s="12"/>
      <c r="EX45" s="9">
        <f t="shared" si="38"/>
        <v>0</v>
      </c>
      <c r="EY45" s="17"/>
      <c r="FA45" s="19"/>
      <c r="FB45" s="172"/>
      <c r="FD45" s="172"/>
      <c r="FH45" s="15"/>
      <c r="FI45" s="12"/>
      <c r="FP45" s="15"/>
      <c r="FQ45" s="12"/>
      <c r="FX45" s="15"/>
      <c r="FY45" s="12"/>
      <c r="GD45" s="16"/>
      <c r="GE45" s="16"/>
      <c r="GF45" s="15"/>
      <c r="GG45" s="12"/>
      <c r="GL45" s="16"/>
      <c r="GM45" s="16"/>
      <c r="GN45" s="15"/>
      <c r="GO45" s="12"/>
      <c r="GV45" s="15"/>
      <c r="GW45" s="12"/>
      <c r="HD45" s="15"/>
      <c r="HE45" s="12"/>
      <c r="HL45" s="15"/>
      <c r="HM45" s="12"/>
      <c r="HT45" s="15"/>
      <c r="HU45" s="12"/>
      <c r="IB45" s="15"/>
      <c r="IC45" s="12"/>
      <c r="IJ45" s="15"/>
      <c r="IR45" s="15"/>
      <c r="IS45" s="12"/>
      <c r="IY45" s="9">
        <f t="shared" si="39"/>
        <v>0</v>
      </c>
      <c r="IZ45" s="17"/>
    </row>
    <row r="46" spans="1:260" s="32" customFormat="1" x14ac:dyDescent="0.3">
      <c r="A46" s="36"/>
      <c r="B46" s="37" t="s">
        <v>32</v>
      </c>
      <c r="C46" s="41"/>
      <c r="D46" s="180"/>
      <c r="E46" s="38"/>
      <c r="F46" s="180"/>
      <c r="G46" s="38"/>
      <c r="H46" s="180">
        <f>SUM(H20:H45)</f>
        <v>0</v>
      </c>
      <c r="I46" s="180">
        <f>SUM(I20:I45)</f>
        <v>0</v>
      </c>
      <c r="J46" s="39"/>
      <c r="K46" s="41"/>
      <c r="L46" s="180"/>
      <c r="M46" s="38"/>
      <c r="N46" s="180"/>
      <c r="O46" s="38"/>
      <c r="P46" s="180">
        <f>SUM(P20:P45)</f>
        <v>0</v>
      </c>
      <c r="Q46" s="180">
        <f>SUM(Q20:Q45)</f>
        <v>0</v>
      </c>
      <c r="R46" s="39"/>
      <c r="S46" s="41"/>
      <c r="T46" s="180"/>
      <c r="U46" s="38"/>
      <c r="V46" s="180"/>
      <c r="W46" s="38"/>
      <c r="X46" s="180">
        <f>SUM(X20:X45)</f>
        <v>0</v>
      </c>
      <c r="Y46" s="180">
        <f>SUM(Y20:Y45)</f>
        <v>0</v>
      </c>
      <c r="Z46" s="39"/>
      <c r="AA46" s="41"/>
      <c r="AB46" s="180"/>
      <c r="AC46" s="38"/>
      <c r="AD46" s="180"/>
      <c r="AE46" s="38"/>
      <c r="AF46" s="180">
        <f>SUM(AF20:AF45)</f>
        <v>0</v>
      </c>
      <c r="AG46" s="180">
        <f>SUM(AG20:AG45)</f>
        <v>0</v>
      </c>
      <c r="AH46" s="39"/>
      <c r="AI46" s="41"/>
      <c r="AJ46" s="180"/>
      <c r="AK46" s="38"/>
      <c r="AL46" s="180"/>
      <c r="AM46" s="38"/>
      <c r="AN46" s="180">
        <f>SUM(AN20:AN45)</f>
        <v>0</v>
      </c>
      <c r="AO46" s="180">
        <f>SUM(AO20:AO45)</f>
        <v>0</v>
      </c>
      <c r="AP46" s="39"/>
      <c r="AQ46" s="906"/>
      <c r="AR46" s="180"/>
      <c r="AS46" s="38"/>
      <c r="AT46" s="180"/>
      <c r="AU46" s="38"/>
      <c r="AV46" s="180">
        <f>SUM(AV20:AV45)</f>
        <v>598.34</v>
      </c>
      <c r="AW46" s="180">
        <f>SUM(AW20:AW45)</f>
        <v>35900.400000000001</v>
      </c>
      <c r="AX46" s="39"/>
      <c r="AY46" s="41"/>
      <c r="AZ46" s="180"/>
      <c r="BA46" s="38"/>
      <c r="BB46" s="180"/>
      <c r="BC46" s="38"/>
      <c r="BD46" s="180">
        <f>SUM(BD20:BD45)</f>
        <v>598.34</v>
      </c>
      <c r="BE46" s="180">
        <f>SUM(BE20:BE45)</f>
        <v>35900.400000000001</v>
      </c>
      <c r="BF46" s="39"/>
      <c r="BG46" s="36"/>
      <c r="BH46" s="38"/>
      <c r="BI46" s="38"/>
      <c r="BJ46" s="38"/>
      <c r="BK46" s="38"/>
      <c r="BL46" s="180">
        <f>SUM(BL20:BL45)</f>
        <v>0</v>
      </c>
      <c r="BM46" s="180">
        <f>SUM(BM20:BM45)</f>
        <v>0</v>
      </c>
      <c r="BN46" s="39"/>
      <c r="BO46" s="36"/>
      <c r="BP46" s="38"/>
      <c r="BQ46" s="38"/>
      <c r="BR46" s="38"/>
      <c r="BS46" s="38"/>
      <c r="BT46" s="180">
        <f>SUM(BT20:BT45)</f>
        <v>0</v>
      </c>
      <c r="BU46" s="180">
        <f>SUM(BU20:BU45)</f>
        <v>0</v>
      </c>
      <c r="BV46" s="39"/>
      <c r="BX46" s="41"/>
      <c r="BY46" s="180"/>
      <c r="BZ46" s="38"/>
      <c r="CA46" s="180"/>
      <c r="CB46" s="38"/>
      <c r="CC46" s="180">
        <f>SUM(CC20:CC45)</f>
        <v>916.35</v>
      </c>
      <c r="CD46" s="180">
        <f>SUM(CD20:CD45)</f>
        <v>54981</v>
      </c>
      <c r="CE46" s="39"/>
      <c r="CF46" s="41"/>
      <c r="CG46" s="180"/>
      <c r="CH46" s="38"/>
      <c r="CI46" s="180"/>
      <c r="CJ46" s="38"/>
      <c r="CK46" s="180">
        <f>SUM(CK20:CK45)</f>
        <v>941.75</v>
      </c>
      <c r="CL46" s="180">
        <f>SUM(CL20:CL45)</f>
        <v>56505</v>
      </c>
      <c r="CM46" s="39"/>
      <c r="CN46" s="41"/>
      <c r="CO46" s="180"/>
      <c r="CP46" s="38"/>
      <c r="CQ46" s="180"/>
      <c r="CR46" s="38"/>
      <c r="CS46" s="180">
        <f>SUM(CS20:CS45)</f>
        <v>41.75</v>
      </c>
      <c r="CT46" s="180">
        <f>SUM(CT20:CT45)</f>
        <v>2505</v>
      </c>
      <c r="CU46" s="39"/>
      <c r="CV46" s="41"/>
      <c r="CW46" s="180"/>
      <c r="CX46" s="38"/>
      <c r="CY46" s="180"/>
      <c r="CZ46" s="38"/>
      <c r="DA46" s="180">
        <f>SUM(DA20:DA45)</f>
        <v>0</v>
      </c>
      <c r="DB46" s="180">
        <f>SUM(DB20:DB45)</f>
        <v>0</v>
      </c>
      <c r="DC46" s="39"/>
      <c r="DD46" s="38"/>
      <c r="DE46" s="38"/>
      <c r="DF46" s="38"/>
      <c r="DG46" s="38"/>
      <c r="DH46" s="38"/>
      <c r="DI46" s="180">
        <f>SUM(DI20:DI45)</f>
        <v>495.5</v>
      </c>
      <c r="DJ46" s="180">
        <f>SUM(DJ20:DJ45)</f>
        <v>29730</v>
      </c>
      <c r="DK46" s="39"/>
      <c r="DL46" s="41"/>
      <c r="DM46" s="180"/>
      <c r="DN46" s="38"/>
      <c r="DO46" s="180"/>
      <c r="DP46" s="38"/>
      <c r="DQ46" s="180">
        <f>SUM(DQ20:DQ45)</f>
        <v>274.52999999999997</v>
      </c>
      <c r="DR46" s="180">
        <f>SUM(DR20:DR45)</f>
        <v>16471.8</v>
      </c>
      <c r="DS46" s="39"/>
      <c r="DT46" s="41"/>
      <c r="DU46" s="180"/>
      <c r="DV46" s="38"/>
      <c r="DW46" s="180"/>
      <c r="DX46" s="38"/>
      <c r="DY46" s="180">
        <f>SUM(DY20:DY45)</f>
        <v>2100</v>
      </c>
      <c r="DZ46" s="180">
        <f>SUM(DZ20:DZ45)</f>
        <v>126000</v>
      </c>
      <c r="EA46" s="39"/>
      <c r="EB46" s="41"/>
      <c r="EC46" s="180"/>
      <c r="ED46" s="38"/>
      <c r="EE46" s="180"/>
      <c r="EF46" s="38"/>
      <c r="EG46" s="180">
        <f>SUM(EG20:EG45)</f>
        <v>1350</v>
      </c>
      <c r="EH46" s="180">
        <f>SUM(EH20:EH45)</f>
        <v>81000</v>
      </c>
      <c r="EI46" s="39"/>
      <c r="EJ46" s="906"/>
      <c r="EK46" s="180"/>
      <c r="EL46" s="38"/>
      <c r="EM46" s="180"/>
      <c r="EN46" s="38"/>
      <c r="EO46" s="180">
        <f>SUM(EO20:EO45)</f>
        <v>2736</v>
      </c>
      <c r="EP46" s="180">
        <f>SUM(EP20:EP45)</f>
        <v>164160</v>
      </c>
      <c r="EQ46" s="39"/>
      <c r="ER46" s="41"/>
      <c r="ES46" s="180"/>
      <c r="ET46" s="38"/>
      <c r="EU46" s="180"/>
      <c r="EV46" s="38"/>
      <c r="EW46" s="180">
        <f>SUM(EW20:EW45)</f>
        <v>8855.880000000001</v>
      </c>
      <c r="EX46" s="180">
        <f>SUM(EX20:EX45)</f>
        <v>531352.80000000005</v>
      </c>
      <c r="EY46" s="39"/>
      <c r="FA46" s="41"/>
      <c r="FB46" s="180"/>
      <c r="FC46" s="38"/>
      <c r="FD46" s="180"/>
      <c r="FE46" s="38"/>
      <c r="FF46" s="180">
        <f>SUM(FF20:FF45)</f>
        <v>245</v>
      </c>
      <c r="FG46" s="180">
        <f>SUM(FG20:FG45)</f>
        <v>14700</v>
      </c>
      <c r="FH46" s="39"/>
      <c r="FI46" s="41"/>
      <c r="FJ46" s="180"/>
      <c r="FK46" s="38"/>
      <c r="FL46" s="180"/>
      <c r="FM46" s="38"/>
      <c r="FN46" s="180">
        <f>SUM(FN20:FN45)</f>
        <v>179.36</v>
      </c>
      <c r="FO46" s="180">
        <f>SUM(FO20:FO45)</f>
        <v>10761.6</v>
      </c>
      <c r="FP46" s="39"/>
      <c r="FQ46" s="41"/>
      <c r="FR46" s="180"/>
      <c r="FS46" s="38"/>
      <c r="FT46" s="180"/>
      <c r="FU46" s="38"/>
      <c r="FV46" s="180">
        <f>SUM(FV20:FV45)</f>
        <v>48.11</v>
      </c>
      <c r="FW46" s="180">
        <f>SUM(FW20:FW45)</f>
        <v>2886.6</v>
      </c>
      <c r="FX46" s="39"/>
      <c r="FY46" s="41"/>
      <c r="FZ46" s="180"/>
      <c r="GA46" s="38"/>
      <c r="GB46" s="180"/>
      <c r="GC46" s="38"/>
      <c r="GD46" s="180">
        <f>SUM(GD20:GD45)</f>
        <v>48</v>
      </c>
      <c r="GE46" s="180">
        <f>SUM(GE20:GE45)</f>
        <v>2880</v>
      </c>
      <c r="GF46" s="39"/>
      <c r="GG46" s="41"/>
      <c r="GH46" s="180"/>
      <c r="GI46" s="38"/>
      <c r="GJ46" s="180"/>
      <c r="GK46" s="38"/>
      <c r="GL46" s="180">
        <f>SUM(GL20:GL45)</f>
        <v>26.12</v>
      </c>
      <c r="GM46" s="180">
        <f>SUM(GM20:GM45)</f>
        <v>1567.2</v>
      </c>
      <c r="GN46" s="39"/>
      <c r="GO46" s="41"/>
      <c r="GP46" s="180"/>
      <c r="GQ46" s="38"/>
      <c r="GR46" s="180"/>
      <c r="GS46" s="38"/>
      <c r="GT46" s="180">
        <f>SUM(GT20:GT45)</f>
        <v>3576.3</v>
      </c>
      <c r="GU46" s="180">
        <f>SUM(GU20:GU45)</f>
        <v>214578</v>
      </c>
      <c r="GV46" s="39"/>
      <c r="GW46" s="41"/>
      <c r="GX46" s="180"/>
      <c r="GY46" s="38"/>
      <c r="GZ46" s="180"/>
      <c r="HA46" s="38"/>
      <c r="HB46" s="180">
        <f>SUM(HB20:HB45)</f>
        <v>146.31</v>
      </c>
      <c r="HC46" s="180">
        <f>SUM(HC20:HC45)</f>
        <v>8778.6</v>
      </c>
      <c r="HD46" s="39"/>
      <c r="HE46" s="41"/>
      <c r="HF46" s="180"/>
      <c r="HG46" s="38"/>
      <c r="HH46" s="180"/>
      <c r="HI46" s="38"/>
      <c r="HJ46" s="180">
        <f>SUM(HJ20:HJ45)</f>
        <v>146.31</v>
      </c>
      <c r="HK46" s="180">
        <f>SUM(HK20:HK45)</f>
        <v>8778.6</v>
      </c>
      <c r="HL46" s="39"/>
      <c r="HM46" s="41"/>
      <c r="HN46" s="180"/>
      <c r="HO46" s="38"/>
      <c r="HP46" s="180"/>
      <c r="HQ46" s="38"/>
      <c r="HR46" s="180">
        <f>SUM(HR20:HR45)</f>
        <v>23.06</v>
      </c>
      <c r="HS46" s="180">
        <f>SUM(HS20:HS45)</f>
        <v>1383.6</v>
      </c>
      <c r="HT46" s="39"/>
      <c r="HU46" s="41"/>
      <c r="HV46" s="180"/>
      <c r="HW46" s="38"/>
      <c r="HX46" s="180"/>
      <c r="HY46" s="38"/>
      <c r="HZ46" s="180">
        <f>SUM(HZ20:HZ45)</f>
        <v>23.06</v>
      </c>
      <c r="IA46" s="180">
        <f>SUM(IA20:IA45)</f>
        <v>1383.6</v>
      </c>
      <c r="IB46" s="39"/>
      <c r="IC46" s="41"/>
      <c r="ID46" s="180"/>
      <c r="IE46" s="38"/>
      <c r="IF46" s="180"/>
      <c r="IG46" s="38"/>
      <c r="IH46" s="180">
        <f>SUM(IH20:IH45)</f>
        <v>0</v>
      </c>
      <c r="II46" s="180">
        <f>SUM(II20:II45)</f>
        <v>0</v>
      </c>
      <c r="IJ46" s="39"/>
      <c r="IK46" s="906"/>
      <c r="IL46" s="180"/>
      <c r="IM46" s="38"/>
      <c r="IN46" s="180"/>
      <c r="IO46" s="38"/>
      <c r="IP46" s="180">
        <f>SUM(IP20:IP45)</f>
        <v>0</v>
      </c>
      <c r="IQ46" s="180">
        <f>SUM(IQ20:IQ45)</f>
        <v>0</v>
      </c>
      <c r="IR46" s="39"/>
      <c r="IS46" s="41"/>
      <c r="IT46" s="180"/>
      <c r="IU46" s="38"/>
      <c r="IV46" s="180"/>
      <c r="IW46" s="38"/>
      <c r="IX46" s="180">
        <f>SUM(IX20:IX45)</f>
        <v>4461.63</v>
      </c>
      <c r="IY46" s="180">
        <f>SUM(IY20:IY45)</f>
        <v>267697.8</v>
      </c>
      <c r="IZ46" s="39"/>
    </row>
    <row r="47" spans="1:260" s="27" customFormat="1" ht="15.05" x14ac:dyDescent="0.35">
      <c r="A47" s="6261"/>
      <c r="B47" s="6529" t="s">
        <v>35</v>
      </c>
      <c r="C47" s="6251"/>
      <c r="D47" s="6252"/>
      <c r="E47" s="6250"/>
      <c r="F47" s="6252"/>
      <c r="G47" s="6250"/>
      <c r="H47" s="6252">
        <f>H18-H46</f>
        <v>4390</v>
      </c>
      <c r="I47" s="6252">
        <f>I18-I46</f>
        <v>263400</v>
      </c>
      <c r="J47" s="6253">
        <f>I47/E18</f>
        <v>0.30006835269993165</v>
      </c>
      <c r="K47" s="6251"/>
      <c r="L47" s="6252"/>
      <c r="M47" s="6250"/>
      <c r="N47" s="6252"/>
      <c r="O47" s="6250"/>
      <c r="P47" s="6252">
        <f>P18-P46</f>
        <v>8445</v>
      </c>
      <c r="Q47" s="6252">
        <f>Q18-Q46</f>
        <v>506700</v>
      </c>
      <c r="R47" s="6253">
        <f>Q47/M18</f>
        <v>0.30459873760144274</v>
      </c>
      <c r="S47" s="6251"/>
      <c r="T47" s="6252"/>
      <c r="U47" s="6250"/>
      <c r="V47" s="6252"/>
      <c r="W47" s="6250"/>
      <c r="X47" s="6252">
        <f>X18-X46</f>
        <v>5844</v>
      </c>
      <c r="Y47" s="6252">
        <f>Y18-Y46</f>
        <v>350640</v>
      </c>
      <c r="Z47" s="6253">
        <f>Y47/U18</f>
        <v>0.30380536494073612</v>
      </c>
      <c r="AA47" s="6251"/>
      <c r="AB47" s="6252"/>
      <c r="AC47" s="6250"/>
      <c r="AD47" s="6252"/>
      <c r="AE47" s="6250"/>
      <c r="AF47" s="6252">
        <f>AF18-AF46</f>
        <v>8133</v>
      </c>
      <c r="AG47" s="6252">
        <f>AG18-AG46</f>
        <v>487980</v>
      </c>
      <c r="AH47" s="6253">
        <f>AG47/AC18</f>
        <v>0.31026589859993131</v>
      </c>
      <c r="AI47" s="6251"/>
      <c r="AJ47" s="6252"/>
      <c r="AK47" s="6250"/>
      <c r="AL47" s="6252"/>
      <c r="AM47" s="6250"/>
      <c r="AN47" s="6252">
        <f>AN18-AN46</f>
        <v>6892.8000000000029</v>
      </c>
      <c r="AO47" s="6252">
        <f>AO18-AO46</f>
        <v>413568.00000000017</v>
      </c>
      <c r="AP47" s="6253">
        <f>AO47/AK18</f>
        <v>0.26744474795132861</v>
      </c>
      <c r="AQ47" s="6250"/>
      <c r="AR47" s="6252"/>
      <c r="AS47" s="6250"/>
      <c r="AT47" s="6252"/>
      <c r="AU47" s="6250"/>
      <c r="AV47" s="6252">
        <f>AV18-AV46</f>
        <v>6599.1000000000022</v>
      </c>
      <c r="AW47" s="6252">
        <f>AW18-AW46</f>
        <v>395946.00000000012</v>
      </c>
      <c r="AX47" s="6253">
        <f>AW47/AS18</f>
        <v>0.24788666578517171</v>
      </c>
      <c r="AY47" s="6251"/>
      <c r="AZ47" s="6252"/>
      <c r="BA47" s="6250"/>
      <c r="BB47" s="6252"/>
      <c r="BC47" s="6250"/>
      <c r="BD47" s="6252">
        <f>BD18-BD46</f>
        <v>40303.899999999994</v>
      </c>
      <c r="BE47" s="6252">
        <f>BE18-BE46</f>
        <v>2418233.9999999995</v>
      </c>
      <c r="BF47" s="6253">
        <f>BE47/BA18</f>
        <v>0.28747793124935084</v>
      </c>
      <c r="BG47" s="6238"/>
      <c r="BH47" s="6240"/>
      <c r="BI47" s="6240"/>
      <c r="BJ47" s="6240"/>
      <c r="BK47" s="6240"/>
      <c r="BL47" s="6239">
        <f>BL18-BL46</f>
        <v>18679</v>
      </c>
      <c r="BM47" s="6239">
        <f>BM18-BM46</f>
        <v>1120740</v>
      </c>
      <c r="BN47" s="6241">
        <f>BM47/BI18</f>
        <v>0.30327482911464337</v>
      </c>
      <c r="BO47" s="6238"/>
      <c r="BP47" s="6240"/>
      <c r="BQ47" s="6240"/>
      <c r="BR47" s="6240"/>
      <c r="BS47" s="6240"/>
      <c r="BT47" s="6239">
        <f>BT18-BT46</f>
        <v>22223.240000000005</v>
      </c>
      <c r="BU47" s="6239">
        <f>BU18-BU46</f>
        <v>1333394.4000000004</v>
      </c>
      <c r="BV47" s="6241">
        <f>BU47/BQ18</f>
        <v>0.28271238120051034</v>
      </c>
      <c r="BW47" s="6262"/>
      <c r="BX47" s="6251"/>
      <c r="BY47" s="6252"/>
      <c r="BZ47" s="6250"/>
      <c r="CA47" s="6252"/>
      <c r="CB47" s="6250"/>
      <c r="CC47" s="6252">
        <f>CC18-CC46</f>
        <v>7295.4500000000025</v>
      </c>
      <c r="CD47" s="6252">
        <f>CD18-CD46</f>
        <v>437727.00000000017</v>
      </c>
      <c r="CE47" s="6253">
        <f>CD47/BZ18</f>
        <v>0.28306780792152975</v>
      </c>
      <c r="CF47" s="6251"/>
      <c r="CG47" s="6252"/>
      <c r="CH47" s="6250"/>
      <c r="CI47" s="6252"/>
      <c r="CJ47" s="6250"/>
      <c r="CK47" s="6252">
        <f>CK18-CK46</f>
        <v>6295.6900000000023</v>
      </c>
      <c r="CL47" s="6252">
        <f>CL18-CL46</f>
        <v>377741.40000000014</v>
      </c>
      <c r="CM47" s="6253">
        <f>CL47/CH18</f>
        <v>0.23264430865467625</v>
      </c>
      <c r="CN47" s="6251"/>
      <c r="CO47" s="6252"/>
      <c r="CP47" s="6250"/>
      <c r="CQ47" s="6252"/>
      <c r="CR47" s="6250"/>
      <c r="CS47" s="6252">
        <f>CS18-CS46</f>
        <v>5300.3300000000017</v>
      </c>
      <c r="CT47" s="6252">
        <f>CT18-CT46</f>
        <v>318019.8000000001</v>
      </c>
      <c r="CU47" s="6253">
        <f>CT47/CP18</f>
        <v>0.20615766267549543</v>
      </c>
      <c r="CV47" s="6251"/>
      <c r="CW47" s="6252"/>
      <c r="CX47" s="6250"/>
      <c r="CY47" s="6252"/>
      <c r="CZ47" s="6250"/>
      <c r="DA47" s="6252">
        <f>DA18-DA46</f>
        <v>0</v>
      </c>
      <c r="DB47" s="6252">
        <f>DB18-DB46</f>
        <v>0</v>
      </c>
      <c r="DC47" s="6253">
        <v>0</v>
      </c>
      <c r="DD47" s="6263"/>
      <c r="DE47" s="6263"/>
      <c r="DF47" s="6263"/>
      <c r="DG47" s="6263"/>
      <c r="DH47" s="6263"/>
      <c r="DI47" s="6252">
        <f>DI18-DI46</f>
        <v>144.5</v>
      </c>
      <c r="DJ47" s="6252">
        <f>DJ18-DJ46</f>
        <v>8670</v>
      </c>
      <c r="DK47" s="6253">
        <f>DJ47/DF18</f>
        <v>3.7630208333333331E-2</v>
      </c>
      <c r="DL47" s="6251"/>
      <c r="DM47" s="6252"/>
      <c r="DN47" s="6250"/>
      <c r="DO47" s="6252"/>
      <c r="DP47" s="6250"/>
      <c r="DQ47" s="6252">
        <f>DQ18-DQ46</f>
        <v>3245.4700000000003</v>
      </c>
      <c r="DR47" s="6252">
        <f>DR18-DR46</f>
        <v>194728.2</v>
      </c>
      <c r="DS47" s="6253">
        <f>DR47/DN18</f>
        <v>0.19886458333333334</v>
      </c>
      <c r="DT47" s="6251"/>
      <c r="DU47" s="6252"/>
      <c r="DV47" s="6250"/>
      <c r="DW47" s="6252"/>
      <c r="DX47" s="6250"/>
      <c r="DY47" s="6252">
        <f>DY18-DY46</f>
        <v>3020</v>
      </c>
      <c r="DZ47" s="6252">
        <f>DZ18-DZ46</f>
        <v>181200</v>
      </c>
      <c r="EA47" s="6253">
        <f>DZ47/DV18</f>
        <v>0.13777372262773724</v>
      </c>
      <c r="EB47" s="6251"/>
      <c r="EC47" s="6252"/>
      <c r="ED47" s="6250"/>
      <c r="EE47" s="6252"/>
      <c r="EF47" s="6250"/>
      <c r="EG47" s="6252">
        <f>EG18-EG46</f>
        <v>3450</v>
      </c>
      <c r="EH47" s="6252">
        <f>EH18-EH46</f>
        <v>207000</v>
      </c>
      <c r="EI47" s="6253">
        <f>EH47/ED18</f>
        <v>0.16586538461538461</v>
      </c>
      <c r="EJ47" s="6250"/>
      <c r="EK47" s="6252"/>
      <c r="EL47" s="6250"/>
      <c r="EM47" s="6252"/>
      <c r="EN47" s="6250"/>
      <c r="EO47" s="6252">
        <f>EO18-EO46</f>
        <v>3304</v>
      </c>
      <c r="EP47" s="6252">
        <f>EP18-EP46</f>
        <v>198240</v>
      </c>
      <c r="EQ47" s="6253">
        <f>EP47/EL18</f>
        <v>0.14936708860759493</v>
      </c>
      <c r="ER47" s="6251"/>
      <c r="ES47" s="6252"/>
      <c r="ET47" s="6250"/>
      <c r="EU47" s="6252"/>
      <c r="EV47" s="6250"/>
      <c r="EW47" s="6252">
        <f>EW18-EW46</f>
        <v>32055.440000000006</v>
      </c>
      <c r="EX47" s="6252">
        <f>EX18-EX46</f>
        <v>1923326.4000000001</v>
      </c>
      <c r="EY47" s="6253">
        <f>EX47/ET18</f>
        <v>0.19600460596858396</v>
      </c>
      <c r="EZ47" s="6262"/>
      <c r="FA47" s="6254"/>
      <c r="FB47" s="6252"/>
      <c r="FC47" s="6250"/>
      <c r="FD47" s="6252"/>
      <c r="FE47" s="6250"/>
      <c r="FF47" s="6252">
        <f>FF18-FF46</f>
        <v>5035</v>
      </c>
      <c r="FG47" s="6252">
        <f>FG18-FG46</f>
        <v>302100</v>
      </c>
      <c r="FH47" s="6253">
        <f>FG47/FC18</f>
        <v>0.2200611888111888</v>
      </c>
      <c r="FI47" s="6251"/>
      <c r="FJ47" s="6252"/>
      <c r="FK47" s="6250"/>
      <c r="FL47" s="6252"/>
      <c r="FM47" s="6250"/>
      <c r="FN47" s="6252">
        <f>FN18-FN46</f>
        <v>4940.6400000000003</v>
      </c>
      <c r="FO47" s="6252">
        <f>FO18-FO46</f>
        <v>296438.40000000002</v>
      </c>
      <c r="FP47" s="6253">
        <f>FO47/FK18</f>
        <v>0.22539416058394163</v>
      </c>
      <c r="FQ47" s="6251"/>
      <c r="FR47" s="6252"/>
      <c r="FS47" s="6250"/>
      <c r="FT47" s="6252"/>
      <c r="FU47" s="6250"/>
      <c r="FV47" s="6252">
        <f>FV18-FV46</f>
        <v>4831.8900000000003</v>
      </c>
      <c r="FW47" s="6252">
        <f>FW18-FW46</f>
        <v>289913.40000000002</v>
      </c>
      <c r="FX47" s="6253">
        <f>FW47/FS18</f>
        <v>0.23230240384615386</v>
      </c>
      <c r="FY47" s="6251"/>
      <c r="FZ47" s="6252"/>
      <c r="GA47" s="6250"/>
      <c r="GB47" s="6252"/>
      <c r="GC47" s="6250"/>
      <c r="GD47" s="6252">
        <f>GD18-GD46</f>
        <v>4880</v>
      </c>
      <c r="GE47" s="6252">
        <f>GE18-GE46</f>
        <v>292800</v>
      </c>
      <c r="GF47" s="6253">
        <v>0</v>
      </c>
      <c r="GG47" s="6251"/>
      <c r="GH47" s="6252"/>
      <c r="GI47" s="6250"/>
      <c r="GJ47" s="6252"/>
      <c r="GK47" s="6250"/>
      <c r="GL47" s="6252">
        <f>GL18-GL46</f>
        <v>4709.88</v>
      </c>
      <c r="GM47" s="6252">
        <f>GM18-GM46</f>
        <v>282592.8</v>
      </c>
      <c r="GN47" s="6253">
        <v>0</v>
      </c>
      <c r="GO47" s="6251"/>
      <c r="GP47" s="6252"/>
      <c r="GQ47" s="6250"/>
      <c r="GR47" s="6252"/>
      <c r="GS47" s="6250"/>
      <c r="GT47" s="6252">
        <f>GT18-GT46</f>
        <v>903.69999999999982</v>
      </c>
      <c r="GU47" s="6252">
        <f>GU18-GU46</f>
        <v>54222</v>
      </c>
      <c r="GV47" s="6253">
        <f>GU47/GQ18</f>
        <v>4.3447115384615383E-2</v>
      </c>
      <c r="GW47" s="6251"/>
      <c r="GX47" s="6252"/>
      <c r="GY47" s="6250"/>
      <c r="GZ47" s="6252"/>
      <c r="HA47" s="6250"/>
      <c r="HB47" s="6252">
        <f>HB18-HB46</f>
        <v>1261.69</v>
      </c>
      <c r="HC47" s="6252">
        <f>HC18-HC46</f>
        <v>75701.399999999994</v>
      </c>
      <c r="HD47" s="6253">
        <f>HC47/GY18</f>
        <v>0.11947821969696969</v>
      </c>
      <c r="HE47" s="6251"/>
      <c r="HF47" s="6252"/>
      <c r="HG47" s="6250"/>
      <c r="HH47" s="6252"/>
      <c r="HI47" s="6250"/>
      <c r="HJ47" s="6252">
        <f>HJ18-HJ46</f>
        <v>1197.69</v>
      </c>
      <c r="HK47" s="6252">
        <f>HK18-HK46</f>
        <v>71861.399999999994</v>
      </c>
      <c r="HL47" s="6253">
        <f>HK47/HG18</f>
        <v>0.11881845238095237</v>
      </c>
      <c r="HM47" s="6251"/>
      <c r="HN47" s="6252"/>
      <c r="HO47" s="6250"/>
      <c r="HP47" s="6252"/>
      <c r="HQ47" s="6250"/>
      <c r="HR47" s="6252">
        <f>HR18-HR46</f>
        <v>1792.94</v>
      </c>
      <c r="HS47" s="6252">
        <f>HS18-HS46</f>
        <v>107576.4</v>
      </c>
      <c r="HT47" s="6253">
        <f>HS47/HO18</f>
        <v>0.14852054340622928</v>
      </c>
      <c r="HU47" s="6251"/>
      <c r="HV47" s="6252"/>
      <c r="HW47" s="6250"/>
      <c r="HX47" s="6252"/>
      <c r="HY47" s="6250"/>
      <c r="HZ47" s="6252">
        <f>HZ18-HZ46</f>
        <v>3320.94</v>
      </c>
      <c r="IA47" s="6252">
        <f>IA18-IA46</f>
        <v>199256.4</v>
      </c>
      <c r="IB47" s="6253">
        <f>IA47/HW18</f>
        <v>0.15594196093163035</v>
      </c>
      <c r="IC47" s="6251"/>
      <c r="ID47" s="6252"/>
      <c r="IE47" s="6250"/>
      <c r="IF47" s="6252"/>
      <c r="IG47" s="6250"/>
      <c r="IH47" s="6252">
        <f>IH18-IH46</f>
        <v>0</v>
      </c>
      <c r="II47" s="6252">
        <f>II18-II46</f>
        <v>0</v>
      </c>
      <c r="IJ47" s="6253" t="e">
        <f>II47/IE18</f>
        <v>#DIV/0!</v>
      </c>
      <c r="IK47" s="6250"/>
      <c r="IL47" s="6252"/>
      <c r="IM47" s="6250"/>
      <c r="IN47" s="6252"/>
      <c r="IO47" s="6250"/>
      <c r="IP47" s="6252">
        <f>IP18-IP46</f>
        <v>0</v>
      </c>
      <c r="IQ47" s="6252">
        <f>IQ18-IQ46</f>
        <v>0</v>
      </c>
      <c r="IR47" s="6253" t="e">
        <f>IQ47/IM18</f>
        <v>#DIV/0!</v>
      </c>
      <c r="IS47" s="6251"/>
      <c r="IT47" s="6252"/>
      <c r="IU47" s="6250"/>
      <c r="IV47" s="6252"/>
      <c r="IW47" s="6250"/>
      <c r="IX47" s="6252">
        <f>IX18-IX46</f>
        <v>32874.370000000003</v>
      </c>
      <c r="IY47" s="6252">
        <f>IY18-IY46</f>
        <v>1972462.2</v>
      </c>
      <c r="IZ47" s="6253">
        <f>IY47/IU18</f>
        <v>0.17796094798839374</v>
      </c>
    </row>
    <row r="48" spans="1:260" x14ac:dyDescent="0.3">
      <c r="A48" s="12"/>
      <c r="B48" s="1" t="s">
        <v>34</v>
      </c>
      <c r="C48" s="49"/>
      <c r="D48" s="184"/>
      <c r="E48" s="50"/>
      <c r="F48" s="184"/>
      <c r="G48" s="50"/>
      <c r="H48" s="182"/>
      <c r="I48" s="183">
        <v>0</v>
      </c>
      <c r="J48" s="47"/>
      <c r="K48" s="49"/>
      <c r="L48" s="184"/>
      <c r="M48" s="50"/>
      <c r="N48" s="184"/>
      <c r="O48" s="50"/>
      <c r="P48" s="182"/>
      <c r="Q48" s="183">
        <v>0</v>
      </c>
      <c r="R48" s="47"/>
      <c r="S48" s="49"/>
      <c r="T48" s="184"/>
      <c r="U48" s="50"/>
      <c r="V48" s="184"/>
      <c r="W48" s="50"/>
      <c r="X48" s="182"/>
      <c r="Y48" s="183">
        <v>0</v>
      </c>
      <c r="Z48" s="47"/>
      <c r="AA48" s="49"/>
      <c r="AB48" s="184"/>
      <c r="AC48" s="50"/>
      <c r="AD48" s="184"/>
      <c r="AE48" s="50"/>
      <c r="AF48" s="182"/>
      <c r="AG48" s="183">
        <v>0</v>
      </c>
      <c r="AH48" s="47"/>
      <c r="AI48" s="49"/>
      <c r="AJ48" s="184"/>
      <c r="AK48" s="50"/>
      <c r="AL48" s="184"/>
      <c r="AM48" s="50"/>
      <c r="AN48" s="182"/>
      <c r="AO48" s="183">
        <v>0</v>
      </c>
      <c r="AP48" s="47"/>
      <c r="AQ48" s="50"/>
      <c r="AR48" s="184"/>
      <c r="AS48" s="50"/>
      <c r="AT48" s="184"/>
      <c r="AU48" s="50"/>
      <c r="AV48" s="182"/>
      <c r="AW48" s="183">
        <v>0</v>
      </c>
      <c r="AX48" s="47"/>
      <c r="AY48" s="49"/>
      <c r="AZ48" s="184"/>
      <c r="BA48" s="50"/>
      <c r="BB48" s="184"/>
      <c r="BC48" s="50"/>
      <c r="BD48" s="182"/>
      <c r="BE48" s="183">
        <v>0</v>
      </c>
      <c r="BF48" s="47"/>
      <c r="BG48" s="12"/>
      <c r="BL48" s="235"/>
      <c r="BM48" s="234">
        <v>0</v>
      </c>
      <c r="BN48" s="17"/>
      <c r="BO48" s="12"/>
      <c r="BT48" s="235"/>
      <c r="BU48" s="234">
        <v>0</v>
      </c>
      <c r="BV48" s="17"/>
      <c r="BX48" s="49"/>
      <c r="BY48" s="184"/>
      <c r="BZ48" s="50"/>
      <c r="CA48" s="184"/>
      <c r="CB48" s="50"/>
      <c r="CC48" s="182"/>
      <c r="CD48" s="183">
        <v>0</v>
      </c>
      <c r="CE48" s="47"/>
      <c r="CF48" s="49"/>
      <c r="CG48" s="184"/>
      <c r="CH48" s="50"/>
      <c r="CI48" s="184"/>
      <c r="CJ48" s="50"/>
      <c r="CK48" s="182"/>
      <c r="CL48" s="183">
        <v>0</v>
      </c>
      <c r="CM48" s="47"/>
      <c r="CN48" s="49"/>
      <c r="CO48" s="184"/>
      <c r="CP48" s="50"/>
      <c r="CQ48" s="184"/>
      <c r="CR48" s="50"/>
      <c r="CS48" s="182"/>
      <c r="CT48" s="183">
        <v>0</v>
      </c>
      <c r="CU48" s="47"/>
      <c r="CV48" s="49"/>
      <c r="CW48" s="184"/>
      <c r="CX48" s="50"/>
      <c r="CY48" s="184"/>
      <c r="CZ48" s="50"/>
      <c r="DA48" s="182"/>
      <c r="DB48" s="183">
        <f>(CZ18)*9.3%/12</f>
        <v>0</v>
      </c>
      <c r="DC48" s="47"/>
      <c r="DD48" s="56"/>
      <c r="DE48" s="56"/>
      <c r="DF48" s="56"/>
      <c r="DG48" s="56"/>
      <c r="DH48" s="56"/>
      <c r="DI48" s="182"/>
      <c r="DJ48" s="183">
        <v>0</v>
      </c>
      <c r="DK48" s="47"/>
      <c r="DL48" s="49"/>
      <c r="DM48" s="184"/>
      <c r="DN48" s="50"/>
      <c r="DO48" s="184"/>
      <c r="DP48" s="50"/>
      <c r="DQ48" s="182"/>
      <c r="DR48" s="183">
        <v>0</v>
      </c>
      <c r="DS48" s="47"/>
      <c r="DT48" s="49"/>
      <c r="DU48" s="184"/>
      <c r="DV48" s="50"/>
      <c r="DW48" s="184"/>
      <c r="DX48" s="50"/>
      <c r="DY48" s="182"/>
      <c r="DZ48" s="183">
        <v>0</v>
      </c>
      <c r="EA48" s="47"/>
      <c r="EB48" s="49"/>
      <c r="EC48" s="184"/>
      <c r="ED48" s="50"/>
      <c r="EE48" s="184"/>
      <c r="EF48" s="50"/>
      <c r="EG48" s="182"/>
      <c r="EH48" s="183">
        <v>0</v>
      </c>
      <c r="EI48" s="47"/>
      <c r="EJ48" s="50"/>
      <c r="EK48" s="184"/>
      <c r="EL48" s="50"/>
      <c r="EM48" s="184"/>
      <c r="EN48" s="50"/>
      <c r="EO48" s="182"/>
      <c r="EP48" s="183">
        <v>0</v>
      </c>
      <c r="EQ48" s="47"/>
      <c r="ER48" s="49"/>
      <c r="ES48" s="184"/>
      <c r="ET48" s="50"/>
      <c r="EU48" s="184"/>
      <c r="EV48" s="50"/>
      <c r="EW48" s="182"/>
      <c r="EX48" s="183">
        <v>0</v>
      </c>
      <c r="EY48" s="47"/>
      <c r="FA48" s="51"/>
      <c r="FB48" s="184"/>
      <c r="FC48" s="50"/>
      <c r="FD48" s="184"/>
      <c r="FE48" s="50"/>
      <c r="FF48" s="182"/>
      <c r="FG48" s="183">
        <v>0</v>
      </c>
      <c r="FH48" s="47"/>
      <c r="FI48" s="49"/>
      <c r="FJ48" s="184"/>
      <c r="FK48" s="50"/>
      <c r="FL48" s="184"/>
      <c r="FM48" s="50"/>
      <c r="FN48" s="182"/>
      <c r="FO48" s="183">
        <v>0</v>
      </c>
      <c r="FP48" s="47"/>
      <c r="FQ48" s="49"/>
      <c r="FR48" s="184"/>
      <c r="FS48" s="50"/>
      <c r="FT48" s="184"/>
      <c r="FU48" s="50"/>
      <c r="FV48" s="182"/>
      <c r="FW48" s="183">
        <v>0</v>
      </c>
      <c r="FX48" s="47"/>
      <c r="FY48" s="49"/>
      <c r="FZ48" s="184"/>
      <c r="GA48" s="50"/>
      <c r="GB48" s="184"/>
      <c r="GC48" s="50"/>
      <c r="GD48" s="184"/>
      <c r="GE48" s="183">
        <v>0</v>
      </c>
      <c r="GF48" s="47"/>
      <c r="GG48" s="49"/>
      <c r="GH48" s="184"/>
      <c r="GI48" s="50"/>
      <c r="GJ48" s="184"/>
      <c r="GK48" s="50"/>
      <c r="GL48" s="184"/>
      <c r="GM48" s="183">
        <v>0</v>
      </c>
      <c r="GN48" s="47"/>
      <c r="GO48" s="49"/>
      <c r="GP48" s="184"/>
      <c r="GQ48" s="50"/>
      <c r="GR48" s="184"/>
      <c r="GS48" s="50"/>
      <c r="GT48" s="182"/>
      <c r="GU48" s="183">
        <v>0</v>
      </c>
      <c r="GV48" s="47"/>
      <c r="GW48" s="49"/>
      <c r="GX48" s="184"/>
      <c r="GY48" s="50"/>
      <c r="GZ48" s="184"/>
      <c r="HA48" s="50"/>
      <c r="HB48" s="182"/>
      <c r="HC48" s="183">
        <v>0</v>
      </c>
      <c r="HD48" s="47"/>
      <c r="HE48" s="49"/>
      <c r="HF48" s="184"/>
      <c r="HG48" s="50"/>
      <c r="HH48" s="184"/>
      <c r="HI48" s="50"/>
      <c r="HJ48" s="182"/>
      <c r="HK48" s="183">
        <v>0</v>
      </c>
      <c r="HL48" s="47"/>
      <c r="HM48" s="49"/>
      <c r="HN48" s="184"/>
      <c r="HO48" s="50"/>
      <c r="HP48" s="184"/>
      <c r="HQ48" s="50"/>
      <c r="HR48" s="182"/>
      <c r="HS48" s="183">
        <v>0</v>
      </c>
      <c r="HT48" s="47"/>
      <c r="HU48" s="49"/>
      <c r="HV48" s="184"/>
      <c r="HW48" s="50"/>
      <c r="HX48" s="184"/>
      <c r="HY48" s="50"/>
      <c r="HZ48" s="182"/>
      <c r="IA48" s="183">
        <v>0</v>
      </c>
      <c r="IB48" s="47"/>
      <c r="IC48" s="49"/>
      <c r="ID48" s="184"/>
      <c r="IE48" s="50"/>
      <c r="IF48" s="184"/>
      <c r="IG48" s="50"/>
      <c r="IH48" s="182"/>
      <c r="II48" s="183">
        <v>0</v>
      </c>
      <c r="IJ48" s="47"/>
      <c r="IK48" s="50"/>
      <c r="IL48" s="184"/>
      <c r="IM48" s="50"/>
      <c r="IN48" s="184"/>
      <c r="IO48" s="50"/>
      <c r="IP48" s="182"/>
      <c r="IQ48" s="183">
        <f>(IO18)*9.3%/12</f>
        <v>0</v>
      </c>
      <c r="IR48" s="47"/>
      <c r="IS48" s="49"/>
      <c r="IT48" s="184"/>
      <c r="IU48" s="50"/>
      <c r="IV48" s="184"/>
      <c r="IW48" s="50"/>
      <c r="IX48" s="182"/>
      <c r="IY48" s="183">
        <v>0</v>
      </c>
      <c r="IZ48" s="47"/>
    </row>
    <row r="49" spans="1:260" s="27" customFormat="1" ht="15.05" x14ac:dyDescent="0.35">
      <c r="A49" s="907"/>
      <c r="B49" s="4830" t="s">
        <v>465</v>
      </c>
      <c r="C49" s="4430"/>
      <c r="D49" s="181"/>
      <c r="E49" s="43"/>
      <c r="F49" s="181"/>
      <c r="G49" s="43"/>
      <c r="H49" s="185">
        <f>H47-H48</f>
        <v>4390</v>
      </c>
      <c r="I49" s="185">
        <f>I47-I48</f>
        <v>263400</v>
      </c>
      <c r="J49" s="46">
        <f>I49/E18</f>
        <v>0.30006835269993165</v>
      </c>
      <c r="K49" s="4430"/>
      <c r="L49" s="181"/>
      <c r="M49" s="43"/>
      <c r="N49" s="181"/>
      <c r="O49" s="43"/>
      <c r="P49" s="185">
        <f>P47-P48</f>
        <v>8445</v>
      </c>
      <c r="Q49" s="185">
        <f>Q47-Q48</f>
        <v>506700</v>
      </c>
      <c r="R49" s="46">
        <f>Q49/M18</f>
        <v>0.30459873760144274</v>
      </c>
      <c r="S49" s="4430"/>
      <c r="T49" s="181"/>
      <c r="U49" s="43"/>
      <c r="V49" s="181"/>
      <c r="W49" s="43"/>
      <c r="X49" s="185">
        <f>X47-X48</f>
        <v>5844</v>
      </c>
      <c r="Y49" s="185">
        <f>Y47-Y48</f>
        <v>350640</v>
      </c>
      <c r="Z49" s="46">
        <f>Y49/U18</f>
        <v>0.30380536494073612</v>
      </c>
      <c r="AA49" s="4430"/>
      <c r="AB49" s="181"/>
      <c r="AC49" s="43"/>
      <c r="AD49" s="181"/>
      <c r="AE49" s="43"/>
      <c r="AF49" s="185">
        <f>AF47-AF48</f>
        <v>8133</v>
      </c>
      <c r="AG49" s="185">
        <f>AG47-AG48</f>
        <v>487980</v>
      </c>
      <c r="AH49" s="46">
        <f>AG49/AC18</f>
        <v>0.31026589859993131</v>
      </c>
      <c r="AI49" s="4430"/>
      <c r="AJ49" s="181"/>
      <c r="AK49" s="43"/>
      <c r="AL49" s="181"/>
      <c r="AM49" s="43"/>
      <c r="AN49" s="185">
        <f>AN47-AN48</f>
        <v>6892.8000000000029</v>
      </c>
      <c r="AO49" s="185">
        <f>AO47-AO48</f>
        <v>413568.00000000017</v>
      </c>
      <c r="AP49" s="46">
        <f>AO49/AK18</f>
        <v>0.26744474795132861</v>
      </c>
      <c r="AQ49" s="4431"/>
      <c r="AR49" s="181"/>
      <c r="AS49" s="43"/>
      <c r="AT49" s="181"/>
      <c r="AU49" s="43"/>
      <c r="AV49" s="185">
        <f>AV47-AV48</f>
        <v>6599.1000000000022</v>
      </c>
      <c r="AW49" s="185">
        <f>AW47-AW48</f>
        <v>395946.00000000012</v>
      </c>
      <c r="AX49" s="46">
        <f>AW49/AS18</f>
        <v>0.24788666578517171</v>
      </c>
      <c r="AY49" s="4430"/>
      <c r="AZ49" s="181"/>
      <c r="BA49" s="43"/>
      <c r="BB49" s="181"/>
      <c r="BC49" s="43"/>
      <c r="BD49" s="185">
        <f>BD47-BD48</f>
        <v>40303.899999999994</v>
      </c>
      <c r="BE49" s="185">
        <f>BE47-BE48</f>
        <v>2418233.9999999995</v>
      </c>
      <c r="BF49" s="46">
        <f>BE49/BA18</f>
        <v>0.28747793124935084</v>
      </c>
      <c r="BG49" s="42"/>
      <c r="BH49" s="43"/>
      <c r="BI49" s="43"/>
      <c r="BJ49" s="43"/>
      <c r="BK49" s="43"/>
      <c r="BL49" s="181">
        <f>BL47-BL48</f>
        <v>18679</v>
      </c>
      <c r="BM49" s="181">
        <f>BM47-BM48</f>
        <v>1120740</v>
      </c>
      <c r="BN49" s="44">
        <f>BM49/BI18</f>
        <v>0.30327482911464337</v>
      </c>
      <c r="BO49" s="42"/>
      <c r="BP49" s="43"/>
      <c r="BQ49" s="43"/>
      <c r="BR49" s="43"/>
      <c r="BS49" s="43"/>
      <c r="BT49" s="181">
        <f>BT47-BT48</f>
        <v>22223.240000000005</v>
      </c>
      <c r="BU49" s="181">
        <f>BU47-BU48</f>
        <v>1333394.4000000004</v>
      </c>
      <c r="BV49" s="44">
        <f>BU49/BQ18</f>
        <v>0.28271238120051034</v>
      </c>
      <c r="BW49" s="45"/>
      <c r="BX49" s="4430"/>
      <c r="BY49" s="181"/>
      <c r="BZ49" s="43"/>
      <c r="CA49" s="181"/>
      <c r="CB49" s="43"/>
      <c r="CC49" s="185">
        <f>CC47-CC48</f>
        <v>7295.4500000000025</v>
      </c>
      <c r="CD49" s="185">
        <f>CD47-CD48</f>
        <v>437727.00000000017</v>
      </c>
      <c r="CE49" s="46">
        <f>CD49/BZ18</f>
        <v>0.28306780792152975</v>
      </c>
      <c r="CF49" s="4430"/>
      <c r="CG49" s="181"/>
      <c r="CH49" s="43"/>
      <c r="CI49" s="181"/>
      <c r="CJ49" s="43"/>
      <c r="CK49" s="185">
        <f>CK47-CK48</f>
        <v>6295.6900000000023</v>
      </c>
      <c r="CL49" s="185">
        <f>CL47-CL48</f>
        <v>377741.40000000014</v>
      </c>
      <c r="CM49" s="46">
        <f>CL49/CH18</f>
        <v>0.23264430865467625</v>
      </c>
      <c r="CN49" s="4430"/>
      <c r="CO49" s="181"/>
      <c r="CP49" s="43"/>
      <c r="CQ49" s="181"/>
      <c r="CR49" s="43"/>
      <c r="CS49" s="185">
        <f>CS47-CS48</f>
        <v>5300.3300000000017</v>
      </c>
      <c r="CT49" s="185">
        <f>CT47-CT48</f>
        <v>318019.8000000001</v>
      </c>
      <c r="CU49" s="46">
        <f>CT49/CP18</f>
        <v>0.20615766267549543</v>
      </c>
      <c r="CV49" s="4430"/>
      <c r="CW49" s="181"/>
      <c r="CX49" s="43"/>
      <c r="CY49" s="181"/>
      <c r="CZ49" s="43"/>
      <c r="DA49" s="185">
        <f>DA47-DA48</f>
        <v>0</v>
      </c>
      <c r="DB49" s="185">
        <f>DB47-DB48</f>
        <v>0</v>
      </c>
      <c r="DC49" s="46">
        <v>0</v>
      </c>
      <c r="DD49" s="458"/>
      <c r="DE49" s="458"/>
      <c r="DF49" s="458"/>
      <c r="DG49" s="458"/>
      <c r="DH49" s="458"/>
      <c r="DI49" s="185">
        <f>DI47-DI48</f>
        <v>144.5</v>
      </c>
      <c r="DJ49" s="185">
        <f>DJ47-DJ48</f>
        <v>8670</v>
      </c>
      <c r="DK49" s="46">
        <f>DJ49/DF18</f>
        <v>3.7630208333333331E-2</v>
      </c>
      <c r="DL49" s="4430"/>
      <c r="DM49" s="181"/>
      <c r="DN49" s="43"/>
      <c r="DO49" s="181"/>
      <c r="DP49" s="43"/>
      <c r="DQ49" s="185">
        <f>DQ47-DQ48</f>
        <v>3245.4700000000003</v>
      </c>
      <c r="DR49" s="185">
        <f>DR47-DR48</f>
        <v>194728.2</v>
      </c>
      <c r="DS49" s="46">
        <f>DR49/DN18</f>
        <v>0.19886458333333334</v>
      </c>
      <c r="DT49" s="4430"/>
      <c r="DU49" s="181"/>
      <c r="DV49" s="43"/>
      <c r="DW49" s="181"/>
      <c r="DX49" s="43"/>
      <c r="DY49" s="185">
        <f>DY47-DY48</f>
        <v>3020</v>
      </c>
      <c r="DZ49" s="185">
        <f>DZ47-DZ48</f>
        <v>181200</v>
      </c>
      <c r="EA49" s="46">
        <f>DZ49/DV18</f>
        <v>0.13777372262773724</v>
      </c>
      <c r="EB49" s="4430"/>
      <c r="EC49" s="181"/>
      <c r="ED49" s="43"/>
      <c r="EE49" s="181"/>
      <c r="EF49" s="43"/>
      <c r="EG49" s="185">
        <f>EG47-EG48</f>
        <v>3450</v>
      </c>
      <c r="EH49" s="185">
        <f>EH47-EH48</f>
        <v>207000</v>
      </c>
      <c r="EI49" s="46">
        <f>EH49/ED18</f>
        <v>0.16586538461538461</v>
      </c>
      <c r="EJ49" s="4431"/>
      <c r="EK49" s="181"/>
      <c r="EL49" s="43"/>
      <c r="EM49" s="181"/>
      <c r="EN49" s="43"/>
      <c r="EO49" s="185">
        <f>EO47-EO48</f>
        <v>3304</v>
      </c>
      <c r="EP49" s="185">
        <f>EP47-EP48</f>
        <v>198240</v>
      </c>
      <c r="EQ49" s="46">
        <f>EP49/EL18</f>
        <v>0.14936708860759493</v>
      </c>
      <c r="ER49" s="4430"/>
      <c r="ES49" s="181"/>
      <c r="ET49" s="43"/>
      <c r="EU49" s="181"/>
      <c r="EV49" s="43"/>
      <c r="EW49" s="185">
        <f>EW47-EW48</f>
        <v>32055.440000000006</v>
      </c>
      <c r="EX49" s="185">
        <f>EX47-EX48</f>
        <v>1923326.4000000001</v>
      </c>
      <c r="EY49" s="46">
        <f>EX49/ET18</f>
        <v>0.19600460596858396</v>
      </c>
      <c r="FA49" s="4430"/>
      <c r="FB49" s="181"/>
      <c r="FC49" s="43"/>
      <c r="FD49" s="181"/>
      <c r="FE49" s="43"/>
      <c r="FF49" s="185">
        <f>FF47-FF48</f>
        <v>5035</v>
      </c>
      <c r="FG49" s="185">
        <f>FG47-FG48</f>
        <v>302100</v>
      </c>
      <c r="FH49" s="46">
        <f>FG49/FC18</f>
        <v>0.2200611888111888</v>
      </c>
      <c r="FI49" s="4430"/>
      <c r="FJ49" s="181"/>
      <c r="FK49" s="43"/>
      <c r="FL49" s="181"/>
      <c r="FM49" s="43"/>
      <c r="FN49" s="185">
        <f>FN47-FN48</f>
        <v>4940.6400000000003</v>
      </c>
      <c r="FO49" s="185">
        <f>FO47-FO48</f>
        <v>296438.40000000002</v>
      </c>
      <c r="FP49" s="46">
        <f>FO49/FK18</f>
        <v>0.22539416058394163</v>
      </c>
      <c r="FQ49" s="4430"/>
      <c r="FR49" s="181"/>
      <c r="FS49" s="43"/>
      <c r="FT49" s="181"/>
      <c r="FU49" s="43"/>
      <c r="FV49" s="185">
        <f>FV47-FV48</f>
        <v>4831.8900000000003</v>
      </c>
      <c r="FW49" s="185">
        <f>FW47-FW48</f>
        <v>289913.40000000002</v>
      </c>
      <c r="FX49" s="46">
        <f>FW49/FS18</f>
        <v>0.23230240384615386</v>
      </c>
      <c r="FY49" s="4430"/>
      <c r="FZ49" s="181"/>
      <c r="GA49" s="43"/>
      <c r="GB49" s="181"/>
      <c r="GC49" s="43"/>
      <c r="GD49" s="185">
        <f>GD47-GD48</f>
        <v>4880</v>
      </c>
      <c r="GE49" s="185">
        <f>GE47-GE48</f>
        <v>292800</v>
      </c>
      <c r="GF49" s="46">
        <v>0</v>
      </c>
      <c r="GG49" s="4430"/>
      <c r="GH49" s="181"/>
      <c r="GI49" s="43"/>
      <c r="GJ49" s="181"/>
      <c r="GK49" s="43"/>
      <c r="GL49" s="185">
        <f>GL47-GL48</f>
        <v>4709.88</v>
      </c>
      <c r="GM49" s="185">
        <f>GM47-GM48</f>
        <v>282592.8</v>
      </c>
      <c r="GN49" s="46">
        <v>0</v>
      </c>
      <c r="GO49" s="4430"/>
      <c r="GP49" s="181"/>
      <c r="GQ49" s="43"/>
      <c r="GR49" s="181"/>
      <c r="GS49" s="43"/>
      <c r="GT49" s="185">
        <f>GT47-GT48</f>
        <v>903.69999999999982</v>
      </c>
      <c r="GU49" s="185">
        <f>GU47-GU48</f>
        <v>54222</v>
      </c>
      <c r="GV49" s="46">
        <f>GU49/GQ18</f>
        <v>4.3447115384615383E-2</v>
      </c>
      <c r="GW49" s="4430"/>
      <c r="GX49" s="181"/>
      <c r="GY49" s="43"/>
      <c r="GZ49" s="181"/>
      <c r="HA49" s="43"/>
      <c r="HB49" s="185">
        <f>HB47-HB48</f>
        <v>1261.69</v>
      </c>
      <c r="HC49" s="185">
        <f>HC47-HC48</f>
        <v>75701.399999999994</v>
      </c>
      <c r="HD49" s="46">
        <f>HC49/GY18</f>
        <v>0.11947821969696969</v>
      </c>
      <c r="HE49" s="4430"/>
      <c r="HF49" s="181"/>
      <c r="HG49" s="43"/>
      <c r="HH49" s="181"/>
      <c r="HI49" s="43"/>
      <c r="HJ49" s="185">
        <f>HJ47-HJ48</f>
        <v>1197.69</v>
      </c>
      <c r="HK49" s="185">
        <f>HK47-HK48</f>
        <v>71861.399999999994</v>
      </c>
      <c r="HL49" s="46">
        <f>HK49/HG18</f>
        <v>0.11881845238095237</v>
      </c>
      <c r="HM49" s="4430"/>
      <c r="HN49" s="181"/>
      <c r="HO49" s="43"/>
      <c r="HP49" s="181"/>
      <c r="HQ49" s="43"/>
      <c r="HR49" s="185">
        <f>HR47-HR48</f>
        <v>1792.94</v>
      </c>
      <c r="HS49" s="185">
        <f>HS47-HS48</f>
        <v>107576.4</v>
      </c>
      <c r="HT49" s="46">
        <f>HS49/HO18</f>
        <v>0.14852054340622928</v>
      </c>
      <c r="HU49" s="4430"/>
      <c r="HV49" s="181"/>
      <c r="HW49" s="43"/>
      <c r="HX49" s="181"/>
      <c r="HY49" s="43"/>
      <c r="HZ49" s="185">
        <f>HZ47-HZ48</f>
        <v>3320.94</v>
      </c>
      <c r="IA49" s="185">
        <f>IA47-IA48</f>
        <v>199256.4</v>
      </c>
      <c r="IB49" s="46">
        <f>IA49/HW18</f>
        <v>0.15594196093163035</v>
      </c>
      <c r="IC49" s="4430"/>
      <c r="ID49" s="181"/>
      <c r="IE49" s="43"/>
      <c r="IF49" s="181"/>
      <c r="IG49" s="43"/>
      <c r="IH49" s="185">
        <f>IH47-IH48</f>
        <v>0</v>
      </c>
      <c r="II49" s="185">
        <f>II47-II48</f>
        <v>0</v>
      </c>
      <c r="IJ49" s="46" t="e">
        <f>II49/IE18</f>
        <v>#DIV/0!</v>
      </c>
      <c r="IK49" s="4431"/>
      <c r="IL49" s="181"/>
      <c r="IM49" s="43"/>
      <c r="IN49" s="181"/>
      <c r="IO49" s="43"/>
      <c r="IP49" s="185">
        <f>IP47-IP48</f>
        <v>0</v>
      </c>
      <c r="IQ49" s="185">
        <f>IQ47-IQ48</f>
        <v>0</v>
      </c>
      <c r="IR49" s="46" t="e">
        <f>IQ49/IM18</f>
        <v>#DIV/0!</v>
      </c>
      <c r="IS49" s="4430"/>
      <c r="IT49" s="181"/>
      <c r="IU49" s="43"/>
      <c r="IV49" s="181"/>
      <c r="IW49" s="43"/>
      <c r="IX49" s="185">
        <f>IX47-IX48</f>
        <v>32874.370000000003</v>
      </c>
      <c r="IY49" s="185">
        <f>IY47-IY48</f>
        <v>1972462.2</v>
      </c>
      <c r="IZ49" s="46">
        <f>IY49/IU18</f>
        <v>0.17796094798839374</v>
      </c>
    </row>
    <row r="50" spans="1:260" x14ac:dyDescent="0.3">
      <c r="A50" s="12"/>
      <c r="B50" s="1" t="s">
        <v>479</v>
      </c>
      <c r="C50" s="49"/>
      <c r="D50" s="184"/>
      <c r="E50" s="50"/>
      <c r="F50" s="184"/>
      <c r="G50" s="50"/>
      <c r="H50" s="903">
        <f>H47*26.5%</f>
        <v>1163.3500000000001</v>
      </c>
      <c r="I50" s="184">
        <f>I47*26.5%</f>
        <v>69801</v>
      </c>
      <c r="J50" s="47"/>
      <c r="K50" s="49"/>
      <c r="L50" s="184"/>
      <c r="M50" s="50"/>
      <c r="N50" s="184"/>
      <c r="O50" s="50"/>
      <c r="P50" s="903">
        <f>P47*26.5%</f>
        <v>2237.9250000000002</v>
      </c>
      <c r="Q50" s="184">
        <f>Q47*26.5%</f>
        <v>134275.5</v>
      </c>
      <c r="R50" s="47"/>
      <c r="S50" s="49"/>
      <c r="T50" s="184"/>
      <c r="U50" s="50"/>
      <c r="V50" s="184"/>
      <c r="W50" s="50"/>
      <c r="X50" s="903">
        <f>X47*26.5%</f>
        <v>1548.66</v>
      </c>
      <c r="Y50" s="184">
        <f>Y47*26.5%</f>
        <v>92919.6</v>
      </c>
      <c r="Z50" s="47"/>
      <c r="AA50" s="49"/>
      <c r="AB50" s="184"/>
      <c r="AC50" s="50"/>
      <c r="AD50" s="184"/>
      <c r="AE50" s="50"/>
      <c r="AF50" s="903">
        <f>AF47*26.5%</f>
        <v>2155.2449999999999</v>
      </c>
      <c r="AG50" s="184">
        <f>AG47*26.5%</f>
        <v>129314.70000000001</v>
      </c>
      <c r="AH50" s="47"/>
      <c r="AI50" s="49"/>
      <c r="AJ50" s="184"/>
      <c r="AK50" s="50"/>
      <c r="AL50" s="184"/>
      <c r="AM50" s="50"/>
      <c r="AN50" s="903">
        <f>AN47*26.5%</f>
        <v>1826.5920000000008</v>
      </c>
      <c r="AO50" s="184">
        <f>AO47*26.5%</f>
        <v>109595.52000000005</v>
      </c>
      <c r="AP50" s="47"/>
      <c r="AQ50" s="50"/>
      <c r="AR50" s="184"/>
      <c r="AS50" s="50"/>
      <c r="AT50" s="184"/>
      <c r="AU50" s="50"/>
      <c r="AV50" s="903">
        <f>AV47*26.5%</f>
        <v>1748.7615000000008</v>
      </c>
      <c r="AW50" s="903">
        <f>AW47*26.5%</f>
        <v>104925.69000000003</v>
      </c>
      <c r="AX50" s="47"/>
      <c r="AY50" s="49"/>
      <c r="AZ50" s="184"/>
      <c r="BA50" s="50"/>
      <c r="BB50" s="184"/>
      <c r="BC50" s="50"/>
      <c r="BD50" s="903">
        <f>BD47*26.5%</f>
        <v>10680.5335</v>
      </c>
      <c r="BE50" s="903">
        <f>BE47*26.5%</f>
        <v>640832.00999999989</v>
      </c>
      <c r="BF50" s="47"/>
      <c r="BG50" s="12"/>
      <c r="BL50" s="903">
        <f>BL47*26.5%</f>
        <v>4949.9350000000004</v>
      </c>
      <c r="BM50" s="903">
        <f>BM47*26.5%</f>
        <v>296996.10000000003</v>
      </c>
      <c r="BN50" s="17"/>
      <c r="BO50" s="12"/>
      <c r="BT50" s="184">
        <f>BT47*26.5%</f>
        <v>5889.1586000000016</v>
      </c>
      <c r="BU50" s="184">
        <f>BU47*26.5%</f>
        <v>353349.51600000012</v>
      </c>
      <c r="BV50" s="17"/>
      <c r="BX50" s="49"/>
      <c r="BY50" s="184"/>
      <c r="BZ50" s="50"/>
      <c r="CA50" s="184"/>
      <c r="CB50" s="50"/>
      <c r="CC50" s="184">
        <f>CC47*26.5%</f>
        <v>1933.2942500000008</v>
      </c>
      <c r="CD50" s="184">
        <f>CD47*26.5%</f>
        <v>115997.65500000006</v>
      </c>
      <c r="CE50" s="47"/>
      <c r="CF50" s="49"/>
      <c r="CG50" s="184"/>
      <c r="CH50" s="50"/>
      <c r="CI50" s="184"/>
      <c r="CJ50" s="50"/>
      <c r="CK50" s="184">
        <f>CK47*26.5%</f>
        <v>1668.3578500000008</v>
      </c>
      <c r="CL50" s="184">
        <f>CL47*26.5%</f>
        <v>100101.47100000005</v>
      </c>
      <c r="CM50" s="47"/>
      <c r="CN50" s="49"/>
      <c r="CO50" s="184"/>
      <c r="CP50" s="50"/>
      <c r="CQ50" s="184"/>
      <c r="CR50" s="50"/>
      <c r="CS50" s="184">
        <f>CS47*26.5%</f>
        <v>1404.5874500000004</v>
      </c>
      <c r="CT50" s="184">
        <f>CT47*26.5%</f>
        <v>84275.247000000032</v>
      </c>
      <c r="CU50" s="47"/>
      <c r="CV50" s="49"/>
      <c r="CW50" s="184"/>
      <c r="CX50" s="50"/>
      <c r="CY50" s="184"/>
      <c r="CZ50" s="50"/>
      <c r="DA50" s="184">
        <f>DA47*26.5%</f>
        <v>0</v>
      </c>
      <c r="DB50" s="184">
        <f>DB47*26.5%</f>
        <v>0</v>
      </c>
      <c r="DC50" s="47"/>
      <c r="DD50" s="56"/>
      <c r="DE50" s="56"/>
      <c r="DF50" s="56"/>
      <c r="DG50" s="56"/>
      <c r="DH50" s="56"/>
      <c r="DI50" s="184">
        <f>DI47*26.5%</f>
        <v>38.292500000000004</v>
      </c>
      <c r="DJ50" s="184">
        <f>DJ47*26.5%</f>
        <v>2297.5500000000002</v>
      </c>
      <c r="DK50" s="47"/>
      <c r="DL50" s="49"/>
      <c r="DM50" s="184"/>
      <c r="DN50" s="50"/>
      <c r="DO50" s="184"/>
      <c r="DP50" s="50"/>
      <c r="DQ50" s="184">
        <f>DQ47*26.5%</f>
        <v>860.04955000000007</v>
      </c>
      <c r="DR50" s="184">
        <f>DR47*26.5%</f>
        <v>51602.973000000005</v>
      </c>
      <c r="DS50" s="47"/>
      <c r="DT50" s="49"/>
      <c r="DU50" s="184"/>
      <c r="DV50" s="50"/>
      <c r="DW50" s="184"/>
      <c r="DX50" s="50"/>
      <c r="DY50" s="184">
        <f>DY47*26.5%</f>
        <v>800.30000000000007</v>
      </c>
      <c r="DZ50" s="184">
        <f>DZ47*26.5%</f>
        <v>48018</v>
      </c>
      <c r="EA50" s="47"/>
      <c r="EB50" s="49"/>
      <c r="EC50" s="184"/>
      <c r="ED50" s="50"/>
      <c r="EE50" s="184"/>
      <c r="EF50" s="50"/>
      <c r="EG50" s="184">
        <f>EG47*26.5%</f>
        <v>914.25</v>
      </c>
      <c r="EH50" s="184">
        <f>EH47*26.5%</f>
        <v>54855</v>
      </c>
      <c r="EI50" s="47"/>
      <c r="EJ50" s="50"/>
      <c r="EK50" s="184"/>
      <c r="EL50" s="50"/>
      <c r="EM50" s="184"/>
      <c r="EN50" s="50"/>
      <c r="EO50" s="184">
        <f>EO47*20.5%</f>
        <v>677.31999999999994</v>
      </c>
      <c r="EP50" s="184">
        <f>EP47*20.5%</f>
        <v>40639.199999999997</v>
      </c>
      <c r="EQ50" s="47"/>
      <c r="ER50" s="49"/>
      <c r="ES50" s="184"/>
      <c r="ET50" s="50"/>
      <c r="EU50" s="184"/>
      <c r="EV50" s="50"/>
      <c r="EW50" s="184">
        <f>EW47*26.5%</f>
        <v>8494.6916000000019</v>
      </c>
      <c r="EX50" s="184">
        <f>EX47*20.5%</f>
        <v>394281.91200000001</v>
      </c>
      <c r="EY50" s="47"/>
      <c r="FA50" s="51"/>
      <c r="FB50" s="184"/>
      <c r="FC50" s="50"/>
      <c r="FD50" s="184"/>
      <c r="FE50" s="50"/>
      <c r="FF50" s="184">
        <f>FF47*26.5%</f>
        <v>1334.2750000000001</v>
      </c>
      <c r="FG50" s="184">
        <f>FG47*26.5%</f>
        <v>80056.5</v>
      </c>
      <c r="FH50" s="47"/>
      <c r="FI50" s="49"/>
      <c r="FJ50" s="184"/>
      <c r="FK50" s="50"/>
      <c r="FL50" s="184"/>
      <c r="FM50" s="50"/>
      <c r="FN50" s="184">
        <f>FN47*26.5%</f>
        <v>1309.2696000000001</v>
      </c>
      <c r="FO50" s="184">
        <f>FO47*26.5%</f>
        <v>78556.176000000007</v>
      </c>
      <c r="FP50" s="47"/>
      <c r="FQ50" s="49"/>
      <c r="FR50" s="184"/>
      <c r="FS50" s="50"/>
      <c r="FT50" s="184"/>
      <c r="FU50" s="50"/>
      <c r="FV50" s="184">
        <f>FV47*26.5%</f>
        <v>1280.4508500000002</v>
      </c>
      <c r="FW50" s="184">
        <f>FW47*26.5%</f>
        <v>76827.051000000007</v>
      </c>
      <c r="FX50" s="47"/>
      <c r="FY50" s="49"/>
      <c r="FZ50" s="184"/>
      <c r="GA50" s="50"/>
      <c r="GB50" s="184"/>
      <c r="GC50" s="50"/>
      <c r="GD50" s="184">
        <f>GD47*26.5%</f>
        <v>1293.2</v>
      </c>
      <c r="GE50" s="184">
        <f>GE47*26.5%</f>
        <v>77592</v>
      </c>
      <c r="GF50" s="47"/>
      <c r="GG50" s="49"/>
      <c r="GH50" s="184"/>
      <c r="GI50" s="50"/>
      <c r="GJ50" s="184"/>
      <c r="GK50" s="50"/>
      <c r="GL50" s="184">
        <f>GL47*26.5%</f>
        <v>1248.1182000000001</v>
      </c>
      <c r="GM50" s="184">
        <f>GM47*26.5%</f>
        <v>74887.092000000004</v>
      </c>
      <c r="GN50" s="47"/>
      <c r="GO50" s="49"/>
      <c r="GP50" s="184"/>
      <c r="GQ50" s="50"/>
      <c r="GR50" s="184"/>
      <c r="GS50" s="50"/>
      <c r="GT50" s="184">
        <f>GT47*26.5%</f>
        <v>239.48049999999998</v>
      </c>
      <c r="GU50" s="184">
        <f>GU47*26.5%</f>
        <v>14368.83</v>
      </c>
      <c r="GV50" s="47"/>
      <c r="GW50" s="49"/>
      <c r="GX50" s="184"/>
      <c r="GY50" s="50"/>
      <c r="GZ50" s="184"/>
      <c r="HA50" s="50"/>
      <c r="HB50" s="184">
        <f>HB47*26.5%</f>
        <v>334.34785000000005</v>
      </c>
      <c r="HC50" s="184">
        <f>HC47*26.5%</f>
        <v>20060.870999999999</v>
      </c>
      <c r="HD50" s="47"/>
      <c r="HE50" s="49"/>
      <c r="HF50" s="184"/>
      <c r="HG50" s="50"/>
      <c r="HH50" s="184"/>
      <c r="HI50" s="50"/>
      <c r="HJ50" s="184">
        <f>HJ47*26.5%</f>
        <v>317.38785000000001</v>
      </c>
      <c r="HK50" s="184">
        <f>HK47*26.5%</f>
        <v>19043.271000000001</v>
      </c>
      <c r="HL50" s="47"/>
      <c r="HM50" s="49"/>
      <c r="HN50" s="184"/>
      <c r="HO50" s="50"/>
      <c r="HP50" s="184"/>
      <c r="HQ50" s="50"/>
      <c r="HR50" s="184">
        <f>HR47*26.5%</f>
        <v>475.12910000000005</v>
      </c>
      <c r="HS50" s="184">
        <f>HS47*26.5%</f>
        <v>28507.745999999999</v>
      </c>
      <c r="HT50" s="47"/>
      <c r="HU50" s="49"/>
      <c r="HV50" s="184"/>
      <c r="HW50" s="50"/>
      <c r="HX50" s="184"/>
      <c r="HY50" s="50"/>
      <c r="HZ50" s="184">
        <f>HZ47*26.5%</f>
        <v>880.04910000000007</v>
      </c>
      <c r="IA50" s="184">
        <f>IA47*26.5%</f>
        <v>52802.946000000004</v>
      </c>
      <c r="IB50" s="47"/>
      <c r="IC50" s="49"/>
      <c r="ID50" s="184"/>
      <c r="IE50" s="50"/>
      <c r="IF50" s="184"/>
      <c r="IG50" s="50"/>
      <c r="IH50" s="184">
        <f>IH47*26.5%</f>
        <v>0</v>
      </c>
      <c r="II50" s="184">
        <f>II47*26.5%</f>
        <v>0</v>
      </c>
      <c r="IJ50" s="47"/>
      <c r="IK50" s="50"/>
      <c r="IL50" s="184"/>
      <c r="IM50" s="50"/>
      <c r="IN50" s="184"/>
      <c r="IO50" s="50"/>
      <c r="IP50" s="184"/>
      <c r="IQ50" s="184">
        <f>IQ47*20.5%</f>
        <v>0</v>
      </c>
      <c r="IR50" s="47"/>
      <c r="IS50" s="49"/>
      <c r="IT50" s="184"/>
      <c r="IU50" s="50"/>
      <c r="IV50" s="184"/>
      <c r="IW50" s="50"/>
      <c r="IX50" s="184">
        <f>IX47*26.5%</f>
        <v>8711.7080500000011</v>
      </c>
      <c r="IY50" s="184">
        <f>IY47*20.5%</f>
        <v>404354.75099999999</v>
      </c>
      <c r="IZ50" s="47"/>
    </row>
    <row r="51" spans="1:260" s="27" customFormat="1" ht="15.05" x14ac:dyDescent="0.35">
      <c r="A51" s="4852"/>
      <c r="B51" s="4853" t="s">
        <v>37</v>
      </c>
      <c r="C51" s="4854"/>
      <c r="D51" s="4855"/>
      <c r="E51" s="4856"/>
      <c r="F51" s="4855"/>
      <c r="G51" s="4856"/>
      <c r="H51" s="4857">
        <f>H49-H50</f>
        <v>3226.6499999999996</v>
      </c>
      <c r="I51" s="4857">
        <f>I49-I50</f>
        <v>193599</v>
      </c>
      <c r="J51" s="4858">
        <f>I51/E18</f>
        <v>0.22055023923444977</v>
      </c>
      <c r="K51" s="4854"/>
      <c r="L51" s="4855"/>
      <c r="M51" s="4856"/>
      <c r="N51" s="4855"/>
      <c r="O51" s="4856"/>
      <c r="P51" s="4857">
        <f>P49-P50</f>
        <v>6207.0749999999998</v>
      </c>
      <c r="Q51" s="4857">
        <f>Q49-Q50</f>
        <v>372424.5</v>
      </c>
      <c r="R51" s="4858">
        <f>Q51/M18</f>
        <v>0.2238800721370604</v>
      </c>
      <c r="S51" s="4854"/>
      <c r="T51" s="4855"/>
      <c r="U51" s="4856"/>
      <c r="V51" s="4855"/>
      <c r="W51" s="4856"/>
      <c r="X51" s="4857">
        <f>X49-X50</f>
        <v>4295.34</v>
      </c>
      <c r="Y51" s="4857">
        <f>Y49-Y50</f>
        <v>257720.4</v>
      </c>
      <c r="Z51" s="4858">
        <f>Y51/U18</f>
        <v>0.22329694323144103</v>
      </c>
      <c r="AA51" s="4854"/>
      <c r="AB51" s="4855"/>
      <c r="AC51" s="4856"/>
      <c r="AD51" s="4855"/>
      <c r="AE51" s="4856"/>
      <c r="AF51" s="4857">
        <f>AF49-AF50</f>
        <v>5977.7550000000001</v>
      </c>
      <c r="AG51" s="4857">
        <f>AG49-AG50</f>
        <v>358665.3</v>
      </c>
      <c r="AH51" s="4858">
        <f>AG51/AC18</f>
        <v>0.22804543547094952</v>
      </c>
      <c r="AI51" s="4854"/>
      <c r="AJ51" s="4855"/>
      <c r="AK51" s="4856"/>
      <c r="AL51" s="4855"/>
      <c r="AM51" s="4856"/>
      <c r="AN51" s="4857">
        <f>AN49-AN50</f>
        <v>5066.2080000000024</v>
      </c>
      <c r="AO51" s="4857">
        <f>AO49-AO50</f>
        <v>303972.4800000001</v>
      </c>
      <c r="AP51" s="4858">
        <f>AO51/AK18</f>
        <v>0.19657188974422651</v>
      </c>
      <c r="AQ51" s="4856"/>
      <c r="AR51" s="4855"/>
      <c r="AS51" s="4856"/>
      <c r="AT51" s="4855"/>
      <c r="AU51" s="4856"/>
      <c r="AV51" s="4857">
        <f>AV49-AV50</f>
        <v>4850.3385000000017</v>
      </c>
      <c r="AW51" s="4857">
        <f>AW49-AW50</f>
        <v>291020.31000000006</v>
      </c>
      <c r="AX51" s="4858">
        <f>AW51/AS18</f>
        <v>0.18219669935210117</v>
      </c>
      <c r="AY51" s="4854"/>
      <c r="AZ51" s="4855"/>
      <c r="BA51" s="4856"/>
      <c r="BB51" s="4855"/>
      <c r="BC51" s="4856"/>
      <c r="BD51" s="4857">
        <f>BD49-BD50</f>
        <v>29623.366499999996</v>
      </c>
      <c r="BE51" s="4857">
        <f>BE49-BE50</f>
        <v>1777401.9899999998</v>
      </c>
      <c r="BF51" s="4858">
        <f>BE51/BA18</f>
        <v>0.2112962794682729</v>
      </c>
      <c r="BG51" s="4859"/>
      <c r="BH51" s="4860"/>
      <c r="BI51" s="4860"/>
      <c r="BJ51" s="4860"/>
      <c r="BK51" s="4860"/>
      <c r="BL51" s="4857">
        <f>BL49-BL50</f>
        <v>13729.064999999999</v>
      </c>
      <c r="BM51" s="4857">
        <f>BM49-BM50</f>
        <v>823743.89999999991</v>
      </c>
      <c r="BN51" s="4858">
        <f>BM51/BI18</f>
        <v>0.22290699939926287</v>
      </c>
      <c r="BO51" s="4859"/>
      <c r="BP51" s="4860"/>
      <c r="BQ51" s="4860"/>
      <c r="BR51" s="4860"/>
      <c r="BS51" s="4860"/>
      <c r="BT51" s="4857">
        <f>BT49-BT50</f>
        <v>16334.081400000003</v>
      </c>
      <c r="BU51" s="4857">
        <f>BU49-BU50</f>
        <v>980044.88400000031</v>
      </c>
      <c r="BV51" s="4858">
        <f>BU51/BQ18</f>
        <v>0.20779360018237511</v>
      </c>
      <c r="BW51" s="4861"/>
      <c r="BX51" s="4854"/>
      <c r="BY51" s="4855"/>
      <c r="BZ51" s="4856"/>
      <c r="CA51" s="4855"/>
      <c r="CB51" s="4856"/>
      <c r="CC51" s="4857">
        <f>CC49-CC50</f>
        <v>5362.1557500000017</v>
      </c>
      <c r="CD51" s="4857">
        <f>CD49-CD50</f>
        <v>321729.34500000009</v>
      </c>
      <c r="CE51" s="4858">
        <f>CD51/BZ18</f>
        <v>0.20805483882232434</v>
      </c>
      <c r="CF51" s="4854"/>
      <c r="CG51" s="4855"/>
      <c r="CH51" s="4856"/>
      <c r="CI51" s="4855"/>
      <c r="CJ51" s="4856"/>
      <c r="CK51" s="4857">
        <f>CK49-CK50</f>
        <v>4627.332150000002</v>
      </c>
      <c r="CL51" s="4857">
        <f>CL49-CL50</f>
        <v>277639.92900000012</v>
      </c>
      <c r="CM51" s="4858">
        <f>CL51/CH18</f>
        <v>0.17099356686118705</v>
      </c>
      <c r="CN51" s="4854"/>
      <c r="CO51" s="4855"/>
      <c r="CP51" s="4856"/>
      <c r="CQ51" s="4855"/>
      <c r="CR51" s="4856"/>
      <c r="CS51" s="4857">
        <f>CS49-CS50</f>
        <v>3895.7425500000013</v>
      </c>
      <c r="CT51" s="4857">
        <f>CT49-CT50</f>
        <v>233744.55300000007</v>
      </c>
      <c r="CU51" s="4858">
        <f>CT51/CP18</f>
        <v>0.15152588206648915</v>
      </c>
      <c r="CV51" s="4854"/>
      <c r="CW51" s="4855"/>
      <c r="CX51" s="4856"/>
      <c r="CY51" s="4855"/>
      <c r="CZ51" s="4856"/>
      <c r="DA51" s="4857">
        <f>DA49-DA50</f>
        <v>0</v>
      </c>
      <c r="DB51" s="4857">
        <f>DB49-DB50</f>
        <v>0</v>
      </c>
      <c r="DC51" s="4858">
        <v>0</v>
      </c>
      <c r="DD51" s="4862"/>
      <c r="DE51" s="4862"/>
      <c r="DF51" s="4862"/>
      <c r="DG51" s="4862"/>
      <c r="DH51" s="4862"/>
      <c r="DI51" s="4857">
        <f>DI49-DI50</f>
        <v>106.2075</v>
      </c>
      <c r="DJ51" s="4857">
        <f>DJ49-DJ50</f>
        <v>6372.45</v>
      </c>
      <c r="DK51" s="4858">
        <f>DJ51/DF18</f>
        <v>2.7658203124999999E-2</v>
      </c>
      <c r="DL51" s="4854"/>
      <c r="DM51" s="4855"/>
      <c r="DN51" s="4856"/>
      <c r="DO51" s="4855"/>
      <c r="DP51" s="4856"/>
      <c r="DQ51" s="4857">
        <f>DQ49-DQ50</f>
        <v>2385.4204500000001</v>
      </c>
      <c r="DR51" s="4857">
        <f>DR49-DR50</f>
        <v>143125.22700000001</v>
      </c>
      <c r="DS51" s="4858">
        <f>DR51/DN18</f>
        <v>0.14616546875000003</v>
      </c>
      <c r="DT51" s="4854"/>
      <c r="DU51" s="4855"/>
      <c r="DV51" s="4856"/>
      <c r="DW51" s="4855"/>
      <c r="DX51" s="4856"/>
      <c r="DY51" s="4857">
        <f>DY49-DY50</f>
        <v>2219.6999999999998</v>
      </c>
      <c r="DZ51" s="4857">
        <f>DZ49-DZ50</f>
        <v>133182</v>
      </c>
      <c r="EA51" s="4858">
        <f>DZ51/DV18</f>
        <v>0.10126368613138687</v>
      </c>
      <c r="EB51" s="4854"/>
      <c r="EC51" s="4855"/>
      <c r="ED51" s="4856"/>
      <c r="EE51" s="4855"/>
      <c r="EF51" s="4856"/>
      <c r="EG51" s="4857">
        <f>EG49-EG50</f>
        <v>2535.75</v>
      </c>
      <c r="EH51" s="4857">
        <f>EH49-EH50</f>
        <v>152145</v>
      </c>
      <c r="EI51" s="4858">
        <f>EH51/ED18</f>
        <v>0.12191105769230769</v>
      </c>
      <c r="EJ51" s="4856"/>
      <c r="EK51" s="4855"/>
      <c r="EL51" s="4856"/>
      <c r="EM51" s="4855"/>
      <c r="EN51" s="4856"/>
      <c r="EO51" s="4857">
        <f>EO49-EO50</f>
        <v>2626.6800000000003</v>
      </c>
      <c r="EP51" s="4857">
        <f>EP49-EP50</f>
        <v>157600.79999999999</v>
      </c>
      <c r="EQ51" s="4858">
        <f>EP51/EL18</f>
        <v>0.11874683544303796</v>
      </c>
      <c r="ER51" s="4854"/>
      <c r="ES51" s="4855"/>
      <c r="ET51" s="4856"/>
      <c r="EU51" s="4855"/>
      <c r="EV51" s="4856"/>
      <c r="EW51" s="4857">
        <f>EW49-EW50</f>
        <v>23560.748400000004</v>
      </c>
      <c r="EX51" s="4857">
        <f>EX49-EX50</f>
        <v>1529044.4880000001</v>
      </c>
      <c r="EY51" s="4858">
        <f>EX51/ET18</f>
        <v>0.15582366174502424</v>
      </c>
      <c r="EZ51" s="4861"/>
      <c r="FA51" s="4863"/>
      <c r="FB51" s="4855"/>
      <c r="FC51" s="4856"/>
      <c r="FD51" s="4855"/>
      <c r="FE51" s="4856"/>
      <c r="FF51" s="4857">
        <f>FF49-FF50</f>
        <v>3700.7249999999999</v>
      </c>
      <c r="FG51" s="4857">
        <f>FG49-FG50</f>
        <v>222043.5</v>
      </c>
      <c r="FH51" s="4858">
        <f>FG51/FC18</f>
        <v>0.16174497377622377</v>
      </c>
      <c r="FI51" s="4854"/>
      <c r="FJ51" s="4855"/>
      <c r="FK51" s="4856"/>
      <c r="FL51" s="4855"/>
      <c r="FM51" s="4856"/>
      <c r="FN51" s="4857">
        <f>FN49-FN50</f>
        <v>3631.3704000000002</v>
      </c>
      <c r="FO51" s="4857">
        <f>FO49-FO50</f>
        <v>217882.22400000002</v>
      </c>
      <c r="FP51" s="4858">
        <f>FO51/FK18</f>
        <v>0.16566470802919708</v>
      </c>
      <c r="FQ51" s="4854"/>
      <c r="FR51" s="4855"/>
      <c r="FS51" s="4856"/>
      <c r="FT51" s="4855"/>
      <c r="FU51" s="4856"/>
      <c r="FV51" s="4857">
        <f>FV49-FV50</f>
        <v>3551.4391500000002</v>
      </c>
      <c r="FW51" s="4857">
        <f>FW49-FW50</f>
        <v>213086.34900000002</v>
      </c>
      <c r="FX51" s="4858">
        <f>FW51/FS18</f>
        <v>0.17074226682692309</v>
      </c>
      <c r="FY51" s="4854"/>
      <c r="FZ51" s="4855"/>
      <c r="GA51" s="4856"/>
      <c r="GB51" s="4855"/>
      <c r="GC51" s="4856"/>
      <c r="GD51" s="4857">
        <f>GD49-GD50</f>
        <v>3586.8</v>
      </c>
      <c r="GE51" s="4857">
        <f>GE49-GE50</f>
        <v>215208</v>
      </c>
      <c r="GF51" s="4858">
        <v>0</v>
      </c>
      <c r="GG51" s="4854"/>
      <c r="GH51" s="4855"/>
      <c r="GI51" s="4856"/>
      <c r="GJ51" s="4855"/>
      <c r="GK51" s="4856"/>
      <c r="GL51" s="4857">
        <f>GL49-GL50</f>
        <v>3461.7618000000002</v>
      </c>
      <c r="GM51" s="4857">
        <f>GM49-GM50</f>
        <v>207705.70799999998</v>
      </c>
      <c r="GN51" s="4858">
        <v>0</v>
      </c>
      <c r="GO51" s="4854"/>
      <c r="GP51" s="4855"/>
      <c r="GQ51" s="4856"/>
      <c r="GR51" s="4855"/>
      <c r="GS51" s="4856"/>
      <c r="GT51" s="4857">
        <f>GT49-GT50</f>
        <v>664.21949999999981</v>
      </c>
      <c r="GU51" s="4857">
        <f>GU49-GU50</f>
        <v>39853.17</v>
      </c>
      <c r="GV51" s="4858">
        <f>GU51/GQ18</f>
        <v>3.1933629807692307E-2</v>
      </c>
      <c r="GW51" s="4854"/>
      <c r="GX51" s="4855"/>
      <c r="GY51" s="4856"/>
      <c r="GZ51" s="4855"/>
      <c r="HA51" s="4856"/>
      <c r="HB51" s="4857">
        <f>HB49-HB50</f>
        <v>927.34214999999995</v>
      </c>
      <c r="HC51" s="4857">
        <f>HC49-HC50</f>
        <v>55640.528999999995</v>
      </c>
      <c r="HD51" s="4858">
        <f>HC51/GY18</f>
        <v>8.7816491477272718E-2</v>
      </c>
      <c r="HE51" s="4854"/>
      <c r="HF51" s="4855"/>
      <c r="HG51" s="4856"/>
      <c r="HH51" s="4855"/>
      <c r="HI51" s="4856"/>
      <c r="HJ51" s="4857">
        <f>HJ49-HJ50</f>
        <v>880.30214999999998</v>
      </c>
      <c r="HK51" s="4857">
        <f>HK49-HK50</f>
        <v>52818.128999999994</v>
      </c>
      <c r="HL51" s="4858">
        <f>HK51/HG18</f>
        <v>8.7331562499999987E-2</v>
      </c>
      <c r="HM51" s="4854"/>
      <c r="HN51" s="4855"/>
      <c r="HO51" s="4856"/>
      <c r="HP51" s="4855"/>
      <c r="HQ51" s="4856"/>
      <c r="HR51" s="4857">
        <f>HR49-HR50</f>
        <v>1317.8108999999999</v>
      </c>
      <c r="HS51" s="4857">
        <f>HS49-HS50</f>
        <v>79068.653999999995</v>
      </c>
      <c r="HT51" s="4858">
        <f>HS51/HO18</f>
        <v>0.10916259940357852</v>
      </c>
      <c r="HU51" s="4854"/>
      <c r="HV51" s="4855"/>
      <c r="HW51" s="4856"/>
      <c r="HX51" s="4855"/>
      <c r="HY51" s="4856"/>
      <c r="HZ51" s="4857">
        <f>HZ49-HZ50</f>
        <v>2440.8908999999999</v>
      </c>
      <c r="IA51" s="4857">
        <f>IA49-IA50</f>
        <v>146453.454</v>
      </c>
      <c r="IB51" s="4858">
        <f>IA51/HW18</f>
        <v>0.11461734128474831</v>
      </c>
      <c r="IC51" s="4854"/>
      <c r="ID51" s="4855"/>
      <c r="IE51" s="4856"/>
      <c r="IF51" s="4855"/>
      <c r="IG51" s="4856"/>
      <c r="IH51" s="4857">
        <f>IH49-IH50</f>
        <v>0</v>
      </c>
      <c r="II51" s="4857">
        <f>II49-II50</f>
        <v>0</v>
      </c>
      <c r="IJ51" s="4858" t="e">
        <f>II51/IE18</f>
        <v>#DIV/0!</v>
      </c>
      <c r="IK51" s="4856"/>
      <c r="IL51" s="4855"/>
      <c r="IM51" s="4856"/>
      <c r="IN51" s="4855"/>
      <c r="IO51" s="4856"/>
      <c r="IP51" s="4857">
        <f>IP49-IP50</f>
        <v>0</v>
      </c>
      <c r="IQ51" s="4857">
        <f>IQ49-IQ50</f>
        <v>0</v>
      </c>
      <c r="IR51" s="4858" t="e">
        <f>IQ51/IM18</f>
        <v>#DIV/0!</v>
      </c>
      <c r="IS51" s="4854"/>
      <c r="IT51" s="4855"/>
      <c r="IU51" s="4856"/>
      <c r="IV51" s="4855"/>
      <c r="IW51" s="4856"/>
      <c r="IX51" s="4857">
        <f>IX49-IX50</f>
        <v>24162.661950000002</v>
      </c>
      <c r="IY51" s="4857">
        <f>IY49-IY50</f>
        <v>1568107.449</v>
      </c>
      <c r="IZ51" s="4858">
        <f>IY51/IU18</f>
        <v>0.14147895365077304</v>
      </c>
    </row>
    <row r="52" spans="1:260" ht="8.1" customHeight="1" x14ac:dyDescent="0.3"/>
    <row r="53" spans="1:260" x14ac:dyDescent="0.3">
      <c r="E53" s="16">
        <f>E18+M18+U18+U18+U18+U18</f>
        <v>7157940</v>
      </c>
      <c r="I53" s="16"/>
      <c r="CW53" s="905" t="s">
        <v>629</v>
      </c>
    </row>
    <row r="54" spans="1:260" x14ac:dyDescent="0.3">
      <c r="AR54" s="6841"/>
      <c r="AS54" s="6841"/>
      <c r="AT54" s="6841"/>
      <c r="AU54" s="6841"/>
      <c r="AV54" s="6841"/>
      <c r="AW54" s="6841"/>
      <c r="AZ54" s="6841"/>
      <c r="BA54" s="6841"/>
      <c r="BB54" s="6841"/>
      <c r="BC54" s="6841"/>
      <c r="BD54" s="6841"/>
      <c r="BE54" s="6841"/>
      <c r="ES54" s="16"/>
      <c r="EU54" s="16"/>
      <c r="EW54" s="16"/>
    </row>
  </sheetData>
  <mergeCells count="132">
    <mergeCell ref="IK2:IR2"/>
    <mergeCell ref="IS2:IZ2"/>
    <mergeCell ref="IL3:IM3"/>
    <mergeCell ref="IN3:IO3"/>
    <mergeCell ref="IP3:IQ3"/>
    <mergeCell ref="IT3:IU3"/>
    <mergeCell ref="IV3:IW3"/>
    <mergeCell ref="IX3:IY3"/>
    <mergeCell ref="GD3:GE3"/>
    <mergeCell ref="IC2:IJ2"/>
    <mergeCell ref="ID3:IE3"/>
    <mergeCell ref="IF3:IG3"/>
    <mergeCell ref="IH3:II3"/>
    <mergeCell ref="HU2:IB2"/>
    <mergeCell ref="GG2:GN2"/>
    <mergeCell ref="GO2:GV2"/>
    <mergeCell ref="GW2:HD2"/>
    <mergeCell ref="HE2:HL2"/>
    <mergeCell ref="HM2:HT2"/>
    <mergeCell ref="HZ3:IA3"/>
    <mergeCell ref="HN3:HO3"/>
    <mergeCell ref="HP3:HQ3"/>
    <mergeCell ref="HR3:HS3"/>
    <mergeCell ref="GR3:GS3"/>
    <mergeCell ref="CQ3:CR3"/>
    <mergeCell ref="CS3:CT3"/>
    <mergeCell ref="CW3:CX3"/>
    <mergeCell ref="CY3:CZ3"/>
    <mergeCell ref="DA3:DB3"/>
    <mergeCell ref="DW3:DX3"/>
    <mergeCell ref="FF3:FG3"/>
    <mergeCell ref="FJ3:FK3"/>
    <mergeCell ref="FL3:FM3"/>
    <mergeCell ref="EU3:EV3"/>
    <mergeCell ref="EW3:EX3"/>
    <mergeCell ref="EE3:EF3"/>
    <mergeCell ref="EG3:EH3"/>
    <mergeCell ref="EK3:EL3"/>
    <mergeCell ref="EM3:EN3"/>
    <mergeCell ref="EO3:EP3"/>
    <mergeCell ref="ES3:ET3"/>
    <mergeCell ref="FA2:FH2"/>
    <mergeCell ref="FI2:FP2"/>
    <mergeCell ref="FQ2:FX2"/>
    <mergeCell ref="FY2:GF2"/>
    <mergeCell ref="FB3:FC3"/>
    <mergeCell ref="EJ2:EQ2"/>
    <mergeCell ref="ER2:EY2"/>
    <mergeCell ref="DD2:DK2"/>
    <mergeCell ref="DT2:EA2"/>
    <mergeCell ref="EB2:EI2"/>
    <mergeCell ref="DE3:DF3"/>
    <mergeCell ref="DG3:DH3"/>
    <mergeCell ref="DI3:DJ3"/>
    <mergeCell ref="DU3:DV3"/>
    <mergeCell ref="DY3:DZ3"/>
    <mergeCell ref="EC3:ED3"/>
    <mergeCell ref="FN3:FO3"/>
    <mergeCell ref="FR3:FS3"/>
    <mergeCell ref="FT3:FU3"/>
    <mergeCell ref="FV3:FW3"/>
    <mergeCell ref="FZ3:GA3"/>
    <mergeCell ref="GB3:GC3"/>
    <mergeCell ref="AT3:AU3"/>
    <mergeCell ref="AV3:AW3"/>
    <mergeCell ref="AZ3:BA3"/>
    <mergeCell ref="BB3:BC3"/>
    <mergeCell ref="BD3:BE3"/>
    <mergeCell ref="HV3:HW3"/>
    <mergeCell ref="HX3:HY3"/>
    <mergeCell ref="GH3:GI3"/>
    <mergeCell ref="GJ3:GK3"/>
    <mergeCell ref="GL3:GM3"/>
    <mergeCell ref="GP3:GQ3"/>
    <mergeCell ref="GT3:GU3"/>
    <mergeCell ref="GX3:GY3"/>
    <mergeCell ref="GZ3:HA3"/>
    <mergeCell ref="HB3:HC3"/>
    <mergeCell ref="HF3:HG3"/>
    <mergeCell ref="HH3:HI3"/>
    <mergeCell ref="HJ3:HK3"/>
    <mergeCell ref="BJ3:BK3"/>
    <mergeCell ref="BL3:BM3"/>
    <mergeCell ref="BP3:BQ3"/>
    <mergeCell ref="BR3:BS3"/>
    <mergeCell ref="BT3:BU3"/>
    <mergeCell ref="FD3:FE3"/>
    <mergeCell ref="CF2:CM2"/>
    <mergeCell ref="CN2:CU2"/>
    <mergeCell ref="CV2:DC2"/>
    <mergeCell ref="AI2:AP2"/>
    <mergeCell ref="AQ2:AX2"/>
    <mergeCell ref="AY2:BF2"/>
    <mergeCell ref="BG2:BN2"/>
    <mergeCell ref="BO2:BV2"/>
    <mergeCell ref="AA2:AH2"/>
    <mergeCell ref="AN3:AO3"/>
    <mergeCell ref="AR3:AS3"/>
    <mergeCell ref="D3:E3"/>
    <mergeCell ref="F3:G3"/>
    <mergeCell ref="H3:I3"/>
    <mergeCell ref="L3:M3"/>
    <mergeCell ref="N3:O3"/>
    <mergeCell ref="P3:Q3"/>
    <mergeCell ref="T3:U3"/>
    <mergeCell ref="V3:W3"/>
    <mergeCell ref="X3:Y3"/>
    <mergeCell ref="AB3:AC3"/>
    <mergeCell ref="AR54:AW54"/>
    <mergeCell ref="AZ54:BE54"/>
    <mergeCell ref="A2:A3"/>
    <mergeCell ref="B2:B4"/>
    <mergeCell ref="C2:J2"/>
    <mergeCell ref="K2:R2"/>
    <mergeCell ref="S2:Z2"/>
    <mergeCell ref="DL2:DS2"/>
    <mergeCell ref="DM3:DN3"/>
    <mergeCell ref="DO3:DP3"/>
    <mergeCell ref="DQ3:DR3"/>
    <mergeCell ref="BX2:CE2"/>
    <mergeCell ref="CO3:CP3"/>
    <mergeCell ref="BY3:BZ3"/>
    <mergeCell ref="CA3:CB3"/>
    <mergeCell ref="CC3:CD3"/>
    <mergeCell ref="CG3:CH3"/>
    <mergeCell ref="CI3:CJ3"/>
    <mergeCell ref="CK3:CL3"/>
    <mergeCell ref="BH3:BI3"/>
    <mergeCell ref="AD3:AE3"/>
    <mergeCell ref="AF3:AG3"/>
    <mergeCell ref="AJ3:AK3"/>
    <mergeCell ref="AL3:AM3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HF31"/>
  <sheetViews>
    <sheetView zoomScaleNormal="100" workbookViewId="0">
      <pane xSplit="2" ySplit="4" topLeftCell="EJ5" activePane="bottomRight" state="frozen"/>
      <selection pane="topRight" activeCell="C1" sqref="C1"/>
      <selection pane="bottomLeft" activeCell="A5" sqref="A5"/>
      <selection pane="bottomRight" activeCell="EO16" sqref="EO16"/>
    </sheetView>
  </sheetViews>
  <sheetFormatPr defaultRowHeight="14" x14ac:dyDescent="0.3"/>
  <cols>
    <col min="1" max="1" width="3.3984375" style="168" customWidth="1"/>
    <col min="2" max="2" width="21" style="168" customWidth="1"/>
    <col min="3" max="3" width="4.296875" style="168" hidden="1" customWidth="1"/>
    <col min="4" max="4" width="6.8984375" style="168" hidden="1" customWidth="1"/>
    <col min="5" max="5" width="9.296875" style="168" hidden="1" customWidth="1"/>
    <col min="6" max="6" width="6.8984375" style="168" hidden="1" customWidth="1"/>
    <col min="7" max="7" width="9.296875" style="168" hidden="1" customWidth="1"/>
    <col min="8" max="8" width="7.09765625" style="168" hidden="1" customWidth="1"/>
    <col min="9" max="9" width="9.296875" style="168" hidden="1" customWidth="1"/>
    <col min="10" max="10" width="5.09765625" style="168" hidden="1" customWidth="1"/>
    <col min="11" max="11" width="3.09765625" style="168" hidden="1" customWidth="1"/>
    <col min="12" max="12" width="6.8984375" style="168" hidden="1" customWidth="1"/>
    <col min="13" max="13" width="9.296875" style="168" hidden="1" customWidth="1"/>
    <col min="14" max="14" width="6.8984375" style="168" hidden="1" customWidth="1"/>
    <col min="15" max="15" width="9.296875" style="168" hidden="1" customWidth="1"/>
    <col min="16" max="16" width="7.09765625" style="168" hidden="1" customWidth="1"/>
    <col min="17" max="17" width="9.296875" style="168" hidden="1" customWidth="1"/>
    <col min="18" max="18" width="5.09765625" style="168" hidden="1" customWidth="1"/>
    <col min="19" max="19" width="3.09765625" style="168" hidden="1" customWidth="1"/>
    <col min="20" max="20" width="6.8984375" style="168" hidden="1" customWidth="1"/>
    <col min="21" max="21" width="9.296875" style="168" hidden="1" customWidth="1"/>
    <col min="22" max="22" width="6.8984375" style="168" hidden="1" customWidth="1"/>
    <col min="23" max="23" width="9.296875" style="168" hidden="1" customWidth="1"/>
    <col min="24" max="24" width="6.8984375" style="168" hidden="1" customWidth="1"/>
    <col min="25" max="25" width="9.296875" style="168" hidden="1" customWidth="1"/>
    <col min="26" max="26" width="4.69921875" style="168" hidden="1" customWidth="1"/>
    <col min="27" max="27" width="3.09765625" style="168" hidden="1" customWidth="1"/>
    <col min="28" max="28" width="6.8984375" style="168" hidden="1" customWidth="1"/>
    <col min="29" max="29" width="9.296875" style="168" hidden="1" customWidth="1"/>
    <col min="30" max="30" width="6.8984375" style="168" hidden="1" customWidth="1"/>
    <col min="31" max="31" width="9.296875" style="168" hidden="1" customWidth="1"/>
    <col min="32" max="32" width="6.8984375" style="168" hidden="1" customWidth="1"/>
    <col min="33" max="33" width="9.296875" style="168" hidden="1" customWidth="1"/>
    <col min="34" max="34" width="4.69921875" style="168" hidden="1" customWidth="1"/>
    <col min="35" max="35" width="3.09765625" style="168" hidden="1" customWidth="1"/>
    <col min="36" max="36" width="6.8984375" style="168" hidden="1" customWidth="1"/>
    <col min="37" max="37" width="9.296875" style="168" hidden="1" customWidth="1"/>
    <col min="38" max="38" width="6.8984375" style="168" hidden="1" customWidth="1"/>
    <col min="39" max="39" width="9.296875" style="168" hidden="1" customWidth="1"/>
    <col min="40" max="40" width="6.8984375" style="168" hidden="1" customWidth="1"/>
    <col min="41" max="41" width="9.296875" style="168" hidden="1" customWidth="1"/>
    <col min="42" max="42" width="4.69921875" style="168" hidden="1" customWidth="1"/>
    <col min="43" max="43" width="3.09765625" style="168" hidden="1" customWidth="1"/>
    <col min="44" max="44" width="6.8984375" style="168" hidden="1" customWidth="1"/>
    <col min="45" max="45" width="9.296875" style="168" hidden="1" customWidth="1"/>
    <col min="46" max="46" width="12.296875" style="168" hidden="1" customWidth="1"/>
    <col min="47" max="47" width="9.296875" style="168" hidden="1" customWidth="1"/>
    <col min="48" max="48" width="6.8984375" style="168" hidden="1" customWidth="1"/>
    <col min="49" max="49" width="9.296875" style="168" hidden="1" customWidth="1"/>
    <col min="50" max="50" width="4.69921875" style="168" hidden="1" customWidth="1"/>
    <col min="51" max="51" width="3.09765625" style="168" hidden="1" customWidth="1"/>
    <col min="52" max="52" width="6.8984375" style="168" hidden="1" customWidth="1"/>
    <col min="53" max="53" width="9.296875" style="168" hidden="1" customWidth="1"/>
    <col min="54" max="54" width="6.8984375" style="168" hidden="1" customWidth="1"/>
    <col min="55" max="55" width="9.296875" style="168" hidden="1" customWidth="1"/>
    <col min="56" max="56" width="6.8984375" style="168" hidden="1" customWidth="1"/>
    <col min="57" max="57" width="9.296875" style="168" hidden="1" customWidth="1"/>
    <col min="58" max="58" width="4.69921875" style="168" hidden="1" customWidth="1"/>
    <col min="59" max="59" width="3.09765625" style="168" hidden="1" customWidth="1"/>
    <col min="60" max="60" width="6.8984375" style="168" hidden="1" customWidth="1"/>
    <col min="61" max="61" width="9.296875" style="168" hidden="1" customWidth="1"/>
    <col min="62" max="62" width="6.8984375" style="168" hidden="1" customWidth="1"/>
    <col min="63" max="63" width="9.296875" style="168" hidden="1" customWidth="1"/>
    <col min="64" max="64" width="6.8984375" style="168" hidden="1" customWidth="1"/>
    <col min="65" max="65" width="9.296875" style="168" hidden="1" customWidth="1"/>
    <col min="66" max="66" width="4.69921875" style="168" hidden="1" customWidth="1"/>
    <col min="67" max="67" width="3.09765625" style="168" hidden="1" customWidth="1"/>
    <col min="68" max="68" width="6.8984375" style="168" hidden="1" customWidth="1"/>
    <col min="69" max="69" width="9.296875" style="168" hidden="1" customWidth="1"/>
    <col min="70" max="70" width="6.8984375" style="168" hidden="1" customWidth="1"/>
    <col min="71" max="71" width="9.296875" style="168" hidden="1" customWidth="1"/>
    <col min="72" max="72" width="4.296875" style="168" hidden="1" customWidth="1"/>
    <col min="73" max="73" width="6.8984375" style="168" hidden="1" customWidth="1"/>
    <col min="74" max="74" width="3.59765625" style="168" hidden="1" customWidth="1"/>
    <col min="75" max="75" width="3.09765625" style="168" hidden="1" customWidth="1"/>
    <col min="76" max="76" width="6.8984375" style="168" hidden="1" customWidth="1"/>
    <col min="77" max="77" width="9.296875" style="168" hidden="1" customWidth="1"/>
    <col min="78" max="78" width="6.8984375" style="168" hidden="1" customWidth="1"/>
    <col min="79" max="79" width="9.296875" style="168" hidden="1" customWidth="1"/>
    <col min="80" max="80" width="6.8984375" style="168" hidden="1" customWidth="1"/>
    <col min="81" max="81" width="9.296875" style="168" hidden="1" customWidth="1"/>
    <col min="82" max="82" width="4.69921875" style="168" hidden="1" customWidth="1"/>
    <col min="83" max="83" width="3.09765625" style="168" hidden="1" customWidth="1"/>
    <col min="84" max="84" width="6.8984375" style="168" hidden="1" customWidth="1"/>
    <col min="85" max="85" width="9.296875" style="168" hidden="1" customWidth="1"/>
    <col min="86" max="86" width="6.8984375" style="168" hidden="1" customWidth="1"/>
    <col min="87" max="87" width="9.296875" style="168" hidden="1" customWidth="1"/>
    <col min="88" max="88" width="6.8984375" style="168" hidden="1" customWidth="1"/>
    <col min="89" max="89" width="9.296875" style="168" hidden="1" customWidth="1"/>
    <col min="90" max="90" width="4.69921875" style="168" hidden="1" customWidth="1"/>
    <col min="91" max="91" width="3.09765625" style="168" customWidth="1"/>
    <col min="92" max="92" width="8.09765625" style="168" customWidth="1"/>
    <col min="93" max="93" width="9.296875" style="168" customWidth="1"/>
    <col min="94" max="94" width="7.69921875" style="168" customWidth="1"/>
    <col min="95" max="95" width="9.296875" style="168" customWidth="1"/>
    <col min="96" max="96" width="8.3984375" style="168" customWidth="1"/>
    <col min="97" max="97" width="9.296875" style="168" customWidth="1"/>
    <col min="98" max="98" width="4.69921875" style="168" customWidth="1"/>
    <col min="99" max="99" width="3.09765625" style="168" customWidth="1"/>
    <col min="100" max="100" width="9.296875" style="168" customWidth="1"/>
    <col min="101" max="101" width="10.796875" style="168" customWidth="1"/>
    <col min="102" max="102" width="8.09765625" style="168" customWidth="1"/>
    <col min="103" max="103" width="10.796875" style="168" customWidth="1"/>
    <col min="104" max="104" width="8.09765625" style="168" customWidth="1"/>
    <col min="105" max="105" width="10.796875" style="168" customWidth="1"/>
    <col min="106" max="106" width="4.69921875" style="168" customWidth="1"/>
    <col min="107" max="107" width="1.69921875" style="168" customWidth="1"/>
    <col min="108" max="108" width="3.09765625" style="168" customWidth="1"/>
    <col min="109" max="109" width="6.8984375" style="168" customWidth="1"/>
    <col min="110" max="110" width="9.296875" style="168" customWidth="1"/>
    <col min="111" max="111" width="6.8984375" style="168" customWidth="1"/>
    <col min="112" max="112" width="9.296875" style="168" customWidth="1"/>
    <col min="113" max="113" width="6.8984375" style="168" customWidth="1"/>
    <col min="114" max="114" width="9" style="168" customWidth="1"/>
    <col min="115" max="115" width="3.59765625" style="168" customWidth="1"/>
    <col min="116" max="116" width="3.09765625" style="168" customWidth="1"/>
    <col min="117" max="117" width="6.8984375" style="168" customWidth="1"/>
    <col min="118" max="118" width="9.296875" style="168" customWidth="1"/>
    <col min="119" max="119" width="6.8984375" style="168" customWidth="1"/>
    <col min="120" max="120" width="9.296875" style="168" customWidth="1"/>
    <col min="121" max="121" width="7.09765625" style="168" customWidth="1"/>
    <col min="122" max="122" width="9.296875" style="168" customWidth="1"/>
    <col min="123" max="123" width="4.69921875" style="168" customWidth="1"/>
    <col min="124" max="124" width="3.09765625" style="168" customWidth="1"/>
    <col min="125" max="125" width="6.8984375" style="168" customWidth="1"/>
    <col min="126" max="126" width="9.296875" style="168" customWidth="1"/>
    <col min="127" max="127" width="6.8984375" style="168" customWidth="1"/>
    <col min="128" max="128" width="9.296875" style="168" customWidth="1"/>
    <col min="129" max="129" width="6.8984375" style="168" customWidth="1"/>
    <col min="130" max="130" width="9.296875" style="168" customWidth="1"/>
    <col min="131" max="131" width="4.69921875" style="168" customWidth="1"/>
    <col min="132" max="132" width="3.09765625" style="168" customWidth="1"/>
    <col min="133" max="133" width="6.8984375" style="168" customWidth="1"/>
    <col min="134" max="134" width="9.296875" style="168" customWidth="1"/>
    <col min="135" max="135" width="6.8984375" style="168" customWidth="1"/>
    <col min="136" max="136" width="9.296875" style="168" customWidth="1"/>
    <col min="137" max="137" width="6.8984375" style="168" customWidth="1"/>
    <col min="138" max="138" width="9.296875" style="168" customWidth="1"/>
    <col min="139" max="139" width="4.69921875" style="168" bestFit="1" customWidth="1"/>
    <col min="140" max="140" width="3.09765625" style="168" bestFit="1" customWidth="1"/>
    <col min="141" max="141" width="6.8984375" style="168" bestFit="1" customWidth="1"/>
    <col min="142" max="142" width="9.19921875" style="168" bestFit="1" customWidth="1"/>
    <col min="143" max="143" width="6.8984375" style="168" bestFit="1" customWidth="1"/>
    <col min="144" max="144" width="9.19921875" style="168" bestFit="1" customWidth="1"/>
    <col min="145" max="145" width="9.09765625" style="168" bestFit="1" customWidth="1"/>
    <col min="146" max="146" width="9.19921875" style="168" bestFit="1" customWidth="1"/>
    <col min="147" max="147" width="5.09765625" style="168" bestFit="1" customWidth="1"/>
    <col min="148" max="148" width="3.09765625" style="168" bestFit="1" customWidth="1"/>
    <col min="149" max="149" width="6.8984375" style="168" bestFit="1" customWidth="1"/>
    <col min="150" max="150" width="9.19921875" style="168" bestFit="1" customWidth="1"/>
    <col min="151" max="151" width="6.8984375" style="168" bestFit="1" customWidth="1"/>
    <col min="152" max="152" width="9.19921875" style="168" bestFit="1" customWidth="1"/>
    <col min="153" max="153" width="6.8984375" style="168" bestFit="1" customWidth="1"/>
    <col min="154" max="154" width="9.19921875" style="168" bestFit="1" customWidth="1"/>
    <col min="155" max="155" width="4.69921875" style="168" bestFit="1" customWidth="1"/>
    <col min="156" max="156" width="3.09765625" style="168" bestFit="1" customWidth="1"/>
    <col min="157" max="157" width="6.8984375" style="168" bestFit="1" customWidth="1"/>
    <col min="158" max="158" width="9.19921875" style="168" bestFit="1" customWidth="1"/>
    <col min="159" max="159" width="6.8984375" style="168" bestFit="1" customWidth="1"/>
    <col min="160" max="160" width="9.19921875" style="168" bestFit="1" customWidth="1"/>
    <col min="161" max="161" width="6.8984375" style="168" bestFit="1" customWidth="1"/>
    <col min="162" max="162" width="9.19921875" style="168" bestFit="1" customWidth="1"/>
    <col min="163" max="163" width="4.69921875" style="168" bestFit="1" customWidth="1"/>
    <col min="164" max="164" width="3.09765625" style="168" bestFit="1" customWidth="1"/>
    <col min="165" max="165" width="6.8984375" style="168" bestFit="1" customWidth="1"/>
    <col min="166" max="166" width="9.19921875" style="168" bestFit="1" customWidth="1"/>
    <col min="167" max="167" width="6.8984375" style="168" bestFit="1" customWidth="1"/>
    <col min="168" max="168" width="9.19921875" style="168" bestFit="1" customWidth="1"/>
    <col min="169" max="169" width="6.8984375" style="168" bestFit="1" customWidth="1"/>
    <col min="170" max="170" width="9.19921875" style="168" bestFit="1" customWidth="1"/>
    <col min="171" max="171" width="4.69921875" style="168" bestFit="1" customWidth="1"/>
    <col min="172" max="172" width="3.09765625" style="168" bestFit="1" customWidth="1"/>
    <col min="173" max="173" width="6.8984375" style="168" bestFit="1" customWidth="1"/>
    <col min="174" max="174" width="9.19921875" style="168" bestFit="1" customWidth="1"/>
    <col min="175" max="175" width="6.8984375" style="168" bestFit="1" customWidth="1"/>
    <col min="176" max="176" width="9.19921875" style="168" bestFit="1" customWidth="1"/>
    <col min="177" max="177" width="7.5" style="168" bestFit="1" customWidth="1"/>
    <col min="178" max="178" width="9.19921875" style="168" bestFit="1" customWidth="1"/>
    <col min="179" max="179" width="5.296875" style="168" bestFit="1" customWidth="1"/>
    <col min="180" max="180" width="5.69921875" style="168" customWidth="1"/>
    <col min="181" max="181" width="8.09765625" style="168" bestFit="1" customWidth="1"/>
    <col min="182" max="182" width="10.796875" style="168" bestFit="1" customWidth="1"/>
    <col min="183" max="183" width="8.09765625" style="168" bestFit="1" customWidth="1"/>
    <col min="184" max="184" width="9.19921875" style="168" bestFit="1" customWidth="1"/>
    <col min="185" max="185" width="6.8984375" style="168" bestFit="1" customWidth="1"/>
    <col min="186" max="186" width="9.19921875" style="168" bestFit="1" customWidth="1"/>
    <col min="187" max="187" width="4.69921875" style="168" bestFit="1" customWidth="1"/>
    <col min="188" max="188" width="3.09765625" style="168" hidden="1" customWidth="1"/>
    <col min="189" max="194" width="4.796875" style="168" hidden="1" customWidth="1"/>
    <col min="195" max="195" width="7.8984375" style="168" hidden="1" customWidth="1"/>
    <col min="196" max="196" width="3.09765625" style="168" hidden="1" customWidth="1"/>
    <col min="197" max="202" width="4.796875" style="168" hidden="1" customWidth="1"/>
    <col min="203" max="203" width="7.8984375" style="168" hidden="1" customWidth="1"/>
    <col min="204" max="204" width="3.09765625" style="168" bestFit="1" customWidth="1"/>
    <col min="205" max="205" width="8.09765625" style="168" bestFit="1" customWidth="1"/>
    <col min="206" max="206" width="10.796875" style="168" bestFit="1" customWidth="1"/>
    <col min="207" max="207" width="8.09765625" style="168" bestFit="1" customWidth="1"/>
    <col min="208" max="208" width="10.796875" style="168" bestFit="1" customWidth="1"/>
    <col min="209" max="209" width="8.09765625" style="168" bestFit="1" customWidth="1"/>
    <col min="210" max="210" width="10.796875" style="168" bestFit="1" customWidth="1"/>
    <col min="211" max="211" width="4.69921875" style="168" bestFit="1" customWidth="1"/>
    <col min="212" max="212" width="8.796875" style="168"/>
    <col min="213" max="213" width="10.09765625" style="168" bestFit="1" customWidth="1"/>
    <col min="214" max="16384" width="8.796875" style="168"/>
  </cols>
  <sheetData>
    <row r="2" spans="1:214" ht="14" customHeight="1" x14ac:dyDescent="0.3">
      <c r="A2" s="6862" t="s">
        <v>0</v>
      </c>
      <c r="B2" s="6864" t="s">
        <v>174</v>
      </c>
      <c r="C2" s="6809" t="s">
        <v>471</v>
      </c>
      <c r="D2" s="6810"/>
      <c r="E2" s="6810"/>
      <c r="F2" s="6810"/>
      <c r="G2" s="6810"/>
      <c r="H2" s="6810"/>
      <c r="I2" s="6810"/>
      <c r="J2" s="6811"/>
      <c r="K2" s="6809" t="s">
        <v>472</v>
      </c>
      <c r="L2" s="6810"/>
      <c r="M2" s="6810"/>
      <c r="N2" s="6810"/>
      <c r="O2" s="6810"/>
      <c r="P2" s="6810"/>
      <c r="Q2" s="6810"/>
      <c r="R2" s="6811"/>
      <c r="S2" s="6810" t="s">
        <v>592</v>
      </c>
      <c r="T2" s="6810"/>
      <c r="U2" s="6810"/>
      <c r="V2" s="6810"/>
      <c r="W2" s="6810"/>
      <c r="X2" s="6810"/>
      <c r="Y2" s="6810"/>
      <c r="Z2" s="6810"/>
      <c r="AA2" s="6809" t="s">
        <v>593</v>
      </c>
      <c r="AB2" s="6810"/>
      <c r="AC2" s="6810"/>
      <c r="AD2" s="6810"/>
      <c r="AE2" s="6810"/>
      <c r="AF2" s="6810"/>
      <c r="AG2" s="6810"/>
      <c r="AH2" s="6811"/>
      <c r="AI2" s="6809" t="s">
        <v>594</v>
      </c>
      <c r="AJ2" s="6810"/>
      <c r="AK2" s="6810"/>
      <c r="AL2" s="6810"/>
      <c r="AM2" s="6810"/>
      <c r="AN2" s="6810"/>
      <c r="AO2" s="6810"/>
      <c r="AP2" s="6811"/>
      <c r="AQ2" s="6809" t="s">
        <v>595</v>
      </c>
      <c r="AR2" s="6810"/>
      <c r="AS2" s="6810"/>
      <c r="AT2" s="6810"/>
      <c r="AU2" s="6810"/>
      <c r="AV2" s="6810"/>
      <c r="AW2" s="6810"/>
      <c r="AX2" s="6810"/>
      <c r="AY2" s="6809" t="s">
        <v>609</v>
      </c>
      <c r="AZ2" s="6810"/>
      <c r="BA2" s="6810"/>
      <c r="BB2" s="6810"/>
      <c r="BC2" s="6810"/>
      <c r="BD2" s="6810"/>
      <c r="BE2" s="6810"/>
      <c r="BF2" s="6811"/>
      <c r="BG2" s="6809" t="s">
        <v>610</v>
      </c>
      <c r="BH2" s="6810"/>
      <c r="BI2" s="6810"/>
      <c r="BJ2" s="6810"/>
      <c r="BK2" s="6810"/>
      <c r="BL2" s="6810"/>
      <c r="BM2" s="6810"/>
      <c r="BN2" s="6811"/>
      <c r="BO2" s="6809" t="s">
        <v>611</v>
      </c>
      <c r="BP2" s="6810"/>
      <c r="BQ2" s="6810"/>
      <c r="BR2" s="6810"/>
      <c r="BS2" s="6810"/>
      <c r="BT2" s="6810"/>
      <c r="BU2" s="6810"/>
      <c r="BV2" s="6810"/>
      <c r="BW2" s="6809" t="s">
        <v>612</v>
      </c>
      <c r="BX2" s="6810"/>
      <c r="BY2" s="6810"/>
      <c r="BZ2" s="6810"/>
      <c r="CA2" s="6810"/>
      <c r="CB2" s="6810"/>
      <c r="CC2" s="6810"/>
      <c r="CD2" s="6811"/>
      <c r="CE2" s="6809" t="s">
        <v>636</v>
      </c>
      <c r="CF2" s="6810"/>
      <c r="CG2" s="6810"/>
      <c r="CH2" s="6810"/>
      <c r="CI2" s="6810"/>
      <c r="CJ2" s="6810"/>
      <c r="CK2" s="6810"/>
      <c r="CL2" s="6810"/>
      <c r="CM2" s="6809" t="s">
        <v>191</v>
      </c>
      <c r="CN2" s="6810"/>
      <c r="CO2" s="6810"/>
      <c r="CP2" s="6810"/>
      <c r="CQ2" s="6810"/>
      <c r="CR2" s="6810"/>
      <c r="CS2" s="6810"/>
      <c r="CT2" s="6811"/>
      <c r="CU2" s="6869" t="s">
        <v>453</v>
      </c>
      <c r="CV2" s="6870"/>
      <c r="CW2" s="6870"/>
      <c r="CX2" s="6870"/>
      <c r="CY2" s="6870"/>
      <c r="CZ2" s="6870"/>
      <c r="DA2" s="6870"/>
      <c r="DB2" s="6871"/>
      <c r="DC2" s="4399"/>
      <c r="DD2" s="6809" t="s">
        <v>670</v>
      </c>
      <c r="DE2" s="6810"/>
      <c r="DF2" s="6810"/>
      <c r="DG2" s="6810"/>
      <c r="DH2" s="6810"/>
      <c r="DI2" s="6810"/>
      <c r="DJ2" s="6810"/>
      <c r="DK2" s="6811"/>
      <c r="DL2" s="6809" t="s">
        <v>671</v>
      </c>
      <c r="DM2" s="6810"/>
      <c r="DN2" s="6810"/>
      <c r="DO2" s="6810"/>
      <c r="DP2" s="6810"/>
      <c r="DQ2" s="6810"/>
      <c r="DR2" s="6810"/>
      <c r="DS2" s="6811"/>
      <c r="DT2" s="6810" t="s">
        <v>967</v>
      </c>
      <c r="DU2" s="6810"/>
      <c r="DV2" s="6810"/>
      <c r="DW2" s="6810"/>
      <c r="DX2" s="6810"/>
      <c r="DY2" s="6810"/>
      <c r="DZ2" s="6810"/>
      <c r="EA2" s="6810"/>
      <c r="EB2" s="6809" t="s">
        <v>969</v>
      </c>
      <c r="EC2" s="6810"/>
      <c r="ED2" s="6810"/>
      <c r="EE2" s="6810"/>
      <c r="EF2" s="6810"/>
      <c r="EG2" s="6810"/>
      <c r="EH2" s="6810"/>
      <c r="EI2" s="6811"/>
      <c r="EJ2" s="6809" t="s">
        <v>1010</v>
      </c>
      <c r="EK2" s="6810"/>
      <c r="EL2" s="6810"/>
      <c r="EM2" s="6810"/>
      <c r="EN2" s="6810"/>
      <c r="EO2" s="6810"/>
      <c r="EP2" s="6810"/>
      <c r="EQ2" s="6811"/>
      <c r="ER2" s="6809" t="s">
        <v>1070</v>
      </c>
      <c r="ES2" s="6810"/>
      <c r="ET2" s="6810"/>
      <c r="EU2" s="6810"/>
      <c r="EV2" s="6810"/>
      <c r="EW2" s="6810"/>
      <c r="EX2" s="6810"/>
      <c r="EY2" s="6810"/>
      <c r="EZ2" s="6809" t="s">
        <v>1071</v>
      </c>
      <c r="FA2" s="6810"/>
      <c r="FB2" s="6810"/>
      <c r="FC2" s="6810"/>
      <c r="FD2" s="6810"/>
      <c r="FE2" s="6810"/>
      <c r="FF2" s="6810"/>
      <c r="FG2" s="6811"/>
      <c r="FH2" s="6809" t="s">
        <v>1072</v>
      </c>
      <c r="FI2" s="6810"/>
      <c r="FJ2" s="6810"/>
      <c r="FK2" s="6810"/>
      <c r="FL2" s="6810"/>
      <c r="FM2" s="6810"/>
      <c r="FN2" s="6810"/>
      <c r="FO2" s="6811"/>
      <c r="FP2" s="6809" t="s">
        <v>1073</v>
      </c>
      <c r="FQ2" s="6810"/>
      <c r="FR2" s="6810"/>
      <c r="FS2" s="6810"/>
      <c r="FT2" s="6810"/>
      <c r="FU2" s="6810"/>
      <c r="FV2" s="6810"/>
      <c r="FW2" s="6810"/>
      <c r="FX2" s="6809" t="s">
        <v>1074</v>
      </c>
      <c r="FY2" s="6810"/>
      <c r="FZ2" s="6810"/>
      <c r="GA2" s="6810"/>
      <c r="GB2" s="6810"/>
      <c r="GC2" s="6810"/>
      <c r="GD2" s="6810"/>
      <c r="GE2" s="6811"/>
      <c r="GF2" s="6809" t="s">
        <v>1075</v>
      </c>
      <c r="GG2" s="6810"/>
      <c r="GH2" s="6810"/>
      <c r="GI2" s="6810"/>
      <c r="GJ2" s="6810"/>
      <c r="GK2" s="6810"/>
      <c r="GL2" s="6810"/>
      <c r="GM2" s="6810"/>
      <c r="GN2" s="6809" t="s">
        <v>667</v>
      </c>
      <c r="GO2" s="6810"/>
      <c r="GP2" s="6810"/>
      <c r="GQ2" s="6810"/>
      <c r="GR2" s="6810"/>
      <c r="GS2" s="6810"/>
      <c r="GT2" s="6810"/>
      <c r="GU2" s="6811"/>
      <c r="GV2" s="6872" t="s">
        <v>998</v>
      </c>
      <c r="GW2" s="6873"/>
      <c r="GX2" s="6873"/>
      <c r="GY2" s="6873"/>
      <c r="GZ2" s="6873"/>
      <c r="HA2" s="6873"/>
      <c r="HB2" s="6873"/>
      <c r="HC2" s="6874"/>
    </row>
    <row r="3" spans="1:214" ht="14" customHeight="1" x14ac:dyDescent="0.3">
      <c r="A3" s="6863"/>
      <c r="B3" s="6865"/>
      <c r="C3" s="4276" t="s">
        <v>5</v>
      </c>
      <c r="D3" s="6812" t="s">
        <v>6</v>
      </c>
      <c r="E3" s="6812"/>
      <c r="F3" s="6867" t="s">
        <v>51</v>
      </c>
      <c r="G3" s="6868"/>
      <c r="H3" s="6815" t="s">
        <v>8</v>
      </c>
      <c r="I3" s="6815"/>
      <c r="J3" s="4278" t="s">
        <v>9</v>
      </c>
      <c r="K3" s="4276" t="s">
        <v>5</v>
      </c>
      <c r="L3" s="6812" t="s">
        <v>6</v>
      </c>
      <c r="M3" s="6812"/>
      <c r="N3" s="6813" t="s">
        <v>51</v>
      </c>
      <c r="O3" s="6814"/>
      <c r="P3" s="6815" t="s">
        <v>8</v>
      </c>
      <c r="Q3" s="6815"/>
      <c r="R3" s="4278" t="s">
        <v>9</v>
      </c>
      <c r="S3" s="6530" t="s">
        <v>5</v>
      </c>
      <c r="T3" s="6812" t="s">
        <v>6</v>
      </c>
      <c r="U3" s="6812"/>
      <c r="V3" s="6812" t="s">
        <v>7</v>
      </c>
      <c r="W3" s="6812"/>
      <c r="X3" s="6815" t="s">
        <v>8</v>
      </c>
      <c r="Y3" s="6815"/>
      <c r="Z3" s="4279" t="s">
        <v>9</v>
      </c>
      <c r="AA3" s="4276" t="s">
        <v>5</v>
      </c>
      <c r="AB3" s="6812" t="s">
        <v>6</v>
      </c>
      <c r="AC3" s="6812"/>
      <c r="AD3" s="6812" t="s">
        <v>7</v>
      </c>
      <c r="AE3" s="6812"/>
      <c r="AF3" s="6815" t="s">
        <v>8</v>
      </c>
      <c r="AG3" s="6815"/>
      <c r="AH3" s="4278" t="s">
        <v>9</v>
      </c>
      <c r="AI3" s="4276" t="s">
        <v>5</v>
      </c>
      <c r="AJ3" s="6812" t="s">
        <v>6</v>
      </c>
      <c r="AK3" s="6812"/>
      <c r="AL3" s="6812" t="s">
        <v>7</v>
      </c>
      <c r="AM3" s="6812"/>
      <c r="AN3" s="6815" t="s">
        <v>8</v>
      </c>
      <c r="AO3" s="6815"/>
      <c r="AP3" s="4278" t="s">
        <v>9</v>
      </c>
      <c r="AQ3" s="6530" t="s">
        <v>5</v>
      </c>
      <c r="AR3" s="6812" t="s">
        <v>6</v>
      </c>
      <c r="AS3" s="6812"/>
      <c r="AT3" s="6812" t="s">
        <v>7</v>
      </c>
      <c r="AU3" s="6812"/>
      <c r="AV3" s="6815" t="s">
        <v>8</v>
      </c>
      <c r="AW3" s="6815"/>
      <c r="AX3" s="4279" t="s">
        <v>9</v>
      </c>
      <c r="AY3" s="4276" t="s">
        <v>5</v>
      </c>
      <c r="AZ3" s="6812" t="s">
        <v>6</v>
      </c>
      <c r="BA3" s="6812"/>
      <c r="BB3" s="6867" t="s">
        <v>136</v>
      </c>
      <c r="BC3" s="6868"/>
      <c r="BD3" s="6815" t="s">
        <v>8</v>
      </c>
      <c r="BE3" s="6815"/>
      <c r="BF3" s="4278" t="s">
        <v>9</v>
      </c>
      <c r="BG3" s="4276" t="s">
        <v>5</v>
      </c>
      <c r="BH3" s="6812" t="s">
        <v>6</v>
      </c>
      <c r="BI3" s="6812"/>
      <c r="BJ3" s="6867" t="s">
        <v>136</v>
      </c>
      <c r="BK3" s="6868"/>
      <c r="BL3" s="6815" t="s">
        <v>8</v>
      </c>
      <c r="BM3" s="6815"/>
      <c r="BN3" s="4278" t="s">
        <v>9</v>
      </c>
      <c r="BO3" s="4276" t="s">
        <v>5</v>
      </c>
      <c r="BP3" s="6812" t="s">
        <v>6</v>
      </c>
      <c r="BQ3" s="6812"/>
      <c r="BR3" s="6813" t="s">
        <v>136</v>
      </c>
      <c r="BS3" s="6814"/>
      <c r="BT3" s="6815" t="s">
        <v>8</v>
      </c>
      <c r="BU3" s="6815"/>
      <c r="BV3" s="4279" t="s">
        <v>9</v>
      </c>
      <c r="BW3" s="4276" t="s">
        <v>5</v>
      </c>
      <c r="BX3" s="6812" t="s">
        <v>6</v>
      </c>
      <c r="BY3" s="6812"/>
      <c r="BZ3" s="6813" t="s">
        <v>136</v>
      </c>
      <c r="CA3" s="6814"/>
      <c r="CB3" s="6815" t="s">
        <v>8</v>
      </c>
      <c r="CC3" s="6815"/>
      <c r="CD3" s="4278" t="s">
        <v>9</v>
      </c>
      <c r="CE3" s="4276" t="s">
        <v>5</v>
      </c>
      <c r="CF3" s="6812" t="s">
        <v>6</v>
      </c>
      <c r="CG3" s="6812"/>
      <c r="CH3" s="6813" t="s">
        <v>136</v>
      </c>
      <c r="CI3" s="6814"/>
      <c r="CJ3" s="6815" t="s">
        <v>8</v>
      </c>
      <c r="CK3" s="6815"/>
      <c r="CL3" s="4279" t="s">
        <v>9</v>
      </c>
      <c r="CM3" s="4276" t="s">
        <v>5</v>
      </c>
      <c r="CN3" s="6812" t="s">
        <v>6</v>
      </c>
      <c r="CO3" s="6812"/>
      <c r="CP3" s="6813" t="s">
        <v>136</v>
      </c>
      <c r="CQ3" s="6814"/>
      <c r="CR3" s="6815" t="s">
        <v>8</v>
      </c>
      <c r="CS3" s="6815"/>
      <c r="CT3" s="4278" t="s">
        <v>9</v>
      </c>
      <c r="CU3" s="4276" t="s">
        <v>5</v>
      </c>
      <c r="CV3" s="6812" t="s">
        <v>6</v>
      </c>
      <c r="CW3" s="6812"/>
      <c r="CX3" s="6813" t="s">
        <v>7</v>
      </c>
      <c r="CY3" s="6814"/>
      <c r="CZ3" s="6815" t="s">
        <v>8</v>
      </c>
      <c r="DA3" s="6815"/>
      <c r="DB3" s="4278" t="s">
        <v>9</v>
      </c>
      <c r="DC3" s="4399"/>
      <c r="DD3" s="4276" t="s">
        <v>5</v>
      </c>
      <c r="DE3" s="6812" t="s">
        <v>6</v>
      </c>
      <c r="DF3" s="6812"/>
      <c r="DG3" s="6813" t="s">
        <v>51</v>
      </c>
      <c r="DH3" s="6868"/>
      <c r="DI3" s="6815" t="s">
        <v>8</v>
      </c>
      <c r="DJ3" s="6815"/>
      <c r="DK3" s="4278" t="s">
        <v>9</v>
      </c>
      <c r="DL3" s="4276" t="s">
        <v>5</v>
      </c>
      <c r="DM3" s="6812" t="s">
        <v>6</v>
      </c>
      <c r="DN3" s="6812"/>
      <c r="DO3" s="6813" t="s">
        <v>51</v>
      </c>
      <c r="DP3" s="6814"/>
      <c r="DQ3" s="6815" t="s">
        <v>8</v>
      </c>
      <c r="DR3" s="6815"/>
      <c r="DS3" s="4278" t="s">
        <v>9</v>
      </c>
      <c r="DT3" s="6530" t="s">
        <v>5</v>
      </c>
      <c r="DU3" s="6812" t="s">
        <v>6</v>
      </c>
      <c r="DV3" s="6812"/>
      <c r="DW3" s="6813" t="s">
        <v>7</v>
      </c>
      <c r="DX3" s="6814"/>
      <c r="DY3" s="6815" t="s">
        <v>8</v>
      </c>
      <c r="DZ3" s="6815"/>
      <c r="EA3" s="4279" t="s">
        <v>9</v>
      </c>
      <c r="EB3" s="4276" t="s">
        <v>5</v>
      </c>
      <c r="EC3" s="6812" t="s">
        <v>6</v>
      </c>
      <c r="ED3" s="6812"/>
      <c r="EE3" s="6813" t="s">
        <v>7</v>
      </c>
      <c r="EF3" s="6814"/>
      <c r="EG3" s="6815" t="s">
        <v>8</v>
      </c>
      <c r="EH3" s="6815"/>
      <c r="EI3" s="4278" t="s">
        <v>9</v>
      </c>
      <c r="EJ3" s="4276" t="s">
        <v>5</v>
      </c>
      <c r="EK3" s="6812" t="s">
        <v>6</v>
      </c>
      <c r="EL3" s="6812"/>
      <c r="EM3" s="6813" t="s">
        <v>7</v>
      </c>
      <c r="EN3" s="6814"/>
      <c r="EO3" s="6815" t="s">
        <v>8</v>
      </c>
      <c r="EP3" s="6815"/>
      <c r="EQ3" s="4278" t="s">
        <v>9</v>
      </c>
      <c r="ER3" s="6530" t="s">
        <v>5</v>
      </c>
      <c r="ES3" s="6812" t="s">
        <v>6</v>
      </c>
      <c r="ET3" s="6812"/>
      <c r="EU3" s="6813" t="s">
        <v>7</v>
      </c>
      <c r="EV3" s="6814"/>
      <c r="EW3" s="6815" t="s">
        <v>8</v>
      </c>
      <c r="EX3" s="6815"/>
      <c r="EY3" s="4279" t="s">
        <v>9</v>
      </c>
      <c r="EZ3" s="4276" t="s">
        <v>5</v>
      </c>
      <c r="FA3" s="6812" t="s">
        <v>6</v>
      </c>
      <c r="FB3" s="6812"/>
      <c r="FC3" s="6867" t="s">
        <v>136</v>
      </c>
      <c r="FD3" s="6868"/>
      <c r="FE3" s="6815" t="s">
        <v>8</v>
      </c>
      <c r="FF3" s="6815"/>
      <c r="FG3" s="4278" t="s">
        <v>9</v>
      </c>
      <c r="FH3" s="4276" t="s">
        <v>5</v>
      </c>
      <c r="FI3" s="6812" t="s">
        <v>6</v>
      </c>
      <c r="FJ3" s="6812"/>
      <c r="FK3" s="6867" t="s">
        <v>136</v>
      </c>
      <c r="FL3" s="6868"/>
      <c r="FM3" s="6815" t="s">
        <v>8</v>
      </c>
      <c r="FN3" s="6815"/>
      <c r="FO3" s="4278" t="s">
        <v>9</v>
      </c>
      <c r="FP3" s="4276" t="s">
        <v>5</v>
      </c>
      <c r="FQ3" s="6812" t="s">
        <v>6</v>
      </c>
      <c r="FR3" s="6812"/>
      <c r="FS3" s="6813" t="s">
        <v>136</v>
      </c>
      <c r="FT3" s="6814"/>
      <c r="FU3" s="6815" t="s">
        <v>8</v>
      </c>
      <c r="FV3" s="6815"/>
      <c r="FW3" s="4279" t="s">
        <v>9</v>
      </c>
      <c r="FX3" s="4276" t="s">
        <v>5</v>
      </c>
      <c r="FY3" s="6812" t="s">
        <v>6</v>
      </c>
      <c r="FZ3" s="6812"/>
      <c r="GA3" s="6813" t="s">
        <v>136</v>
      </c>
      <c r="GB3" s="6814"/>
      <c r="GC3" s="6815" t="s">
        <v>8</v>
      </c>
      <c r="GD3" s="6815"/>
      <c r="GE3" s="4278" t="s">
        <v>9</v>
      </c>
      <c r="GF3" s="4276" t="s">
        <v>5</v>
      </c>
      <c r="GG3" s="6812" t="s">
        <v>6</v>
      </c>
      <c r="GH3" s="6812"/>
      <c r="GI3" s="6813" t="s">
        <v>136</v>
      </c>
      <c r="GJ3" s="6814"/>
      <c r="GK3" s="6815" t="s">
        <v>8</v>
      </c>
      <c r="GL3" s="6815"/>
      <c r="GM3" s="4279" t="s">
        <v>9</v>
      </c>
      <c r="GN3" s="4276" t="s">
        <v>5</v>
      </c>
      <c r="GO3" s="6812" t="s">
        <v>6</v>
      </c>
      <c r="GP3" s="6812"/>
      <c r="GQ3" s="6813" t="s">
        <v>136</v>
      </c>
      <c r="GR3" s="6814"/>
      <c r="GS3" s="6815" t="s">
        <v>8</v>
      </c>
      <c r="GT3" s="6815"/>
      <c r="GU3" s="4278" t="s">
        <v>9</v>
      </c>
      <c r="GV3" s="4276" t="s">
        <v>5</v>
      </c>
      <c r="GW3" s="6812" t="s">
        <v>6</v>
      </c>
      <c r="GX3" s="6812"/>
      <c r="GY3" s="6813" t="s">
        <v>7</v>
      </c>
      <c r="GZ3" s="6814"/>
      <c r="HA3" s="6815" t="s">
        <v>8</v>
      </c>
      <c r="HB3" s="6815"/>
      <c r="HC3" s="4278" t="s">
        <v>9</v>
      </c>
    </row>
    <row r="4" spans="1:214" x14ac:dyDescent="0.3">
      <c r="A4" s="4280"/>
      <c r="B4" s="6866"/>
      <c r="C4" s="4280"/>
      <c r="D4" s="4281" t="s">
        <v>596</v>
      </c>
      <c r="E4" s="4142" t="s">
        <v>11</v>
      </c>
      <c r="F4" s="4281" t="s">
        <v>596</v>
      </c>
      <c r="G4" s="4377" t="s">
        <v>11</v>
      </c>
      <c r="H4" s="4281" t="s">
        <v>596</v>
      </c>
      <c r="I4" s="4283" t="s">
        <v>11</v>
      </c>
      <c r="J4" s="4829"/>
      <c r="K4" s="4280"/>
      <c r="L4" s="4281" t="s">
        <v>596</v>
      </c>
      <c r="M4" s="4142" t="s">
        <v>11</v>
      </c>
      <c r="N4" s="4281" t="s">
        <v>596</v>
      </c>
      <c r="O4" s="4282" t="s">
        <v>11</v>
      </c>
      <c r="P4" s="4281" t="s">
        <v>596</v>
      </c>
      <c r="Q4" s="4283" t="s">
        <v>11</v>
      </c>
      <c r="R4" s="4829"/>
      <c r="S4" s="4286"/>
      <c r="T4" s="4281" t="s">
        <v>596</v>
      </c>
      <c r="U4" s="4142" t="s">
        <v>11</v>
      </c>
      <c r="V4" s="4281" t="s">
        <v>596</v>
      </c>
      <c r="W4" s="4142" t="s">
        <v>11</v>
      </c>
      <c r="X4" s="4281" t="s">
        <v>596</v>
      </c>
      <c r="Y4" s="4283" t="s">
        <v>11</v>
      </c>
      <c r="Z4" s="4287"/>
      <c r="AA4" s="4280"/>
      <c r="AB4" s="4281" t="s">
        <v>596</v>
      </c>
      <c r="AC4" s="4142" t="s">
        <v>11</v>
      </c>
      <c r="AD4" s="4281" t="s">
        <v>596</v>
      </c>
      <c r="AE4" s="4142" t="s">
        <v>11</v>
      </c>
      <c r="AF4" s="4281" t="s">
        <v>596</v>
      </c>
      <c r="AG4" s="4283" t="s">
        <v>11</v>
      </c>
      <c r="AH4" s="4829"/>
      <c r="AI4" s="4280"/>
      <c r="AJ4" s="4281" t="s">
        <v>596</v>
      </c>
      <c r="AK4" s="4142" t="s">
        <v>11</v>
      </c>
      <c r="AL4" s="4281" t="s">
        <v>596</v>
      </c>
      <c r="AM4" s="4142" t="s">
        <v>11</v>
      </c>
      <c r="AN4" s="4281" t="s">
        <v>596</v>
      </c>
      <c r="AO4" s="4283" t="s">
        <v>11</v>
      </c>
      <c r="AP4" s="4829"/>
      <c r="AQ4" s="4286"/>
      <c r="AR4" s="4281" t="s">
        <v>10</v>
      </c>
      <c r="AS4" s="4142" t="s">
        <v>11</v>
      </c>
      <c r="AT4" s="4281" t="s">
        <v>10</v>
      </c>
      <c r="AU4" s="4142" t="s">
        <v>11</v>
      </c>
      <c r="AV4" s="4281" t="s">
        <v>596</v>
      </c>
      <c r="AW4" s="4283" t="s">
        <v>11</v>
      </c>
      <c r="AX4" s="4287"/>
      <c r="AY4" s="4280"/>
      <c r="AZ4" s="4281" t="s">
        <v>10</v>
      </c>
      <c r="BA4" s="4142" t="s">
        <v>11</v>
      </c>
      <c r="BB4" s="4376" t="s">
        <v>10</v>
      </c>
      <c r="BC4" s="4377" t="s">
        <v>11</v>
      </c>
      <c r="BD4" s="4281" t="s">
        <v>596</v>
      </c>
      <c r="BE4" s="4283" t="s">
        <v>11</v>
      </c>
      <c r="BF4" s="4829"/>
      <c r="BG4" s="4280"/>
      <c r="BH4" s="4281" t="s">
        <v>10</v>
      </c>
      <c r="BI4" s="4142" t="s">
        <v>11</v>
      </c>
      <c r="BJ4" s="4376" t="s">
        <v>10</v>
      </c>
      <c r="BK4" s="4377" t="s">
        <v>11</v>
      </c>
      <c r="BL4" s="4281" t="s">
        <v>596</v>
      </c>
      <c r="BM4" s="4283" t="s">
        <v>11</v>
      </c>
      <c r="BN4" s="4829"/>
      <c r="BO4" s="4280"/>
      <c r="BP4" s="4281" t="s">
        <v>10</v>
      </c>
      <c r="BQ4" s="4142" t="s">
        <v>11</v>
      </c>
      <c r="BR4" s="4285" t="s">
        <v>10</v>
      </c>
      <c r="BS4" s="4282" t="s">
        <v>11</v>
      </c>
      <c r="BT4" s="4281" t="s">
        <v>596</v>
      </c>
      <c r="BU4" s="4283" t="s">
        <v>11</v>
      </c>
      <c r="BV4" s="4287"/>
      <c r="BW4" s="4280"/>
      <c r="BX4" s="4281" t="s">
        <v>10</v>
      </c>
      <c r="BY4" s="4142" t="s">
        <v>11</v>
      </c>
      <c r="BZ4" s="4285" t="s">
        <v>10</v>
      </c>
      <c r="CA4" s="4282" t="s">
        <v>11</v>
      </c>
      <c r="CB4" s="4281" t="s">
        <v>596</v>
      </c>
      <c r="CC4" s="4283" t="s">
        <v>11</v>
      </c>
      <c r="CD4" s="4829"/>
      <c r="CE4" s="4280"/>
      <c r="CF4" s="4281" t="s">
        <v>10</v>
      </c>
      <c r="CG4" s="4142" t="s">
        <v>11</v>
      </c>
      <c r="CH4" s="4285" t="s">
        <v>10</v>
      </c>
      <c r="CI4" s="4282" t="s">
        <v>11</v>
      </c>
      <c r="CJ4" s="4281" t="s">
        <v>596</v>
      </c>
      <c r="CK4" s="4283" t="s">
        <v>11</v>
      </c>
      <c r="CL4" s="4287"/>
      <c r="CM4" s="4280"/>
      <c r="CN4" s="4281" t="s">
        <v>10</v>
      </c>
      <c r="CO4" s="4142" t="s">
        <v>11</v>
      </c>
      <c r="CP4" s="4285" t="s">
        <v>10</v>
      </c>
      <c r="CQ4" s="4282" t="s">
        <v>11</v>
      </c>
      <c r="CR4" s="4281" t="s">
        <v>596</v>
      </c>
      <c r="CS4" s="4283" t="s">
        <v>11</v>
      </c>
      <c r="CT4" s="4829"/>
      <c r="CU4" s="4280"/>
      <c r="CV4" s="4281" t="s">
        <v>10</v>
      </c>
      <c r="CW4" s="4142" t="s">
        <v>11</v>
      </c>
      <c r="CX4" s="4285" t="s">
        <v>10</v>
      </c>
      <c r="CY4" s="4282" t="s">
        <v>11</v>
      </c>
      <c r="CZ4" s="4281" t="s">
        <v>10</v>
      </c>
      <c r="DA4" s="4142" t="s">
        <v>11</v>
      </c>
      <c r="DB4" s="4829"/>
      <c r="DC4" s="4399"/>
      <c r="DD4" s="4280"/>
      <c r="DE4" s="4281" t="s">
        <v>596</v>
      </c>
      <c r="DF4" s="4142" t="s">
        <v>11</v>
      </c>
      <c r="DG4" s="4285" t="s">
        <v>596</v>
      </c>
      <c r="DH4" s="4377" t="s">
        <v>11</v>
      </c>
      <c r="DI4" s="4281" t="s">
        <v>596</v>
      </c>
      <c r="DJ4" s="4283" t="s">
        <v>11</v>
      </c>
      <c r="DK4" s="4829"/>
      <c r="DL4" s="4280"/>
      <c r="DM4" s="4281" t="s">
        <v>596</v>
      </c>
      <c r="DN4" s="4142" t="s">
        <v>11</v>
      </c>
      <c r="DO4" s="4285" t="s">
        <v>596</v>
      </c>
      <c r="DP4" s="4282" t="s">
        <v>11</v>
      </c>
      <c r="DQ4" s="4281" t="s">
        <v>596</v>
      </c>
      <c r="DR4" s="4283" t="s">
        <v>11</v>
      </c>
      <c r="DS4" s="4829"/>
      <c r="DT4" s="4286"/>
      <c r="DU4" s="4281" t="s">
        <v>596</v>
      </c>
      <c r="DV4" s="4142" t="s">
        <v>11</v>
      </c>
      <c r="DW4" s="4285" t="s">
        <v>596</v>
      </c>
      <c r="DX4" s="4282" t="s">
        <v>11</v>
      </c>
      <c r="DY4" s="4281" t="s">
        <v>596</v>
      </c>
      <c r="DZ4" s="4283" t="s">
        <v>11</v>
      </c>
      <c r="EA4" s="4287"/>
      <c r="EB4" s="4280"/>
      <c r="EC4" s="4281" t="s">
        <v>596</v>
      </c>
      <c r="ED4" s="4142" t="s">
        <v>11</v>
      </c>
      <c r="EE4" s="4285" t="s">
        <v>596</v>
      </c>
      <c r="EF4" s="4282" t="s">
        <v>11</v>
      </c>
      <c r="EG4" s="4281" t="s">
        <v>596</v>
      </c>
      <c r="EH4" s="4283" t="s">
        <v>11</v>
      </c>
      <c r="EI4" s="4829"/>
      <c r="EJ4" s="4280"/>
      <c r="EK4" s="4281" t="s">
        <v>596</v>
      </c>
      <c r="EL4" s="4142" t="s">
        <v>11</v>
      </c>
      <c r="EM4" s="4285" t="s">
        <v>596</v>
      </c>
      <c r="EN4" s="4282" t="s">
        <v>11</v>
      </c>
      <c r="EO4" s="4281" t="s">
        <v>596</v>
      </c>
      <c r="EP4" s="4283" t="s">
        <v>11</v>
      </c>
      <c r="EQ4" s="4829"/>
      <c r="ER4" s="4286"/>
      <c r="ES4" s="4281" t="s">
        <v>10</v>
      </c>
      <c r="ET4" s="4142" t="s">
        <v>11</v>
      </c>
      <c r="EU4" s="4285" t="s">
        <v>10</v>
      </c>
      <c r="EV4" s="4282" t="s">
        <v>11</v>
      </c>
      <c r="EW4" s="4281" t="s">
        <v>596</v>
      </c>
      <c r="EX4" s="4283" t="s">
        <v>11</v>
      </c>
      <c r="EY4" s="4287"/>
      <c r="EZ4" s="4280"/>
      <c r="FA4" s="4281" t="s">
        <v>596</v>
      </c>
      <c r="FB4" s="4142" t="s">
        <v>11</v>
      </c>
      <c r="FC4" s="4376" t="s">
        <v>596</v>
      </c>
      <c r="FD4" s="4377" t="s">
        <v>11</v>
      </c>
      <c r="FE4" s="4281" t="s">
        <v>596</v>
      </c>
      <c r="FF4" s="4283" t="s">
        <v>11</v>
      </c>
      <c r="FG4" s="4829"/>
      <c r="FH4" s="4280"/>
      <c r="FI4" s="4281" t="s">
        <v>596</v>
      </c>
      <c r="FJ4" s="4142" t="s">
        <v>11</v>
      </c>
      <c r="FK4" s="4376" t="s">
        <v>596</v>
      </c>
      <c r="FL4" s="4377" t="s">
        <v>11</v>
      </c>
      <c r="FM4" s="4281" t="s">
        <v>596</v>
      </c>
      <c r="FN4" s="4283" t="s">
        <v>11</v>
      </c>
      <c r="FO4" s="4829"/>
      <c r="FP4" s="4280"/>
      <c r="FQ4" s="4281" t="s">
        <v>10</v>
      </c>
      <c r="FR4" s="4142" t="s">
        <v>11</v>
      </c>
      <c r="FS4" s="4285" t="s">
        <v>10</v>
      </c>
      <c r="FT4" s="4282" t="s">
        <v>11</v>
      </c>
      <c r="FU4" s="4281" t="s">
        <v>596</v>
      </c>
      <c r="FV4" s="4283" t="s">
        <v>11</v>
      </c>
      <c r="FW4" s="4287"/>
      <c r="FX4" s="4280"/>
      <c r="FY4" s="4281" t="s">
        <v>10</v>
      </c>
      <c r="FZ4" s="4142" t="s">
        <v>11</v>
      </c>
      <c r="GA4" s="4285" t="s">
        <v>10</v>
      </c>
      <c r="GB4" s="4282" t="s">
        <v>11</v>
      </c>
      <c r="GC4" s="4281" t="s">
        <v>596</v>
      </c>
      <c r="GD4" s="4283" t="s">
        <v>11</v>
      </c>
      <c r="GE4" s="4829"/>
      <c r="GF4" s="4280"/>
      <c r="GG4" s="4281" t="s">
        <v>10</v>
      </c>
      <c r="GH4" s="4142" t="s">
        <v>11</v>
      </c>
      <c r="GI4" s="4285" t="s">
        <v>10</v>
      </c>
      <c r="GJ4" s="4282" t="s">
        <v>11</v>
      </c>
      <c r="GK4" s="4281" t="s">
        <v>596</v>
      </c>
      <c r="GL4" s="4283" t="s">
        <v>11</v>
      </c>
      <c r="GM4" s="4287"/>
      <c r="GN4" s="4280"/>
      <c r="GO4" s="4281" t="s">
        <v>10</v>
      </c>
      <c r="GP4" s="4142" t="s">
        <v>11</v>
      </c>
      <c r="GQ4" s="4285" t="s">
        <v>10</v>
      </c>
      <c r="GR4" s="4282" t="s">
        <v>11</v>
      </c>
      <c r="GS4" s="4281" t="s">
        <v>596</v>
      </c>
      <c r="GT4" s="4283" t="s">
        <v>11</v>
      </c>
      <c r="GU4" s="4829"/>
      <c r="GV4" s="4280"/>
      <c r="GW4" s="4281" t="s">
        <v>10</v>
      </c>
      <c r="GX4" s="4142" t="s">
        <v>11</v>
      </c>
      <c r="GY4" s="4285" t="s">
        <v>10</v>
      </c>
      <c r="GZ4" s="4282" t="s">
        <v>11</v>
      </c>
      <c r="HA4" s="4281" t="s">
        <v>10</v>
      </c>
      <c r="HB4" s="4142" t="s">
        <v>11</v>
      </c>
      <c r="HC4" s="4829"/>
    </row>
    <row r="5" spans="1:214" s="4317" customFormat="1" ht="19.350000000000001" customHeight="1" x14ac:dyDescent="0.3">
      <c r="A5" s="4400"/>
      <c r="B5" s="4401"/>
      <c r="C5" s="4400"/>
      <c r="D5" s="4402"/>
      <c r="E5" s="4403"/>
      <c r="F5" s="4402"/>
      <c r="G5" s="4404"/>
      <c r="H5" s="4402"/>
      <c r="I5" s="4405"/>
      <c r="J5" s="4406"/>
      <c r="K5" s="4400"/>
      <c r="L5" s="4402"/>
      <c r="M5" s="4403"/>
      <c r="N5" s="4402"/>
      <c r="O5" s="4407"/>
      <c r="P5" s="4402"/>
      <c r="Q5" s="4405"/>
      <c r="R5" s="4406"/>
      <c r="S5" s="4408"/>
      <c r="T5" s="4402"/>
      <c r="U5" s="4403"/>
      <c r="V5" s="4402"/>
      <c r="W5" s="4403"/>
      <c r="X5" s="4402"/>
      <c r="Y5" s="4405"/>
      <c r="Z5" s="4409"/>
      <c r="AA5" s="4408"/>
      <c r="AB5" s="4402"/>
      <c r="AC5" s="4403"/>
      <c r="AD5" s="4402"/>
      <c r="AE5" s="4403"/>
      <c r="AF5" s="4402"/>
      <c r="AG5" s="4405"/>
      <c r="AH5" s="4406"/>
      <c r="AI5" s="4400"/>
      <c r="AJ5" s="4402"/>
      <c r="AK5" s="4403"/>
      <c r="AL5" s="4402"/>
      <c r="AM5" s="4403"/>
      <c r="AN5" s="4402"/>
      <c r="AO5" s="4405"/>
      <c r="AP5" s="4406"/>
      <c r="AQ5" s="4408"/>
      <c r="AR5" s="4402"/>
      <c r="AS5" s="4403"/>
      <c r="AT5" s="4402"/>
      <c r="AU5" s="4403"/>
      <c r="AV5" s="4402"/>
      <c r="AW5" s="4405"/>
      <c r="AX5" s="4409"/>
      <c r="AY5" s="4400"/>
      <c r="AZ5" s="4402"/>
      <c r="BA5" s="4403"/>
      <c r="BB5" s="4410"/>
      <c r="BC5" s="4404"/>
      <c r="BD5" s="4402"/>
      <c r="BE5" s="4405"/>
      <c r="BF5" s="4406"/>
      <c r="BG5" s="4400"/>
      <c r="BH5" s="4402"/>
      <c r="BI5" s="4403"/>
      <c r="BJ5" s="4410"/>
      <c r="BK5" s="4404"/>
      <c r="BL5" s="4402"/>
      <c r="BM5" s="4405"/>
      <c r="BN5" s="4406"/>
      <c r="BO5" s="4400"/>
      <c r="BP5" s="4402"/>
      <c r="BQ5" s="4403"/>
      <c r="BR5" s="4411"/>
      <c r="BS5" s="4407"/>
      <c r="BT5" s="4402"/>
      <c r="BU5" s="4405"/>
      <c r="BV5" s="4409"/>
      <c r="BW5" s="4400"/>
      <c r="BX5" s="4402"/>
      <c r="BY5" s="4403"/>
      <c r="BZ5" s="4411"/>
      <c r="CA5" s="4407"/>
      <c r="CB5" s="4402"/>
      <c r="CC5" s="4405"/>
      <c r="CD5" s="4406"/>
      <c r="CE5" s="4400"/>
      <c r="CF5" s="4402"/>
      <c r="CG5" s="4403"/>
      <c r="CH5" s="4411"/>
      <c r="CI5" s="4407"/>
      <c r="CJ5" s="4402"/>
      <c r="CK5" s="4405"/>
      <c r="CL5" s="4409"/>
      <c r="CM5" s="4400"/>
      <c r="CN5" s="4402"/>
      <c r="CO5" s="4403"/>
      <c r="CP5" s="4411"/>
      <c r="CQ5" s="4407"/>
      <c r="CR5" s="4402"/>
      <c r="CS5" s="4405"/>
      <c r="CT5" s="4406"/>
      <c r="CU5" s="4400"/>
      <c r="CV5" s="4402"/>
      <c r="CW5" s="4403"/>
      <c r="CX5" s="4411"/>
      <c r="CY5" s="4407"/>
      <c r="CZ5" s="4402"/>
      <c r="DA5" s="4403"/>
      <c r="DB5" s="4406"/>
      <c r="DD5" s="4400"/>
      <c r="DE5" s="4402"/>
      <c r="DF5" s="4403"/>
      <c r="DG5" s="4402"/>
      <c r="DH5" s="4404"/>
      <c r="DI5" s="4402"/>
      <c r="DJ5" s="4405"/>
      <c r="DK5" s="4406"/>
      <c r="DL5" s="4400"/>
      <c r="DM5" s="4402"/>
      <c r="DN5" s="4403"/>
      <c r="DO5" s="4411"/>
      <c r="DP5" s="4407"/>
      <c r="DQ5" s="4412"/>
      <c r="DR5" s="4405"/>
      <c r="DS5" s="4406"/>
      <c r="DT5" s="4408"/>
      <c r="DU5" s="4402"/>
      <c r="DV5" s="4403"/>
      <c r="DW5" s="4411"/>
      <c r="DX5" s="4407"/>
      <c r="DY5" s="4412"/>
      <c r="DZ5" s="4405"/>
      <c r="EA5" s="4409"/>
      <c r="EB5" s="4413"/>
      <c r="EC5" s="4402"/>
      <c r="ED5" s="4403"/>
      <c r="EE5" s="4411"/>
      <c r="EF5" s="4407"/>
      <c r="EG5" s="4402"/>
      <c r="EH5" s="4405"/>
      <c r="EI5" s="4406"/>
      <c r="EJ5" s="4408"/>
      <c r="EK5" s="4402"/>
      <c r="EL5" s="4403"/>
      <c r="EM5" s="4411"/>
      <c r="EN5" s="4407"/>
      <c r="EO5" s="4402"/>
      <c r="EP5" s="4405"/>
      <c r="EQ5" s="4406"/>
      <c r="ER5" s="4408"/>
      <c r="ES5" s="4402"/>
      <c r="ET5" s="4403"/>
      <c r="EU5" s="4411"/>
      <c r="EV5" s="4407"/>
      <c r="EW5" s="4402"/>
      <c r="EX5" s="4405"/>
      <c r="EY5" s="4409"/>
      <c r="EZ5" s="4400"/>
      <c r="FA5" s="4402"/>
      <c r="FB5" s="4403"/>
      <c r="FC5" s="4410"/>
      <c r="FD5" s="4404"/>
      <c r="FE5" s="4414"/>
      <c r="FF5" s="4405"/>
      <c r="FG5" s="4406"/>
      <c r="FH5" s="4400"/>
      <c r="FI5" s="4402"/>
      <c r="FJ5" s="4403"/>
      <c r="FK5" s="4410"/>
      <c r="FL5" s="4404"/>
      <c r="FM5" s="4414"/>
      <c r="FN5" s="4405"/>
      <c r="FO5" s="4406"/>
      <c r="FP5" s="4400"/>
      <c r="FQ5" s="4402"/>
      <c r="FR5" s="4403"/>
      <c r="FS5" s="4411"/>
      <c r="FT5" s="4407"/>
      <c r="FU5" s="4412"/>
      <c r="FV5" s="4405"/>
      <c r="FW5" s="4409"/>
      <c r="FX5" s="4400"/>
      <c r="FY5" s="4402"/>
      <c r="FZ5" s="4403"/>
      <c r="GA5" s="4411"/>
      <c r="GB5" s="4407"/>
      <c r="GC5" s="4412"/>
      <c r="GD5" s="4405"/>
      <c r="GE5" s="4406"/>
      <c r="GF5" s="4400"/>
      <c r="GG5" s="4402"/>
      <c r="GH5" s="4403"/>
      <c r="GI5" s="4411"/>
      <c r="GJ5" s="4407"/>
      <c r="GK5" s="4402"/>
      <c r="GL5" s="4405"/>
      <c r="GM5" s="4409"/>
      <c r="GN5" s="4400"/>
      <c r="GO5" s="4402"/>
      <c r="GP5" s="4403"/>
      <c r="GQ5" s="4411"/>
      <c r="GR5" s="4407"/>
      <c r="GS5" s="4402"/>
      <c r="GT5" s="4405"/>
      <c r="GU5" s="4406"/>
      <c r="GV5" s="4413"/>
      <c r="GW5" s="4402"/>
      <c r="GX5" s="4403"/>
      <c r="GY5" s="4411"/>
      <c r="GZ5" s="4407"/>
      <c r="HA5" s="4412"/>
      <c r="HB5" s="4403"/>
      <c r="HC5" s="4406"/>
    </row>
    <row r="6" spans="1:214" s="393" customFormat="1" ht="22.05" hidden="1" customHeight="1" x14ac:dyDescent="0.3">
      <c r="A6" s="5">
        <v>1</v>
      </c>
      <c r="B6" s="6" t="s">
        <v>110</v>
      </c>
      <c r="C6" s="11">
        <v>1</v>
      </c>
      <c r="D6" s="171">
        <v>7870</v>
      </c>
      <c r="E6" s="171">
        <f>D6*60</f>
        <v>472200</v>
      </c>
      <c r="F6" s="267">
        <f>4947+841</f>
        <v>5788</v>
      </c>
      <c r="G6" s="268">
        <f>F6*60</f>
        <v>347280</v>
      </c>
      <c r="H6" s="171">
        <f>D6-F6</f>
        <v>2082</v>
      </c>
      <c r="I6" s="171">
        <f>H6*60</f>
        <v>124920</v>
      </c>
      <c r="J6" s="10">
        <f>I6/E6</f>
        <v>0.26454891994917407</v>
      </c>
      <c r="K6" s="13">
        <v>1</v>
      </c>
      <c r="L6" s="14">
        <v>8432</v>
      </c>
      <c r="M6" s="171">
        <f>L6*60</f>
        <v>505920</v>
      </c>
      <c r="N6" s="245">
        <f>5300+901</f>
        <v>6201</v>
      </c>
      <c r="O6" s="176">
        <f>N6*60</f>
        <v>372060</v>
      </c>
      <c r="P6" s="269">
        <f>L6-N6</f>
        <v>2231</v>
      </c>
      <c r="Q6" s="171">
        <f>P6*60</f>
        <v>133860</v>
      </c>
      <c r="R6" s="10">
        <f>Q6/M6</f>
        <v>0.26458728652751423</v>
      </c>
      <c r="S6" s="13">
        <v>1</v>
      </c>
      <c r="T6" s="171">
        <v>8432</v>
      </c>
      <c r="U6" s="171">
        <f>T6*60</f>
        <v>505920</v>
      </c>
      <c r="V6" s="245">
        <f>5300+901</f>
        <v>6201</v>
      </c>
      <c r="W6" s="176">
        <f>V6*60</f>
        <v>372060</v>
      </c>
      <c r="X6" s="269">
        <f>T6-V6</f>
        <v>2231</v>
      </c>
      <c r="Y6" s="171">
        <f>X6*60</f>
        <v>133860</v>
      </c>
      <c r="Z6" s="10">
        <f>Y6/U6</f>
        <v>0.26458728652751423</v>
      </c>
      <c r="AA6" s="14">
        <v>1</v>
      </c>
      <c r="AB6" s="171">
        <v>8432</v>
      </c>
      <c r="AC6" s="171">
        <f>AB6*60</f>
        <v>505920</v>
      </c>
      <c r="AD6" s="852">
        <f>5300+901</f>
        <v>6201</v>
      </c>
      <c r="AE6" s="290">
        <f>AD6*60</f>
        <v>372060</v>
      </c>
      <c r="AF6" s="269">
        <f>AB6-AD6</f>
        <v>2231</v>
      </c>
      <c r="AG6" s="171">
        <f>AF6*60</f>
        <v>133860</v>
      </c>
      <c r="AH6" s="10">
        <f>AG6/AC6</f>
        <v>0.26458728652751423</v>
      </c>
      <c r="AI6" s="13">
        <v>1</v>
      </c>
      <c r="AJ6" s="171">
        <v>8432</v>
      </c>
      <c r="AK6" s="171">
        <f>AJ6*60</f>
        <v>505920</v>
      </c>
      <c r="AL6" s="171">
        <f>5300+901</f>
        <v>6201</v>
      </c>
      <c r="AM6" s="171">
        <f>AL6*60</f>
        <v>372060</v>
      </c>
      <c r="AN6" s="269">
        <f>AJ6-AL6</f>
        <v>2231</v>
      </c>
      <c r="AO6" s="171">
        <f>AN6*60</f>
        <v>133860</v>
      </c>
      <c r="AP6" s="10">
        <f>AO6/AK6</f>
        <v>0.26458728652751423</v>
      </c>
      <c r="AQ6" s="13">
        <v>1</v>
      </c>
      <c r="AR6" s="171">
        <v>8432</v>
      </c>
      <c r="AS6" s="171">
        <f>AR6*60</f>
        <v>505920</v>
      </c>
      <c r="AT6" s="171">
        <f>5300+901</f>
        <v>6201</v>
      </c>
      <c r="AU6" s="171">
        <f>AT6*60</f>
        <v>372060</v>
      </c>
      <c r="AV6" s="269">
        <f>AR6-AT6</f>
        <v>2231</v>
      </c>
      <c r="AW6" s="171">
        <f>AV6*60</f>
        <v>133860</v>
      </c>
      <c r="AX6" s="55">
        <f>AW6/AS6</f>
        <v>0.26458728652751423</v>
      </c>
      <c r="AY6" s="13">
        <v>1</v>
      </c>
      <c r="AZ6" s="171">
        <v>7884</v>
      </c>
      <c r="BA6" s="171">
        <f>AZ6*60</f>
        <v>473040</v>
      </c>
      <c r="BB6" s="267">
        <f>5300+901</f>
        <v>6201</v>
      </c>
      <c r="BC6" s="268">
        <f>BB6*60</f>
        <v>372060</v>
      </c>
      <c r="BD6" s="269">
        <f>AZ6-BB6</f>
        <v>1683</v>
      </c>
      <c r="BE6" s="171">
        <f>BD6*60</f>
        <v>100980</v>
      </c>
      <c r="BF6" s="10">
        <f>BE6/BA6</f>
        <v>0.2134703196347032</v>
      </c>
      <c r="BG6" s="13">
        <v>1</v>
      </c>
      <c r="BH6" s="171">
        <v>8432</v>
      </c>
      <c r="BI6" s="171">
        <f>BH6*60</f>
        <v>505920</v>
      </c>
      <c r="BJ6" s="267">
        <f>5300+901</f>
        <v>6201</v>
      </c>
      <c r="BK6" s="268">
        <f>BJ6*60</f>
        <v>372060</v>
      </c>
      <c r="BL6" s="269">
        <f>BH6-BJ6</f>
        <v>2231</v>
      </c>
      <c r="BM6" s="171">
        <f>BL6*60</f>
        <v>133860</v>
      </c>
      <c r="BN6" s="10">
        <f>BM6/BI6</f>
        <v>0.26458728652751423</v>
      </c>
      <c r="BO6" s="13">
        <v>1</v>
      </c>
      <c r="BP6" s="171">
        <v>6257</v>
      </c>
      <c r="BQ6" s="171">
        <f>BP6*60</f>
        <v>375420</v>
      </c>
      <c r="BR6" s="245">
        <f>5300+901</f>
        <v>6201</v>
      </c>
      <c r="BS6" s="176">
        <f>BR6*60</f>
        <v>372060</v>
      </c>
      <c r="BT6" s="269">
        <f>BP6-BR6</f>
        <v>56</v>
      </c>
      <c r="BU6" s="171">
        <f>BT6*60</f>
        <v>3360</v>
      </c>
      <c r="BV6" s="55">
        <f>BU6/BQ6</f>
        <v>8.9499760268499286E-3</v>
      </c>
      <c r="BW6" s="13">
        <v>1</v>
      </c>
      <c r="BX6" s="171">
        <v>8432</v>
      </c>
      <c r="BY6" s="171">
        <f>BX6*60</f>
        <v>505920</v>
      </c>
      <c r="BZ6" s="245">
        <f>5300+901</f>
        <v>6201</v>
      </c>
      <c r="CA6" s="176">
        <f>BZ6*60</f>
        <v>372060</v>
      </c>
      <c r="CB6" s="269">
        <f>BX6-BZ6</f>
        <v>2231</v>
      </c>
      <c r="CC6" s="171">
        <f>CB6*60</f>
        <v>133860</v>
      </c>
      <c r="CD6" s="10">
        <f>CC6/BY6</f>
        <v>0.26458728652751423</v>
      </c>
      <c r="CE6" s="13">
        <v>1</v>
      </c>
      <c r="CF6" s="171">
        <v>8432</v>
      </c>
      <c r="CG6" s="171">
        <f>CF6*60</f>
        <v>505920</v>
      </c>
      <c r="CH6" s="245">
        <f>5300+901</f>
        <v>6201</v>
      </c>
      <c r="CI6" s="176">
        <f>CH6*60</f>
        <v>372060</v>
      </c>
      <c r="CJ6" s="269">
        <f>CF6-CH6</f>
        <v>2231</v>
      </c>
      <c r="CK6" s="171">
        <f>CJ6*60</f>
        <v>133860</v>
      </c>
      <c r="CL6" s="10">
        <f>CK6/CG6</f>
        <v>0.26458728652751423</v>
      </c>
      <c r="CM6" s="13">
        <v>1</v>
      </c>
      <c r="CN6" s="171">
        <f>8162+5300</f>
        <v>13462</v>
      </c>
      <c r="CO6" s="171">
        <f>CN6*60</f>
        <v>807720</v>
      </c>
      <c r="CP6" s="245">
        <f>5300+901+3098</f>
        <v>9299</v>
      </c>
      <c r="CQ6" s="176">
        <f>CP6*60</f>
        <v>557940</v>
      </c>
      <c r="CR6" s="269">
        <f>CN6-CP6</f>
        <v>4163</v>
      </c>
      <c r="CS6" s="171">
        <f>CR6*60</f>
        <v>249780</v>
      </c>
      <c r="CT6" s="10">
        <f>CS6/CO6</f>
        <v>0.30924082602882186</v>
      </c>
      <c r="CU6" s="1352">
        <v>1</v>
      </c>
      <c r="CV6" s="9">
        <f>AR6+AJ6+AB6+T6+L6+D6+AZ6+BH6+BP6+BX6+CF6+CN6</f>
        <v>102929</v>
      </c>
      <c r="CW6" s="9">
        <f>AS6+AK6+AC6+U6+M6+E6+BA6+BI6+BQ6+BY6+CG6+CO6</f>
        <v>6175740</v>
      </c>
      <c r="CX6" s="57">
        <f>AT6+AL6+AD6+V6+N6+F6+BB6+BJ6+BR6+BZ6+CH6+CP6</f>
        <v>77097</v>
      </c>
      <c r="CY6" s="58">
        <f>AU6+AM6+AE6+W6+O6+G6+BC6+BK6+BS6+CA6+CI6+CQ6</f>
        <v>4625820</v>
      </c>
      <c r="CZ6" s="269">
        <f>CV6-CX6</f>
        <v>25832</v>
      </c>
      <c r="DA6" s="171">
        <f>CZ6*60</f>
        <v>1549920</v>
      </c>
      <c r="DB6" s="10">
        <f>DA6/CW6</f>
        <v>0.2509691146324165</v>
      </c>
      <c r="DD6" s="11">
        <v>1</v>
      </c>
      <c r="DE6" s="171">
        <v>8432</v>
      </c>
      <c r="DF6" s="171">
        <f>DE6*60</f>
        <v>505920</v>
      </c>
      <c r="DG6" s="267">
        <f>5300+1069+1767</f>
        <v>8136</v>
      </c>
      <c r="DH6" s="268">
        <f>DG6*60</f>
        <v>488160</v>
      </c>
      <c r="DI6" s="171">
        <f>DE6-DG6</f>
        <v>296</v>
      </c>
      <c r="DJ6" s="171">
        <f>DI6*60</f>
        <v>17760</v>
      </c>
      <c r="DK6" s="10">
        <f>DJ6/DF6</f>
        <v>3.510436432637571E-2</v>
      </c>
      <c r="DL6" s="13">
        <v>1</v>
      </c>
      <c r="DM6" s="14">
        <v>8297</v>
      </c>
      <c r="DN6" s="171">
        <f>DM6*60</f>
        <v>497820</v>
      </c>
      <c r="DO6" s="245">
        <f>5300+901</f>
        <v>6201</v>
      </c>
      <c r="DP6" s="176">
        <f>DO6*60</f>
        <v>372060</v>
      </c>
      <c r="DQ6" s="171">
        <f>DM6-DO6</f>
        <v>2096</v>
      </c>
      <c r="DR6" s="171">
        <f>DQ6*60</f>
        <v>125760</v>
      </c>
      <c r="DS6" s="10">
        <f>DR6/DN6</f>
        <v>0.25262142943232496</v>
      </c>
      <c r="DT6" s="13">
        <v>1</v>
      </c>
      <c r="DU6" s="171">
        <v>8151</v>
      </c>
      <c r="DV6" s="171">
        <f>DU6*60</f>
        <v>489060</v>
      </c>
      <c r="DW6" s="245">
        <f>5300+901</f>
        <v>6201</v>
      </c>
      <c r="DX6" s="176">
        <f>DW6*60</f>
        <v>372060</v>
      </c>
      <c r="DY6" s="171">
        <f>DU6-DW6</f>
        <v>1950</v>
      </c>
      <c r="DZ6" s="171">
        <f>DY6*60</f>
        <v>117000</v>
      </c>
      <c r="EA6" s="10">
        <f>DZ6/DV6</f>
        <v>0.23923444976076555</v>
      </c>
      <c r="EB6" s="14">
        <v>1</v>
      </c>
      <c r="EC6" s="171">
        <v>8432</v>
      </c>
      <c r="ED6" s="171">
        <f>EC6*60</f>
        <v>505920</v>
      </c>
      <c r="EE6" s="245">
        <v>6201</v>
      </c>
      <c r="EF6" s="176">
        <f>EE6*60</f>
        <v>372060</v>
      </c>
      <c r="EG6" s="171">
        <f>EC6-EE6</f>
        <v>2231</v>
      </c>
      <c r="EH6" s="171">
        <f>EG6*60</f>
        <v>133860</v>
      </c>
      <c r="EI6" s="10">
        <f>EH6/ED6</f>
        <v>0.26458728652751423</v>
      </c>
      <c r="EJ6" s="14">
        <v>1</v>
      </c>
      <c r="EK6" s="171">
        <v>8432</v>
      </c>
      <c r="EL6" s="171">
        <f>EK6*60</f>
        <v>505920</v>
      </c>
      <c r="EM6" s="245">
        <v>6201</v>
      </c>
      <c r="EN6" s="176">
        <f>EM6*60</f>
        <v>372060</v>
      </c>
      <c r="EO6" s="171">
        <f>EK6-EM6</f>
        <v>2231</v>
      </c>
      <c r="EP6" s="171">
        <f>EO6*60</f>
        <v>133860</v>
      </c>
      <c r="EQ6" s="10">
        <f>EP6/EL6</f>
        <v>0.26458728652751423</v>
      </c>
      <c r="ER6" s="13">
        <v>1</v>
      </c>
      <c r="ES6" s="171">
        <v>8432</v>
      </c>
      <c r="ET6" s="171">
        <f>ES6*60</f>
        <v>505920</v>
      </c>
      <c r="EU6" s="245">
        <v>6201</v>
      </c>
      <c r="EV6" s="176">
        <f>EU6*60</f>
        <v>372060</v>
      </c>
      <c r="EW6" s="171">
        <f>ES6-EU6</f>
        <v>2231</v>
      </c>
      <c r="EX6" s="171">
        <f>EW6*60</f>
        <v>133860</v>
      </c>
      <c r="EY6" s="55">
        <f>EX6/ET6</f>
        <v>0.26458728652751423</v>
      </c>
      <c r="EZ6" s="13">
        <v>1</v>
      </c>
      <c r="FA6" s="171">
        <v>8162</v>
      </c>
      <c r="FB6" s="171">
        <f>FA6*60</f>
        <v>489720</v>
      </c>
      <c r="FC6" s="267">
        <v>6201</v>
      </c>
      <c r="FD6" s="268">
        <f>FC6*60</f>
        <v>372060</v>
      </c>
      <c r="FE6" s="171">
        <f>FA6-FC6</f>
        <v>1961</v>
      </c>
      <c r="FF6" s="171">
        <f>FE6*60</f>
        <v>117660</v>
      </c>
      <c r="FG6" s="10">
        <f>FF6/FB6</f>
        <v>0.24025974025974026</v>
      </c>
      <c r="FH6" s="13">
        <v>1</v>
      </c>
      <c r="FI6" s="171">
        <v>8780</v>
      </c>
      <c r="FJ6" s="171">
        <f>FI6*60</f>
        <v>526800</v>
      </c>
      <c r="FK6" s="267">
        <v>6552</v>
      </c>
      <c r="FL6" s="268">
        <f>FK6*60</f>
        <v>393120</v>
      </c>
      <c r="FM6" s="171">
        <f>FI6-FK6</f>
        <v>2228</v>
      </c>
      <c r="FN6" s="171">
        <f>FM6*60</f>
        <v>133680</v>
      </c>
      <c r="FO6" s="10">
        <f>FN6/FJ6</f>
        <v>0.25375854214123006</v>
      </c>
      <c r="FP6" s="13">
        <v>1</v>
      </c>
      <c r="FQ6" s="171">
        <v>6234</v>
      </c>
      <c r="FR6" s="171">
        <f>FQ6*60</f>
        <v>374040</v>
      </c>
      <c r="FS6" s="245">
        <v>7504</v>
      </c>
      <c r="FT6" s="176">
        <f>FS6*60</f>
        <v>450240</v>
      </c>
      <c r="FU6" s="171">
        <f>FQ6-FS6</f>
        <v>-1270</v>
      </c>
      <c r="FV6" s="171">
        <f>FU6*60</f>
        <v>-76200</v>
      </c>
      <c r="FW6" s="55">
        <f>FV6/FR6</f>
        <v>-0.20372152710940006</v>
      </c>
      <c r="FX6" s="13">
        <v>1</v>
      </c>
      <c r="FY6" s="171">
        <f>8780*2</f>
        <v>17560</v>
      </c>
      <c r="FZ6" s="171">
        <f>FY6*60</f>
        <v>1053600</v>
      </c>
      <c r="GA6" s="245">
        <f>6552*2</f>
        <v>13104</v>
      </c>
      <c r="GB6" s="176">
        <f>GA6*60</f>
        <v>786240</v>
      </c>
      <c r="GC6" s="171">
        <f>FY6-GA6</f>
        <v>4456</v>
      </c>
      <c r="GD6" s="171">
        <f>GC6*60</f>
        <v>267360</v>
      </c>
      <c r="GE6" s="10">
        <f>GD6/FZ6</f>
        <v>0.25375854214123006</v>
      </c>
      <c r="GF6" s="13">
        <v>1</v>
      </c>
      <c r="GG6" s="171">
        <v>0</v>
      </c>
      <c r="GH6" s="171">
        <f>GG6*60</f>
        <v>0</v>
      </c>
      <c r="GI6" s="245">
        <v>0</v>
      </c>
      <c r="GJ6" s="176">
        <f>GI6*60</f>
        <v>0</v>
      </c>
      <c r="GK6" s="269">
        <f>GG6-GI6</f>
        <v>0</v>
      </c>
      <c r="GL6" s="171">
        <f>GK6*60</f>
        <v>0</v>
      </c>
      <c r="GM6" s="10" t="e">
        <f>GL6/GH6</f>
        <v>#DIV/0!</v>
      </c>
      <c r="GN6" s="13">
        <v>1</v>
      </c>
      <c r="GO6" s="171">
        <v>0</v>
      </c>
      <c r="GP6" s="171">
        <f>GO6*60</f>
        <v>0</v>
      </c>
      <c r="GQ6" s="245">
        <v>0</v>
      </c>
      <c r="GR6" s="176">
        <f>GQ6*60</f>
        <v>0</v>
      </c>
      <c r="GS6" s="269">
        <f>GO6-GQ6</f>
        <v>0</v>
      </c>
      <c r="GT6" s="171">
        <f>GS6*60</f>
        <v>0</v>
      </c>
      <c r="GU6" s="10" t="e">
        <f>GT6/GP6</f>
        <v>#DIV/0!</v>
      </c>
      <c r="GV6" s="59">
        <v>1</v>
      </c>
      <c r="GW6" s="9">
        <f>ES6+EK6+EC6+DU6+DM6+DE6+FA6+FI6+FQ6+FY6+GG6+GO6</f>
        <v>90912</v>
      </c>
      <c r="GX6" s="9">
        <f>ET6+EL6+ED6+DV6+DN6+DF6+FB6+FJ6+FR6+FZ6+GH6+GP6</f>
        <v>5454720</v>
      </c>
      <c r="GY6" s="57">
        <f>EU6+EM6+EE6+DW6+DO6+DG6+FC6+FK6+FS6+GA6+GI6+GQ6</f>
        <v>72502</v>
      </c>
      <c r="GZ6" s="58">
        <f>EV6+EN6+EF6+DX6+DP6+DH6+FD6+FL6+FT6+GB6+GJ6+GR6</f>
        <v>4350120</v>
      </c>
      <c r="HA6" s="171">
        <f>GW6-GY6</f>
        <v>18410</v>
      </c>
      <c r="HB6" s="171">
        <f>HA6*60</f>
        <v>1104600</v>
      </c>
      <c r="HC6" s="10">
        <f>HB6/GX6</f>
        <v>0.20250351988736359</v>
      </c>
    </row>
    <row r="7" spans="1:214" ht="15.6" hidden="1" customHeight="1" x14ac:dyDescent="0.3">
      <c r="A7" s="5"/>
      <c r="B7" s="6"/>
      <c r="C7" s="12"/>
      <c r="D7" s="172"/>
      <c r="E7" s="1"/>
      <c r="F7" s="270"/>
      <c r="G7" s="859"/>
      <c r="H7" s="1"/>
      <c r="I7" s="1"/>
      <c r="J7" s="15"/>
      <c r="K7" s="12"/>
      <c r="L7" s="1"/>
      <c r="M7" s="1"/>
      <c r="N7" s="142"/>
      <c r="O7" s="143"/>
      <c r="P7" s="1"/>
      <c r="Q7" s="1"/>
      <c r="R7" s="15"/>
      <c r="S7" s="12"/>
      <c r="T7" s="1"/>
      <c r="U7" s="1"/>
      <c r="V7" s="142"/>
      <c r="W7" s="143"/>
      <c r="X7" s="1"/>
      <c r="Y7" s="1"/>
      <c r="Z7" s="15"/>
      <c r="AA7" s="1"/>
      <c r="AB7" s="1"/>
      <c r="AC7" s="1"/>
      <c r="AD7" s="230"/>
      <c r="AE7" s="859"/>
      <c r="AF7" s="1"/>
      <c r="AG7" s="1"/>
      <c r="AH7" s="15"/>
      <c r="AI7" s="12"/>
      <c r="AJ7" s="1"/>
      <c r="AK7" s="1"/>
      <c r="AL7" s="1"/>
      <c r="AM7" s="1"/>
      <c r="AN7" s="1"/>
      <c r="AO7" s="1"/>
      <c r="AP7" s="15"/>
      <c r="AQ7" s="1"/>
      <c r="AR7" s="1"/>
      <c r="AS7" s="1"/>
      <c r="AT7" s="1"/>
      <c r="AU7" s="1"/>
      <c r="AV7" s="1"/>
      <c r="AW7" s="1"/>
      <c r="AX7" s="1"/>
      <c r="AY7" s="12"/>
      <c r="AZ7" s="1"/>
      <c r="BA7" s="1"/>
      <c r="BB7" s="230"/>
      <c r="BC7" s="859"/>
      <c r="BD7" s="1"/>
      <c r="BE7" s="1"/>
      <c r="BF7" s="15"/>
      <c r="BG7" s="12"/>
      <c r="BH7" s="1"/>
      <c r="BI7" s="1"/>
      <c r="BJ7" s="230"/>
      <c r="BK7" s="859"/>
      <c r="BL7" s="1"/>
      <c r="BM7" s="1"/>
      <c r="BN7" s="15"/>
      <c r="BO7" s="1"/>
      <c r="BP7" s="1"/>
      <c r="BQ7" s="1"/>
      <c r="BR7" s="142"/>
      <c r="BS7" s="143"/>
      <c r="BT7" s="1"/>
      <c r="BU7" s="1"/>
      <c r="BV7" s="1"/>
      <c r="BW7" s="12"/>
      <c r="BX7" s="1"/>
      <c r="BY7" s="1"/>
      <c r="BZ7" s="142"/>
      <c r="CA7" s="143"/>
      <c r="CB7" s="1"/>
      <c r="CC7" s="1"/>
      <c r="CD7" s="15"/>
      <c r="CE7" s="1"/>
      <c r="CF7" s="1"/>
      <c r="CG7" s="1"/>
      <c r="CH7" s="142"/>
      <c r="CI7" s="143"/>
      <c r="CJ7" s="1"/>
      <c r="CK7" s="1"/>
      <c r="CL7" s="1"/>
      <c r="CM7" s="12"/>
      <c r="CN7" s="1"/>
      <c r="CO7" s="1"/>
      <c r="CP7" s="1"/>
      <c r="CQ7" s="1"/>
      <c r="CR7" s="1"/>
      <c r="CS7" s="1"/>
      <c r="CT7" s="15"/>
      <c r="CU7" s="253"/>
      <c r="CV7" s="16"/>
      <c r="CW7" s="16"/>
      <c r="CX7" s="254"/>
      <c r="CY7" s="255"/>
      <c r="CZ7" s="16"/>
      <c r="DA7" s="16"/>
      <c r="DB7" s="17"/>
      <c r="DD7" s="12"/>
      <c r="DE7" s="172"/>
      <c r="DF7" s="1"/>
      <c r="DG7" s="270"/>
      <c r="DH7" s="859"/>
      <c r="DI7" s="1"/>
      <c r="DJ7" s="1"/>
      <c r="DK7" s="15"/>
      <c r="DL7" s="12"/>
      <c r="DM7" s="1"/>
      <c r="DN7" s="1"/>
      <c r="DO7" s="142"/>
      <c r="DP7" s="143"/>
      <c r="DQ7" s="1"/>
      <c r="DR7" s="1"/>
      <c r="DS7" s="15"/>
      <c r="DT7" s="12"/>
      <c r="DU7" s="1"/>
      <c r="DV7" s="1"/>
      <c r="DW7" s="142"/>
      <c r="DX7" s="143"/>
      <c r="DY7" s="1"/>
      <c r="DZ7" s="1"/>
      <c r="EA7" s="15"/>
      <c r="EB7" s="1"/>
      <c r="EC7" s="1"/>
      <c r="ED7" s="1"/>
      <c r="EE7" s="142"/>
      <c r="EF7" s="143"/>
      <c r="EG7" s="1"/>
      <c r="EH7" s="1"/>
      <c r="EI7" s="15"/>
      <c r="EJ7" s="1"/>
      <c r="EK7" s="1"/>
      <c r="EL7" s="1"/>
      <c r="EM7" s="142"/>
      <c r="EN7" s="143"/>
      <c r="EO7" s="1"/>
      <c r="EP7" s="1"/>
      <c r="EQ7" s="15"/>
      <c r="ER7" s="1"/>
      <c r="ES7" s="1"/>
      <c r="ET7" s="1"/>
      <c r="EU7" s="142"/>
      <c r="EV7" s="143"/>
      <c r="EW7" s="1"/>
      <c r="EX7" s="1"/>
      <c r="EY7" s="1"/>
      <c r="EZ7" s="12"/>
      <c r="FA7" s="1"/>
      <c r="FB7" s="1"/>
      <c r="FC7" s="230"/>
      <c r="FD7" s="859"/>
      <c r="FE7" s="1"/>
      <c r="FF7" s="1"/>
      <c r="FG7" s="15"/>
      <c r="FH7" s="12"/>
      <c r="FI7" s="1"/>
      <c r="FJ7" s="1"/>
      <c r="FK7" s="230"/>
      <c r="FL7" s="859"/>
      <c r="FM7" s="1"/>
      <c r="FN7" s="1"/>
      <c r="FO7" s="15"/>
      <c r="FP7" s="1"/>
      <c r="FQ7" s="1"/>
      <c r="FR7" s="1"/>
      <c r="FS7" s="142"/>
      <c r="FT7" s="143"/>
      <c r="FU7" s="1"/>
      <c r="FV7" s="1"/>
      <c r="FW7" s="1"/>
      <c r="FX7" s="12"/>
      <c r="FY7" s="1"/>
      <c r="FZ7" s="1"/>
      <c r="GA7" s="142"/>
      <c r="GB7" s="143"/>
      <c r="GC7" s="1"/>
      <c r="GD7" s="1"/>
      <c r="GE7" s="15"/>
      <c r="GF7" s="1"/>
      <c r="GG7" s="1"/>
      <c r="GH7" s="1"/>
      <c r="GI7" s="142"/>
      <c r="GJ7" s="143"/>
      <c r="GK7" s="1"/>
      <c r="GL7" s="1"/>
      <c r="GM7" s="1"/>
      <c r="GN7" s="12"/>
      <c r="GO7" s="1"/>
      <c r="GP7" s="1"/>
      <c r="GQ7" s="1"/>
      <c r="GR7" s="1"/>
      <c r="GS7" s="1"/>
      <c r="GT7" s="1"/>
      <c r="GU7" s="15"/>
      <c r="GV7" s="253"/>
      <c r="GW7" s="16"/>
      <c r="GX7" s="16"/>
      <c r="GY7" s="254"/>
      <c r="GZ7" s="255"/>
      <c r="HA7" s="16"/>
      <c r="HB7" s="16"/>
      <c r="HC7" s="17"/>
    </row>
    <row r="8" spans="1:214" ht="15.05" hidden="1" customHeight="1" x14ac:dyDescent="0.3">
      <c r="A8" s="5"/>
      <c r="B8" s="260"/>
      <c r="C8" s="12"/>
      <c r="D8" s="172"/>
      <c r="E8" s="1"/>
      <c r="F8" s="270"/>
      <c r="G8" s="859"/>
      <c r="H8" s="1"/>
      <c r="I8" s="1"/>
      <c r="J8" s="15"/>
      <c r="K8" s="12"/>
      <c r="L8" s="1"/>
      <c r="M8" s="1"/>
      <c r="N8" s="142"/>
      <c r="O8" s="143"/>
      <c r="P8" s="1"/>
      <c r="Q8" s="1"/>
      <c r="R8" s="15"/>
      <c r="S8" s="12"/>
      <c r="T8" s="1"/>
      <c r="U8" s="1"/>
      <c r="V8" s="142"/>
      <c r="W8" s="143"/>
      <c r="X8" s="1"/>
      <c r="Y8" s="1"/>
      <c r="Z8" s="15"/>
      <c r="AA8" s="1"/>
      <c r="AB8" s="1"/>
      <c r="AC8" s="1"/>
      <c r="AD8" s="230"/>
      <c r="AE8" s="859"/>
      <c r="AF8" s="1"/>
      <c r="AG8" s="1"/>
      <c r="AH8" s="15"/>
      <c r="AI8" s="12"/>
      <c r="AJ8" s="1"/>
      <c r="AK8" s="1"/>
      <c r="AL8" s="1"/>
      <c r="AM8" s="1"/>
      <c r="AN8" s="1"/>
      <c r="AO8" s="1"/>
      <c r="AP8" s="15"/>
      <c r="AQ8" s="1"/>
      <c r="AR8" s="1"/>
      <c r="AS8" s="1"/>
      <c r="AT8" s="1"/>
      <c r="AU8" s="1"/>
      <c r="AV8" s="1"/>
      <c r="AW8" s="1"/>
      <c r="AX8" s="1"/>
      <c r="AY8" s="12"/>
      <c r="AZ8" s="1"/>
      <c r="BA8" s="1"/>
      <c r="BB8" s="230"/>
      <c r="BC8" s="859"/>
      <c r="BD8" s="1"/>
      <c r="BE8" s="1"/>
      <c r="BF8" s="15"/>
      <c r="BG8" s="12"/>
      <c r="BH8" s="1"/>
      <c r="BI8" s="1"/>
      <c r="BJ8" s="230"/>
      <c r="BK8" s="859"/>
      <c r="BL8" s="1"/>
      <c r="BM8" s="1"/>
      <c r="BN8" s="15"/>
      <c r="BO8" s="1"/>
      <c r="BP8" s="1"/>
      <c r="BQ8" s="1"/>
      <c r="BR8" s="142"/>
      <c r="BS8" s="143"/>
      <c r="BT8" s="1"/>
      <c r="BU8" s="1"/>
      <c r="BV8" s="1"/>
      <c r="BW8" s="12"/>
      <c r="BX8" s="1"/>
      <c r="BY8" s="1"/>
      <c r="BZ8" s="142"/>
      <c r="CA8" s="143"/>
      <c r="CB8" s="1"/>
      <c r="CC8" s="1"/>
      <c r="CD8" s="15"/>
      <c r="CE8" s="1"/>
      <c r="CF8" s="1"/>
      <c r="CG8" s="1"/>
      <c r="CH8" s="142"/>
      <c r="CI8" s="143"/>
      <c r="CJ8" s="1"/>
      <c r="CK8" s="1"/>
      <c r="CL8" s="1"/>
      <c r="CM8" s="12"/>
      <c r="CN8" s="1"/>
      <c r="CO8" s="1"/>
      <c r="CP8" s="1"/>
      <c r="CQ8" s="1"/>
      <c r="CR8" s="1"/>
      <c r="CS8" s="1"/>
      <c r="CT8" s="15"/>
      <c r="CU8" s="12"/>
      <c r="CV8" s="1"/>
      <c r="CW8" s="1"/>
      <c r="CX8" s="142"/>
      <c r="CY8" s="143"/>
      <c r="CZ8" s="1"/>
      <c r="DA8" s="1"/>
      <c r="DB8" s="17"/>
      <c r="DD8" s="12"/>
      <c r="DE8" s="172"/>
      <c r="DF8" s="1"/>
      <c r="DG8" s="270"/>
      <c r="DH8" s="859"/>
      <c r="DI8" s="1"/>
      <c r="DJ8" s="1"/>
      <c r="DK8" s="15"/>
      <c r="DL8" s="12"/>
      <c r="DM8" s="1"/>
      <c r="DN8" s="1"/>
      <c r="DO8" s="142"/>
      <c r="DP8" s="143"/>
      <c r="DQ8" s="1"/>
      <c r="DR8" s="1"/>
      <c r="DS8" s="15"/>
      <c r="DT8" s="12"/>
      <c r="DU8" s="1"/>
      <c r="DV8" s="1"/>
      <c r="DW8" s="142"/>
      <c r="DX8" s="143"/>
      <c r="DY8" s="1"/>
      <c r="DZ8" s="1"/>
      <c r="EA8" s="15"/>
      <c r="EB8" s="1"/>
      <c r="EC8" s="1"/>
      <c r="ED8" s="1"/>
      <c r="EE8" s="142"/>
      <c r="EF8" s="143"/>
      <c r="EG8" s="1"/>
      <c r="EH8" s="1"/>
      <c r="EI8" s="15"/>
      <c r="EJ8" s="1"/>
      <c r="EK8" s="1"/>
      <c r="EL8" s="1"/>
      <c r="EM8" s="142"/>
      <c r="EN8" s="143"/>
      <c r="EO8" s="1"/>
      <c r="EP8" s="1"/>
      <c r="EQ8" s="15"/>
      <c r="ER8" s="1"/>
      <c r="ES8" s="1"/>
      <c r="ET8" s="1"/>
      <c r="EU8" s="142"/>
      <c r="EV8" s="143"/>
      <c r="EW8" s="1"/>
      <c r="EX8" s="1"/>
      <c r="EY8" s="1"/>
      <c r="EZ8" s="12"/>
      <c r="FA8" s="1"/>
      <c r="FB8" s="1"/>
      <c r="FC8" s="230"/>
      <c r="FD8" s="859"/>
      <c r="FE8" s="1"/>
      <c r="FF8" s="1"/>
      <c r="FG8" s="15"/>
      <c r="FH8" s="12"/>
      <c r="FI8" s="1"/>
      <c r="FJ8" s="1"/>
      <c r="FK8" s="230"/>
      <c r="FL8" s="859"/>
      <c r="FM8" s="1"/>
      <c r="FN8" s="1"/>
      <c r="FO8" s="15"/>
      <c r="FP8" s="1"/>
      <c r="FQ8" s="1"/>
      <c r="FR8" s="1"/>
      <c r="FS8" s="142"/>
      <c r="FT8" s="143"/>
      <c r="FU8" s="1"/>
      <c r="FV8" s="1"/>
      <c r="FW8" s="1"/>
      <c r="FX8" s="12"/>
      <c r="FY8" s="1"/>
      <c r="FZ8" s="1"/>
      <c r="GA8" s="142"/>
      <c r="GB8" s="143"/>
      <c r="GC8" s="1"/>
      <c r="GD8" s="1"/>
      <c r="GE8" s="15"/>
      <c r="GF8" s="1"/>
      <c r="GG8" s="1"/>
      <c r="GH8" s="1"/>
      <c r="GI8" s="142"/>
      <c r="GJ8" s="143"/>
      <c r="GK8" s="1"/>
      <c r="GL8" s="1"/>
      <c r="GM8" s="1"/>
      <c r="GN8" s="12"/>
      <c r="GO8" s="1"/>
      <c r="GP8" s="1"/>
      <c r="GQ8" s="1"/>
      <c r="GR8" s="1"/>
      <c r="GS8" s="1"/>
      <c r="GT8" s="1"/>
      <c r="GU8" s="15"/>
      <c r="GV8" s="12"/>
      <c r="GW8" s="1"/>
      <c r="GX8" s="1"/>
      <c r="GY8" s="142"/>
      <c r="GZ8" s="143"/>
      <c r="HA8" s="1"/>
      <c r="HB8" s="1"/>
      <c r="HC8" s="17"/>
    </row>
    <row r="9" spans="1:214" x14ac:dyDescent="0.3">
      <c r="A9" s="5"/>
      <c r="B9" s="1"/>
      <c r="C9" s="12"/>
      <c r="D9" s="172"/>
      <c r="E9" s="1"/>
      <c r="F9" s="270"/>
      <c r="G9" s="859"/>
      <c r="H9" s="1"/>
      <c r="I9" s="1"/>
      <c r="J9" s="15"/>
      <c r="K9" s="12"/>
      <c r="L9" s="1"/>
      <c r="M9" s="1"/>
      <c r="N9" s="142"/>
      <c r="O9" s="143"/>
      <c r="P9" s="1"/>
      <c r="Q9" s="1"/>
      <c r="R9" s="15"/>
      <c r="S9" s="12"/>
      <c r="T9" s="1"/>
      <c r="U9" s="1"/>
      <c r="V9" s="142"/>
      <c r="W9" s="143"/>
      <c r="X9" s="1"/>
      <c r="Y9" s="1"/>
      <c r="Z9" s="15"/>
      <c r="AA9" s="1"/>
      <c r="AB9" s="1"/>
      <c r="AC9" s="1"/>
      <c r="AD9" s="230"/>
      <c r="AE9" s="859"/>
      <c r="AF9" s="1"/>
      <c r="AG9" s="1"/>
      <c r="AH9" s="15"/>
      <c r="AI9" s="12"/>
      <c r="AJ9" s="1"/>
      <c r="AK9" s="1"/>
      <c r="AL9" s="1"/>
      <c r="AM9" s="1"/>
      <c r="AN9" s="1"/>
      <c r="AO9" s="1"/>
      <c r="AP9" s="15"/>
      <c r="AQ9" s="1"/>
      <c r="AR9" s="1"/>
      <c r="AS9" s="1"/>
      <c r="AT9" s="1"/>
      <c r="AU9" s="1"/>
      <c r="AV9" s="1"/>
      <c r="AW9" s="1"/>
      <c r="AX9" s="1"/>
      <c r="AY9" s="12"/>
      <c r="AZ9" s="1"/>
      <c r="BA9" s="1"/>
      <c r="BB9" s="230"/>
      <c r="BC9" s="859"/>
      <c r="BD9" s="1"/>
      <c r="BE9" s="1"/>
      <c r="BF9" s="15"/>
      <c r="BG9" s="12"/>
      <c r="BH9" s="1"/>
      <c r="BI9" s="1"/>
      <c r="BJ9" s="230"/>
      <c r="BK9" s="859"/>
      <c r="BL9" s="1"/>
      <c r="BM9" s="1"/>
      <c r="BN9" s="15"/>
      <c r="BO9" s="1"/>
      <c r="BP9" s="1"/>
      <c r="BQ9" s="1"/>
      <c r="BR9" s="142"/>
      <c r="BS9" s="143"/>
      <c r="BT9" s="1"/>
      <c r="BU9" s="1"/>
      <c r="BV9" s="1"/>
      <c r="BW9" s="12"/>
      <c r="BX9" s="1"/>
      <c r="BY9" s="1"/>
      <c r="BZ9" s="142"/>
      <c r="CA9" s="143"/>
      <c r="CB9" s="1"/>
      <c r="CC9" s="1"/>
      <c r="CD9" s="15"/>
      <c r="CE9" s="1"/>
      <c r="CF9" s="1"/>
      <c r="CG9" s="1"/>
      <c r="CH9" s="142"/>
      <c r="CI9" s="143"/>
      <c r="CJ9" s="1"/>
      <c r="CK9" s="1"/>
      <c r="CL9" s="1"/>
      <c r="CM9" s="12"/>
      <c r="CN9" s="1"/>
      <c r="CO9" s="1"/>
      <c r="CP9" s="1"/>
      <c r="CQ9" s="1"/>
      <c r="CR9" s="1"/>
      <c r="CS9" s="1"/>
      <c r="CT9" s="15"/>
      <c r="CU9" s="12"/>
      <c r="CV9" s="1"/>
      <c r="CW9" s="1"/>
      <c r="CX9" s="142"/>
      <c r="CY9" s="143"/>
      <c r="CZ9" s="1"/>
      <c r="DA9" s="1"/>
      <c r="DB9" s="17"/>
      <c r="DD9" s="12"/>
      <c r="DE9" s="172"/>
      <c r="DF9" s="1"/>
      <c r="DG9" s="270"/>
      <c r="DH9" s="859"/>
      <c r="DI9" s="1"/>
      <c r="DJ9" s="1"/>
      <c r="DK9" s="15"/>
      <c r="DL9" s="12"/>
      <c r="DM9" s="1"/>
      <c r="DN9" s="1"/>
      <c r="DO9" s="142"/>
      <c r="DP9" s="143"/>
      <c r="DQ9" s="1"/>
      <c r="DR9" s="1"/>
      <c r="DS9" s="15"/>
      <c r="DT9" s="12"/>
      <c r="DU9" s="1"/>
      <c r="DV9" s="1"/>
      <c r="DW9" s="142"/>
      <c r="DX9" s="143"/>
      <c r="DY9" s="1"/>
      <c r="DZ9" s="1"/>
      <c r="EA9" s="15"/>
      <c r="EB9" s="1"/>
      <c r="EC9" s="1"/>
      <c r="ED9" s="1"/>
      <c r="EE9" s="142"/>
      <c r="EF9" s="143"/>
      <c r="EG9" s="1"/>
      <c r="EH9" s="1"/>
      <c r="EI9" s="15"/>
      <c r="EJ9" s="1"/>
      <c r="EK9" s="1"/>
      <c r="EL9" s="1"/>
      <c r="EM9" s="142"/>
      <c r="EN9" s="143"/>
      <c r="EO9" s="1"/>
      <c r="EP9" s="1"/>
      <c r="EQ9" s="15"/>
      <c r="ER9" s="1"/>
      <c r="ES9" s="1"/>
      <c r="ET9" s="1"/>
      <c r="EU9" s="142"/>
      <c r="EV9" s="143"/>
      <c r="EW9" s="1"/>
      <c r="EX9" s="1"/>
      <c r="EY9" s="1"/>
      <c r="EZ9" s="12"/>
      <c r="FA9" s="1"/>
      <c r="FB9" s="1"/>
      <c r="FC9" s="230"/>
      <c r="FD9" s="859"/>
      <c r="FE9" s="1"/>
      <c r="FF9" s="1"/>
      <c r="FG9" s="15"/>
      <c r="FH9" s="12"/>
      <c r="FI9" s="1"/>
      <c r="FJ9" s="1"/>
      <c r="FK9" s="230"/>
      <c r="FL9" s="859"/>
      <c r="FM9" s="1"/>
      <c r="FN9" s="1"/>
      <c r="FO9" s="15"/>
      <c r="FP9" s="1"/>
      <c r="FQ9" s="1"/>
      <c r="FR9" s="1"/>
      <c r="FS9" s="142"/>
      <c r="FT9" s="143"/>
      <c r="FU9" s="1"/>
      <c r="FV9" s="1"/>
      <c r="FW9" s="1"/>
      <c r="FX9" s="12"/>
      <c r="FY9" s="1"/>
      <c r="FZ9" s="1"/>
      <c r="GA9" s="142"/>
      <c r="GB9" s="143"/>
      <c r="GC9" s="1"/>
      <c r="GD9" s="1"/>
      <c r="GE9" s="15"/>
      <c r="GF9" s="1"/>
      <c r="GG9" s="1"/>
      <c r="GH9" s="1"/>
      <c r="GI9" s="142"/>
      <c r="GJ9" s="143"/>
      <c r="GK9" s="1"/>
      <c r="GL9" s="1"/>
      <c r="GM9" s="1"/>
      <c r="GN9" s="12"/>
      <c r="GO9" s="1"/>
      <c r="GP9" s="1"/>
      <c r="GQ9" s="1"/>
      <c r="GR9" s="1"/>
      <c r="GS9" s="1"/>
      <c r="GT9" s="1"/>
      <c r="GU9" s="15"/>
      <c r="GV9" s="12"/>
      <c r="GW9" s="1"/>
      <c r="GX9" s="1"/>
      <c r="GY9" s="142"/>
      <c r="GZ9" s="143"/>
      <c r="HA9" s="1"/>
      <c r="HB9" s="1"/>
      <c r="HC9" s="17"/>
    </row>
    <row r="10" spans="1:214" ht="15.05" x14ac:dyDescent="0.3">
      <c r="A10" s="861"/>
      <c r="B10" s="862" t="s">
        <v>2</v>
      </c>
      <c r="C10" s="870">
        <f t="shared" ref="C10:I10" si="0">SUM(C6:C9)</f>
        <v>1</v>
      </c>
      <c r="D10" s="863">
        <f t="shared" si="0"/>
        <v>7870</v>
      </c>
      <c r="E10" s="863">
        <f t="shared" si="0"/>
        <v>472200</v>
      </c>
      <c r="F10" s="868">
        <f t="shared" si="0"/>
        <v>5788</v>
      </c>
      <c r="G10" s="869">
        <f t="shared" si="0"/>
        <v>347280</v>
      </c>
      <c r="H10" s="863">
        <f t="shared" si="0"/>
        <v>2082</v>
      </c>
      <c r="I10" s="863">
        <f t="shared" si="0"/>
        <v>124920</v>
      </c>
      <c r="J10" s="867">
        <f>I10/E10</f>
        <v>0.26454891994917407</v>
      </c>
      <c r="K10" s="870">
        <f t="shared" ref="K10:Q10" si="1">SUM(K6:K9)</f>
        <v>1</v>
      </c>
      <c r="L10" s="863">
        <f t="shared" si="1"/>
        <v>8432</v>
      </c>
      <c r="M10" s="863">
        <f t="shared" si="1"/>
        <v>505920</v>
      </c>
      <c r="N10" s="864">
        <f t="shared" si="1"/>
        <v>6201</v>
      </c>
      <c r="O10" s="865">
        <f t="shared" si="1"/>
        <v>372060</v>
      </c>
      <c r="P10" s="863">
        <f t="shared" si="1"/>
        <v>2231</v>
      </c>
      <c r="Q10" s="863">
        <f t="shared" si="1"/>
        <v>133860</v>
      </c>
      <c r="R10" s="867">
        <f>Q10/M10</f>
        <v>0.26458728652751423</v>
      </c>
      <c r="S10" s="870">
        <f t="shared" ref="S10:Y10" si="2">SUM(S6:S9)</f>
        <v>1</v>
      </c>
      <c r="T10" s="863">
        <f t="shared" si="2"/>
        <v>8432</v>
      </c>
      <c r="U10" s="863">
        <f t="shared" si="2"/>
        <v>505920</v>
      </c>
      <c r="V10" s="864">
        <f t="shared" si="2"/>
        <v>6201</v>
      </c>
      <c r="W10" s="865">
        <f t="shared" si="2"/>
        <v>372060</v>
      </c>
      <c r="X10" s="863">
        <f t="shared" si="2"/>
        <v>2231</v>
      </c>
      <c r="Y10" s="863">
        <f t="shared" si="2"/>
        <v>133860</v>
      </c>
      <c r="Z10" s="867">
        <f>Y10/U10</f>
        <v>0.26458728652751423</v>
      </c>
      <c r="AA10" s="870">
        <f t="shared" ref="AA10:AG10" si="3">SUM(AA6:AA9)</f>
        <v>1</v>
      </c>
      <c r="AB10" s="863">
        <f t="shared" si="3"/>
        <v>8432</v>
      </c>
      <c r="AC10" s="863">
        <f t="shared" si="3"/>
        <v>505920</v>
      </c>
      <c r="AD10" s="868">
        <f t="shared" si="3"/>
        <v>6201</v>
      </c>
      <c r="AE10" s="869">
        <f t="shared" si="3"/>
        <v>372060</v>
      </c>
      <c r="AF10" s="863">
        <f t="shared" si="3"/>
        <v>2231</v>
      </c>
      <c r="AG10" s="863">
        <f t="shared" si="3"/>
        <v>133860</v>
      </c>
      <c r="AH10" s="867">
        <f>AG10/AC10</f>
        <v>0.26458728652751423</v>
      </c>
      <c r="AI10" s="870">
        <f t="shared" ref="AI10:AO10" si="4">SUM(AI6:AI9)</f>
        <v>1</v>
      </c>
      <c r="AJ10" s="863">
        <f t="shared" si="4"/>
        <v>8432</v>
      </c>
      <c r="AK10" s="863">
        <f t="shared" si="4"/>
        <v>505920</v>
      </c>
      <c r="AL10" s="872">
        <f t="shared" si="4"/>
        <v>6201</v>
      </c>
      <c r="AM10" s="871">
        <f t="shared" si="4"/>
        <v>372060</v>
      </c>
      <c r="AN10" s="863">
        <f t="shared" si="4"/>
        <v>2231</v>
      </c>
      <c r="AO10" s="863">
        <f t="shared" si="4"/>
        <v>133860</v>
      </c>
      <c r="AP10" s="867">
        <f>AO10/AK10</f>
        <v>0.26458728652751423</v>
      </c>
      <c r="AQ10" s="863">
        <f t="shared" ref="AQ10:AW10" si="5">SUM(AQ6:AQ9)</f>
        <v>1</v>
      </c>
      <c r="AR10" s="863">
        <f t="shared" si="5"/>
        <v>8432</v>
      </c>
      <c r="AS10" s="863">
        <f t="shared" si="5"/>
        <v>505920</v>
      </c>
      <c r="AT10" s="872">
        <f t="shared" si="5"/>
        <v>6201</v>
      </c>
      <c r="AU10" s="871">
        <f t="shared" si="5"/>
        <v>372060</v>
      </c>
      <c r="AV10" s="863">
        <f t="shared" si="5"/>
        <v>2231</v>
      </c>
      <c r="AW10" s="863">
        <f t="shared" si="5"/>
        <v>133860</v>
      </c>
      <c r="AX10" s="866">
        <f>AW10/AS10</f>
        <v>0.26458728652751423</v>
      </c>
      <c r="AY10" s="870">
        <f t="shared" ref="AY10:BE10" si="6">SUM(AY6:AY9)</f>
        <v>1</v>
      </c>
      <c r="AZ10" s="863">
        <f t="shared" si="6"/>
        <v>7884</v>
      </c>
      <c r="BA10" s="863">
        <f t="shared" si="6"/>
        <v>473040</v>
      </c>
      <c r="BB10" s="868">
        <f t="shared" si="6"/>
        <v>6201</v>
      </c>
      <c r="BC10" s="869">
        <f t="shared" si="6"/>
        <v>372060</v>
      </c>
      <c r="BD10" s="863">
        <f t="shared" si="6"/>
        <v>1683</v>
      </c>
      <c r="BE10" s="863">
        <f t="shared" si="6"/>
        <v>100980</v>
      </c>
      <c r="BF10" s="867">
        <f>BE10/BA10</f>
        <v>0.2134703196347032</v>
      </c>
      <c r="BG10" s="870">
        <f t="shared" ref="BG10:BU10" si="7">SUM(BG6:BG9)</f>
        <v>1</v>
      </c>
      <c r="BH10" s="863">
        <f t="shared" si="7"/>
        <v>8432</v>
      </c>
      <c r="BI10" s="863">
        <f t="shared" si="7"/>
        <v>505920</v>
      </c>
      <c r="BJ10" s="868">
        <f t="shared" si="7"/>
        <v>6201</v>
      </c>
      <c r="BK10" s="869">
        <f t="shared" si="7"/>
        <v>372060</v>
      </c>
      <c r="BL10" s="863">
        <f t="shared" si="7"/>
        <v>2231</v>
      </c>
      <c r="BM10" s="863">
        <f t="shared" si="7"/>
        <v>133860</v>
      </c>
      <c r="BN10" s="867">
        <f>BM10/BI10</f>
        <v>0.26458728652751423</v>
      </c>
      <c r="BO10" s="870">
        <f t="shared" si="7"/>
        <v>1</v>
      </c>
      <c r="BP10" s="863">
        <f t="shared" si="7"/>
        <v>6257</v>
      </c>
      <c r="BQ10" s="863">
        <f t="shared" si="7"/>
        <v>375420</v>
      </c>
      <c r="BR10" s="868">
        <f t="shared" si="7"/>
        <v>6201</v>
      </c>
      <c r="BS10" s="869">
        <f t="shared" si="7"/>
        <v>372060</v>
      </c>
      <c r="BT10" s="863">
        <f t="shared" si="7"/>
        <v>56</v>
      </c>
      <c r="BU10" s="863">
        <f t="shared" si="7"/>
        <v>3360</v>
      </c>
      <c r="BV10" s="866">
        <f>BU10/BQ10</f>
        <v>8.9499760268499286E-3</v>
      </c>
      <c r="BW10" s="870">
        <f t="shared" ref="BW10:CC10" si="8">SUM(BW6:BW9)</f>
        <v>1</v>
      </c>
      <c r="BX10" s="863">
        <f t="shared" si="8"/>
        <v>8432</v>
      </c>
      <c r="BY10" s="863">
        <f t="shared" si="8"/>
        <v>505920</v>
      </c>
      <c r="BZ10" s="868">
        <f t="shared" si="8"/>
        <v>6201</v>
      </c>
      <c r="CA10" s="869">
        <f t="shared" si="8"/>
        <v>372060</v>
      </c>
      <c r="CB10" s="863">
        <f t="shared" si="8"/>
        <v>2231</v>
      </c>
      <c r="CC10" s="863">
        <f t="shared" si="8"/>
        <v>133860</v>
      </c>
      <c r="CD10" s="867">
        <f>CC10/BY10</f>
        <v>0.26458728652751423</v>
      </c>
      <c r="CE10" s="870">
        <f t="shared" ref="CE10:CS10" si="9">SUM(CE6:CE9)</f>
        <v>1</v>
      </c>
      <c r="CF10" s="863">
        <f t="shared" si="9"/>
        <v>8432</v>
      </c>
      <c r="CG10" s="863">
        <f t="shared" si="9"/>
        <v>505920</v>
      </c>
      <c r="CH10" s="868">
        <f t="shared" si="9"/>
        <v>6201</v>
      </c>
      <c r="CI10" s="869">
        <f t="shared" si="9"/>
        <v>372060</v>
      </c>
      <c r="CJ10" s="863">
        <f t="shared" si="9"/>
        <v>2231</v>
      </c>
      <c r="CK10" s="863">
        <f t="shared" si="9"/>
        <v>133860</v>
      </c>
      <c r="CL10" s="867">
        <f>CK10/CG10</f>
        <v>0.26458728652751423</v>
      </c>
      <c r="CM10" s="870">
        <f t="shared" si="9"/>
        <v>1</v>
      </c>
      <c r="CN10" s="863">
        <f t="shared" si="9"/>
        <v>13462</v>
      </c>
      <c r="CO10" s="863">
        <f t="shared" si="9"/>
        <v>807720</v>
      </c>
      <c r="CP10" s="868">
        <f t="shared" si="9"/>
        <v>9299</v>
      </c>
      <c r="CQ10" s="869">
        <f t="shared" si="9"/>
        <v>557940</v>
      </c>
      <c r="CR10" s="863">
        <f t="shared" si="9"/>
        <v>4163</v>
      </c>
      <c r="CS10" s="863">
        <f t="shared" si="9"/>
        <v>249780</v>
      </c>
      <c r="CT10" s="867">
        <f>CS10/CO10</f>
        <v>0.30924082602882186</v>
      </c>
      <c r="CU10" s="870">
        <f t="shared" ref="CU10:DA10" si="10">SUM(CU6:CU9)</f>
        <v>1</v>
      </c>
      <c r="CV10" s="863">
        <f t="shared" si="10"/>
        <v>102929</v>
      </c>
      <c r="CW10" s="863">
        <f t="shared" si="10"/>
        <v>6175740</v>
      </c>
      <c r="CX10" s="864">
        <f t="shared" si="10"/>
        <v>77097</v>
      </c>
      <c r="CY10" s="865">
        <f t="shared" si="10"/>
        <v>4625820</v>
      </c>
      <c r="CZ10" s="863">
        <f t="shared" si="10"/>
        <v>25832</v>
      </c>
      <c r="DA10" s="863">
        <f t="shared" si="10"/>
        <v>1549920</v>
      </c>
      <c r="DB10" s="867">
        <f>DA10/CW10</f>
        <v>0.2509691146324165</v>
      </c>
      <c r="DD10" s="870">
        <f t="shared" ref="DD10:DJ10" si="11">SUM(DD6:DD9)</f>
        <v>1</v>
      </c>
      <c r="DE10" s="863">
        <f t="shared" si="11"/>
        <v>8432</v>
      </c>
      <c r="DF10" s="863">
        <f t="shared" si="11"/>
        <v>505920</v>
      </c>
      <c r="DG10" s="868">
        <f t="shared" si="11"/>
        <v>8136</v>
      </c>
      <c r="DH10" s="869">
        <f t="shared" si="11"/>
        <v>488160</v>
      </c>
      <c r="DI10" s="863">
        <f t="shared" si="11"/>
        <v>296</v>
      </c>
      <c r="DJ10" s="863">
        <f t="shared" si="11"/>
        <v>17760</v>
      </c>
      <c r="DK10" s="867">
        <f>DJ10/DF10</f>
        <v>3.510436432637571E-2</v>
      </c>
      <c r="DL10" s="870">
        <f t="shared" ref="DL10:DR10" si="12">SUM(DL6:DL9)</f>
        <v>1</v>
      </c>
      <c r="DM10" s="863">
        <f t="shared" si="12"/>
        <v>8297</v>
      </c>
      <c r="DN10" s="863">
        <f t="shared" si="12"/>
        <v>497820</v>
      </c>
      <c r="DO10" s="864">
        <f t="shared" si="12"/>
        <v>6201</v>
      </c>
      <c r="DP10" s="865">
        <f t="shared" si="12"/>
        <v>372060</v>
      </c>
      <c r="DQ10" s="863">
        <f t="shared" si="12"/>
        <v>2096</v>
      </c>
      <c r="DR10" s="863">
        <f t="shared" si="12"/>
        <v>125760</v>
      </c>
      <c r="DS10" s="867">
        <f>DR10/DN10</f>
        <v>0.25262142943232496</v>
      </c>
      <c r="DT10" s="870">
        <f t="shared" ref="DT10:DZ10" si="13">SUM(DT6:DT9)</f>
        <v>1</v>
      </c>
      <c r="DU10" s="863">
        <f t="shared" si="13"/>
        <v>8151</v>
      </c>
      <c r="DV10" s="863">
        <f t="shared" si="13"/>
        <v>489060</v>
      </c>
      <c r="DW10" s="864">
        <f t="shared" si="13"/>
        <v>6201</v>
      </c>
      <c r="DX10" s="865">
        <f t="shared" si="13"/>
        <v>372060</v>
      </c>
      <c r="DY10" s="863">
        <f t="shared" si="13"/>
        <v>1950</v>
      </c>
      <c r="DZ10" s="863">
        <f t="shared" si="13"/>
        <v>117000</v>
      </c>
      <c r="EA10" s="867">
        <f>DZ10/DV10</f>
        <v>0.23923444976076555</v>
      </c>
      <c r="EB10" s="870">
        <f t="shared" ref="EB10:EH10" si="14">SUM(EB6:EB9)</f>
        <v>1</v>
      </c>
      <c r="EC10" s="863">
        <f t="shared" si="14"/>
        <v>8432</v>
      </c>
      <c r="ED10" s="863">
        <f t="shared" si="14"/>
        <v>505920</v>
      </c>
      <c r="EE10" s="864">
        <f t="shared" si="14"/>
        <v>6201</v>
      </c>
      <c r="EF10" s="865">
        <f t="shared" si="14"/>
        <v>372060</v>
      </c>
      <c r="EG10" s="863">
        <f t="shared" si="14"/>
        <v>2231</v>
      </c>
      <c r="EH10" s="863">
        <f t="shared" si="14"/>
        <v>133860</v>
      </c>
      <c r="EI10" s="867">
        <f>EH10/ED10</f>
        <v>0.26458728652751423</v>
      </c>
      <c r="EJ10" s="870">
        <f t="shared" ref="EJ10:EP10" si="15">SUM(EJ6:EJ9)</f>
        <v>1</v>
      </c>
      <c r="EK10" s="863">
        <f t="shared" si="15"/>
        <v>8432</v>
      </c>
      <c r="EL10" s="863">
        <f t="shared" si="15"/>
        <v>505920</v>
      </c>
      <c r="EM10" s="864">
        <f t="shared" si="15"/>
        <v>6201</v>
      </c>
      <c r="EN10" s="865">
        <f t="shared" si="15"/>
        <v>372060</v>
      </c>
      <c r="EO10" s="863">
        <f t="shared" si="15"/>
        <v>2231</v>
      </c>
      <c r="EP10" s="863">
        <f t="shared" si="15"/>
        <v>133860</v>
      </c>
      <c r="EQ10" s="867">
        <f>EP10/EL10</f>
        <v>0.26458728652751423</v>
      </c>
      <c r="ER10" s="863">
        <f t="shared" ref="ER10:EX10" si="16">SUM(ER6:ER9)</f>
        <v>1</v>
      </c>
      <c r="ES10" s="863">
        <f t="shared" si="16"/>
        <v>8432</v>
      </c>
      <c r="ET10" s="863">
        <f t="shared" si="16"/>
        <v>505920</v>
      </c>
      <c r="EU10" s="864">
        <f t="shared" si="16"/>
        <v>6201</v>
      </c>
      <c r="EV10" s="865">
        <f t="shared" si="16"/>
        <v>372060</v>
      </c>
      <c r="EW10" s="863">
        <f t="shared" si="16"/>
        <v>2231</v>
      </c>
      <c r="EX10" s="863">
        <f t="shared" si="16"/>
        <v>133860</v>
      </c>
      <c r="EY10" s="866">
        <f>EX10/ET10</f>
        <v>0.26458728652751423</v>
      </c>
      <c r="EZ10" s="870">
        <f t="shared" ref="EZ10:FF10" si="17">SUM(EZ6:EZ9)</f>
        <v>1</v>
      </c>
      <c r="FA10" s="863">
        <f t="shared" si="17"/>
        <v>8162</v>
      </c>
      <c r="FB10" s="863">
        <f t="shared" si="17"/>
        <v>489720</v>
      </c>
      <c r="FC10" s="868">
        <f t="shared" si="17"/>
        <v>6201</v>
      </c>
      <c r="FD10" s="869">
        <f t="shared" si="17"/>
        <v>372060</v>
      </c>
      <c r="FE10" s="863">
        <f t="shared" si="17"/>
        <v>1961</v>
      </c>
      <c r="FF10" s="863">
        <f t="shared" si="17"/>
        <v>117660</v>
      </c>
      <c r="FG10" s="867">
        <f>FF10/FB10</f>
        <v>0.24025974025974026</v>
      </c>
      <c r="FH10" s="870">
        <f t="shared" ref="FH10:FN10" si="18">SUM(FH6:FH9)</f>
        <v>1</v>
      </c>
      <c r="FI10" s="863">
        <f t="shared" si="18"/>
        <v>8780</v>
      </c>
      <c r="FJ10" s="863">
        <f t="shared" si="18"/>
        <v>526800</v>
      </c>
      <c r="FK10" s="868">
        <f t="shared" si="18"/>
        <v>6552</v>
      </c>
      <c r="FL10" s="869">
        <f t="shared" si="18"/>
        <v>393120</v>
      </c>
      <c r="FM10" s="863">
        <f t="shared" si="18"/>
        <v>2228</v>
      </c>
      <c r="FN10" s="863">
        <f t="shared" si="18"/>
        <v>133680</v>
      </c>
      <c r="FO10" s="867">
        <f>FN10/FJ10</f>
        <v>0.25375854214123006</v>
      </c>
      <c r="FP10" s="870">
        <f t="shared" ref="FP10:FV10" si="19">SUM(FP6:FP9)</f>
        <v>1</v>
      </c>
      <c r="FQ10" s="863">
        <f t="shared" si="19"/>
        <v>6234</v>
      </c>
      <c r="FR10" s="863">
        <f t="shared" si="19"/>
        <v>374040</v>
      </c>
      <c r="FS10" s="868">
        <f t="shared" si="19"/>
        <v>7504</v>
      </c>
      <c r="FT10" s="869">
        <f t="shared" si="19"/>
        <v>450240</v>
      </c>
      <c r="FU10" s="863">
        <f t="shared" si="19"/>
        <v>-1270</v>
      </c>
      <c r="FV10" s="863">
        <f t="shared" si="19"/>
        <v>-76200</v>
      </c>
      <c r="FW10" s="866">
        <f>FV10/FR10</f>
        <v>-0.20372152710940006</v>
      </c>
      <c r="FX10" s="870">
        <f t="shared" ref="FX10:GD10" si="20">SUM(FX6:FX9)</f>
        <v>1</v>
      </c>
      <c r="FY10" s="863">
        <f t="shared" si="20"/>
        <v>17560</v>
      </c>
      <c r="FZ10" s="863">
        <f t="shared" si="20"/>
        <v>1053600</v>
      </c>
      <c r="GA10" s="868">
        <f t="shared" si="20"/>
        <v>13104</v>
      </c>
      <c r="GB10" s="869">
        <f t="shared" si="20"/>
        <v>786240</v>
      </c>
      <c r="GC10" s="863">
        <f t="shared" si="20"/>
        <v>4456</v>
      </c>
      <c r="GD10" s="863">
        <f t="shared" si="20"/>
        <v>267360</v>
      </c>
      <c r="GE10" s="867">
        <f>GD10/FZ10</f>
        <v>0.25375854214123006</v>
      </c>
      <c r="GF10" s="870">
        <f t="shared" ref="GF10:GL10" si="21">SUM(GF6:GF9)</f>
        <v>1</v>
      </c>
      <c r="GG10" s="863">
        <f t="shared" si="21"/>
        <v>0</v>
      </c>
      <c r="GH10" s="863">
        <f t="shared" si="21"/>
        <v>0</v>
      </c>
      <c r="GI10" s="868">
        <f t="shared" si="21"/>
        <v>0</v>
      </c>
      <c r="GJ10" s="869">
        <f t="shared" si="21"/>
        <v>0</v>
      </c>
      <c r="GK10" s="863">
        <f t="shared" si="21"/>
        <v>0</v>
      </c>
      <c r="GL10" s="863">
        <f t="shared" si="21"/>
        <v>0</v>
      </c>
      <c r="GM10" s="867" t="e">
        <f>GL10/GH10</f>
        <v>#DIV/0!</v>
      </c>
      <c r="GN10" s="870">
        <f t="shared" ref="GN10:GT10" si="22">SUM(GN6:GN9)</f>
        <v>1</v>
      </c>
      <c r="GO10" s="863">
        <f t="shared" si="22"/>
        <v>0</v>
      </c>
      <c r="GP10" s="863">
        <f t="shared" si="22"/>
        <v>0</v>
      </c>
      <c r="GQ10" s="868">
        <f t="shared" si="22"/>
        <v>0</v>
      </c>
      <c r="GR10" s="869">
        <f t="shared" si="22"/>
        <v>0</v>
      </c>
      <c r="GS10" s="863">
        <f t="shared" si="22"/>
        <v>0</v>
      </c>
      <c r="GT10" s="863">
        <f t="shared" si="22"/>
        <v>0</v>
      </c>
      <c r="GU10" s="867" t="e">
        <f>GT10/GP10</f>
        <v>#DIV/0!</v>
      </c>
      <c r="GV10" s="870">
        <f t="shared" ref="GV10:HB10" si="23">SUM(GV6:GV9)</f>
        <v>1</v>
      </c>
      <c r="GW10" s="863">
        <f t="shared" si="23"/>
        <v>90912</v>
      </c>
      <c r="GX10" s="863">
        <f t="shared" si="23"/>
        <v>5454720</v>
      </c>
      <c r="GY10" s="864">
        <f t="shared" si="23"/>
        <v>72502</v>
      </c>
      <c r="GZ10" s="865">
        <f t="shared" si="23"/>
        <v>4350120</v>
      </c>
      <c r="HA10" s="863">
        <f t="shared" si="23"/>
        <v>18410</v>
      </c>
      <c r="HB10" s="863">
        <f t="shared" si="23"/>
        <v>1104600</v>
      </c>
      <c r="HC10" s="867">
        <f>HB10/GX10</f>
        <v>0.20250351988736359</v>
      </c>
      <c r="HE10" s="1648">
        <f>FB10*5</f>
        <v>2448600</v>
      </c>
      <c r="HF10" s="1648"/>
    </row>
    <row r="11" spans="1:214" ht="15.6" x14ac:dyDescent="0.35">
      <c r="A11" s="21"/>
      <c r="B11" s="22"/>
      <c r="C11" s="21"/>
      <c r="D11" s="271"/>
      <c r="E11" s="23"/>
      <c r="F11" s="271"/>
      <c r="G11" s="23"/>
      <c r="H11" s="23"/>
      <c r="I11" s="23"/>
      <c r="J11" s="24"/>
      <c r="K11" s="21"/>
      <c r="L11" s="23"/>
      <c r="M11" s="23"/>
      <c r="N11" s="23"/>
      <c r="O11" s="23"/>
      <c r="P11" s="23"/>
      <c r="Q11" s="23"/>
      <c r="R11" s="24"/>
      <c r="S11" s="21"/>
      <c r="T11" s="23"/>
      <c r="U11" s="23"/>
      <c r="V11" s="23"/>
      <c r="W11" s="23"/>
      <c r="X11" s="23"/>
      <c r="Y11" s="23"/>
      <c r="Z11" s="24"/>
      <c r="AA11" s="21"/>
      <c r="AB11" s="23"/>
      <c r="AC11" s="23"/>
      <c r="AD11" s="23"/>
      <c r="AE11" s="23"/>
      <c r="AF11" s="23"/>
      <c r="AG11" s="23"/>
      <c r="AH11" s="24"/>
      <c r="AI11" s="21"/>
      <c r="AJ11" s="23"/>
      <c r="AK11" s="23"/>
      <c r="AL11" s="23"/>
      <c r="AM11" s="23"/>
      <c r="AN11" s="23"/>
      <c r="AO11" s="23"/>
      <c r="AP11" s="24"/>
      <c r="AQ11" s="23"/>
      <c r="AR11" s="23"/>
      <c r="AS11" s="23"/>
      <c r="AT11" s="23"/>
      <c r="AU11" s="23"/>
      <c r="AV11" s="23"/>
      <c r="AW11" s="23"/>
      <c r="AX11" s="23"/>
      <c r="AY11" s="21"/>
      <c r="AZ11" s="23"/>
      <c r="BA11" s="23"/>
      <c r="BB11" s="23"/>
      <c r="BC11" s="23"/>
      <c r="BD11" s="23"/>
      <c r="BE11" s="23"/>
      <c r="BF11" s="24"/>
      <c r="BG11" s="21"/>
      <c r="BH11" s="23"/>
      <c r="BI11" s="23"/>
      <c r="BJ11" s="23"/>
      <c r="BK11" s="23"/>
      <c r="BL11" s="23"/>
      <c r="BM11" s="23"/>
      <c r="BN11" s="24"/>
      <c r="BO11" s="23"/>
      <c r="BP11" s="23"/>
      <c r="BQ11" s="23"/>
      <c r="BR11" s="23"/>
      <c r="BS11" s="23"/>
      <c r="BT11" s="23"/>
      <c r="BU11" s="23"/>
      <c r="BV11" s="23"/>
      <c r="BW11" s="21"/>
      <c r="BX11" s="23"/>
      <c r="BY11" s="23"/>
      <c r="BZ11" s="23"/>
      <c r="CA11" s="23"/>
      <c r="CB11" s="23"/>
      <c r="CC11" s="23"/>
      <c r="CD11" s="24"/>
      <c r="CE11" s="23"/>
      <c r="CF11" s="23"/>
      <c r="CG11" s="23"/>
      <c r="CH11" s="23"/>
      <c r="CI11" s="23"/>
      <c r="CJ11" s="23"/>
      <c r="CK11" s="23"/>
      <c r="CL11" s="23"/>
      <c r="CM11" s="21"/>
      <c r="CN11" s="23"/>
      <c r="CO11" s="23"/>
      <c r="CP11" s="23"/>
      <c r="CQ11" s="23"/>
      <c r="CR11" s="23"/>
      <c r="CS11" s="23"/>
      <c r="CT11" s="24"/>
      <c r="CU11" s="21"/>
      <c r="CV11" s="23"/>
      <c r="CW11" s="23"/>
      <c r="CX11" s="23"/>
      <c r="CY11" s="23"/>
      <c r="CZ11" s="23"/>
      <c r="DA11" s="23"/>
      <c r="DB11" s="30"/>
      <c r="DD11" s="21"/>
      <c r="DE11" s="271"/>
      <c r="DF11" s="23"/>
      <c r="DG11" s="271"/>
      <c r="DH11" s="23"/>
      <c r="DI11" s="23"/>
      <c r="DJ11" s="23"/>
      <c r="DK11" s="24"/>
      <c r="DL11" s="21"/>
      <c r="DM11" s="23"/>
      <c r="DN11" s="23"/>
      <c r="DO11" s="23"/>
      <c r="DP11" s="23"/>
      <c r="DQ11" s="23"/>
      <c r="DR11" s="23"/>
      <c r="DS11" s="24"/>
      <c r="DT11" s="21"/>
      <c r="DU11" s="23"/>
      <c r="DV11" s="23"/>
      <c r="DW11" s="23"/>
      <c r="DX11" s="23"/>
      <c r="DY11" s="23"/>
      <c r="DZ11" s="23"/>
      <c r="EA11" s="24"/>
      <c r="EB11" s="21"/>
      <c r="EC11" s="23"/>
      <c r="ED11" s="23"/>
      <c r="EE11" s="23"/>
      <c r="EF11" s="23"/>
      <c r="EG11" s="23"/>
      <c r="EH11" s="23"/>
      <c r="EI11" s="24"/>
      <c r="EJ11" s="21"/>
      <c r="EK11" s="23"/>
      <c r="EL11" s="23"/>
      <c r="EM11" s="23"/>
      <c r="EN11" s="23"/>
      <c r="EO11" s="23"/>
      <c r="EP11" s="23"/>
      <c r="EQ11" s="24"/>
      <c r="ER11" s="23"/>
      <c r="ES11" s="23"/>
      <c r="ET11" s="23"/>
      <c r="EU11" s="23"/>
      <c r="EV11" s="23"/>
      <c r="EW11" s="23"/>
      <c r="EX11" s="23"/>
      <c r="EY11" s="23"/>
      <c r="EZ11" s="21"/>
      <c r="FA11" s="23"/>
      <c r="FB11" s="23"/>
      <c r="FC11" s="23"/>
      <c r="FD11" s="23"/>
      <c r="FE11" s="23"/>
      <c r="FF11" s="23"/>
      <c r="FG11" s="24"/>
      <c r="FH11" s="21"/>
      <c r="FI11" s="23"/>
      <c r="FJ11" s="23"/>
      <c r="FK11" s="23"/>
      <c r="FL11" s="23"/>
      <c r="FM11" s="23"/>
      <c r="FN11" s="23"/>
      <c r="FO11" s="24"/>
      <c r="FP11" s="23"/>
      <c r="FQ11" s="23"/>
      <c r="FR11" s="23"/>
      <c r="FS11" s="23"/>
      <c r="FT11" s="23"/>
      <c r="FU11" s="23"/>
      <c r="FV11" s="23"/>
      <c r="FW11" s="23"/>
      <c r="FX11" s="21"/>
      <c r="FY11" s="23"/>
      <c r="FZ11" s="23"/>
      <c r="GA11" s="23"/>
      <c r="GB11" s="23"/>
      <c r="GC11" s="23"/>
      <c r="GD11" s="23"/>
      <c r="GE11" s="24"/>
      <c r="GF11" s="23"/>
      <c r="GG11" s="23"/>
      <c r="GH11" s="23"/>
      <c r="GI11" s="23"/>
      <c r="GJ11" s="23"/>
      <c r="GK11" s="23"/>
      <c r="GL11" s="23"/>
      <c r="GM11" s="23"/>
      <c r="GN11" s="21"/>
      <c r="GO11" s="23"/>
      <c r="GP11" s="23"/>
      <c r="GQ11" s="23"/>
      <c r="GR11" s="23"/>
      <c r="GS11" s="23"/>
      <c r="GT11" s="23"/>
      <c r="GU11" s="24"/>
      <c r="GV11" s="21"/>
      <c r="GW11" s="23"/>
      <c r="GX11" s="23"/>
      <c r="GY11" s="23"/>
      <c r="GZ11" s="23"/>
      <c r="HA11" s="23"/>
      <c r="HB11" s="23"/>
      <c r="HC11" s="30"/>
    </row>
    <row r="12" spans="1:214" x14ac:dyDescent="0.3">
      <c r="A12" s="12"/>
      <c r="B12" s="31" t="s">
        <v>597</v>
      </c>
      <c r="C12" s="12"/>
      <c r="D12" s="172"/>
      <c r="E12" s="1"/>
      <c r="F12" s="172"/>
      <c r="G12" s="1"/>
      <c r="H12" s="1"/>
      <c r="I12" s="1"/>
      <c r="J12" s="15"/>
      <c r="K12" s="12"/>
      <c r="L12" s="1"/>
      <c r="M12" s="1"/>
      <c r="N12" s="1"/>
      <c r="O12" s="1"/>
      <c r="P12" s="1"/>
      <c r="Q12" s="1"/>
      <c r="R12" s="15"/>
      <c r="S12" s="12"/>
      <c r="T12" s="1"/>
      <c r="U12" s="1"/>
      <c r="V12" s="1"/>
      <c r="W12" s="1"/>
      <c r="X12" s="1"/>
      <c r="Y12" s="1"/>
      <c r="Z12" s="15"/>
      <c r="AA12" s="12"/>
      <c r="AB12" s="1"/>
      <c r="AC12" s="1"/>
      <c r="AD12" s="1"/>
      <c r="AE12" s="1"/>
      <c r="AF12" s="1"/>
      <c r="AG12" s="1"/>
      <c r="AH12" s="15"/>
      <c r="AI12" s="12"/>
      <c r="AJ12" s="1"/>
      <c r="AK12" s="1"/>
      <c r="AL12" s="1"/>
      <c r="AM12" s="1"/>
      <c r="AN12" s="1"/>
      <c r="AO12" s="1"/>
      <c r="AP12" s="15"/>
      <c r="AQ12" s="1"/>
      <c r="AR12" s="1"/>
      <c r="AS12" s="1"/>
      <c r="AT12" s="1"/>
      <c r="AU12" s="1"/>
      <c r="AV12" s="1"/>
      <c r="AW12" s="1"/>
      <c r="AX12" s="1"/>
      <c r="AY12" s="12"/>
      <c r="AZ12" s="1"/>
      <c r="BA12" s="1"/>
      <c r="BB12" s="1"/>
      <c r="BC12" s="1"/>
      <c r="BD12" s="1"/>
      <c r="BE12" s="1"/>
      <c r="BF12" s="15"/>
      <c r="BG12" s="12"/>
      <c r="BH12" s="1"/>
      <c r="BI12" s="1"/>
      <c r="BJ12" s="1"/>
      <c r="BK12" s="1"/>
      <c r="BL12" s="1"/>
      <c r="BM12" s="1"/>
      <c r="BN12" s="15"/>
      <c r="BO12" s="1"/>
      <c r="BP12" s="1"/>
      <c r="BQ12" s="1"/>
      <c r="BR12" s="1"/>
      <c r="BS12" s="1"/>
      <c r="BT12" s="1"/>
      <c r="BU12" s="1"/>
      <c r="BV12" s="1"/>
      <c r="BW12" s="12"/>
      <c r="BX12" s="1"/>
      <c r="BY12" s="1"/>
      <c r="BZ12" s="1"/>
      <c r="CA12" s="1"/>
      <c r="CB12" s="1"/>
      <c r="CC12" s="1"/>
      <c r="CD12" s="15"/>
      <c r="CE12" s="1"/>
      <c r="CF12" s="1"/>
      <c r="CG12" s="1"/>
      <c r="CH12" s="1"/>
      <c r="CI12" s="1"/>
      <c r="CJ12" s="1"/>
      <c r="CK12" s="1"/>
      <c r="CL12" s="15"/>
      <c r="CM12" s="12"/>
      <c r="CN12" s="1"/>
      <c r="CO12" s="1"/>
      <c r="CP12" s="1"/>
      <c r="CQ12" s="1"/>
      <c r="CR12" s="1"/>
      <c r="CS12" s="1"/>
      <c r="CT12" s="15"/>
      <c r="CU12" s="12"/>
      <c r="CV12" s="1"/>
      <c r="CW12" s="1"/>
      <c r="CX12" s="1"/>
      <c r="CY12" s="1"/>
      <c r="CZ12" s="172">
        <f>BT12+BL12+BD12+AV12+AN12+AF12+X12+P12+H12</f>
        <v>0</v>
      </c>
      <c r="DA12" s="172">
        <f>BU12+BM12+BE12+AW12+AO12+AG12+Y12+Q12+I12</f>
        <v>0</v>
      </c>
      <c r="DB12" s="17"/>
      <c r="DD12" s="12"/>
      <c r="DE12" s="172"/>
      <c r="DF12" s="1"/>
      <c r="DG12" s="172"/>
      <c r="DH12" s="1"/>
      <c r="DI12" s="1"/>
      <c r="DJ12" s="1"/>
      <c r="DK12" s="15"/>
      <c r="DL12" s="12"/>
      <c r="DM12" s="1"/>
      <c r="DN12" s="1"/>
      <c r="DO12" s="1"/>
      <c r="DP12" s="1"/>
      <c r="DQ12" s="1"/>
      <c r="DR12" s="1"/>
      <c r="DS12" s="15"/>
      <c r="DT12" s="12"/>
      <c r="DU12" s="1"/>
      <c r="DV12" s="1"/>
      <c r="DW12" s="1"/>
      <c r="DX12" s="1"/>
      <c r="DY12" s="1"/>
      <c r="DZ12" s="1"/>
      <c r="EA12" s="15"/>
      <c r="EB12" s="12"/>
      <c r="EC12" s="1"/>
      <c r="ED12" s="1"/>
      <c r="EE12" s="1"/>
      <c r="EF12" s="1"/>
      <c r="EG12" s="1"/>
      <c r="EH12" s="1"/>
      <c r="EI12" s="15"/>
      <c r="EJ12" s="12"/>
      <c r="EK12" s="1"/>
      <c r="EL12" s="1"/>
      <c r="EM12" s="1"/>
      <c r="EN12" s="1"/>
      <c r="EO12" s="1"/>
      <c r="EP12" s="1"/>
      <c r="EQ12" s="15"/>
      <c r="ER12" s="1"/>
      <c r="ES12" s="1"/>
      <c r="ET12" s="1"/>
      <c r="EU12" s="1"/>
      <c r="EV12" s="1"/>
      <c r="EW12" s="1"/>
      <c r="EX12" s="1"/>
      <c r="EY12" s="1"/>
      <c r="EZ12" s="12"/>
      <c r="FA12" s="1"/>
      <c r="FB12" s="1"/>
      <c r="FC12" s="1"/>
      <c r="FD12" s="1"/>
      <c r="FE12" s="1"/>
      <c r="FF12" s="1"/>
      <c r="FG12" s="15"/>
      <c r="FH12" s="12"/>
      <c r="FI12" s="1"/>
      <c r="FJ12" s="1"/>
      <c r="FK12" s="1"/>
      <c r="FL12" s="1"/>
      <c r="FM12" s="1"/>
      <c r="FN12" s="1"/>
      <c r="FO12" s="15"/>
      <c r="FP12" s="1"/>
      <c r="FQ12" s="1"/>
      <c r="FR12" s="1"/>
      <c r="FS12" s="1"/>
      <c r="FT12" s="1"/>
      <c r="FU12" s="1"/>
      <c r="FV12" s="1"/>
      <c r="FW12" s="1"/>
      <c r="FX12" s="12"/>
      <c r="FY12" s="1"/>
      <c r="FZ12" s="1"/>
      <c r="GA12" s="1"/>
      <c r="GB12" s="1"/>
      <c r="GC12" s="1"/>
      <c r="GD12" s="1"/>
      <c r="GE12" s="15"/>
      <c r="GF12" s="1"/>
      <c r="GG12" s="1"/>
      <c r="GH12" s="1"/>
      <c r="GI12" s="1"/>
      <c r="GJ12" s="1"/>
      <c r="GK12" s="1"/>
      <c r="GL12" s="1"/>
      <c r="GM12" s="15"/>
      <c r="GN12" s="12"/>
      <c r="GO12" s="1"/>
      <c r="GP12" s="1"/>
      <c r="GQ12" s="1"/>
      <c r="GR12" s="1"/>
      <c r="GS12" s="1"/>
      <c r="GT12" s="1"/>
      <c r="GU12" s="15"/>
      <c r="GV12" s="12"/>
      <c r="GW12" s="1"/>
      <c r="GX12" s="1"/>
      <c r="GY12" s="1"/>
      <c r="GZ12" s="1"/>
      <c r="HA12" s="172">
        <f>FU12+FM12+FE12+EW12+EO12+EG12+DY12+DQ12+DI12</f>
        <v>0</v>
      </c>
      <c r="HB12" s="172">
        <f>FV12+FN12+FF12+EX12+EP12+EH12+DZ12+DR12+DJ12</f>
        <v>0</v>
      </c>
      <c r="HC12" s="17"/>
      <c r="HE12" s="1648">
        <f>FF10*5</f>
        <v>588300</v>
      </c>
    </row>
    <row r="13" spans="1:214" x14ac:dyDescent="0.3">
      <c r="A13" s="12"/>
      <c r="B13" s="32" t="s">
        <v>23</v>
      </c>
      <c r="C13" s="12"/>
      <c r="D13" s="172"/>
      <c r="E13" s="1"/>
      <c r="F13" s="172"/>
      <c r="G13" s="1"/>
      <c r="H13" s="1">
        <v>69</v>
      </c>
      <c r="I13" s="172">
        <f t="shared" ref="I13:I18" si="24">H13*60</f>
        <v>4140</v>
      </c>
      <c r="J13" s="15"/>
      <c r="K13" s="12"/>
      <c r="L13" s="1"/>
      <c r="M13" s="1"/>
      <c r="N13" s="1"/>
      <c r="O13" s="1"/>
      <c r="P13" s="172">
        <f>400+44</f>
        <v>444</v>
      </c>
      <c r="Q13" s="172">
        <f>P13*60</f>
        <v>26640</v>
      </c>
      <c r="R13" s="15"/>
      <c r="S13" s="12"/>
      <c r="T13" s="1"/>
      <c r="U13" s="1"/>
      <c r="V13" s="1"/>
      <c r="W13" s="1"/>
      <c r="X13" s="1">
        <v>15</v>
      </c>
      <c r="Y13" s="172">
        <f>X13*60</f>
        <v>900</v>
      </c>
      <c r="Z13" s="15"/>
      <c r="AA13" s="12"/>
      <c r="AB13" s="1"/>
      <c r="AC13" s="1"/>
      <c r="AD13" s="1"/>
      <c r="AE13" s="1"/>
      <c r="AF13" s="329">
        <v>0</v>
      </c>
      <c r="AG13" s="172">
        <f>AF13*60</f>
        <v>0</v>
      </c>
      <c r="AH13" s="15"/>
      <c r="AI13" s="12"/>
      <c r="AJ13" s="1"/>
      <c r="AK13" s="1"/>
      <c r="AL13" s="1"/>
      <c r="AM13" s="1"/>
      <c r="AN13" s="329">
        <v>0</v>
      </c>
      <c r="AO13" s="172">
        <f t="shared" ref="AO13:AO20" si="25">AN13*60</f>
        <v>0</v>
      </c>
      <c r="AP13" s="15"/>
      <c r="AQ13" s="1"/>
      <c r="AR13" s="1"/>
      <c r="AS13" s="1"/>
      <c r="AT13" s="1"/>
      <c r="AU13" s="1"/>
      <c r="AV13" s="1"/>
      <c r="AW13" s="1"/>
      <c r="AX13" s="1"/>
      <c r="AY13" s="12"/>
      <c r="AZ13" s="1"/>
      <c r="BA13" s="1"/>
      <c r="BB13" s="1"/>
      <c r="BC13" s="1"/>
      <c r="BD13" s="1"/>
      <c r="BE13" s="1"/>
      <c r="BF13" s="15"/>
      <c r="BG13" s="12"/>
      <c r="BH13" s="1"/>
      <c r="BI13" s="1"/>
      <c r="BJ13" s="1"/>
      <c r="BK13" s="1"/>
      <c r="BL13" s="1"/>
      <c r="BM13" s="1"/>
      <c r="BN13" s="15"/>
      <c r="BO13" s="1"/>
      <c r="BP13" s="1"/>
      <c r="BQ13" s="1"/>
      <c r="BR13" s="1"/>
      <c r="BS13" s="1"/>
      <c r="BT13" s="1"/>
      <c r="BU13" s="1"/>
      <c r="BV13" s="1"/>
      <c r="BW13" s="12"/>
      <c r="BX13" s="1"/>
      <c r="BY13" s="1"/>
      <c r="BZ13" s="1"/>
      <c r="CA13" s="1"/>
      <c r="CB13" s="1"/>
      <c r="CC13" s="1"/>
      <c r="CD13" s="15"/>
      <c r="CE13" s="1"/>
      <c r="CF13" s="1"/>
      <c r="CG13" s="1"/>
      <c r="CH13" s="1"/>
      <c r="CI13" s="1"/>
      <c r="CJ13" s="1"/>
      <c r="CK13" s="1"/>
      <c r="CL13" s="15"/>
      <c r="CM13" s="12"/>
      <c r="CN13" s="1"/>
      <c r="CO13" s="1"/>
      <c r="CP13" s="1"/>
      <c r="CQ13" s="1"/>
      <c r="CR13" s="1"/>
      <c r="CS13" s="1"/>
      <c r="CT13" s="15"/>
      <c r="CU13" s="12"/>
      <c r="CV13" s="1"/>
      <c r="CW13" s="1"/>
      <c r="CX13" s="9">
        <f>AT13+AL13+AD13+V13+N13+F13+BB13+BJ13+BR13+BZ13+CH13+CP13</f>
        <v>0</v>
      </c>
      <c r="CY13" s="1"/>
      <c r="CZ13" s="9">
        <f>AV13+AN13+AF13+X13+P13+H13+BD13+BL13+BT13+CB13+CJ13+CR13</f>
        <v>528</v>
      </c>
      <c r="DA13" s="9">
        <f>AW13+AO13+AG13+Y13+Q13+I13+BE13+BM13+BU13+CC13+CK13+CS13</f>
        <v>31680</v>
      </c>
      <c r="DB13" s="17"/>
      <c r="DD13" s="12"/>
      <c r="DE13" s="172"/>
      <c r="DF13" s="1"/>
      <c r="DG13" s="172"/>
      <c r="DH13" s="1"/>
      <c r="DI13" s="329">
        <v>0</v>
      </c>
      <c r="DJ13" s="172">
        <f>DI13*60</f>
        <v>0</v>
      </c>
      <c r="DK13" s="15"/>
      <c r="DL13" s="12"/>
      <c r="DM13" s="1"/>
      <c r="DN13" s="1"/>
      <c r="DO13" s="1"/>
      <c r="DP13" s="1"/>
      <c r="DQ13" s="172">
        <v>0</v>
      </c>
      <c r="DR13" s="172">
        <f>DQ13*60</f>
        <v>0</v>
      </c>
      <c r="DS13" s="15"/>
      <c r="DT13" s="12"/>
      <c r="DU13" s="1"/>
      <c r="DV13" s="1"/>
      <c r="DW13" s="1"/>
      <c r="DX13" s="1"/>
      <c r="DY13" s="329">
        <v>0</v>
      </c>
      <c r="DZ13" s="172">
        <f>DY13*60</f>
        <v>0</v>
      </c>
      <c r="EA13" s="15"/>
      <c r="EB13" s="12"/>
      <c r="EC13" s="1"/>
      <c r="ED13" s="1"/>
      <c r="EE13" s="1"/>
      <c r="EF13" s="1"/>
      <c r="EG13" s="329">
        <v>0</v>
      </c>
      <c r="EH13" s="172">
        <f>EG13*60</f>
        <v>0</v>
      </c>
      <c r="EI13" s="15"/>
      <c r="EJ13" s="12"/>
      <c r="EK13" s="1"/>
      <c r="EL13" s="1"/>
      <c r="EM13" s="1"/>
      <c r="EN13" s="1"/>
      <c r="EO13" s="329">
        <v>0</v>
      </c>
      <c r="EP13" s="172">
        <f>EO13*60</f>
        <v>0</v>
      </c>
      <c r="EQ13" s="15"/>
      <c r="ER13" s="1"/>
      <c r="ES13" s="1"/>
      <c r="ET13" s="1"/>
      <c r="EU13" s="1"/>
      <c r="EV13" s="1"/>
      <c r="EW13" s="1"/>
      <c r="EX13" s="1"/>
      <c r="EY13" s="1"/>
      <c r="EZ13" s="12"/>
      <c r="FA13" s="1"/>
      <c r="FB13" s="1"/>
      <c r="FC13" s="1"/>
      <c r="FD13" s="1"/>
      <c r="FE13" s="1"/>
      <c r="FF13" s="1"/>
      <c r="FG13" s="15"/>
      <c r="FH13" s="12"/>
      <c r="FI13" s="1"/>
      <c r="FJ13" s="1"/>
      <c r="FK13" s="1"/>
      <c r="FL13" s="1"/>
      <c r="FM13" s="1">
        <v>500</v>
      </c>
      <c r="FN13" s="172">
        <f>FM13*60</f>
        <v>30000</v>
      </c>
      <c r="FO13" s="15"/>
      <c r="FP13" s="1"/>
      <c r="FQ13" s="1"/>
      <c r="FR13" s="1"/>
      <c r="FS13" s="1"/>
      <c r="FT13" s="1"/>
      <c r="FU13" s="329">
        <v>0</v>
      </c>
      <c r="FV13" s="172">
        <f>FU13*60</f>
        <v>0</v>
      </c>
      <c r="FW13" s="1"/>
      <c r="FX13" s="12"/>
      <c r="FY13" s="1"/>
      <c r="FZ13" s="1"/>
      <c r="GA13" s="1"/>
      <c r="GB13" s="1"/>
      <c r="GC13" s="1"/>
      <c r="GD13" s="1"/>
      <c r="GE13" s="15"/>
      <c r="GF13" s="1"/>
      <c r="GG13" s="1"/>
      <c r="GH13" s="1"/>
      <c r="GI13" s="1"/>
      <c r="GJ13" s="1"/>
      <c r="GK13" s="1"/>
      <c r="GL13" s="1"/>
      <c r="GM13" s="15"/>
      <c r="GN13" s="12"/>
      <c r="GO13" s="1"/>
      <c r="GP13" s="1"/>
      <c r="GQ13" s="1"/>
      <c r="GR13" s="1"/>
      <c r="GS13" s="1"/>
      <c r="GT13" s="1"/>
      <c r="GU13" s="15"/>
      <c r="GV13" s="12"/>
      <c r="GW13" s="1"/>
      <c r="GX13" s="1"/>
      <c r="GY13" s="9">
        <f>EU13+EM13+EE13+DW13+DO13+DG13+FC13+FK13+FS13+GA13+GI13+GQ13</f>
        <v>0</v>
      </c>
      <c r="GZ13" s="1"/>
      <c r="HA13" s="9">
        <f>EW13+EO13+EG13+DY13+DQ13+DI13+FE13+FM13+FU13+GC13+GK13+GS13</f>
        <v>500</v>
      </c>
      <c r="HB13" s="9">
        <f>EX13+EP13+EH13+DZ13+DR13+DJ13+FF13+FN13+FV13+GD13+GL13+GT13</f>
        <v>30000</v>
      </c>
      <c r="HC13" s="17"/>
    </row>
    <row r="14" spans="1:214" x14ac:dyDescent="0.3">
      <c r="A14" s="12"/>
      <c r="B14" s="1" t="s">
        <v>25</v>
      </c>
      <c r="C14" s="12"/>
      <c r="D14" s="172"/>
      <c r="E14" s="1"/>
      <c r="F14" s="172"/>
      <c r="G14" s="1"/>
      <c r="H14" s="1"/>
      <c r="I14" s="172">
        <f t="shared" si="24"/>
        <v>0</v>
      </c>
      <c r="J14" s="15"/>
      <c r="K14" s="12"/>
      <c r="L14" s="1"/>
      <c r="M14" s="1"/>
      <c r="N14" s="1"/>
      <c r="O14" s="1"/>
      <c r="P14" s="1"/>
      <c r="Q14" s="172">
        <f t="shared" ref="Q14:Q20" si="26">P14*60</f>
        <v>0</v>
      </c>
      <c r="R14" s="15"/>
      <c r="S14" s="12"/>
      <c r="T14" s="1"/>
      <c r="U14" s="1"/>
      <c r="V14" s="1"/>
      <c r="W14" s="1"/>
      <c r="X14" s="1"/>
      <c r="Y14" s="172">
        <f t="shared" ref="Y14:Y20" si="27">X14*60</f>
        <v>0</v>
      </c>
      <c r="Z14" s="15"/>
      <c r="AA14" s="12"/>
      <c r="AB14" s="1"/>
      <c r="AC14" s="1"/>
      <c r="AD14" s="1"/>
      <c r="AE14" s="1"/>
      <c r="AF14" s="1">
        <v>0</v>
      </c>
      <c r="AG14" s="172">
        <f t="shared" ref="AG14:AG20" si="28">AF14*60</f>
        <v>0</v>
      </c>
      <c r="AH14" s="15"/>
      <c r="AI14" s="12"/>
      <c r="AJ14" s="1"/>
      <c r="AK14" s="1"/>
      <c r="AL14" s="1"/>
      <c r="AM14" s="1"/>
      <c r="AN14" s="1">
        <v>0</v>
      </c>
      <c r="AO14" s="172">
        <f t="shared" si="25"/>
        <v>0</v>
      </c>
      <c r="AP14" s="15"/>
      <c r="AQ14" s="1"/>
      <c r="AR14" s="1"/>
      <c r="AS14" s="1"/>
      <c r="AT14" s="1"/>
      <c r="AU14" s="1"/>
      <c r="AV14" s="1"/>
      <c r="AW14" s="1"/>
      <c r="AX14" s="1"/>
      <c r="AY14" s="12"/>
      <c r="AZ14" s="1"/>
      <c r="BA14" s="1"/>
      <c r="BB14" s="1"/>
      <c r="BC14" s="1"/>
      <c r="BD14" s="1"/>
      <c r="BE14" s="1"/>
      <c r="BF14" s="15"/>
      <c r="BG14" s="12"/>
      <c r="BH14" s="1"/>
      <c r="BI14" s="1"/>
      <c r="BJ14" s="1"/>
      <c r="BK14" s="1"/>
      <c r="BL14" s="1"/>
      <c r="BM14" s="1"/>
      <c r="BN14" s="15"/>
      <c r="BO14" s="1"/>
      <c r="BP14" s="1"/>
      <c r="BQ14" s="1"/>
      <c r="BR14" s="1"/>
      <c r="BS14" s="1"/>
      <c r="BT14" s="1"/>
      <c r="BU14" s="1"/>
      <c r="BV14" s="1"/>
      <c r="BW14" s="12"/>
      <c r="BX14" s="1"/>
      <c r="BY14" s="1"/>
      <c r="BZ14" s="1"/>
      <c r="CA14" s="1"/>
      <c r="CB14" s="1"/>
      <c r="CC14" s="1"/>
      <c r="CD14" s="15"/>
      <c r="CE14" s="1"/>
      <c r="CF14" s="1"/>
      <c r="CG14" s="1"/>
      <c r="CH14" s="1"/>
      <c r="CI14" s="1"/>
      <c r="CJ14" s="1"/>
      <c r="CK14" s="1"/>
      <c r="CL14" s="15"/>
      <c r="CM14" s="12"/>
      <c r="CN14" s="1"/>
      <c r="CO14" s="1"/>
      <c r="CP14" s="1"/>
      <c r="CQ14" s="1"/>
      <c r="CR14" s="1"/>
      <c r="CS14" s="1"/>
      <c r="CT14" s="15"/>
      <c r="CU14" s="12"/>
      <c r="CV14" s="1"/>
      <c r="CW14" s="1"/>
      <c r="CX14" s="1"/>
      <c r="CY14" s="1"/>
      <c r="CZ14" s="9">
        <f t="shared" ref="CZ14:DA21" si="29">AV14+AN14+AF14+X14+P14+H14+BD14+BL14+BT14+CB14+CJ14+CR14</f>
        <v>0</v>
      </c>
      <c r="DA14" s="9">
        <f t="shared" si="29"/>
        <v>0</v>
      </c>
      <c r="DB14" s="17"/>
      <c r="DD14" s="12"/>
      <c r="DE14" s="172"/>
      <c r="DF14" s="1"/>
      <c r="DG14" s="172"/>
      <c r="DH14" s="1"/>
      <c r="DI14" s="329">
        <v>0</v>
      </c>
      <c r="DJ14" s="172">
        <f>DI14*60</f>
        <v>0</v>
      </c>
      <c r="DK14" s="15"/>
      <c r="DL14" s="12"/>
      <c r="DM14" s="1"/>
      <c r="DN14" s="1"/>
      <c r="DO14" s="1"/>
      <c r="DP14" s="1"/>
      <c r="DQ14" s="172">
        <v>0</v>
      </c>
      <c r="DR14" s="172">
        <f t="shared" ref="DR14:DR20" si="30">DQ14*60</f>
        <v>0</v>
      </c>
      <c r="DS14" s="15"/>
      <c r="DT14" s="12"/>
      <c r="DU14" s="1"/>
      <c r="DV14" s="1"/>
      <c r="DW14" s="1"/>
      <c r="DX14" s="1"/>
      <c r="DY14" s="1"/>
      <c r="DZ14" s="172">
        <f>DY14*60</f>
        <v>0</v>
      </c>
      <c r="EA14" s="15"/>
      <c r="EB14" s="12"/>
      <c r="EC14" s="1"/>
      <c r="ED14" s="1"/>
      <c r="EE14" s="1"/>
      <c r="EF14" s="1"/>
      <c r="EG14" s="329">
        <v>0</v>
      </c>
      <c r="EH14" s="172">
        <f>EG14*60</f>
        <v>0</v>
      </c>
      <c r="EI14" s="15"/>
      <c r="EJ14" s="12"/>
      <c r="EK14" s="1"/>
      <c r="EL14" s="1"/>
      <c r="EM14" s="1"/>
      <c r="EN14" s="1"/>
      <c r="EO14" s="329">
        <v>0</v>
      </c>
      <c r="EP14" s="172">
        <f t="shared" ref="EP14:EP20" si="31">EO14*60</f>
        <v>0</v>
      </c>
      <c r="EQ14" s="15"/>
      <c r="ER14" s="1"/>
      <c r="ES14" s="1"/>
      <c r="ET14" s="1"/>
      <c r="EU14" s="1"/>
      <c r="EV14" s="1"/>
      <c r="EW14" s="1"/>
      <c r="EX14" s="172">
        <f t="shared" ref="EX14:EX20" si="32">EW14*60</f>
        <v>0</v>
      </c>
      <c r="EY14" s="1"/>
      <c r="EZ14" s="12"/>
      <c r="FA14" s="1"/>
      <c r="FB14" s="1"/>
      <c r="FC14" s="1"/>
      <c r="FD14" s="1"/>
      <c r="FE14" s="1"/>
      <c r="FF14" s="1"/>
      <c r="FG14" s="15"/>
      <c r="FH14" s="12"/>
      <c r="FI14" s="1"/>
      <c r="FJ14" s="1"/>
      <c r="FK14" s="1"/>
      <c r="FL14" s="1"/>
      <c r="FM14" s="1"/>
      <c r="FN14" s="1"/>
      <c r="FO14" s="15"/>
      <c r="FP14" s="1"/>
      <c r="FQ14" s="1"/>
      <c r="FR14" s="1"/>
      <c r="FS14" s="1"/>
      <c r="FT14" s="1"/>
      <c r="FU14" s="1"/>
      <c r="FV14" s="1"/>
      <c r="FW14" s="1"/>
      <c r="FX14" s="12"/>
      <c r="FY14" s="1"/>
      <c r="FZ14" s="1"/>
      <c r="GA14" s="1"/>
      <c r="GB14" s="1"/>
      <c r="GC14" s="1"/>
      <c r="GD14" s="1"/>
      <c r="GE14" s="15"/>
      <c r="GF14" s="1"/>
      <c r="GG14" s="1"/>
      <c r="GH14" s="1"/>
      <c r="GI14" s="1"/>
      <c r="GJ14" s="1"/>
      <c r="GK14" s="1"/>
      <c r="GL14" s="1"/>
      <c r="GM14" s="15"/>
      <c r="GN14" s="12"/>
      <c r="GO14" s="1"/>
      <c r="GP14" s="1"/>
      <c r="GQ14" s="1"/>
      <c r="GR14" s="1"/>
      <c r="GS14" s="1"/>
      <c r="GT14" s="1"/>
      <c r="GU14" s="15"/>
      <c r="GV14" s="12"/>
      <c r="GW14" s="1"/>
      <c r="GX14" s="1"/>
      <c r="GY14" s="1"/>
      <c r="GZ14" s="1"/>
      <c r="HA14" s="9">
        <f t="shared" ref="HA14:HB21" si="33">EW14+EO14+EG14+DY14+DQ14+DI14+FE14+FM14+FU14+GC14+GK14+GS14</f>
        <v>0</v>
      </c>
      <c r="HB14" s="9">
        <f t="shared" si="33"/>
        <v>0</v>
      </c>
      <c r="HC14" s="17"/>
    </row>
    <row r="15" spans="1:214" x14ac:dyDescent="0.3">
      <c r="A15" s="12"/>
      <c r="B15" s="1" t="s">
        <v>26</v>
      </c>
      <c r="C15" s="12"/>
      <c r="D15" s="172"/>
      <c r="E15" s="1"/>
      <c r="F15" s="172"/>
      <c r="G15" s="1"/>
      <c r="H15" s="1"/>
      <c r="I15" s="172">
        <f t="shared" si="24"/>
        <v>0</v>
      </c>
      <c r="J15" s="15"/>
      <c r="K15" s="12"/>
      <c r="L15" s="1"/>
      <c r="M15" s="1"/>
      <c r="N15" s="1"/>
      <c r="O15" s="1"/>
      <c r="P15" s="1"/>
      <c r="Q15" s="172">
        <f t="shared" si="26"/>
        <v>0</v>
      </c>
      <c r="R15" s="15"/>
      <c r="S15" s="12"/>
      <c r="T15" s="1"/>
      <c r="U15" s="1"/>
      <c r="V15" s="1"/>
      <c r="W15" s="1"/>
      <c r="X15" s="329">
        <v>0</v>
      </c>
      <c r="Y15" s="172">
        <f t="shared" si="27"/>
        <v>0</v>
      </c>
      <c r="Z15" s="15"/>
      <c r="AA15" s="12"/>
      <c r="AB15" s="1"/>
      <c r="AC15" s="1"/>
      <c r="AD15" s="1"/>
      <c r="AE15" s="1"/>
      <c r="AF15" s="329">
        <v>0</v>
      </c>
      <c r="AG15" s="172">
        <f t="shared" si="28"/>
        <v>0</v>
      </c>
      <c r="AH15" s="15"/>
      <c r="AI15" s="12"/>
      <c r="AJ15" s="1"/>
      <c r="AK15" s="1"/>
      <c r="AL15" s="1"/>
      <c r="AM15" s="1"/>
      <c r="AN15" s="329">
        <v>0</v>
      </c>
      <c r="AO15" s="172">
        <f t="shared" si="25"/>
        <v>0</v>
      </c>
      <c r="AP15" s="15"/>
      <c r="AQ15" s="1"/>
      <c r="AR15" s="1"/>
      <c r="AS15" s="1"/>
      <c r="AT15" s="1"/>
      <c r="AU15" s="1"/>
      <c r="AV15" s="1"/>
      <c r="AW15" s="1"/>
      <c r="AX15" s="1"/>
      <c r="AY15" s="12"/>
      <c r="AZ15" s="1"/>
      <c r="BA15" s="1"/>
      <c r="BB15" s="1"/>
      <c r="BC15" s="1"/>
      <c r="BD15" s="1"/>
      <c r="BE15" s="1"/>
      <c r="BF15" s="15"/>
      <c r="BG15" s="12"/>
      <c r="BH15" s="1"/>
      <c r="BI15" s="1"/>
      <c r="BJ15" s="1"/>
      <c r="BK15" s="1"/>
      <c r="BL15" s="1"/>
      <c r="BM15" s="1"/>
      <c r="BN15" s="15"/>
      <c r="BO15" s="1"/>
      <c r="BP15" s="1"/>
      <c r="BQ15" s="1"/>
      <c r="BR15" s="1"/>
      <c r="BS15" s="1"/>
      <c r="BT15" s="1"/>
      <c r="BU15" s="1"/>
      <c r="BV15" s="1"/>
      <c r="BW15" s="12"/>
      <c r="BX15" s="1"/>
      <c r="BY15" s="1"/>
      <c r="BZ15" s="1"/>
      <c r="CA15" s="1"/>
      <c r="CB15" s="1"/>
      <c r="CC15" s="1"/>
      <c r="CD15" s="15"/>
      <c r="CE15" s="1"/>
      <c r="CF15" s="1"/>
      <c r="CG15" s="1"/>
      <c r="CH15" s="1"/>
      <c r="CI15" s="1"/>
      <c r="CJ15" s="1"/>
      <c r="CK15" s="1"/>
      <c r="CL15" s="15"/>
      <c r="CM15" s="12"/>
      <c r="CN15" s="1"/>
      <c r="CO15" s="1"/>
      <c r="CP15" s="1"/>
      <c r="CQ15" s="1"/>
      <c r="CR15" s="1"/>
      <c r="CS15" s="1"/>
      <c r="CT15" s="15"/>
      <c r="CU15" s="12"/>
      <c r="CV15" s="1"/>
      <c r="CW15" s="1"/>
      <c r="CX15" s="1"/>
      <c r="CY15" s="1"/>
      <c r="CZ15" s="9">
        <f t="shared" si="29"/>
        <v>0</v>
      </c>
      <c r="DA15" s="9">
        <f t="shared" si="29"/>
        <v>0</v>
      </c>
      <c r="DB15" s="17"/>
      <c r="DD15" s="12"/>
      <c r="DE15" s="172"/>
      <c r="DF15" s="1"/>
      <c r="DG15" s="172"/>
      <c r="DH15" s="1"/>
      <c r="DI15" s="329">
        <v>0</v>
      </c>
      <c r="DJ15" s="172">
        <f>DI15*60</f>
        <v>0</v>
      </c>
      <c r="DK15" s="15"/>
      <c r="DL15" s="12"/>
      <c r="DM15" s="1"/>
      <c r="DN15" s="1"/>
      <c r="DO15" s="1"/>
      <c r="DP15" s="1"/>
      <c r="DQ15" s="172">
        <v>0</v>
      </c>
      <c r="DR15" s="172">
        <f t="shared" si="30"/>
        <v>0</v>
      </c>
      <c r="DS15" s="15"/>
      <c r="DT15" s="12"/>
      <c r="DU15" s="1"/>
      <c r="DV15" s="1"/>
      <c r="DW15" s="1"/>
      <c r="DX15" s="1"/>
      <c r="DY15" s="329">
        <v>0</v>
      </c>
      <c r="DZ15" s="172">
        <f>DY15*60</f>
        <v>0</v>
      </c>
      <c r="EA15" s="15"/>
      <c r="EB15" s="12"/>
      <c r="EC15" s="1"/>
      <c r="ED15" s="1"/>
      <c r="EE15" s="1"/>
      <c r="EF15" s="1"/>
      <c r="EG15" s="329">
        <v>0</v>
      </c>
      <c r="EH15" s="172">
        <f>EG15*60</f>
        <v>0</v>
      </c>
      <c r="EI15" s="15"/>
      <c r="EJ15" s="12"/>
      <c r="EK15" s="1"/>
      <c r="EL15" s="1"/>
      <c r="EM15" s="1"/>
      <c r="EN15" s="1"/>
      <c r="EO15" s="329">
        <v>0</v>
      </c>
      <c r="EP15" s="172">
        <f t="shared" si="31"/>
        <v>0</v>
      </c>
      <c r="EQ15" s="15"/>
      <c r="ER15" s="1"/>
      <c r="ES15" s="1"/>
      <c r="ET15" s="1"/>
      <c r="EU15" s="1"/>
      <c r="EV15" s="1"/>
      <c r="EW15" s="1"/>
      <c r="EX15" s="172">
        <f t="shared" si="32"/>
        <v>0</v>
      </c>
      <c r="EY15" s="1"/>
      <c r="EZ15" s="12"/>
      <c r="FA15" s="1"/>
      <c r="FB15" s="1"/>
      <c r="FC15" s="1"/>
      <c r="FD15" s="1"/>
      <c r="FE15" s="1"/>
      <c r="FF15" s="1"/>
      <c r="FG15" s="15"/>
      <c r="FH15" s="12"/>
      <c r="FI15" s="1"/>
      <c r="FJ15" s="1"/>
      <c r="FK15" s="1"/>
      <c r="FL15" s="1"/>
      <c r="FM15" s="1"/>
      <c r="FN15" s="1"/>
      <c r="FO15" s="15"/>
      <c r="FP15" s="1"/>
      <c r="FQ15" s="1"/>
      <c r="FR15" s="1"/>
      <c r="FS15" s="1"/>
      <c r="FT15" s="1"/>
      <c r="FU15" s="1"/>
      <c r="FV15" s="1"/>
      <c r="FW15" s="1"/>
      <c r="FX15" s="12"/>
      <c r="FY15" s="1"/>
      <c r="FZ15" s="1"/>
      <c r="GA15" s="1"/>
      <c r="GB15" s="1"/>
      <c r="GC15" s="1"/>
      <c r="GD15" s="1"/>
      <c r="GE15" s="15"/>
      <c r="GF15" s="1"/>
      <c r="GG15" s="1"/>
      <c r="GH15" s="1"/>
      <c r="GI15" s="1"/>
      <c r="GJ15" s="1"/>
      <c r="GK15" s="1"/>
      <c r="GL15" s="1"/>
      <c r="GM15" s="15"/>
      <c r="GN15" s="12"/>
      <c r="GO15" s="1"/>
      <c r="GP15" s="1"/>
      <c r="GQ15" s="1"/>
      <c r="GR15" s="1"/>
      <c r="GS15" s="1"/>
      <c r="GT15" s="1"/>
      <c r="GU15" s="15"/>
      <c r="GV15" s="12"/>
      <c r="GW15" s="1"/>
      <c r="GX15" s="1"/>
      <c r="GY15" s="1"/>
      <c r="GZ15" s="1"/>
      <c r="HA15" s="9">
        <f t="shared" si="33"/>
        <v>0</v>
      </c>
      <c r="HB15" s="9">
        <f t="shared" si="33"/>
        <v>0</v>
      </c>
      <c r="HC15" s="17"/>
    </row>
    <row r="16" spans="1:214" x14ac:dyDescent="0.3">
      <c r="A16" s="12"/>
      <c r="B16" s="1" t="s">
        <v>28</v>
      </c>
      <c r="C16" s="12"/>
      <c r="D16" s="172"/>
      <c r="E16" s="1"/>
      <c r="F16" s="172"/>
      <c r="G16" s="1"/>
      <c r="H16" s="1">
        <v>3660</v>
      </c>
      <c r="I16" s="172">
        <f t="shared" si="24"/>
        <v>219600</v>
      </c>
      <c r="J16" s="15"/>
      <c r="K16" s="12"/>
      <c r="L16" s="1"/>
      <c r="M16" s="1"/>
      <c r="N16" s="1"/>
      <c r="O16" s="1"/>
      <c r="P16" s="1"/>
      <c r="Q16" s="172">
        <f t="shared" si="26"/>
        <v>0</v>
      </c>
      <c r="R16" s="15"/>
      <c r="S16" s="12"/>
      <c r="T16" s="1"/>
      <c r="U16" s="1"/>
      <c r="V16" s="1"/>
      <c r="W16" s="1"/>
      <c r="X16" s="329">
        <v>0</v>
      </c>
      <c r="Y16" s="172">
        <f t="shared" si="27"/>
        <v>0</v>
      </c>
      <c r="Z16" s="15"/>
      <c r="AA16" s="12"/>
      <c r="AB16" s="1"/>
      <c r="AC16" s="1"/>
      <c r="AD16" s="1"/>
      <c r="AE16" s="1"/>
      <c r="AF16" s="329">
        <v>0</v>
      </c>
      <c r="AG16" s="172">
        <f t="shared" si="28"/>
        <v>0</v>
      </c>
      <c r="AH16" s="15"/>
      <c r="AI16" s="12"/>
      <c r="AJ16" s="1"/>
      <c r="AK16" s="1"/>
      <c r="AL16" s="1"/>
      <c r="AM16" s="1"/>
      <c r="AN16" s="329">
        <v>0</v>
      </c>
      <c r="AO16" s="172">
        <f t="shared" si="25"/>
        <v>0</v>
      </c>
      <c r="AP16" s="15"/>
      <c r="AQ16" s="1"/>
      <c r="AR16" s="1"/>
      <c r="AS16" s="1"/>
      <c r="AT16" s="1"/>
      <c r="AU16" s="1"/>
      <c r="AV16" s="1"/>
      <c r="AW16" s="1"/>
      <c r="AX16" s="1"/>
      <c r="AY16" s="12"/>
      <c r="AZ16" s="1"/>
      <c r="BA16" s="1"/>
      <c r="BB16" s="1"/>
      <c r="BC16" s="1"/>
      <c r="BD16" s="1"/>
      <c r="BE16" s="1"/>
      <c r="BF16" s="15"/>
      <c r="BG16" s="12"/>
      <c r="BH16" s="1"/>
      <c r="BI16" s="1"/>
      <c r="BJ16" s="1"/>
      <c r="BK16" s="1"/>
      <c r="BL16" s="1"/>
      <c r="BM16" s="1"/>
      <c r="BN16" s="15"/>
      <c r="BO16" s="1"/>
      <c r="BP16" s="1"/>
      <c r="BQ16" s="1"/>
      <c r="BR16" s="1"/>
      <c r="BS16" s="1"/>
      <c r="BT16" s="1"/>
      <c r="BU16" s="1"/>
      <c r="BV16" s="1"/>
      <c r="BW16" s="12"/>
      <c r="BX16" s="1"/>
      <c r="BY16" s="1"/>
      <c r="BZ16" s="1"/>
      <c r="CA16" s="1"/>
      <c r="CB16" s="1"/>
      <c r="CC16" s="1"/>
      <c r="CD16" s="15"/>
      <c r="CE16" s="1"/>
      <c r="CF16" s="1"/>
      <c r="CG16" s="1"/>
      <c r="CH16" s="1"/>
      <c r="CI16" s="1"/>
      <c r="CJ16" s="1"/>
      <c r="CK16" s="1"/>
      <c r="CL16" s="15"/>
      <c r="CM16" s="12"/>
      <c r="CN16" s="1"/>
      <c r="CO16" s="1"/>
      <c r="CP16" s="1"/>
      <c r="CQ16" s="1"/>
      <c r="CR16" s="1"/>
      <c r="CS16" s="1"/>
      <c r="CT16" s="15"/>
      <c r="CU16" s="12"/>
      <c r="CV16" s="1"/>
      <c r="CW16" s="1"/>
      <c r="CX16" s="1"/>
      <c r="CY16" s="1"/>
      <c r="CZ16" s="9">
        <f t="shared" si="29"/>
        <v>3660</v>
      </c>
      <c r="DA16" s="9">
        <f t="shared" si="29"/>
        <v>219600</v>
      </c>
      <c r="DB16" s="17"/>
      <c r="DD16" s="12"/>
      <c r="DE16" s="172"/>
      <c r="DF16" s="1"/>
      <c r="DG16" s="172"/>
      <c r="DH16" s="1"/>
      <c r="DI16" s="329">
        <v>0</v>
      </c>
      <c r="DJ16" s="172">
        <f>DI16*60</f>
        <v>0</v>
      </c>
      <c r="DK16" s="15"/>
      <c r="DL16" s="12"/>
      <c r="DM16" s="1"/>
      <c r="DN16" s="1"/>
      <c r="DO16" s="1"/>
      <c r="DP16" s="1"/>
      <c r="DQ16" s="172">
        <v>0</v>
      </c>
      <c r="DR16" s="172">
        <f t="shared" si="30"/>
        <v>0</v>
      </c>
      <c r="DS16" s="15"/>
      <c r="DT16" s="12"/>
      <c r="DU16" s="1"/>
      <c r="DV16" s="1"/>
      <c r="DW16" s="1"/>
      <c r="DX16" s="1"/>
      <c r="DY16" s="329">
        <v>0</v>
      </c>
      <c r="DZ16" s="172">
        <f>DY16*60</f>
        <v>0</v>
      </c>
      <c r="EA16" s="15"/>
      <c r="EB16" s="12"/>
      <c r="EC16" s="1"/>
      <c r="ED16" s="1"/>
      <c r="EE16" s="1"/>
      <c r="EF16" s="1"/>
      <c r="EG16" s="329">
        <v>0</v>
      </c>
      <c r="EH16" s="172">
        <f>EG16*60</f>
        <v>0</v>
      </c>
      <c r="EI16" s="15"/>
      <c r="EJ16" s="12"/>
      <c r="EK16" s="1"/>
      <c r="EL16" s="1"/>
      <c r="EM16" s="1"/>
      <c r="EN16" s="1"/>
      <c r="EO16" s="329">
        <v>0</v>
      </c>
      <c r="EP16" s="172">
        <f t="shared" si="31"/>
        <v>0</v>
      </c>
      <c r="EQ16" s="15"/>
      <c r="ER16" s="1"/>
      <c r="ES16" s="1"/>
      <c r="ET16" s="1"/>
      <c r="EU16" s="1"/>
      <c r="EV16" s="1"/>
      <c r="EW16" s="1"/>
      <c r="EX16" s="172">
        <f t="shared" si="32"/>
        <v>0</v>
      </c>
      <c r="EY16" s="1"/>
      <c r="EZ16" s="12"/>
      <c r="FA16" s="1"/>
      <c r="FB16" s="1"/>
      <c r="FC16" s="1"/>
      <c r="FD16" s="1"/>
      <c r="FE16" s="1"/>
      <c r="FF16" s="1"/>
      <c r="FG16" s="15"/>
      <c r="FH16" s="12"/>
      <c r="FI16" s="1"/>
      <c r="FJ16" s="1"/>
      <c r="FK16" s="1"/>
      <c r="FL16" s="1"/>
      <c r="FM16" s="1"/>
      <c r="FN16" s="1"/>
      <c r="FO16" s="15"/>
      <c r="FP16" s="1"/>
      <c r="FQ16" s="1"/>
      <c r="FR16" s="1"/>
      <c r="FS16" s="1"/>
      <c r="FT16" s="1"/>
      <c r="FU16" s="1"/>
      <c r="FV16" s="1"/>
      <c r="FW16" s="1"/>
      <c r="FX16" s="12"/>
      <c r="FY16" s="1"/>
      <c r="FZ16" s="1"/>
      <c r="GA16" s="1"/>
      <c r="GB16" s="1"/>
      <c r="GC16" s="1"/>
      <c r="GD16" s="1"/>
      <c r="GE16" s="15"/>
      <c r="GF16" s="1"/>
      <c r="GG16" s="1"/>
      <c r="GH16" s="1"/>
      <c r="GI16" s="1"/>
      <c r="GJ16" s="1"/>
      <c r="GK16" s="1"/>
      <c r="GL16" s="1"/>
      <c r="GM16" s="15"/>
      <c r="GN16" s="12"/>
      <c r="GO16" s="1"/>
      <c r="GP16" s="1"/>
      <c r="GQ16" s="1"/>
      <c r="GR16" s="1"/>
      <c r="GS16" s="1"/>
      <c r="GT16" s="1"/>
      <c r="GU16" s="15"/>
      <c r="GV16" s="12"/>
      <c r="GW16" s="1"/>
      <c r="GX16" s="1"/>
      <c r="GY16" s="1"/>
      <c r="GZ16" s="1"/>
      <c r="HA16" s="9">
        <f t="shared" si="33"/>
        <v>0</v>
      </c>
      <c r="HB16" s="9">
        <f t="shared" si="33"/>
        <v>0</v>
      </c>
      <c r="HC16" s="17"/>
    </row>
    <row r="17" spans="1:213" x14ac:dyDescent="0.3">
      <c r="A17" s="12"/>
      <c r="B17" s="1" t="s">
        <v>598</v>
      </c>
      <c r="C17" s="12"/>
      <c r="D17" s="172"/>
      <c r="E17" s="1"/>
      <c r="F17" s="172"/>
      <c r="G17" s="1"/>
      <c r="H17" s="1"/>
      <c r="I17" s="172"/>
      <c r="J17" s="15"/>
      <c r="K17" s="12"/>
      <c r="L17" s="1"/>
      <c r="M17" s="1"/>
      <c r="N17" s="1"/>
      <c r="O17" s="1"/>
      <c r="P17" s="1">
        <v>4705</v>
      </c>
      <c r="Q17" s="172">
        <f t="shared" si="26"/>
        <v>282300</v>
      </c>
      <c r="R17" s="15"/>
      <c r="S17" s="12"/>
      <c r="T17" s="1"/>
      <c r="U17" s="1"/>
      <c r="V17" s="1"/>
      <c r="W17" s="1"/>
      <c r="X17" s="329"/>
      <c r="Y17" s="172"/>
      <c r="Z17" s="15"/>
      <c r="AA17" s="12"/>
      <c r="AB17" s="1"/>
      <c r="AC17" s="1"/>
      <c r="AD17" s="1"/>
      <c r="AE17" s="1"/>
      <c r="AF17" s="329">
        <v>0</v>
      </c>
      <c r="AG17" s="172"/>
      <c r="AH17" s="15"/>
      <c r="AI17" s="12"/>
      <c r="AJ17" s="1"/>
      <c r="AK17" s="1"/>
      <c r="AL17" s="1"/>
      <c r="AM17" s="1"/>
      <c r="AN17" s="329">
        <v>0</v>
      </c>
      <c r="AO17" s="172">
        <f t="shared" si="25"/>
        <v>0</v>
      </c>
      <c r="AP17" s="15"/>
      <c r="AQ17" s="1"/>
      <c r="AR17" s="1"/>
      <c r="AS17" s="1"/>
      <c r="AT17" s="1"/>
      <c r="AU17" s="1"/>
      <c r="AV17" s="1"/>
      <c r="AW17" s="1"/>
      <c r="AX17" s="1"/>
      <c r="AY17" s="12"/>
      <c r="AZ17" s="1"/>
      <c r="BA17" s="1"/>
      <c r="BB17" s="1"/>
      <c r="BC17" s="1"/>
      <c r="BD17" s="1"/>
      <c r="BE17" s="1"/>
      <c r="BF17" s="15"/>
      <c r="BG17" s="12"/>
      <c r="BH17" s="1"/>
      <c r="BI17" s="1"/>
      <c r="BJ17" s="1"/>
      <c r="BK17" s="1"/>
      <c r="BL17" s="1"/>
      <c r="BM17" s="1"/>
      <c r="BN17" s="15"/>
      <c r="BO17" s="1"/>
      <c r="BP17" s="1"/>
      <c r="BQ17" s="1"/>
      <c r="BR17" s="1"/>
      <c r="BS17" s="1"/>
      <c r="BT17" s="1"/>
      <c r="BU17" s="1"/>
      <c r="BV17" s="1"/>
      <c r="BW17" s="12"/>
      <c r="BX17" s="1"/>
      <c r="BY17" s="1"/>
      <c r="BZ17" s="1"/>
      <c r="CA17" s="1"/>
      <c r="CB17" s="1"/>
      <c r="CC17" s="1"/>
      <c r="CD17" s="15"/>
      <c r="CE17" s="1"/>
      <c r="CF17" s="1"/>
      <c r="CG17" s="1"/>
      <c r="CH17" s="1"/>
      <c r="CI17" s="1"/>
      <c r="CJ17" s="1"/>
      <c r="CK17" s="1"/>
      <c r="CL17" s="15"/>
      <c r="CM17" s="12"/>
      <c r="CN17" s="1"/>
      <c r="CO17" s="1"/>
      <c r="CP17" s="1"/>
      <c r="CQ17" s="1"/>
      <c r="CR17" s="1"/>
      <c r="CS17" s="1"/>
      <c r="CT17" s="15"/>
      <c r="CU17" s="12"/>
      <c r="CV17" s="1"/>
      <c r="CW17" s="1"/>
      <c r="CX17" s="1"/>
      <c r="CY17" s="1"/>
      <c r="CZ17" s="9">
        <f t="shared" si="29"/>
        <v>4705</v>
      </c>
      <c r="DA17" s="9">
        <f t="shared" si="29"/>
        <v>282300</v>
      </c>
      <c r="DB17" s="17"/>
      <c r="DD17" s="12"/>
      <c r="DE17" s="172"/>
      <c r="DF17" s="1"/>
      <c r="DG17" s="172"/>
      <c r="DH17" s="1"/>
      <c r="DI17" s="329">
        <v>0</v>
      </c>
      <c r="DJ17" s="172">
        <v>0</v>
      </c>
      <c r="DK17" s="15"/>
      <c r="DL17" s="12"/>
      <c r="DM17" s="1"/>
      <c r="DN17" s="1"/>
      <c r="DO17" s="1"/>
      <c r="DP17" s="1"/>
      <c r="DQ17" s="172">
        <v>0</v>
      </c>
      <c r="DR17" s="172">
        <f t="shared" si="30"/>
        <v>0</v>
      </c>
      <c r="DS17" s="15"/>
      <c r="DT17" s="12"/>
      <c r="DU17" s="1"/>
      <c r="DV17" s="1"/>
      <c r="DW17" s="1"/>
      <c r="DX17" s="1"/>
      <c r="DY17" s="329"/>
      <c r="DZ17" s="172"/>
      <c r="EA17" s="15"/>
      <c r="EB17" s="12"/>
      <c r="EC17" s="1"/>
      <c r="ED17" s="1"/>
      <c r="EE17" s="1"/>
      <c r="EF17" s="1"/>
      <c r="EG17" s="329">
        <v>0</v>
      </c>
      <c r="EH17" s="172"/>
      <c r="EI17" s="15"/>
      <c r="EJ17" s="12"/>
      <c r="EK17" s="1"/>
      <c r="EL17" s="1"/>
      <c r="EM17" s="1"/>
      <c r="EN17" s="1"/>
      <c r="EO17" s="172">
        <v>3760</v>
      </c>
      <c r="EP17" s="172">
        <f t="shared" si="31"/>
        <v>225600</v>
      </c>
      <c r="EQ17" s="15"/>
      <c r="ER17" s="1"/>
      <c r="ES17" s="1"/>
      <c r="ET17" s="1"/>
      <c r="EU17" s="1"/>
      <c r="EV17" s="1"/>
      <c r="EW17" s="1"/>
      <c r="EX17" s="172">
        <f t="shared" si="32"/>
        <v>0</v>
      </c>
      <c r="EY17" s="1"/>
      <c r="EZ17" s="12"/>
      <c r="FA17" s="1"/>
      <c r="FB17" s="1"/>
      <c r="FC17" s="1"/>
      <c r="FD17" s="1"/>
      <c r="FE17" s="1"/>
      <c r="FF17" s="1"/>
      <c r="FG17" s="15"/>
      <c r="FH17" s="12"/>
      <c r="FI17" s="1"/>
      <c r="FJ17" s="1"/>
      <c r="FK17" s="1"/>
      <c r="FL17" s="1"/>
      <c r="FM17" s="1"/>
      <c r="FN17" s="1"/>
      <c r="FO17" s="15"/>
      <c r="FP17" s="1"/>
      <c r="FQ17" s="1"/>
      <c r="FR17" s="1"/>
      <c r="FS17" s="1"/>
      <c r="FT17" s="1"/>
      <c r="FU17" s="1"/>
      <c r="FV17" s="1"/>
      <c r="FW17" s="1"/>
      <c r="FX17" s="12"/>
      <c r="FY17" s="1"/>
      <c r="FZ17" s="1"/>
      <c r="GA17" s="1"/>
      <c r="GB17" s="1"/>
      <c r="GC17" s="1"/>
      <c r="GD17" s="1"/>
      <c r="GE17" s="15"/>
      <c r="GF17" s="1"/>
      <c r="GG17" s="1"/>
      <c r="GH17" s="1"/>
      <c r="GI17" s="1"/>
      <c r="GJ17" s="1"/>
      <c r="GK17" s="1"/>
      <c r="GL17" s="1"/>
      <c r="GM17" s="15"/>
      <c r="GN17" s="12"/>
      <c r="GO17" s="1"/>
      <c r="GP17" s="1"/>
      <c r="GQ17" s="1"/>
      <c r="GR17" s="1"/>
      <c r="GS17" s="1"/>
      <c r="GT17" s="1"/>
      <c r="GU17" s="15"/>
      <c r="GV17" s="12"/>
      <c r="GW17" s="1"/>
      <c r="GX17" s="1"/>
      <c r="GY17" s="1"/>
      <c r="GZ17" s="1"/>
      <c r="HA17" s="9">
        <f t="shared" si="33"/>
        <v>3760</v>
      </c>
      <c r="HB17" s="9">
        <f t="shared" si="33"/>
        <v>225600</v>
      </c>
      <c r="HC17" s="17"/>
    </row>
    <row r="18" spans="1:213" x14ac:dyDescent="0.3">
      <c r="A18" s="12"/>
      <c r="B18" s="1" t="s">
        <v>29</v>
      </c>
      <c r="C18" s="12"/>
      <c r="D18" s="172"/>
      <c r="E18" s="1"/>
      <c r="F18" s="172"/>
      <c r="G18" s="1"/>
      <c r="H18" s="1"/>
      <c r="I18" s="172">
        <f t="shared" si="24"/>
        <v>0</v>
      </c>
      <c r="J18" s="15"/>
      <c r="K18" s="12"/>
      <c r="L18" s="1"/>
      <c r="M18" s="1"/>
      <c r="N18" s="1"/>
      <c r="O18" s="1"/>
      <c r="P18" s="1"/>
      <c r="Q18" s="172">
        <f t="shared" si="26"/>
        <v>0</v>
      </c>
      <c r="R18" s="15"/>
      <c r="S18" s="12"/>
      <c r="T18" s="1"/>
      <c r="U18" s="1"/>
      <c r="V18" s="1"/>
      <c r="W18" s="1"/>
      <c r="X18" s="329">
        <v>0</v>
      </c>
      <c r="Y18" s="172">
        <f t="shared" si="27"/>
        <v>0</v>
      </c>
      <c r="Z18" s="15"/>
      <c r="AA18" s="12"/>
      <c r="AB18" s="1"/>
      <c r="AC18" s="1"/>
      <c r="AD18" s="1"/>
      <c r="AE18" s="1"/>
      <c r="AF18" s="329">
        <v>0</v>
      </c>
      <c r="AG18" s="172">
        <f t="shared" si="28"/>
        <v>0</v>
      </c>
      <c r="AH18" s="15"/>
      <c r="AI18" s="12"/>
      <c r="AJ18" s="1"/>
      <c r="AK18" s="1"/>
      <c r="AL18" s="1"/>
      <c r="AM18" s="1"/>
      <c r="AN18" s="329">
        <v>0</v>
      </c>
      <c r="AO18" s="172">
        <f t="shared" si="25"/>
        <v>0</v>
      </c>
      <c r="AP18" s="15"/>
      <c r="AQ18" s="1"/>
      <c r="AR18" s="1"/>
      <c r="AS18" s="1"/>
      <c r="AT18" s="1"/>
      <c r="AU18" s="1"/>
      <c r="AV18" s="1"/>
      <c r="AW18" s="1"/>
      <c r="AX18" s="1"/>
      <c r="AY18" s="12"/>
      <c r="AZ18" s="1"/>
      <c r="BA18" s="1"/>
      <c r="BB18" s="1"/>
      <c r="BC18" s="1"/>
      <c r="BD18" s="1"/>
      <c r="BE18" s="1"/>
      <c r="BF18" s="15"/>
      <c r="BG18" s="12"/>
      <c r="BH18" s="1"/>
      <c r="BI18" s="1"/>
      <c r="BJ18" s="1"/>
      <c r="BK18" s="1"/>
      <c r="BL18" s="1"/>
      <c r="BM18" s="1"/>
      <c r="BN18" s="15"/>
      <c r="BO18" s="1"/>
      <c r="BP18" s="1"/>
      <c r="BQ18" s="1"/>
      <c r="BR18" s="1"/>
      <c r="BS18" s="1"/>
      <c r="BT18" s="1"/>
      <c r="BU18" s="1"/>
      <c r="BV18" s="1"/>
      <c r="BW18" s="12"/>
      <c r="BX18" s="1"/>
      <c r="BY18" s="1"/>
      <c r="BZ18" s="1"/>
      <c r="CA18" s="1"/>
      <c r="CB18" s="35">
        <f>220+26-0.72</f>
        <v>245.28</v>
      </c>
      <c r="CC18" s="172">
        <f>CB18*60</f>
        <v>14716.8</v>
      </c>
      <c r="CD18" s="15"/>
      <c r="CE18" s="1"/>
      <c r="CF18" s="1"/>
      <c r="CG18" s="1"/>
      <c r="CH18" s="1"/>
      <c r="CI18" s="1"/>
      <c r="CJ18" s="329">
        <v>0</v>
      </c>
      <c r="CK18" s="172">
        <f>CJ18*60</f>
        <v>0</v>
      </c>
      <c r="CL18" s="15"/>
      <c r="CM18" s="12"/>
      <c r="CN18" s="1"/>
      <c r="CO18" s="1"/>
      <c r="CP18" s="1"/>
      <c r="CQ18" s="1"/>
      <c r="CR18" s="329">
        <v>-801</v>
      </c>
      <c r="CS18" s="172">
        <f>CR18*60</f>
        <v>-48060</v>
      </c>
      <c r="CT18" s="15"/>
      <c r="CU18" s="12"/>
      <c r="CV18" s="1"/>
      <c r="CW18" s="1"/>
      <c r="CX18" s="1"/>
      <c r="CY18" s="1"/>
      <c r="CZ18" s="9">
        <f t="shared" si="29"/>
        <v>-555.72</v>
      </c>
      <c r="DA18" s="9">
        <f t="shared" si="29"/>
        <v>-33343.199999999997</v>
      </c>
      <c r="DB18" s="17"/>
      <c r="DD18" s="12"/>
      <c r="DE18" s="172"/>
      <c r="DF18" s="1"/>
      <c r="DG18" s="172"/>
      <c r="DH18" s="1"/>
      <c r="DI18" s="329">
        <v>0</v>
      </c>
      <c r="DJ18" s="172">
        <f>DI18*60</f>
        <v>0</v>
      </c>
      <c r="DK18" s="15"/>
      <c r="DL18" s="12"/>
      <c r="DM18" s="1"/>
      <c r="DN18" s="1"/>
      <c r="DO18" s="1"/>
      <c r="DP18" s="1"/>
      <c r="DQ18" s="329">
        <v>0</v>
      </c>
      <c r="DR18" s="172">
        <f t="shared" si="30"/>
        <v>0</v>
      </c>
      <c r="DS18" s="15"/>
      <c r="DT18" s="12"/>
      <c r="DU18" s="1"/>
      <c r="DV18" s="1"/>
      <c r="DW18" s="1"/>
      <c r="DX18" s="1"/>
      <c r="DY18" s="329">
        <v>0</v>
      </c>
      <c r="DZ18" s="172">
        <f>DY18*60</f>
        <v>0</v>
      </c>
      <c r="EA18" s="15"/>
      <c r="EB18" s="12"/>
      <c r="EC18" s="1"/>
      <c r="ED18" s="1"/>
      <c r="EE18" s="1"/>
      <c r="EF18" s="1"/>
      <c r="EG18" s="329">
        <v>0</v>
      </c>
      <c r="EH18" s="172">
        <f>EG18*60</f>
        <v>0</v>
      </c>
      <c r="EI18" s="15"/>
      <c r="EJ18" s="12"/>
      <c r="EK18" s="1"/>
      <c r="EL18" s="1"/>
      <c r="EM18" s="1"/>
      <c r="EN18" s="1"/>
      <c r="EO18" s="172">
        <v>0</v>
      </c>
      <c r="EP18" s="172">
        <f t="shared" si="31"/>
        <v>0</v>
      </c>
      <c r="EQ18" s="15"/>
      <c r="ER18" s="1"/>
      <c r="ES18" s="1"/>
      <c r="ET18" s="1"/>
      <c r="EU18" s="1"/>
      <c r="EV18" s="1"/>
      <c r="EW18" s="1"/>
      <c r="EX18" s="172">
        <f t="shared" si="32"/>
        <v>0</v>
      </c>
      <c r="EY18" s="1"/>
      <c r="EZ18" s="12"/>
      <c r="FA18" s="1"/>
      <c r="FB18" s="1"/>
      <c r="FC18" s="1"/>
      <c r="FD18" s="1"/>
      <c r="FE18" s="1"/>
      <c r="FF18" s="1"/>
      <c r="FG18" s="15"/>
      <c r="FH18" s="12"/>
      <c r="FI18" s="1"/>
      <c r="FJ18" s="1"/>
      <c r="FK18" s="1"/>
      <c r="FL18" s="1"/>
      <c r="FM18" s="1"/>
      <c r="FN18" s="1"/>
      <c r="FO18" s="15"/>
      <c r="FP18" s="1"/>
      <c r="FQ18" s="1"/>
      <c r="FR18" s="1"/>
      <c r="FS18" s="1"/>
      <c r="FT18" s="1"/>
      <c r="FU18" s="1"/>
      <c r="FV18" s="1"/>
      <c r="FW18" s="1"/>
      <c r="FX18" s="12"/>
      <c r="FY18" s="1"/>
      <c r="FZ18" s="1"/>
      <c r="GA18" s="1"/>
      <c r="GB18" s="1"/>
      <c r="GC18" s="329">
        <v>0</v>
      </c>
      <c r="GD18" s="172">
        <f>GC18*60</f>
        <v>0</v>
      </c>
      <c r="GE18" s="15"/>
      <c r="GF18" s="1"/>
      <c r="GG18" s="1"/>
      <c r="GH18" s="1"/>
      <c r="GI18" s="1"/>
      <c r="GJ18" s="1"/>
      <c r="GK18" s="329">
        <v>0</v>
      </c>
      <c r="GL18" s="172">
        <f>GK18*60</f>
        <v>0</v>
      </c>
      <c r="GM18" s="15"/>
      <c r="GN18" s="12"/>
      <c r="GO18" s="1"/>
      <c r="GP18" s="1"/>
      <c r="GQ18" s="1"/>
      <c r="GR18" s="1"/>
      <c r="GS18" s="329">
        <v>0</v>
      </c>
      <c r="GT18" s="172">
        <f>GS18*60</f>
        <v>0</v>
      </c>
      <c r="GU18" s="15"/>
      <c r="GV18" s="12"/>
      <c r="GW18" s="1"/>
      <c r="GX18" s="1"/>
      <c r="GY18" s="1"/>
      <c r="GZ18" s="1"/>
      <c r="HA18" s="9">
        <f t="shared" si="33"/>
        <v>0</v>
      </c>
      <c r="HB18" s="9">
        <f t="shared" si="33"/>
        <v>0</v>
      </c>
      <c r="HC18" s="17"/>
    </row>
    <row r="19" spans="1:213" x14ac:dyDescent="0.3">
      <c r="A19" s="12"/>
      <c r="B19" s="1" t="s">
        <v>1011</v>
      </c>
      <c r="C19" s="12"/>
      <c r="D19" s="172"/>
      <c r="E19" s="1"/>
      <c r="F19" s="172"/>
      <c r="G19" s="1"/>
      <c r="H19" s="1"/>
      <c r="I19" s="172"/>
      <c r="J19" s="15"/>
      <c r="K19" s="12"/>
      <c r="L19" s="1"/>
      <c r="M19" s="1"/>
      <c r="N19" s="1"/>
      <c r="O19" s="1"/>
      <c r="P19" s="1"/>
      <c r="Q19" s="172"/>
      <c r="R19" s="15"/>
      <c r="S19" s="12"/>
      <c r="T19" s="1"/>
      <c r="U19" s="1"/>
      <c r="V19" s="1"/>
      <c r="W19" s="1"/>
      <c r="X19" s="329"/>
      <c r="Y19" s="172"/>
      <c r="Z19" s="15"/>
      <c r="AA19" s="12"/>
      <c r="AB19" s="1"/>
      <c r="AC19" s="1"/>
      <c r="AD19" s="1"/>
      <c r="AE19" s="1"/>
      <c r="AF19" s="329"/>
      <c r="AG19" s="172"/>
      <c r="AH19" s="15"/>
      <c r="AI19" s="12"/>
      <c r="AJ19" s="1"/>
      <c r="AK19" s="1"/>
      <c r="AL19" s="1"/>
      <c r="AM19" s="1"/>
      <c r="AN19" s="329"/>
      <c r="AO19" s="172"/>
      <c r="AP19" s="15"/>
      <c r="AQ19" s="1"/>
      <c r="AR19" s="1"/>
      <c r="AS19" s="1"/>
      <c r="AT19" s="1"/>
      <c r="AU19" s="1"/>
      <c r="AV19" s="1"/>
      <c r="AW19" s="1"/>
      <c r="AX19" s="1"/>
      <c r="AY19" s="12"/>
      <c r="AZ19" s="1"/>
      <c r="BA19" s="1"/>
      <c r="BB19" s="1"/>
      <c r="BC19" s="1"/>
      <c r="BD19" s="1"/>
      <c r="BE19" s="1"/>
      <c r="BF19" s="15"/>
      <c r="BG19" s="12"/>
      <c r="BH19" s="1"/>
      <c r="BI19" s="1"/>
      <c r="BJ19" s="1"/>
      <c r="BK19" s="1"/>
      <c r="BL19" s="1"/>
      <c r="BM19" s="1"/>
      <c r="BN19" s="15"/>
      <c r="BO19" s="1"/>
      <c r="BP19" s="1"/>
      <c r="BQ19" s="1"/>
      <c r="BR19" s="1"/>
      <c r="BS19" s="1"/>
      <c r="BT19" s="1"/>
      <c r="BU19" s="1"/>
      <c r="BV19" s="1"/>
      <c r="BW19" s="12"/>
      <c r="BX19" s="1"/>
      <c r="BY19" s="1"/>
      <c r="BZ19" s="1"/>
      <c r="CA19" s="1"/>
      <c r="CB19" s="35"/>
      <c r="CC19" s="172"/>
      <c r="CD19" s="15"/>
      <c r="CE19" s="1"/>
      <c r="CF19" s="1"/>
      <c r="CG19" s="1"/>
      <c r="CH19" s="1"/>
      <c r="CI19" s="1"/>
      <c r="CJ19" s="329"/>
      <c r="CK19" s="172"/>
      <c r="CL19" s="15"/>
      <c r="CM19" s="12"/>
      <c r="CN19" s="1"/>
      <c r="CO19" s="1"/>
      <c r="CP19" s="1"/>
      <c r="CQ19" s="1"/>
      <c r="CR19" s="329"/>
      <c r="CS19" s="172"/>
      <c r="CT19" s="15"/>
      <c r="CU19" s="12"/>
      <c r="CV19" s="1"/>
      <c r="CW19" s="1"/>
      <c r="CX19" s="1"/>
      <c r="CY19" s="1"/>
      <c r="CZ19" s="9"/>
      <c r="DA19" s="9"/>
      <c r="DB19" s="17"/>
      <c r="DD19" s="12"/>
      <c r="DE19" s="172"/>
      <c r="DF19" s="1"/>
      <c r="DG19" s="172"/>
      <c r="DH19" s="1"/>
      <c r="DI19" s="329"/>
      <c r="DJ19" s="172"/>
      <c r="DK19" s="15"/>
      <c r="DL19" s="12"/>
      <c r="DM19" s="1"/>
      <c r="DN19" s="1"/>
      <c r="DO19" s="1"/>
      <c r="DP19" s="1"/>
      <c r="DQ19" s="329"/>
      <c r="DR19" s="172"/>
      <c r="DS19" s="15"/>
      <c r="DT19" s="12"/>
      <c r="DU19" s="1"/>
      <c r="DV19" s="1"/>
      <c r="DW19" s="1"/>
      <c r="DX19" s="1"/>
      <c r="DY19" s="329"/>
      <c r="DZ19" s="172"/>
      <c r="EA19" s="15"/>
      <c r="EB19" s="12"/>
      <c r="EC19" s="1"/>
      <c r="ED19" s="1"/>
      <c r="EE19" s="1"/>
      <c r="EF19" s="1"/>
      <c r="EG19" s="329"/>
      <c r="EH19" s="172"/>
      <c r="EI19" s="15"/>
      <c r="EJ19" s="12"/>
      <c r="EK19" s="1"/>
      <c r="EL19" s="1"/>
      <c r="EM19" s="1"/>
      <c r="EN19" s="1"/>
      <c r="EO19" s="172">
        <v>129</v>
      </c>
      <c r="EP19" s="172">
        <f t="shared" si="31"/>
        <v>7740</v>
      </c>
      <c r="EQ19" s="15"/>
      <c r="ER19" s="1"/>
      <c r="ES19" s="1"/>
      <c r="ET19" s="1"/>
      <c r="EU19" s="1"/>
      <c r="EV19" s="1"/>
      <c r="EW19" s="35">
        <v>128.44</v>
      </c>
      <c r="EX19" s="172">
        <f t="shared" si="32"/>
        <v>7706.4</v>
      </c>
      <c r="EY19" s="1"/>
      <c r="EZ19" s="12"/>
      <c r="FA19" s="1"/>
      <c r="FB19" s="1"/>
      <c r="FC19" s="1"/>
      <c r="FD19" s="1"/>
      <c r="FE19" s="1"/>
      <c r="FF19" s="1"/>
      <c r="FG19" s="15"/>
      <c r="FH19" s="12"/>
      <c r="FI19" s="1"/>
      <c r="FJ19" s="1"/>
      <c r="FK19" s="1"/>
      <c r="FL19" s="1"/>
      <c r="FM19" s="1"/>
      <c r="FN19" s="1"/>
      <c r="FO19" s="15"/>
      <c r="FP19" s="1"/>
      <c r="FQ19" s="1"/>
      <c r="FR19" s="1"/>
      <c r="FS19" s="1"/>
      <c r="FT19" s="1"/>
      <c r="FU19" s="1"/>
      <c r="FV19" s="1"/>
      <c r="FW19" s="1"/>
      <c r="FX19" s="12"/>
      <c r="FY19" s="1"/>
      <c r="FZ19" s="1"/>
      <c r="GA19" s="1"/>
      <c r="GB19" s="1"/>
      <c r="GC19" s="329"/>
      <c r="GD19" s="172"/>
      <c r="GE19" s="15"/>
      <c r="GF19" s="1"/>
      <c r="GG19" s="1"/>
      <c r="GH19" s="1"/>
      <c r="GI19" s="1"/>
      <c r="GJ19" s="1"/>
      <c r="GK19" s="329"/>
      <c r="GL19" s="172"/>
      <c r="GM19" s="15"/>
      <c r="GN19" s="12"/>
      <c r="GO19" s="1"/>
      <c r="GP19" s="1"/>
      <c r="GQ19" s="1"/>
      <c r="GR19" s="1"/>
      <c r="GS19" s="329"/>
      <c r="GT19" s="172"/>
      <c r="GU19" s="15"/>
      <c r="GV19" s="12"/>
      <c r="GW19" s="1"/>
      <c r="GX19" s="1"/>
      <c r="GY19" s="1"/>
      <c r="GZ19" s="1"/>
      <c r="HA19" s="9"/>
      <c r="HB19" s="9"/>
      <c r="HC19" s="17"/>
    </row>
    <row r="20" spans="1:213" x14ac:dyDescent="0.3">
      <c r="A20" s="12"/>
      <c r="B20" s="1" t="s">
        <v>290</v>
      </c>
      <c r="C20" s="12"/>
      <c r="D20" s="172"/>
      <c r="E20" s="1"/>
      <c r="F20" s="172"/>
      <c r="G20" s="1"/>
      <c r="H20" s="1">
        <v>85</v>
      </c>
      <c r="I20" s="172">
        <f>H20*60</f>
        <v>5100</v>
      </c>
      <c r="J20" s="15"/>
      <c r="K20" s="12"/>
      <c r="L20" s="1"/>
      <c r="M20" s="1"/>
      <c r="N20" s="1"/>
      <c r="O20" s="1"/>
      <c r="P20" s="1">
        <v>35</v>
      </c>
      <c r="Q20" s="172">
        <f t="shared" si="26"/>
        <v>2100</v>
      </c>
      <c r="R20" s="15"/>
      <c r="S20" s="12"/>
      <c r="T20" s="1"/>
      <c r="U20" s="1"/>
      <c r="V20" s="1"/>
      <c r="W20" s="1"/>
      <c r="X20" s="1">
        <v>35</v>
      </c>
      <c r="Y20" s="172">
        <f t="shared" si="27"/>
        <v>2100</v>
      </c>
      <c r="Z20" s="15"/>
      <c r="AA20" s="12"/>
      <c r="AB20" s="1"/>
      <c r="AC20" s="1"/>
      <c r="AD20" s="1"/>
      <c r="AE20" s="1"/>
      <c r="AF20" s="1">
        <v>35</v>
      </c>
      <c r="AG20" s="172">
        <f t="shared" si="28"/>
        <v>2100</v>
      </c>
      <c r="AH20" s="15"/>
      <c r="AI20" s="12"/>
      <c r="AJ20" s="1"/>
      <c r="AK20" s="1"/>
      <c r="AL20" s="1"/>
      <c r="AM20" s="1"/>
      <c r="AN20" s="172">
        <v>35</v>
      </c>
      <c r="AO20" s="172">
        <f t="shared" si="25"/>
        <v>2100</v>
      </c>
      <c r="AP20" s="15"/>
      <c r="AQ20" s="1"/>
      <c r="AR20" s="1"/>
      <c r="AS20" s="1"/>
      <c r="AT20" s="1"/>
      <c r="AU20" s="1"/>
      <c r="AV20" s="172">
        <v>35</v>
      </c>
      <c r="AW20" s="172">
        <f>AV20*60</f>
        <v>2100</v>
      </c>
      <c r="AX20" s="1"/>
      <c r="AY20" s="12"/>
      <c r="AZ20" s="1"/>
      <c r="BA20" s="1"/>
      <c r="BB20" s="1"/>
      <c r="BC20" s="1"/>
      <c r="BD20" s="172">
        <v>35</v>
      </c>
      <c r="BE20" s="172">
        <f>BD20*60</f>
        <v>2100</v>
      </c>
      <c r="BF20" s="15"/>
      <c r="BG20" s="12"/>
      <c r="BH20" s="1"/>
      <c r="BI20" s="1"/>
      <c r="BJ20" s="1"/>
      <c r="BK20" s="1"/>
      <c r="BL20" s="172">
        <v>35</v>
      </c>
      <c r="BM20" s="172">
        <f>BL20*60</f>
        <v>2100</v>
      </c>
      <c r="BN20" s="15"/>
      <c r="BO20" s="1"/>
      <c r="BP20" s="1"/>
      <c r="BQ20" s="1"/>
      <c r="BR20" s="1"/>
      <c r="BS20" s="1"/>
      <c r="BT20" s="1">
        <v>35</v>
      </c>
      <c r="BU20" s="172">
        <f>BT20*60</f>
        <v>2100</v>
      </c>
      <c r="BV20" s="1"/>
      <c r="BW20" s="12"/>
      <c r="BX20" s="1"/>
      <c r="BY20" s="1"/>
      <c r="BZ20" s="1"/>
      <c r="CA20" s="1"/>
      <c r="CB20" s="1">
        <v>35</v>
      </c>
      <c r="CC20" s="172">
        <f>CB20*60</f>
        <v>2100</v>
      </c>
      <c r="CD20" s="15"/>
      <c r="CE20" s="1"/>
      <c r="CF20" s="1"/>
      <c r="CG20" s="1"/>
      <c r="CH20" s="1"/>
      <c r="CI20" s="1"/>
      <c r="CJ20" s="1">
        <v>50</v>
      </c>
      <c r="CK20" s="172">
        <f>CJ20*60</f>
        <v>3000</v>
      </c>
      <c r="CL20" s="15"/>
      <c r="CM20" s="12"/>
      <c r="CN20" s="1"/>
      <c r="CO20" s="1"/>
      <c r="CP20" s="1"/>
      <c r="CQ20" s="1"/>
      <c r="CR20" s="1">
        <v>0</v>
      </c>
      <c r="CS20" s="172">
        <f>CR20*60</f>
        <v>0</v>
      </c>
      <c r="CT20" s="15"/>
      <c r="CU20" s="12"/>
      <c r="CV20" s="1"/>
      <c r="CW20" s="1"/>
      <c r="CX20" s="1"/>
      <c r="CY20" s="1"/>
      <c r="CZ20" s="9">
        <f t="shared" si="29"/>
        <v>450</v>
      </c>
      <c r="DA20" s="9">
        <f t="shared" si="29"/>
        <v>27000</v>
      </c>
      <c r="DB20" s="17"/>
      <c r="DD20" s="12"/>
      <c r="DE20" s="172"/>
      <c r="DF20" s="1"/>
      <c r="DG20" s="172"/>
      <c r="DH20" s="1"/>
      <c r="DI20" s="1">
        <f>35*2</f>
        <v>70</v>
      </c>
      <c r="DJ20" s="172">
        <f>DI20*60</f>
        <v>4200</v>
      </c>
      <c r="DK20" s="15"/>
      <c r="DL20" s="12"/>
      <c r="DM20" s="1"/>
      <c r="DN20" s="1"/>
      <c r="DO20" s="1"/>
      <c r="DP20" s="1"/>
      <c r="DQ20" s="329">
        <v>0</v>
      </c>
      <c r="DR20" s="172">
        <f t="shared" si="30"/>
        <v>0</v>
      </c>
      <c r="DS20" s="15"/>
      <c r="DT20" s="12"/>
      <c r="DU20" s="1"/>
      <c r="DV20" s="1"/>
      <c r="DW20" s="1"/>
      <c r="DX20" s="1"/>
      <c r="DY20" s="329">
        <v>0</v>
      </c>
      <c r="DZ20" s="172">
        <f>DY20*60</f>
        <v>0</v>
      </c>
      <c r="EA20" s="15"/>
      <c r="EB20" s="12"/>
      <c r="EC20" s="1"/>
      <c r="ED20" s="1"/>
      <c r="EE20" s="1"/>
      <c r="EF20" s="1"/>
      <c r="EG20" s="1">
        <v>35</v>
      </c>
      <c r="EH20" s="172">
        <f>EG20*60</f>
        <v>2100</v>
      </c>
      <c r="EI20" s="15"/>
      <c r="EJ20" s="12"/>
      <c r="EK20" s="1"/>
      <c r="EL20" s="1"/>
      <c r="EM20" s="1"/>
      <c r="EN20" s="1"/>
      <c r="EO20" s="172">
        <v>35</v>
      </c>
      <c r="EP20" s="172">
        <f t="shared" si="31"/>
        <v>2100</v>
      </c>
      <c r="EQ20" s="15"/>
      <c r="ER20" s="1"/>
      <c r="ES20" s="1"/>
      <c r="ET20" s="1"/>
      <c r="EU20" s="1"/>
      <c r="EV20" s="1"/>
      <c r="EW20" s="172">
        <v>35</v>
      </c>
      <c r="EX20" s="172">
        <f t="shared" si="32"/>
        <v>2100</v>
      </c>
      <c r="EY20" s="1"/>
      <c r="EZ20" s="12"/>
      <c r="FA20" s="1"/>
      <c r="FB20" s="1"/>
      <c r="FC20" s="1"/>
      <c r="FD20" s="1"/>
      <c r="FE20" s="172">
        <v>35</v>
      </c>
      <c r="FF20" s="172">
        <f>FE20*60</f>
        <v>2100</v>
      </c>
      <c r="FG20" s="15"/>
      <c r="FH20" s="12"/>
      <c r="FI20" s="1"/>
      <c r="FJ20" s="1"/>
      <c r="FK20" s="1"/>
      <c r="FL20" s="1"/>
      <c r="FM20" s="172">
        <v>35</v>
      </c>
      <c r="FN20" s="172">
        <f>FM20*60</f>
        <v>2100</v>
      </c>
      <c r="FO20" s="15"/>
      <c r="FP20" s="1"/>
      <c r="FQ20" s="1"/>
      <c r="FR20" s="1"/>
      <c r="FS20" s="1"/>
      <c r="FT20" s="1"/>
      <c r="FU20" s="172">
        <v>35</v>
      </c>
      <c r="FV20" s="172">
        <f>FU20*60</f>
        <v>2100</v>
      </c>
      <c r="FW20" s="1"/>
      <c r="FX20" s="12"/>
      <c r="FY20" s="1"/>
      <c r="FZ20" s="1"/>
      <c r="GA20" s="1"/>
      <c r="GB20" s="1"/>
      <c r="GC20" s="172">
        <v>35</v>
      </c>
      <c r="GD20" s="172">
        <f>GC20*60</f>
        <v>2100</v>
      </c>
      <c r="GE20" s="15"/>
      <c r="GF20" s="1"/>
      <c r="GG20" s="1"/>
      <c r="GH20" s="1"/>
      <c r="GI20" s="1"/>
      <c r="GJ20" s="1"/>
      <c r="GK20" s="1">
        <v>0</v>
      </c>
      <c r="GL20" s="172">
        <f>GK20*60</f>
        <v>0</v>
      </c>
      <c r="GM20" s="15"/>
      <c r="GN20" s="12"/>
      <c r="GO20" s="1"/>
      <c r="GP20" s="1"/>
      <c r="GQ20" s="1"/>
      <c r="GR20" s="1"/>
      <c r="GS20" s="1">
        <v>0</v>
      </c>
      <c r="GT20" s="172">
        <f>GS20*60</f>
        <v>0</v>
      </c>
      <c r="GU20" s="15"/>
      <c r="GV20" s="12"/>
      <c r="GW20" s="1"/>
      <c r="GX20" s="1"/>
      <c r="GY20" s="1"/>
      <c r="GZ20" s="1"/>
      <c r="HA20" s="9">
        <f t="shared" si="33"/>
        <v>315</v>
      </c>
      <c r="HB20" s="9">
        <f t="shared" si="33"/>
        <v>18900</v>
      </c>
      <c r="HC20" s="17"/>
    </row>
    <row r="21" spans="1:213" x14ac:dyDescent="0.3">
      <c r="A21" s="12"/>
      <c r="B21" s="1"/>
      <c r="C21" s="12"/>
      <c r="D21" s="172"/>
      <c r="E21" s="1"/>
      <c r="F21" s="172"/>
      <c r="G21" s="1"/>
      <c r="H21" s="1"/>
      <c r="I21" s="1"/>
      <c r="J21" s="15"/>
      <c r="K21" s="12"/>
      <c r="L21" s="1"/>
      <c r="M21" s="1"/>
      <c r="N21" s="1"/>
      <c r="O21" s="1"/>
      <c r="P21" s="1"/>
      <c r="Q21" s="1"/>
      <c r="R21" s="15"/>
      <c r="S21" s="12"/>
      <c r="T21" s="1"/>
      <c r="U21" s="1"/>
      <c r="V21" s="1"/>
      <c r="W21" s="1"/>
      <c r="X21" s="1"/>
      <c r="Y21" s="1"/>
      <c r="Z21" s="15"/>
      <c r="AA21" s="12"/>
      <c r="AB21" s="1"/>
      <c r="AC21" s="1"/>
      <c r="AD21" s="1"/>
      <c r="AE21" s="1"/>
      <c r="AF21" s="1"/>
      <c r="AG21" s="1"/>
      <c r="AH21" s="15"/>
      <c r="AI21" s="12"/>
      <c r="AJ21" s="1"/>
      <c r="AK21" s="1"/>
      <c r="AL21" s="1"/>
      <c r="AM21" s="1"/>
      <c r="AN21" s="1"/>
      <c r="AO21" s="1"/>
      <c r="AP21" s="15"/>
      <c r="AQ21" s="1"/>
      <c r="AR21" s="1"/>
      <c r="AS21" s="1"/>
      <c r="AT21" s="1"/>
      <c r="AU21" s="1"/>
      <c r="AV21" s="1"/>
      <c r="AW21" s="1"/>
      <c r="AX21" s="1"/>
      <c r="AY21" s="12"/>
      <c r="AZ21" s="1"/>
      <c r="BA21" s="1"/>
      <c r="BB21" s="1"/>
      <c r="BC21" s="1"/>
      <c r="BD21" s="1"/>
      <c r="BE21" s="1"/>
      <c r="BF21" s="15"/>
      <c r="BG21" s="12"/>
      <c r="BH21" s="1"/>
      <c r="BI21" s="1"/>
      <c r="BJ21" s="1"/>
      <c r="BK21" s="1"/>
      <c r="BL21" s="1"/>
      <c r="BM21" s="1"/>
      <c r="BN21" s="15"/>
      <c r="BO21" s="1"/>
      <c r="BP21" s="1"/>
      <c r="BQ21" s="1"/>
      <c r="BR21" s="1"/>
      <c r="BS21" s="1"/>
      <c r="BT21" s="1"/>
      <c r="BU21" s="1"/>
      <c r="BV21" s="1"/>
      <c r="BW21" s="12"/>
      <c r="BX21" s="1"/>
      <c r="BY21" s="1"/>
      <c r="BZ21" s="1"/>
      <c r="CA21" s="1"/>
      <c r="CB21" s="1"/>
      <c r="CC21" s="1"/>
      <c r="CD21" s="15"/>
      <c r="CE21" s="1"/>
      <c r="CF21" s="1"/>
      <c r="CG21" s="1"/>
      <c r="CH21" s="1"/>
      <c r="CI21" s="1"/>
      <c r="CJ21" s="1"/>
      <c r="CK21" s="1"/>
      <c r="CL21" s="15"/>
      <c r="CM21" s="12"/>
      <c r="CN21" s="1"/>
      <c r="CO21" s="1"/>
      <c r="CP21" s="1"/>
      <c r="CQ21" s="1"/>
      <c r="CR21" s="1"/>
      <c r="CS21" s="1"/>
      <c r="CT21" s="15"/>
      <c r="CU21" s="12"/>
      <c r="CV21" s="1"/>
      <c r="CW21" s="1"/>
      <c r="CX21" s="1"/>
      <c r="CY21" s="1"/>
      <c r="CZ21" s="9">
        <f t="shared" si="29"/>
        <v>0</v>
      </c>
      <c r="DA21" s="9">
        <f t="shared" si="29"/>
        <v>0</v>
      </c>
      <c r="DB21" s="17"/>
      <c r="DD21" s="12"/>
      <c r="DE21" s="172"/>
      <c r="DF21" s="1"/>
      <c r="DG21" s="172"/>
      <c r="DH21" s="1"/>
      <c r="DI21" s="1"/>
      <c r="DJ21" s="1"/>
      <c r="DK21" s="15"/>
      <c r="DL21" s="12"/>
      <c r="DM21" s="1"/>
      <c r="DN21" s="1"/>
      <c r="DO21" s="1"/>
      <c r="DP21" s="1"/>
      <c r="DQ21" s="1"/>
      <c r="DR21" s="1"/>
      <c r="DS21" s="15"/>
      <c r="DT21" s="12"/>
      <c r="DU21" s="1"/>
      <c r="DV21" s="1"/>
      <c r="DW21" s="1"/>
      <c r="DX21" s="1"/>
      <c r="DY21" s="1"/>
      <c r="DZ21" s="1"/>
      <c r="EA21" s="15"/>
      <c r="EB21" s="12"/>
      <c r="EC21" s="1"/>
      <c r="ED21" s="1"/>
      <c r="EE21" s="1"/>
      <c r="EF21" s="1"/>
      <c r="EG21" s="1"/>
      <c r="EH21" s="1"/>
      <c r="EI21" s="15"/>
      <c r="EJ21" s="12"/>
      <c r="EK21" s="1"/>
      <c r="EL21" s="1"/>
      <c r="EM21" s="1"/>
      <c r="EN21" s="1"/>
      <c r="EO21" s="1"/>
      <c r="EP21" s="1"/>
      <c r="EQ21" s="15"/>
      <c r="ER21" s="1"/>
      <c r="ES21" s="1"/>
      <c r="ET21" s="1"/>
      <c r="EU21" s="1"/>
      <c r="EV21" s="1"/>
      <c r="EW21" s="1"/>
      <c r="EX21" s="1"/>
      <c r="EY21" s="1"/>
      <c r="EZ21" s="12"/>
      <c r="FA21" s="1"/>
      <c r="FB21" s="1"/>
      <c r="FC21" s="1"/>
      <c r="FD21" s="1"/>
      <c r="FE21" s="1"/>
      <c r="FF21" s="1"/>
      <c r="FG21" s="15"/>
      <c r="FH21" s="12"/>
      <c r="FI21" s="1"/>
      <c r="FJ21" s="1"/>
      <c r="FK21" s="1"/>
      <c r="FL21" s="1"/>
      <c r="FM21" s="1"/>
      <c r="FN21" s="1"/>
      <c r="FO21" s="15"/>
      <c r="FP21" s="1"/>
      <c r="FQ21" s="1"/>
      <c r="FR21" s="1"/>
      <c r="FS21" s="1"/>
      <c r="FT21" s="1"/>
      <c r="FU21" s="1"/>
      <c r="FV21" s="1"/>
      <c r="FW21" s="1"/>
      <c r="FX21" s="12"/>
      <c r="FY21" s="1"/>
      <c r="FZ21" s="1"/>
      <c r="GA21" s="1"/>
      <c r="GB21" s="1"/>
      <c r="GC21" s="1"/>
      <c r="GD21" s="1"/>
      <c r="GE21" s="15"/>
      <c r="GF21" s="1"/>
      <c r="GG21" s="1"/>
      <c r="GH21" s="1"/>
      <c r="GI21" s="1"/>
      <c r="GJ21" s="1"/>
      <c r="GK21" s="1"/>
      <c r="GL21" s="1"/>
      <c r="GM21" s="15"/>
      <c r="GN21" s="12"/>
      <c r="GO21" s="1"/>
      <c r="GP21" s="1"/>
      <c r="GQ21" s="1"/>
      <c r="GR21" s="1"/>
      <c r="GS21" s="1"/>
      <c r="GT21" s="1"/>
      <c r="GU21" s="15"/>
      <c r="GV21" s="12"/>
      <c r="GW21" s="1"/>
      <c r="GX21" s="1"/>
      <c r="GY21" s="1"/>
      <c r="GZ21" s="1"/>
      <c r="HA21" s="9">
        <f>EW21+EO21+EG21+DY21+DQ21+DI21+FE21+FM21+FU21+GC21+GK21+GS21</f>
        <v>0</v>
      </c>
      <c r="HB21" s="9">
        <f t="shared" si="33"/>
        <v>0</v>
      </c>
      <c r="HC21" s="17"/>
    </row>
    <row r="22" spans="1:213" x14ac:dyDescent="0.3">
      <c r="A22" s="36"/>
      <c r="B22" s="37" t="s">
        <v>32</v>
      </c>
      <c r="C22" s="41"/>
      <c r="D22" s="180"/>
      <c r="E22" s="38"/>
      <c r="F22" s="180"/>
      <c r="G22" s="38"/>
      <c r="H22" s="180">
        <f>SUM(H12:H21)</f>
        <v>3814</v>
      </c>
      <c r="I22" s="180">
        <f>SUM(I12:I21)</f>
        <v>228840</v>
      </c>
      <c r="J22" s="39"/>
      <c r="K22" s="41"/>
      <c r="L22" s="180"/>
      <c r="M22" s="38"/>
      <c r="N22" s="180"/>
      <c r="O22" s="38"/>
      <c r="P22" s="180">
        <f>SUM(P12:P21)</f>
        <v>5184</v>
      </c>
      <c r="Q22" s="180">
        <f>SUM(Q12:Q21)</f>
        <v>311040</v>
      </c>
      <c r="R22" s="39"/>
      <c r="S22" s="41"/>
      <c r="T22" s="180"/>
      <c r="U22" s="38"/>
      <c r="V22" s="180"/>
      <c r="W22" s="38"/>
      <c r="X22" s="180">
        <f>SUM(X12:X21)</f>
        <v>50</v>
      </c>
      <c r="Y22" s="180">
        <f>SUM(Y12:Y21)</f>
        <v>3000</v>
      </c>
      <c r="Z22" s="39"/>
      <c r="AA22" s="41"/>
      <c r="AB22" s="180"/>
      <c r="AC22" s="38"/>
      <c r="AD22" s="180"/>
      <c r="AE22" s="38"/>
      <c r="AF22" s="180">
        <f>SUM(AF12:AF21)</f>
        <v>35</v>
      </c>
      <c r="AG22" s="180">
        <f>SUM(AG12:AG21)</f>
        <v>2100</v>
      </c>
      <c r="AH22" s="39"/>
      <c r="AI22" s="41"/>
      <c r="AJ22" s="180"/>
      <c r="AK22" s="38"/>
      <c r="AL22" s="180"/>
      <c r="AM22" s="38"/>
      <c r="AN22" s="180">
        <f>SUM(AN12:AN21)</f>
        <v>35</v>
      </c>
      <c r="AO22" s="180">
        <f>SUM(AO12:AO21)</f>
        <v>2100</v>
      </c>
      <c r="AP22" s="39"/>
      <c r="AQ22" s="906"/>
      <c r="AR22" s="180"/>
      <c r="AS22" s="38"/>
      <c r="AT22" s="180"/>
      <c r="AU22" s="38"/>
      <c r="AV22" s="180">
        <f>SUM(AV12:AV21)</f>
        <v>35</v>
      </c>
      <c r="AW22" s="180">
        <f>SUM(AW12:AW21)</f>
        <v>2100</v>
      </c>
      <c r="AX22" s="38"/>
      <c r="AY22" s="41"/>
      <c r="AZ22" s="180"/>
      <c r="BA22" s="38"/>
      <c r="BB22" s="180"/>
      <c r="BC22" s="38"/>
      <c r="BD22" s="180">
        <f>SUM(BD12:BD21)</f>
        <v>35</v>
      </c>
      <c r="BE22" s="180">
        <f>SUM(BE12:BE21)</f>
        <v>2100</v>
      </c>
      <c r="BF22" s="39"/>
      <c r="BG22" s="41"/>
      <c r="BH22" s="180"/>
      <c r="BI22" s="38"/>
      <c r="BJ22" s="180"/>
      <c r="BK22" s="38"/>
      <c r="BL22" s="180">
        <f>SUM(BL12:BL21)</f>
        <v>35</v>
      </c>
      <c r="BM22" s="180">
        <f>SUM(BM12:BM21)</f>
        <v>2100</v>
      </c>
      <c r="BN22" s="39"/>
      <c r="BO22" s="38"/>
      <c r="BP22" s="38"/>
      <c r="BQ22" s="38"/>
      <c r="BR22" s="38"/>
      <c r="BS22" s="38"/>
      <c r="BT22" s="180">
        <f>SUM(BT12:BT21)</f>
        <v>35</v>
      </c>
      <c r="BU22" s="180">
        <f>SUM(BU12:BU21)</f>
        <v>2100</v>
      </c>
      <c r="BV22" s="38"/>
      <c r="BW22" s="36"/>
      <c r="BX22" s="38"/>
      <c r="BY22" s="38"/>
      <c r="BZ22" s="38"/>
      <c r="CA22" s="38"/>
      <c r="CB22" s="180">
        <f>SUM(CB12:CB21)</f>
        <v>280.27999999999997</v>
      </c>
      <c r="CC22" s="180">
        <f>SUM(CC12:CC21)</f>
        <v>16816.8</v>
      </c>
      <c r="CD22" s="39"/>
      <c r="CE22" s="38"/>
      <c r="CF22" s="38"/>
      <c r="CG22" s="38"/>
      <c r="CH22" s="38"/>
      <c r="CI22" s="38"/>
      <c r="CJ22" s="180">
        <f>SUM(CJ12:CJ21)</f>
        <v>50</v>
      </c>
      <c r="CK22" s="180">
        <f>SUM(CK12:CK21)</f>
        <v>3000</v>
      </c>
      <c r="CL22" s="39"/>
      <c r="CM22" s="36"/>
      <c r="CN22" s="38"/>
      <c r="CO22" s="38"/>
      <c r="CP22" s="38"/>
      <c r="CQ22" s="38"/>
      <c r="CR22" s="180">
        <f>SUM(CR12:CR21)</f>
        <v>-801</v>
      </c>
      <c r="CS22" s="180">
        <f>SUM(CS12:CS21)</f>
        <v>-48060</v>
      </c>
      <c r="CT22" s="39"/>
      <c r="CU22" s="41"/>
      <c r="CV22" s="180"/>
      <c r="CW22" s="38"/>
      <c r="CX22" s="180"/>
      <c r="CY22" s="38"/>
      <c r="CZ22" s="180">
        <f>SUM(CZ12:CZ21)</f>
        <v>8787.2800000000007</v>
      </c>
      <c r="DA22" s="180">
        <f>SUM(DA12:DA21)</f>
        <v>527236.80000000005</v>
      </c>
      <c r="DB22" s="39"/>
      <c r="DD22" s="41"/>
      <c r="DE22" s="180"/>
      <c r="DF22" s="38"/>
      <c r="DG22" s="180"/>
      <c r="DH22" s="38"/>
      <c r="DI22" s="180">
        <f>SUM(DI12:DI21)</f>
        <v>70</v>
      </c>
      <c r="DJ22" s="180">
        <f>SUM(DJ12:DJ21)</f>
        <v>4200</v>
      </c>
      <c r="DK22" s="39"/>
      <c r="DL22" s="41"/>
      <c r="DM22" s="180"/>
      <c r="DN22" s="38"/>
      <c r="DO22" s="180"/>
      <c r="DP22" s="38"/>
      <c r="DQ22" s="180">
        <f>SUM(DQ12:DQ21)</f>
        <v>0</v>
      </c>
      <c r="DR22" s="180">
        <f>SUM(DR12:DR21)</f>
        <v>0</v>
      </c>
      <c r="DS22" s="39"/>
      <c r="DT22" s="41"/>
      <c r="DU22" s="180"/>
      <c r="DV22" s="38"/>
      <c r="DW22" s="180"/>
      <c r="DX22" s="38"/>
      <c r="DY22" s="180">
        <f>SUM(DY12:DY21)</f>
        <v>0</v>
      </c>
      <c r="DZ22" s="180">
        <f>SUM(DZ12:DZ21)</f>
        <v>0</v>
      </c>
      <c r="EA22" s="39"/>
      <c r="EB22" s="41"/>
      <c r="EC22" s="180"/>
      <c r="ED22" s="38"/>
      <c r="EE22" s="180"/>
      <c r="EF22" s="38"/>
      <c r="EG22" s="180">
        <f>SUM(EG12:EG21)</f>
        <v>35</v>
      </c>
      <c r="EH22" s="180">
        <f>SUM(EH12:EH21)</f>
        <v>2100</v>
      </c>
      <c r="EI22" s="39"/>
      <c r="EJ22" s="41"/>
      <c r="EK22" s="180"/>
      <c r="EL22" s="38"/>
      <c r="EM22" s="180"/>
      <c r="EN22" s="38"/>
      <c r="EO22" s="180">
        <f>SUM(EO12:EO21)</f>
        <v>3924</v>
      </c>
      <c r="EP22" s="180">
        <f>SUM(EP12:EP21)</f>
        <v>235440</v>
      </c>
      <c r="EQ22" s="39"/>
      <c r="ER22" s="906"/>
      <c r="ES22" s="180"/>
      <c r="ET22" s="38"/>
      <c r="EU22" s="180"/>
      <c r="EV22" s="38"/>
      <c r="EW22" s="180">
        <f>SUM(EW12:EW21)</f>
        <v>163.44</v>
      </c>
      <c r="EX22" s="180">
        <f>SUM(EX12:EX21)</f>
        <v>9806.4</v>
      </c>
      <c r="EY22" s="38"/>
      <c r="EZ22" s="41"/>
      <c r="FA22" s="180"/>
      <c r="FB22" s="38"/>
      <c r="FC22" s="180"/>
      <c r="FD22" s="38"/>
      <c r="FE22" s="180">
        <f>SUM(FE12:FE21)</f>
        <v>35</v>
      </c>
      <c r="FF22" s="180">
        <f>SUM(FF12:FF21)</f>
        <v>2100</v>
      </c>
      <c r="FG22" s="39"/>
      <c r="FH22" s="41"/>
      <c r="FI22" s="180"/>
      <c r="FJ22" s="38"/>
      <c r="FK22" s="180"/>
      <c r="FL22" s="38"/>
      <c r="FM22" s="180">
        <f>SUM(FM12:FM21)</f>
        <v>535</v>
      </c>
      <c r="FN22" s="180">
        <f>SUM(FN12:FN21)</f>
        <v>32100</v>
      </c>
      <c r="FO22" s="39"/>
      <c r="FP22" s="38"/>
      <c r="FQ22" s="38"/>
      <c r="FR22" s="38"/>
      <c r="FS22" s="38"/>
      <c r="FT22" s="38"/>
      <c r="FU22" s="180">
        <f>SUM(FU12:FU21)</f>
        <v>35</v>
      </c>
      <c r="FV22" s="180">
        <f>SUM(FV12:FV21)</f>
        <v>2100</v>
      </c>
      <c r="FW22" s="38"/>
      <c r="FX22" s="36"/>
      <c r="FY22" s="38"/>
      <c r="FZ22" s="38"/>
      <c r="GA22" s="38"/>
      <c r="GB22" s="38"/>
      <c r="GC22" s="180">
        <f>SUM(GC12:GC21)</f>
        <v>35</v>
      </c>
      <c r="GD22" s="180">
        <f>SUM(GD12:GD21)</f>
        <v>2100</v>
      </c>
      <c r="GE22" s="39"/>
      <c r="GF22" s="38"/>
      <c r="GG22" s="38"/>
      <c r="GH22" s="38"/>
      <c r="GI22" s="38"/>
      <c r="GJ22" s="38"/>
      <c r="GK22" s="180">
        <f>SUM(GK12:GK21)</f>
        <v>0</v>
      </c>
      <c r="GL22" s="180">
        <f>SUM(GL12:GL21)</f>
        <v>0</v>
      </c>
      <c r="GM22" s="39"/>
      <c r="GN22" s="36"/>
      <c r="GO22" s="38"/>
      <c r="GP22" s="38"/>
      <c r="GQ22" s="38"/>
      <c r="GR22" s="38"/>
      <c r="GS22" s="180">
        <f>SUM(GS12:GS21)</f>
        <v>0</v>
      </c>
      <c r="GT22" s="180">
        <f>SUM(GT12:GT21)</f>
        <v>0</v>
      </c>
      <c r="GU22" s="39"/>
      <c r="GV22" s="41"/>
      <c r="GW22" s="180"/>
      <c r="GX22" s="38"/>
      <c r="GY22" s="180"/>
      <c r="GZ22" s="38"/>
      <c r="HA22" s="180">
        <f>SUM(HA12:HA21)</f>
        <v>4575</v>
      </c>
      <c r="HB22" s="180">
        <f>SUM(HB12:HB21)</f>
        <v>274500</v>
      </c>
      <c r="HC22" s="39"/>
    </row>
    <row r="23" spans="1:213" ht="15.05" x14ac:dyDescent="0.35">
      <c r="A23" s="4415"/>
      <c r="B23" s="4416" t="s">
        <v>33</v>
      </c>
      <c r="C23" s="4417"/>
      <c r="D23" s="4418"/>
      <c r="E23" s="4419"/>
      <c r="F23" s="4418"/>
      <c r="G23" s="4419"/>
      <c r="H23" s="4418">
        <f>H10-H22</f>
        <v>-1732</v>
      </c>
      <c r="I23" s="4418">
        <f>I10-I22</f>
        <v>-103920</v>
      </c>
      <c r="J23" s="4420">
        <f>I23/E10</f>
        <v>-0.22007623888182973</v>
      </c>
      <c r="K23" s="4417"/>
      <c r="L23" s="4418"/>
      <c r="M23" s="4419"/>
      <c r="N23" s="4418"/>
      <c r="O23" s="4419"/>
      <c r="P23" s="4418">
        <f>P10-P22</f>
        <v>-2953</v>
      </c>
      <c r="Q23" s="4418">
        <f>Q10-Q22</f>
        <v>-177180</v>
      </c>
      <c r="R23" s="4420">
        <f>Q23/M10</f>
        <v>-0.35021347248576851</v>
      </c>
      <c r="S23" s="4417"/>
      <c r="T23" s="4418"/>
      <c r="U23" s="4419"/>
      <c r="V23" s="4418"/>
      <c r="W23" s="4419"/>
      <c r="X23" s="4418">
        <f>X10-X22</f>
        <v>2181</v>
      </c>
      <c r="Y23" s="4418">
        <f>Y10-Y22</f>
        <v>130860</v>
      </c>
      <c r="Z23" s="4420">
        <f>Y23/U10</f>
        <v>0.25865749525616699</v>
      </c>
      <c r="AA23" s="4417"/>
      <c r="AB23" s="4418"/>
      <c r="AC23" s="4419"/>
      <c r="AD23" s="4418"/>
      <c r="AE23" s="4419"/>
      <c r="AF23" s="4418">
        <f>AF10-AF22</f>
        <v>2196</v>
      </c>
      <c r="AG23" s="4418">
        <f>AG10-AG22</f>
        <v>131760</v>
      </c>
      <c r="AH23" s="4420">
        <f>AG23/AC10</f>
        <v>0.26043643263757116</v>
      </c>
      <c r="AI23" s="4417"/>
      <c r="AJ23" s="4418"/>
      <c r="AK23" s="4419"/>
      <c r="AL23" s="4418"/>
      <c r="AM23" s="4419"/>
      <c r="AN23" s="4418">
        <f>AN10-AN22</f>
        <v>2196</v>
      </c>
      <c r="AO23" s="4418">
        <f>AO10-AO22</f>
        <v>131760</v>
      </c>
      <c r="AP23" s="4420">
        <f>AO23/AK10</f>
        <v>0.26043643263757116</v>
      </c>
      <c r="AQ23" s="4419"/>
      <c r="AR23" s="4418"/>
      <c r="AS23" s="4419"/>
      <c r="AT23" s="4418"/>
      <c r="AU23" s="4419"/>
      <c r="AV23" s="4418">
        <f>AV10-AV22</f>
        <v>2196</v>
      </c>
      <c r="AW23" s="4418">
        <f>AW10-AW22</f>
        <v>131760</v>
      </c>
      <c r="AX23" s="4421">
        <f>AW23/AS10</f>
        <v>0.26043643263757116</v>
      </c>
      <c r="AY23" s="4417"/>
      <c r="AZ23" s="4418"/>
      <c r="BA23" s="4419"/>
      <c r="BB23" s="4418"/>
      <c r="BC23" s="4419"/>
      <c r="BD23" s="4418">
        <f>BD10-BD22</f>
        <v>1648</v>
      </c>
      <c r="BE23" s="4418">
        <f>BE10-BE22</f>
        <v>98880</v>
      </c>
      <c r="BF23" s="4420">
        <f>BE23/BA10</f>
        <v>0.20903094875697614</v>
      </c>
      <c r="BG23" s="4417"/>
      <c r="BH23" s="4418"/>
      <c r="BI23" s="4419"/>
      <c r="BJ23" s="4418"/>
      <c r="BK23" s="4419"/>
      <c r="BL23" s="4418">
        <f>BL10-BL22</f>
        <v>2196</v>
      </c>
      <c r="BM23" s="4418">
        <f>BM10-BM22</f>
        <v>131760</v>
      </c>
      <c r="BN23" s="4420">
        <f>BM23/BI10</f>
        <v>0.26043643263757116</v>
      </c>
      <c r="BO23" s="4421"/>
      <c r="BP23" s="4421"/>
      <c r="BQ23" s="4421"/>
      <c r="BR23" s="4421"/>
      <c r="BS23" s="4421"/>
      <c r="BT23" s="4418">
        <f>BT10-BT22</f>
        <v>21</v>
      </c>
      <c r="BU23" s="4418">
        <f>BU10-BU22</f>
        <v>1260</v>
      </c>
      <c r="BV23" s="4421">
        <f>BU23/BQ10</f>
        <v>3.356241010068723E-3</v>
      </c>
      <c r="BW23" s="4422"/>
      <c r="BX23" s="4421"/>
      <c r="BY23" s="4421"/>
      <c r="BZ23" s="4421"/>
      <c r="CA23" s="4421"/>
      <c r="CB23" s="4418">
        <f>CB10-CB22</f>
        <v>1950.72</v>
      </c>
      <c r="CC23" s="4418">
        <f>CC10-CC22</f>
        <v>117043.2</v>
      </c>
      <c r="CD23" s="4420">
        <f>CC23/BY10</f>
        <v>0.2313472485768501</v>
      </c>
      <c r="CE23" s="4421"/>
      <c r="CF23" s="4421"/>
      <c r="CG23" s="4421"/>
      <c r="CH23" s="4421"/>
      <c r="CI23" s="4421"/>
      <c r="CJ23" s="4418">
        <f>CJ10-CJ22</f>
        <v>2181</v>
      </c>
      <c r="CK23" s="4418">
        <f>CK10-CK22</f>
        <v>130860</v>
      </c>
      <c r="CL23" s="4420">
        <f>CK23/CG10</f>
        <v>0.25865749525616699</v>
      </c>
      <c r="CM23" s="4422"/>
      <c r="CN23" s="4421"/>
      <c r="CO23" s="4421"/>
      <c r="CP23" s="4421"/>
      <c r="CQ23" s="4421"/>
      <c r="CR23" s="4418">
        <f>CR10-CR22</f>
        <v>4964</v>
      </c>
      <c r="CS23" s="4418">
        <f>CS10-CS22</f>
        <v>297840</v>
      </c>
      <c r="CT23" s="4420">
        <f>CS23/CO10</f>
        <v>0.36874164314366364</v>
      </c>
      <c r="CU23" s="4417"/>
      <c r="CV23" s="4418"/>
      <c r="CW23" s="4419"/>
      <c r="CX23" s="4418"/>
      <c r="CY23" s="4419"/>
      <c r="CZ23" s="4418">
        <f>CZ10-CZ22</f>
        <v>17044.72</v>
      </c>
      <c r="DA23" s="4418">
        <f>DA10-DA22</f>
        <v>1022683.2</v>
      </c>
      <c r="DB23" s="4420">
        <f>DA23/CW10</f>
        <v>0.16559686774378454</v>
      </c>
      <c r="DC23" s="4399"/>
      <c r="DD23" s="4417"/>
      <c r="DE23" s="4418"/>
      <c r="DF23" s="4419"/>
      <c r="DG23" s="4418"/>
      <c r="DH23" s="4419"/>
      <c r="DI23" s="4418">
        <f>DI10-DI22</f>
        <v>226</v>
      </c>
      <c r="DJ23" s="4418">
        <f>DJ10-DJ22</f>
        <v>13560</v>
      </c>
      <c r="DK23" s="4420">
        <f>DJ23/DF10</f>
        <v>2.6802656546489563E-2</v>
      </c>
      <c r="DL23" s="4417"/>
      <c r="DM23" s="4418"/>
      <c r="DN23" s="4419"/>
      <c r="DO23" s="4418"/>
      <c r="DP23" s="4419"/>
      <c r="DQ23" s="4418">
        <f>DQ10-DQ22</f>
        <v>2096</v>
      </c>
      <c r="DR23" s="4418">
        <f>DR10-DR22</f>
        <v>125760</v>
      </c>
      <c r="DS23" s="4420">
        <f>DR23/DN10</f>
        <v>0.25262142943232496</v>
      </c>
      <c r="DT23" s="4417"/>
      <c r="DU23" s="4418"/>
      <c r="DV23" s="4419"/>
      <c r="DW23" s="4418"/>
      <c r="DX23" s="4419"/>
      <c r="DY23" s="4418">
        <f>DY10-DY22</f>
        <v>1950</v>
      </c>
      <c r="DZ23" s="4418">
        <f>DZ10-DZ22</f>
        <v>117000</v>
      </c>
      <c r="EA23" s="4420">
        <f>DZ23/DV10</f>
        <v>0.23923444976076555</v>
      </c>
      <c r="EB23" s="4417"/>
      <c r="EC23" s="4418"/>
      <c r="ED23" s="4419"/>
      <c r="EE23" s="4418"/>
      <c r="EF23" s="4419"/>
      <c r="EG23" s="4418">
        <f>EG10-EG22</f>
        <v>2196</v>
      </c>
      <c r="EH23" s="4418">
        <f>EH10-EH22</f>
        <v>131760</v>
      </c>
      <c r="EI23" s="4420">
        <f>EH23/ED10</f>
        <v>0.26043643263757116</v>
      </c>
      <c r="EJ23" s="4417"/>
      <c r="EK23" s="4418"/>
      <c r="EL23" s="4419"/>
      <c r="EM23" s="4418"/>
      <c r="EN23" s="4419"/>
      <c r="EO23" s="4418">
        <f>EO10-EO22</f>
        <v>-1693</v>
      </c>
      <c r="EP23" s="4418">
        <f>EP10-EP22</f>
        <v>-101580</v>
      </c>
      <c r="EQ23" s="4420">
        <f>EP23/EL10</f>
        <v>-0.20078273244781783</v>
      </c>
      <c r="ER23" s="4419"/>
      <c r="ES23" s="4418"/>
      <c r="ET23" s="4419"/>
      <c r="EU23" s="4418"/>
      <c r="EV23" s="4419"/>
      <c r="EW23" s="4418">
        <f>EW10-EW22</f>
        <v>2067.56</v>
      </c>
      <c r="EX23" s="4418">
        <f>EX10-EX22</f>
        <v>124053.6</v>
      </c>
      <c r="EY23" s="4421">
        <f>EX23/ET10</f>
        <v>0.24520398481973435</v>
      </c>
      <c r="EZ23" s="4417"/>
      <c r="FA23" s="4418"/>
      <c r="FB23" s="4419"/>
      <c r="FC23" s="4418"/>
      <c r="FD23" s="4419"/>
      <c r="FE23" s="4418">
        <f>FE10-FE22</f>
        <v>1926</v>
      </c>
      <c r="FF23" s="4418">
        <f>FF10-FF22</f>
        <v>115560</v>
      </c>
      <c r="FG23" s="4420">
        <f>FF23/FB10</f>
        <v>0.23597157559421711</v>
      </c>
      <c r="FH23" s="4417"/>
      <c r="FI23" s="4418"/>
      <c r="FJ23" s="4419"/>
      <c r="FK23" s="4418"/>
      <c r="FL23" s="4419"/>
      <c r="FM23" s="4418">
        <f>FM10-FM22</f>
        <v>1693</v>
      </c>
      <c r="FN23" s="4418">
        <f>FN10-FN22</f>
        <v>101580</v>
      </c>
      <c r="FO23" s="4420">
        <f>FN23/FJ10</f>
        <v>0.19282460136674259</v>
      </c>
      <c r="FP23" s="4421"/>
      <c r="FQ23" s="4421"/>
      <c r="FR23" s="4421"/>
      <c r="FS23" s="4421"/>
      <c r="FT23" s="4421"/>
      <c r="FU23" s="4418">
        <f>FU10-FU22</f>
        <v>-1305</v>
      </c>
      <c r="FV23" s="4418">
        <f>FV10-FV22</f>
        <v>-78300</v>
      </c>
      <c r="FW23" s="4421">
        <f>FV23/FR10</f>
        <v>-0.20933589990375362</v>
      </c>
      <c r="FX23" s="4422"/>
      <c r="FY23" s="4421"/>
      <c r="FZ23" s="4421"/>
      <c r="GA23" s="4421"/>
      <c r="GB23" s="4421"/>
      <c r="GC23" s="4418">
        <f>GC10-GC22</f>
        <v>4421</v>
      </c>
      <c r="GD23" s="4418">
        <f>GD10-GD22</f>
        <v>265260</v>
      </c>
      <c r="GE23" s="4420">
        <f>GD23/FZ10</f>
        <v>0.2517653758542141</v>
      </c>
      <c r="GF23" s="4421"/>
      <c r="GG23" s="4421"/>
      <c r="GH23" s="4421"/>
      <c r="GI23" s="4421"/>
      <c r="GJ23" s="4421"/>
      <c r="GK23" s="4418">
        <f>GK10-GK22</f>
        <v>0</v>
      </c>
      <c r="GL23" s="4418">
        <f>GL10-GL22</f>
        <v>0</v>
      </c>
      <c r="GM23" s="4420" t="e">
        <f>GL23/GH10</f>
        <v>#DIV/0!</v>
      </c>
      <c r="GN23" s="4422"/>
      <c r="GO23" s="4421"/>
      <c r="GP23" s="4421"/>
      <c r="GQ23" s="4421"/>
      <c r="GR23" s="4421"/>
      <c r="GS23" s="4418">
        <f>GS10-GS22</f>
        <v>0</v>
      </c>
      <c r="GT23" s="4418">
        <f>GT10-GT22</f>
        <v>0</v>
      </c>
      <c r="GU23" s="4420" t="e">
        <f>GT23/GP10</f>
        <v>#DIV/0!</v>
      </c>
      <c r="GV23" s="4417"/>
      <c r="GW23" s="4418"/>
      <c r="GX23" s="4419"/>
      <c r="GY23" s="4418"/>
      <c r="GZ23" s="4419"/>
      <c r="HA23" s="4418">
        <f>HA10-HA22</f>
        <v>13835</v>
      </c>
      <c r="HB23" s="4418">
        <f>HB10-HB22</f>
        <v>830100</v>
      </c>
      <c r="HC23" s="4420">
        <f>HB23/GX10</f>
        <v>0.15218013023583246</v>
      </c>
      <c r="HE23" s="1648">
        <f>226-DI23</f>
        <v>0</v>
      </c>
    </row>
    <row r="24" spans="1:213" x14ac:dyDescent="0.3">
      <c r="A24" s="12"/>
      <c r="B24" s="1" t="s">
        <v>34</v>
      </c>
      <c r="C24" s="49"/>
      <c r="D24" s="184"/>
      <c r="E24" s="50"/>
      <c r="F24" s="184"/>
      <c r="G24" s="50"/>
      <c r="H24" s="182"/>
      <c r="I24" s="183">
        <v>0</v>
      </c>
      <c r="J24" s="47"/>
      <c r="K24" s="49"/>
      <c r="L24" s="184"/>
      <c r="M24" s="50"/>
      <c r="N24" s="184"/>
      <c r="O24" s="50"/>
      <c r="P24" s="182"/>
      <c r="Q24" s="183">
        <v>0</v>
      </c>
      <c r="R24" s="47"/>
      <c r="S24" s="49"/>
      <c r="T24" s="184"/>
      <c r="U24" s="50"/>
      <c r="V24" s="184"/>
      <c r="W24" s="50"/>
      <c r="X24" s="182"/>
      <c r="Y24" s="183">
        <v>0</v>
      </c>
      <c r="Z24" s="47"/>
      <c r="AA24" s="49"/>
      <c r="AB24" s="184"/>
      <c r="AC24" s="50"/>
      <c r="AD24" s="184"/>
      <c r="AE24" s="50"/>
      <c r="AF24" s="182"/>
      <c r="AG24" s="183">
        <v>0</v>
      </c>
      <c r="AH24" s="47"/>
      <c r="AI24" s="49"/>
      <c r="AJ24" s="184"/>
      <c r="AK24" s="50"/>
      <c r="AL24" s="184"/>
      <c r="AM24" s="50"/>
      <c r="AN24" s="182"/>
      <c r="AO24" s="183">
        <v>0</v>
      </c>
      <c r="AP24" s="47"/>
      <c r="AQ24" s="50"/>
      <c r="AR24" s="184"/>
      <c r="AS24" s="50"/>
      <c r="AT24" s="184"/>
      <c r="AU24" s="50"/>
      <c r="AV24" s="182"/>
      <c r="AW24" s="183">
        <v>0</v>
      </c>
      <c r="AX24" s="56"/>
      <c r="AY24" s="49"/>
      <c r="AZ24" s="184"/>
      <c r="BA24" s="50"/>
      <c r="BB24" s="184"/>
      <c r="BC24" s="50"/>
      <c r="BD24" s="182"/>
      <c r="BE24" s="183">
        <v>0</v>
      </c>
      <c r="BF24" s="47"/>
      <c r="BG24" s="49"/>
      <c r="BH24" s="184"/>
      <c r="BI24" s="50"/>
      <c r="BJ24" s="184"/>
      <c r="BK24" s="50"/>
      <c r="BL24" s="182"/>
      <c r="BM24" s="183">
        <v>0</v>
      </c>
      <c r="BN24" s="47"/>
      <c r="BO24" s="56"/>
      <c r="BP24" s="56"/>
      <c r="BQ24" s="56"/>
      <c r="BR24" s="56"/>
      <c r="BS24" s="56"/>
      <c r="BT24" s="182"/>
      <c r="BU24" s="183">
        <v>0</v>
      </c>
      <c r="BV24" s="56"/>
      <c r="BW24" s="1504"/>
      <c r="BX24" s="56"/>
      <c r="BY24" s="56"/>
      <c r="BZ24" s="56"/>
      <c r="CA24" s="56"/>
      <c r="CB24" s="182"/>
      <c r="CC24" s="183">
        <v>0</v>
      </c>
      <c r="CD24" s="47"/>
      <c r="CE24" s="56"/>
      <c r="CF24" s="56"/>
      <c r="CG24" s="56"/>
      <c r="CH24" s="56"/>
      <c r="CI24" s="56"/>
      <c r="CJ24" s="182"/>
      <c r="CK24" s="183">
        <v>0</v>
      </c>
      <c r="CL24" s="47"/>
      <c r="CM24" s="1504"/>
      <c r="CN24" s="56"/>
      <c r="CO24" s="56"/>
      <c r="CP24" s="56"/>
      <c r="CQ24" s="56"/>
      <c r="CR24" s="182"/>
      <c r="CS24" s="183">
        <v>0</v>
      </c>
      <c r="CT24" s="47"/>
      <c r="CU24" s="49"/>
      <c r="CV24" s="184"/>
      <c r="CW24" s="50"/>
      <c r="CX24" s="184"/>
      <c r="CY24" s="50"/>
      <c r="CZ24" s="182"/>
      <c r="DA24" s="183">
        <v>0</v>
      </c>
      <c r="DB24" s="47"/>
      <c r="DD24" s="49"/>
      <c r="DE24" s="184"/>
      <c r="DF24" s="50"/>
      <c r="DG24" s="184"/>
      <c r="DH24" s="50"/>
      <c r="DI24" s="182"/>
      <c r="DJ24" s="183">
        <v>0</v>
      </c>
      <c r="DK24" s="47"/>
      <c r="DL24" s="49"/>
      <c r="DM24" s="184"/>
      <c r="DN24" s="50"/>
      <c r="DO24" s="184"/>
      <c r="DP24" s="50"/>
      <c r="DQ24" s="182"/>
      <c r="DR24" s="183">
        <v>0</v>
      </c>
      <c r="DS24" s="47"/>
      <c r="DT24" s="49"/>
      <c r="DU24" s="184"/>
      <c r="DV24" s="50"/>
      <c r="DW24" s="184"/>
      <c r="DX24" s="50"/>
      <c r="DY24" s="182"/>
      <c r="DZ24" s="183">
        <v>0</v>
      </c>
      <c r="EA24" s="47"/>
      <c r="EB24" s="49"/>
      <c r="EC24" s="184"/>
      <c r="ED24" s="50"/>
      <c r="EE24" s="184"/>
      <c r="EF24" s="50"/>
      <c r="EG24" s="182"/>
      <c r="EH24" s="183">
        <v>0</v>
      </c>
      <c r="EI24" s="47"/>
      <c r="EJ24" s="49"/>
      <c r="EK24" s="184"/>
      <c r="EL24" s="50"/>
      <c r="EM24" s="184"/>
      <c r="EN24" s="50"/>
      <c r="EO24" s="182"/>
      <c r="EP24" s="183">
        <v>0</v>
      </c>
      <c r="EQ24" s="47"/>
      <c r="ER24" s="50"/>
      <c r="ES24" s="184"/>
      <c r="ET24" s="50"/>
      <c r="EU24" s="184"/>
      <c r="EV24" s="50"/>
      <c r="EW24" s="182"/>
      <c r="EX24" s="183">
        <v>0</v>
      </c>
      <c r="EY24" s="56"/>
      <c r="EZ24" s="49"/>
      <c r="FA24" s="184"/>
      <c r="FB24" s="50"/>
      <c r="FC24" s="184"/>
      <c r="FD24" s="50"/>
      <c r="FE24" s="182"/>
      <c r="FF24" s="183">
        <v>0</v>
      </c>
      <c r="FG24" s="47"/>
      <c r="FH24" s="49"/>
      <c r="FI24" s="184"/>
      <c r="FJ24" s="50"/>
      <c r="FK24" s="184"/>
      <c r="FL24" s="50"/>
      <c r="FM24" s="182"/>
      <c r="FN24" s="183">
        <v>0</v>
      </c>
      <c r="FO24" s="47"/>
      <c r="FP24" s="56"/>
      <c r="FQ24" s="56"/>
      <c r="FR24" s="56"/>
      <c r="FS24" s="56"/>
      <c r="FT24" s="56"/>
      <c r="FU24" s="182"/>
      <c r="FV24" s="183">
        <v>0</v>
      </c>
      <c r="FW24" s="56"/>
      <c r="FX24" s="1504"/>
      <c r="FY24" s="56"/>
      <c r="FZ24" s="56"/>
      <c r="GA24" s="56"/>
      <c r="GB24" s="56"/>
      <c r="GC24" s="182"/>
      <c r="GD24" s="183">
        <v>0</v>
      </c>
      <c r="GE24" s="47"/>
      <c r="GF24" s="56"/>
      <c r="GG24" s="56"/>
      <c r="GH24" s="56"/>
      <c r="GI24" s="56"/>
      <c r="GJ24" s="56"/>
      <c r="GK24" s="182"/>
      <c r="GL24" s="183">
        <v>0</v>
      </c>
      <c r="GM24" s="47"/>
      <c r="GN24" s="1504"/>
      <c r="GO24" s="56"/>
      <c r="GP24" s="56"/>
      <c r="GQ24" s="56"/>
      <c r="GR24" s="56"/>
      <c r="GS24" s="182"/>
      <c r="GT24" s="183">
        <v>0</v>
      </c>
      <c r="GU24" s="47"/>
      <c r="GV24" s="49"/>
      <c r="GW24" s="184"/>
      <c r="GX24" s="50"/>
      <c r="GY24" s="184"/>
      <c r="GZ24" s="50"/>
      <c r="HA24" s="182"/>
      <c r="HB24" s="183">
        <v>0</v>
      </c>
      <c r="HC24" s="47"/>
    </row>
    <row r="25" spans="1:213" ht="15.05" x14ac:dyDescent="0.35">
      <c r="A25" s="907"/>
      <c r="B25" s="4830" t="s">
        <v>35</v>
      </c>
      <c r="C25" s="1353"/>
      <c r="D25" s="1354"/>
      <c r="E25" s="1355"/>
      <c r="F25" s="1354"/>
      <c r="G25" s="1355"/>
      <c r="H25" s="1356">
        <f>H23-H24</f>
        <v>-1732</v>
      </c>
      <c r="I25" s="1356">
        <f>I23-I24</f>
        <v>-103920</v>
      </c>
      <c r="J25" s="1357">
        <f>I25/E10</f>
        <v>-0.22007623888182973</v>
      </c>
      <c r="K25" s="1353"/>
      <c r="L25" s="1354"/>
      <c r="M25" s="1355"/>
      <c r="N25" s="1354"/>
      <c r="O25" s="1355"/>
      <c r="P25" s="1356">
        <f>P23-P24</f>
        <v>-2953</v>
      </c>
      <c r="Q25" s="1356">
        <f>Q23-Q24</f>
        <v>-177180</v>
      </c>
      <c r="R25" s="1357">
        <f>Q25/M10</f>
        <v>-0.35021347248576851</v>
      </c>
      <c r="S25" s="1353"/>
      <c r="T25" s="1354"/>
      <c r="U25" s="1355"/>
      <c r="V25" s="1354"/>
      <c r="W25" s="1355"/>
      <c r="X25" s="1356">
        <f>X23-X24</f>
        <v>2181</v>
      </c>
      <c r="Y25" s="1356">
        <f>Y23-Y24</f>
        <v>130860</v>
      </c>
      <c r="Z25" s="1357">
        <f>Y25/U10</f>
        <v>0.25865749525616699</v>
      </c>
      <c r="AA25" s="1353"/>
      <c r="AB25" s="1354"/>
      <c r="AC25" s="1355"/>
      <c r="AD25" s="1354"/>
      <c r="AE25" s="1355"/>
      <c r="AF25" s="1356">
        <f>AF23-AF24</f>
        <v>2196</v>
      </c>
      <c r="AG25" s="1356">
        <f>AG23-AG24</f>
        <v>131760</v>
      </c>
      <c r="AH25" s="1357">
        <f>AG25/AC10</f>
        <v>0.26043643263757116</v>
      </c>
      <c r="AI25" s="1353"/>
      <c r="AJ25" s="1354"/>
      <c r="AK25" s="1355"/>
      <c r="AL25" s="1354"/>
      <c r="AM25" s="1355"/>
      <c r="AN25" s="1356">
        <f>AN23-AN24</f>
        <v>2196</v>
      </c>
      <c r="AO25" s="1356">
        <f>AO23-AO24</f>
        <v>131760</v>
      </c>
      <c r="AP25" s="1357">
        <f>AO25/AK10</f>
        <v>0.26043643263757116</v>
      </c>
      <c r="AQ25" s="1358"/>
      <c r="AR25" s="1354"/>
      <c r="AS25" s="1355"/>
      <c r="AT25" s="1354"/>
      <c r="AU25" s="1355"/>
      <c r="AV25" s="1356">
        <f>AV23-AV24</f>
        <v>2196</v>
      </c>
      <c r="AW25" s="1356">
        <f>AW23-AW24</f>
        <v>131760</v>
      </c>
      <c r="AX25" s="1359">
        <f>AW25/AS10</f>
        <v>0.26043643263757116</v>
      </c>
      <c r="AY25" s="1353"/>
      <c r="AZ25" s="1354"/>
      <c r="BA25" s="1355"/>
      <c r="BB25" s="1354"/>
      <c r="BC25" s="1355"/>
      <c r="BD25" s="1356">
        <f>BD23-BD24</f>
        <v>1648</v>
      </c>
      <c r="BE25" s="1356">
        <f>BE23-BE24</f>
        <v>98880</v>
      </c>
      <c r="BF25" s="1357">
        <f>BE25/BA10</f>
        <v>0.20903094875697614</v>
      </c>
      <c r="BG25" s="1353"/>
      <c r="BH25" s="1354"/>
      <c r="BI25" s="1355"/>
      <c r="BJ25" s="1354"/>
      <c r="BK25" s="1355"/>
      <c r="BL25" s="1356">
        <f>BL23-BL24</f>
        <v>2196</v>
      </c>
      <c r="BM25" s="1356">
        <f>BM23-BM24</f>
        <v>131760</v>
      </c>
      <c r="BN25" s="1357">
        <f>BM25/BI10</f>
        <v>0.26043643263757116</v>
      </c>
      <c r="BO25" s="1359"/>
      <c r="BP25" s="1359"/>
      <c r="BQ25" s="1359"/>
      <c r="BR25" s="1359"/>
      <c r="BS25" s="1359"/>
      <c r="BT25" s="1356">
        <f>BT23-BT24</f>
        <v>21</v>
      </c>
      <c r="BU25" s="1356">
        <f>BU23-BU24</f>
        <v>1260</v>
      </c>
      <c r="BV25" s="1359">
        <f>BU25/BQ10</f>
        <v>3.356241010068723E-3</v>
      </c>
      <c r="BW25" s="1505"/>
      <c r="BX25" s="1359"/>
      <c r="BY25" s="1359"/>
      <c r="BZ25" s="1359"/>
      <c r="CA25" s="1359"/>
      <c r="CB25" s="1356">
        <f>CB23-CB24</f>
        <v>1950.72</v>
      </c>
      <c r="CC25" s="1356">
        <f>CC23-CC24</f>
        <v>117043.2</v>
      </c>
      <c r="CD25" s="1357">
        <f>CC25/BY10</f>
        <v>0.2313472485768501</v>
      </c>
      <c r="CE25" s="1359"/>
      <c r="CF25" s="1359"/>
      <c r="CG25" s="1359"/>
      <c r="CH25" s="1359"/>
      <c r="CI25" s="1359"/>
      <c r="CJ25" s="1356">
        <f>CJ23-CJ24</f>
        <v>2181</v>
      </c>
      <c r="CK25" s="1356">
        <f>CK23-CK24</f>
        <v>130860</v>
      </c>
      <c r="CL25" s="1357">
        <f>CK25/CG10</f>
        <v>0.25865749525616699</v>
      </c>
      <c r="CM25" s="1505"/>
      <c r="CN25" s="1359"/>
      <c r="CO25" s="1359"/>
      <c r="CP25" s="1359"/>
      <c r="CQ25" s="1359"/>
      <c r="CR25" s="1356">
        <f>CR23-CR24</f>
        <v>4964</v>
      </c>
      <c r="CS25" s="1356">
        <f>CS23-CS24</f>
        <v>297840</v>
      </c>
      <c r="CT25" s="1357">
        <f>CS25/CO10</f>
        <v>0.36874164314366364</v>
      </c>
      <c r="CU25" s="1353"/>
      <c r="CV25" s="1354"/>
      <c r="CW25" s="1355"/>
      <c r="CX25" s="1354"/>
      <c r="CY25" s="1355"/>
      <c r="CZ25" s="1356">
        <f>CZ23-CZ24</f>
        <v>17044.72</v>
      </c>
      <c r="DA25" s="1356">
        <f>DA23-DA24</f>
        <v>1022683.2</v>
      </c>
      <c r="DB25" s="1357">
        <f>DA25/CW10</f>
        <v>0.16559686774378454</v>
      </c>
      <c r="DD25" s="1353"/>
      <c r="DE25" s="1354"/>
      <c r="DF25" s="1355"/>
      <c r="DG25" s="1354"/>
      <c r="DH25" s="1355"/>
      <c r="DI25" s="1356">
        <f>DI23-DI24</f>
        <v>226</v>
      </c>
      <c r="DJ25" s="1356">
        <f>DJ23-DJ24</f>
        <v>13560</v>
      </c>
      <c r="DK25" s="1357">
        <f>DJ25/DF10</f>
        <v>2.6802656546489563E-2</v>
      </c>
      <c r="DL25" s="1353"/>
      <c r="DM25" s="1354"/>
      <c r="DN25" s="1355"/>
      <c r="DO25" s="1354"/>
      <c r="DP25" s="1355"/>
      <c r="DQ25" s="1356">
        <f>DQ23-DQ24</f>
        <v>2096</v>
      </c>
      <c r="DR25" s="1356">
        <f>DR23-DR24</f>
        <v>125760</v>
      </c>
      <c r="DS25" s="1357">
        <f>DR25/DN10</f>
        <v>0.25262142943232496</v>
      </c>
      <c r="DT25" s="1353"/>
      <c r="DU25" s="1354"/>
      <c r="DV25" s="1355"/>
      <c r="DW25" s="1354"/>
      <c r="DX25" s="1355"/>
      <c r="DY25" s="1356">
        <f>DY23-DY24</f>
        <v>1950</v>
      </c>
      <c r="DZ25" s="1356">
        <f>DZ23-DZ24</f>
        <v>117000</v>
      </c>
      <c r="EA25" s="1357">
        <f>DZ25/DV10</f>
        <v>0.23923444976076555</v>
      </c>
      <c r="EB25" s="1353"/>
      <c r="EC25" s="1354"/>
      <c r="ED25" s="1355"/>
      <c r="EE25" s="1354"/>
      <c r="EF25" s="1355"/>
      <c r="EG25" s="1356">
        <f>EG23-EG24</f>
        <v>2196</v>
      </c>
      <c r="EH25" s="1356">
        <f>EH23-EH24</f>
        <v>131760</v>
      </c>
      <c r="EI25" s="1357">
        <f>EH25/ED10</f>
        <v>0.26043643263757116</v>
      </c>
      <c r="EJ25" s="1353"/>
      <c r="EK25" s="1354"/>
      <c r="EL25" s="1355"/>
      <c r="EM25" s="1354"/>
      <c r="EN25" s="1355"/>
      <c r="EO25" s="1356">
        <f>EO23-EO24</f>
        <v>-1693</v>
      </c>
      <c r="EP25" s="1356">
        <f>EP23-EP24</f>
        <v>-101580</v>
      </c>
      <c r="EQ25" s="1357">
        <f>EP25/EL10</f>
        <v>-0.20078273244781783</v>
      </c>
      <c r="ER25" s="1358"/>
      <c r="ES25" s="1354"/>
      <c r="ET25" s="1355"/>
      <c r="EU25" s="1354"/>
      <c r="EV25" s="1355"/>
      <c r="EW25" s="1356">
        <f>EW23-EW24</f>
        <v>2067.56</v>
      </c>
      <c r="EX25" s="1356">
        <f>EX23-EX24</f>
        <v>124053.6</v>
      </c>
      <c r="EY25" s="1359">
        <f>EX25/ET10</f>
        <v>0.24520398481973435</v>
      </c>
      <c r="EZ25" s="1353"/>
      <c r="FA25" s="1354"/>
      <c r="FB25" s="1355"/>
      <c r="FC25" s="1354"/>
      <c r="FD25" s="1355"/>
      <c r="FE25" s="1356">
        <f>FE23-FE24</f>
        <v>1926</v>
      </c>
      <c r="FF25" s="1356">
        <f>FF23-FF24</f>
        <v>115560</v>
      </c>
      <c r="FG25" s="1357">
        <f>FF25/FB10</f>
        <v>0.23597157559421711</v>
      </c>
      <c r="FH25" s="1353"/>
      <c r="FI25" s="1354"/>
      <c r="FJ25" s="1355"/>
      <c r="FK25" s="1354"/>
      <c r="FL25" s="1355"/>
      <c r="FM25" s="1356">
        <f>FM23-FM24</f>
        <v>1693</v>
      </c>
      <c r="FN25" s="1356">
        <f>FN23-FN24</f>
        <v>101580</v>
      </c>
      <c r="FO25" s="1357">
        <f>FN25/FJ10</f>
        <v>0.19282460136674259</v>
      </c>
      <c r="FP25" s="1359"/>
      <c r="FQ25" s="1359"/>
      <c r="FR25" s="1359"/>
      <c r="FS25" s="1359"/>
      <c r="FT25" s="1359"/>
      <c r="FU25" s="1356">
        <f>FU23-FU24</f>
        <v>-1305</v>
      </c>
      <c r="FV25" s="1356">
        <f>FV23-FV24</f>
        <v>-78300</v>
      </c>
      <c r="FW25" s="1359">
        <f>FV25/FR10</f>
        <v>-0.20933589990375362</v>
      </c>
      <c r="FX25" s="1505"/>
      <c r="FY25" s="1359"/>
      <c r="FZ25" s="1359"/>
      <c r="GA25" s="1359"/>
      <c r="GB25" s="1359"/>
      <c r="GC25" s="1356">
        <f>GC23-GC24</f>
        <v>4421</v>
      </c>
      <c r="GD25" s="1356">
        <f>GD23-GD24</f>
        <v>265260</v>
      </c>
      <c r="GE25" s="1357">
        <f>GD25/FZ10</f>
        <v>0.2517653758542141</v>
      </c>
      <c r="GF25" s="1359"/>
      <c r="GG25" s="1359"/>
      <c r="GH25" s="1359"/>
      <c r="GI25" s="1359"/>
      <c r="GJ25" s="1359"/>
      <c r="GK25" s="1356">
        <f>GK23-GK24</f>
        <v>0</v>
      </c>
      <c r="GL25" s="1356">
        <f>GL23-GL24</f>
        <v>0</v>
      </c>
      <c r="GM25" s="1357" t="e">
        <f>GL25/GH10</f>
        <v>#DIV/0!</v>
      </c>
      <c r="GN25" s="1505"/>
      <c r="GO25" s="1359"/>
      <c r="GP25" s="1359"/>
      <c r="GQ25" s="1359"/>
      <c r="GR25" s="1359"/>
      <c r="GS25" s="1356">
        <f>GS23-GS24</f>
        <v>0</v>
      </c>
      <c r="GT25" s="1356">
        <f>GT23-GT24</f>
        <v>0</v>
      </c>
      <c r="GU25" s="1357" t="e">
        <f>GT25/GP10</f>
        <v>#DIV/0!</v>
      </c>
      <c r="GV25" s="1353"/>
      <c r="GW25" s="1354"/>
      <c r="GX25" s="1355"/>
      <c r="GY25" s="1354"/>
      <c r="GZ25" s="1355"/>
      <c r="HA25" s="1356">
        <f>HA23-HA24</f>
        <v>13835</v>
      </c>
      <c r="HB25" s="1356">
        <f>HB23-HB24</f>
        <v>830100</v>
      </c>
      <c r="HC25" s="1357">
        <f>HB25/GX10</f>
        <v>0.15218013023583246</v>
      </c>
    </row>
    <row r="26" spans="1:213" x14ac:dyDescent="0.3">
      <c r="A26" s="12"/>
      <c r="B26" s="1" t="s">
        <v>613</v>
      </c>
      <c r="C26" s="49"/>
      <c r="D26" s="184"/>
      <c r="E26" s="50"/>
      <c r="F26" s="184"/>
      <c r="G26" s="50"/>
      <c r="H26" s="902">
        <f>H23*17%</f>
        <v>-294.44</v>
      </c>
      <c r="I26" s="902">
        <f>I23*17%</f>
        <v>-17666.400000000001</v>
      </c>
      <c r="J26" s="54"/>
      <c r="K26" s="49"/>
      <c r="L26" s="184"/>
      <c r="M26" s="50"/>
      <c r="N26" s="184"/>
      <c r="O26" s="50"/>
      <c r="P26" s="902">
        <f>P23*17%</f>
        <v>-502.01000000000005</v>
      </c>
      <c r="Q26" s="902">
        <f>Q23*17%</f>
        <v>-30120.600000000002</v>
      </c>
      <c r="R26" s="54"/>
      <c r="S26" s="49"/>
      <c r="T26" s="184"/>
      <c r="U26" s="50"/>
      <c r="V26" s="184"/>
      <c r="W26" s="50"/>
      <c r="X26" s="902">
        <f>X23*17%</f>
        <v>370.77000000000004</v>
      </c>
      <c r="Y26" s="902">
        <f>Y23*17%</f>
        <v>22246.2</v>
      </c>
      <c r="Z26" s="54"/>
      <c r="AA26" s="49"/>
      <c r="AB26" s="184"/>
      <c r="AC26" s="50"/>
      <c r="AD26" s="184"/>
      <c r="AE26" s="50"/>
      <c r="AF26" s="902">
        <f>AF23*17%</f>
        <v>373.32000000000005</v>
      </c>
      <c r="AG26" s="902">
        <f>AG23*17%</f>
        <v>22399.200000000001</v>
      </c>
      <c r="AH26" s="54"/>
      <c r="AI26" s="49"/>
      <c r="AJ26" s="184"/>
      <c r="AK26" s="50"/>
      <c r="AL26" s="184"/>
      <c r="AM26" s="50"/>
      <c r="AN26" s="902">
        <f>AN23*17%</f>
        <v>373.32000000000005</v>
      </c>
      <c r="AO26" s="902">
        <f>AO23*17%</f>
        <v>22399.200000000001</v>
      </c>
      <c r="AP26" s="54"/>
      <c r="AQ26" s="50"/>
      <c r="AR26" s="184"/>
      <c r="AS26" s="50"/>
      <c r="AT26" s="184" t="s">
        <v>480</v>
      </c>
      <c r="AU26" s="50"/>
      <c r="AV26" s="206"/>
      <c r="AW26" s="206">
        <f>AW23*20.5%</f>
        <v>27010.799999999999</v>
      </c>
      <c r="AX26" s="1360"/>
      <c r="AY26" s="49"/>
      <c r="AZ26" s="184"/>
      <c r="BA26" s="50"/>
      <c r="BB26" s="1506"/>
      <c r="BC26" s="1506"/>
      <c r="BD26" s="206"/>
      <c r="BE26" s="206">
        <f>BE23*20.5%</f>
        <v>20270.399999999998</v>
      </c>
      <c r="BF26" s="54"/>
      <c r="BG26" s="49"/>
      <c r="BH26" s="184"/>
      <c r="BI26" s="50"/>
      <c r="BJ26" s="184"/>
      <c r="BK26" s="50"/>
      <c r="BL26" s="206"/>
      <c r="BM26" s="206">
        <f>BM23*20.5%</f>
        <v>27010.799999999999</v>
      </c>
      <c r="BN26" s="54"/>
      <c r="BO26" s="56"/>
      <c r="BP26" s="56"/>
      <c r="BQ26" s="56"/>
      <c r="BR26" s="56"/>
      <c r="BS26" s="56"/>
      <c r="BT26" s="206"/>
      <c r="BU26" s="206">
        <f>BU23*20.5%</f>
        <v>258.3</v>
      </c>
      <c r="BV26" s="1360"/>
      <c r="BW26" s="1504"/>
      <c r="BX26" s="56"/>
      <c r="BY26" s="56"/>
      <c r="BZ26" s="56"/>
      <c r="CA26" s="56"/>
      <c r="CB26" s="206"/>
      <c r="CC26" s="206">
        <f>CC23*20.5%</f>
        <v>23993.856</v>
      </c>
      <c r="CD26" s="54"/>
      <c r="CE26" s="56"/>
      <c r="CF26" s="56"/>
      <c r="CG26" s="56"/>
      <c r="CH26" s="56"/>
      <c r="CI26" s="56"/>
      <c r="CJ26" s="206"/>
      <c r="CK26" s="206">
        <f>CK23*20.5%</f>
        <v>26826.3</v>
      </c>
      <c r="CL26" s="54"/>
      <c r="CM26" s="1504"/>
      <c r="CN26" s="56"/>
      <c r="CO26" s="56"/>
      <c r="CP26" s="56"/>
      <c r="CQ26" s="56"/>
      <c r="CR26" s="206"/>
      <c r="CS26" s="206">
        <f>CS23*20.5%</f>
        <v>61057.2</v>
      </c>
      <c r="CT26" s="54"/>
      <c r="CU26" s="49"/>
      <c r="CV26" s="184"/>
      <c r="CW26" s="50"/>
      <c r="CX26" s="184"/>
      <c r="CY26" s="50"/>
      <c r="CZ26" s="206"/>
      <c r="DA26" s="902">
        <f>DA23*17%</f>
        <v>173856.144</v>
      </c>
      <c r="DB26" s="54"/>
      <c r="DD26" s="49"/>
      <c r="DE26" s="184"/>
      <c r="DF26" s="50"/>
      <c r="DG26" s="184"/>
      <c r="DH26" s="50"/>
      <c r="DI26" s="206"/>
      <c r="DJ26" s="206">
        <f>DJ23*20.5%</f>
        <v>2779.7999999999997</v>
      </c>
      <c r="DK26" s="54"/>
      <c r="DL26" s="49"/>
      <c r="DM26" s="184"/>
      <c r="DN26" s="50"/>
      <c r="DO26" s="184"/>
      <c r="DP26" s="50"/>
      <c r="DQ26" s="902">
        <f>DQ23*17%</f>
        <v>356.32000000000005</v>
      </c>
      <c r="DR26" s="902">
        <f>DR23*17%</f>
        <v>21379.200000000001</v>
      </c>
      <c r="DS26" s="54"/>
      <c r="DT26" s="49"/>
      <c r="DU26" s="184"/>
      <c r="DV26" s="50"/>
      <c r="DW26" s="184"/>
      <c r="DX26" s="50"/>
      <c r="DY26" s="902">
        <f>DY23*17%</f>
        <v>331.5</v>
      </c>
      <c r="DZ26" s="902">
        <f>DZ23*17%</f>
        <v>19890</v>
      </c>
      <c r="EA26" s="54"/>
      <c r="EB26" s="49"/>
      <c r="EC26" s="184"/>
      <c r="ED26" s="50"/>
      <c r="EE26" s="184"/>
      <c r="EF26" s="50"/>
      <c r="EG26" s="902">
        <f>EG23*17%</f>
        <v>373.32000000000005</v>
      </c>
      <c r="EH26" s="902">
        <f>EH23*17%</f>
        <v>22399.200000000001</v>
      </c>
      <c r="EI26" s="54"/>
      <c r="EJ26" s="49"/>
      <c r="EK26" s="184"/>
      <c r="EL26" s="50"/>
      <c r="EM26" s="184"/>
      <c r="EN26" s="50"/>
      <c r="EO26" s="902">
        <v>0</v>
      </c>
      <c r="EP26" s="902">
        <v>0</v>
      </c>
      <c r="EQ26" s="54"/>
      <c r="ER26" s="50"/>
      <c r="ES26" s="184"/>
      <c r="ET26" s="50"/>
      <c r="EU26" s="184"/>
      <c r="EV26" s="50"/>
      <c r="EW26" s="206"/>
      <c r="EX26" s="206">
        <f>EX23*20.5%</f>
        <v>25430.988000000001</v>
      </c>
      <c r="EY26" s="1360"/>
      <c r="EZ26" s="49"/>
      <c r="FA26" s="184"/>
      <c r="FB26" s="50"/>
      <c r="FC26" s="1506"/>
      <c r="FD26" s="1506"/>
      <c r="FE26" s="206"/>
      <c r="FF26" s="206">
        <f>FF23*20.5%</f>
        <v>23689.8</v>
      </c>
      <c r="FG26" s="54"/>
      <c r="FH26" s="49"/>
      <c r="FI26" s="184"/>
      <c r="FJ26" s="50"/>
      <c r="FK26" s="184"/>
      <c r="FL26" s="50"/>
      <c r="FM26" s="206"/>
      <c r="FN26" s="206">
        <f>FN23*20.5%</f>
        <v>20823.899999999998</v>
      </c>
      <c r="FO26" s="54"/>
      <c r="FP26" s="56"/>
      <c r="FQ26" s="56"/>
      <c r="FR26" s="56"/>
      <c r="FS26" s="56"/>
      <c r="FT26" s="56"/>
      <c r="FU26" s="206"/>
      <c r="FV26" s="206">
        <f>FV23*20.5%</f>
        <v>-16051.499999999998</v>
      </c>
      <c r="FW26" s="1360"/>
      <c r="FX26" s="1504"/>
      <c r="FY26" s="56"/>
      <c r="FZ26" s="56"/>
      <c r="GA26" s="56"/>
      <c r="GB26" s="56"/>
      <c r="GC26" s="206"/>
      <c r="GD26" s="206">
        <f>GD23*20.5%</f>
        <v>54378.299999999996</v>
      </c>
      <c r="GE26" s="54"/>
      <c r="GF26" s="56"/>
      <c r="GG26" s="56"/>
      <c r="GH26" s="56"/>
      <c r="GI26" s="56"/>
      <c r="GJ26" s="56"/>
      <c r="GK26" s="206"/>
      <c r="GL26" s="206">
        <f>GL23*20.5%</f>
        <v>0</v>
      </c>
      <c r="GM26" s="54"/>
      <c r="GN26" s="1504"/>
      <c r="GO26" s="56"/>
      <c r="GP26" s="56"/>
      <c r="GQ26" s="56"/>
      <c r="GR26" s="56"/>
      <c r="GS26" s="206"/>
      <c r="GT26" s="206">
        <f>GT23*20.5%</f>
        <v>0</v>
      </c>
      <c r="GU26" s="54"/>
      <c r="GV26" s="49"/>
      <c r="GW26" s="184"/>
      <c r="GX26" s="50"/>
      <c r="GY26" s="184"/>
      <c r="GZ26" s="50"/>
      <c r="HA26" s="206"/>
      <c r="HB26" s="902">
        <f>HB23*17%</f>
        <v>141117</v>
      </c>
      <c r="HC26" s="54"/>
    </row>
    <row r="27" spans="1:213" ht="15.05" x14ac:dyDescent="0.35">
      <c r="A27" s="4318"/>
      <c r="B27" s="6153" t="s">
        <v>37</v>
      </c>
      <c r="C27" s="4319"/>
      <c r="D27" s="4320"/>
      <c r="E27" s="4321"/>
      <c r="F27" s="4320"/>
      <c r="G27" s="4321"/>
      <c r="H27" s="4322">
        <f>H25-H26</f>
        <v>-1437.56</v>
      </c>
      <c r="I27" s="4322">
        <f>I25-I26</f>
        <v>-86253.6</v>
      </c>
      <c r="J27" s="4423">
        <f>I27/E10</f>
        <v>-0.18266327827191869</v>
      </c>
      <c r="K27" s="4319"/>
      <c r="L27" s="4320"/>
      <c r="M27" s="4321"/>
      <c r="N27" s="4320"/>
      <c r="O27" s="4321"/>
      <c r="P27" s="4322">
        <f>P25-P26</f>
        <v>-2450.9899999999998</v>
      </c>
      <c r="Q27" s="4322">
        <f>Q25-Q26</f>
        <v>-147059.4</v>
      </c>
      <c r="R27" s="4423">
        <f>Q27/M10</f>
        <v>-0.29067718216318783</v>
      </c>
      <c r="S27" s="4319"/>
      <c r="T27" s="4320"/>
      <c r="U27" s="4321"/>
      <c r="V27" s="4320"/>
      <c r="W27" s="4321"/>
      <c r="X27" s="4322">
        <f>X25-X26</f>
        <v>1810.23</v>
      </c>
      <c r="Y27" s="4322">
        <f>Y25-Y26</f>
        <v>108613.8</v>
      </c>
      <c r="Z27" s="4423">
        <f>Y27/U10</f>
        <v>0.2146857210626186</v>
      </c>
      <c r="AA27" s="4319"/>
      <c r="AB27" s="4320"/>
      <c r="AC27" s="4321"/>
      <c r="AD27" s="4320"/>
      <c r="AE27" s="4321"/>
      <c r="AF27" s="4322">
        <f>AF25-AF26</f>
        <v>1822.6799999999998</v>
      </c>
      <c r="AG27" s="4322">
        <f>AG25-AG26</f>
        <v>109360.8</v>
      </c>
      <c r="AH27" s="4423">
        <f>AG27/AC10</f>
        <v>0.21616223908918406</v>
      </c>
      <c r="AI27" s="4319"/>
      <c r="AJ27" s="4320"/>
      <c r="AK27" s="4321"/>
      <c r="AL27" s="4320"/>
      <c r="AM27" s="4321"/>
      <c r="AN27" s="4322">
        <f>AN25-AN26</f>
        <v>1822.6799999999998</v>
      </c>
      <c r="AO27" s="4322">
        <f>AO25-AO26</f>
        <v>109360.8</v>
      </c>
      <c r="AP27" s="4423">
        <f>AO27/AK10</f>
        <v>0.21616223908918406</v>
      </c>
      <c r="AQ27" s="4321"/>
      <c r="AR27" s="4320"/>
      <c r="AS27" s="4321"/>
      <c r="AT27" s="4320"/>
      <c r="AU27" s="4321"/>
      <c r="AV27" s="4322">
        <f>AV25-AV26</f>
        <v>2196</v>
      </c>
      <c r="AW27" s="4322">
        <f>AW25-AW26</f>
        <v>104749.2</v>
      </c>
      <c r="AX27" s="4424">
        <f>AW27/AS10</f>
        <v>0.20704696394686906</v>
      </c>
      <c r="AY27" s="4319"/>
      <c r="AZ27" s="4320"/>
      <c r="BA27" s="4321"/>
      <c r="BB27" s="4320"/>
      <c r="BC27" s="4321"/>
      <c r="BD27" s="4322">
        <f>BD25-BD26</f>
        <v>1648</v>
      </c>
      <c r="BE27" s="4322">
        <f>BE25-BE26</f>
        <v>78609.600000000006</v>
      </c>
      <c r="BF27" s="4423">
        <f>BE27/BA10</f>
        <v>0.16617960426179607</v>
      </c>
      <c r="BG27" s="4319"/>
      <c r="BH27" s="4320"/>
      <c r="BI27" s="4321"/>
      <c r="BJ27" s="4320"/>
      <c r="BK27" s="4321"/>
      <c r="BL27" s="4322">
        <f>BL25-BL26</f>
        <v>2196</v>
      </c>
      <c r="BM27" s="4322">
        <f>BM25-BM26</f>
        <v>104749.2</v>
      </c>
      <c r="BN27" s="4423">
        <f>BM27/BI10</f>
        <v>0.20704696394686906</v>
      </c>
      <c r="BO27" s="4425"/>
      <c r="BP27" s="4425"/>
      <c r="BQ27" s="4425"/>
      <c r="BR27" s="4425"/>
      <c r="BS27" s="4425"/>
      <c r="BT27" s="4322">
        <f>BT25-BT26</f>
        <v>21</v>
      </c>
      <c r="BU27" s="4322">
        <f>BU25-BU26</f>
        <v>1001.7</v>
      </c>
      <c r="BV27" s="4424">
        <f>BU27/BQ10</f>
        <v>2.6682116030046351E-3</v>
      </c>
      <c r="BW27" s="4426"/>
      <c r="BX27" s="4425"/>
      <c r="BY27" s="4425"/>
      <c r="BZ27" s="4425"/>
      <c r="CA27" s="4425"/>
      <c r="CB27" s="4322">
        <f>CB25-CB26</f>
        <v>1950.72</v>
      </c>
      <c r="CC27" s="4322">
        <f>CC25-CC26</f>
        <v>93049.343999999997</v>
      </c>
      <c r="CD27" s="4423">
        <f>CC27/BY10</f>
        <v>0.18392106261859581</v>
      </c>
      <c r="CE27" s="4425"/>
      <c r="CF27" s="4425"/>
      <c r="CG27" s="4425"/>
      <c r="CH27" s="4425"/>
      <c r="CI27" s="4425"/>
      <c r="CJ27" s="4322">
        <f>CJ25-CJ26</f>
        <v>2181</v>
      </c>
      <c r="CK27" s="4322">
        <f>CK25-CK26</f>
        <v>104033.7</v>
      </c>
      <c r="CL27" s="4423">
        <f>CK27/CG10</f>
        <v>0.20563270872865275</v>
      </c>
      <c r="CM27" s="4426"/>
      <c r="CN27" s="4425"/>
      <c r="CO27" s="4425"/>
      <c r="CP27" s="4425"/>
      <c r="CQ27" s="4425"/>
      <c r="CR27" s="4322">
        <f>CR25-CR26</f>
        <v>4964</v>
      </c>
      <c r="CS27" s="4322">
        <f>CS25-CS26</f>
        <v>236782.8</v>
      </c>
      <c r="CT27" s="4423">
        <f>CS27/CO10</f>
        <v>0.29314960629921261</v>
      </c>
      <c r="CU27" s="4319"/>
      <c r="CV27" s="4320"/>
      <c r="CW27" s="4321"/>
      <c r="CX27" s="4320"/>
      <c r="CY27" s="4321"/>
      <c r="CZ27" s="4322">
        <f>CZ25-CZ26</f>
        <v>17044.72</v>
      </c>
      <c r="DA27" s="4322">
        <f>DA25-DA26</f>
        <v>848827.05599999998</v>
      </c>
      <c r="DB27" s="4423">
        <f>DA27/CW10</f>
        <v>0.13744540022734117</v>
      </c>
      <c r="DC27" s="4427"/>
      <c r="DD27" s="4319"/>
      <c r="DE27" s="4320"/>
      <c r="DF27" s="4321"/>
      <c r="DG27" s="4320"/>
      <c r="DH27" s="4321"/>
      <c r="DI27" s="4322">
        <f>DI25-DI26</f>
        <v>226</v>
      </c>
      <c r="DJ27" s="4322">
        <f>DJ25-DJ26</f>
        <v>10780.2</v>
      </c>
      <c r="DK27" s="4423">
        <f>DJ27/DF10</f>
        <v>2.1308111954459204E-2</v>
      </c>
      <c r="DL27" s="4319"/>
      <c r="DM27" s="4320"/>
      <c r="DN27" s="4321"/>
      <c r="DO27" s="4320"/>
      <c r="DP27" s="4321"/>
      <c r="DQ27" s="4322">
        <f>DQ25-DQ26</f>
        <v>1739.6799999999998</v>
      </c>
      <c r="DR27" s="4322">
        <f>DR25-DR26</f>
        <v>104380.8</v>
      </c>
      <c r="DS27" s="4423">
        <f>DR27/DN10</f>
        <v>0.2096757864288297</v>
      </c>
      <c r="DT27" s="4319"/>
      <c r="DU27" s="4320"/>
      <c r="DV27" s="4321"/>
      <c r="DW27" s="4320"/>
      <c r="DX27" s="4321"/>
      <c r="DY27" s="4322">
        <f>DY25-DY26</f>
        <v>1618.5</v>
      </c>
      <c r="DZ27" s="4322">
        <f>DZ25-DZ26</f>
        <v>97110</v>
      </c>
      <c r="EA27" s="4423">
        <f>DZ27/DV10</f>
        <v>0.19856459330143542</v>
      </c>
      <c r="EB27" s="4319"/>
      <c r="EC27" s="4320"/>
      <c r="ED27" s="4321"/>
      <c r="EE27" s="4320"/>
      <c r="EF27" s="4321"/>
      <c r="EG27" s="4322">
        <f>EG25-EG26</f>
        <v>1822.6799999999998</v>
      </c>
      <c r="EH27" s="4322">
        <f>EH25-EH26</f>
        <v>109360.8</v>
      </c>
      <c r="EI27" s="4423">
        <f>EH27/ED10</f>
        <v>0.21616223908918406</v>
      </c>
      <c r="EJ27" s="4319"/>
      <c r="EK27" s="4320"/>
      <c r="EL27" s="4321"/>
      <c r="EM27" s="4320"/>
      <c r="EN27" s="4321"/>
      <c r="EO27" s="4428">
        <f>EO25-EO26</f>
        <v>-1693</v>
      </c>
      <c r="EP27" s="4428">
        <f>EP25-EP26</f>
        <v>-101580</v>
      </c>
      <c r="EQ27" s="4429">
        <f>EP27/EL10</f>
        <v>-0.20078273244781783</v>
      </c>
      <c r="ER27" s="4321"/>
      <c r="ES27" s="4320"/>
      <c r="ET27" s="4321"/>
      <c r="EU27" s="4320"/>
      <c r="EV27" s="4321"/>
      <c r="EW27" s="4322">
        <f>EW25-EW26</f>
        <v>2067.56</v>
      </c>
      <c r="EX27" s="4322">
        <f>EX25-EX26</f>
        <v>98622.612000000008</v>
      </c>
      <c r="EY27" s="4424">
        <f>EX27/ET10</f>
        <v>0.19493716793168883</v>
      </c>
      <c r="EZ27" s="4319"/>
      <c r="FA27" s="4320"/>
      <c r="FB27" s="4321"/>
      <c r="FC27" s="4320"/>
      <c r="FD27" s="4321"/>
      <c r="FE27" s="4322">
        <f>FE25-FE26</f>
        <v>1926</v>
      </c>
      <c r="FF27" s="4322">
        <f>FF25-FF26</f>
        <v>91870.2</v>
      </c>
      <c r="FG27" s="4423">
        <f>FF27/FB10</f>
        <v>0.1875974025974026</v>
      </c>
      <c r="FH27" s="4319"/>
      <c r="FI27" s="4320"/>
      <c r="FJ27" s="4321"/>
      <c r="FK27" s="4320"/>
      <c r="FL27" s="4321"/>
      <c r="FM27" s="4322">
        <f>FM25-FM26</f>
        <v>1693</v>
      </c>
      <c r="FN27" s="4322">
        <f>FN25-FN26</f>
        <v>80756.100000000006</v>
      </c>
      <c r="FO27" s="4423">
        <f>FN27/FJ10</f>
        <v>0.15329555808656037</v>
      </c>
      <c r="FP27" s="4425"/>
      <c r="FQ27" s="4425"/>
      <c r="FR27" s="4425"/>
      <c r="FS27" s="4425"/>
      <c r="FT27" s="4425"/>
      <c r="FU27" s="4322">
        <f>FU25-FU26</f>
        <v>-1305</v>
      </c>
      <c r="FV27" s="4322">
        <f>FV25-FV26</f>
        <v>-62248.5</v>
      </c>
      <c r="FW27" s="4424">
        <f>FV27/FR10</f>
        <v>-0.16642204042348413</v>
      </c>
      <c r="FX27" s="4426"/>
      <c r="FY27" s="4425"/>
      <c r="FZ27" s="4425"/>
      <c r="GA27" s="4425"/>
      <c r="GB27" s="4425"/>
      <c r="GC27" s="4322">
        <f>GC25-GC26</f>
        <v>4421</v>
      </c>
      <c r="GD27" s="4322">
        <f>GD25-GD26</f>
        <v>210881.7</v>
      </c>
      <c r="GE27" s="4423">
        <f>GD27/FZ10</f>
        <v>0.20015347380410023</v>
      </c>
      <c r="GF27" s="4425"/>
      <c r="GG27" s="4425"/>
      <c r="GH27" s="4425"/>
      <c r="GI27" s="4425"/>
      <c r="GJ27" s="4425"/>
      <c r="GK27" s="4322">
        <f>GK25-GK26</f>
        <v>0</v>
      </c>
      <c r="GL27" s="4322">
        <f>GL25-GL26</f>
        <v>0</v>
      </c>
      <c r="GM27" s="4423" t="e">
        <f>GL27/GH10</f>
        <v>#DIV/0!</v>
      </c>
      <c r="GN27" s="4426"/>
      <c r="GO27" s="4425"/>
      <c r="GP27" s="4425"/>
      <c r="GQ27" s="4425"/>
      <c r="GR27" s="4425"/>
      <c r="GS27" s="4322">
        <f>GS25-GS26</f>
        <v>0</v>
      </c>
      <c r="GT27" s="4322">
        <f>GT25-GT26</f>
        <v>0</v>
      </c>
      <c r="GU27" s="4423" t="e">
        <f>GT27/GP10</f>
        <v>#DIV/0!</v>
      </c>
      <c r="GV27" s="4319"/>
      <c r="GW27" s="4320"/>
      <c r="GX27" s="4321"/>
      <c r="GY27" s="4320"/>
      <c r="GZ27" s="4321"/>
      <c r="HA27" s="4322">
        <f>HA25-HA26</f>
        <v>13835</v>
      </c>
      <c r="HB27" s="4322">
        <f>HB25-HB26</f>
        <v>688983</v>
      </c>
      <c r="HC27" s="4423">
        <f>HB27/GX10</f>
        <v>0.12630950809574093</v>
      </c>
    </row>
    <row r="30" spans="1:213" x14ac:dyDescent="0.3">
      <c r="B30" s="1361" t="s">
        <v>599</v>
      </c>
      <c r="C30" s="1362">
        <v>0.17</v>
      </c>
      <c r="CZ30" s="1648"/>
    </row>
    <row r="31" spans="1:213" ht="49.45" x14ac:dyDescent="0.3">
      <c r="B31" s="1363" t="s">
        <v>600</v>
      </c>
      <c r="C31" s="1364"/>
    </row>
  </sheetData>
  <mergeCells count="106">
    <mergeCell ref="FC3:FD3"/>
    <mergeCell ref="FE3:FF3"/>
    <mergeCell ref="FI3:FJ3"/>
    <mergeCell ref="FK3:FL3"/>
    <mergeCell ref="HA3:HB3"/>
    <mergeCell ref="GO3:GP3"/>
    <mergeCell ref="GQ3:GR3"/>
    <mergeCell ref="GS3:GT3"/>
    <mergeCell ref="GW3:GX3"/>
    <mergeCell ref="GY3:GZ3"/>
    <mergeCell ref="GA3:GB3"/>
    <mergeCell ref="GC3:GD3"/>
    <mergeCell ref="GG3:GH3"/>
    <mergeCell ref="GI3:GJ3"/>
    <mergeCell ref="GK3:GL3"/>
    <mergeCell ref="GF2:GM2"/>
    <mergeCell ref="GN2:GU2"/>
    <mergeCell ref="GV2:HC2"/>
    <mergeCell ref="DE3:DF3"/>
    <mergeCell ref="DG3:DH3"/>
    <mergeCell ref="DI3:DJ3"/>
    <mergeCell ref="DM3:DN3"/>
    <mergeCell ref="DO3:DP3"/>
    <mergeCell ref="DQ3:DR3"/>
    <mergeCell ref="DU3:DV3"/>
    <mergeCell ref="DW3:DX3"/>
    <mergeCell ref="DY3:DZ3"/>
    <mergeCell ref="EC3:ED3"/>
    <mergeCell ref="EE3:EF3"/>
    <mergeCell ref="EG3:EH3"/>
    <mergeCell ref="EK3:EL3"/>
    <mergeCell ref="ER2:EY2"/>
    <mergeCell ref="EZ2:FG2"/>
    <mergeCell ref="FH2:FO2"/>
    <mergeCell ref="FM3:FN3"/>
    <mergeCell ref="FQ3:FR3"/>
    <mergeCell ref="FS3:FT3"/>
    <mergeCell ref="FU3:FV3"/>
    <mergeCell ref="FY3:FZ3"/>
    <mergeCell ref="FP2:FW2"/>
    <mergeCell ref="FX2:GE2"/>
    <mergeCell ref="DD2:DK2"/>
    <mergeCell ref="DL2:DS2"/>
    <mergeCell ref="DT2:EA2"/>
    <mergeCell ref="EB2:EI2"/>
    <mergeCell ref="EJ2:EQ2"/>
    <mergeCell ref="CF3:CG3"/>
    <mergeCell ref="CH3:CI3"/>
    <mergeCell ref="CJ3:CK3"/>
    <mergeCell ref="CN3:CO3"/>
    <mergeCell ref="CP3:CQ3"/>
    <mergeCell ref="CR3:CS3"/>
    <mergeCell ref="CM2:CT2"/>
    <mergeCell ref="CU2:DB2"/>
    <mergeCell ref="CE2:CL2"/>
    <mergeCell ref="CZ3:DA3"/>
    <mergeCell ref="CV3:CW3"/>
    <mergeCell ref="EM3:EN3"/>
    <mergeCell ref="EO3:EP3"/>
    <mergeCell ref="ES3:ET3"/>
    <mergeCell ref="EU3:EV3"/>
    <mergeCell ref="EW3:EX3"/>
    <mergeCell ref="FA3:FB3"/>
    <mergeCell ref="BT3:BU3"/>
    <mergeCell ref="H3:I3"/>
    <mergeCell ref="L3:M3"/>
    <mergeCell ref="N3:O3"/>
    <mergeCell ref="V3:W3"/>
    <mergeCell ref="X3:Y3"/>
    <mergeCell ref="AD3:AE3"/>
    <mergeCell ref="BJ3:BK3"/>
    <mergeCell ref="BX3:BY3"/>
    <mergeCell ref="AJ3:AK3"/>
    <mergeCell ref="AL3:AM3"/>
    <mergeCell ref="AN3:AO3"/>
    <mergeCell ref="AR3:AS3"/>
    <mergeCell ref="AT3:AU3"/>
    <mergeCell ref="AV3:AW3"/>
    <mergeCell ref="AZ3:BA3"/>
    <mergeCell ref="BB3:BC3"/>
    <mergeCell ref="BD3:BE3"/>
    <mergeCell ref="BH3:BI3"/>
    <mergeCell ref="BZ3:CA3"/>
    <mergeCell ref="AF3:AG3"/>
    <mergeCell ref="CB3:CC3"/>
    <mergeCell ref="CX3:CY3"/>
    <mergeCell ref="A2:A3"/>
    <mergeCell ref="B2:B4"/>
    <mergeCell ref="C2:J2"/>
    <mergeCell ref="K2:R2"/>
    <mergeCell ref="S2:Z2"/>
    <mergeCell ref="P3:Q3"/>
    <mergeCell ref="T3:U3"/>
    <mergeCell ref="D3:E3"/>
    <mergeCell ref="F3:G3"/>
    <mergeCell ref="AQ2:AX2"/>
    <mergeCell ref="AY2:BF2"/>
    <mergeCell ref="BG2:BN2"/>
    <mergeCell ref="BO2:BV2"/>
    <mergeCell ref="BW2:CD2"/>
    <mergeCell ref="AI2:AP2"/>
    <mergeCell ref="AA2:AH2"/>
    <mergeCell ref="AB3:AC3"/>
    <mergeCell ref="BP3:BQ3"/>
    <mergeCell ref="BR3:BS3"/>
    <mergeCell ref="BL3:BM3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J61"/>
  <sheetViews>
    <sheetView zoomScale="102" zoomScaleNormal="102" workbookViewId="0">
      <selection activeCell="CK16" sqref="CK16"/>
    </sheetView>
  </sheetViews>
  <sheetFormatPr defaultColWidth="9.09765625" defaultRowHeight="13.45" x14ac:dyDescent="0.3"/>
  <cols>
    <col min="1" max="1" width="1.09765625" style="63" customWidth="1"/>
    <col min="2" max="2" width="5.296875" style="63" customWidth="1"/>
    <col min="3" max="3" width="17.8984375" style="63" bestFit="1" customWidth="1"/>
    <col min="4" max="4" width="6" style="62" hidden="1" customWidth="1"/>
    <col min="5" max="7" width="4.296875" style="63" hidden="1" customWidth="1"/>
    <col min="8" max="8" width="7.19921875" style="63" hidden="1" customWidth="1"/>
    <col min="9" max="9" width="8.19921875" style="63" hidden="1" customWidth="1"/>
    <col min="10" max="10" width="8.19921875" style="62" hidden="1" customWidth="1"/>
    <col min="11" max="11" width="7.19921875" style="62" hidden="1" customWidth="1"/>
    <col min="12" max="13" width="8.19921875" style="63" hidden="1" customWidth="1"/>
    <col min="14" max="14" width="8.19921875" style="1299" hidden="1" customWidth="1"/>
    <col min="15" max="15" width="8.19921875" style="63" hidden="1" customWidth="1"/>
    <col min="16" max="16" width="8.796875" style="63" hidden="1" customWidth="1"/>
    <col min="17" max="18" width="8.19921875" style="63" hidden="1" customWidth="1"/>
    <col min="19" max="19" width="9.69921875" style="63" hidden="1" customWidth="1"/>
    <col min="20" max="20" width="9.8984375" style="63" hidden="1" customWidth="1"/>
    <col min="21" max="21" width="0.296875" style="63" hidden="1" customWidth="1"/>
    <col min="22" max="22" width="12.69921875" style="1221" hidden="1" customWidth="1"/>
    <col min="23" max="23" width="12.3984375" style="63" hidden="1" customWidth="1"/>
    <col min="24" max="24" width="12.296875" style="63" hidden="1" customWidth="1"/>
    <col min="25" max="25" width="11" style="63" hidden="1" customWidth="1"/>
    <col min="26" max="26" width="11.296875" style="1221" hidden="1" customWidth="1"/>
    <col min="27" max="27" width="8.19921875" style="63" hidden="1" customWidth="1"/>
    <col min="28" max="28" width="11.296875" style="1221" hidden="1" customWidth="1"/>
    <col min="29" max="29" width="9.69921875" style="1221" hidden="1" customWidth="1"/>
    <col min="30" max="30" width="10.3984375" style="63" hidden="1" customWidth="1"/>
    <col min="31" max="31" width="10.296875" style="63" hidden="1" customWidth="1"/>
    <col min="32" max="32" width="8.19921875" style="1221" hidden="1" customWidth="1"/>
    <col min="33" max="33" width="10.296875" style="63" hidden="1" customWidth="1"/>
    <col min="34" max="34" width="10.69921875" style="1221" hidden="1" customWidth="1"/>
    <col min="35" max="35" width="2.09765625" style="63" hidden="1" customWidth="1"/>
    <col min="36" max="36" width="13.296875" style="63" hidden="1" customWidth="1"/>
    <col min="37" max="37" width="13.3984375" style="63" hidden="1" customWidth="1"/>
    <col min="38" max="38" width="12.69921875" style="63" hidden="1" customWidth="1"/>
    <col min="39" max="39" width="12.796875" style="63" hidden="1" customWidth="1"/>
    <col min="40" max="40" width="13.59765625" style="63" hidden="1" customWidth="1"/>
    <col min="41" max="41" width="6.19921875" style="63" hidden="1" customWidth="1"/>
    <col min="42" max="43" width="7.19921875" style="63" hidden="1" customWidth="1"/>
    <col min="44" max="44" width="6.296875" style="63" hidden="1" customWidth="1"/>
    <col min="45" max="45" width="5.796875" style="63" hidden="1" customWidth="1"/>
    <col min="46" max="47" width="8.19921875" style="63" hidden="1" customWidth="1"/>
    <col min="48" max="48" width="10.296875" style="63" hidden="1" customWidth="1"/>
    <col min="49" max="49" width="8.796875" style="63" hidden="1" customWidth="1"/>
    <col min="50" max="53" width="8.19921875" style="63" hidden="1" customWidth="1"/>
    <col min="54" max="55" width="9.69921875" style="63" hidden="1" customWidth="1"/>
    <col min="56" max="56" width="8.796875" style="63" hidden="1" customWidth="1"/>
    <col min="57" max="57" width="8.796875" style="1221" hidden="1" customWidth="1"/>
    <col min="58" max="60" width="9.69921875" style="63" hidden="1" customWidth="1"/>
    <col min="61" max="61" width="10.69921875" style="1193" hidden="1" customWidth="1"/>
    <col min="62" max="62" width="2.5" style="69" hidden="1" customWidth="1"/>
    <col min="63" max="64" width="9.69921875" style="63" hidden="1" customWidth="1"/>
    <col min="65" max="65" width="8.796875" style="63" hidden="1" customWidth="1"/>
    <col min="66" max="68" width="9.69921875" style="63" hidden="1" customWidth="1"/>
    <col min="69" max="69" width="9.69921875" style="1221" hidden="1" customWidth="1"/>
    <col min="70" max="70" width="9.69921875" style="63" hidden="1" customWidth="1"/>
    <col min="71" max="71" width="8.796875" style="63" hidden="1" customWidth="1"/>
    <col min="72" max="72" width="9.69921875" style="1221" hidden="1" customWidth="1"/>
    <col min="73" max="73" width="9.69921875" style="63" hidden="1" customWidth="1"/>
    <col min="74" max="74" width="8.796875" style="1221" hidden="1" customWidth="1"/>
    <col min="75" max="75" width="12.19921875" style="1301" hidden="1" customWidth="1"/>
    <col min="76" max="76" width="2.5" style="63" hidden="1" customWidth="1"/>
    <col min="77" max="80" width="8.796875" style="63" bestFit="1" customWidth="1"/>
    <col min="81" max="81" width="9.69921875" style="63" bestFit="1" customWidth="1"/>
    <col min="82" max="84" width="8.19921875" style="63" bestFit="1" customWidth="1"/>
    <col min="85" max="85" width="7" style="63" bestFit="1" customWidth="1"/>
    <col min="86" max="86" width="8.19921875" style="63" bestFit="1" customWidth="1"/>
    <col min="87" max="88" width="7" style="63" bestFit="1" customWidth="1"/>
    <col min="89" max="16384" width="9.09765625" style="63"/>
  </cols>
  <sheetData>
    <row r="1" spans="1:88" s="61" customFormat="1" ht="14" x14ac:dyDescent="0.3">
      <c r="B1" s="6877" t="s">
        <v>481</v>
      </c>
      <c r="C1" s="6877"/>
      <c r="D1" s="6877"/>
      <c r="E1" s="6877"/>
      <c r="F1" s="6877"/>
      <c r="G1" s="6877"/>
      <c r="H1" s="6877"/>
      <c r="I1" s="6877"/>
      <c r="J1" s="6877"/>
      <c r="K1" s="6877"/>
      <c r="L1" s="6877"/>
      <c r="M1" s="6877"/>
      <c r="N1" s="6877"/>
      <c r="O1" s="6877"/>
      <c r="P1" s="6877"/>
      <c r="Q1" s="6877"/>
      <c r="R1" s="6877"/>
      <c r="S1" s="6877"/>
      <c r="T1" s="6877"/>
      <c r="V1" s="908"/>
      <c r="Z1" s="908"/>
      <c r="AB1" s="908"/>
      <c r="AC1" s="908"/>
      <c r="AF1" s="908"/>
      <c r="AH1" s="908"/>
      <c r="BE1" s="908"/>
      <c r="BI1" s="908"/>
      <c r="BJ1" s="909"/>
      <c r="BQ1" s="908"/>
      <c r="BT1" s="908"/>
      <c r="BV1" s="908"/>
      <c r="BW1" s="910"/>
    </row>
    <row r="2" spans="1:88" s="62" customFormat="1" ht="26.9" customHeight="1" x14ac:dyDescent="0.3">
      <c r="B2" s="911" t="s">
        <v>482</v>
      </c>
      <c r="C2" s="912" t="s">
        <v>41</v>
      </c>
      <c r="D2" s="912" t="s">
        <v>483</v>
      </c>
      <c r="E2" s="913" t="s">
        <v>466</v>
      </c>
      <c r="F2" s="914" t="s">
        <v>484</v>
      </c>
      <c r="G2" s="914" t="s">
        <v>485</v>
      </c>
      <c r="H2" s="914" t="s">
        <v>486</v>
      </c>
      <c r="I2" s="915" t="s">
        <v>487</v>
      </c>
      <c r="J2" s="915" t="s">
        <v>488</v>
      </c>
      <c r="K2" s="916" t="s">
        <v>489</v>
      </c>
      <c r="L2" s="915" t="s">
        <v>490</v>
      </c>
      <c r="M2" s="915" t="s">
        <v>491</v>
      </c>
      <c r="N2" s="915" t="s">
        <v>492</v>
      </c>
      <c r="O2" s="915" t="s">
        <v>493</v>
      </c>
      <c r="P2" s="915" t="s">
        <v>494</v>
      </c>
      <c r="Q2" s="915" t="s">
        <v>495</v>
      </c>
      <c r="R2" s="915" t="s">
        <v>484</v>
      </c>
      <c r="S2" s="915" t="s">
        <v>485</v>
      </c>
      <c r="T2" s="915" t="s">
        <v>496</v>
      </c>
      <c r="U2" s="917"/>
      <c r="V2" s="916" t="s">
        <v>497</v>
      </c>
      <c r="W2" s="915" t="s">
        <v>498</v>
      </c>
      <c r="X2" s="916" t="s">
        <v>499</v>
      </c>
      <c r="Y2" s="915" t="s">
        <v>500</v>
      </c>
      <c r="Z2" s="916" t="s">
        <v>501</v>
      </c>
      <c r="AA2" s="915" t="s">
        <v>502</v>
      </c>
      <c r="AB2" s="916" t="s">
        <v>503</v>
      </c>
      <c r="AC2" s="916" t="s">
        <v>504</v>
      </c>
      <c r="AD2" s="915" t="s">
        <v>505</v>
      </c>
      <c r="AE2" s="915" t="s">
        <v>506</v>
      </c>
      <c r="AF2" s="916" t="s">
        <v>507</v>
      </c>
      <c r="AG2" s="915" t="s">
        <v>508</v>
      </c>
      <c r="AH2" s="916" t="s">
        <v>496</v>
      </c>
      <c r="AI2" s="918"/>
      <c r="AJ2" s="919" t="s">
        <v>509</v>
      </c>
      <c r="AK2" s="920" t="s">
        <v>510</v>
      </c>
      <c r="AL2" s="919" t="s">
        <v>511</v>
      </c>
      <c r="AM2" s="920" t="s">
        <v>512</v>
      </c>
      <c r="AN2" s="919" t="s">
        <v>513</v>
      </c>
      <c r="AO2" s="920" t="s">
        <v>514</v>
      </c>
      <c r="AP2" s="919" t="s">
        <v>515</v>
      </c>
      <c r="AQ2" s="919" t="s">
        <v>516</v>
      </c>
      <c r="AR2" s="920" t="s">
        <v>517</v>
      </c>
      <c r="AS2" s="920" t="s">
        <v>518</v>
      </c>
      <c r="AT2" s="920" t="s">
        <v>519</v>
      </c>
      <c r="AU2" s="921" t="s">
        <v>206</v>
      </c>
      <c r="AV2" s="922" t="s">
        <v>496</v>
      </c>
      <c r="AW2" s="923" t="s">
        <v>520</v>
      </c>
      <c r="AX2" s="924" t="s">
        <v>521</v>
      </c>
      <c r="AY2" s="925" t="s">
        <v>522</v>
      </c>
      <c r="AZ2" s="924" t="s">
        <v>523</v>
      </c>
      <c r="BA2" s="925" t="s">
        <v>524</v>
      </c>
      <c r="BB2" s="924" t="s">
        <v>525</v>
      </c>
      <c r="BC2" s="925" t="s">
        <v>526</v>
      </c>
      <c r="BD2" s="925" t="s">
        <v>527</v>
      </c>
      <c r="BE2" s="925" t="s">
        <v>528</v>
      </c>
      <c r="BF2" s="911" t="s">
        <v>341</v>
      </c>
      <c r="BG2" s="924" t="s">
        <v>342</v>
      </c>
      <c r="BH2" s="926" t="s">
        <v>3</v>
      </c>
      <c r="BI2" s="927" t="s">
        <v>529</v>
      </c>
      <c r="BJ2" s="928"/>
      <c r="BK2" s="922" t="s">
        <v>169</v>
      </c>
      <c r="BL2" s="924" t="s">
        <v>170</v>
      </c>
      <c r="BM2" s="925" t="s">
        <v>171</v>
      </c>
      <c r="BN2" s="924" t="s">
        <v>133</v>
      </c>
      <c r="BO2" s="925" t="s">
        <v>42</v>
      </c>
      <c r="BP2" s="924" t="s">
        <v>43</v>
      </c>
      <c r="BQ2" s="925" t="s">
        <v>164</v>
      </c>
      <c r="BR2" s="925" t="s">
        <v>166</v>
      </c>
      <c r="BS2" s="925" t="s">
        <v>181</v>
      </c>
      <c r="BT2" s="922" t="s">
        <v>185</v>
      </c>
      <c r="BU2" s="924" t="s">
        <v>188</v>
      </c>
      <c r="BV2" s="929" t="s">
        <v>191</v>
      </c>
      <c r="BW2" s="930" t="s">
        <v>530</v>
      </c>
      <c r="BY2" s="922" t="s">
        <v>246</v>
      </c>
      <c r="BZ2" s="924" t="s">
        <v>247</v>
      </c>
      <c r="CA2" s="925" t="s">
        <v>249</v>
      </c>
      <c r="CB2" s="924" t="s">
        <v>250</v>
      </c>
      <c r="CC2" s="925" t="s">
        <v>251</v>
      </c>
      <c r="CD2" s="924" t="s">
        <v>252</v>
      </c>
      <c r="CE2" s="925" t="s">
        <v>253</v>
      </c>
      <c r="CF2" s="925" t="s">
        <v>166</v>
      </c>
      <c r="CG2" s="925" t="s">
        <v>181</v>
      </c>
      <c r="CH2" s="925" t="s">
        <v>531</v>
      </c>
      <c r="CI2" s="924" t="s">
        <v>532</v>
      </c>
      <c r="CJ2" s="929" t="s">
        <v>533</v>
      </c>
    </row>
    <row r="3" spans="1:88" ht="14.65" customHeight="1" x14ac:dyDescent="0.3">
      <c r="B3" s="931">
        <v>1</v>
      </c>
      <c r="C3" s="932" t="s">
        <v>534</v>
      </c>
      <c r="D3" s="933" t="s">
        <v>535</v>
      </c>
      <c r="E3" s="934">
        <v>0</v>
      </c>
      <c r="F3" s="934">
        <v>0</v>
      </c>
      <c r="G3" s="935"/>
      <c r="H3" s="934">
        <v>57477</v>
      </c>
      <c r="I3" s="936">
        <v>137445</v>
      </c>
      <c r="J3" s="936">
        <v>0</v>
      </c>
      <c r="K3" s="936">
        <v>0</v>
      </c>
      <c r="L3" s="937"/>
      <c r="M3" s="937">
        <v>0</v>
      </c>
      <c r="N3" s="937">
        <v>249900</v>
      </c>
      <c r="O3" s="937">
        <v>0</v>
      </c>
      <c r="P3" s="937">
        <v>0</v>
      </c>
      <c r="Q3" s="938">
        <v>0</v>
      </c>
      <c r="R3" s="938">
        <v>120144</v>
      </c>
      <c r="S3" s="938">
        <v>0</v>
      </c>
      <c r="T3" s="937">
        <f t="shared" ref="T3:T9" si="0">SUM(E3:S3)</f>
        <v>564966</v>
      </c>
      <c r="U3" s="939"/>
      <c r="V3" s="937">
        <v>273904</v>
      </c>
      <c r="W3" s="937">
        <v>131517</v>
      </c>
      <c r="X3" s="937">
        <v>0</v>
      </c>
      <c r="Y3" s="937">
        <v>0</v>
      </c>
      <c r="Z3" s="937">
        <v>0</v>
      </c>
      <c r="AA3" s="940">
        <v>0</v>
      </c>
      <c r="AB3" s="937">
        <v>133280</v>
      </c>
      <c r="AC3" s="937">
        <v>0</v>
      </c>
      <c r="AD3" s="937">
        <v>0</v>
      </c>
      <c r="AE3" s="937">
        <v>0</v>
      </c>
      <c r="AF3" s="937">
        <v>0</v>
      </c>
      <c r="AG3" s="937">
        <v>0</v>
      </c>
      <c r="AH3" s="937">
        <f t="shared" ref="AH3:AH13" si="1">SUM(V3:AG3)</f>
        <v>538701</v>
      </c>
      <c r="AI3" s="941"/>
      <c r="AJ3" s="942">
        <v>0</v>
      </c>
      <c r="AK3" s="942">
        <v>0</v>
      </c>
      <c r="AL3" s="942">
        <v>0</v>
      </c>
      <c r="AM3" s="942">
        <v>0</v>
      </c>
      <c r="AN3" s="942">
        <v>0</v>
      </c>
      <c r="AO3" s="943">
        <v>0</v>
      </c>
      <c r="AP3" s="943">
        <v>0</v>
      </c>
      <c r="AQ3" s="942">
        <v>0</v>
      </c>
      <c r="AR3" s="942">
        <v>0</v>
      </c>
      <c r="AS3" s="942">
        <v>0</v>
      </c>
      <c r="AT3" s="942">
        <v>0</v>
      </c>
      <c r="AU3" s="942">
        <v>158270</v>
      </c>
      <c r="AV3" s="944">
        <f t="shared" ref="AV3:AV9" si="2">SUM(AJ3:AU3)</f>
        <v>158270</v>
      </c>
      <c r="AW3" s="945">
        <v>0</v>
      </c>
      <c r="AX3" s="946">
        <v>0</v>
      </c>
      <c r="AY3" s="947"/>
      <c r="AZ3" s="946">
        <v>0</v>
      </c>
      <c r="BA3" s="946">
        <v>0</v>
      </c>
      <c r="BB3" s="946">
        <v>0</v>
      </c>
      <c r="BC3" s="946">
        <v>0</v>
      </c>
      <c r="BD3" s="948">
        <v>0</v>
      </c>
      <c r="BE3" s="949">
        <v>0</v>
      </c>
      <c r="BF3" s="950">
        <v>0</v>
      </c>
      <c r="BG3" s="949">
        <v>0</v>
      </c>
      <c r="BH3" s="951">
        <v>180761</v>
      </c>
      <c r="BI3" s="952">
        <f>SUM(AW3:BH3)</f>
        <v>180761</v>
      </c>
      <c r="BK3" s="953">
        <v>0</v>
      </c>
      <c r="BL3" s="954">
        <v>0</v>
      </c>
      <c r="BM3" s="954">
        <v>0</v>
      </c>
      <c r="BN3" s="955">
        <v>0</v>
      </c>
      <c r="BO3" s="954">
        <v>0</v>
      </c>
      <c r="BP3" s="954">
        <v>0</v>
      </c>
      <c r="BQ3" s="954">
        <v>0</v>
      </c>
      <c r="BR3" s="954">
        <v>249900</v>
      </c>
      <c r="BS3" s="956">
        <v>0</v>
      </c>
      <c r="BT3" s="957">
        <v>0</v>
      </c>
      <c r="BU3" s="955">
        <v>0</v>
      </c>
      <c r="BV3" s="958">
        <v>95000</v>
      </c>
      <c r="BW3" s="959">
        <f>SUM(BK3:BV3)</f>
        <v>344900</v>
      </c>
      <c r="BY3" s="953">
        <v>0</v>
      </c>
      <c r="BZ3" s="954">
        <v>0</v>
      </c>
      <c r="CA3" s="954">
        <v>0</v>
      </c>
      <c r="CB3" s="955">
        <v>0</v>
      </c>
      <c r="CC3" s="954">
        <v>74137</v>
      </c>
      <c r="CD3" s="954">
        <v>0</v>
      </c>
      <c r="CE3" s="954">
        <v>0</v>
      </c>
      <c r="CF3" s="954">
        <v>0</v>
      </c>
      <c r="CG3" s="954">
        <v>0</v>
      </c>
      <c r="CH3" s="954">
        <v>0</v>
      </c>
      <c r="CI3" s="954">
        <v>0</v>
      </c>
      <c r="CJ3" s="960">
        <v>0</v>
      </c>
    </row>
    <row r="4" spans="1:88" ht="14.65" customHeight="1" x14ac:dyDescent="0.3">
      <c r="B4" s="961">
        <v>2</v>
      </c>
      <c r="C4" s="962" t="s">
        <v>536</v>
      </c>
      <c r="D4" s="963" t="s">
        <v>535</v>
      </c>
      <c r="E4" s="964"/>
      <c r="F4" s="964"/>
      <c r="G4" s="964"/>
      <c r="H4" s="964"/>
      <c r="I4" s="964"/>
      <c r="J4" s="964"/>
      <c r="K4" s="964"/>
      <c r="L4" s="964"/>
      <c r="M4" s="964"/>
      <c r="N4" s="964"/>
      <c r="O4" s="964"/>
      <c r="P4" s="964"/>
      <c r="Q4" s="965"/>
      <c r="R4" s="965"/>
      <c r="S4" s="965"/>
      <c r="T4" s="964">
        <f t="shared" si="0"/>
        <v>0</v>
      </c>
      <c r="U4" s="962"/>
      <c r="V4" s="964">
        <v>0</v>
      </c>
      <c r="W4" s="964">
        <v>0</v>
      </c>
      <c r="X4" s="964">
        <v>80800</v>
      </c>
      <c r="Y4" s="964">
        <v>0</v>
      </c>
      <c r="Z4" s="964">
        <v>0</v>
      </c>
      <c r="AA4" s="964">
        <v>0</v>
      </c>
      <c r="AB4" s="964">
        <f>66224</f>
        <v>66224</v>
      </c>
      <c r="AC4" s="964">
        <f>348506</f>
        <v>348506</v>
      </c>
      <c r="AD4" s="964">
        <v>288272</v>
      </c>
      <c r="AE4" s="964">
        <v>0</v>
      </c>
      <c r="AF4" s="964">
        <v>0</v>
      </c>
      <c r="AG4" s="964">
        <v>0</v>
      </c>
      <c r="AH4" s="964">
        <f t="shared" si="1"/>
        <v>783802</v>
      </c>
      <c r="AI4" s="966"/>
      <c r="AJ4" s="967">
        <v>215305</v>
      </c>
      <c r="AK4" s="967">
        <v>0</v>
      </c>
      <c r="AL4" s="967">
        <v>0</v>
      </c>
      <c r="AM4" s="967">
        <v>0</v>
      </c>
      <c r="AN4" s="967">
        <v>481845</v>
      </c>
      <c r="AO4" s="967">
        <v>0</v>
      </c>
      <c r="AP4" s="967">
        <v>0</v>
      </c>
      <c r="AQ4" s="967">
        <v>76760</v>
      </c>
      <c r="AR4" s="967">
        <v>0</v>
      </c>
      <c r="AS4" s="967">
        <v>0</v>
      </c>
      <c r="AT4" s="967">
        <v>234222</v>
      </c>
      <c r="AU4" s="967">
        <v>0</v>
      </c>
      <c r="AV4" s="968">
        <f t="shared" si="2"/>
        <v>1008132</v>
      </c>
      <c r="AW4" s="969">
        <v>0</v>
      </c>
      <c r="AX4" s="264">
        <v>609789</v>
      </c>
      <c r="AY4" s="970"/>
      <c r="AZ4" s="264">
        <v>0</v>
      </c>
      <c r="BA4" s="264">
        <v>0</v>
      </c>
      <c r="BB4" s="264">
        <v>0</v>
      </c>
      <c r="BC4" s="264">
        <v>238291</v>
      </c>
      <c r="BD4" s="971">
        <v>0</v>
      </c>
      <c r="BE4" s="972">
        <v>0</v>
      </c>
      <c r="BF4" s="973">
        <v>621190</v>
      </c>
      <c r="BG4" s="974">
        <v>0</v>
      </c>
      <c r="BH4" s="975">
        <v>0</v>
      </c>
      <c r="BI4" s="976">
        <f>SUM(AW4:BH4)</f>
        <v>1469270</v>
      </c>
      <c r="BK4" s="977">
        <v>0</v>
      </c>
      <c r="BL4" s="208">
        <v>0</v>
      </c>
      <c r="BM4" s="208">
        <v>0</v>
      </c>
      <c r="BN4" s="208">
        <v>363758</v>
      </c>
      <c r="BO4" s="208">
        <v>84164</v>
      </c>
      <c r="BP4" s="208">
        <v>71607</v>
      </c>
      <c r="BQ4" s="208">
        <v>0</v>
      </c>
      <c r="BR4" s="208">
        <v>206878</v>
      </c>
      <c r="BS4" s="978">
        <v>0</v>
      </c>
      <c r="BT4" s="209">
        <v>0</v>
      </c>
      <c r="BU4" s="979">
        <v>0</v>
      </c>
      <c r="BV4" s="980">
        <v>0</v>
      </c>
      <c r="BW4" s="981">
        <f>SUM(BK4:BV4)</f>
        <v>726407</v>
      </c>
      <c r="BY4" s="977">
        <v>0</v>
      </c>
      <c r="BZ4" s="208">
        <v>0</v>
      </c>
      <c r="CA4" s="208">
        <v>0</v>
      </c>
      <c r="CB4" s="208">
        <v>0</v>
      </c>
      <c r="CC4" s="208">
        <v>0</v>
      </c>
      <c r="CD4" s="208">
        <v>0</v>
      </c>
      <c r="CE4" s="208">
        <v>0</v>
      </c>
      <c r="CF4" s="208">
        <v>0</v>
      </c>
      <c r="CG4" s="208">
        <v>0</v>
      </c>
      <c r="CH4" s="208">
        <v>0</v>
      </c>
      <c r="CI4" s="979">
        <v>0</v>
      </c>
      <c r="CJ4" s="980">
        <v>0</v>
      </c>
    </row>
    <row r="5" spans="1:88" ht="14.65" customHeight="1" x14ac:dyDescent="0.3">
      <c r="B5" s="961">
        <v>3</v>
      </c>
      <c r="C5" s="962" t="s">
        <v>537</v>
      </c>
      <c r="D5" s="963" t="s">
        <v>535</v>
      </c>
      <c r="E5" s="964"/>
      <c r="F5" s="964"/>
      <c r="G5" s="964"/>
      <c r="H5" s="964"/>
      <c r="I5" s="964"/>
      <c r="J5" s="964"/>
      <c r="K5" s="964"/>
      <c r="L5" s="964"/>
      <c r="M5" s="964"/>
      <c r="N5" s="964"/>
      <c r="O5" s="964"/>
      <c r="P5" s="964"/>
      <c r="Q5" s="965"/>
      <c r="R5" s="965"/>
      <c r="S5" s="965"/>
      <c r="T5" s="964">
        <f t="shared" si="0"/>
        <v>0</v>
      </c>
      <c r="U5" s="962"/>
      <c r="V5" s="964">
        <v>0</v>
      </c>
      <c r="W5" s="982">
        <v>0</v>
      </c>
      <c r="X5" s="982">
        <v>0</v>
      </c>
      <c r="Y5" s="964">
        <v>0</v>
      </c>
      <c r="Z5" s="964">
        <v>0</v>
      </c>
      <c r="AA5" s="964">
        <v>0</v>
      </c>
      <c r="AB5" s="964">
        <v>341530</v>
      </c>
      <c r="AC5" s="964">
        <v>112455</v>
      </c>
      <c r="AD5" s="964">
        <v>112455</v>
      </c>
      <c r="AE5" s="964">
        <v>0</v>
      </c>
      <c r="AF5" s="964">
        <v>0</v>
      </c>
      <c r="AG5" s="964">
        <v>0</v>
      </c>
      <c r="AH5" s="964">
        <f t="shared" si="1"/>
        <v>566440</v>
      </c>
      <c r="AI5" s="966"/>
      <c r="AJ5" s="967">
        <v>0</v>
      </c>
      <c r="AK5" s="967">
        <v>0</v>
      </c>
      <c r="AL5" s="967">
        <v>248271</v>
      </c>
      <c r="AM5" s="967">
        <v>0</v>
      </c>
      <c r="AN5" s="967">
        <v>0</v>
      </c>
      <c r="AO5" s="967">
        <v>0</v>
      </c>
      <c r="AP5" s="967">
        <v>0</v>
      </c>
      <c r="AQ5" s="967">
        <v>0</v>
      </c>
      <c r="AR5" s="967">
        <v>0</v>
      </c>
      <c r="AS5" s="967">
        <v>0</v>
      </c>
      <c r="AT5" s="967">
        <v>0</v>
      </c>
      <c r="AU5" s="967">
        <v>0</v>
      </c>
      <c r="AV5" s="968">
        <f t="shared" si="2"/>
        <v>248271</v>
      </c>
      <c r="AW5" s="969">
        <v>0</v>
      </c>
      <c r="AX5" s="264">
        <v>0</v>
      </c>
      <c r="AY5" s="970"/>
      <c r="AZ5" s="264">
        <v>0</v>
      </c>
      <c r="BA5" s="264">
        <v>0</v>
      </c>
      <c r="BB5" s="264">
        <v>0</v>
      </c>
      <c r="BC5" s="264">
        <v>0</v>
      </c>
      <c r="BD5" s="971">
        <v>0</v>
      </c>
      <c r="BE5" s="972">
        <v>0</v>
      </c>
      <c r="BF5" s="973">
        <v>0</v>
      </c>
      <c r="BG5" s="974">
        <v>0</v>
      </c>
      <c r="BH5" s="975">
        <v>725927</v>
      </c>
      <c r="BI5" s="976">
        <f t="shared" ref="BI5:BI42" si="3">SUM(AW5:BH5)</f>
        <v>725927</v>
      </c>
      <c r="BK5" s="977">
        <v>0</v>
      </c>
      <c r="BL5" s="208">
        <v>0</v>
      </c>
      <c r="BM5" s="208">
        <v>0</v>
      </c>
      <c r="BN5" s="979">
        <v>0</v>
      </c>
      <c r="BO5" s="208">
        <v>0</v>
      </c>
      <c r="BP5" s="208">
        <v>0</v>
      </c>
      <c r="BQ5" s="208">
        <v>0</v>
      </c>
      <c r="BR5" s="208">
        <v>0</v>
      </c>
      <c r="BS5" s="978">
        <v>0</v>
      </c>
      <c r="BT5" s="209">
        <v>0</v>
      </c>
      <c r="BU5" s="979">
        <v>0</v>
      </c>
      <c r="BV5" s="980">
        <v>0</v>
      </c>
      <c r="BW5" s="981">
        <f t="shared" ref="BW5:BW48" si="4">SUM(BK5:BV5)</f>
        <v>0</v>
      </c>
      <c r="BY5" s="977">
        <v>0</v>
      </c>
      <c r="BZ5" s="208">
        <v>0</v>
      </c>
      <c r="CA5" s="208">
        <v>0</v>
      </c>
      <c r="CB5" s="208">
        <v>0</v>
      </c>
      <c r="CC5" s="208">
        <v>0</v>
      </c>
      <c r="CD5" s="208">
        <v>0</v>
      </c>
      <c r="CE5" s="208">
        <v>0</v>
      </c>
      <c r="CF5" s="208">
        <v>0</v>
      </c>
      <c r="CG5" s="208">
        <v>0</v>
      </c>
      <c r="CH5" s="208">
        <v>0</v>
      </c>
      <c r="CI5" s="979">
        <v>0</v>
      </c>
      <c r="CJ5" s="980">
        <v>0</v>
      </c>
    </row>
    <row r="6" spans="1:88" ht="14.65" customHeight="1" x14ac:dyDescent="0.3">
      <c r="B6" s="961">
        <v>4</v>
      </c>
      <c r="C6" s="962" t="s">
        <v>538</v>
      </c>
      <c r="D6" s="963" t="s">
        <v>535</v>
      </c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5"/>
      <c r="R6" s="965"/>
      <c r="S6" s="965"/>
      <c r="T6" s="964">
        <f t="shared" si="0"/>
        <v>0</v>
      </c>
      <c r="U6" s="962"/>
      <c r="V6" s="964">
        <v>0</v>
      </c>
      <c r="W6" s="964">
        <v>0</v>
      </c>
      <c r="X6" s="982">
        <v>0</v>
      </c>
      <c r="Y6" s="982">
        <v>0</v>
      </c>
      <c r="Z6" s="982">
        <v>0</v>
      </c>
      <c r="AA6" s="982">
        <v>0</v>
      </c>
      <c r="AB6" s="982">
        <v>0</v>
      </c>
      <c r="AC6" s="982">
        <v>0</v>
      </c>
      <c r="AD6" s="982">
        <v>0</v>
      </c>
      <c r="AE6" s="982">
        <v>0</v>
      </c>
      <c r="AF6" s="964">
        <f>327980</f>
        <v>327980</v>
      </c>
      <c r="AG6" s="964">
        <v>0</v>
      </c>
      <c r="AH6" s="964">
        <f t="shared" si="1"/>
        <v>327980</v>
      </c>
      <c r="AI6" s="966"/>
      <c r="AJ6" s="967">
        <f>84966</f>
        <v>84966</v>
      </c>
      <c r="AK6" s="967">
        <v>0</v>
      </c>
      <c r="AL6" s="983">
        <v>0</v>
      </c>
      <c r="AM6" s="967">
        <f>55789</f>
        <v>55789</v>
      </c>
      <c r="AN6" s="967">
        <v>0</v>
      </c>
      <c r="AO6" s="967">
        <v>0</v>
      </c>
      <c r="AP6" s="967">
        <v>0</v>
      </c>
      <c r="AQ6" s="967">
        <v>0</v>
      </c>
      <c r="AR6" s="967">
        <v>0</v>
      </c>
      <c r="AS6" s="967">
        <v>0</v>
      </c>
      <c r="AT6" s="967">
        <v>0</v>
      </c>
      <c r="AU6" s="967">
        <v>0</v>
      </c>
      <c r="AV6" s="968">
        <f t="shared" si="2"/>
        <v>140755</v>
      </c>
      <c r="AW6" s="969">
        <v>0</v>
      </c>
      <c r="AX6" s="264">
        <v>0</v>
      </c>
      <c r="AY6" s="264">
        <v>55790</v>
      </c>
      <c r="AZ6" s="264">
        <v>0</v>
      </c>
      <c r="BA6" s="264">
        <v>0</v>
      </c>
      <c r="BB6" s="264">
        <v>0</v>
      </c>
      <c r="BC6" s="264">
        <v>75942</v>
      </c>
      <c r="BD6" s="971">
        <v>0</v>
      </c>
      <c r="BE6" s="972">
        <v>0</v>
      </c>
      <c r="BF6" s="973">
        <v>198170</v>
      </c>
      <c r="BG6" s="974">
        <v>0</v>
      </c>
      <c r="BH6" s="975">
        <v>0</v>
      </c>
      <c r="BI6" s="976">
        <f t="shared" si="3"/>
        <v>329902</v>
      </c>
      <c r="BK6" s="977">
        <v>0</v>
      </c>
      <c r="BL6" s="208">
        <v>127400</v>
      </c>
      <c r="BM6" s="208">
        <v>0</v>
      </c>
      <c r="BN6" s="979">
        <v>0</v>
      </c>
      <c r="BO6" s="208">
        <v>0</v>
      </c>
      <c r="BP6" s="208">
        <v>0</v>
      </c>
      <c r="BQ6" s="208">
        <v>0</v>
      </c>
      <c r="BR6" s="208">
        <v>0</v>
      </c>
      <c r="BS6" s="978">
        <v>0</v>
      </c>
      <c r="BT6" s="209"/>
      <c r="BU6" s="979">
        <v>0</v>
      </c>
      <c r="BV6" s="980">
        <v>0</v>
      </c>
      <c r="BW6" s="981">
        <f t="shared" si="4"/>
        <v>127400</v>
      </c>
      <c r="BY6" s="977">
        <v>0</v>
      </c>
      <c r="BZ6" s="208">
        <v>0</v>
      </c>
      <c r="CA6" s="208">
        <v>0</v>
      </c>
      <c r="CB6" s="208">
        <v>0</v>
      </c>
      <c r="CC6" s="208">
        <v>0</v>
      </c>
      <c r="CD6" s="208">
        <v>102828</v>
      </c>
      <c r="CE6" s="208">
        <v>0</v>
      </c>
      <c r="CF6" s="208">
        <v>0</v>
      </c>
      <c r="CG6" s="208">
        <v>0</v>
      </c>
      <c r="CH6" s="208">
        <v>151932</v>
      </c>
      <c r="CI6" s="979">
        <v>0</v>
      </c>
      <c r="CJ6" s="980">
        <v>0</v>
      </c>
    </row>
    <row r="7" spans="1:88" ht="14.65" customHeight="1" x14ac:dyDescent="0.3">
      <c r="B7" s="961">
        <v>5</v>
      </c>
      <c r="C7" s="962" t="s">
        <v>405</v>
      </c>
      <c r="D7" s="963" t="s">
        <v>535</v>
      </c>
      <c r="E7" s="964"/>
      <c r="F7" s="964"/>
      <c r="G7" s="964"/>
      <c r="H7" s="964"/>
      <c r="I7" s="964"/>
      <c r="J7" s="964"/>
      <c r="K7" s="964"/>
      <c r="L7" s="964"/>
      <c r="M7" s="964"/>
      <c r="N7" s="964"/>
      <c r="O7" s="964"/>
      <c r="P7" s="964"/>
      <c r="Q7" s="965"/>
      <c r="R7" s="965"/>
      <c r="S7" s="965"/>
      <c r="T7" s="964">
        <f t="shared" si="0"/>
        <v>0</v>
      </c>
      <c r="U7" s="962"/>
      <c r="V7" s="964">
        <v>0</v>
      </c>
      <c r="W7" s="964">
        <v>0</v>
      </c>
      <c r="X7" s="962"/>
      <c r="Y7" s="962"/>
      <c r="Z7" s="964"/>
      <c r="AA7" s="962"/>
      <c r="AB7" s="964"/>
      <c r="AC7" s="964"/>
      <c r="AD7" s="964"/>
      <c r="AE7" s="964"/>
      <c r="AF7" s="964"/>
      <c r="AG7" s="962"/>
      <c r="AH7" s="964">
        <f t="shared" si="1"/>
        <v>0</v>
      </c>
      <c r="AI7" s="966"/>
      <c r="AJ7" s="967">
        <v>0</v>
      </c>
      <c r="AK7" s="967">
        <f>193291</f>
        <v>193291</v>
      </c>
      <c r="AL7" s="983">
        <v>0</v>
      </c>
      <c r="AM7" s="967">
        <f>80477</f>
        <v>80477</v>
      </c>
      <c r="AN7" s="967">
        <v>0</v>
      </c>
      <c r="AO7" s="967">
        <v>0</v>
      </c>
      <c r="AP7" s="967">
        <v>0</v>
      </c>
      <c r="AQ7" s="967">
        <v>0</v>
      </c>
      <c r="AR7" s="967">
        <v>0</v>
      </c>
      <c r="AS7" s="967">
        <v>0</v>
      </c>
      <c r="AT7" s="967">
        <v>0</v>
      </c>
      <c r="AU7" s="967">
        <v>0</v>
      </c>
      <c r="AV7" s="968">
        <f t="shared" si="2"/>
        <v>273768</v>
      </c>
      <c r="AW7" s="969">
        <v>0</v>
      </c>
      <c r="AX7" s="264">
        <v>0</v>
      </c>
      <c r="AY7" s="971">
        <v>0</v>
      </c>
      <c r="AZ7" s="264">
        <v>0</v>
      </c>
      <c r="BA7" s="264">
        <v>263736</v>
      </c>
      <c r="BB7" s="264">
        <v>0</v>
      </c>
      <c r="BC7" s="264">
        <v>0</v>
      </c>
      <c r="BD7" s="971">
        <v>0</v>
      </c>
      <c r="BE7" s="972">
        <v>0</v>
      </c>
      <c r="BF7" s="973">
        <v>0</v>
      </c>
      <c r="BG7" s="974">
        <v>0</v>
      </c>
      <c r="BH7" s="975">
        <v>763478</v>
      </c>
      <c r="BI7" s="976">
        <f t="shared" si="3"/>
        <v>1027214</v>
      </c>
      <c r="BK7" s="977">
        <v>0</v>
      </c>
      <c r="BL7" s="208">
        <v>0</v>
      </c>
      <c r="BM7" s="208">
        <v>168767</v>
      </c>
      <c r="BN7" s="208">
        <v>1008848</v>
      </c>
      <c r="BO7" s="208">
        <v>0</v>
      </c>
      <c r="BP7" s="208">
        <v>87663</v>
      </c>
      <c r="BQ7" s="208">
        <v>180261</v>
      </c>
      <c r="BR7" s="208">
        <v>0</v>
      </c>
      <c r="BS7" s="978">
        <v>0</v>
      </c>
      <c r="BT7" s="209">
        <v>0</v>
      </c>
      <c r="BU7" s="979">
        <v>0</v>
      </c>
      <c r="BV7" s="980">
        <v>0</v>
      </c>
      <c r="BW7" s="981">
        <f t="shared" si="4"/>
        <v>1445539</v>
      </c>
      <c r="BY7" s="977">
        <v>0</v>
      </c>
      <c r="BZ7" s="208">
        <v>0</v>
      </c>
      <c r="CA7" s="208">
        <v>0</v>
      </c>
      <c r="CB7" s="208">
        <v>0</v>
      </c>
      <c r="CC7" s="208">
        <v>0</v>
      </c>
      <c r="CD7" s="208">
        <v>0</v>
      </c>
      <c r="CE7" s="208">
        <v>0</v>
      </c>
      <c r="CF7" s="208">
        <v>0</v>
      </c>
      <c r="CG7" s="208">
        <v>0</v>
      </c>
      <c r="CH7" s="208">
        <v>147050</v>
      </c>
      <c r="CI7" s="979">
        <v>0</v>
      </c>
      <c r="CJ7" s="980">
        <v>0</v>
      </c>
    </row>
    <row r="8" spans="1:88" ht="14.65" customHeight="1" x14ac:dyDescent="0.3">
      <c r="B8" s="961">
        <v>6</v>
      </c>
      <c r="C8" s="984" t="s">
        <v>539</v>
      </c>
      <c r="D8" s="963" t="s">
        <v>535</v>
      </c>
      <c r="E8" s="985">
        <v>0</v>
      </c>
      <c r="F8" s="985">
        <v>0</v>
      </c>
      <c r="G8" s="985">
        <v>0</v>
      </c>
      <c r="H8" s="985">
        <v>0</v>
      </c>
      <c r="I8" s="985">
        <v>0</v>
      </c>
      <c r="J8" s="964">
        <v>0</v>
      </c>
      <c r="K8" s="964">
        <v>0</v>
      </c>
      <c r="L8" s="964">
        <v>0</v>
      </c>
      <c r="M8" s="964">
        <v>0</v>
      </c>
      <c r="N8" s="964">
        <v>0</v>
      </c>
      <c r="O8" s="964">
        <v>0</v>
      </c>
      <c r="P8" s="964">
        <v>0</v>
      </c>
      <c r="Q8" s="965">
        <v>0</v>
      </c>
      <c r="R8" s="965">
        <v>53220</v>
      </c>
      <c r="S8" s="965">
        <v>786926</v>
      </c>
      <c r="T8" s="964">
        <f t="shared" si="0"/>
        <v>840146</v>
      </c>
      <c r="U8" s="962"/>
      <c r="V8" s="964">
        <v>158955</v>
      </c>
      <c r="W8" s="964">
        <v>1466134</v>
      </c>
      <c r="X8" s="964">
        <v>415790</v>
      </c>
      <c r="Y8" s="964">
        <f>733374</f>
        <v>733374</v>
      </c>
      <c r="Z8" s="964">
        <v>797968</v>
      </c>
      <c r="AA8" s="964">
        <v>280496</v>
      </c>
      <c r="AB8" s="964">
        <f>392106</f>
        <v>392106</v>
      </c>
      <c r="AC8" s="964">
        <v>110274</v>
      </c>
      <c r="AD8" s="964">
        <v>331122</v>
      </c>
      <c r="AE8" s="964">
        <f>259905</f>
        <v>259905</v>
      </c>
      <c r="AF8" s="964">
        <v>105425</v>
      </c>
      <c r="AG8" s="964">
        <f>689804</f>
        <v>689804</v>
      </c>
      <c r="AH8" s="964">
        <f>SUM(V8:AG8)</f>
        <v>5741353</v>
      </c>
      <c r="AI8" s="966"/>
      <c r="AJ8" s="967">
        <v>0</v>
      </c>
      <c r="AK8" s="967">
        <v>0</v>
      </c>
      <c r="AL8" s="967"/>
      <c r="AM8" s="967">
        <f>68940</f>
        <v>68940</v>
      </c>
      <c r="AN8" s="967">
        <f>220445</f>
        <v>220445</v>
      </c>
      <c r="AO8" s="967">
        <v>0</v>
      </c>
      <c r="AP8" s="967">
        <v>0</v>
      </c>
      <c r="AQ8" s="967">
        <v>0</v>
      </c>
      <c r="AR8" s="967">
        <v>0</v>
      </c>
      <c r="AS8" s="967">
        <v>0</v>
      </c>
      <c r="AT8" s="967">
        <v>0</v>
      </c>
      <c r="AU8" s="967">
        <v>0</v>
      </c>
      <c r="AV8" s="968">
        <f t="shared" si="2"/>
        <v>289385</v>
      </c>
      <c r="AW8" s="969">
        <v>0</v>
      </c>
      <c r="AX8" s="264">
        <v>0</v>
      </c>
      <c r="AY8" s="971">
        <v>0</v>
      </c>
      <c r="AZ8" s="264">
        <v>0</v>
      </c>
      <c r="BA8" s="264">
        <v>0</v>
      </c>
      <c r="BB8" s="264">
        <v>210570</v>
      </c>
      <c r="BC8" s="264">
        <v>0</v>
      </c>
      <c r="BD8" s="971">
        <v>0</v>
      </c>
      <c r="BE8" s="972">
        <v>0</v>
      </c>
      <c r="BF8" s="973">
        <v>0</v>
      </c>
      <c r="BG8" s="972">
        <v>1109744</v>
      </c>
      <c r="BH8" s="975">
        <v>99036.479999999996</v>
      </c>
      <c r="BI8" s="976">
        <f t="shared" si="3"/>
        <v>1419350.48</v>
      </c>
      <c r="BK8" s="209">
        <v>90463</v>
      </c>
      <c r="BL8" s="208">
        <v>0</v>
      </c>
      <c r="BM8" s="208">
        <v>0</v>
      </c>
      <c r="BN8" s="979">
        <v>0</v>
      </c>
      <c r="BO8" s="208">
        <v>671444</v>
      </c>
      <c r="BP8" s="208">
        <v>287460</v>
      </c>
      <c r="BQ8" s="208">
        <v>197441</v>
      </c>
      <c r="BR8" s="208">
        <v>148612.89000000001</v>
      </c>
      <c r="BS8" s="978">
        <v>0</v>
      </c>
      <c r="BT8" s="209">
        <v>348391</v>
      </c>
      <c r="BU8" s="208">
        <v>338301</v>
      </c>
      <c r="BV8" s="980">
        <v>105484.67</v>
      </c>
      <c r="BW8" s="981">
        <f t="shared" si="4"/>
        <v>2187597.56</v>
      </c>
      <c r="BY8" s="977">
        <v>0</v>
      </c>
      <c r="BZ8" s="208">
        <v>0</v>
      </c>
      <c r="CA8" s="208">
        <v>0</v>
      </c>
      <c r="CB8" s="208">
        <v>0</v>
      </c>
      <c r="CC8" s="208">
        <v>0</v>
      </c>
      <c r="CD8" s="208">
        <v>0</v>
      </c>
      <c r="CE8" s="208">
        <v>0</v>
      </c>
      <c r="CF8" s="208">
        <v>0</v>
      </c>
      <c r="CG8" s="208">
        <v>0</v>
      </c>
      <c r="CH8" s="208">
        <v>0</v>
      </c>
      <c r="CI8" s="979">
        <v>0</v>
      </c>
      <c r="CJ8" s="980">
        <v>0</v>
      </c>
    </row>
    <row r="9" spans="1:88" ht="14.65" customHeight="1" x14ac:dyDescent="0.3">
      <c r="B9" s="961">
        <v>7</v>
      </c>
      <c r="C9" s="962" t="s">
        <v>386</v>
      </c>
      <c r="D9" s="963" t="s">
        <v>535</v>
      </c>
      <c r="E9" s="964"/>
      <c r="F9" s="964"/>
      <c r="G9" s="964"/>
      <c r="H9" s="964"/>
      <c r="I9" s="964">
        <v>0</v>
      </c>
      <c r="J9" s="964">
        <v>333718</v>
      </c>
      <c r="K9" s="964">
        <v>0</v>
      </c>
      <c r="L9" s="986">
        <v>431454</v>
      </c>
      <c r="M9" s="964">
        <v>141960</v>
      </c>
      <c r="N9" s="964">
        <v>0</v>
      </c>
      <c r="O9" s="964">
        <v>213500</v>
      </c>
      <c r="P9" s="964">
        <v>0</v>
      </c>
      <c r="Q9" s="965">
        <v>346500</v>
      </c>
      <c r="R9" s="965">
        <v>0</v>
      </c>
      <c r="S9" s="965">
        <v>0</v>
      </c>
      <c r="T9" s="964">
        <f t="shared" si="0"/>
        <v>1467132</v>
      </c>
      <c r="U9" s="962"/>
      <c r="V9" s="964">
        <v>0</v>
      </c>
      <c r="W9" s="964">
        <v>243964</v>
      </c>
      <c r="X9" s="964">
        <v>0</v>
      </c>
      <c r="Y9" s="964">
        <v>0</v>
      </c>
      <c r="Z9" s="964">
        <v>205949</v>
      </c>
      <c r="AA9" s="964">
        <v>0</v>
      </c>
      <c r="AB9" s="964">
        <v>0</v>
      </c>
      <c r="AC9" s="964">
        <v>0</v>
      </c>
      <c r="AD9" s="964">
        <v>0</v>
      </c>
      <c r="AE9" s="964">
        <f>116174</f>
        <v>116174</v>
      </c>
      <c r="AF9" s="964">
        <v>0</v>
      </c>
      <c r="AG9" s="964">
        <f>156537</f>
        <v>156537</v>
      </c>
      <c r="AH9" s="964">
        <f>SUM(V9:AG9)</f>
        <v>722624</v>
      </c>
      <c r="AI9" s="966"/>
      <c r="AJ9" s="967">
        <v>0</v>
      </c>
      <c r="AK9" s="967">
        <v>0</v>
      </c>
      <c r="AL9" s="967"/>
      <c r="AM9" s="967"/>
      <c r="AN9" s="967"/>
      <c r="AO9" s="967"/>
      <c r="AP9" s="967"/>
      <c r="AQ9" s="967"/>
      <c r="AR9" s="967"/>
      <c r="AS9" s="967"/>
      <c r="AT9" s="967"/>
      <c r="AU9" s="987">
        <v>278691</v>
      </c>
      <c r="AV9" s="968">
        <f t="shared" si="2"/>
        <v>278691</v>
      </c>
      <c r="AW9" s="969">
        <v>0</v>
      </c>
      <c r="AX9" s="264">
        <v>0</v>
      </c>
      <c r="AY9" s="264">
        <f>118523+47375+37384+64301</f>
        <v>267583</v>
      </c>
      <c r="AZ9" s="264">
        <v>0</v>
      </c>
      <c r="BA9" s="264">
        <v>176000</v>
      </c>
      <c r="BB9" s="264">
        <v>0</v>
      </c>
      <c r="BC9" s="264">
        <f>360297-86705</f>
        <v>273592</v>
      </c>
      <c r="BD9" s="971">
        <v>0</v>
      </c>
      <c r="BE9" s="972">
        <v>0</v>
      </c>
      <c r="BF9" s="973">
        <v>0</v>
      </c>
      <c r="BG9" s="972">
        <v>3061681</v>
      </c>
      <c r="BH9" s="975">
        <v>0</v>
      </c>
      <c r="BI9" s="976">
        <f t="shared" si="3"/>
        <v>3778856</v>
      </c>
      <c r="BK9" s="977">
        <v>0</v>
      </c>
      <c r="BL9" s="208">
        <v>0</v>
      </c>
      <c r="BM9" s="208">
        <v>0</v>
      </c>
      <c r="BN9" s="979">
        <v>0</v>
      </c>
      <c r="BO9" s="208">
        <v>1694568</v>
      </c>
      <c r="BP9" s="208">
        <v>1008002</v>
      </c>
      <c r="BQ9" s="208">
        <v>99375</v>
      </c>
      <c r="BR9" s="208">
        <v>139362</v>
      </c>
      <c r="BS9" s="978">
        <v>0</v>
      </c>
      <c r="BT9" s="209">
        <v>193784</v>
      </c>
      <c r="BU9" s="208">
        <v>0</v>
      </c>
      <c r="BV9" s="980">
        <v>0</v>
      </c>
      <c r="BW9" s="981">
        <f t="shared" si="4"/>
        <v>3135091</v>
      </c>
      <c r="BY9" s="977">
        <v>0</v>
      </c>
      <c r="BZ9" s="208">
        <v>0</v>
      </c>
      <c r="CA9" s="208">
        <v>0</v>
      </c>
      <c r="CB9" s="208">
        <v>0</v>
      </c>
      <c r="CC9" s="208">
        <v>0</v>
      </c>
      <c r="CD9" s="208">
        <v>0</v>
      </c>
      <c r="CE9" s="208">
        <v>0</v>
      </c>
      <c r="CF9" s="208">
        <v>0</v>
      </c>
      <c r="CG9" s="208">
        <v>0</v>
      </c>
      <c r="CH9" s="208">
        <v>0</v>
      </c>
      <c r="CI9" s="979">
        <v>0</v>
      </c>
      <c r="CJ9" s="980">
        <v>0</v>
      </c>
    </row>
    <row r="10" spans="1:88" ht="14.65" customHeight="1" x14ac:dyDescent="0.3">
      <c r="B10" s="961">
        <v>8</v>
      </c>
      <c r="C10" s="962" t="s">
        <v>540</v>
      </c>
      <c r="D10" s="963" t="s">
        <v>535</v>
      </c>
      <c r="E10" s="964"/>
      <c r="F10" s="964"/>
      <c r="G10" s="964"/>
      <c r="H10" s="964"/>
      <c r="I10" s="964"/>
      <c r="J10" s="964"/>
      <c r="K10" s="964"/>
      <c r="L10" s="986"/>
      <c r="M10" s="964"/>
      <c r="N10" s="964"/>
      <c r="O10" s="964"/>
      <c r="P10" s="964"/>
      <c r="Q10" s="965"/>
      <c r="R10" s="965"/>
      <c r="S10" s="965"/>
      <c r="T10" s="964"/>
      <c r="U10" s="962"/>
      <c r="V10" s="964"/>
      <c r="W10" s="964"/>
      <c r="X10" s="964"/>
      <c r="Y10" s="964"/>
      <c r="Z10" s="964"/>
      <c r="AA10" s="964"/>
      <c r="AB10" s="964"/>
      <c r="AC10" s="964"/>
      <c r="AD10" s="964"/>
      <c r="AE10" s="964"/>
      <c r="AF10" s="964"/>
      <c r="AG10" s="964"/>
      <c r="AH10" s="964"/>
      <c r="AI10" s="966"/>
      <c r="AJ10" s="967"/>
      <c r="AK10" s="967"/>
      <c r="AL10" s="967"/>
      <c r="AM10" s="967"/>
      <c r="AN10" s="967"/>
      <c r="AO10" s="967"/>
      <c r="AP10" s="967"/>
      <c r="AQ10" s="967"/>
      <c r="AR10" s="967"/>
      <c r="AS10" s="967"/>
      <c r="AT10" s="967"/>
      <c r="AU10" s="987"/>
      <c r="AV10" s="968"/>
      <c r="AW10" s="969">
        <v>0</v>
      </c>
      <c r="AX10" s="264"/>
      <c r="AY10" s="264"/>
      <c r="AZ10" s="264">
        <v>455830</v>
      </c>
      <c r="BA10" s="264">
        <v>0</v>
      </c>
      <c r="BB10" s="264">
        <v>1647434</v>
      </c>
      <c r="BC10" s="264">
        <v>1178731</v>
      </c>
      <c r="BD10" s="971">
        <v>0</v>
      </c>
      <c r="BE10" s="972">
        <v>0</v>
      </c>
      <c r="BF10" s="973">
        <v>0</v>
      </c>
      <c r="BG10" s="974">
        <v>0</v>
      </c>
      <c r="BH10" s="975"/>
      <c r="BI10" s="976">
        <f t="shared" si="3"/>
        <v>3281995</v>
      </c>
      <c r="BK10" s="209">
        <v>2739421</v>
      </c>
      <c r="BL10" s="208">
        <f>1150226-70162</f>
        <v>1080064</v>
      </c>
      <c r="BM10" s="208">
        <v>710255</v>
      </c>
      <c r="BN10" s="979">
        <v>0</v>
      </c>
      <c r="BO10" s="208">
        <v>274353</v>
      </c>
      <c r="BP10" s="208">
        <v>0</v>
      </c>
      <c r="BQ10" s="208">
        <v>0</v>
      </c>
      <c r="BR10" s="208">
        <v>0</v>
      </c>
      <c r="BS10" s="978">
        <v>0</v>
      </c>
      <c r="BT10" s="209">
        <v>0</v>
      </c>
      <c r="BU10" s="208">
        <v>0</v>
      </c>
      <c r="BV10" s="980">
        <v>0</v>
      </c>
      <c r="BW10" s="981">
        <f t="shared" si="4"/>
        <v>4804093</v>
      </c>
      <c r="BY10" s="977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979">
        <v>0</v>
      </c>
      <c r="CJ10" s="980">
        <v>0</v>
      </c>
    </row>
    <row r="11" spans="1:88" ht="14.65" customHeight="1" x14ac:dyDescent="0.3">
      <c r="A11" s="63" t="s">
        <v>541</v>
      </c>
      <c r="B11" s="961">
        <v>9</v>
      </c>
      <c r="C11" s="962" t="s">
        <v>542</v>
      </c>
      <c r="D11" s="963" t="s">
        <v>535</v>
      </c>
      <c r="E11" s="964"/>
      <c r="F11" s="964"/>
      <c r="G11" s="964"/>
      <c r="H11" s="964"/>
      <c r="I11" s="964"/>
      <c r="J11" s="964"/>
      <c r="K11" s="964"/>
      <c r="L11" s="986"/>
      <c r="M11" s="964"/>
      <c r="N11" s="964"/>
      <c r="O11" s="964"/>
      <c r="P11" s="964"/>
      <c r="Q11" s="965"/>
      <c r="R11" s="965"/>
      <c r="S11" s="965"/>
      <c r="T11" s="964"/>
      <c r="U11" s="962"/>
      <c r="V11" s="964"/>
      <c r="W11" s="964"/>
      <c r="X11" s="964"/>
      <c r="Y11" s="964"/>
      <c r="Z11" s="964"/>
      <c r="AA11" s="964"/>
      <c r="AB11" s="964"/>
      <c r="AC11" s="964"/>
      <c r="AD11" s="964"/>
      <c r="AE11" s="964"/>
      <c r="AF11" s="964"/>
      <c r="AG11" s="964"/>
      <c r="AH11" s="964"/>
      <c r="AI11" s="966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87"/>
      <c r="AV11" s="968"/>
      <c r="AW11" s="969">
        <v>0</v>
      </c>
      <c r="AX11" s="264"/>
      <c r="AY11" s="264"/>
      <c r="AZ11" s="264"/>
      <c r="BA11" s="264">
        <v>216153</v>
      </c>
      <c r="BB11" s="264">
        <v>0</v>
      </c>
      <c r="BC11" s="264">
        <v>0</v>
      </c>
      <c r="BD11" s="971">
        <v>0</v>
      </c>
      <c r="BE11" s="972">
        <v>0</v>
      </c>
      <c r="BF11" s="973">
        <v>0</v>
      </c>
      <c r="BG11" s="974">
        <v>0</v>
      </c>
      <c r="BH11" s="975">
        <v>49350</v>
      </c>
      <c r="BI11" s="976">
        <f t="shared" si="3"/>
        <v>265503</v>
      </c>
      <c r="BK11" s="977">
        <v>0</v>
      </c>
      <c r="BL11" s="208">
        <v>0</v>
      </c>
      <c r="BM11" s="208">
        <v>0</v>
      </c>
      <c r="BN11" s="979">
        <v>0</v>
      </c>
      <c r="BO11" s="208">
        <v>0</v>
      </c>
      <c r="BP11" s="208">
        <v>0</v>
      </c>
      <c r="BQ11" s="208">
        <v>0</v>
      </c>
      <c r="BR11" s="208">
        <v>0</v>
      </c>
      <c r="BS11" s="978">
        <v>0</v>
      </c>
      <c r="BT11" s="209">
        <v>0</v>
      </c>
      <c r="BU11" s="208">
        <v>0</v>
      </c>
      <c r="BV11" s="980">
        <v>0</v>
      </c>
      <c r="BW11" s="981">
        <f t="shared" si="4"/>
        <v>0</v>
      </c>
      <c r="BY11" s="977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979">
        <v>0</v>
      </c>
      <c r="CJ11" s="980">
        <v>0</v>
      </c>
    </row>
    <row r="12" spans="1:88" ht="14.65" customHeight="1" x14ac:dyDescent="0.3">
      <c r="B12" s="961">
        <v>10</v>
      </c>
      <c r="C12" s="939" t="s">
        <v>543</v>
      </c>
      <c r="D12" s="963" t="s">
        <v>535</v>
      </c>
      <c r="E12" s="937"/>
      <c r="F12" s="937"/>
      <c r="G12" s="937"/>
      <c r="H12" s="937"/>
      <c r="I12" s="937"/>
      <c r="J12" s="937"/>
      <c r="K12" s="937"/>
      <c r="L12" s="988"/>
      <c r="M12" s="937"/>
      <c r="N12" s="937"/>
      <c r="O12" s="937"/>
      <c r="P12" s="937"/>
      <c r="Q12" s="938"/>
      <c r="R12" s="938"/>
      <c r="S12" s="938"/>
      <c r="T12" s="937"/>
      <c r="U12" s="939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41"/>
      <c r="AJ12" s="942"/>
      <c r="AK12" s="942"/>
      <c r="AL12" s="942"/>
      <c r="AM12" s="942"/>
      <c r="AN12" s="942"/>
      <c r="AO12" s="942"/>
      <c r="AP12" s="942"/>
      <c r="AQ12" s="942"/>
      <c r="AR12" s="942"/>
      <c r="AS12" s="942"/>
      <c r="AT12" s="942"/>
      <c r="AU12" s="989"/>
      <c r="AV12" s="944"/>
      <c r="AW12" s="945">
        <v>0</v>
      </c>
      <c r="AX12" s="946"/>
      <c r="AY12" s="946"/>
      <c r="AZ12" s="946"/>
      <c r="BA12" s="946"/>
      <c r="BB12" s="946">
        <v>73992.5</v>
      </c>
      <c r="BC12" s="946">
        <v>0</v>
      </c>
      <c r="BD12" s="971">
        <v>0</v>
      </c>
      <c r="BE12" s="972">
        <v>0</v>
      </c>
      <c r="BF12" s="973">
        <v>0</v>
      </c>
      <c r="BG12" s="974">
        <v>0</v>
      </c>
      <c r="BH12" s="951">
        <v>0</v>
      </c>
      <c r="BI12" s="976">
        <f t="shared" si="3"/>
        <v>73992.5</v>
      </c>
      <c r="BK12" s="977">
        <v>0</v>
      </c>
      <c r="BL12" s="208">
        <v>0</v>
      </c>
      <c r="BM12" s="208">
        <v>0</v>
      </c>
      <c r="BN12" s="979">
        <v>0</v>
      </c>
      <c r="BO12" s="208">
        <v>0</v>
      </c>
      <c r="BP12" s="208">
        <v>0</v>
      </c>
      <c r="BQ12" s="208">
        <v>0</v>
      </c>
      <c r="BR12" s="208">
        <v>0</v>
      </c>
      <c r="BS12" s="978">
        <v>0</v>
      </c>
      <c r="BT12" s="209">
        <v>0</v>
      </c>
      <c r="BU12" s="208">
        <v>0</v>
      </c>
      <c r="BV12" s="980">
        <v>0</v>
      </c>
      <c r="BW12" s="981">
        <f t="shared" si="4"/>
        <v>0</v>
      </c>
      <c r="BY12" s="977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979">
        <v>0</v>
      </c>
      <c r="CJ12" s="980">
        <v>0</v>
      </c>
    </row>
    <row r="13" spans="1:88" ht="14.65" customHeight="1" x14ac:dyDescent="0.3">
      <c r="B13" s="961">
        <v>11</v>
      </c>
      <c r="C13" s="962" t="s">
        <v>12</v>
      </c>
      <c r="D13" s="990" t="s">
        <v>535</v>
      </c>
      <c r="E13" s="985">
        <v>0</v>
      </c>
      <c r="F13" s="985">
        <v>0</v>
      </c>
      <c r="G13" s="985">
        <v>0</v>
      </c>
      <c r="H13" s="985">
        <v>0</v>
      </c>
      <c r="I13" s="964">
        <v>0</v>
      </c>
      <c r="J13" s="964">
        <v>0</v>
      </c>
      <c r="K13" s="964">
        <v>0</v>
      </c>
      <c r="L13" s="964">
        <v>0</v>
      </c>
      <c r="M13" s="964">
        <v>0</v>
      </c>
      <c r="N13" s="964">
        <v>0</v>
      </c>
      <c r="O13" s="964">
        <v>56000</v>
      </c>
      <c r="P13" s="964">
        <v>0</v>
      </c>
      <c r="Q13" s="965">
        <v>0</v>
      </c>
      <c r="R13" s="965">
        <v>0</v>
      </c>
      <c r="S13" s="965">
        <v>0</v>
      </c>
      <c r="T13" s="964">
        <f>SUM(E13:S13)</f>
        <v>56000</v>
      </c>
      <c r="U13" s="962"/>
      <c r="V13" s="964">
        <v>0</v>
      </c>
      <c r="W13" s="982">
        <v>0</v>
      </c>
      <c r="X13" s="964">
        <v>39509</v>
      </c>
      <c r="Y13" s="964">
        <v>0</v>
      </c>
      <c r="Z13" s="964">
        <v>0</v>
      </c>
      <c r="AA13" s="964">
        <v>0</v>
      </c>
      <c r="AB13" s="964">
        <v>0</v>
      </c>
      <c r="AC13" s="964">
        <v>0</v>
      </c>
      <c r="AD13" s="964">
        <v>0</v>
      </c>
      <c r="AE13" s="964">
        <v>0</v>
      </c>
      <c r="AF13" s="964">
        <v>0</v>
      </c>
      <c r="AG13" s="964">
        <v>0</v>
      </c>
      <c r="AH13" s="964">
        <f t="shared" si="1"/>
        <v>39509</v>
      </c>
      <c r="AI13" s="966"/>
      <c r="AJ13" s="967">
        <v>0</v>
      </c>
      <c r="AK13" s="967">
        <v>0</v>
      </c>
      <c r="AL13" s="967"/>
      <c r="AM13" s="967"/>
      <c r="AN13" s="967"/>
      <c r="AO13" s="967"/>
      <c r="AP13" s="967"/>
      <c r="AQ13" s="967"/>
      <c r="AR13" s="967"/>
      <c r="AS13" s="967"/>
      <c r="AT13" s="967"/>
      <c r="AU13" s="987"/>
      <c r="AV13" s="968">
        <f>SUM(AJ13:AU13)</f>
        <v>0</v>
      </c>
      <c r="AW13" s="969">
        <v>0</v>
      </c>
      <c r="AX13" s="971">
        <v>0</v>
      </c>
      <c r="AY13" s="971">
        <v>0</v>
      </c>
      <c r="AZ13" s="971">
        <v>0</v>
      </c>
      <c r="BA13" s="971">
        <v>0</v>
      </c>
      <c r="BB13" s="971">
        <v>0</v>
      </c>
      <c r="BC13" s="971">
        <v>0</v>
      </c>
      <c r="BD13" s="971">
        <v>0</v>
      </c>
      <c r="BE13" s="972"/>
      <c r="BF13" s="973">
        <v>0</v>
      </c>
      <c r="BG13" s="974">
        <v>0</v>
      </c>
      <c r="BH13" s="975">
        <v>0</v>
      </c>
      <c r="BI13" s="976">
        <f t="shared" si="3"/>
        <v>0</v>
      </c>
      <c r="BJ13" s="991"/>
      <c r="BK13" s="977">
        <v>0</v>
      </c>
      <c r="BL13" s="208">
        <v>0</v>
      </c>
      <c r="BM13" s="208">
        <v>0</v>
      </c>
      <c r="BN13" s="208">
        <v>38400</v>
      </c>
      <c r="BO13" s="208">
        <v>121602</v>
      </c>
      <c r="BP13" s="208">
        <v>0</v>
      </c>
      <c r="BQ13" s="208">
        <v>0</v>
      </c>
      <c r="BR13" s="208">
        <v>114333</v>
      </c>
      <c r="BS13" s="978">
        <v>0</v>
      </c>
      <c r="BT13" s="209">
        <v>400975</v>
      </c>
      <c r="BU13" s="208">
        <v>446943</v>
      </c>
      <c r="BV13" s="980">
        <v>272646</v>
      </c>
      <c r="BW13" s="981">
        <f t="shared" si="4"/>
        <v>1394899</v>
      </c>
      <c r="BY13" s="209">
        <v>21120</v>
      </c>
      <c r="BZ13" s="208">
        <v>0</v>
      </c>
      <c r="CA13" s="208">
        <v>0</v>
      </c>
      <c r="CB13" s="208">
        <v>145920</v>
      </c>
      <c r="CC13" s="208">
        <v>302584</v>
      </c>
      <c r="CD13" s="208">
        <v>188647</v>
      </c>
      <c r="CE13" s="208">
        <v>0</v>
      </c>
      <c r="CF13" s="208">
        <v>0</v>
      </c>
      <c r="CG13" s="208">
        <v>0</v>
      </c>
      <c r="CH13" s="208">
        <v>0</v>
      </c>
      <c r="CI13" s="979">
        <v>0</v>
      </c>
      <c r="CJ13" s="980">
        <v>0</v>
      </c>
    </row>
    <row r="14" spans="1:88" ht="14.65" customHeight="1" x14ac:dyDescent="0.3">
      <c r="B14" s="961">
        <v>12</v>
      </c>
      <c r="C14" s="962" t="s">
        <v>544</v>
      </c>
      <c r="D14" s="990" t="s">
        <v>339</v>
      </c>
      <c r="E14" s="964"/>
      <c r="F14" s="964"/>
      <c r="G14" s="964"/>
      <c r="H14" s="964"/>
      <c r="I14" s="964"/>
      <c r="J14" s="964"/>
      <c r="K14" s="964"/>
      <c r="L14" s="986"/>
      <c r="M14" s="964"/>
      <c r="N14" s="964"/>
      <c r="O14" s="964"/>
      <c r="P14" s="964"/>
      <c r="Q14" s="965"/>
      <c r="R14" s="965"/>
      <c r="S14" s="965"/>
      <c r="T14" s="964"/>
      <c r="U14" s="962"/>
      <c r="V14" s="964"/>
      <c r="W14" s="964"/>
      <c r="X14" s="964"/>
      <c r="Y14" s="964"/>
      <c r="Z14" s="964"/>
      <c r="AA14" s="964"/>
      <c r="AB14" s="964"/>
      <c r="AC14" s="964"/>
      <c r="AD14" s="964"/>
      <c r="AE14" s="964"/>
      <c r="AF14" s="964"/>
      <c r="AG14" s="964"/>
      <c r="AH14" s="964"/>
      <c r="AI14" s="966"/>
      <c r="AJ14" s="967"/>
      <c r="AK14" s="967"/>
      <c r="AL14" s="967"/>
      <c r="AM14" s="967"/>
      <c r="AN14" s="967"/>
      <c r="AO14" s="967"/>
      <c r="AP14" s="967"/>
      <c r="AQ14" s="967"/>
      <c r="AR14" s="967"/>
      <c r="AS14" s="967"/>
      <c r="AT14" s="967"/>
      <c r="AU14" s="987"/>
      <c r="AV14" s="968"/>
      <c r="AW14" s="969">
        <v>0</v>
      </c>
      <c r="AX14" s="264"/>
      <c r="AY14" s="264"/>
      <c r="AZ14" s="264"/>
      <c r="BA14" s="264"/>
      <c r="BB14" s="264"/>
      <c r="BC14" s="264"/>
      <c r="BD14" s="970">
        <v>0</v>
      </c>
      <c r="BE14" s="972"/>
      <c r="BF14" s="973">
        <v>0</v>
      </c>
      <c r="BG14" s="974">
        <v>0</v>
      </c>
      <c r="BH14" s="975">
        <v>0</v>
      </c>
      <c r="BI14" s="976">
        <f>SUM(AW14:BH14)</f>
        <v>0</v>
      </c>
      <c r="BJ14" s="991"/>
      <c r="BK14" s="156"/>
      <c r="BL14" s="111"/>
      <c r="BM14" s="208"/>
      <c r="BN14" s="979">
        <v>0</v>
      </c>
      <c r="BO14" s="208">
        <v>324870</v>
      </c>
      <c r="BP14" s="208">
        <v>0</v>
      </c>
      <c r="BQ14" s="208">
        <v>0</v>
      </c>
      <c r="BR14" s="208">
        <v>233240</v>
      </c>
      <c r="BS14" s="978">
        <v>0</v>
      </c>
      <c r="BT14" s="209">
        <v>595595</v>
      </c>
      <c r="BU14" s="208">
        <v>0</v>
      </c>
      <c r="BV14" s="980">
        <v>0</v>
      </c>
      <c r="BW14" s="981">
        <f t="shared" si="4"/>
        <v>1153705</v>
      </c>
      <c r="BY14" s="209">
        <v>608090</v>
      </c>
      <c r="BZ14" s="208">
        <v>0</v>
      </c>
      <c r="CA14" s="208">
        <v>0</v>
      </c>
      <c r="CB14" s="208">
        <v>0</v>
      </c>
      <c r="CC14" s="208">
        <v>0</v>
      </c>
      <c r="CD14" s="992" t="s">
        <v>545</v>
      </c>
      <c r="CE14" s="208">
        <v>0</v>
      </c>
      <c r="CF14" s="208">
        <v>0</v>
      </c>
      <c r="CG14" s="208">
        <v>0</v>
      </c>
      <c r="CH14" s="208">
        <v>124950</v>
      </c>
      <c r="CI14" s="979">
        <v>0</v>
      </c>
      <c r="CJ14" s="980">
        <v>0</v>
      </c>
    </row>
    <row r="15" spans="1:88" ht="14.65" customHeight="1" x14ac:dyDescent="0.3">
      <c r="B15" s="961">
        <v>13</v>
      </c>
      <c r="C15" s="939" t="s">
        <v>546</v>
      </c>
      <c r="D15" s="993"/>
      <c r="E15" s="937"/>
      <c r="F15" s="937"/>
      <c r="G15" s="937"/>
      <c r="H15" s="937"/>
      <c r="I15" s="937"/>
      <c r="J15" s="937"/>
      <c r="K15" s="937"/>
      <c r="L15" s="988"/>
      <c r="M15" s="937"/>
      <c r="N15" s="937"/>
      <c r="O15" s="937"/>
      <c r="P15" s="937"/>
      <c r="Q15" s="938"/>
      <c r="R15" s="938"/>
      <c r="S15" s="938"/>
      <c r="T15" s="937"/>
      <c r="U15" s="939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41"/>
      <c r="AJ15" s="942"/>
      <c r="AK15" s="942"/>
      <c r="AL15" s="942"/>
      <c r="AM15" s="942"/>
      <c r="AN15" s="942"/>
      <c r="AO15" s="942"/>
      <c r="AP15" s="942"/>
      <c r="AQ15" s="942"/>
      <c r="AR15" s="942"/>
      <c r="AS15" s="942"/>
      <c r="AT15" s="942"/>
      <c r="AU15" s="989"/>
      <c r="AV15" s="944"/>
      <c r="AW15" s="945">
        <v>0</v>
      </c>
      <c r="AX15" s="946"/>
      <c r="AY15" s="946"/>
      <c r="AZ15" s="946"/>
      <c r="BA15" s="946"/>
      <c r="BB15" s="946"/>
      <c r="BC15" s="946"/>
      <c r="BD15" s="947"/>
      <c r="BE15" s="949"/>
      <c r="BF15" s="973">
        <v>0</v>
      </c>
      <c r="BG15" s="974">
        <v>0</v>
      </c>
      <c r="BH15" s="975">
        <v>0</v>
      </c>
      <c r="BI15" s="976">
        <f t="shared" ref="BI15:BI21" si="5">SUM(AW15:BH15)</f>
        <v>0</v>
      </c>
      <c r="BJ15" s="991"/>
      <c r="BK15" s="977">
        <v>0</v>
      </c>
      <c r="BL15" s="208">
        <v>0</v>
      </c>
      <c r="BM15" s="208">
        <v>0</v>
      </c>
      <c r="BN15" s="979">
        <v>0</v>
      </c>
      <c r="BO15" s="208">
        <v>137455</v>
      </c>
      <c r="BP15" s="208">
        <v>0</v>
      </c>
      <c r="BQ15" s="208">
        <v>0</v>
      </c>
      <c r="BR15" s="208">
        <v>0</v>
      </c>
      <c r="BS15" s="994">
        <v>52063</v>
      </c>
      <c r="BT15" s="209">
        <v>0</v>
      </c>
      <c r="BU15" s="208">
        <v>0</v>
      </c>
      <c r="BV15" s="980">
        <v>0</v>
      </c>
      <c r="BW15" s="981">
        <f t="shared" si="4"/>
        <v>189518</v>
      </c>
      <c r="BY15" s="209">
        <v>0</v>
      </c>
      <c r="BZ15" s="208">
        <v>0</v>
      </c>
      <c r="CA15" s="208">
        <v>0</v>
      </c>
      <c r="CB15" s="208">
        <v>0</v>
      </c>
      <c r="CC15" s="208">
        <v>0</v>
      </c>
      <c r="CD15" s="208">
        <v>0</v>
      </c>
      <c r="CE15" s="208">
        <v>0</v>
      </c>
      <c r="CF15" s="208">
        <v>0</v>
      </c>
      <c r="CG15" s="208">
        <v>0</v>
      </c>
      <c r="CH15" s="208">
        <v>0</v>
      </c>
      <c r="CI15" s="979">
        <v>0</v>
      </c>
      <c r="CJ15" s="980">
        <v>0</v>
      </c>
    </row>
    <row r="16" spans="1:88" ht="14.65" customHeight="1" x14ac:dyDescent="0.3">
      <c r="B16" s="931">
        <v>14</v>
      </c>
      <c r="C16" s="939" t="s">
        <v>547</v>
      </c>
      <c r="D16" s="993"/>
      <c r="E16" s="937"/>
      <c r="F16" s="937"/>
      <c r="G16" s="937"/>
      <c r="H16" s="937"/>
      <c r="I16" s="937"/>
      <c r="J16" s="937"/>
      <c r="K16" s="937"/>
      <c r="L16" s="988"/>
      <c r="M16" s="937"/>
      <c r="N16" s="937"/>
      <c r="O16" s="937"/>
      <c r="P16" s="937"/>
      <c r="Q16" s="938"/>
      <c r="R16" s="938"/>
      <c r="S16" s="938"/>
      <c r="T16" s="937"/>
      <c r="U16" s="939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41"/>
      <c r="AJ16" s="942"/>
      <c r="AK16" s="942"/>
      <c r="AL16" s="942"/>
      <c r="AM16" s="942"/>
      <c r="AN16" s="942"/>
      <c r="AO16" s="942"/>
      <c r="AP16" s="942"/>
      <c r="AQ16" s="942"/>
      <c r="AR16" s="942"/>
      <c r="AS16" s="942"/>
      <c r="AT16" s="942"/>
      <c r="AU16" s="989"/>
      <c r="AV16" s="944"/>
      <c r="AW16" s="945"/>
      <c r="AX16" s="946"/>
      <c r="AY16" s="946"/>
      <c r="AZ16" s="946"/>
      <c r="BA16" s="946"/>
      <c r="BB16" s="946"/>
      <c r="BC16" s="946"/>
      <c r="BD16" s="947"/>
      <c r="BE16" s="949"/>
      <c r="BF16" s="973">
        <v>0</v>
      </c>
      <c r="BG16" s="974">
        <v>0</v>
      </c>
      <c r="BH16" s="975">
        <v>0</v>
      </c>
      <c r="BI16" s="976">
        <f t="shared" si="5"/>
        <v>0</v>
      </c>
      <c r="BK16" s="977">
        <v>0</v>
      </c>
      <c r="BL16" s="208">
        <v>0</v>
      </c>
      <c r="BM16" s="208">
        <v>0</v>
      </c>
      <c r="BN16" s="979">
        <v>0</v>
      </c>
      <c r="BO16" s="208">
        <v>0</v>
      </c>
      <c r="BP16" s="208">
        <v>0</v>
      </c>
      <c r="BQ16" s="208">
        <v>300713</v>
      </c>
      <c r="BR16" s="208">
        <v>0</v>
      </c>
      <c r="BS16" s="994">
        <v>0</v>
      </c>
      <c r="BT16" s="209">
        <v>0</v>
      </c>
      <c r="BU16" s="208">
        <v>0</v>
      </c>
      <c r="BV16" s="980">
        <v>0</v>
      </c>
      <c r="BW16" s="981">
        <f t="shared" si="4"/>
        <v>300713</v>
      </c>
      <c r="BY16" s="209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979">
        <v>0</v>
      </c>
      <c r="CJ16" s="980">
        <v>0</v>
      </c>
    </row>
    <row r="17" spans="2:88" x14ac:dyDescent="0.3">
      <c r="B17" s="995">
        <v>15</v>
      </c>
      <c r="C17" s="996" t="s">
        <v>548</v>
      </c>
      <c r="D17" s="997"/>
      <c r="E17" s="998"/>
      <c r="F17" s="998"/>
      <c r="G17" s="998"/>
      <c r="H17" s="998"/>
      <c r="I17" s="998"/>
      <c r="J17" s="998"/>
      <c r="K17" s="998"/>
      <c r="L17" s="999"/>
      <c r="M17" s="998"/>
      <c r="N17" s="998"/>
      <c r="O17" s="998"/>
      <c r="P17" s="998"/>
      <c r="Q17" s="1000"/>
      <c r="R17" s="1000"/>
      <c r="S17" s="1000"/>
      <c r="T17" s="998"/>
      <c r="U17" s="996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1001"/>
      <c r="AJ17" s="1002"/>
      <c r="AK17" s="1002"/>
      <c r="AL17" s="1002"/>
      <c r="AM17" s="1002"/>
      <c r="AN17" s="1002"/>
      <c r="AO17" s="1002"/>
      <c r="AP17" s="1002"/>
      <c r="AQ17" s="1002"/>
      <c r="AR17" s="1002"/>
      <c r="AS17" s="1002"/>
      <c r="AT17" s="1002"/>
      <c r="AU17" s="1003"/>
      <c r="AV17" s="1004"/>
      <c r="AW17" s="1005"/>
      <c r="AX17" s="1006"/>
      <c r="AY17" s="1006"/>
      <c r="AZ17" s="1006"/>
      <c r="BA17" s="1006"/>
      <c r="BB17" s="1006"/>
      <c r="BC17" s="1006"/>
      <c r="BD17" s="1007"/>
      <c r="BE17" s="1008"/>
      <c r="BF17" s="973">
        <v>0</v>
      </c>
      <c r="BG17" s="974">
        <v>0</v>
      </c>
      <c r="BH17" s="975">
        <v>0</v>
      </c>
      <c r="BI17" s="976">
        <f t="shared" si="5"/>
        <v>0</v>
      </c>
      <c r="BK17" s="977">
        <v>0</v>
      </c>
      <c r="BL17" s="1009">
        <v>0</v>
      </c>
      <c r="BM17" s="1009">
        <v>0</v>
      </c>
      <c r="BN17" s="979">
        <v>0</v>
      </c>
      <c r="BO17" s="1010">
        <v>0</v>
      </c>
      <c r="BP17" s="1010">
        <v>0</v>
      </c>
      <c r="BQ17" s="1009">
        <v>0</v>
      </c>
      <c r="BR17" s="1009">
        <v>201480</v>
      </c>
      <c r="BS17" s="1011">
        <v>120785</v>
      </c>
      <c r="BT17" s="1012">
        <v>0</v>
      </c>
      <c r="BU17" s="1009">
        <v>48750</v>
      </c>
      <c r="BV17" s="980">
        <v>0</v>
      </c>
      <c r="BW17" s="981">
        <f t="shared" si="4"/>
        <v>371015</v>
      </c>
      <c r="BY17" s="209">
        <v>52500</v>
      </c>
      <c r="BZ17" s="208">
        <v>412500</v>
      </c>
      <c r="CA17" s="208">
        <v>0</v>
      </c>
      <c r="CB17" s="208">
        <v>0</v>
      </c>
      <c r="CC17" s="208">
        <v>0</v>
      </c>
      <c r="CD17" s="208">
        <v>0</v>
      </c>
      <c r="CE17" s="208">
        <v>0</v>
      </c>
      <c r="CF17" s="208">
        <v>123750</v>
      </c>
      <c r="CG17" s="208">
        <v>0</v>
      </c>
      <c r="CH17" s="208">
        <v>0</v>
      </c>
      <c r="CI17" s="979">
        <v>0</v>
      </c>
      <c r="CJ17" s="980">
        <v>0</v>
      </c>
    </row>
    <row r="18" spans="2:88" x14ac:dyDescent="0.3">
      <c r="B18" s="1013">
        <v>16</v>
      </c>
      <c r="C18" s="1014" t="s">
        <v>393</v>
      </c>
      <c r="D18" s="1015"/>
      <c r="E18" s="1016"/>
      <c r="F18" s="1016"/>
      <c r="G18" s="1016"/>
      <c r="H18" s="1016"/>
      <c r="I18" s="1016"/>
      <c r="J18" s="1016"/>
      <c r="K18" s="1016"/>
      <c r="L18" s="1017"/>
      <c r="M18" s="1016"/>
      <c r="N18" s="1016"/>
      <c r="O18" s="1016"/>
      <c r="P18" s="1016"/>
      <c r="Q18" s="1018"/>
      <c r="R18" s="1018"/>
      <c r="S18" s="1018"/>
      <c r="T18" s="1016"/>
      <c r="U18" s="1014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9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1"/>
      <c r="AV18" s="1022"/>
      <c r="AW18" s="1023"/>
      <c r="AX18" s="265"/>
      <c r="AY18" s="265"/>
      <c r="AZ18" s="265"/>
      <c r="BA18" s="265"/>
      <c r="BB18" s="265"/>
      <c r="BC18" s="265"/>
      <c r="BD18" s="1024"/>
      <c r="BE18" s="1025"/>
      <c r="BF18" s="973">
        <v>0</v>
      </c>
      <c r="BG18" s="974">
        <v>0</v>
      </c>
      <c r="BH18" s="975">
        <v>0</v>
      </c>
      <c r="BI18" s="976">
        <f t="shared" si="5"/>
        <v>0</v>
      </c>
      <c r="BK18" s="977">
        <v>0</v>
      </c>
      <c r="BL18" s="1009">
        <v>0</v>
      </c>
      <c r="BM18" s="1009">
        <v>0</v>
      </c>
      <c r="BN18" s="979">
        <v>0</v>
      </c>
      <c r="BO18" s="1010">
        <v>0</v>
      </c>
      <c r="BP18" s="1010">
        <v>0</v>
      </c>
      <c r="BQ18" s="1009">
        <v>0</v>
      </c>
      <c r="BR18" s="1026">
        <v>0</v>
      </c>
      <c r="BS18" s="1027">
        <v>0</v>
      </c>
      <c r="BT18" s="1012">
        <v>116620</v>
      </c>
      <c r="BU18" s="1009">
        <v>91630</v>
      </c>
      <c r="BV18" s="980">
        <v>0</v>
      </c>
      <c r="BW18" s="981">
        <f t="shared" si="4"/>
        <v>208250</v>
      </c>
      <c r="BX18" s="69"/>
      <c r="BY18" s="977">
        <v>0</v>
      </c>
      <c r="BZ18" s="208">
        <v>0</v>
      </c>
      <c r="CA18" s="208">
        <v>0</v>
      </c>
      <c r="CB18" s="208">
        <v>0</v>
      </c>
      <c r="CC18" s="208">
        <v>0</v>
      </c>
      <c r="CD18" s="208">
        <v>174097</v>
      </c>
      <c r="CE18" s="208">
        <v>0</v>
      </c>
      <c r="CF18" s="208">
        <v>0</v>
      </c>
      <c r="CG18" s="208">
        <v>0</v>
      </c>
      <c r="CH18" s="208">
        <v>0</v>
      </c>
      <c r="CI18" s="979">
        <v>0</v>
      </c>
      <c r="CJ18" s="980">
        <v>0</v>
      </c>
    </row>
    <row r="19" spans="2:88" x14ac:dyDescent="0.3">
      <c r="B19" s="1028">
        <v>17</v>
      </c>
      <c r="C19" s="1029" t="s">
        <v>549</v>
      </c>
      <c r="D19" s="1030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8"/>
      <c r="R19" s="938"/>
      <c r="S19" s="938"/>
      <c r="T19" s="937">
        <f>SUM(E19:S19)</f>
        <v>0</v>
      </c>
      <c r="U19" s="939"/>
      <c r="V19" s="937">
        <v>0</v>
      </c>
      <c r="W19" s="937">
        <f>224910</f>
        <v>224910</v>
      </c>
      <c r="X19" s="940">
        <v>0</v>
      </c>
      <c r="Y19" s="937">
        <v>0</v>
      </c>
      <c r="Z19" s="937">
        <v>0</v>
      </c>
      <c r="AA19" s="937">
        <v>0</v>
      </c>
      <c r="AB19" s="937">
        <v>0</v>
      </c>
      <c r="AC19" s="937">
        <v>0</v>
      </c>
      <c r="AD19" s="937">
        <v>0</v>
      </c>
      <c r="AE19" s="937">
        <v>0</v>
      </c>
      <c r="AF19" s="937">
        <v>0</v>
      </c>
      <c r="AG19" s="937">
        <v>0</v>
      </c>
      <c r="AH19" s="937">
        <f>SUM(V19:AG19)</f>
        <v>224910</v>
      </c>
      <c r="AI19" s="941"/>
      <c r="AJ19" s="942">
        <v>0</v>
      </c>
      <c r="AK19" s="942">
        <v>0</v>
      </c>
      <c r="AL19" s="943"/>
      <c r="AM19" s="942"/>
      <c r="AN19" s="942"/>
      <c r="AO19" s="942"/>
      <c r="AP19" s="942"/>
      <c r="AQ19" s="942"/>
      <c r="AR19" s="942"/>
      <c r="AS19" s="942"/>
      <c r="AT19" s="942"/>
      <c r="AU19" s="989"/>
      <c r="AV19" s="944">
        <f>SUM(AJ19:AU19)</f>
        <v>0</v>
      </c>
      <c r="AW19" s="1031"/>
      <c r="AX19" s="947"/>
      <c r="AY19" s="947"/>
      <c r="AZ19" s="947"/>
      <c r="BA19" s="947"/>
      <c r="BB19" s="947"/>
      <c r="BC19" s="947"/>
      <c r="BD19" s="947"/>
      <c r="BE19" s="949"/>
      <c r="BF19" s="973">
        <v>0</v>
      </c>
      <c r="BG19" s="974">
        <v>0</v>
      </c>
      <c r="BH19" s="975">
        <v>0</v>
      </c>
      <c r="BI19" s="976">
        <f t="shared" si="5"/>
        <v>0</v>
      </c>
      <c r="BK19" s="977">
        <v>0</v>
      </c>
      <c r="BL19" s="1009">
        <v>0</v>
      </c>
      <c r="BM19" s="1009">
        <v>0</v>
      </c>
      <c r="BN19" s="1032">
        <v>0</v>
      </c>
      <c r="BO19" s="1010">
        <v>0</v>
      </c>
      <c r="BP19" s="1010">
        <v>0</v>
      </c>
      <c r="BQ19" s="1009">
        <v>0</v>
      </c>
      <c r="BR19" s="1026">
        <v>0</v>
      </c>
      <c r="BS19" s="1027">
        <v>0</v>
      </c>
      <c r="BT19" s="1033">
        <v>0</v>
      </c>
      <c r="BU19" s="1009">
        <v>208250</v>
      </c>
      <c r="BV19" s="980">
        <v>0</v>
      </c>
      <c r="BW19" s="981">
        <f t="shared" si="4"/>
        <v>208250</v>
      </c>
      <c r="BX19" s="69"/>
      <c r="BY19" s="977">
        <v>0</v>
      </c>
      <c r="BZ19" s="208">
        <v>0</v>
      </c>
      <c r="CA19" s="208">
        <v>0</v>
      </c>
      <c r="CB19" s="208">
        <v>0</v>
      </c>
      <c r="CC19" s="208">
        <v>0</v>
      </c>
      <c r="CD19" s="208">
        <v>0</v>
      </c>
      <c r="CE19" s="208">
        <v>0</v>
      </c>
      <c r="CF19" s="208">
        <v>0</v>
      </c>
      <c r="CG19" s="208">
        <v>0</v>
      </c>
      <c r="CH19" s="208">
        <v>0</v>
      </c>
      <c r="CI19" s="979">
        <v>0</v>
      </c>
      <c r="CJ19" s="980">
        <v>0</v>
      </c>
    </row>
    <row r="20" spans="2:88" x14ac:dyDescent="0.3">
      <c r="B20" s="995">
        <v>18</v>
      </c>
      <c r="C20" s="996" t="s">
        <v>550</v>
      </c>
      <c r="D20" s="997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1000"/>
      <c r="R20" s="1000"/>
      <c r="S20" s="1000"/>
      <c r="T20" s="998"/>
      <c r="U20" s="996"/>
      <c r="V20" s="998"/>
      <c r="W20" s="998"/>
      <c r="X20" s="1034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1001"/>
      <c r="AJ20" s="1002"/>
      <c r="AK20" s="1002"/>
      <c r="AL20" s="1035"/>
      <c r="AM20" s="1002"/>
      <c r="AN20" s="1002"/>
      <c r="AO20" s="1002"/>
      <c r="AP20" s="1002"/>
      <c r="AQ20" s="1002"/>
      <c r="AR20" s="1002"/>
      <c r="AS20" s="1002"/>
      <c r="AT20" s="1002"/>
      <c r="AU20" s="1003"/>
      <c r="AV20" s="1004"/>
      <c r="AW20" s="1036"/>
      <c r="AX20" s="1007"/>
      <c r="AY20" s="1007"/>
      <c r="AZ20" s="1007"/>
      <c r="BA20" s="1007"/>
      <c r="BB20" s="1007"/>
      <c r="BC20" s="1007"/>
      <c r="BD20" s="1007"/>
      <c r="BE20" s="1008"/>
      <c r="BF20" s="973">
        <v>0</v>
      </c>
      <c r="BG20" s="974">
        <v>0</v>
      </c>
      <c r="BH20" s="975">
        <v>0</v>
      </c>
      <c r="BI20" s="976">
        <f t="shared" si="5"/>
        <v>0</v>
      </c>
      <c r="BK20" s="977">
        <v>0</v>
      </c>
      <c r="BL20" s="1009">
        <v>0</v>
      </c>
      <c r="BM20" s="1009">
        <v>0</v>
      </c>
      <c r="BN20" s="1032">
        <v>0</v>
      </c>
      <c r="BO20" s="1010">
        <v>0</v>
      </c>
      <c r="BP20" s="1010">
        <v>0</v>
      </c>
      <c r="BQ20" s="1009">
        <v>0</v>
      </c>
      <c r="BR20" s="1026">
        <v>0</v>
      </c>
      <c r="BS20" s="1027">
        <v>0</v>
      </c>
      <c r="BT20" s="1033">
        <v>0</v>
      </c>
      <c r="BU20" s="208">
        <v>79135</v>
      </c>
      <c r="BV20" s="980">
        <v>0</v>
      </c>
      <c r="BW20" s="981">
        <f t="shared" si="4"/>
        <v>79135</v>
      </c>
      <c r="BX20" s="69"/>
      <c r="BY20" s="977">
        <v>0</v>
      </c>
      <c r="BZ20" s="208">
        <v>0</v>
      </c>
      <c r="CA20" s="208">
        <v>0</v>
      </c>
      <c r="CB20" s="208">
        <v>0</v>
      </c>
      <c r="CC20" s="208">
        <v>0</v>
      </c>
      <c r="CD20" s="208">
        <v>0</v>
      </c>
      <c r="CE20" s="208">
        <v>0</v>
      </c>
      <c r="CF20" s="208">
        <v>0</v>
      </c>
      <c r="CG20" s="208">
        <v>0</v>
      </c>
      <c r="CH20" s="208">
        <v>0</v>
      </c>
      <c r="CI20" s="979">
        <v>0</v>
      </c>
      <c r="CJ20" s="980">
        <v>0</v>
      </c>
    </row>
    <row r="21" spans="2:88" x14ac:dyDescent="0.3">
      <c r="B21" s="1037">
        <v>19</v>
      </c>
      <c r="C21" s="1038" t="s">
        <v>551</v>
      </c>
      <c r="D21" s="1039"/>
      <c r="E21" s="1040"/>
      <c r="F21" s="1040"/>
      <c r="G21" s="1040"/>
      <c r="H21" s="1040"/>
      <c r="I21" s="1040"/>
      <c r="J21" s="1040"/>
      <c r="K21" s="1040"/>
      <c r="L21" s="1040"/>
      <c r="M21" s="1040"/>
      <c r="N21" s="1040"/>
      <c r="O21" s="1040"/>
      <c r="P21" s="1040"/>
      <c r="Q21" s="1041"/>
      <c r="R21" s="1041"/>
      <c r="S21" s="1041"/>
      <c r="T21" s="1040"/>
      <c r="U21" s="1038"/>
      <c r="V21" s="1040"/>
      <c r="W21" s="1040"/>
      <c r="X21" s="1042"/>
      <c r="Y21" s="1040"/>
      <c r="Z21" s="1040"/>
      <c r="AA21" s="1040"/>
      <c r="AB21" s="1040"/>
      <c r="AC21" s="1040"/>
      <c r="AD21" s="1040"/>
      <c r="AE21" s="1040"/>
      <c r="AF21" s="1040"/>
      <c r="AG21" s="1040"/>
      <c r="AH21" s="1040"/>
      <c r="AI21" s="1043"/>
      <c r="AJ21" s="1044"/>
      <c r="AK21" s="1044"/>
      <c r="AL21" s="1045"/>
      <c r="AM21" s="1044"/>
      <c r="AN21" s="1044"/>
      <c r="AO21" s="1044"/>
      <c r="AP21" s="1044"/>
      <c r="AQ21" s="1044"/>
      <c r="AR21" s="1044"/>
      <c r="AS21" s="1044"/>
      <c r="AT21" s="1044"/>
      <c r="AU21" s="1046"/>
      <c r="AV21" s="1047"/>
      <c r="AW21" s="1048"/>
      <c r="AX21" s="1049"/>
      <c r="AY21" s="1049"/>
      <c r="AZ21" s="1049"/>
      <c r="BA21" s="1049"/>
      <c r="BB21" s="1049"/>
      <c r="BC21" s="1049"/>
      <c r="BD21" s="1049"/>
      <c r="BE21" s="1050"/>
      <c r="BF21" s="1051">
        <v>0</v>
      </c>
      <c r="BG21" s="1052">
        <v>0</v>
      </c>
      <c r="BH21" s="1053">
        <v>0</v>
      </c>
      <c r="BI21" s="1054">
        <f t="shared" si="5"/>
        <v>0</v>
      </c>
      <c r="BJ21" s="266"/>
      <c r="BK21" s="1055">
        <v>0</v>
      </c>
      <c r="BL21" s="1056">
        <v>0</v>
      </c>
      <c r="BM21" s="1057">
        <v>0</v>
      </c>
      <c r="BN21" s="1032">
        <v>0</v>
      </c>
      <c r="BO21" s="1058">
        <v>0</v>
      </c>
      <c r="BP21" s="1059">
        <v>0</v>
      </c>
      <c r="BQ21" s="1032">
        <v>0</v>
      </c>
      <c r="BR21" s="1060">
        <v>0</v>
      </c>
      <c r="BS21" s="1059">
        <v>0</v>
      </c>
      <c r="BT21" s="1061">
        <v>0</v>
      </c>
      <c r="BU21" s="208"/>
      <c r="BV21" s="980">
        <v>66640</v>
      </c>
      <c r="BW21" s="981">
        <f t="shared" si="4"/>
        <v>66640</v>
      </c>
      <c r="BX21" s="266"/>
      <c r="BY21" s="1055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979">
        <v>0</v>
      </c>
      <c r="CJ21" s="980">
        <v>0</v>
      </c>
    </row>
    <row r="22" spans="2:88" x14ac:dyDescent="0.3">
      <c r="B22" s="1037">
        <v>20</v>
      </c>
      <c r="C22" s="1038" t="s">
        <v>552</v>
      </c>
      <c r="D22" s="1039"/>
      <c r="E22" s="1040"/>
      <c r="F22" s="1040"/>
      <c r="G22" s="1040"/>
      <c r="H22" s="1040"/>
      <c r="I22" s="1040"/>
      <c r="J22" s="1040"/>
      <c r="K22" s="1040"/>
      <c r="L22" s="1040"/>
      <c r="M22" s="1040"/>
      <c r="N22" s="1040"/>
      <c r="O22" s="1040"/>
      <c r="P22" s="1040"/>
      <c r="Q22" s="1041"/>
      <c r="R22" s="1041"/>
      <c r="S22" s="1041"/>
      <c r="T22" s="1040"/>
      <c r="U22" s="1038"/>
      <c r="V22" s="1040"/>
      <c r="W22" s="1040"/>
      <c r="X22" s="1042"/>
      <c r="Y22" s="1040"/>
      <c r="Z22" s="1040"/>
      <c r="AA22" s="1040"/>
      <c r="AB22" s="1040"/>
      <c r="AC22" s="1040"/>
      <c r="AD22" s="1040"/>
      <c r="AE22" s="1040"/>
      <c r="AF22" s="1040"/>
      <c r="AG22" s="1040"/>
      <c r="AH22" s="1040"/>
      <c r="AI22" s="1043"/>
      <c r="AJ22" s="1044"/>
      <c r="AK22" s="1044"/>
      <c r="AL22" s="1045"/>
      <c r="AM22" s="1044"/>
      <c r="AN22" s="1044"/>
      <c r="AO22" s="1044"/>
      <c r="AP22" s="1044"/>
      <c r="AQ22" s="1044"/>
      <c r="AR22" s="1044"/>
      <c r="AS22" s="1044"/>
      <c r="AT22" s="1044"/>
      <c r="AU22" s="1046"/>
      <c r="AV22" s="1047"/>
      <c r="AW22" s="1048"/>
      <c r="AX22" s="1049"/>
      <c r="AY22" s="1049"/>
      <c r="AZ22" s="1049"/>
      <c r="BA22" s="1049"/>
      <c r="BB22" s="1049"/>
      <c r="BC22" s="1049"/>
      <c r="BD22" s="1049"/>
      <c r="BE22" s="1050"/>
      <c r="BF22" s="1062"/>
      <c r="BG22" s="1032"/>
      <c r="BH22" s="1063"/>
      <c r="BI22" s="1064"/>
      <c r="BJ22" s="266"/>
      <c r="BK22" s="1065"/>
      <c r="BL22" s="1057"/>
      <c r="BM22" s="1057"/>
      <c r="BN22" s="1057"/>
      <c r="BO22" s="1058"/>
      <c r="BP22" s="1059"/>
      <c r="BQ22" s="1057"/>
      <c r="BR22" s="1060"/>
      <c r="BS22" s="1059"/>
      <c r="BT22" s="1061"/>
      <c r="BU22" s="1066"/>
      <c r="BV22" s="1067"/>
      <c r="BW22" s="981">
        <f t="shared" si="4"/>
        <v>0</v>
      </c>
      <c r="BX22" s="69"/>
      <c r="BY22" s="1055">
        <v>0</v>
      </c>
      <c r="BZ22" s="208">
        <v>0</v>
      </c>
      <c r="CA22" s="208">
        <v>91630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979">
        <v>0</v>
      </c>
      <c r="CJ22" s="980">
        <v>0</v>
      </c>
    </row>
    <row r="23" spans="2:88" ht="13.45" hidden="1" customHeight="1" x14ac:dyDescent="0.3">
      <c r="B23" s="1037">
        <v>21</v>
      </c>
      <c r="C23" s="1038" t="s">
        <v>553</v>
      </c>
      <c r="D23" s="1039"/>
      <c r="E23" s="1040"/>
      <c r="F23" s="1040"/>
      <c r="G23" s="1040"/>
      <c r="H23" s="1040"/>
      <c r="I23" s="1040"/>
      <c r="J23" s="1040"/>
      <c r="K23" s="1040"/>
      <c r="L23" s="1040"/>
      <c r="M23" s="1040"/>
      <c r="N23" s="1040"/>
      <c r="O23" s="1040"/>
      <c r="P23" s="1040"/>
      <c r="Q23" s="1041"/>
      <c r="R23" s="1041"/>
      <c r="S23" s="1041"/>
      <c r="T23" s="1040"/>
      <c r="U23" s="1038"/>
      <c r="V23" s="1040"/>
      <c r="W23" s="1040"/>
      <c r="X23" s="1042"/>
      <c r="Y23" s="1040"/>
      <c r="Z23" s="1040"/>
      <c r="AA23" s="1040"/>
      <c r="AB23" s="1040"/>
      <c r="AC23" s="1040"/>
      <c r="AD23" s="1040"/>
      <c r="AE23" s="1040"/>
      <c r="AF23" s="1040"/>
      <c r="AG23" s="1040"/>
      <c r="AH23" s="1040"/>
      <c r="AI23" s="1043"/>
      <c r="AJ23" s="1044"/>
      <c r="AK23" s="1044"/>
      <c r="AL23" s="1045"/>
      <c r="AM23" s="1044"/>
      <c r="AN23" s="1044"/>
      <c r="AO23" s="1044"/>
      <c r="AP23" s="1044"/>
      <c r="AQ23" s="1044"/>
      <c r="AR23" s="1044"/>
      <c r="AS23" s="1044"/>
      <c r="AT23" s="1044"/>
      <c r="AU23" s="1046"/>
      <c r="AV23" s="1047"/>
      <c r="AW23" s="1048"/>
      <c r="AX23" s="1049"/>
      <c r="AY23" s="1049"/>
      <c r="AZ23" s="1049"/>
      <c r="BA23" s="1049"/>
      <c r="BB23" s="1049"/>
      <c r="BC23" s="1049"/>
      <c r="BD23" s="1049"/>
      <c r="BE23" s="1050"/>
      <c r="BF23" s="1062"/>
      <c r="BG23" s="1032"/>
      <c r="BH23" s="1063"/>
      <c r="BI23" s="1064"/>
      <c r="BK23" s="1065"/>
      <c r="BL23" s="1068"/>
      <c r="BM23" s="1068"/>
      <c r="BN23" s="1057"/>
      <c r="BO23" s="1069"/>
      <c r="BP23" s="1070"/>
      <c r="BQ23" s="1068"/>
      <c r="BR23" s="1071"/>
      <c r="BS23" s="1070"/>
      <c r="BT23" s="1072"/>
      <c r="BU23" s="1066"/>
      <c r="BV23" s="1067"/>
      <c r="BW23" s="981"/>
      <c r="BX23" s="69"/>
      <c r="BY23" s="1055">
        <v>0</v>
      </c>
      <c r="BZ23" s="208">
        <v>0</v>
      </c>
      <c r="CA23" s="208">
        <v>0</v>
      </c>
      <c r="CB23" s="208">
        <v>0</v>
      </c>
      <c r="CC23" s="208">
        <v>66640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979">
        <v>0</v>
      </c>
      <c r="CJ23" s="980">
        <v>0</v>
      </c>
    </row>
    <row r="24" spans="2:88" hidden="1" x14ac:dyDescent="0.3">
      <c r="B24" s="1037"/>
      <c r="C24" s="1038" t="s">
        <v>554</v>
      </c>
      <c r="D24" s="1039" t="s">
        <v>535</v>
      </c>
      <c r="E24" s="1073"/>
      <c r="F24" s="1073"/>
      <c r="G24" s="1073"/>
      <c r="H24" s="1073"/>
      <c r="I24" s="1040"/>
      <c r="J24" s="1040"/>
      <c r="K24" s="1040"/>
      <c r="L24" s="1040"/>
      <c r="M24" s="1040"/>
      <c r="N24" s="1040"/>
      <c r="O24" s="1040"/>
      <c r="P24" s="1040"/>
      <c r="Q24" s="1041"/>
      <c r="R24" s="1041"/>
      <c r="S24" s="1041"/>
      <c r="T24" s="1040"/>
      <c r="U24" s="1038"/>
      <c r="V24" s="1040"/>
      <c r="W24" s="1042"/>
      <c r="X24" s="1040"/>
      <c r="Y24" s="1040"/>
      <c r="Z24" s="1040"/>
      <c r="AA24" s="1040"/>
      <c r="AB24" s="1040"/>
      <c r="AC24" s="1040"/>
      <c r="AD24" s="1040"/>
      <c r="AE24" s="1040"/>
      <c r="AF24" s="1040"/>
      <c r="AG24" s="1040"/>
      <c r="AH24" s="1040"/>
      <c r="AI24" s="1043"/>
      <c r="AJ24" s="1044"/>
      <c r="AK24" s="1044"/>
      <c r="AL24" s="1044"/>
      <c r="AM24" s="1044"/>
      <c r="AN24" s="1044"/>
      <c r="AO24" s="1044"/>
      <c r="AP24" s="1044"/>
      <c r="AQ24" s="1044"/>
      <c r="AR24" s="1044"/>
      <c r="AS24" s="1044"/>
      <c r="AT24" s="1044"/>
      <c r="AU24" s="1046"/>
      <c r="AV24" s="1047"/>
      <c r="AW24" s="1048"/>
      <c r="AX24" s="1049"/>
      <c r="AY24" s="1049"/>
      <c r="AZ24" s="1049"/>
      <c r="BA24" s="1074"/>
      <c r="BB24" s="1049"/>
      <c r="BC24" s="1049"/>
      <c r="BD24" s="1049"/>
      <c r="BE24" s="1050">
        <v>0</v>
      </c>
      <c r="BF24" s="1062">
        <v>386956</v>
      </c>
      <c r="BG24" s="1032">
        <v>0</v>
      </c>
      <c r="BH24" s="1063">
        <v>0</v>
      </c>
      <c r="BI24" s="1064">
        <f t="shared" si="3"/>
        <v>386956</v>
      </c>
      <c r="BK24" s="1061">
        <v>0</v>
      </c>
      <c r="BL24" s="1075">
        <v>0</v>
      </c>
      <c r="BM24" s="1075">
        <v>0</v>
      </c>
      <c r="BN24" s="1058">
        <v>0</v>
      </c>
      <c r="BO24" s="1076">
        <v>0</v>
      </c>
      <c r="BP24" s="1076">
        <v>0</v>
      </c>
      <c r="BQ24" s="1075">
        <v>0</v>
      </c>
      <c r="BR24" s="1077">
        <v>0</v>
      </c>
      <c r="BS24" s="1078">
        <v>0</v>
      </c>
      <c r="BT24" s="1033">
        <v>0</v>
      </c>
      <c r="BU24" s="1058">
        <v>0</v>
      </c>
      <c r="BV24" s="1067"/>
      <c r="BW24" s="981">
        <f t="shared" si="4"/>
        <v>0</v>
      </c>
      <c r="BY24" s="1055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979">
        <v>0</v>
      </c>
      <c r="CJ24" s="980">
        <v>0</v>
      </c>
    </row>
    <row r="25" spans="2:88" hidden="1" x14ac:dyDescent="0.3">
      <c r="B25" s="1013"/>
      <c r="C25" s="1014" t="s">
        <v>555</v>
      </c>
      <c r="D25" s="1015" t="s">
        <v>535</v>
      </c>
      <c r="E25" s="1079"/>
      <c r="F25" s="1079"/>
      <c r="G25" s="1079"/>
      <c r="H25" s="1079"/>
      <c r="I25" s="1016"/>
      <c r="J25" s="1016"/>
      <c r="K25" s="1016"/>
      <c r="L25" s="1016"/>
      <c r="M25" s="1016"/>
      <c r="N25" s="1016"/>
      <c r="O25" s="1016"/>
      <c r="P25" s="1016"/>
      <c r="Q25" s="1018"/>
      <c r="R25" s="1018"/>
      <c r="S25" s="1018"/>
      <c r="T25" s="1016"/>
      <c r="U25" s="1014"/>
      <c r="V25" s="1016"/>
      <c r="W25" s="1080"/>
      <c r="X25" s="1016"/>
      <c r="Y25" s="1016"/>
      <c r="Z25" s="1016"/>
      <c r="AA25" s="1016"/>
      <c r="AB25" s="1016"/>
      <c r="AC25" s="1016"/>
      <c r="AD25" s="1016"/>
      <c r="AE25" s="1016"/>
      <c r="AF25" s="1016"/>
      <c r="AG25" s="1016"/>
      <c r="AH25" s="1016"/>
      <c r="AI25" s="1019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81"/>
      <c r="AV25" s="1022"/>
      <c r="AW25" s="1082"/>
      <c r="AX25" s="1024"/>
      <c r="AY25" s="1024"/>
      <c r="AZ25" s="1024"/>
      <c r="BA25" s="265"/>
      <c r="BB25" s="1024"/>
      <c r="BC25" s="1024"/>
      <c r="BD25" s="1024"/>
      <c r="BE25" s="1025">
        <v>0</v>
      </c>
      <c r="BF25" s="1083">
        <v>23744</v>
      </c>
      <c r="BG25" s="1084">
        <v>0</v>
      </c>
      <c r="BH25" s="1085">
        <v>0</v>
      </c>
      <c r="BI25" s="1086">
        <f t="shared" si="3"/>
        <v>23744</v>
      </c>
      <c r="BJ25" s="266"/>
      <c r="BK25" s="977">
        <v>0</v>
      </c>
      <c r="BL25" s="208">
        <v>0</v>
      </c>
      <c r="BM25" s="208">
        <v>0</v>
      </c>
      <c r="BN25" s="979">
        <v>0</v>
      </c>
      <c r="BO25" s="979">
        <v>0</v>
      </c>
      <c r="BP25" s="979">
        <v>0</v>
      </c>
      <c r="BQ25" s="208">
        <v>0</v>
      </c>
      <c r="BR25" s="1087">
        <v>0</v>
      </c>
      <c r="BS25" s="978">
        <v>0</v>
      </c>
      <c r="BT25" s="209">
        <v>0</v>
      </c>
      <c r="BU25" s="979">
        <v>0</v>
      </c>
      <c r="BV25" s="1067"/>
      <c r="BW25" s="981">
        <f t="shared" si="4"/>
        <v>0</v>
      </c>
      <c r="BY25" s="1055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</v>
      </c>
      <c r="CI25" s="979">
        <v>0</v>
      </c>
      <c r="CJ25" s="980">
        <v>0</v>
      </c>
    </row>
    <row r="26" spans="2:88" hidden="1" x14ac:dyDescent="0.3">
      <c r="B26" s="931"/>
      <c r="C26" s="932" t="s">
        <v>556</v>
      </c>
      <c r="D26" s="933" t="s">
        <v>535</v>
      </c>
      <c r="E26" s="936">
        <v>0</v>
      </c>
      <c r="F26" s="936">
        <v>0</v>
      </c>
      <c r="G26" s="936">
        <v>0</v>
      </c>
      <c r="H26" s="936">
        <v>0</v>
      </c>
      <c r="I26" s="936">
        <v>0</v>
      </c>
      <c r="J26" s="936">
        <v>0</v>
      </c>
      <c r="K26" s="936">
        <v>0</v>
      </c>
      <c r="L26" s="937">
        <v>128000</v>
      </c>
      <c r="M26" s="937">
        <v>456000</v>
      </c>
      <c r="N26" s="937">
        <v>0</v>
      </c>
      <c r="O26" s="937">
        <v>0</v>
      </c>
      <c r="P26" s="937">
        <v>0</v>
      </c>
      <c r="Q26" s="938">
        <v>0</v>
      </c>
      <c r="R26" s="938">
        <v>500000</v>
      </c>
      <c r="S26" s="938">
        <v>0</v>
      </c>
      <c r="T26" s="937">
        <f t="shared" ref="T26:T40" si="6">SUM(E26:S26)</f>
        <v>1084000</v>
      </c>
      <c r="U26" s="939"/>
      <c r="V26" s="937">
        <v>0</v>
      </c>
      <c r="W26" s="937">
        <v>864000</v>
      </c>
      <c r="X26" s="937">
        <v>356000</v>
      </c>
      <c r="Y26" s="937">
        <v>0</v>
      </c>
      <c r="Z26" s="937">
        <v>0</v>
      </c>
      <c r="AA26" s="937">
        <v>162174</v>
      </c>
      <c r="AB26" s="937">
        <v>334000</v>
      </c>
      <c r="AC26" s="937">
        <v>607000</v>
      </c>
      <c r="AD26" s="937">
        <v>0</v>
      </c>
      <c r="AE26" s="937">
        <f>270000</f>
        <v>270000</v>
      </c>
      <c r="AF26" s="937">
        <v>0</v>
      </c>
      <c r="AG26" s="937">
        <v>0</v>
      </c>
      <c r="AH26" s="937">
        <f>SUM(V26:AG26)</f>
        <v>2593174</v>
      </c>
      <c r="AI26" s="941"/>
      <c r="AJ26" s="942">
        <v>0</v>
      </c>
      <c r="AK26" s="942">
        <f>480000</f>
        <v>480000</v>
      </c>
      <c r="AL26" s="942">
        <v>0</v>
      </c>
      <c r="AM26" s="942">
        <v>0</v>
      </c>
      <c r="AN26" s="942">
        <v>552000</v>
      </c>
      <c r="AO26" s="942">
        <v>0</v>
      </c>
      <c r="AP26" s="942">
        <v>0</v>
      </c>
      <c r="AQ26" s="942">
        <v>0</v>
      </c>
      <c r="AR26" s="942">
        <v>0</v>
      </c>
      <c r="AS26" s="942">
        <v>0</v>
      </c>
      <c r="AT26" s="942">
        <v>0</v>
      </c>
      <c r="AU26" s="942">
        <v>0</v>
      </c>
      <c r="AV26" s="944">
        <f t="shared" ref="AV26:AV40" si="7">SUM(AJ26:AU26)</f>
        <v>1032000</v>
      </c>
      <c r="AW26" s="945">
        <v>0</v>
      </c>
      <c r="AX26" s="946">
        <v>0</v>
      </c>
      <c r="AY26" s="947"/>
      <c r="AZ26" s="946">
        <v>0</v>
      </c>
      <c r="BA26" s="946">
        <v>0</v>
      </c>
      <c r="BB26" s="946">
        <v>0</v>
      </c>
      <c r="BC26" s="946">
        <v>0</v>
      </c>
      <c r="BD26" s="948">
        <v>0</v>
      </c>
      <c r="BE26" s="949">
        <v>0</v>
      </c>
      <c r="BF26" s="950">
        <v>0</v>
      </c>
      <c r="BG26" s="1088"/>
      <c r="BH26" s="951">
        <v>0</v>
      </c>
      <c r="BI26" s="952">
        <f>SUM(AW26:BH26)</f>
        <v>0</v>
      </c>
      <c r="BK26" s="1065">
        <v>0</v>
      </c>
      <c r="BL26" s="1074">
        <v>0</v>
      </c>
      <c r="BM26" s="1089"/>
      <c r="BN26" s="1032">
        <v>0</v>
      </c>
      <c r="BO26" s="104"/>
      <c r="BP26" s="1090"/>
      <c r="BQ26" s="1050"/>
      <c r="BR26" s="1091"/>
      <c r="BS26" s="1090"/>
      <c r="BT26" s="1092"/>
      <c r="BU26" s="104"/>
      <c r="BV26" s="1067"/>
      <c r="BW26" s="981">
        <f t="shared" si="4"/>
        <v>0</v>
      </c>
      <c r="BY26" s="1055">
        <v>0</v>
      </c>
      <c r="BZ26" s="1074">
        <v>0</v>
      </c>
      <c r="CA26" s="1089"/>
      <c r="CB26" s="1032">
        <v>0</v>
      </c>
      <c r="CC26" s="104"/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979">
        <v>0</v>
      </c>
      <c r="CJ26" s="980">
        <v>0</v>
      </c>
    </row>
    <row r="27" spans="2:88" hidden="1" x14ac:dyDescent="0.3">
      <c r="B27" s="961"/>
      <c r="C27" s="962" t="s">
        <v>557</v>
      </c>
      <c r="D27" s="963" t="s">
        <v>535</v>
      </c>
      <c r="E27" s="964"/>
      <c r="F27" s="964"/>
      <c r="G27" s="964"/>
      <c r="H27" s="964"/>
      <c r="I27" s="964"/>
      <c r="J27" s="964"/>
      <c r="K27" s="964"/>
      <c r="L27" s="964"/>
      <c r="M27" s="964"/>
      <c r="N27" s="964"/>
      <c r="O27" s="964"/>
      <c r="P27" s="964"/>
      <c r="Q27" s="965"/>
      <c r="R27" s="965"/>
      <c r="S27" s="965"/>
      <c r="T27" s="964">
        <f t="shared" si="6"/>
        <v>0</v>
      </c>
      <c r="U27" s="962"/>
      <c r="V27" s="964">
        <v>0</v>
      </c>
      <c r="W27" s="964">
        <v>0</v>
      </c>
      <c r="X27" s="962"/>
      <c r="Y27" s="962"/>
      <c r="Z27" s="964"/>
      <c r="AA27" s="962"/>
      <c r="AB27" s="964"/>
      <c r="AC27" s="964"/>
      <c r="AD27" s="964"/>
      <c r="AE27" s="964"/>
      <c r="AF27" s="964"/>
      <c r="AG27" s="962"/>
      <c r="AH27" s="964">
        <f>SUM(V27:AG27)</f>
        <v>0</v>
      </c>
      <c r="AI27" s="966"/>
      <c r="AJ27" s="967">
        <v>0</v>
      </c>
      <c r="AK27" s="967">
        <v>0</v>
      </c>
      <c r="AL27" s="967">
        <f>91630+66640</f>
        <v>158270</v>
      </c>
      <c r="AM27" s="967">
        <v>0</v>
      </c>
      <c r="AN27" s="967">
        <v>0</v>
      </c>
      <c r="AO27" s="983">
        <v>0</v>
      </c>
      <c r="AP27" s="983">
        <v>0</v>
      </c>
      <c r="AQ27" s="967">
        <v>0</v>
      </c>
      <c r="AR27" s="967">
        <v>0</v>
      </c>
      <c r="AS27" s="967">
        <v>0</v>
      </c>
      <c r="AT27" s="967">
        <v>0</v>
      </c>
      <c r="AU27" s="967">
        <v>0</v>
      </c>
      <c r="AV27" s="968">
        <f t="shared" si="7"/>
        <v>158270</v>
      </c>
      <c r="AW27" s="969">
        <v>0</v>
      </c>
      <c r="AX27" s="264">
        <v>0</v>
      </c>
      <c r="AY27" s="971">
        <v>0</v>
      </c>
      <c r="AZ27" s="264">
        <v>0</v>
      </c>
      <c r="BA27" s="264">
        <v>0</v>
      </c>
      <c r="BB27" s="264">
        <v>0</v>
      </c>
      <c r="BC27" s="264">
        <v>0</v>
      </c>
      <c r="BD27" s="971">
        <v>0</v>
      </c>
      <c r="BE27" s="972">
        <v>0</v>
      </c>
      <c r="BF27" s="1093"/>
      <c r="BG27" s="1094"/>
      <c r="BH27" s="951">
        <v>0</v>
      </c>
      <c r="BI27" s="976">
        <f t="shared" si="3"/>
        <v>0</v>
      </c>
      <c r="BK27" s="1095"/>
      <c r="BL27" s="970"/>
      <c r="BM27" s="1096"/>
      <c r="BN27" s="1084">
        <v>0</v>
      </c>
      <c r="BO27" s="1097"/>
      <c r="BP27" s="1098"/>
      <c r="BQ27" s="972"/>
      <c r="BR27" s="1099"/>
      <c r="BS27" s="1098"/>
      <c r="BT27" s="1100"/>
      <c r="BU27" s="1097"/>
      <c r="BV27" s="1067"/>
      <c r="BW27" s="981">
        <f t="shared" si="4"/>
        <v>0</v>
      </c>
      <c r="BY27" s="1095"/>
      <c r="BZ27" s="970"/>
      <c r="CA27" s="1096"/>
      <c r="CB27" s="1084">
        <v>0</v>
      </c>
      <c r="CC27" s="1097"/>
      <c r="CD27" s="208">
        <v>0</v>
      </c>
      <c r="CE27" s="208">
        <v>0</v>
      </c>
      <c r="CF27" s="208">
        <v>0</v>
      </c>
      <c r="CG27" s="208">
        <v>0</v>
      </c>
      <c r="CH27" s="208">
        <v>0</v>
      </c>
      <c r="CI27" s="979">
        <v>0</v>
      </c>
      <c r="CJ27" s="980">
        <v>0</v>
      </c>
    </row>
    <row r="28" spans="2:88" hidden="1" x14ac:dyDescent="0.3">
      <c r="B28" s="961"/>
      <c r="C28" s="962" t="s">
        <v>558</v>
      </c>
      <c r="D28" s="963" t="s">
        <v>535</v>
      </c>
      <c r="E28" s="964"/>
      <c r="F28" s="964"/>
      <c r="G28" s="964"/>
      <c r="H28" s="964"/>
      <c r="I28" s="964"/>
      <c r="J28" s="964"/>
      <c r="K28" s="964"/>
      <c r="L28" s="964"/>
      <c r="M28" s="964"/>
      <c r="N28" s="964"/>
      <c r="O28" s="964"/>
      <c r="P28" s="964"/>
      <c r="Q28" s="965"/>
      <c r="R28" s="965"/>
      <c r="S28" s="965"/>
      <c r="T28" s="964">
        <f t="shared" si="6"/>
        <v>0</v>
      </c>
      <c r="U28" s="962"/>
      <c r="V28" s="964">
        <v>0</v>
      </c>
      <c r="W28" s="964">
        <v>0</v>
      </c>
      <c r="X28" s="962"/>
      <c r="Y28" s="962"/>
      <c r="Z28" s="964"/>
      <c r="AA28" s="962"/>
      <c r="AB28" s="964"/>
      <c r="AC28" s="964"/>
      <c r="AD28" s="964"/>
      <c r="AE28" s="964"/>
      <c r="AF28" s="964"/>
      <c r="AG28" s="962"/>
      <c r="AH28" s="964">
        <f>SUM(V28:AG28)</f>
        <v>0</v>
      </c>
      <c r="AI28" s="966"/>
      <c r="AJ28" s="967">
        <v>0</v>
      </c>
      <c r="AK28" s="967">
        <f>174930</f>
        <v>174930</v>
      </c>
      <c r="AL28" s="983">
        <v>0</v>
      </c>
      <c r="AM28" s="983">
        <v>0</v>
      </c>
      <c r="AN28" s="967">
        <v>0</v>
      </c>
      <c r="AO28" s="967">
        <v>0</v>
      </c>
      <c r="AP28" s="967">
        <v>91630</v>
      </c>
      <c r="AQ28" s="967">
        <v>0</v>
      </c>
      <c r="AR28" s="967">
        <v>0</v>
      </c>
      <c r="AS28" s="967">
        <v>0</v>
      </c>
      <c r="AT28" s="967">
        <v>0</v>
      </c>
      <c r="AU28" s="967">
        <v>0</v>
      </c>
      <c r="AV28" s="968">
        <f t="shared" si="7"/>
        <v>266560</v>
      </c>
      <c r="AW28" s="969">
        <v>0</v>
      </c>
      <c r="AX28" s="264">
        <v>0</v>
      </c>
      <c r="AY28" s="971">
        <v>0</v>
      </c>
      <c r="AZ28" s="264">
        <v>0</v>
      </c>
      <c r="BA28" s="264">
        <v>0</v>
      </c>
      <c r="BB28" s="264">
        <v>0</v>
      </c>
      <c r="BC28" s="264">
        <v>0</v>
      </c>
      <c r="BD28" s="971">
        <v>0</v>
      </c>
      <c r="BE28" s="972">
        <v>0</v>
      </c>
      <c r="BF28" s="1093"/>
      <c r="BG28" s="1094"/>
      <c r="BH28" s="951">
        <v>0</v>
      </c>
      <c r="BI28" s="976">
        <f t="shared" si="3"/>
        <v>0</v>
      </c>
      <c r="BK28" s="1095"/>
      <c r="BL28" s="970"/>
      <c r="BM28" s="1096"/>
      <c r="BN28" s="1084">
        <v>0</v>
      </c>
      <c r="BO28" s="1097"/>
      <c r="BP28" s="1098"/>
      <c r="BQ28" s="972"/>
      <c r="BR28" s="1099"/>
      <c r="BS28" s="1098"/>
      <c r="BT28" s="1100"/>
      <c r="BU28" s="1097"/>
      <c r="BV28" s="1067"/>
      <c r="BW28" s="981">
        <f t="shared" si="4"/>
        <v>0</v>
      </c>
      <c r="BY28" s="1095"/>
      <c r="BZ28" s="970"/>
      <c r="CA28" s="1096"/>
      <c r="CB28" s="1084">
        <v>0</v>
      </c>
      <c r="CC28" s="1097"/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979">
        <v>0</v>
      </c>
      <c r="CJ28" s="980">
        <v>0</v>
      </c>
    </row>
    <row r="29" spans="2:88" hidden="1" x14ac:dyDescent="0.3">
      <c r="B29" s="961"/>
      <c r="C29" s="962" t="s">
        <v>559</v>
      </c>
      <c r="D29" s="963" t="s">
        <v>535</v>
      </c>
      <c r="E29" s="964"/>
      <c r="F29" s="964"/>
      <c r="G29" s="964"/>
      <c r="H29" s="964"/>
      <c r="I29" s="964"/>
      <c r="J29" s="964"/>
      <c r="K29" s="964"/>
      <c r="L29" s="964"/>
      <c r="M29" s="964"/>
      <c r="N29" s="964"/>
      <c r="O29" s="964"/>
      <c r="P29" s="964"/>
      <c r="Q29" s="965"/>
      <c r="R29" s="965"/>
      <c r="S29" s="965"/>
      <c r="T29" s="964">
        <f t="shared" si="6"/>
        <v>0</v>
      </c>
      <c r="U29" s="962"/>
      <c r="V29" s="964">
        <v>40000</v>
      </c>
      <c r="W29" s="982">
        <v>0</v>
      </c>
      <c r="X29" s="982">
        <v>0</v>
      </c>
      <c r="Y29" s="964">
        <v>0</v>
      </c>
      <c r="Z29" s="964">
        <v>0</v>
      </c>
      <c r="AA29" s="964">
        <v>0</v>
      </c>
      <c r="AB29" s="964">
        <f>40000</f>
        <v>40000</v>
      </c>
      <c r="AC29" s="964">
        <v>0</v>
      </c>
      <c r="AD29" s="964">
        <f>50000</f>
        <v>50000</v>
      </c>
      <c r="AE29" s="964">
        <v>0</v>
      </c>
      <c r="AF29" s="964">
        <v>0</v>
      </c>
      <c r="AG29" s="964">
        <v>0</v>
      </c>
      <c r="AH29" s="964">
        <f>SUM(V29:AG29)</f>
        <v>130000</v>
      </c>
      <c r="AI29" s="966"/>
      <c r="AJ29" s="967">
        <v>0</v>
      </c>
      <c r="AK29" s="967">
        <v>0</v>
      </c>
      <c r="AL29" s="967">
        <v>0</v>
      </c>
      <c r="AM29" s="967">
        <v>0</v>
      </c>
      <c r="AN29" s="967">
        <v>0</v>
      </c>
      <c r="AO29" s="967">
        <v>0</v>
      </c>
      <c r="AP29" s="967">
        <v>0</v>
      </c>
      <c r="AQ29" s="967">
        <v>0</v>
      </c>
      <c r="AR29" s="967">
        <v>0</v>
      </c>
      <c r="AS29" s="967">
        <v>0</v>
      </c>
      <c r="AT29" s="967">
        <v>0</v>
      </c>
      <c r="AU29" s="967">
        <f>265000+40000</f>
        <v>305000</v>
      </c>
      <c r="AV29" s="968">
        <f t="shared" si="7"/>
        <v>305000</v>
      </c>
      <c r="AW29" s="969">
        <v>0</v>
      </c>
      <c r="AX29" s="264">
        <v>0</v>
      </c>
      <c r="AY29" s="970"/>
      <c r="AZ29" s="264">
        <v>0</v>
      </c>
      <c r="BA29" s="264">
        <v>0</v>
      </c>
      <c r="BB29" s="264">
        <v>0</v>
      </c>
      <c r="BC29" s="264">
        <v>0</v>
      </c>
      <c r="BD29" s="971">
        <v>0</v>
      </c>
      <c r="BE29" s="972">
        <v>0</v>
      </c>
      <c r="BF29" s="1093"/>
      <c r="BG29" s="1094"/>
      <c r="BH29" s="951">
        <v>0</v>
      </c>
      <c r="BI29" s="976">
        <f>SUM(AW29:BH29)</f>
        <v>0</v>
      </c>
      <c r="BK29" s="1095"/>
      <c r="BL29" s="970"/>
      <c r="BM29" s="1096"/>
      <c r="BN29" s="1084">
        <v>0</v>
      </c>
      <c r="BO29" s="1097"/>
      <c r="BP29" s="1098"/>
      <c r="BQ29" s="972"/>
      <c r="BR29" s="1099"/>
      <c r="BS29" s="1098"/>
      <c r="BT29" s="1100"/>
      <c r="BU29" s="1097"/>
      <c r="BV29" s="1067"/>
      <c r="BW29" s="981">
        <f t="shared" si="4"/>
        <v>0</v>
      </c>
      <c r="BY29" s="1095"/>
      <c r="BZ29" s="970"/>
      <c r="CA29" s="1096"/>
      <c r="CB29" s="1084">
        <v>0</v>
      </c>
      <c r="CC29" s="1097"/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979">
        <v>0</v>
      </c>
      <c r="CJ29" s="980">
        <v>0</v>
      </c>
    </row>
    <row r="30" spans="2:88" hidden="1" x14ac:dyDescent="0.3">
      <c r="B30" s="1101"/>
      <c r="C30" s="984" t="s">
        <v>560</v>
      </c>
      <c r="D30" s="963"/>
      <c r="E30" s="985">
        <v>0</v>
      </c>
      <c r="F30" s="985">
        <v>0</v>
      </c>
      <c r="G30" s="985">
        <v>0</v>
      </c>
      <c r="H30" s="985">
        <v>0</v>
      </c>
      <c r="I30" s="985">
        <v>0</v>
      </c>
      <c r="J30" s="985">
        <v>152439</v>
      </c>
      <c r="K30" s="985">
        <v>43316</v>
      </c>
      <c r="L30" s="986">
        <v>0</v>
      </c>
      <c r="M30" s="964">
        <v>0</v>
      </c>
      <c r="N30" s="964">
        <v>0</v>
      </c>
      <c r="O30" s="964">
        <v>39984</v>
      </c>
      <c r="P30" s="964">
        <v>0</v>
      </c>
      <c r="Q30" s="965">
        <v>0</v>
      </c>
      <c r="R30" s="965">
        <v>0</v>
      </c>
      <c r="S30" s="965">
        <v>0</v>
      </c>
      <c r="T30" s="964">
        <f t="shared" si="6"/>
        <v>235739</v>
      </c>
      <c r="U30" s="962"/>
      <c r="V30" s="964">
        <v>0</v>
      </c>
      <c r="W30" s="982">
        <v>0</v>
      </c>
      <c r="X30" s="964">
        <v>0</v>
      </c>
      <c r="Y30" s="964">
        <v>0</v>
      </c>
      <c r="Z30" s="964">
        <v>0</v>
      </c>
      <c r="AA30" s="964">
        <v>0</v>
      </c>
      <c r="AB30" s="964">
        <v>0</v>
      </c>
      <c r="AC30" s="964">
        <v>0</v>
      </c>
      <c r="AD30" s="964">
        <v>0</v>
      </c>
      <c r="AE30" s="964">
        <v>0</v>
      </c>
      <c r="AF30" s="964">
        <f>88715</f>
        <v>88715</v>
      </c>
      <c r="AG30" s="964">
        <v>0</v>
      </c>
      <c r="AH30" s="964">
        <f t="shared" ref="AH30:AH48" si="8">SUM(V30:AG30)</f>
        <v>88715</v>
      </c>
      <c r="AI30" s="966"/>
      <c r="AJ30" s="967">
        <v>0</v>
      </c>
      <c r="AK30" s="967">
        <v>0</v>
      </c>
      <c r="AL30" s="967"/>
      <c r="AM30" s="967"/>
      <c r="AN30" s="967"/>
      <c r="AO30" s="967"/>
      <c r="AP30" s="967"/>
      <c r="AQ30" s="967"/>
      <c r="AR30" s="967"/>
      <c r="AS30" s="967"/>
      <c r="AT30" s="967"/>
      <c r="AU30" s="987"/>
      <c r="AV30" s="968">
        <f t="shared" si="7"/>
        <v>0</v>
      </c>
      <c r="AW30" s="1102"/>
      <c r="AX30" s="970"/>
      <c r="AY30" s="970"/>
      <c r="AZ30" s="970"/>
      <c r="BA30" s="264"/>
      <c r="BB30" s="970"/>
      <c r="BC30" s="970"/>
      <c r="BD30" s="970"/>
      <c r="BE30" s="972"/>
      <c r="BF30" s="1093"/>
      <c r="BG30" s="1094"/>
      <c r="BH30" s="951">
        <v>0</v>
      </c>
      <c r="BI30" s="976">
        <f t="shared" si="3"/>
        <v>0</v>
      </c>
      <c r="BK30" s="1095"/>
      <c r="BL30" s="970"/>
      <c r="BM30" s="1096"/>
      <c r="BN30" s="1084">
        <v>0</v>
      </c>
      <c r="BO30" s="1097"/>
      <c r="BP30" s="1098"/>
      <c r="BQ30" s="972"/>
      <c r="BR30" s="1099"/>
      <c r="BS30" s="1098"/>
      <c r="BT30" s="1100"/>
      <c r="BU30" s="1097"/>
      <c r="BV30" s="1067"/>
      <c r="BW30" s="981">
        <f t="shared" si="4"/>
        <v>0</v>
      </c>
      <c r="BY30" s="1095"/>
      <c r="BZ30" s="970"/>
      <c r="CA30" s="1096"/>
      <c r="CB30" s="1084">
        <v>0</v>
      </c>
      <c r="CC30" s="1097"/>
      <c r="CD30" s="208">
        <v>0</v>
      </c>
      <c r="CE30" s="208">
        <v>0</v>
      </c>
      <c r="CF30" s="208">
        <v>0</v>
      </c>
      <c r="CG30" s="208">
        <v>0</v>
      </c>
      <c r="CH30" s="208">
        <v>0</v>
      </c>
      <c r="CI30" s="979">
        <v>0</v>
      </c>
      <c r="CJ30" s="980">
        <v>0</v>
      </c>
    </row>
    <row r="31" spans="2:88" hidden="1" x14ac:dyDescent="0.3">
      <c r="B31" s="1101"/>
      <c r="C31" s="962" t="s">
        <v>561</v>
      </c>
      <c r="D31" s="990"/>
      <c r="E31" s="964">
        <v>0</v>
      </c>
      <c r="F31" s="964">
        <v>0</v>
      </c>
      <c r="G31" s="964">
        <v>0</v>
      </c>
      <c r="H31" s="964">
        <v>0</v>
      </c>
      <c r="I31" s="964">
        <v>0</v>
      </c>
      <c r="J31" s="964">
        <v>0</v>
      </c>
      <c r="K31" s="964">
        <v>0</v>
      </c>
      <c r="L31" s="964">
        <v>0</v>
      </c>
      <c r="M31" s="964">
        <v>0</v>
      </c>
      <c r="N31" s="964">
        <v>0</v>
      </c>
      <c r="O31" s="964">
        <v>0</v>
      </c>
      <c r="P31" s="964">
        <v>0</v>
      </c>
      <c r="Q31" s="965">
        <v>0</v>
      </c>
      <c r="R31" s="965">
        <v>0</v>
      </c>
      <c r="S31" s="965">
        <v>0</v>
      </c>
      <c r="T31" s="964">
        <f t="shared" si="6"/>
        <v>0</v>
      </c>
      <c r="U31" s="962"/>
      <c r="V31" s="964">
        <v>0</v>
      </c>
      <c r="W31" s="982">
        <v>0</v>
      </c>
      <c r="X31" s="964">
        <v>0</v>
      </c>
      <c r="Y31" s="964">
        <v>0</v>
      </c>
      <c r="Z31" s="964">
        <v>0</v>
      </c>
      <c r="AA31" s="964">
        <v>0</v>
      </c>
      <c r="AB31" s="964"/>
      <c r="AC31" s="964"/>
      <c r="AD31" s="964"/>
      <c r="AE31" s="964"/>
      <c r="AF31" s="964"/>
      <c r="AG31" s="964"/>
      <c r="AH31" s="964">
        <f t="shared" si="8"/>
        <v>0</v>
      </c>
      <c r="AI31" s="966"/>
      <c r="AJ31" s="967">
        <v>0</v>
      </c>
      <c r="AK31" s="967">
        <v>0</v>
      </c>
      <c r="AL31" s="967"/>
      <c r="AM31" s="967"/>
      <c r="AN31" s="967"/>
      <c r="AO31" s="967"/>
      <c r="AP31" s="967"/>
      <c r="AQ31" s="967"/>
      <c r="AR31" s="967"/>
      <c r="AS31" s="967"/>
      <c r="AT31" s="967"/>
      <c r="AU31" s="987"/>
      <c r="AV31" s="968">
        <f t="shared" si="7"/>
        <v>0</v>
      </c>
      <c r="AW31" s="1102"/>
      <c r="AX31" s="970"/>
      <c r="AY31" s="970"/>
      <c r="AZ31" s="970"/>
      <c r="BA31" s="970"/>
      <c r="BB31" s="970"/>
      <c r="BC31" s="970"/>
      <c r="BD31" s="970"/>
      <c r="BE31" s="972"/>
      <c r="BF31" s="1093"/>
      <c r="BG31" s="1094"/>
      <c r="BH31" s="951">
        <v>0</v>
      </c>
      <c r="BI31" s="976">
        <f t="shared" si="3"/>
        <v>0</v>
      </c>
      <c r="BK31" s="1095"/>
      <c r="BL31" s="970"/>
      <c r="BM31" s="1096"/>
      <c r="BN31" s="1084">
        <v>0</v>
      </c>
      <c r="BO31" s="1097"/>
      <c r="BP31" s="1098"/>
      <c r="BQ31" s="972"/>
      <c r="BR31" s="1099"/>
      <c r="BS31" s="1098"/>
      <c r="BT31" s="1100"/>
      <c r="BU31" s="1097"/>
      <c r="BV31" s="1067"/>
      <c r="BW31" s="981">
        <f t="shared" si="4"/>
        <v>0</v>
      </c>
      <c r="BY31" s="1095"/>
      <c r="BZ31" s="970"/>
      <c r="CA31" s="1096"/>
      <c r="CB31" s="1084">
        <v>0</v>
      </c>
      <c r="CC31" s="1097"/>
      <c r="CD31" s="208">
        <v>0</v>
      </c>
      <c r="CE31" s="208">
        <v>0</v>
      </c>
      <c r="CF31" s="208">
        <v>0</v>
      </c>
      <c r="CG31" s="208">
        <v>0</v>
      </c>
      <c r="CH31" s="208">
        <v>0</v>
      </c>
      <c r="CI31" s="979">
        <v>0</v>
      </c>
      <c r="CJ31" s="980">
        <v>0</v>
      </c>
    </row>
    <row r="32" spans="2:88" hidden="1" x14ac:dyDescent="0.3">
      <c r="B32" s="1101"/>
      <c r="C32" s="984" t="s">
        <v>110</v>
      </c>
      <c r="D32" s="963"/>
      <c r="E32" s="985">
        <v>0</v>
      </c>
      <c r="F32" s="985">
        <v>0</v>
      </c>
      <c r="G32" s="985">
        <v>0</v>
      </c>
      <c r="H32" s="985">
        <v>0</v>
      </c>
      <c r="I32" s="985">
        <v>0</v>
      </c>
      <c r="J32" s="964">
        <v>0</v>
      </c>
      <c r="K32" s="985">
        <v>0</v>
      </c>
      <c r="L32" s="964">
        <v>0</v>
      </c>
      <c r="M32" s="964">
        <v>0</v>
      </c>
      <c r="N32" s="964">
        <v>0</v>
      </c>
      <c r="O32" s="964">
        <v>0</v>
      </c>
      <c r="P32" s="964">
        <v>0</v>
      </c>
      <c r="Q32" s="965">
        <v>0</v>
      </c>
      <c r="R32" s="965">
        <v>0</v>
      </c>
      <c r="S32" s="965">
        <v>0</v>
      </c>
      <c r="T32" s="964">
        <f t="shared" si="6"/>
        <v>0</v>
      </c>
      <c r="U32" s="962"/>
      <c r="V32" s="964">
        <v>0</v>
      </c>
      <c r="W32" s="982">
        <v>0</v>
      </c>
      <c r="X32" s="964">
        <v>0</v>
      </c>
      <c r="Y32" s="964">
        <v>0</v>
      </c>
      <c r="Z32" s="964">
        <v>0</v>
      </c>
      <c r="AA32" s="964">
        <v>0</v>
      </c>
      <c r="AB32" s="964"/>
      <c r="AC32" s="964"/>
      <c r="AD32" s="964"/>
      <c r="AE32" s="964"/>
      <c r="AF32" s="964"/>
      <c r="AG32" s="964"/>
      <c r="AH32" s="964">
        <f t="shared" si="8"/>
        <v>0</v>
      </c>
      <c r="AI32" s="966"/>
      <c r="AJ32" s="967">
        <v>0</v>
      </c>
      <c r="AK32" s="967">
        <v>0</v>
      </c>
      <c r="AL32" s="967"/>
      <c r="AM32" s="967"/>
      <c r="AN32" s="967"/>
      <c r="AO32" s="967"/>
      <c r="AP32" s="967"/>
      <c r="AQ32" s="967"/>
      <c r="AR32" s="967"/>
      <c r="AS32" s="967"/>
      <c r="AT32" s="967"/>
      <c r="AU32" s="987"/>
      <c r="AV32" s="968">
        <f t="shared" si="7"/>
        <v>0</v>
      </c>
      <c r="AW32" s="1102"/>
      <c r="AX32" s="970"/>
      <c r="AY32" s="970"/>
      <c r="AZ32" s="970"/>
      <c r="BA32" s="970"/>
      <c r="BB32" s="970"/>
      <c r="BC32" s="970"/>
      <c r="BD32" s="970"/>
      <c r="BE32" s="972"/>
      <c r="BF32" s="1093"/>
      <c r="BG32" s="1094"/>
      <c r="BH32" s="951">
        <v>0</v>
      </c>
      <c r="BI32" s="976">
        <f t="shared" si="3"/>
        <v>0</v>
      </c>
      <c r="BK32" s="1095"/>
      <c r="BL32" s="970"/>
      <c r="BM32" s="1096"/>
      <c r="BN32" s="1084">
        <v>0</v>
      </c>
      <c r="BO32" s="1097"/>
      <c r="BP32" s="1098"/>
      <c r="BQ32" s="972"/>
      <c r="BR32" s="1099"/>
      <c r="BS32" s="1098"/>
      <c r="BT32" s="1100"/>
      <c r="BU32" s="1097"/>
      <c r="BV32" s="1067"/>
      <c r="BW32" s="981">
        <f t="shared" si="4"/>
        <v>0</v>
      </c>
      <c r="BY32" s="1095"/>
      <c r="BZ32" s="970"/>
      <c r="CA32" s="1096"/>
      <c r="CB32" s="1084">
        <v>0</v>
      </c>
      <c r="CC32" s="1097"/>
      <c r="CD32" s="208">
        <v>0</v>
      </c>
      <c r="CE32" s="208">
        <v>0</v>
      </c>
      <c r="CF32" s="208">
        <v>0</v>
      </c>
      <c r="CG32" s="208">
        <v>0</v>
      </c>
      <c r="CH32" s="208">
        <v>0</v>
      </c>
      <c r="CI32" s="979">
        <v>0</v>
      </c>
      <c r="CJ32" s="980">
        <v>0</v>
      </c>
    </row>
    <row r="33" spans="2:88" hidden="1" x14ac:dyDescent="0.3">
      <c r="B33" s="1101"/>
      <c r="C33" s="962" t="s">
        <v>562</v>
      </c>
      <c r="D33" s="990"/>
      <c r="E33" s="964">
        <v>0</v>
      </c>
      <c r="F33" s="964">
        <v>0</v>
      </c>
      <c r="G33" s="964">
        <v>0</v>
      </c>
      <c r="H33" s="964">
        <v>0</v>
      </c>
      <c r="I33" s="964">
        <v>0</v>
      </c>
      <c r="J33" s="964">
        <v>0</v>
      </c>
      <c r="K33" s="964">
        <v>0</v>
      </c>
      <c r="L33" s="964">
        <v>0</v>
      </c>
      <c r="M33" s="964">
        <v>0</v>
      </c>
      <c r="N33" s="964">
        <v>0</v>
      </c>
      <c r="O33" s="964">
        <v>0</v>
      </c>
      <c r="P33" s="964">
        <v>0</v>
      </c>
      <c r="Q33" s="965">
        <v>0</v>
      </c>
      <c r="R33" s="965">
        <v>0</v>
      </c>
      <c r="S33" s="965">
        <v>0</v>
      </c>
      <c r="T33" s="964">
        <f t="shared" si="6"/>
        <v>0</v>
      </c>
      <c r="U33" s="962"/>
      <c r="V33" s="964">
        <v>0</v>
      </c>
      <c r="W33" s="982">
        <v>0</v>
      </c>
      <c r="X33" s="964">
        <v>0</v>
      </c>
      <c r="Y33" s="964">
        <v>0</v>
      </c>
      <c r="Z33" s="964">
        <v>0</v>
      </c>
      <c r="AA33" s="964">
        <v>0</v>
      </c>
      <c r="AB33" s="964">
        <v>0</v>
      </c>
      <c r="AC33" s="964"/>
      <c r="AD33" s="964"/>
      <c r="AE33" s="964"/>
      <c r="AF33" s="964"/>
      <c r="AG33" s="964"/>
      <c r="AH33" s="964">
        <f t="shared" si="8"/>
        <v>0</v>
      </c>
      <c r="AI33" s="966"/>
      <c r="AJ33" s="967">
        <v>0</v>
      </c>
      <c r="AK33" s="967">
        <v>0</v>
      </c>
      <c r="AL33" s="967"/>
      <c r="AM33" s="967"/>
      <c r="AN33" s="967"/>
      <c r="AO33" s="967"/>
      <c r="AP33" s="967"/>
      <c r="AQ33" s="967"/>
      <c r="AR33" s="967"/>
      <c r="AS33" s="967"/>
      <c r="AT33" s="967"/>
      <c r="AU33" s="987"/>
      <c r="AV33" s="968">
        <f t="shared" si="7"/>
        <v>0</v>
      </c>
      <c r="AW33" s="1102"/>
      <c r="AX33" s="970"/>
      <c r="AY33" s="970"/>
      <c r="AZ33" s="970"/>
      <c r="BA33" s="970"/>
      <c r="BB33" s="970"/>
      <c r="BC33" s="970"/>
      <c r="BD33" s="970"/>
      <c r="BE33" s="972"/>
      <c r="BF33" s="1093"/>
      <c r="BG33" s="1094"/>
      <c r="BH33" s="951">
        <v>0</v>
      </c>
      <c r="BI33" s="976">
        <f t="shared" si="3"/>
        <v>0</v>
      </c>
      <c r="BK33" s="1095"/>
      <c r="BL33" s="970"/>
      <c r="BM33" s="1096"/>
      <c r="BN33" s="1084">
        <v>0</v>
      </c>
      <c r="BO33" s="1097"/>
      <c r="BP33" s="1098"/>
      <c r="BQ33" s="972"/>
      <c r="BR33" s="1099"/>
      <c r="BS33" s="1098"/>
      <c r="BT33" s="1100"/>
      <c r="BU33" s="1097"/>
      <c r="BV33" s="1067"/>
      <c r="BW33" s="981">
        <f t="shared" si="4"/>
        <v>0</v>
      </c>
      <c r="BY33" s="1095"/>
      <c r="BZ33" s="970"/>
      <c r="CA33" s="1096"/>
      <c r="CB33" s="1084">
        <v>0</v>
      </c>
      <c r="CC33" s="1097"/>
      <c r="CD33" s="208">
        <v>0</v>
      </c>
      <c r="CE33" s="208">
        <v>0</v>
      </c>
      <c r="CF33" s="208">
        <v>0</v>
      </c>
      <c r="CG33" s="208">
        <v>0</v>
      </c>
      <c r="CH33" s="208">
        <v>0</v>
      </c>
      <c r="CI33" s="979">
        <v>0</v>
      </c>
      <c r="CJ33" s="980">
        <v>0</v>
      </c>
    </row>
    <row r="34" spans="2:88" hidden="1" x14ac:dyDescent="0.3">
      <c r="B34" s="1101"/>
      <c r="C34" s="962" t="s">
        <v>563</v>
      </c>
      <c r="D34" s="990"/>
      <c r="E34" s="964"/>
      <c r="F34" s="964"/>
      <c r="G34" s="964"/>
      <c r="H34" s="964"/>
      <c r="I34" s="964">
        <v>0</v>
      </c>
      <c r="J34" s="964">
        <v>0</v>
      </c>
      <c r="K34" s="964">
        <v>0</v>
      </c>
      <c r="L34" s="964">
        <v>0</v>
      </c>
      <c r="M34" s="964">
        <v>0</v>
      </c>
      <c r="N34" s="964">
        <v>0</v>
      </c>
      <c r="O34" s="964">
        <v>0</v>
      </c>
      <c r="P34" s="964">
        <v>0</v>
      </c>
      <c r="Q34" s="965">
        <v>0</v>
      </c>
      <c r="R34" s="965">
        <v>0</v>
      </c>
      <c r="S34" s="965">
        <v>0</v>
      </c>
      <c r="T34" s="964">
        <f t="shared" si="6"/>
        <v>0</v>
      </c>
      <c r="U34" s="962"/>
      <c r="V34" s="964">
        <v>46460</v>
      </c>
      <c r="W34" s="982">
        <v>0</v>
      </c>
      <c r="X34" s="964">
        <v>0</v>
      </c>
      <c r="Y34" s="964">
        <v>0</v>
      </c>
      <c r="Z34" s="964">
        <v>0</v>
      </c>
      <c r="AA34" s="964">
        <v>0</v>
      </c>
      <c r="AB34" s="964">
        <v>0</v>
      </c>
      <c r="AC34" s="964">
        <v>0</v>
      </c>
      <c r="AD34" s="964">
        <v>0</v>
      </c>
      <c r="AE34" s="964">
        <v>0</v>
      </c>
      <c r="AF34" s="964">
        <v>0</v>
      </c>
      <c r="AG34" s="964">
        <v>0</v>
      </c>
      <c r="AH34" s="964">
        <f t="shared" si="8"/>
        <v>46460</v>
      </c>
      <c r="AI34" s="966"/>
      <c r="AJ34" s="967">
        <v>0</v>
      </c>
      <c r="AK34" s="967">
        <v>0</v>
      </c>
      <c r="AL34" s="967"/>
      <c r="AM34" s="967"/>
      <c r="AN34" s="967"/>
      <c r="AO34" s="967"/>
      <c r="AP34" s="967"/>
      <c r="AQ34" s="967"/>
      <c r="AR34" s="967"/>
      <c r="AS34" s="967"/>
      <c r="AT34" s="967"/>
      <c r="AU34" s="987"/>
      <c r="AV34" s="968">
        <f t="shared" si="7"/>
        <v>0</v>
      </c>
      <c r="AW34" s="1102"/>
      <c r="AX34" s="970"/>
      <c r="AY34" s="970"/>
      <c r="AZ34" s="970"/>
      <c r="BA34" s="970"/>
      <c r="BB34" s="970"/>
      <c r="BC34" s="970"/>
      <c r="BD34" s="970"/>
      <c r="BE34" s="972"/>
      <c r="BF34" s="1093"/>
      <c r="BG34" s="1094"/>
      <c r="BH34" s="951">
        <v>0</v>
      </c>
      <c r="BI34" s="976">
        <f t="shared" si="3"/>
        <v>0</v>
      </c>
      <c r="BK34" s="1095"/>
      <c r="BL34" s="970"/>
      <c r="BM34" s="1096"/>
      <c r="BN34" s="1084">
        <v>0</v>
      </c>
      <c r="BO34" s="1097"/>
      <c r="BP34" s="1098"/>
      <c r="BQ34" s="972"/>
      <c r="BR34" s="1099"/>
      <c r="BS34" s="1098"/>
      <c r="BT34" s="1100"/>
      <c r="BU34" s="1097"/>
      <c r="BV34" s="1067"/>
      <c r="BW34" s="981">
        <f t="shared" si="4"/>
        <v>0</v>
      </c>
      <c r="BY34" s="1095"/>
      <c r="BZ34" s="970"/>
      <c r="CA34" s="1096"/>
      <c r="CB34" s="1084">
        <v>0</v>
      </c>
      <c r="CC34" s="1097"/>
      <c r="CD34" s="208">
        <v>0</v>
      </c>
      <c r="CE34" s="208">
        <v>0</v>
      </c>
      <c r="CF34" s="208">
        <v>0</v>
      </c>
      <c r="CG34" s="208">
        <v>0</v>
      </c>
      <c r="CH34" s="208">
        <v>0</v>
      </c>
      <c r="CI34" s="979">
        <v>0</v>
      </c>
      <c r="CJ34" s="980">
        <v>0</v>
      </c>
    </row>
    <row r="35" spans="2:88" hidden="1" x14ac:dyDescent="0.3">
      <c r="B35" s="1101"/>
      <c r="C35" s="962" t="s">
        <v>391</v>
      </c>
      <c r="D35" s="990"/>
      <c r="E35" s="964">
        <v>0</v>
      </c>
      <c r="F35" s="964">
        <v>0</v>
      </c>
      <c r="G35" s="964">
        <v>0</v>
      </c>
      <c r="H35" s="964">
        <v>0</v>
      </c>
      <c r="I35" s="964">
        <v>0</v>
      </c>
      <c r="J35" s="964">
        <v>50000</v>
      </c>
      <c r="K35" s="964">
        <v>0</v>
      </c>
      <c r="L35" s="964">
        <v>0</v>
      </c>
      <c r="M35" s="964">
        <v>0</v>
      </c>
      <c r="N35" s="964">
        <v>0</v>
      </c>
      <c r="O35" s="964">
        <v>0</v>
      </c>
      <c r="P35" s="964">
        <v>0</v>
      </c>
      <c r="Q35" s="965">
        <v>0</v>
      </c>
      <c r="R35" s="965">
        <v>0</v>
      </c>
      <c r="S35" s="965">
        <v>0</v>
      </c>
      <c r="T35" s="964">
        <f t="shared" si="6"/>
        <v>50000</v>
      </c>
      <c r="U35" s="962"/>
      <c r="V35" s="964">
        <v>80000</v>
      </c>
      <c r="W35" s="964">
        <v>50000</v>
      </c>
      <c r="X35" s="964">
        <v>0</v>
      </c>
      <c r="Y35" s="964">
        <v>120000</v>
      </c>
      <c r="Z35" s="964">
        <v>0</v>
      </c>
      <c r="AA35" s="964">
        <v>0</v>
      </c>
      <c r="AB35" s="964">
        <v>0</v>
      </c>
      <c r="AC35" s="964">
        <v>20000</v>
      </c>
      <c r="AD35" s="964">
        <v>0</v>
      </c>
      <c r="AE35" s="964">
        <v>0</v>
      </c>
      <c r="AF35" s="964">
        <v>0</v>
      </c>
      <c r="AG35" s="964">
        <v>0</v>
      </c>
      <c r="AH35" s="964">
        <f t="shared" si="8"/>
        <v>270000</v>
      </c>
      <c r="AI35" s="966"/>
      <c r="AJ35" s="967">
        <v>0</v>
      </c>
      <c r="AK35" s="967">
        <v>0</v>
      </c>
      <c r="AL35" s="967"/>
      <c r="AM35" s="967"/>
      <c r="AN35" s="967"/>
      <c r="AO35" s="967"/>
      <c r="AP35" s="967"/>
      <c r="AQ35" s="967"/>
      <c r="AR35" s="967"/>
      <c r="AS35" s="967"/>
      <c r="AT35" s="967"/>
      <c r="AU35" s="987"/>
      <c r="AV35" s="968">
        <f t="shared" si="7"/>
        <v>0</v>
      </c>
      <c r="AW35" s="1102"/>
      <c r="AX35" s="970"/>
      <c r="AY35" s="970"/>
      <c r="AZ35" s="970"/>
      <c r="BA35" s="970"/>
      <c r="BB35" s="970"/>
      <c r="BC35" s="970"/>
      <c r="BD35" s="970"/>
      <c r="BE35" s="972"/>
      <c r="BF35" s="1093"/>
      <c r="BG35" s="1094"/>
      <c r="BH35" s="951">
        <v>0</v>
      </c>
      <c r="BI35" s="976">
        <f t="shared" si="3"/>
        <v>0</v>
      </c>
      <c r="BK35" s="1095"/>
      <c r="BL35" s="970"/>
      <c r="BM35" s="1096"/>
      <c r="BN35" s="1084">
        <v>0</v>
      </c>
      <c r="BO35" s="1097"/>
      <c r="BP35" s="1098"/>
      <c r="BQ35" s="972"/>
      <c r="BR35" s="1099"/>
      <c r="BS35" s="1098"/>
      <c r="BT35" s="1100"/>
      <c r="BU35" s="1097"/>
      <c r="BV35" s="1067"/>
      <c r="BW35" s="981">
        <f t="shared" si="4"/>
        <v>0</v>
      </c>
      <c r="BY35" s="1095"/>
      <c r="BZ35" s="970"/>
      <c r="CA35" s="1096"/>
      <c r="CB35" s="1084">
        <v>0</v>
      </c>
      <c r="CC35" s="1097"/>
      <c r="CD35" s="208">
        <v>0</v>
      </c>
      <c r="CE35" s="208">
        <v>0</v>
      </c>
      <c r="CF35" s="208">
        <v>0</v>
      </c>
      <c r="CG35" s="208">
        <v>0</v>
      </c>
      <c r="CH35" s="208">
        <v>0</v>
      </c>
      <c r="CI35" s="979">
        <v>0</v>
      </c>
      <c r="CJ35" s="980">
        <v>0</v>
      </c>
    </row>
    <row r="36" spans="2:88" hidden="1" x14ac:dyDescent="0.3">
      <c r="B36" s="1101"/>
      <c r="C36" s="962" t="s">
        <v>564</v>
      </c>
      <c r="D36" s="990"/>
      <c r="E36" s="964"/>
      <c r="F36" s="964"/>
      <c r="G36" s="964"/>
      <c r="H36" s="964"/>
      <c r="I36" s="964">
        <v>0</v>
      </c>
      <c r="J36" s="964">
        <v>0</v>
      </c>
      <c r="K36" s="964">
        <v>0</v>
      </c>
      <c r="L36" s="964">
        <v>0</v>
      </c>
      <c r="M36" s="964">
        <v>0</v>
      </c>
      <c r="N36" s="964">
        <v>0</v>
      </c>
      <c r="O36" s="964">
        <v>0</v>
      </c>
      <c r="P36" s="964">
        <v>0</v>
      </c>
      <c r="Q36" s="965">
        <v>0</v>
      </c>
      <c r="R36" s="965">
        <v>0</v>
      </c>
      <c r="S36" s="965">
        <v>0</v>
      </c>
      <c r="T36" s="964">
        <f t="shared" si="6"/>
        <v>0</v>
      </c>
      <c r="U36" s="962"/>
      <c r="V36" s="964">
        <v>0</v>
      </c>
      <c r="W36" s="982">
        <v>0</v>
      </c>
      <c r="X36" s="982">
        <v>0</v>
      </c>
      <c r="Y36" s="964">
        <v>0</v>
      </c>
      <c r="Z36" s="964">
        <v>0</v>
      </c>
      <c r="AA36" s="964">
        <v>0</v>
      </c>
      <c r="AB36" s="964">
        <v>0</v>
      </c>
      <c r="AC36" s="964"/>
      <c r="AD36" s="964"/>
      <c r="AE36" s="964"/>
      <c r="AF36" s="964">
        <v>0</v>
      </c>
      <c r="AG36" s="964"/>
      <c r="AH36" s="964">
        <f t="shared" si="8"/>
        <v>0</v>
      </c>
      <c r="AI36" s="966"/>
      <c r="AJ36" s="967">
        <v>0</v>
      </c>
      <c r="AK36" s="967">
        <v>0</v>
      </c>
      <c r="AL36" s="983"/>
      <c r="AM36" s="967"/>
      <c r="AN36" s="967"/>
      <c r="AO36" s="967"/>
      <c r="AP36" s="967"/>
      <c r="AQ36" s="967"/>
      <c r="AR36" s="967"/>
      <c r="AS36" s="967"/>
      <c r="AT36" s="967"/>
      <c r="AU36" s="987"/>
      <c r="AV36" s="968">
        <f t="shared" si="7"/>
        <v>0</v>
      </c>
      <c r="AW36" s="1102"/>
      <c r="AX36" s="970"/>
      <c r="AY36" s="970"/>
      <c r="AZ36" s="970"/>
      <c r="BA36" s="970"/>
      <c r="BB36" s="970"/>
      <c r="BC36" s="970"/>
      <c r="BD36" s="970"/>
      <c r="BE36" s="972"/>
      <c r="BF36" s="1093"/>
      <c r="BG36" s="1094"/>
      <c r="BH36" s="951">
        <v>0</v>
      </c>
      <c r="BI36" s="976">
        <f t="shared" si="3"/>
        <v>0</v>
      </c>
      <c r="BK36" s="1095"/>
      <c r="BL36" s="970"/>
      <c r="BM36" s="1096"/>
      <c r="BN36" s="1084">
        <v>0</v>
      </c>
      <c r="BO36" s="1097"/>
      <c r="BP36" s="1098"/>
      <c r="BQ36" s="972"/>
      <c r="BR36" s="1099"/>
      <c r="BS36" s="1098"/>
      <c r="BT36" s="1100"/>
      <c r="BU36" s="1097"/>
      <c r="BV36" s="1067"/>
      <c r="BW36" s="981">
        <f t="shared" si="4"/>
        <v>0</v>
      </c>
      <c r="BY36" s="1095"/>
      <c r="BZ36" s="970"/>
      <c r="CA36" s="1096"/>
      <c r="CB36" s="1084">
        <v>0</v>
      </c>
      <c r="CC36" s="1097"/>
      <c r="CD36" s="208">
        <v>0</v>
      </c>
      <c r="CE36" s="208">
        <v>0</v>
      </c>
      <c r="CF36" s="208">
        <v>0</v>
      </c>
      <c r="CG36" s="208">
        <v>0</v>
      </c>
      <c r="CH36" s="208">
        <v>0</v>
      </c>
      <c r="CI36" s="979">
        <v>0</v>
      </c>
      <c r="CJ36" s="980">
        <v>0</v>
      </c>
    </row>
    <row r="37" spans="2:88" hidden="1" x14ac:dyDescent="0.3">
      <c r="B37" s="1101"/>
      <c r="C37" s="962" t="s">
        <v>565</v>
      </c>
      <c r="D37" s="990"/>
      <c r="E37" s="964"/>
      <c r="F37" s="964"/>
      <c r="G37" s="964"/>
      <c r="H37" s="964"/>
      <c r="I37" s="964">
        <v>0</v>
      </c>
      <c r="J37" s="964">
        <v>0</v>
      </c>
      <c r="K37" s="964">
        <v>0</v>
      </c>
      <c r="L37" s="964">
        <v>43200</v>
      </c>
      <c r="M37" s="964">
        <v>0</v>
      </c>
      <c r="N37" s="964">
        <v>0</v>
      </c>
      <c r="O37" s="964">
        <v>0</v>
      </c>
      <c r="P37" s="964">
        <v>0</v>
      </c>
      <c r="Q37" s="965">
        <v>0</v>
      </c>
      <c r="R37" s="965">
        <v>0</v>
      </c>
      <c r="S37" s="965">
        <v>0</v>
      </c>
      <c r="T37" s="964">
        <f t="shared" si="6"/>
        <v>43200</v>
      </c>
      <c r="U37" s="962"/>
      <c r="V37" s="964">
        <v>0</v>
      </c>
      <c r="W37" s="982">
        <v>0</v>
      </c>
      <c r="X37" s="982">
        <v>0</v>
      </c>
      <c r="Y37" s="964">
        <v>0</v>
      </c>
      <c r="Z37" s="964">
        <v>0</v>
      </c>
      <c r="AA37" s="964">
        <v>0</v>
      </c>
      <c r="AB37" s="964">
        <v>0</v>
      </c>
      <c r="AC37" s="964"/>
      <c r="AD37" s="964"/>
      <c r="AE37" s="964"/>
      <c r="AF37" s="964">
        <v>0</v>
      </c>
      <c r="AG37" s="964"/>
      <c r="AH37" s="964">
        <f t="shared" si="8"/>
        <v>0</v>
      </c>
      <c r="AI37" s="966"/>
      <c r="AJ37" s="967">
        <v>0</v>
      </c>
      <c r="AK37" s="967">
        <v>0</v>
      </c>
      <c r="AL37" s="983"/>
      <c r="AM37" s="967"/>
      <c r="AN37" s="967"/>
      <c r="AO37" s="967"/>
      <c r="AP37" s="967"/>
      <c r="AQ37" s="967"/>
      <c r="AR37" s="967"/>
      <c r="AS37" s="967"/>
      <c r="AT37" s="967"/>
      <c r="AU37" s="987"/>
      <c r="AV37" s="968">
        <f t="shared" si="7"/>
        <v>0</v>
      </c>
      <c r="AW37" s="1102"/>
      <c r="AX37" s="970"/>
      <c r="AY37" s="970"/>
      <c r="AZ37" s="970"/>
      <c r="BA37" s="970"/>
      <c r="BB37" s="970"/>
      <c r="BC37" s="970"/>
      <c r="BD37" s="970"/>
      <c r="BE37" s="972"/>
      <c r="BF37" s="1093"/>
      <c r="BG37" s="1094"/>
      <c r="BH37" s="951">
        <v>0</v>
      </c>
      <c r="BI37" s="976">
        <f t="shared" si="3"/>
        <v>0</v>
      </c>
      <c r="BK37" s="1095"/>
      <c r="BL37" s="970"/>
      <c r="BM37" s="1096"/>
      <c r="BN37" s="1084">
        <v>0</v>
      </c>
      <c r="BO37" s="1097"/>
      <c r="BP37" s="1098"/>
      <c r="BQ37" s="972"/>
      <c r="BR37" s="1099"/>
      <c r="BS37" s="1098"/>
      <c r="BT37" s="1100"/>
      <c r="BU37" s="1097"/>
      <c r="BV37" s="1067"/>
      <c r="BW37" s="981">
        <f t="shared" si="4"/>
        <v>0</v>
      </c>
      <c r="BY37" s="1095"/>
      <c r="BZ37" s="970"/>
      <c r="CA37" s="1096"/>
      <c r="CB37" s="1084">
        <v>0</v>
      </c>
      <c r="CC37" s="1097"/>
      <c r="CD37" s="208">
        <v>0</v>
      </c>
      <c r="CE37" s="208">
        <v>0</v>
      </c>
      <c r="CF37" s="208">
        <v>0</v>
      </c>
      <c r="CG37" s="208">
        <v>0</v>
      </c>
      <c r="CH37" s="208">
        <v>0</v>
      </c>
      <c r="CI37" s="979">
        <v>0</v>
      </c>
      <c r="CJ37" s="980">
        <v>0</v>
      </c>
    </row>
    <row r="38" spans="2:88" hidden="1" x14ac:dyDescent="0.3">
      <c r="B38" s="1101"/>
      <c r="C38" s="962" t="s">
        <v>566</v>
      </c>
      <c r="D38" s="990"/>
      <c r="E38" s="964"/>
      <c r="F38" s="964"/>
      <c r="G38" s="964"/>
      <c r="H38" s="964"/>
      <c r="I38" s="964">
        <v>0</v>
      </c>
      <c r="J38" s="964">
        <v>0</v>
      </c>
      <c r="K38" s="964">
        <v>0</v>
      </c>
      <c r="L38" s="964"/>
      <c r="M38" s="964">
        <v>0</v>
      </c>
      <c r="N38" s="964">
        <v>70805</v>
      </c>
      <c r="O38" s="964">
        <v>0</v>
      </c>
      <c r="P38" s="964">
        <v>0</v>
      </c>
      <c r="Q38" s="965">
        <v>0</v>
      </c>
      <c r="R38" s="965">
        <v>0</v>
      </c>
      <c r="S38" s="965">
        <v>0</v>
      </c>
      <c r="T38" s="964">
        <f t="shared" si="6"/>
        <v>70805</v>
      </c>
      <c r="U38" s="962"/>
      <c r="V38" s="964">
        <v>0</v>
      </c>
      <c r="W38" s="982">
        <v>0</v>
      </c>
      <c r="X38" s="982">
        <v>0</v>
      </c>
      <c r="Y38" s="964">
        <v>0</v>
      </c>
      <c r="Z38" s="964">
        <v>0</v>
      </c>
      <c r="AA38" s="964">
        <v>0</v>
      </c>
      <c r="AB38" s="964">
        <v>0</v>
      </c>
      <c r="AC38" s="964"/>
      <c r="AD38" s="964"/>
      <c r="AE38" s="964"/>
      <c r="AF38" s="964">
        <v>0</v>
      </c>
      <c r="AG38" s="964"/>
      <c r="AH38" s="964">
        <f t="shared" si="8"/>
        <v>0</v>
      </c>
      <c r="AI38" s="966"/>
      <c r="AJ38" s="967">
        <v>0</v>
      </c>
      <c r="AK38" s="967">
        <v>0</v>
      </c>
      <c r="AL38" s="983"/>
      <c r="AM38" s="967"/>
      <c r="AN38" s="967"/>
      <c r="AO38" s="967"/>
      <c r="AP38" s="967"/>
      <c r="AQ38" s="967"/>
      <c r="AR38" s="967"/>
      <c r="AS38" s="967"/>
      <c r="AT38" s="967"/>
      <c r="AU38" s="987"/>
      <c r="AV38" s="968">
        <f t="shared" si="7"/>
        <v>0</v>
      </c>
      <c r="AW38" s="1102"/>
      <c r="AX38" s="970"/>
      <c r="AY38" s="970"/>
      <c r="AZ38" s="970"/>
      <c r="BA38" s="970"/>
      <c r="BB38" s="970"/>
      <c r="BC38" s="970"/>
      <c r="BD38" s="970"/>
      <c r="BE38" s="972"/>
      <c r="BF38" s="1093"/>
      <c r="BG38" s="1094"/>
      <c r="BH38" s="951">
        <v>0</v>
      </c>
      <c r="BI38" s="976">
        <f t="shared" si="3"/>
        <v>0</v>
      </c>
      <c r="BK38" s="1095"/>
      <c r="BL38" s="970"/>
      <c r="BM38" s="1096"/>
      <c r="BN38" s="1084">
        <v>0</v>
      </c>
      <c r="BO38" s="1097"/>
      <c r="BP38" s="1098"/>
      <c r="BQ38" s="972"/>
      <c r="BR38" s="1099"/>
      <c r="BS38" s="1098"/>
      <c r="BT38" s="1100"/>
      <c r="BU38" s="1097"/>
      <c r="BV38" s="1067"/>
      <c r="BW38" s="981">
        <f t="shared" si="4"/>
        <v>0</v>
      </c>
      <c r="BY38" s="1095"/>
      <c r="BZ38" s="970"/>
      <c r="CA38" s="1096"/>
      <c r="CB38" s="1084">
        <v>0</v>
      </c>
      <c r="CC38" s="1097"/>
      <c r="CD38" s="208">
        <v>0</v>
      </c>
      <c r="CE38" s="208">
        <v>0</v>
      </c>
      <c r="CF38" s="208">
        <v>0</v>
      </c>
      <c r="CG38" s="208">
        <v>0</v>
      </c>
      <c r="CH38" s="208">
        <v>0</v>
      </c>
      <c r="CI38" s="979">
        <v>0</v>
      </c>
      <c r="CJ38" s="980">
        <v>0</v>
      </c>
    </row>
    <row r="39" spans="2:88" hidden="1" x14ac:dyDescent="0.3">
      <c r="B39" s="1101"/>
      <c r="C39" s="962" t="s">
        <v>567</v>
      </c>
      <c r="D39" s="990"/>
      <c r="E39" s="964"/>
      <c r="F39" s="964"/>
      <c r="G39" s="964"/>
      <c r="H39" s="964"/>
      <c r="I39" s="964">
        <v>0</v>
      </c>
      <c r="J39" s="964">
        <v>0</v>
      </c>
      <c r="K39" s="964">
        <v>0</v>
      </c>
      <c r="L39" s="964">
        <v>0</v>
      </c>
      <c r="M39" s="964">
        <v>0</v>
      </c>
      <c r="N39" s="964">
        <v>0</v>
      </c>
      <c r="O39" s="964">
        <v>0</v>
      </c>
      <c r="P39" s="964">
        <v>0</v>
      </c>
      <c r="Q39" s="965">
        <v>0</v>
      </c>
      <c r="R39" s="965">
        <v>0</v>
      </c>
      <c r="S39" s="965">
        <v>220500</v>
      </c>
      <c r="T39" s="964">
        <f t="shared" si="6"/>
        <v>220500</v>
      </c>
      <c r="U39" s="962"/>
      <c r="V39" s="964">
        <v>0</v>
      </c>
      <c r="W39" s="982">
        <v>0</v>
      </c>
      <c r="X39" s="982">
        <v>0</v>
      </c>
      <c r="Y39" s="964">
        <v>0</v>
      </c>
      <c r="Z39" s="964">
        <v>0</v>
      </c>
      <c r="AA39" s="964">
        <v>0</v>
      </c>
      <c r="AB39" s="964">
        <v>0</v>
      </c>
      <c r="AC39" s="964"/>
      <c r="AD39" s="964"/>
      <c r="AE39" s="964"/>
      <c r="AF39" s="964">
        <v>0</v>
      </c>
      <c r="AG39" s="964"/>
      <c r="AH39" s="964">
        <f t="shared" si="8"/>
        <v>0</v>
      </c>
      <c r="AI39" s="966"/>
      <c r="AJ39" s="967">
        <v>0</v>
      </c>
      <c r="AK39" s="967">
        <v>0</v>
      </c>
      <c r="AL39" s="983"/>
      <c r="AM39" s="967"/>
      <c r="AN39" s="967"/>
      <c r="AO39" s="967"/>
      <c r="AP39" s="967"/>
      <c r="AQ39" s="967"/>
      <c r="AR39" s="967"/>
      <c r="AS39" s="967"/>
      <c r="AT39" s="967"/>
      <c r="AU39" s="987"/>
      <c r="AV39" s="968">
        <f t="shared" si="7"/>
        <v>0</v>
      </c>
      <c r="AW39" s="1102"/>
      <c r="AX39" s="970"/>
      <c r="AY39" s="970"/>
      <c r="AZ39" s="970"/>
      <c r="BA39" s="970"/>
      <c r="BB39" s="970"/>
      <c r="BC39" s="970"/>
      <c r="BD39" s="970"/>
      <c r="BE39" s="972"/>
      <c r="BF39" s="1093"/>
      <c r="BG39" s="1094"/>
      <c r="BH39" s="951">
        <v>0</v>
      </c>
      <c r="BI39" s="976">
        <f t="shared" si="3"/>
        <v>0</v>
      </c>
      <c r="BK39" s="1095"/>
      <c r="BL39" s="970"/>
      <c r="BM39" s="1096"/>
      <c r="BN39" s="1084">
        <v>0</v>
      </c>
      <c r="BO39" s="1097"/>
      <c r="BP39" s="1098"/>
      <c r="BQ39" s="972"/>
      <c r="BR39" s="1099"/>
      <c r="BS39" s="1098"/>
      <c r="BT39" s="1100"/>
      <c r="BU39" s="1097"/>
      <c r="BV39" s="1067"/>
      <c r="BW39" s="981">
        <f t="shared" si="4"/>
        <v>0</v>
      </c>
      <c r="BY39" s="1095"/>
      <c r="BZ39" s="970"/>
      <c r="CA39" s="1096"/>
      <c r="CB39" s="1084">
        <v>0</v>
      </c>
      <c r="CC39" s="1097"/>
      <c r="CD39" s="208">
        <v>0</v>
      </c>
      <c r="CE39" s="208">
        <v>0</v>
      </c>
      <c r="CF39" s="208">
        <v>0</v>
      </c>
      <c r="CG39" s="208">
        <v>0</v>
      </c>
      <c r="CH39" s="208">
        <v>0</v>
      </c>
      <c r="CI39" s="979">
        <v>0</v>
      </c>
      <c r="CJ39" s="980">
        <v>0</v>
      </c>
    </row>
    <row r="40" spans="2:88" hidden="1" x14ac:dyDescent="0.3">
      <c r="B40" s="1101"/>
      <c r="C40" s="1103" t="s">
        <v>568</v>
      </c>
      <c r="D40" s="1104"/>
      <c r="E40" s="964"/>
      <c r="F40" s="964"/>
      <c r="G40" s="964"/>
      <c r="H40" s="964"/>
      <c r="I40" s="964"/>
      <c r="J40" s="964"/>
      <c r="K40" s="964"/>
      <c r="L40" s="964"/>
      <c r="M40" s="964"/>
      <c r="N40" s="964"/>
      <c r="O40" s="964"/>
      <c r="P40" s="964"/>
      <c r="Q40" s="965"/>
      <c r="R40" s="965"/>
      <c r="S40" s="965"/>
      <c r="T40" s="964">
        <f t="shared" si="6"/>
        <v>0</v>
      </c>
      <c r="U40" s="962"/>
      <c r="V40" s="964">
        <v>0</v>
      </c>
      <c r="W40" s="982">
        <v>0</v>
      </c>
      <c r="X40" s="982">
        <v>0</v>
      </c>
      <c r="Y40" s="964">
        <v>0</v>
      </c>
      <c r="Z40" s="964">
        <v>0</v>
      </c>
      <c r="AA40" s="964">
        <v>0</v>
      </c>
      <c r="AB40" s="964">
        <v>174930</v>
      </c>
      <c r="AC40" s="964">
        <v>0</v>
      </c>
      <c r="AD40" s="964">
        <v>0</v>
      </c>
      <c r="AE40" s="964">
        <v>0</v>
      </c>
      <c r="AF40" s="964">
        <v>0</v>
      </c>
      <c r="AG40" s="964">
        <v>0</v>
      </c>
      <c r="AH40" s="964">
        <f t="shared" si="8"/>
        <v>174930</v>
      </c>
      <c r="AI40" s="966"/>
      <c r="AJ40" s="967">
        <v>0</v>
      </c>
      <c r="AK40" s="967">
        <v>0</v>
      </c>
      <c r="AL40" s="983"/>
      <c r="AM40" s="967"/>
      <c r="AN40" s="967"/>
      <c r="AO40" s="967"/>
      <c r="AP40" s="967"/>
      <c r="AQ40" s="967"/>
      <c r="AR40" s="967"/>
      <c r="AS40" s="967"/>
      <c r="AT40" s="967"/>
      <c r="AU40" s="987"/>
      <c r="AV40" s="968">
        <f t="shared" si="7"/>
        <v>0</v>
      </c>
      <c r="AW40" s="1102"/>
      <c r="AX40" s="970"/>
      <c r="AY40" s="970"/>
      <c r="AZ40" s="970"/>
      <c r="BA40" s="970"/>
      <c r="BB40" s="970"/>
      <c r="BC40" s="970"/>
      <c r="BD40" s="970"/>
      <c r="BE40" s="972"/>
      <c r="BF40" s="1093"/>
      <c r="BG40" s="1094"/>
      <c r="BH40" s="951">
        <v>0</v>
      </c>
      <c r="BI40" s="976">
        <f t="shared" si="3"/>
        <v>0</v>
      </c>
      <c r="BK40" s="1095"/>
      <c r="BL40" s="970"/>
      <c r="BM40" s="1096"/>
      <c r="BN40" s="1084">
        <v>0</v>
      </c>
      <c r="BO40" s="1097"/>
      <c r="BP40" s="1098"/>
      <c r="BQ40" s="972"/>
      <c r="BR40" s="1099"/>
      <c r="BS40" s="1098"/>
      <c r="BT40" s="1100"/>
      <c r="BU40" s="1097"/>
      <c r="BV40" s="1067"/>
      <c r="BW40" s="981">
        <f t="shared" si="4"/>
        <v>0</v>
      </c>
      <c r="BY40" s="1095"/>
      <c r="BZ40" s="970"/>
      <c r="CA40" s="1096"/>
      <c r="CB40" s="1084">
        <v>0</v>
      </c>
      <c r="CC40" s="1097"/>
      <c r="CD40" s="208">
        <v>0</v>
      </c>
      <c r="CE40" s="208">
        <v>0</v>
      </c>
      <c r="CF40" s="208">
        <v>0</v>
      </c>
      <c r="CG40" s="208">
        <v>0</v>
      </c>
      <c r="CH40" s="208">
        <v>0</v>
      </c>
      <c r="CI40" s="979">
        <v>0</v>
      </c>
      <c r="CJ40" s="980">
        <v>0</v>
      </c>
    </row>
    <row r="41" spans="2:88" hidden="1" x14ac:dyDescent="0.3">
      <c r="B41" s="1105"/>
      <c r="C41" s="1106" t="s">
        <v>569</v>
      </c>
      <c r="D41" s="1107"/>
      <c r="E41" s="1108"/>
      <c r="F41" s="1108"/>
      <c r="G41" s="1108"/>
      <c r="H41" s="1108"/>
      <c r="I41" s="1108"/>
      <c r="J41" s="1108"/>
      <c r="K41" s="1108"/>
      <c r="L41" s="1108"/>
      <c r="M41" s="1108"/>
      <c r="N41" s="1108"/>
      <c r="O41" s="1108"/>
      <c r="P41" s="1108"/>
      <c r="Q41" s="1109"/>
      <c r="R41" s="1109"/>
      <c r="S41" s="1109"/>
      <c r="T41" s="1108"/>
      <c r="U41" s="1110"/>
      <c r="V41" s="1108"/>
      <c r="W41" s="1111"/>
      <c r="X41" s="1111"/>
      <c r="Y41" s="1108"/>
      <c r="Z41" s="1108"/>
      <c r="AA41" s="1108"/>
      <c r="AB41" s="1108"/>
      <c r="AC41" s="1108"/>
      <c r="AD41" s="1108"/>
      <c r="AE41" s="1108"/>
      <c r="AF41" s="1108"/>
      <c r="AG41" s="1108"/>
      <c r="AH41" s="1108"/>
      <c r="AI41" s="1112"/>
      <c r="AJ41" s="1113"/>
      <c r="AK41" s="1113"/>
      <c r="AL41" s="1114"/>
      <c r="AM41" s="1113"/>
      <c r="AN41" s="1113"/>
      <c r="AO41" s="1113"/>
      <c r="AP41" s="1113"/>
      <c r="AQ41" s="1113"/>
      <c r="AR41" s="1113"/>
      <c r="AS41" s="1113"/>
      <c r="AT41" s="1113"/>
      <c r="AU41" s="1115"/>
      <c r="AV41" s="1116"/>
      <c r="AW41" s="1117"/>
      <c r="AX41" s="1118"/>
      <c r="AY41" s="1118"/>
      <c r="AZ41" s="1118"/>
      <c r="BA41" s="1118"/>
      <c r="BB41" s="1118"/>
      <c r="BC41" s="1118"/>
      <c r="BD41" s="1118"/>
      <c r="BE41" s="1119"/>
      <c r="BF41" s="1120"/>
      <c r="BG41" s="1121"/>
      <c r="BH41" s="951">
        <v>0</v>
      </c>
      <c r="BI41" s="976">
        <f t="shared" si="3"/>
        <v>0</v>
      </c>
      <c r="BK41" s="1095"/>
      <c r="BL41" s="970"/>
      <c r="BM41" s="1096"/>
      <c r="BN41" s="1084">
        <v>0</v>
      </c>
      <c r="BO41" s="1097"/>
      <c r="BP41" s="1098"/>
      <c r="BQ41" s="972"/>
      <c r="BR41" s="1099"/>
      <c r="BS41" s="1098"/>
      <c r="BT41" s="1100"/>
      <c r="BU41" s="1097"/>
      <c r="BV41" s="1067"/>
      <c r="BW41" s="981">
        <f t="shared" si="4"/>
        <v>0</v>
      </c>
      <c r="BY41" s="1095"/>
      <c r="BZ41" s="970"/>
      <c r="CA41" s="1096"/>
      <c r="CB41" s="1084">
        <v>0</v>
      </c>
      <c r="CC41" s="1097"/>
      <c r="CD41" s="208">
        <v>0</v>
      </c>
      <c r="CE41" s="208">
        <v>0</v>
      </c>
      <c r="CF41" s="208">
        <v>0</v>
      </c>
      <c r="CG41" s="208">
        <v>0</v>
      </c>
      <c r="CH41" s="208">
        <v>0</v>
      </c>
      <c r="CI41" s="979">
        <v>0</v>
      </c>
      <c r="CJ41" s="980">
        <v>0</v>
      </c>
    </row>
    <row r="42" spans="2:88" hidden="1" x14ac:dyDescent="0.3">
      <c r="B42" s="1101"/>
      <c r="C42" s="1103" t="s">
        <v>570</v>
      </c>
      <c r="D42" s="1104"/>
      <c r="E42" s="964"/>
      <c r="F42" s="964"/>
      <c r="G42" s="964"/>
      <c r="H42" s="964"/>
      <c r="I42" s="964"/>
      <c r="J42" s="964"/>
      <c r="K42" s="964"/>
      <c r="L42" s="964"/>
      <c r="M42" s="964"/>
      <c r="N42" s="964"/>
      <c r="O42" s="964"/>
      <c r="P42" s="964"/>
      <c r="Q42" s="965"/>
      <c r="R42" s="965"/>
      <c r="S42" s="965"/>
      <c r="T42" s="964"/>
      <c r="U42" s="962"/>
      <c r="V42" s="964"/>
      <c r="W42" s="982"/>
      <c r="X42" s="982"/>
      <c r="Y42" s="964"/>
      <c r="Z42" s="964"/>
      <c r="AA42" s="964"/>
      <c r="AB42" s="964"/>
      <c r="AC42" s="964"/>
      <c r="AD42" s="964"/>
      <c r="AE42" s="964"/>
      <c r="AF42" s="964"/>
      <c r="AG42" s="964"/>
      <c r="AH42" s="964"/>
      <c r="AI42" s="966"/>
      <c r="AJ42" s="967"/>
      <c r="AK42" s="967"/>
      <c r="AL42" s="983"/>
      <c r="AM42" s="967"/>
      <c r="AN42" s="967"/>
      <c r="AO42" s="967"/>
      <c r="AP42" s="967"/>
      <c r="AQ42" s="967"/>
      <c r="AR42" s="967"/>
      <c r="AS42" s="967"/>
      <c r="AT42" s="967"/>
      <c r="AU42" s="987"/>
      <c r="AV42" s="968"/>
      <c r="AW42" s="1102"/>
      <c r="AX42" s="970"/>
      <c r="AY42" s="970"/>
      <c r="AZ42" s="970"/>
      <c r="BA42" s="970"/>
      <c r="BB42" s="970"/>
      <c r="BC42" s="970"/>
      <c r="BD42" s="970"/>
      <c r="BE42" s="972"/>
      <c r="BF42" s="1093"/>
      <c r="BG42" s="1094"/>
      <c r="BH42" s="951">
        <v>0</v>
      </c>
      <c r="BI42" s="976">
        <f t="shared" si="3"/>
        <v>0</v>
      </c>
      <c r="BJ42" s="991"/>
      <c r="BK42" s="1095"/>
      <c r="BL42" s="970"/>
      <c r="BM42" s="1096"/>
      <c r="BN42" s="1122">
        <v>0</v>
      </c>
      <c r="BO42" s="1097"/>
      <c r="BP42" s="1098"/>
      <c r="BQ42" s="972"/>
      <c r="BR42" s="1099"/>
      <c r="BS42" s="1098"/>
      <c r="BT42" s="1100"/>
      <c r="BU42" s="1097"/>
      <c r="BV42" s="1067"/>
      <c r="BW42" s="981">
        <f t="shared" si="4"/>
        <v>0</v>
      </c>
      <c r="BY42" s="1095"/>
      <c r="BZ42" s="970"/>
      <c r="CA42" s="1096"/>
      <c r="CB42" s="1122">
        <v>0</v>
      </c>
      <c r="CC42" s="1097"/>
      <c r="CD42" s="208">
        <v>0</v>
      </c>
      <c r="CE42" s="208">
        <v>0</v>
      </c>
      <c r="CF42" s="208">
        <v>0</v>
      </c>
      <c r="CG42" s="208">
        <v>0</v>
      </c>
      <c r="CH42" s="208">
        <v>0</v>
      </c>
      <c r="CI42" s="979">
        <v>0</v>
      </c>
      <c r="CJ42" s="980">
        <v>0</v>
      </c>
    </row>
    <row r="43" spans="2:88" x14ac:dyDescent="0.3">
      <c r="B43" s="1123"/>
      <c r="C43" s="1124"/>
      <c r="D43" s="1125"/>
      <c r="E43" s="1126"/>
      <c r="F43" s="1126"/>
      <c r="G43" s="1126"/>
      <c r="H43" s="1126"/>
      <c r="I43" s="1126"/>
      <c r="J43" s="1126"/>
      <c r="K43" s="1126"/>
      <c r="L43" s="1126"/>
      <c r="M43" s="1126"/>
      <c r="N43" s="1126"/>
      <c r="O43" s="1126"/>
      <c r="P43" s="1126"/>
      <c r="Q43" s="1127"/>
      <c r="R43" s="1127"/>
      <c r="S43" s="1127"/>
      <c r="T43" s="1126"/>
      <c r="U43" s="1128"/>
      <c r="V43" s="1126"/>
      <c r="W43" s="1129"/>
      <c r="X43" s="1129"/>
      <c r="Y43" s="1126"/>
      <c r="Z43" s="1126"/>
      <c r="AA43" s="1126"/>
      <c r="AB43" s="1126"/>
      <c r="AC43" s="1126"/>
      <c r="AD43" s="1126"/>
      <c r="AE43" s="1126"/>
      <c r="AF43" s="1126"/>
      <c r="AG43" s="1126"/>
      <c r="AH43" s="1126"/>
      <c r="AI43" s="1130"/>
      <c r="AJ43" s="1131"/>
      <c r="AK43" s="1131"/>
      <c r="AL43" s="1132"/>
      <c r="AM43" s="1131"/>
      <c r="AN43" s="1131"/>
      <c r="AO43" s="1131"/>
      <c r="AP43" s="1131"/>
      <c r="AQ43" s="1131"/>
      <c r="AR43" s="1131"/>
      <c r="AS43" s="1131"/>
      <c r="AT43" s="1131"/>
      <c r="AU43" s="1133"/>
      <c r="AV43" s="1134"/>
      <c r="AW43" s="1135"/>
      <c r="AX43" s="1136"/>
      <c r="AY43" s="1136"/>
      <c r="AZ43" s="1136"/>
      <c r="BA43" s="1136"/>
      <c r="BB43" s="1136"/>
      <c r="BC43" s="1136"/>
      <c r="BD43" s="1136"/>
      <c r="BE43" s="1137"/>
      <c r="BF43" s="1138"/>
      <c r="BG43" s="1139"/>
      <c r="BH43" s="951"/>
      <c r="BI43" s="1140"/>
      <c r="BK43" s="1141"/>
      <c r="BL43" s="947"/>
      <c r="BM43" s="1142"/>
      <c r="BN43" s="1032"/>
      <c r="BO43" s="1143"/>
      <c r="BP43" s="1144"/>
      <c r="BQ43" s="949"/>
      <c r="BR43" s="1145"/>
      <c r="BS43" s="1144"/>
      <c r="BT43" s="1033"/>
      <c r="BU43" s="1143"/>
      <c r="BV43" s="1067"/>
      <c r="BW43" s="981">
        <f t="shared" si="4"/>
        <v>0</v>
      </c>
      <c r="BY43" s="1146">
        <v>0</v>
      </c>
      <c r="BZ43" s="948">
        <v>0</v>
      </c>
      <c r="CA43" s="1142">
        <v>0</v>
      </c>
      <c r="CB43" s="1032">
        <v>0</v>
      </c>
      <c r="CC43" s="1076">
        <v>0</v>
      </c>
      <c r="CD43" s="208">
        <v>0</v>
      </c>
      <c r="CE43" s="208">
        <v>0</v>
      </c>
      <c r="CF43" s="208">
        <v>0</v>
      </c>
      <c r="CG43" s="208">
        <v>0</v>
      </c>
      <c r="CH43" s="208">
        <v>0</v>
      </c>
      <c r="CI43" s="979">
        <v>0</v>
      </c>
      <c r="CJ43" s="980">
        <v>0</v>
      </c>
    </row>
    <row r="44" spans="2:88" x14ac:dyDescent="0.3">
      <c r="B44" s="1105"/>
      <c r="C44" s="1106" t="s">
        <v>571</v>
      </c>
      <c r="D44" s="1107"/>
      <c r="E44" s="1108"/>
      <c r="F44" s="1108"/>
      <c r="G44" s="1108"/>
      <c r="H44" s="1108"/>
      <c r="I44" s="1108"/>
      <c r="J44" s="1108"/>
      <c r="K44" s="1108"/>
      <c r="L44" s="1108"/>
      <c r="M44" s="1108"/>
      <c r="N44" s="1108"/>
      <c r="O44" s="1108"/>
      <c r="P44" s="1108"/>
      <c r="Q44" s="1109"/>
      <c r="R44" s="1109"/>
      <c r="S44" s="1109"/>
      <c r="T44" s="1108"/>
      <c r="U44" s="1110"/>
      <c r="V44" s="1108"/>
      <c r="W44" s="1111"/>
      <c r="X44" s="1111"/>
      <c r="Y44" s="1108"/>
      <c r="Z44" s="1108"/>
      <c r="AA44" s="1108"/>
      <c r="AB44" s="1108"/>
      <c r="AC44" s="1108"/>
      <c r="AD44" s="1108"/>
      <c r="AE44" s="1108"/>
      <c r="AF44" s="1108"/>
      <c r="AG44" s="1108"/>
      <c r="AH44" s="1108"/>
      <c r="AI44" s="1112"/>
      <c r="AJ44" s="1113"/>
      <c r="AK44" s="1113"/>
      <c r="AL44" s="1114"/>
      <c r="AM44" s="1113"/>
      <c r="AN44" s="1113"/>
      <c r="AO44" s="1113"/>
      <c r="AP44" s="1113"/>
      <c r="AQ44" s="1113"/>
      <c r="AR44" s="1113"/>
      <c r="AS44" s="1113"/>
      <c r="AT44" s="1113"/>
      <c r="AU44" s="1115"/>
      <c r="AV44" s="1116"/>
      <c r="AW44" s="1117"/>
      <c r="AX44" s="1118"/>
      <c r="AY44" s="1118"/>
      <c r="AZ44" s="1118"/>
      <c r="BA44" s="1118"/>
      <c r="BB44" s="1118"/>
      <c r="BC44" s="1118"/>
      <c r="BD44" s="1118"/>
      <c r="BE44" s="1119"/>
      <c r="BF44" s="1120"/>
      <c r="BG44" s="1121"/>
      <c r="BH44" s="951"/>
      <c r="BI44" s="1147"/>
      <c r="BK44" s="1095"/>
      <c r="BL44" s="970"/>
      <c r="BM44" s="1096"/>
      <c r="BN44" s="1084"/>
      <c r="BO44" s="1097"/>
      <c r="BP44" s="1098"/>
      <c r="BQ44" s="972"/>
      <c r="BR44" s="1099"/>
      <c r="BS44" s="1098"/>
      <c r="BT44" s="1100"/>
      <c r="BU44" s="1097"/>
      <c r="BV44" s="1148"/>
      <c r="BW44" s="981">
        <f t="shared" si="4"/>
        <v>0</v>
      </c>
      <c r="BY44" s="1149">
        <v>263150</v>
      </c>
      <c r="BZ44" s="264">
        <v>13000</v>
      </c>
      <c r="CA44" s="1096">
        <v>147000</v>
      </c>
      <c r="CB44" s="1025">
        <v>49000</v>
      </c>
      <c r="CC44" s="1075">
        <f>70000</f>
        <v>70000</v>
      </c>
      <c r="CD44" s="208">
        <v>23000</v>
      </c>
      <c r="CE44" s="208">
        <v>115000</v>
      </c>
      <c r="CF44" s="208">
        <v>69000</v>
      </c>
      <c r="CG44" s="208">
        <v>0</v>
      </c>
      <c r="CH44" s="208">
        <v>0</v>
      </c>
      <c r="CI44" s="979">
        <v>0</v>
      </c>
      <c r="CJ44" s="980">
        <v>0</v>
      </c>
    </row>
    <row r="45" spans="2:88" x14ac:dyDescent="0.3">
      <c r="B45" s="1105"/>
      <c r="C45" s="1106" t="s">
        <v>572</v>
      </c>
      <c r="D45" s="1107"/>
      <c r="E45" s="1108"/>
      <c r="F45" s="1108"/>
      <c r="G45" s="1108"/>
      <c r="H45" s="1108"/>
      <c r="I45" s="1108"/>
      <c r="J45" s="1108"/>
      <c r="K45" s="1108"/>
      <c r="L45" s="1108"/>
      <c r="M45" s="1108"/>
      <c r="N45" s="1108"/>
      <c r="O45" s="1108"/>
      <c r="P45" s="1108"/>
      <c r="Q45" s="1109"/>
      <c r="R45" s="1109"/>
      <c r="S45" s="1109"/>
      <c r="T45" s="1108"/>
      <c r="U45" s="1110"/>
      <c r="V45" s="1108"/>
      <c r="W45" s="1111"/>
      <c r="X45" s="1111"/>
      <c r="Y45" s="1108"/>
      <c r="Z45" s="1108"/>
      <c r="AA45" s="1108"/>
      <c r="AB45" s="1108"/>
      <c r="AC45" s="1108"/>
      <c r="AD45" s="1108"/>
      <c r="AE45" s="1108"/>
      <c r="AF45" s="1108"/>
      <c r="AG45" s="1108"/>
      <c r="AH45" s="1108"/>
      <c r="AI45" s="1112"/>
      <c r="AJ45" s="1113"/>
      <c r="AK45" s="1113"/>
      <c r="AL45" s="1114"/>
      <c r="AM45" s="1113"/>
      <c r="AN45" s="1113"/>
      <c r="AO45" s="1113"/>
      <c r="AP45" s="1113"/>
      <c r="AQ45" s="1113"/>
      <c r="AR45" s="1113"/>
      <c r="AS45" s="1113"/>
      <c r="AT45" s="1113"/>
      <c r="AU45" s="1115"/>
      <c r="AV45" s="1116"/>
      <c r="AW45" s="1117"/>
      <c r="AX45" s="1118"/>
      <c r="AY45" s="1118"/>
      <c r="AZ45" s="1118"/>
      <c r="BA45" s="1118"/>
      <c r="BB45" s="1118"/>
      <c r="BC45" s="1118"/>
      <c r="BD45" s="1118"/>
      <c r="BE45" s="1119"/>
      <c r="BF45" s="1120"/>
      <c r="BG45" s="1121"/>
      <c r="BH45" s="951"/>
      <c r="BI45" s="1147"/>
      <c r="BK45" s="1095"/>
      <c r="BL45" s="970"/>
      <c r="BM45" s="1096"/>
      <c r="BN45" s="1084"/>
      <c r="BO45" s="1097"/>
      <c r="BP45" s="1098"/>
      <c r="BQ45" s="972"/>
      <c r="BR45" s="1099"/>
      <c r="BS45" s="1098"/>
      <c r="BT45" s="1100"/>
      <c r="BU45" s="1097"/>
      <c r="BV45" s="1148"/>
      <c r="BW45" s="981">
        <f t="shared" si="4"/>
        <v>0</v>
      </c>
      <c r="BY45" s="1150">
        <v>0</v>
      </c>
      <c r="BZ45" s="1076">
        <v>0</v>
      </c>
      <c r="CA45" s="1076">
        <v>0</v>
      </c>
      <c r="CB45" s="1076">
        <v>0</v>
      </c>
      <c r="CC45" s="1075">
        <v>32400</v>
      </c>
      <c r="CD45" s="208">
        <v>0</v>
      </c>
      <c r="CE45" s="208">
        <v>0</v>
      </c>
      <c r="CF45" s="208">
        <v>0</v>
      </c>
      <c r="CG45" s="208">
        <v>0</v>
      </c>
      <c r="CH45" s="208">
        <v>0</v>
      </c>
      <c r="CI45" s="979">
        <v>0</v>
      </c>
      <c r="CJ45" s="980">
        <v>0</v>
      </c>
    </row>
    <row r="46" spans="2:88" x14ac:dyDescent="0.3">
      <c r="B46" s="1105"/>
      <c r="C46" s="1106" t="s">
        <v>153</v>
      </c>
      <c r="D46" s="1107"/>
      <c r="E46" s="1108"/>
      <c r="F46" s="1108"/>
      <c r="G46" s="1108"/>
      <c r="H46" s="1108"/>
      <c r="I46" s="1108"/>
      <c r="J46" s="1108"/>
      <c r="K46" s="1108"/>
      <c r="L46" s="1108"/>
      <c r="M46" s="1108"/>
      <c r="N46" s="1108"/>
      <c r="O46" s="1108"/>
      <c r="P46" s="1108"/>
      <c r="Q46" s="1109"/>
      <c r="R46" s="1109"/>
      <c r="S46" s="1109"/>
      <c r="T46" s="1108"/>
      <c r="U46" s="1110"/>
      <c r="V46" s="1108"/>
      <c r="W46" s="1111"/>
      <c r="X46" s="1111"/>
      <c r="Y46" s="1108"/>
      <c r="Z46" s="1108"/>
      <c r="AA46" s="1108"/>
      <c r="AB46" s="1108"/>
      <c r="AC46" s="1108"/>
      <c r="AD46" s="1108"/>
      <c r="AE46" s="1108"/>
      <c r="AF46" s="1108"/>
      <c r="AG46" s="1108"/>
      <c r="AH46" s="1108"/>
      <c r="AI46" s="1112"/>
      <c r="AJ46" s="1113"/>
      <c r="AK46" s="1113"/>
      <c r="AL46" s="1114"/>
      <c r="AM46" s="1113"/>
      <c r="AN46" s="1113"/>
      <c r="AO46" s="1113"/>
      <c r="AP46" s="1113"/>
      <c r="AQ46" s="1113"/>
      <c r="AR46" s="1113"/>
      <c r="AS46" s="1113"/>
      <c r="AT46" s="1113"/>
      <c r="AU46" s="1115"/>
      <c r="AV46" s="1116"/>
      <c r="AW46" s="1117"/>
      <c r="AX46" s="1118"/>
      <c r="AY46" s="1118"/>
      <c r="AZ46" s="1118"/>
      <c r="BA46" s="1118"/>
      <c r="BB46" s="1118"/>
      <c r="BC46" s="1118"/>
      <c r="BD46" s="1118"/>
      <c r="BE46" s="1119"/>
      <c r="BF46" s="1120"/>
      <c r="BG46" s="1121"/>
      <c r="BH46" s="951"/>
      <c r="BI46" s="1147"/>
      <c r="BK46" s="1095"/>
      <c r="BL46" s="970"/>
      <c r="BM46" s="1096"/>
      <c r="BN46" s="1084"/>
      <c r="BO46" s="1097"/>
      <c r="BP46" s="1098"/>
      <c r="BQ46" s="972"/>
      <c r="BR46" s="1099"/>
      <c r="BS46" s="1098"/>
      <c r="BT46" s="1100"/>
      <c r="BU46" s="1097"/>
      <c r="BV46" s="1148"/>
      <c r="BW46" s="981">
        <f t="shared" si="4"/>
        <v>0</v>
      </c>
      <c r="BY46" s="1150">
        <v>0</v>
      </c>
      <c r="BZ46" s="1076">
        <v>0</v>
      </c>
      <c r="CA46" s="1076">
        <v>0</v>
      </c>
      <c r="CB46" s="1076">
        <v>0</v>
      </c>
      <c r="CC46" s="1075">
        <v>91304</v>
      </c>
      <c r="CD46" s="208">
        <v>0</v>
      </c>
      <c r="CE46" s="208">
        <v>0</v>
      </c>
      <c r="CF46" s="208">
        <v>0</v>
      </c>
      <c r="CG46" s="208">
        <v>0</v>
      </c>
      <c r="CH46" s="208">
        <v>0</v>
      </c>
      <c r="CI46" s="979">
        <v>0</v>
      </c>
      <c r="CJ46" s="980">
        <v>0</v>
      </c>
    </row>
    <row r="47" spans="2:88" x14ac:dyDescent="0.3">
      <c r="B47" s="1105"/>
      <c r="C47" s="1106"/>
      <c r="D47" s="1107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9"/>
      <c r="R47" s="1109"/>
      <c r="S47" s="1109"/>
      <c r="T47" s="1108"/>
      <c r="U47" s="1110"/>
      <c r="V47" s="1108"/>
      <c r="W47" s="1111"/>
      <c r="X47" s="1111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12"/>
      <c r="AJ47" s="1113"/>
      <c r="AK47" s="1113"/>
      <c r="AL47" s="1114"/>
      <c r="AM47" s="1113"/>
      <c r="AN47" s="1113"/>
      <c r="AO47" s="1113"/>
      <c r="AP47" s="1113"/>
      <c r="AQ47" s="1113"/>
      <c r="AR47" s="1113"/>
      <c r="AS47" s="1113"/>
      <c r="AT47" s="1113"/>
      <c r="AU47" s="1115"/>
      <c r="AV47" s="1116"/>
      <c r="AW47" s="1117"/>
      <c r="AX47" s="1118"/>
      <c r="AY47" s="1118"/>
      <c r="AZ47" s="1118"/>
      <c r="BA47" s="1118"/>
      <c r="BB47" s="1118"/>
      <c r="BC47" s="1118"/>
      <c r="BD47" s="1118"/>
      <c r="BE47" s="1119"/>
      <c r="BF47" s="1120"/>
      <c r="BG47" s="1121"/>
      <c r="BH47" s="951"/>
      <c r="BI47" s="1147"/>
      <c r="BK47" s="1095"/>
      <c r="BL47" s="970"/>
      <c r="BM47" s="1096"/>
      <c r="BN47" s="1084">
        <v>0</v>
      </c>
      <c r="BO47" s="1097"/>
      <c r="BP47" s="1098"/>
      <c r="BQ47" s="972"/>
      <c r="BR47" s="1099"/>
      <c r="BS47" s="1098"/>
      <c r="BT47" s="1100"/>
      <c r="BU47" s="1097"/>
      <c r="BV47" s="1148"/>
      <c r="BW47" s="981">
        <f t="shared" si="4"/>
        <v>0</v>
      </c>
      <c r="BY47" s="1150">
        <v>0</v>
      </c>
      <c r="BZ47" s="1076">
        <v>0</v>
      </c>
      <c r="CA47" s="1076">
        <v>0</v>
      </c>
      <c r="CB47" s="1076">
        <v>0</v>
      </c>
      <c r="CC47" s="1076">
        <v>0</v>
      </c>
      <c r="CD47" s="208">
        <v>0</v>
      </c>
      <c r="CE47" s="208">
        <v>0</v>
      </c>
      <c r="CF47" s="208">
        <v>0</v>
      </c>
      <c r="CG47" s="208">
        <v>0</v>
      </c>
      <c r="CH47" s="208">
        <v>0</v>
      </c>
      <c r="CI47" s="979">
        <v>0</v>
      </c>
      <c r="CJ47" s="980">
        <v>0</v>
      </c>
    </row>
    <row r="48" spans="2:88" x14ac:dyDescent="0.3">
      <c r="B48" s="1151"/>
      <c r="C48" s="1152"/>
      <c r="D48" s="1153"/>
      <c r="E48" s="1154">
        <v>0</v>
      </c>
      <c r="F48" s="1154">
        <v>0</v>
      </c>
      <c r="G48" s="1154">
        <v>0</v>
      </c>
      <c r="H48" s="1154"/>
      <c r="I48" s="1154">
        <v>0</v>
      </c>
      <c r="J48" s="1154">
        <v>0</v>
      </c>
      <c r="K48" s="1154">
        <v>0</v>
      </c>
      <c r="L48" s="1154"/>
      <c r="M48" s="1154"/>
      <c r="N48" s="1154"/>
      <c r="O48" s="1154"/>
      <c r="P48" s="1154"/>
      <c r="Q48" s="1154"/>
      <c r="R48" s="1154"/>
      <c r="S48" s="1154"/>
      <c r="T48" s="1154">
        <f>SUM(E48:S48)</f>
        <v>0</v>
      </c>
      <c r="U48" s="1155"/>
      <c r="V48" s="1154"/>
      <c r="W48" s="1155"/>
      <c r="X48" s="1155"/>
      <c r="Y48" s="1155"/>
      <c r="Z48" s="1154"/>
      <c r="AA48" s="1155"/>
      <c r="AB48" s="1154"/>
      <c r="AC48" s="1154"/>
      <c r="AD48" s="1154"/>
      <c r="AE48" s="1154"/>
      <c r="AF48" s="1154"/>
      <c r="AG48" s="1155"/>
      <c r="AH48" s="1154">
        <f t="shared" si="8"/>
        <v>0</v>
      </c>
      <c r="AI48" s="1156"/>
      <c r="AJ48" s="1157"/>
      <c r="AK48" s="1158"/>
      <c r="AL48" s="1158"/>
      <c r="AM48" s="1158"/>
      <c r="AN48" s="1157"/>
      <c r="AO48" s="1158"/>
      <c r="AP48" s="1157"/>
      <c r="AQ48" s="1157"/>
      <c r="AR48" s="1157"/>
      <c r="AS48" s="1157"/>
      <c r="AT48" s="1157"/>
      <c r="AU48" s="1159"/>
      <c r="AV48" s="1160">
        <f>SUM(AJ48:AU48)</f>
        <v>0</v>
      </c>
      <c r="AW48" s="1161"/>
      <c r="AX48" s="1162"/>
      <c r="AY48" s="1162"/>
      <c r="AZ48" s="1162"/>
      <c r="BA48" s="1162"/>
      <c r="BB48" s="1162"/>
      <c r="BC48" s="1162"/>
      <c r="BD48" s="1162"/>
      <c r="BE48" s="1163"/>
      <c r="BF48" s="1164"/>
      <c r="BG48" s="1165"/>
      <c r="BH48" s="1166"/>
      <c r="BI48" s="1167"/>
      <c r="BK48" s="1168"/>
      <c r="BL48" s="1162"/>
      <c r="BM48" s="1169"/>
      <c r="BN48" s="1170">
        <v>0</v>
      </c>
      <c r="BO48" s="1171"/>
      <c r="BP48" s="1172"/>
      <c r="BQ48" s="1163"/>
      <c r="BR48" s="1173"/>
      <c r="BS48" s="1172"/>
      <c r="BT48" s="1174"/>
      <c r="BU48" s="1171"/>
      <c r="BV48" s="1175"/>
      <c r="BW48" s="1176">
        <f t="shared" si="4"/>
        <v>0</v>
      </c>
      <c r="BY48" s="1177">
        <v>0</v>
      </c>
      <c r="BZ48" s="1076">
        <v>0</v>
      </c>
      <c r="CA48" s="1076">
        <v>0</v>
      </c>
      <c r="CB48" s="1076">
        <v>0</v>
      </c>
      <c r="CC48" s="1076">
        <v>0</v>
      </c>
      <c r="CD48" s="208">
        <v>0</v>
      </c>
      <c r="CE48" s="208">
        <v>0</v>
      </c>
      <c r="CF48" s="208">
        <v>0</v>
      </c>
      <c r="CG48" s="208">
        <v>0</v>
      </c>
      <c r="CH48" s="208">
        <v>0</v>
      </c>
      <c r="CI48" s="979">
        <v>0</v>
      </c>
      <c r="CJ48" s="980">
        <v>0</v>
      </c>
    </row>
    <row r="49" spans="2:88" s="1193" customFormat="1" x14ac:dyDescent="0.3">
      <c r="B49" s="6878" t="s">
        <v>573</v>
      </c>
      <c r="C49" s="6879"/>
      <c r="D49" s="1178"/>
      <c r="E49" s="1178">
        <f>SUM(E3:E35)</f>
        <v>0</v>
      </c>
      <c r="F49" s="1178">
        <f>SUM(F3:F35)</f>
        <v>0</v>
      </c>
      <c r="G49" s="1178">
        <f>SUM(G3:G35)</f>
        <v>0</v>
      </c>
      <c r="H49" s="1178"/>
      <c r="I49" s="1178">
        <f t="shared" ref="I49:T49" si="9">SUM(I3:I48)</f>
        <v>137445</v>
      </c>
      <c r="J49" s="1178">
        <f t="shared" si="9"/>
        <v>536157</v>
      </c>
      <c r="K49" s="1178">
        <f t="shared" si="9"/>
        <v>43316</v>
      </c>
      <c r="L49" s="1178">
        <f t="shared" si="9"/>
        <v>602654</v>
      </c>
      <c r="M49" s="1178">
        <f t="shared" si="9"/>
        <v>597960</v>
      </c>
      <c r="N49" s="1178">
        <f t="shared" si="9"/>
        <v>320705</v>
      </c>
      <c r="O49" s="1178">
        <f t="shared" si="9"/>
        <v>309484</v>
      </c>
      <c r="P49" s="1178">
        <f t="shared" si="9"/>
        <v>0</v>
      </c>
      <c r="Q49" s="1178">
        <f t="shared" si="9"/>
        <v>346500</v>
      </c>
      <c r="R49" s="1178">
        <f t="shared" si="9"/>
        <v>673364</v>
      </c>
      <c r="S49" s="1178">
        <f t="shared" si="9"/>
        <v>1007426</v>
      </c>
      <c r="T49" s="1178">
        <f t="shared" si="9"/>
        <v>4632488</v>
      </c>
      <c r="U49" s="1179"/>
      <c r="V49" s="1179">
        <f t="shared" ref="V49:AH49" si="10">SUM(V3:V48)</f>
        <v>599319</v>
      </c>
      <c r="W49" s="1179">
        <f t="shared" si="10"/>
        <v>2980525</v>
      </c>
      <c r="X49" s="1179">
        <f t="shared" si="10"/>
        <v>892099</v>
      </c>
      <c r="Y49" s="1179">
        <f t="shared" si="10"/>
        <v>853374</v>
      </c>
      <c r="Z49" s="1179">
        <f t="shared" si="10"/>
        <v>1003917</v>
      </c>
      <c r="AA49" s="1179">
        <f t="shared" si="10"/>
        <v>442670</v>
      </c>
      <c r="AB49" s="1179">
        <f t="shared" si="10"/>
        <v>1482070</v>
      </c>
      <c r="AC49" s="1179">
        <f t="shared" si="10"/>
        <v>1198235</v>
      </c>
      <c r="AD49" s="1179">
        <f t="shared" si="10"/>
        <v>781849</v>
      </c>
      <c r="AE49" s="1179">
        <f t="shared" si="10"/>
        <v>646079</v>
      </c>
      <c r="AF49" s="1179">
        <f t="shared" si="10"/>
        <v>522120</v>
      </c>
      <c r="AG49" s="1179">
        <f t="shared" si="10"/>
        <v>846341</v>
      </c>
      <c r="AH49" s="1179">
        <f t="shared" si="10"/>
        <v>12248598</v>
      </c>
      <c r="AI49" s="1180"/>
      <c r="AJ49" s="1181">
        <f t="shared" ref="AJ49:BH49" si="11">SUM(AJ3:AJ48)</f>
        <v>300271</v>
      </c>
      <c r="AK49" s="1181">
        <f t="shared" si="11"/>
        <v>848221</v>
      </c>
      <c r="AL49" s="1181">
        <f t="shared" si="11"/>
        <v>406541</v>
      </c>
      <c r="AM49" s="1181">
        <f t="shared" si="11"/>
        <v>205206</v>
      </c>
      <c r="AN49" s="1181">
        <f t="shared" si="11"/>
        <v>1254290</v>
      </c>
      <c r="AO49" s="1181">
        <f t="shared" si="11"/>
        <v>0</v>
      </c>
      <c r="AP49" s="1181">
        <f t="shared" si="11"/>
        <v>91630</v>
      </c>
      <c r="AQ49" s="1181">
        <f t="shared" si="11"/>
        <v>76760</v>
      </c>
      <c r="AR49" s="1181">
        <f t="shared" si="11"/>
        <v>0</v>
      </c>
      <c r="AS49" s="1181">
        <f t="shared" si="11"/>
        <v>0</v>
      </c>
      <c r="AT49" s="1181">
        <f t="shared" si="11"/>
        <v>234222</v>
      </c>
      <c r="AU49" s="1182">
        <f t="shared" si="11"/>
        <v>741961</v>
      </c>
      <c r="AV49" s="1183">
        <f t="shared" si="11"/>
        <v>4159102</v>
      </c>
      <c r="AW49" s="1184">
        <f t="shared" si="11"/>
        <v>0</v>
      </c>
      <c r="AX49" s="1185">
        <f t="shared" si="11"/>
        <v>609789</v>
      </c>
      <c r="AY49" s="1185">
        <f t="shared" si="11"/>
        <v>323373</v>
      </c>
      <c r="AZ49" s="1185">
        <f t="shared" si="11"/>
        <v>455830</v>
      </c>
      <c r="BA49" s="1185">
        <f t="shared" si="11"/>
        <v>655889</v>
      </c>
      <c r="BB49" s="1185">
        <f t="shared" si="11"/>
        <v>1931996.5</v>
      </c>
      <c r="BC49" s="1185">
        <f t="shared" si="11"/>
        <v>1766556</v>
      </c>
      <c r="BD49" s="1185">
        <f t="shared" si="11"/>
        <v>0</v>
      </c>
      <c r="BE49" s="1185">
        <f t="shared" si="11"/>
        <v>0</v>
      </c>
      <c r="BF49" s="1186">
        <f t="shared" si="11"/>
        <v>1230060</v>
      </c>
      <c r="BG49" s="1185">
        <f t="shared" si="11"/>
        <v>4171425</v>
      </c>
      <c r="BH49" s="1187">
        <f t="shared" si="11"/>
        <v>1818552.48</v>
      </c>
      <c r="BI49" s="1188">
        <f>SUM(BI3:BI25)</f>
        <v>12963470.98</v>
      </c>
      <c r="BJ49" s="1189"/>
      <c r="BK49" s="1183">
        <f>SUM(BK3:BK42)</f>
        <v>2829884</v>
      </c>
      <c r="BL49" s="1185">
        <f>SUM(BL3:BL42)</f>
        <v>1207464</v>
      </c>
      <c r="BM49" s="1185">
        <f>SUM(BM3:BM42)</f>
        <v>879022</v>
      </c>
      <c r="BN49" s="1185">
        <f>SUM(BN3:BN42)</f>
        <v>1411006</v>
      </c>
      <c r="BO49" s="1185">
        <f>SUM(BO3:BO42)</f>
        <v>3308456</v>
      </c>
      <c r="BP49" s="1185">
        <f t="shared" ref="BP49:BW49" si="12">SUM(BP3:BP25)</f>
        <v>1454732</v>
      </c>
      <c r="BQ49" s="1185">
        <f t="shared" si="12"/>
        <v>777790</v>
      </c>
      <c r="BR49" s="1185">
        <f t="shared" si="12"/>
        <v>1293805.8900000001</v>
      </c>
      <c r="BS49" s="1185">
        <f t="shared" si="12"/>
        <v>172848</v>
      </c>
      <c r="BT49" s="1186">
        <f t="shared" si="12"/>
        <v>1655365</v>
      </c>
      <c r="BU49" s="1185">
        <f t="shared" si="12"/>
        <v>1213009</v>
      </c>
      <c r="BV49" s="1190">
        <f t="shared" si="12"/>
        <v>539770.66999999993</v>
      </c>
      <c r="BW49" s="1191">
        <f t="shared" si="12"/>
        <v>16743152.560000001</v>
      </c>
      <c r="BX49" s="1192"/>
      <c r="BY49" s="1183">
        <f>SUM(BY3:BY48)</f>
        <v>944860</v>
      </c>
      <c r="BZ49" s="1185">
        <f>SUM(BZ3:BZ48)</f>
        <v>425500</v>
      </c>
      <c r="CA49" s="1185">
        <f t="shared" ref="CA49:CI49" si="13">SUM(CA3:CA48)</f>
        <v>238630</v>
      </c>
      <c r="CB49" s="1185">
        <f t="shared" si="13"/>
        <v>194920</v>
      </c>
      <c r="CC49" s="1185">
        <f t="shared" si="13"/>
        <v>637065</v>
      </c>
      <c r="CD49" s="1185">
        <f t="shared" si="13"/>
        <v>488572</v>
      </c>
      <c r="CE49" s="1185">
        <f t="shared" si="13"/>
        <v>115000</v>
      </c>
      <c r="CF49" s="1185">
        <f t="shared" si="13"/>
        <v>192750</v>
      </c>
      <c r="CG49" s="1185">
        <f t="shared" si="13"/>
        <v>0</v>
      </c>
      <c r="CH49" s="1185">
        <f t="shared" si="13"/>
        <v>423932</v>
      </c>
      <c r="CI49" s="1185">
        <f t="shared" si="13"/>
        <v>0</v>
      </c>
      <c r="CJ49" s="1190">
        <f>SUM(CJ3:CJ25)</f>
        <v>0</v>
      </c>
    </row>
    <row r="50" spans="2:88" x14ac:dyDescent="0.3">
      <c r="B50" s="1194"/>
      <c r="C50" s="1195"/>
      <c r="D50" s="1196"/>
      <c r="E50" s="1197"/>
      <c r="F50" s="1198"/>
      <c r="G50" s="1198"/>
      <c r="H50" s="1198"/>
      <c r="I50" s="1198"/>
      <c r="J50" s="1199"/>
      <c r="K50" s="1199"/>
      <c r="L50" s="1198"/>
      <c r="M50" s="1198"/>
      <c r="N50" s="1200"/>
      <c r="O50" s="1198"/>
      <c r="P50" s="1198"/>
      <c r="Q50" s="1198"/>
      <c r="R50" s="1198"/>
      <c r="S50" s="1198"/>
      <c r="T50" s="1198"/>
      <c r="U50" s="1198"/>
      <c r="V50" s="1201"/>
      <c r="W50" s="1198"/>
      <c r="X50" s="1198"/>
      <c r="Y50" s="1198"/>
      <c r="Z50" s="1201"/>
      <c r="AA50" s="1198"/>
      <c r="AB50" s="1201"/>
      <c r="AC50" s="1201"/>
      <c r="AD50" s="1198"/>
      <c r="AE50" s="1198"/>
      <c r="AF50" s="1201"/>
      <c r="AG50" s="1198"/>
      <c r="AH50" s="1201"/>
      <c r="AI50" s="1198"/>
      <c r="AJ50" s="1201"/>
      <c r="AK50" s="1198"/>
      <c r="AL50" s="1198"/>
      <c r="AM50" s="1198"/>
      <c r="AN50" s="1201"/>
      <c r="AO50" s="1198"/>
      <c r="AP50" s="1201"/>
      <c r="AQ50" s="1201"/>
      <c r="AR50" s="1198"/>
      <c r="AS50" s="1198"/>
      <c r="AT50" s="1198"/>
      <c r="AU50" s="1198"/>
      <c r="AV50" s="1202"/>
      <c r="AW50" s="1203"/>
      <c r="AX50" s="1198"/>
      <c r="AY50" s="1198"/>
      <c r="AZ50" s="1198"/>
      <c r="BA50" s="1198"/>
      <c r="BB50" s="1198"/>
      <c r="BC50" s="1198"/>
      <c r="BD50" s="1198"/>
      <c r="BE50" s="1202"/>
      <c r="BF50" s="1204"/>
      <c r="BG50" s="1205"/>
      <c r="BH50" s="1206"/>
      <c r="BI50" s="1207"/>
      <c r="BK50" s="1194"/>
      <c r="BL50" s="1208"/>
      <c r="BM50" s="1195"/>
      <c r="BN50" s="1209"/>
      <c r="BO50" s="1205"/>
      <c r="BP50" s="1195"/>
      <c r="BQ50" s="1210"/>
      <c r="BR50" s="1197"/>
      <c r="BS50" s="1205"/>
      <c r="BT50" s="1211"/>
      <c r="BU50" s="1198"/>
      <c r="BV50" s="1212"/>
      <c r="BW50" s="1213"/>
      <c r="BY50" s="1194"/>
      <c r="BZ50" s="1208"/>
      <c r="CA50" s="1195"/>
      <c r="CB50" s="1209"/>
      <c r="CC50" s="1205"/>
      <c r="CD50" s="1195"/>
      <c r="CE50" s="1210"/>
      <c r="CF50" s="1197"/>
      <c r="CG50" s="1198"/>
      <c r="CH50" s="1201"/>
      <c r="CI50" s="1198"/>
      <c r="CJ50" s="1212"/>
    </row>
    <row r="51" spans="2:88" s="1221" customFormat="1" x14ac:dyDescent="0.3">
      <c r="B51" s="6880" t="s">
        <v>574</v>
      </c>
      <c r="C51" s="6881"/>
      <c r="D51" s="1214"/>
      <c r="E51" s="1215"/>
      <c r="F51" s="1216"/>
      <c r="G51" s="1216"/>
      <c r="H51" s="1216"/>
      <c r="I51" s="1217">
        <v>149371</v>
      </c>
      <c r="J51" s="1218">
        <f>'[11]7. Salaries - Internal Staff'!F9</f>
        <v>93914</v>
      </c>
      <c r="K51" s="1218" t="e">
        <f>#REF!</f>
        <v>#REF!</v>
      </c>
      <c r="L51" s="1217">
        <f>'[11]7. Salaries - Internal Staff'!J9</f>
        <v>256943</v>
      </c>
      <c r="M51" s="1217">
        <f>'[11]7. Salaries - Internal Staff'!L9</f>
        <v>99097</v>
      </c>
      <c r="N51" s="1217">
        <f>'[11]7. Salaries - Internal Staff'!N9</f>
        <v>113934</v>
      </c>
      <c r="O51" s="1217">
        <f>'[11]7. Salaries - Internal Staff'!P9</f>
        <v>100667</v>
      </c>
      <c r="P51" s="1217">
        <f>'[11]7. Salaries - Internal Staff'!R9</f>
        <v>163167</v>
      </c>
      <c r="Q51" s="1217">
        <v>104558</v>
      </c>
      <c r="R51" s="1217">
        <f>'[11]7. Salaries - Internal Staff'!V9</f>
        <v>167704</v>
      </c>
      <c r="S51" s="1217">
        <f>'[11]7. Salaries - Internal Staff'!X9</f>
        <v>165228</v>
      </c>
      <c r="T51" s="1216" t="e">
        <f>SUM(E51:S51)</f>
        <v>#REF!</v>
      </c>
      <c r="U51" s="1217"/>
      <c r="V51" s="1217">
        <f>'[11]7. Salaries - Internal Staff'!AD9</f>
        <v>398255</v>
      </c>
      <c r="W51" s="1217">
        <f>'[11]7. Salaries - Internal Staff'!AF9</f>
        <v>454750</v>
      </c>
      <c r="X51" s="1217">
        <f>'[11]7. Salaries - Internal Staff'!AH9</f>
        <v>442355</v>
      </c>
      <c r="Y51" s="1217">
        <f>'[11]7. Salaries - Internal Staff'!AJ9</f>
        <v>293817</v>
      </c>
      <c r="Z51" s="1217">
        <f>'[11]7. Salaries - Internal Staff'!AL9</f>
        <v>258761</v>
      </c>
      <c r="AA51" s="1217">
        <f>'[11]7. Salaries - Internal Staff'!AN9</f>
        <v>249840</v>
      </c>
      <c r="AB51" s="1217">
        <f>AA51</f>
        <v>249840</v>
      </c>
      <c r="AC51" s="1217">
        <f>'[11]7. Salaries - Internal Staff'!AR9</f>
        <v>19858</v>
      </c>
      <c r="AD51" s="1217">
        <v>0</v>
      </c>
      <c r="AE51" s="1217">
        <v>0</v>
      </c>
      <c r="AF51" s="1217">
        <f>'[11]7. Salaries - Internal Staff'!AX9</f>
        <v>198028</v>
      </c>
      <c r="AG51" s="1217">
        <f>'[11]7. Salaries - Internal Staff'!AZ9</f>
        <v>176451</v>
      </c>
      <c r="AH51" s="1217">
        <f>SUM(V51:AG51)</f>
        <v>2741955</v>
      </c>
      <c r="AI51" s="1217"/>
      <c r="AJ51" s="1217">
        <v>0</v>
      </c>
      <c r="AK51" s="1217"/>
      <c r="AL51" s="1217"/>
      <c r="AM51" s="1217"/>
      <c r="AN51" s="1217"/>
      <c r="AO51" s="1217"/>
      <c r="AP51" s="1217"/>
      <c r="AQ51" s="1217"/>
      <c r="AR51" s="1217"/>
      <c r="AS51" s="1217"/>
      <c r="AT51" s="1217"/>
      <c r="AU51" s="1217"/>
      <c r="AV51" s="1217">
        <f>SUM(AJ51:AU51)</f>
        <v>0</v>
      </c>
      <c r="AW51" s="1217">
        <v>171473</v>
      </c>
      <c r="AX51" s="1217">
        <v>155478</v>
      </c>
      <c r="AY51" s="1217">
        <v>152925</v>
      </c>
      <c r="AZ51" s="1217">
        <v>440996</v>
      </c>
      <c r="BA51" s="1217">
        <v>461064</v>
      </c>
      <c r="BB51" s="1217">
        <v>446563</v>
      </c>
      <c r="BC51" s="1217">
        <v>371996</v>
      </c>
      <c r="BD51" s="1217">
        <v>369058</v>
      </c>
      <c r="BE51" s="1219">
        <v>322122</v>
      </c>
      <c r="BF51" s="1100">
        <v>347380</v>
      </c>
      <c r="BG51" s="1219">
        <v>472996</v>
      </c>
      <c r="BH51" s="975">
        <v>717232</v>
      </c>
      <c r="BI51" s="976">
        <f>SUM(AW51:BH51)</f>
        <v>4429283</v>
      </c>
      <c r="BJ51" s="823"/>
      <c r="BK51" s="1149">
        <f>'[11]7. Salaries - Internal Staff'!DB9</f>
        <v>701095</v>
      </c>
      <c r="BL51" s="264">
        <f>'[11]7. Salaries - Internal Staff'!DD9</f>
        <v>710160</v>
      </c>
      <c r="BM51" s="1096">
        <f>'[11]7. Salaries - Internal Staff'!DF9</f>
        <v>931918</v>
      </c>
      <c r="BN51" s="972">
        <v>1419330</v>
      </c>
      <c r="BO51" s="1219">
        <v>1211289</v>
      </c>
      <c r="BP51" s="1096">
        <v>1197420</v>
      </c>
      <c r="BQ51" s="972">
        <v>1081021</v>
      </c>
      <c r="BR51" s="1220">
        <f>'[11]7. Salaries - Internal Staff'!DP9</f>
        <v>923677</v>
      </c>
      <c r="BS51" s="1219">
        <v>854918</v>
      </c>
      <c r="BT51" s="1100">
        <v>1018296</v>
      </c>
      <c r="BU51" s="1217">
        <v>544966</v>
      </c>
      <c r="BV51" s="1148">
        <v>439787</v>
      </c>
      <c r="BW51" s="981">
        <f>SUM(BK51:BV51)</f>
        <v>11033877</v>
      </c>
      <c r="BY51" s="1149">
        <v>546809</v>
      </c>
      <c r="BZ51" s="264">
        <v>599663</v>
      </c>
      <c r="CA51" s="264">
        <v>132194</v>
      </c>
      <c r="CB51" s="264">
        <v>293983</v>
      </c>
      <c r="CC51" s="264">
        <v>243944</v>
      </c>
      <c r="CD51" s="264">
        <v>25000</v>
      </c>
      <c r="CE51" s="264">
        <v>25000</v>
      </c>
      <c r="CF51" s="264">
        <v>25000</v>
      </c>
      <c r="CG51" s="264">
        <v>0</v>
      </c>
      <c r="CH51" s="264">
        <v>0</v>
      </c>
      <c r="CI51" s="264">
        <v>0</v>
      </c>
      <c r="CJ51" s="1222">
        <v>0</v>
      </c>
    </row>
    <row r="52" spans="2:88" s="1221" customFormat="1" x14ac:dyDescent="0.3">
      <c r="B52" s="6880" t="s">
        <v>575</v>
      </c>
      <c r="C52" s="6881"/>
      <c r="D52" s="1214"/>
      <c r="E52" s="1215"/>
      <c r="F52" s="1216"/>
      <c r="G52" s="1216"/>
      <c r="H52" s="1216"/>
      <c r="I52" s="1217"/>
      <c r="J52" s="1218"/>
      <c r="K52" s="1218"/>
      <c r="L52" s="1217"/>
      <c r="M52" s="1217"/>
      <c r="N52" s="1217"/>
      <c r="O52" s="1217"/>
      <c r="P52" s="1217"/>
      <c r="Q52" s="1217"/>
      <c r="R52" s="1217"/>
      <c r="S52" s="1217"/>
      <c r="T52" s="1216"/>
      <c r="U52" s="1217"/>
      <c r="V52" s="1217"/>
      <c r="W52" s="1217"/>
      <c r="X52" s="1217"/>
      <c r="Y52" s="1217"/>
      <c r="Z52" s="1217"/>
      <c r="AA52" s="1217"/>
      <c r="AB52" s="1217"/>
      <c r="AC52" s="1217"/>
      <c r="AD52" s="1217"/>
      <c r="AE52" s="1217"/>
      <c r="AF52" s="1217"/>
      <c r="AG52" s="1217"/>
      <c r="AH52" s="1217"/>
      <c r="AI52" s="1217"/>
      <c r="AJ52" s="1217"/>
      <c r="AK52" s="1217"/>
      <c r="AL52" s="1217"/>
      <c r="AM52" s="1217"/>
      <c r="AN52" s="1217"/>
      <c r="AO52" s="1217"/>
      <c r="AP52" s="1217"/>
      <c r="AQ52" s="1217"/>
      <c r="AR52" s="1217"/>
      <c r="AS52" s="1217"/>
      <c r="AT52" s="1217"/>
      <c r="AU52" s="1217"/>
      <c r="AV52" s="1217"/>
      <c r="AW52" s="1217">
        <v>50000</v>
      </c>
      <c r="AX52" s="1217">
        <v>50000</v>
      </c>
      <c r="AY52" s="1217">
        <v>50000</v>
      </c>
      <c r="AZ52" s="1217">
        <v>50000</v>
      </c>
      <c r="BA52" s="1217">
        <v>50000</v>
      </c>
      <c r="BB52" s="1217">
        <v>50000</v>
      </c>
      <c r="BC52" s="1217">
        <v>50000</v>
      </c>
      <c r="BD52" s="1217">
        <v>50000</v>
      </c>
      <c r="BE52" s="1219">
        <v>50000</v>
      </c>
      <c r="BF52" s="1100">
        <v>50000</v>
      </c>
      <c r="BG52" s="1219">
        <v>50000</v>
      </c>
      <c r="BH52" s="975">
        <v>50000</v>
      </c>
      <c r="BI52" s="976">
        <f>SUM(AW52:BH52)</f>
        <v>600000</v>
      </c>
      <c r="BJ52" s="823"/>
      <c r="BK52" s="1223">
        <v>50000</v>
      </c>
      <c r="BL52" s="1224">
        <v>50000</v>
      </c>
      <c r="BM52" s="1225">
        <v>50000</v>
      </c>
      <c r="BN52" s="972">
        <v>50000</v>
      </c>
      <c r="BO52" s="972">
        <v>50000</v>
      </c>
      <c r="BP52" s="1096">
        <v>50000</v>
      </c>
      <c r="BQ52" s="972">
        <f>400000+50000</f>
        <v>450000</v>
      </c>
      <c r="BR52" s="1220">
        <v>50000</v>
      </c>
      <c r="BS52" s="1219">
        <v>50000</v>
      </c>
      <c r="BT52" s="1100">
        <v>50000</v>
      </c>
      <c r="BU52" s="1217">
        <v>50000</v>
      </c>
      <c r="BV52" s="1148">
        <v>50000</v>
      </c>
      <c r="BW52" s="981">
        <f>SUM(BK52:BV52)</f>
        <v>1000000</v>
      </c>
      <c r="BY52" s="1223">
        <v>0</v>
      </c>
      <c r="BZ52" s="264">
        <v>0</v>
      </c>
      <c r="CA52" s="264">
        <v>0</v>
      </c>
      <c r="CB52" s="264">
        <v>0</v>
      </c>
      <c r="CC52" s="264">
        <v>0</v>
      </c>
      <c r="CD52" s="264">
        <v>0</v>
      </c>
      <c r="CE52" s="264">
        <v>0</v>
      </c>
      <c r="CF52" s="264">
        <v>0</v>
      </c>
      <c r="CG52" s="264">
        <v>0</v>
      </c>
      <c r="CH52" s="264">
        <v>0</v>
      </c>
      <c r="CI52" s="264">
        <v>0</v>
      </c>
      <c r="CJ52" s="1222">
        <v>0</v>
      </c>
    </row>
    <row r="53" spans="2:88" s="1221" customFormat="1" x14ac:dyDescent="0.3">
      <c r="B53" s="6880" t="s">
        <v>576</v>
      </c>
      <c r="C53" s="6881"/>
      <c r="D53" s="1214"/>
      <c r="E53" s="1215"/>
      <c r="F53" s="1216"/>
      <c r="G53" s="1216"/>
      <c r="H53" s="1216"/>
      <c r="I53" s="1217"/>
      <c r="J53" s="1218"/>
      <c r="K53" s="1218"/>
      <c r="L53" s="1217"/>
      <c r="M53" s="1217"/>
      <c r="N53" s="1217"/>
      <c r="O53" s="1217"/>
      <c r="P53" s="1217"/>
      <c r="Q53" s="1217"/>
      <c r="R53" s="1217"/>
      <c r="S53" s="1217"/>
      <c r="T53" s="1216"/>
      <c r="U53" s="1217"/>
      <c r="V53" s="1217"/>
      <c r="W53" s="1217"/>
      <c r="X53" s="1217"/>
      <c r="Y53" s="1217"/>
      <c r="Z53" s="1217"/>
      <c r="AA53" s="1217"/>
      <c r="AB53" s="1217"/>
      <c r="AC53" s="1217"/>
      <c r="AD53" s="1217"/>
      <c r="AE53" s="1217"/>
      <c r="AF53" s="1217"/>
      <c r="AG53" s="1217"/>
      <c r="AH53" s="1217"/>
      <c r="AI53" s="1217"/>
      <c r="AJ53" s="1217"/>
      <c r="AK53" s="1217"/>
      <c r="AL53" s="1217"/>
      <c r="AM53" s="1217"/>
      <c r="AN53" s="1217"/>
      <c r="AO53" s="1217"/>
      <c r="AP53" s="1217"/>
      <c r="AQ53" s="1217"/>
      <c r="AR53" s="1217"/>
      <c r="AS53" s="1217"/>
      <c r="AT53" s="1217"/>
      <c r="AU53" s="1217"/>
      <c r="AV53" s="1217"/>
      <c r="AW53" s="1096"/>
      <c r="AX53" s="1096"/>
      <c r="AY53" s="1096"/>
      <c r="AZ53" s="1096"/>
      <c r="BA53" s="1096"/>
      <c r="BB53" s="1096"/>
      <c r="BC53" s="1096"/>
      <c r="BD53" s="1096"/>
      <c r="BE53" s="1096"/>
      <c r="BF53" s="1149">
        <v>0</v>
      </c>
      <c r="BG53" s="1096">
        <v>0</v>
      </c>
      <c r="BH53" s="975">
        <v>0</v>
      </c>
      <c r="BI53" s="976">
        <v>0</v>
      </c>
      <c r="BJ53" s="823"/>
      <c r="BK53" s="1223">
        <v>0</v>
      </c>
      <c r="BL53" s="1224">
        <v>0</v>
      </c>
      <c r="BM53" s="1225">
        <v>0</v>
      </c>
      <c r="BN53" s="1096">
        <v>0</v>
      </c>
      <c r="BO53" s="1096">
        <v>0</v>
      </c>
      <c r="BP53" s="1096">
        <v>0</v>
      </c>
      <c r="BQ53" s="1096">
        <v>0</v>
      </c>
      <c r="BR53" s="1096">
        <v>0</v>
      </c>
      <c r="BS53" s="1096">
        <v>0</v>
      </c>
      <c r="BT53" s="1149">
        <v>0</v>
      </c>
      <c r="BU53" s="1096">
        <v>0</v>
      </c>
      <c r="BV53" s="1226">
        <v>430762</v>
      </c>
      <c r="BW53" s="981">
        <f>SUM(BK53:BV53)</f>
        <v>430762</v>
      </c>
      <c r="BY53" s="1223">
        <v>0</v>
      </c>
      <c r="BZ53" s="264">
        <v>0</v>
      </c>
      <c r="CA53" s="264">
        <v>0</v>
      </c>
      <c r="CB53" s="264">
        <v>0</v>
      </c>
      <c r="CC53" s="264">
        <v>0</v>
      </c>
      <c r="CD53" s="264">
        <v>0</v>
      </c>
      <c r="CE53" s="264">
        <v>0</v>
      </c>
      <c r="CF53" s="264">
        <v>0</v>
      </c>
      <c r="CG53" s="264">
        <v>0</v>
      </c>
      <c r="CH53" s="264">
        <v>0</v>
      </c>
      <c r="CI53" s="264">
        <v>0</v>
      </c>
      <c r="CJ53" s="1222">
        <v>0</v>
      </c>
    </row>
    <row r="54" spans="2:88" s="1221" customFormat="1" x14ac:dyDescent="0.3">
      <c r="B54" s="1227" t="s">
        <v>577</v>
      </c>
      <c r="C54" s="1228"/>
      <c r="D54" s="1214"/>
      <c r="E54" s="1215"/>
      <c r="F54" s="1216"/>
      <c r="G54" s="1216"/>
      <c r="H54" s="1216"/>
      <c r="I54" s="1217">
        <v>0</v>
      </c>
      <c r="J54" s="1218">
        <v>0</v>
      </c>
      <c r="K54" s="1218">
        <v>0</v>
      </c>
      <c r="L54" s="1218">
        <v>0</v>
      </c>
      <c r="M54" s="1218">
        <v>0</v>
      </c>
      <c r="N54" s="1218">
        <v>0</v>
      </c>
      <c r="O54" s="1218">
        <v>0</v>
      </c>
      <c r="P54" s="1218">
        <v>0</v>
      </c>
      <c r="Q54" s="1218">
        <v>0</v>
      </c>
      <c r="R54" s="1218">
        <v>0</v>
      </c>
      <c r="S54" s="1216">
        <f>T8/2</f>
        <v>420073</v>
      </c>
      <c r="T54" s="1216">
        <f>SUM(E54:S54)</f>
        <v>420073</v>
      </c>
      <c r="U54" s="1217"/>
      <c r="V54" s="1217">
        <v>0</v>
      </c>
      <c r="W54" s="1217">
        <v>0</v>
      </c>
      <c r="X54" s="1217">
        <v>0</v>
      </c>
      <c r="Y54" s="1217">
        <v>0</v>
      </c>
      <c r="Z54" s="1217">
        <v>0</v>
      </c>
      <c r="AA54" s="1217">
        <v>0</v>
      </c>
      <c r="AB54" s="1217">
        <f>524000</f>
        <v>524000</v>
      </c>
      <c r="AC54" s="1217">
        <v>0</v>
      </c>
      <c r="AD54" s="1217">
        <v>0</v>
      </c>
      <c r="AE54" s="1217">
        <v>0</v>
      </c>
      <c r="AF54" s="1217">
        <v>94457</v>
      </c>
      <c r="AG54" s="1217">
        <f>AH8/2</f>
        <v>2870676.5</v>
      </c>
      <c r="AH54" s="1217">
        <f>SUM(V54:AG54)</f>
        <v>3489133.5</v>
      </c>
      <c r="AI54" s="1217"/>
      <c r="AJ54" s="1217">
        <v>0</v>
      </c>
      <c r="AK54" s="1217"/>
      <c r="AL54" s="1217"/>
      <c r="AM54" s="1217"/>
      <c r="AN54" s="1217"/>
      <c r="AO54" s="1217"/>
      <c r="AP54" s="1217"/>
      <c r="AQ54" s="1217"/>
      <c r="AR54" s="1217"/>
      <c r="AS54" s="1217"/>
      <c r="AT54" s="1217"/>
      <c r="AU54" s="1217"/>
      <c r="AV54" s="1217">
        <f>SUM(AJ54:AU54)</f>
        <v>0</v>
      </c>
      <c r="AW54" s="1224">
        <f t="shared" ref="AW54:BG54" si="14">AW51*1%*5</f>
        <v>8573.65</v>
      </c>
      <c r="AX54" s="1224">
        <f t="shared" si="14"/>
        <v>7773.9</v>
      </c>
      <c r="AY54" s="1224">
        <f t="shared" si="14"/>
        <v>7646.25</v>
      </c>
      <c r="AZ54" s="1224">
        <f t="shared" si="14"/>
        <v>22049.8</v>
      </c>
      <c r="BA54" s="1224">
        <f t="shared" si="14"/>
        <v>23053.200000000001</v>
      </c>
      <c r="BB54" s="1224">
        <f t="shared" si="14"/>
        <v>22328.15</v>
      </c>
      <c r="BC54" s="1224">
        <f t="shared" si="14"/>
        <v>18599.8</v>
      </c>
      <c r="BD54" s="1224">
        <f t="shared" si="14"/>
        <v>18452.900000000001</v>
      </c>
      <c r="BE54" s="1225">
        <f t="shared" si="14"/>
        <v>16106.100000000002</v>
      </c>
      <c r="BF54" s="1229">
        <f t="shared" si="14"/>
        <v>17369</v>
      </c>
      <c r="BG54" s="1225">
        <f t="shared" si="14"/>
        <v>23649.8</v>
      </c>
      <c r="BH54" s="1230">
        <f>BH51*1%*5</f>
        <v>35861.599999999999</v>
      </c>
      <c r="BI54" s="976">
        <f>SUM(AW54:BH54)</f>
        <v>221464.15000000002</v>
      </c>
      <c r="BJ54" s="823"/>
      <c r="BK54" s="1229">
        <f t="shared" ref="BK54:BT54" si="15">BK51*1%*5</f>
        <v>35054.75</v>
      </c>
      <c r="BL54" s="1224">
        <f t="shared" si="15"/>
        <v>35508</v>
      </c>
      <c r="BM54" s="1225">
        <f t="shared" si="15"/>
        <v>46595.9</v>
      </c>
      <c r="BN54" s="1225">
        <f t="shared" si="15"/>
        <v>70966.5</v>
      </c>
      <c r="BO54" s="1225">
        <f t="shared" si="15"/>
        <v>60564.45</v>
      </c>
      <c r="BP54" s="1225">
        <f t="shared" si="15"/>
        <v>59871</v>
      </c>
      <c r="BQ54" s="1225">
        <f t="shared" si="15"/>
        <v>54051.05</v>
      </c>
      <c r="BR54" s="1225">
        <f t="shared" si="15"/>
        <v>46183.850000000006</v>
      </c>
      <c r="BS54" s="1225">
        <f t="shared" si="15"/>
        <v>42745.9</v>
      </c>
      <c r="BT54" s="1223">
        <f t="shared" si="15"/>
        <v>50914.8</v>
      </c>
      <c r="BU54" s="1225">
        <f>BU51*1%*5</f>
        <v>27248.3</v>
      </c>
      <c r="BV54" s="1231">
        <f>BV51*1%*5</f>
        <v>21989.35</v>
      </c>
      <c r="BW54" s="981">
        <f>SUM(BK54:BV54)</f>
        <v>551693.85</v>
      </c>
      <c r="BY54" s="1223">
        <v>0</v>
      </c>
      <c r="BZ54" s="1232">
        <v>0</v>
      </c>
      <c r="CA54" s="264">
        <v>0</v>
      </c>
      <c r="CB54" s="264">
        <v>0</v>
      </c>
      <c r="CC54" s="264">
        <v>0</v>
      </c>
      <c r="CD54" s="264">
        <v>0</v>
      </c>
      <c r="CE54" s="264">
        <v>0</v>
      </c>
      <c r="CF54" s="264">
        <v>0</v>
      </c>
      <c r="CG54" s="264">
        <v>0</v>
      </c>
      <c r="CH54" s="264">
        <v>0</v>
      </c>
      <c r="CI54" s="264">
        <v>0</v>
      </c>
      <c r="CJ54" s="1222">
        <v>0</v>
      </c>
    </row>
    <row r="55" spans="2:88" s="1221" customFormat="1" x14ac:dyDescent="0.3">
      <c r="B55" s="1233" t="s">
        <v>456</v>
      </c>
      <c r="C55" s="1234"/>
      <c r="D55" s="1235"/>
      <c r="E55" s="1236"/>
      <c r="F55" s="1237"/>
      <c r="G55" s="1237"/>
      <c r="H55" s="1237"/>
      <c r="I55" s="1238"/>
      <c r="J55" s="1239"/>
      <c r="K55" s="1239"/>
      <c r="L55" s="1239"/>
      <c r="M55" s="1239"/>
      <c r="N55" s="1239"/>
      <c r="O55" s="1239"/>
      <c r="P55" s="1239"/>
      <c r="Q55" s="1239"/>
      <c r="R55" s="1239"/>
      <c r="S55" s="1237"/>
      <c r="T55" s="1237"/>
      <c r="U55" s="1238"/>
      <c r="V55" s="1238"/>
      <c r="W55" s="1238"/>
      <c r="X55" s="1238"/>
      <c r="Y55" s="1238"/>
      <c r="Z55" s="1238"/>
      <c r="AA55" s="1238"/>
      <c r="AB55" s="1238"/>
      <c r="AC55" s="1238"/>
      <c r="AD55" s="1238"/>
      <c r="AE55" s="1238"/>
      <c r="AF55" s="1238"/>
      <c r="AG55" s="1238"/>
      <c r="AH55" s="1238"/>
      <c r="AI55" s="1238"/>
      <c r="AJ55" s="1238"/>
      <c r="AK55" s="1238"/>
      <c r="AL55" s="1238"/>
      <c r="AM55" s="1238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40"/>
      <c r="AX55" s="1240"/>
      <c r="AY55" s="1240"/>
      <c r="AZ55" s="1240"/>
      <c r="BA55" s="1240"/>
      <c r="BB55" s="1240"/>
      <c r="BC55" s="1240"/>
      <c r="BD55" s="1240"/>
      <c r="BE55" s="1240"/>
      <c r="BF55" s="1241"/>
      <c r="BG55" s="1240"/>
      <c r="BH55" s="1242"/>
      <c r="BI55" s="1243"/>
      <c r="BJ55" s="823"/>
      <c r="BK55" s="1241"/>
      <c r="BL55" s="1244"/>
      <c r="BM55" s="1240"/>
      <c r="BN55" s="1245"/>
      <c r="BO55" s="1240"/>
      <c r="BP55" s="1240"/>
      <c r="BQ55" s="1245"/>
      <c r="BR55" s="1240"/>
      <c r="BS55" s="1240"/>
      <c r="BT55" s="1241"/>
      <c r="BU55" s="1240"/>
      <c r="BV55" s="1246"/>
      <c r="BW55" s="1247"/>
      <c r="BY55" s="973">
        <v>236150</v>
      </c>
      <c r="BZ55" s="264">
        <v>10000</v>
      </c>
      <c r="CA55" s="264">
        <v>117000</v>
      </c>
      <c r="CB55" s="264">
        <v>40000</v>
      </c>
      <c r="CC55" s="1248">
        <v>50000</v>
      </c>
      <c r="CD55" s="264">
        <v>18200</v>
      </c>
      <c r="CE55" s="264">
        <f>18200*5</f>
        <v>91000</v>
      </c>
      <c r="CF55" s="264">
        <v>55500</v>
      </c>
      <c r="CG55" s="264">
        <v>0</v>
      </c>
      <c r="CH55" s="264">
        <v>0</v>
      </c>
      <c r="CI55" s="264">
        <v>0</v>
      </c>
      <c r="CJ55" s="1222">
        <v>0</v>
      </c>
    </row>
    <row r="56" spans="2:88" x14ac:dyDescent="0.3">
      <c r="B56" s="1168"/>
      <c r="C56" s="1249"/>
      <c r="D56" s="1250"/>
      <c r="E56" s="1173"/>
      <c r="F56" s="1171"/>
      <c r="G56" s="1171"/>
      <c r="H56" s="1171"/>
      <c r="I56" s="1171"/>
      <c r="J56" s="1251"/>
      <c r="K56" s="1251"/>
      <c r="L56" s="1171"/>
      <c r="M56" s="1171"/>
      <c r="N56" s="1252"/>
      <c r="O56" s="1171"/>
      <c r="P56" s="1171"/>
      <c r="Q56" s="1171"/>
      <c r="R56" s="1171"/>
      <c r="S56" s="1171"/>
      <c r="T56" s="1171"/>
      <c r="U56" s="1171"/>
      <c r="V56" s="1253"/>
      <c r="W56" s="1171"/>
      <c r="X56" s="1171"/>
      <c r="Y56" s="1171"/>
      <c r="Z56" s="1253"/>
      <c r="AA56" s="1171"/>
      <c r="AB56" s="1253"/>
      <c r="AC56" s="1253"/>
      <c r="AD56" s="1171"/>
      <c r="AE56" s="1171"/>
      <c r="AF56" s="1253"/>
      <c r="AG56" s="1171"/>
      <c r="AH56" s="1253"/>
      <c r="AI56" s="1171"/>
      <c r="AJ56" s="1253"/>
      <c r="AK56" s="1171"/>
      <c r="AL56" s="1171"/>
      <c r="AM56" s="1171"/>
      <c r="AN56" s="1253"/>
      <c r="AO56" s="1171"/>
      <c r="AP56" s="1253"/>
      <c r="AQ56" s="1253"/>
      <c r="AR56" s="1171"/>
      <c r="AS56" s="1171"/>
      <c r="AT56" s="1171"/>
      <c r="AU56" s="1171"/>
      <c r="AV56" s="1253"/>
      <c r="AW56" s="1171"/>
      <c r="AX56" s="1171"/>
      <c r="AY56" s="1171"/>
      <c r="AZ56" s="1171"/>
      <c r="BA56" s="1171"/>
      <c r="BB56" s="1171"/>
      <c r="BC56" s="1171"/>
      <c r="BD56" s="1171"/>
      <c r="BE56" s="1254"/>
      <c r="BF56" s="1255"/>
      <c r="BG56" s="1172"/>
      <c r="BH56" s="1166"/>
      <c r="BI56" s="1256"/>
      <c r="BK56" s="1168"/>
      <c r="BL56" s="1162"/>
      <c r="BM56" s="1249"/>
      <c r="BN56" s="1165"/>
      <c r="BO56" s="1172"/>
      <c r="BP56" s="1249"/>
      <c r="BQ56" s="1163"/>
      <c r="BR56" s="1173"/>
      <c r="BS56" s="1172"/>
      <c r="BT56" s="1174"/>
      <c r="BU56" s="1171"/>
      <c r="BV56" s="1175"/>
      <c r="BW56" s="1257"/>
      <c r="BY56" s="1168"/>
      <c r="BZ56" s="1162"/>
      <c r="CA56" s="1249"/>
      <c r="CB56" s="1165"/>
      <c r="CC56" s="1172"/>
      <c r="CD56" s="1249"/>
      <c r="CE56" s="1163"/>
      <c r="CF56" s="1173"/>
      <c r="CG56" s="1171"/>
      <c r="CH56" s="1253"/>
      <c r="CI56" s="1171"/>
      <c r="CJ56" s="1258"/>
    </row>
    <row r="57" spans="2:88" s="65" customFormat="1" x14ac:dyDescent="0.3">
      <c r="B57" s="6882" t="s">
        <v>360</v>
      </c>
      <c r="C57" s="6883"/>
      <c r="D57" s="1259"/>
      <c r="E57" s="1260">
        <f>E49-E51</f>
        <v>0</v>
      </c>
      <c r="F57" s="1261">
        <f>F49-F51</f>
        <v>0</v>
      </c>
      <c r="G57" s="1261">
        <f>G49-G51</f>
        <v>0</v>
      </c>
      <c r="H57" s="1261"/>
      <c r="I57" s="1261">
        <f>I49-I51</f>
        <v>-11926</v>
      </c>
      <c r="J57" s="1261">
        <f t="shared" ref="J57:R57" si="16">J49-J51</f>
        <v>442243</v>
      </c>
      <c r="K57" s="1261" t="e">
        <f t="shared" si="16"/>
        <v>#REF!</v>
      </c>
      <c r="L57" s="1261">
        <f t="shared" si="16"/>
        <v>345711</v>
      </c>
      <c r="M57" s="1261">
        <f t="shared" si="16"/>
        <v>498863</v>
      </c>
      <c r="N57" s="1261">
        <f t="shared" si="16"/>
        <v>206771</v>
      </c>
      <c r="O57" s="1261">
        <f t="shared" si="16"/>
        <v>208817</v>
      </c>
      <c r="P57" s="1261">
        <f t="shared" si="16"/>
        <v>-163167</v>
      </c>
      <c r="Q57" s="1261">
        <f t="shared" si="16"/>
        <v>241942</v>
      </c>
      <c r="R57" s="1261">
        <f t="shared" si="16"/>
        <v>505660</v>
      </c>
      <c r="S57" s="1261">
        <f>S49-(S51+S54)</f>
        <v>422125</v>
      </c>
      <c r="T57" s="1261" t="e">
        <f>T49-(T51+T54)</f>
        <v>#REF!</v>
      </c>
      <c r="U57" s="1262"/>
      <c r="V57" s="1263">
        <f>V49-V51-V54</f>
        <v>201064</v>
      </c>
      <c r="W57" s="1261">
        <f t="shared" ref="W57:AE57" si="17">W49-W51</f>
        <v>2525775</v>
      </c>
      <c r="X57" s="1261">
        <f t="shared" si="17"/>
        <v>449744</v>
      </c>
      <c r="Y57" s="1261">
        <f t="shared" si="17"/>
        <v>559557</v>
      </c>
      <c r="Z57" s="1263">
        <f t="shared" si="17"/>
        <v>745156</v>
      </c>
      <c r="AA57" s="1261">
        <f t="shared" si="17"/>
        <v>192830</v>
      </c>
      <c r="AB57" s="1263">
        <f>AB49-AB51-AB54</f>
        <v>708230</v>
      </c>
      <c r="AC57" s="1263">
        <f t="shared" si="17"/>
        <v>1178377</v>
      </c>
      <c r="AD57" s="1261">
        <f t="shared" si="17"/>
        <v>781849</v>
      </c>
      <c r="AE57" s="1261">
        <f t="shared" si="17"/>
        <v>646079</v>
      </c>
      <c r="AF57" s="1263">
        <f>AF49-(AF51+AF54)</f>
        <v>229635</v>
      </c>
      <c r="AG57" s="1261">
        <f>AG49-(AG51+AG54)</f>
        <v>-2200786.5</v>
      </c>
      <c r="AH57" s="1263">
        <f>AH49-(AH51+AH54)</f>
        <v>6017509.5</v>
      </c>
      <c r="AI57" s="1262"/>
      <c r="AJ57" s="1263">
        <f>AJ49-AJ51-AJ54</f>
        <v>300271</v>
      </c>
      <c r="AK57" s="1261">
        <f>AK49-AK51</f>
        <v>848221</v>
      </c>
      <c r="AL57" s="1261">
        <f>AL49-AL51</f>
        <v>406541</v>
      </c>
      <c r="AM57" s="1261">
        <f>AM49-AM51</f>
        <v>205206</v>
      </c>
      <c r="AN57" s="1263">
        <f>AN49-AN51</f>
        <v>1254290</v>
      </c>
      <c r="AO57" s="1261">
        <f>AO49-AO51</f>
        <v>0</v>
      </c>
      <c r="AP57" s="1263">
        <f>AP49-AP51-AP54</f>
        <v>91630</v>
      </c>
      <c r="AQ57" s="1263">
        <f>AQ49-AQ51</f>
        <v>76760</v>
      </c>
      <c r="AR57" s="1261">
        <f>AR49-AR51</f>
        <v>0</v>
      </c>
      <c r="AS57" s="1261">
        <f>AS49-AS51</f>
        <v>0</v>
      </c>
      <c r="AT57" s="1261"/>
      <c r="AU57" s="1261">
        <f>AU49-(AU51+AU54)</f>
        <v>741961</v>
      </c>
      <c r="AV57" s="1264">
        <f>AV49-(AV51+AV54)</f>
        <v>4159102</v>
      </c>
      <c r="AW57" s="1265">
        <f t="shared" ref="AW57:BF57" si="18">AW49-AW51-AW54-AW52</f>
        <v>-230046.65</v>
      </c>
      <c r="AX57" s="1265">
        <f t="shared" si="18"/>
        <v>396537.1</v>
      </c>
      <c r="AY57" s="1265">
        <f t="shared" si="18"/>
        <v>112801.75</v>
      </c>
      <c r="AZ57" s="1265">
        <f t="shared" si="18"/>
        <v>-57215.8</v>
      </c>
      <c r="BA57" s="1265">
        <f t="shared" si="18"/>
        <v>121771.79999999999</v>
      </c>
      <c r="BB57" s="1265">
        <f t="shared" si="18"/>
        <v>1413105.35</v>
      </c>
      <c r="BC57" s="1265">
        <f t="shared" si="18"/>
        <v>1325960.2</v>
      </c>
      <c r="BD57" s="1265">
        <f t="shared" si="18"/>
        <v>-437510.9</v>
      </c>
      <c r="BE57" s="1265">
        <f t="shared" si="18"/>
        <v>-388228.1</v>
      </c>
      <c r="BF57" s="1266">
        <f t="shared" si="18"/>
        <v>815311</v>
      </c>
      <c r="BG57" s="1265">
        <f>BG49-BG51-BG54-BG52</f>
        <v>3624779.2</v>
      </c>
      <c r="BH57" s="1267">
        <f>BH49-BH51-BH54-BH52</f>
        <v>1015458.8799999999</v>
      </c>
      <c r="BI57" s="1268">
        <f>BI49-BI51-BI54-BI52</f>
        <v>7712723.8300000001</v>
      </c>
      <c r="BJ57" s="1269"/>
      <c r="BK57" s="1270">
        <f>BK49-BK51-BK54-BK52</f>
        <v>2043734.25</v>
      </c>
      <c r="BL57" s="1265">
        <f t="shared" ref="BL57:BU57" si="19">BL49-BL51-BL54-BL52</f>
        <v>411796</v>
      </c>
      <c r="BM57" s="1265">
        <f t="shared" si="19"/>
        <v>-149491.9</v>
      </c>
      <c r="BN57" s="1265">
        <f t="shared" si="19"/>
        <v>-129290.5</v>
      </c>
      <c r="BO57" s="1265">
        <f t="shared" si="19"/>
        <v>1986602.55</v>
      </c>
      <c r="BP57" s="1265">
        <f t="shared" si="19"/>
        <v>147441</v>
      </c>
      <c r="BQ57" s="1265">
        <f t="shared" si="19"/>
        <v>-807282.05</v>
      </c>
      <c r="BR57" s="1265">
        <f t="shared" si="19"/>
        <v>273945.04000000015</v>
      </c>
      <c r="BS57" s="1265">
        <f t="shared" si="19"/>
        <v>-774815.9</v>
      </c>
      <c r="BT57" s="1266">
        <f t="shared" si="19"/>
        <v>536154.19999999995</v>
      </c>
      <c r="BU57" s="1265">
        <f t="shared" si="19"/>
        <v>590794.69999999995</v>
      </c>
      <c r="BV57" s="1271">
        <f>BV49-BV51-BV54-BV52-BV53</f>
        <v>-402767.68000000005</v>
      </c>
      <c r="BW57" s="1272">
        <f>BW49-SUM(BW51:BW54)</f>
        <v>3726819.7100000009</v>
      </c>
      <c r="BX57" s="1273"/>
      <c r="BY57" s="1265">
        <f>BY49-BY51-BY55-BY52</f>
        <v>161901</v>
      </c>
      <c r="BZ57" s="1265">
        <f>BZ49-BZ51-BZ55-BZ52</f>
        <v>-184163</v>
      </c>
      <c r="CA57" s="1265">
        <f>CA49-CA51-CA55-CA52</f>
        <v>-10564</v>
      </c>
      <c r="CB57" s="1265">
        <f>CB49-CB51-CB55-CB52</f>
        <v>-139063</v>
      </c>
      <c r="CC57" s="1265">
        <f t="shared" ref="CC57:CI57" si="20">CC49-CC51-CC55-CC52</f>
        <v>343121</v>
      </c>
      <c r="CD57" s="1265">
        <f t="shared" si="20"/>
        <v>445372</v>
      </c>
      <c r="CE57" s="1265">
        <f t="shared" si="20"/>
        <v>-1000</v>
      </c>
      <c r="CF57" s="1265">
        <f t="shared" si="20"/>
        <v>112250</v>
      </c>
      <c r="CG57" s="1265">
        <f t="shared" si="20"/>
        <v>0</v>
      </c>
      <c r="CH57" s="1265">
        <f t="shared" si="20"/>
        <v>423932</v>
      </c>
      <c r="CI57" s="1265">
        <f t="shared" si="20"/>
        <v>0</v>
      </c>
      <c r="CJ57" s="1268">
        <f>CJ49-CJ51-CJ54-CJ52-CJ53</f>
        <v>0</v>
      </c>
    </row>
    <row r="58" spans="2:88" s="62" customFormat="1" x14ac:dyDescent="0.3">
      <c r="B58" s="6875" t="s">
        <v>9</v>
      </c>
      <c r="C58" s="6876"/>
      <c r="D58" s="1274"/>
      <c r="E58" s="1274"/>
      <c r="F58" s="1274"/>
      <c r="G58" s="1274"/>
      <c r="H58" s="1274"/>
      <c r="I58" s="1274"/>
      <c r="J58" s="1274"/>
      <c r="K58" s="1274"/>
      <c r="L58" s="1274"/>
      <c r="M58" s="1274"/>
      <c r="N58" s="1275"/>
      <c r="O58" s="1274"/>
      <c r="P58" s="1274"/>
      <c r="Q58" s="1274"/>
      <c r="R58" s="1274"/>
      <c r="S58" s="1274"/>
      <c r="T58" s="1274"/>
      <c r="U58" s="1274"/>
      <c r="V58" s="1276"/>
      <c r="W58" s="1274"/>
      <c r="X58" s="1274"/>
      <c r="Y58" s="1274"/>
      <c r="Z58" s="1276"/>
      <c r="AA58" s="1274"/>
      <c r="AB58" s="1276"/>
      <c r="AC58" s="1276"/>
      <c r="AD58" s="1274"/>
      <c r="AE58" s="1274"/>
      <c r="AF58" s="1276"/>
      <c r="AG58" s="1274"/>
      <c r="AH58" s="1276"/>
      <c r="AI58" s="1274"/>
      <c r="AJ58" s="1274"/>
      <c r="AK58" s="1274"/>
      <c r="AL58" s="1274"/>
      <c r="AM58" s="1274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7">
        <v>-1</v>
      </c>
      <c r="AX58" s="1277">
        <f t="shared" ref="AX58:BF58" si="21">AX57/AX49</f>
        <v>0.65028575458068283</v>
      </c>
      <c r="AY58" s="1277">
        <f t="shared" si="21"/>
        <v>0.34882859731641169</v>
      </c>
      <c r="AZ58" s="1277">
        <f t="shared" si="21"/>
        <v>-0.1255200403659259</v>
      </c>
      <c r="BA58" s="1277">
        <f t="shared" si="21"/>
        <v>0.18565915879058803</v>
      </c>
      <c r="BB58" s="1277">
        <f t="shared" si="21"/>
        <v>0.73142231365325983</v>
      </c>
      <c r="BC58" s="1277">
        <f t="shared" si="21"/>
        <v>0.75059052755757527</v>
      </c>
      <c r="BD58" s="1277">
        <v>-1</v>
      </c>
      <c r="BE58" s="1277">
        <v>-1</v>
      </c>
      <c r="BF58" s="1278">
        <f t="shared" si="21"/>
        <v>0.66282213875745899</v>
      </c>
      <c r="BG58" s="1277">
        <f>BG57/BG49</f>
        <v>0.86895466177625158</v>
      </c>
      <c r="BH58" s="1279">
        <f>BH57/BH49</f>
        <v>0.55838854867691246</v>
      </c>
      <c r="BI58" s="1280">
        <f>BI57/BI49</f>
        <v>0.59495823625471644</v>
      </c>
      <c r="BJ58" s="71"/>
      <c r="BK58" s="1278">
        <f>BK57/BK49</f>
        <v>0.7221971819339591</v>
      </c>
      <c r="BL58" s="1281">
        <f t="shared" ref="BL58:BR58" si="22">BL57/BL49</f>
        <v>0.34104205177131575</v>
      </c>
      <c r="BM58" s="1282">
        <f t="shared" si="22"/>
        <v>-0.17006616444184558</v>
      </c>
      <c r="BN58" s="1283">
        <f t="shared" si="22"/>
        <v>-9.1630014330201293E-2</v>
      </c>
      <c r="BO58" s="1284">
        <f t="shared" si="22"/>
        <v>0.60046213399845727</v>
      </c>
      <c r="BP58" s="1284">
        <f t="shared" si="22"/>
        <v>0.10135268901763349</v>
      </c>
      <c r="BQ58" s="1285">
        <f t="shared" si="22"/>
        <v>-1.0379177541495777</v>
      </c>
      <c r="BR58" s="1284">
        <f t="shared" si="22"/>
        <v>0.211735811467051</v>
      </c>
      <c r="BS58" s="1286">
        <f>BS57/BS49</f>
        <v>-4.4826431315375359</v>
      </c>
      <c r="BT58" s="1287">
        <f>BT57/BT49</f>
        <v>0.32388881002075071</v>
      </c>
      <c r="BU58" s="1288">
        <f>BU57/BU49</f>
        <v>0.48704890070889822</v>
      </c>
      <c r="BV58" s="1289">
        <f>BV57/BV49</f>
        <v>-0.74618296692556507</v>
      </c>
      <c r="BW58" s="1290">
        <f>BW57/BW49</f>
        <v>0.22258769348512708</v>
      </c>
      <c r="BY58" s="1278">
        <f>BY57/BY49</f>
        <v>0.17134919458967465</v>
      </c>
      <c r="BZ58" s="1281">
        <f t="shared" ref="BZ58:CF58" si="23">BZ57/BZ49</f>
        <v>-0.43281551116333727</v>
      </c>
      <c r="CA58" s="1291">
        <f t="shared" si="23"/>
        <v>-4.426937099275028E-2</v>
      </c>
      <c r="CB58" s="1292">
        <f t="shared" si="23"/>
        <v>-0.7134362815514057</v>
      </c>
      <c r="CC58" s="1292">
        <f t="shared" si="23"/>
        <v>0.53859653253592643</v>
      </c>
      <c r="CD58" s="1292">
        <f t="shared" si="23"/>
        <v>0.91157905078473589</v>
      </c>
      <c r="CE58" s="1292">
        <f t="shared" si="23"/>
        <v>-8.6956521739130436E-3</v>
      </c>
      <c r="CF58" s="1292">
        <f t="shared" si="23"/>
        <v>0.58236057068741898</v>
      </c>
      <c r="CG58" s="1495">
        <v>0</v>
      </c>
      <c r="CH58" s="1293">
        <f>CH57/CH49</f>
        <v>1</v>
      </c>
      <c r="CI58" s="1495">
        <v>0</v>
      </c>
      <c r="CJ58" s="1496">
        <v>0</v>
      </c>
    </row>
    <row r="59" spans="2:88" s="62" customFormat="1" ht="14" x14ac:dyDescent="0.3">
      <c r="I59" s="1294"/>
      <c r="J59" s="1294"/>
      <c r="K59" s="1294"/>
      <c r="L59" s="1294"/>
      <c r="M59" s="1294"/>
      <c r="N59" s="1294"/>
      <c r="O59" s="1294"/>
      <c r="P59" s="1294"/>
      <c r="Q59" s="1294"/>
      <c r="R59" s="1294"/>
      <c r="S59" s="1294"/>
      <c r="T59" s="1294"/>
      <c r="V59" s="1294"/>
      <c r="W59" s="1294"/>
      <c r="X59" s="1294"/>
      <c r="Y59" s="1294"/>
      <c r="Z59" s="1294"/>
      <c r="AA59" s="1294"/>
      <c r="AB59" s="1294"/>
      <c r="AC59" s="1294"/>
      <c r="AD59" s="1294"/>
      <c r="AE59" s="1294"/>
      <c r="AF59" s="1295"/>
      <c r="AG59" s="1294"/>
      <c r="AH59" s="1294"/>
      <c r="AJ59" s="1294"/>
      <c r="AK59" s="1294"/>
      <c r="AL59" s="1294"/>
      <c r="AM59" s="1294"/>
      <c r="AN59" s="1294"/>
      <c r="AO59" s="1294"/>
      <c r="AP59" s="1294"/>
      <c r="AQ59" s="1294"/>
      <c r="AR59" s="1294"/>
      <c r="AS59" s="1294"/>
      <c r="AT59" s="1294"/>
      <c r="AU59" s="1294"/>
      <c r="AV59" s="1294"/>
      <c r="BE59" s="1295"/>
      <c r="BH59" s="1296" t="s">
        <v>578</v>
      </c>
      <c r="BI59" s="1297">
        <f>BI57*25.168%</f>
        <v>1941138.3335344002</v>
      </c>
      <c r="BJ59" s="71"/>
      <c r="BQ59" s="1295"/>
      <c r="BT59" s="1295"/>
      <c r="BV59" s="1298" t="s">
        <v>578</v>
      </c>
      <c r="BW59" s="1297">
        <f>BW57*25.168%</f>
        <v>937965.9846128003</v>
      </c>
    </row>
    <row r="60" spans="2:88" x14ac:dyDescent="0.3">
      <c r="BH60" s="63" t="s">
        <v>37</v>
      </c>
      <c r="BI60" s="1193">
        <f>BI57-BI59</f>
        <v>5771585.4964656001</v>
      </c>
      <c r="BM60" s="1300"/>
      <c r="BV60" s="1221" t="s">
        <v>37</v>
      </c>
      <c r="BW60" s="1193">
        <f>BW57-BW59</f>
        <v>2788853.7253872007</v>
      </c>
      <c r="BY60" s="79">
        <f>BY49-BY55</f>
        <v>708710</v>
      </c>
      <c r="BZ60" s="79">
        <f t="shared" ref="BZ60:CE60" si="24">BZ49-BZ55</f>
        <v>415500</v>
      </c>
      <c r="CA60" s="79">
        <f t="shared" si="24"/>
        <v>121630</v>
      </c>
      <c r="CB60" s="79">
        <f t="shared" si="24"/>
        <v>154920</v>
      </c>
      <c r="CC60" s="79">
        <f t="shared" si="24"/>
        <v>587065</v>
      </c>
      <c r="CD60" s="79">
        <f t="shared" si="24"/>
        <v>470372</v>
      </c>
      <c r="CE60" s="79">
        <f t="shared" si="24"/>
        <v>24000</v>
      </c>
    </row>
    <row r="61" spans="2:88" x14ac:dyDescent="0.3">
      <c r="CA61" s="101"/>
    </row>
  </sheetData>
  <mergeCells count="7">
    <mergeCell ref="B58:C58"/>
    <mergeCell ref="B1:T1"/>
    <mergeCell ref="B49:C49"/>
    <mergeCell ref="B51:C51"/>
    <mergeCell ref="B52:C52"/>
    <mergeCell ref="B53:C53"/>
    <mergeCell ref="B57:C57"/>
  </mergeCells>
  <hyperlinks>
    <hyperlink ref="BV59" r:id="rId1"/>
    <hyperlink ref="BH59" r:id="rId2"/>
  </hyperlinks>
  <pageMargins left="0.7" right="0.7" top="0.75" bottom="0.75" header="0.3" footer="0.3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FS74"/>
  <sheetViews>
    <sheetView zoomScale="90" zoomScaleNormal="90" workbookViewId="0">
      <pane xSplit="90" ySplit="4" topLeftCell="DK5" activePane="bottomRight" state="frozen"/>
      <selection activeCell="CK16" sqref="CK16"/>
      <selection pane="topRight" activeCell="CK16" sqref="CK16"/>
      <selection pane="bottomLeft" activeCell="CK16" sqref="CK16"/>
      <selection pane="bottomRight" activeCell="DS23" sqref="DS23"/>
    </sheetView>
  </sheetViews>
  <sheetFormatPr defaultColWidth="9.09765625" defaultRowHeight="13.45" x14ac:dyDescent="0.3"/>
  <cols>
    <col min="1" max="1" width="4.59765625" style="63" customWidth="1"/>
    <col min="2" max="2" width="24.69921875" style="65" customWidth="1"/>
    <col min="3" max="3" width="10.09765625" style="66" customWidth="1"/>
    <col min="4" max="4" width="8.59765625" style="66" bestFit="1" customWidth="1"/>
    <col min="5" max="5" width="4.69921875" style="62" hidden="1" customWidth="1"/>
    <col min="6" max="8" width="9.796875" style="1221" hidden="1" customWidth="1"/>
    <col min="9" max="9" width="4.296875" style="62" hidden="1" customWidth="1"/>
    <col min="10" max="10" width="3.8984375" style="62" hidden="1" customWidth="1"/>
    <col min="11" max="11" width="9.796875" style="1221" hidden="1" customWidth="1"/>
    <col min="12" max="12" width="10.796875" style="1221" hidden="1" customWidth="1"/>
    <col min="13" max="13" width="8.296875" style="63" hidden="1" customWidth="1"/>
    <col min="14" max="14" width="4.8984375" style="1294" hidden="1" customWidth="1"/>
    <col min="15" max="15" width="3.8984375" style="62" hidden="1" customWidth="1"/>
    <col min="16" max="16" width="9.796875" style="1221" hidden="1" customWidth="1"/>
    <col min="17" max="17" width="9.8984375" style="1221" hidden="1" customWidth="1"/>
    <col min="18" max="18" width="8.296875" style="63" hidden="1" customWidth="1"/>
    <col min="19" max="19" width="4.296875" style="63" hidden="1" customWidth="1"/>
    <col min="20" max="20" width="3.8984375" style="62" hidden="1" customWidth="1"/>
    <col min="21" max="21" width="10.796875" style="63" hidden="1" customWidth="1"/>
    <col min="22" max="22" width="10.796875" style="1221" hidden="1" customWidth="1"/>
    <col min="23" max="23" width="9.69921875" style="63" hidden="1" customWidth="1"/>
    <col min="24" max="24" width="4.296875" style="68" hidden="1" customWidth="1"/>
    <col min="25" max="25" width="3.8984375" style="62" hidden="1" customWidth="1"/>
    <col min="26" max="27" width="10.796875" style="1221" hidden="1" customWidth="1"/>
    <col min="28" max="28" width="9.796875" style="63" hidden="1" customWidth="1"/>
    <col min="29" max="29" width="4.296875" style="1294" hidden="1" customWidth="1"/>
    <col min="30" max="30" width="4.8984375" style="63" hidden="1" customWidth="1"/>
    <col min="31" max="32" width="10.796875" style="63" hidden="1" customWidth="1"/>
    <col min="33" max="33" width="9.796875" style="63" hidden="1" customWidth="1"/>
    <col min="34" max="35" width="4.296875" style="62" hidden="1" customWidth="1"/>
    <col min="36" max="37" width="10.69921875" style="1221" hidden="1" customWidth="1"/>
    <col min="38" max="38" width="8.796875" style="63" hidden="1" customWidth="1"/>
    <col min="39" max="39" width="4.296875" style="1294" hidden="1" customWidth="1"/>
    <col min="40" max="40" width="4.69921875" style="62" hidden="1" customWidth="1"/>
    <col min="41" max="41" width="10.69921875" style="1221" hidden="1" customWidth="1"/>
    <col min="42" max="42" width="9.69921875" style="1221" hidden="1" customWidth="1"/>
    <col min="43" max="43" width="8.296875" style="63" hidden="1" customWidth="1"/>
    <col min="44" max="44" width="7" style="63" hidden="1" customWidth="1"/>
    <col min="45" max="45" width="4.296875" style="1221" hidden="1" customWidth="1"/>
    <col min="46" max="47" width="9.69921875" style="1221" hidden="1" customWidth="1"/>
    <col min="48" max="48" width="8.296875" style="1221" hidden="1" customWidth="1"/>
    <col min="49" max="49" width="4.296875" style="63" hidden="1" customWidth="1"/>
    <col min="50" max="50" width="4.296875" style="62" hidden="1" customWidth="1"/>
    <col min="51" max="52" width="9.69921875" style="1221" hidden="1" customWidth="1"/>
    <col min="53" max="53" width="8.296875" style="63" hidden="1" customWidth="1"/>
    <col min="54" max="54" width="7" style="68" hidden="1" customWidth="1"/>
    <col min="55" max="55" width="4.296875" style="62" hidden="1" customWidth="1"/>
    <col min="56" max="56" width="9.8984375" style="1221" hidden="1" customWidth="1"/>
    <col min="57" max="57" width="9.69921875" style="1221" hidden="1" customWidth="1"/>
    <col min="58" max="58" width="10.296875" style="63" hidden="1" customWidth="1"/>
    <col min="59" max="59" width="7" style="63" hidden="1" customWidth="1"/>
    <col min="60" max="60" width="4.296875" style="62" hidden="1" customWidth="1"/>
    <col min="61" max="62" width="9.69921875" style="1221" hidden="1" customWidth="1"/>
    <col min="63" max="63" width="10.296875" style="63" hidden="1" customWidth="1"/>
    <col min="64" max="64" width="7.09765625" style="63" hidden="1" customWidth="1"/>
    <col min="65" max="65" width="4.296875" style="65" hidden="1" customWidth="1"/>
    <col min="66" max="67" width="10.69921875" style="65" hidden="1" customWidth="1"/>
    <col min="68" max="68" width="9.69921875" style="65" hidden="1" customWidth="1"/>
    <col min="69" max="69" width="4.296875" style="65" hidden="1" customWidth="1"/>
    <col min="70" max="70" width="3.69921875" style="63" hidden="1" customWidth="1"/>
    <col min="71" max="73" width="9.69921875" style="63" hidden="1" customWidth="1"/>
    <col min="74" max="74" width="4.296875" style="63" hidden="1" customWidth="1"/>
    <col min="75" max="75" width="3.69921875" style="63" hidden="1" customWidth="1"/>
    <col min="76" max="78" width="9.69921875" style="63" hidden="1" customWidth="1"/>
    <col min="79" max="79" width="4.296875" style="63" hidden="1" customWidth="1"/>
    <col min="80" max="80" width="3.69921875" style="63" hidden="1" customWidth="1"/>
    <col min="81" max="83" width="9.69921875" style="1221" hidden="1" customWidth="1"/>
    <col min="84" max="84" width="7" style="68" hidden="1" customWidth="1"/>
    <col min="85" max="85" width="4.296875" style="63" hidden="1" customWidth="1"/>
    <col min="86" max="88" width="9.69921875" style="63" hidden="1" customWidth="1"/>
    <col min="89" max="89" width="7" style="63" hidden="1" customWidth="1"/>
    <col min="90" max="90" width="2" style="63" hidden="1" customWidth="1"/>
    <col min="91" max="91" width="4.69921875" style="63" customWidth="1"/>
    <col min="92" max="93" width="9.69921875" style="63" customWidth="1"/>
    <col min="94" max="94" width="8.296875" style="63" customWidth="1"/>
    <col min="95" max="95" width="7" style="63" customWidth="1"/>
    <col min="96" max="96" width="3.69921875" style="63" customWidth="1"/>
    <col min="97" max="98" width="9.69921875" style="63" customWidth="1"/>
    <col min="99" max="99" width="8.296875" style="63" customWidth="1"/>
    <col min="100" max="100" width="4.296875" style="63" customWidth="1"/>
    <col min="101" max="101" width="6.5" style="1221" customWidth="1"/>
    <col min="102" max="103" width="9.69921875" style="63" customWidth="1"/>
    <col min="104" max="104" width="10.296875" style="63" customWidth="1"/>
    <col min="105" max="105" width="5.8984375" style="63" customWidth="1"/>
    <col min="106" max="106" width="6.296875" style="63" customWidth="1"/>
    <col min="107" max="107" width="9.69921875" style="63" bestFit="1" customWidth="1"/>
    <col min="108" max="108" width="9.296875" style="63" customWidth="1"/>
    <col min="109" max="109" width="10.296875" style="63" bestFit="1" customWidth="1"/>
    <col min="110" max="110" width="7.09765625" style="63" bestFit="1" customWidth="1"/>
    <col min="111" max="111" width="4.296875" style="63" bestFit="1" customWidth="1"/>
    <col min="112" max="112" width="10.69921875" style="63" bestFit="1" customWidth="1"/>
    <col min="113" max="113" width="6.09765625" style="63" bestFit="1" customWidth="1"/>
    <col min="114" max="114" width="10.296875" style="63" bestFit="1" customWidth="1"/>
    <col min="115" max="115" width="7.09765625" style="63" bestFit="1" customWidth="1"/>
    <col min="116" max="116" width="6.8984375" style="63" bestFit="1" customWidth="1"/>
    <col min="117" max="117" width="9.69921875" style="63" bestFit="1" customWidth="1"/>
    <col min="118" max="118" width="6.09765625" style="63" bestFit="1" customWidth="1"/>
    <col min="119" max="119" width="10.296875" style="63" bestFit="1" customWidth="1"/>
    <col min="120" max="120" width="7.09765625" style="63" bestFit="1" customWidth="1"/>
    <col min="121" max="121" width="4.296875" style="63" bestFit="1" customWidth="1"/>
    <col min="122" max="124" width="9" style="63" customWidth="1"/>
    <col min="125" max="125" width="7.09765625" style="63" bestFit="1" customWidth="1"/>
    <col min="126" max="126" width="4.296875" style="63" bestFit="1" customWidth="1"/>
    <col min="127" max="127" width="9.69921875" style="63" bestFit="1" customWidth="1"/>
    <col min="128" max="128" width="6.09765625" style="63" bestFit="1" customWidth="1"/>
    <col min="129" max="129" width="10.296875" style="63" bestFit="1" customWidth="1"/>
    <col min="130" max="130" width="7.09765625" style="63" bestFit="1" customWidth="1"/>
    <col min="131" max="131" width="4.296875" style="63" bestFit="1" customWidth="1"/>
    <col min="132" max="132" width="9.69921875" style="63" bestFit="1" customWidth="1"/>
    <col min="133" max="133" width="6.09765625" style="63" bestFit="1" customWidth="1"/>
    <col min="134" max="134" width="10.296875" style="63" bestFit="1" customWidth="1"/>
    <col min="135" max="135" width="7.09765625" style="63" bestFit="1" customWidth="1"/>
    <col min="136" max="136" width="4.296875" style="63" bestFit="1" customWidth="1"/>
    <col min="137" max="137" width="4.3984375" style="63" bestFit="1" customWidth="1"/>
    <col min="138" max="138" width="6.09765625" style="63" bestFit="1" customWidth="1"/>
    <col min="139" max="139" width="8.296875" style="63" bestFit="1" customWidth="1"/>
    <col min="140" max="140" width="7.09765625" style="63" bestFit="1" customWidth="1"/>
    <col min="141" max="141" width="4.296875" style="63" bestFit="1" customWidth="1"/>
    <col min="142" max="142" width="7.5" style="63" bestFit="1" customWidth="1"/>
    <col min="143" max="143" width="8.8984375" style="63" bestFit="1" customWidth="1"/>
    <col min="144" max="144" width="8.296875" style="63" bestFit="1" customWidth="1"/>
    <col min="145" max="145" width="7.09765625" style="63" bestFit="1" customWidth="1"/>
    <col min="146" max="146" width="4.296875" style="63" bestFit="1" customWidth="1"/>
    <col min="147" max="147" width="7.5" style="63" bestFit="1" customWidth="1"/>
    <col min="148" max="148" width="8.8984375" style="63" bestFit="1" customWidth="1"/>
    <col min="149" max="149" width="5.19921875" style="63" bestFit="1" customWidth="1"/>
    <col min="150" max="150" width="7.09765625" style="63" bestFit="1" customWidth="1"/>
    <col min="151" max="151" width="4.296875" style="63" customWidth="1"/>
    <col min="152" max="154" width="9.69921875" style="63" customWidth="1"/>
    <col min="155" max="155" width="7.09765625" style="63" customWidth="1"/>
    <col min="156" max="156" width="4.796875" style="1221" customWidth="1"/>
    <col min="157" max="159" width="9.69921875" style="63" customWidth="1"/>
    <col min="160" max="160" width="7" style="63" customWidth="1"/>
    <col min="161" max="161" width="4.296875" style="63" hidden="1" customWidth="1"/>
    <col min="162" max="162" width="7.5" style="63" hidden="1" customWidth="1"/>
    <col min="163" max="163" width="6.09765625" style="63" hidden="1" customWidth="1"/>
    <col min="164" max="164" width="8.296875" style="63" hidden="1" customWidth="1"/>
    <col min="165" max="165" width="7.09765625" style="63" hidden="1" customWidth="1"/>
    <col min="166" max="166" width="4.296875" style="63" hidden="1" customWidth="1"/>
    <col min="167" max="167" width="7.5" style="63" hidden="1" customWidth="1"/>
    <col min="168" max="168" width="6.09765625" style="63" hidden="1" customWidth="1"/>
    <col min="169" max="169" width="8.296875" style="63" hidden="1" customWidth="1"/>
    <col min="170" max="170" width="7.09765625" style="63" hidden="1" customWidth="1"/>
    <col min="171" max="171" width="4.296875" style="63" hidden="1" customWidth="1"/>
    <col min="172" max="172" width="4.3984375" style="63" hidden="1" customWidth="1"/>
    <col min="173" max="173" width="6.09765625" style="63" hidden="1" customWidth="1"/>
    <col min="174" max="174" width="8.296875" style="63" hidden="1" customWidth="1"/>
    <col min="175" max="175" width="7.09765625" style="63" hidden="1" customWidth="1"/>
    <col min="176" max="16384" width="9.09765625" style="63"/>
  </cols>
  <sheetData>
    <row r="1" spans="1:175" s="65" customFormat="1" x14ac:dyDescent="0.3">
      <c r="A1" s="61" t="s">
        <v>132</v>
      </c>
      <c r="E1" s="66"/>
      <c r="F1" s="1193"/>
      <c r="G1" s="1193"/>
      <c r="H1" s="1193"/>
      <c r="I1" s="66"/>
      <c r="J1" s="66"/>
      <c r="K1" s="1193"/>
      <c r="L1" s="1193"/>
      <c r="N1" s="425"/>
      <c r="O1" s="66"/>
      <c r="P1" s="1193"/>
      <c r="Q1" s="1193"/>
      <c r="T1" s="66"/>
      <c r="U1" s="101"/>
      <c r="V1" s="1193"/>
      <c r="X1" s="64"/>
      <c r="Y1" s="66"/>
      <c r="Z1" s="1193"/>
      <c r="AA1" s="1193"/>
      <c r="AC1" s="425"/>
      <c r="AH1" s="66"/>
      <c r="AI1" s="66"/>
      <c r="AJ1" s="1193"/>
      <c r="AK1" s="1193"/>
      <c r="AM1" s="425"/>
      <c r="AN1" s="66"/>
      <c r="AO1" s="1193"/>
      <c r="AP1" s="1193"/>
      <c r="AS1" s="1193"/>
      <c r="AT1" s="1193"/>
      <c r="AU1" s="1193"/>
      <c r="AV1" s="1193"/>
      <c r="AX1" s="66"/>
      <c r="AY1" s="1193"/>
      <c r="AZ1" s="1193"/>
      <c r="BB1" s="64"/>
      <c r="BC1" s="66"/>
      <c r="BD1" s="1193"/>
      <c r="BE1" s="1193"/>
      <c r="BH1" s="66"/>
      <c r="BI1" s="1193"/>
      <c r="BJ1" s="1193"/>
      <c r="BP1" s="101"/>
      <c r="CC1" s="1193"/>
      <c r="CD1" s="1193"/>
      <c r="CE1" s="1193"/>
      <c r="CF1" s="64"/>
      <c r="CW1" s="1193"/>
      <c r="EZ1" s="1193"/>
    </row>
    <row r="3" spans="1:175" s="103" customFormat="1" ht="15.05" customHeight="1" x14ac:dyDescent="0.3">
      <c r="A3" s="6905" t="s">
        <v>0</v>
      </c>
      <c r="B3" s="6907" t="s">
        <v>1</v>
      </c>
      <c r="C3" s="6907" t="s">
        <v>134</v>
      </c>
      <c r="D3" s="6907" t="s">
        <v>352</v>
      </c>
      <c r="E3" s="6902" t="s">
        <v>579</v>
      </c>
      <c r="F3" s="6890"/>
      <c r="G3" s="6890"/>
      <c r="H3" s="6890"/>
      <c r="I3" s="6904"/>
      <c r="J3" s="6902" t="s">
        <v>580</v>
      </c>
      <c r="K3" s="6893"/>
      <c r="L3" s="6893"/>
      <c r="M3" s="6893"/>
      <c r="N3" s="6904"/>
      <c r="O3" s="6902" t="s">
        <v>581</v>
      </c>
      <c r="P3" s="6893"/>
      <c r="Q3" s="6893"/>
      <c r="R3" s="6893"/>
      <c r="S3" s="6891"/>
      <c r="T3" s="6902" t="s">
        <v>582</v>
      </c>
      <c r="U3" s="6893"/>
      <c r="V3" s="6893"/>
      <c r="W3" s="6893"/>
      <c r="X3" s="6904"/>
      <c r="Y3" s="6902" t="s">
        <v>297</v>
      </c>
      <c r="Z3" s="6893"/>
      <c r="AA3" s="6893"/>
      <c r="AB3" s="6893"/>
      <c r="AC3" s="6904"/>
      <c r="AD3" s="6900" t="s">
        <v>583</v>
      </c>
      <c r="AE3" s="6901"/>
      <c r="AF3" s="6901"/>
      <c r="AG3" s="6901"/>
      <c r="AH3" s="6901"/>
      <c r="AI3" s="6902" t="s">
        <v>450</v>
      </c>
      <c r="AJ3" s="6890"/>
      <c r="AK3" s="6890"/>
      <c r="AL3" s="6893"/>
      <c r="AM3" s="6903"/>
      <c r="AN3" s="6902" t="s">
        <v>451</v>
      </c>
      <c r="AO3" s="6893"/>
      <c r="AP3" s="6893"/>
      <c r="AQ3" s="6893"/>
      <c r="AR3" s="6904"/>
      <c r="AS3" s="6889" t="s">
        <v>584</v>
      </c>
      <c r="AT3" s="6893"/>
      <c r="AU3" s="6893"/>
      <c r="AV3" s="6893"/>
      <c r="AW3" s="6891"/>
      <c r="AX3" s="6902" t="s">
        <v>585</v>
      </c>
      <c r="AY3" s="6893"/>
      <c r="AZ3" s="6893"/>
      <c r="BA3" s="6893"/>
      <c r="BB3" s="6904"/>
      <c r="BC3" s="6889" t="s">
        <v>586</v>
      </c>
      <c r="BD3" s="6890"/>
      <c r="BE3" s="6890"/>
      <c r="BF3" s="6891"/>
      <c r="BG3" s="6611"/>
      <c r="BH3" s="6892">
        <v>45352</v>
      </c>
      <c r="BI3" s="6893"/>
      <c r="BJ3" s="6893"/>
      <c r="BK3" s="6891"/>
      <c r="BL3" s="6610"/>
      <c r="BM3" s="6894" t="s">
        <v>587</v>
      </c>
      <c r="BN3" s="6890"/>
      <c r="BO3" s="6890"/>
      <c r="BP3" s="6890"/>
      <c r="BQ3" s="6895"/>
      <c r="BR3" s="6896" t="s">
        <v>350</v>
      </c>
      <c r="BS3" s="6897"/>
      <c r="BT3" s="6897"/>
      <c r="BU3" s="6897"/>
      <c r="BV3" s="6898"/>
      <c r="BW3" s="6896" t="s">
        <v>182</v>
      </c>
      <c r="BX3" s="6897"/>
      <c r="BY3" s="6897"/>
      <c r="BZ3" s="6897"/>
      <c r="CA3" s="6899"/>
      <c r="CB3" s="6886" t="s">
        <v>183</v>
      </c>
      <c r="CC3" s="6887"/>
      <c r="CD3" s="6887"/>
      <c r="CE3" s="6887"/>
      <c r="CF3" s="6887"/>
      <c r="CG3" s="6886" t="s">
        <v>320</v>
      </c>
      <c r="CH3" s="6887"/>
      <c r="CI3" s="6887"/>
      <c r="CJ3" s="6887"/>
      <c r="CK3" s="6888"/>
      <c r="CM3" s="6902" t="s">
        <v>920</v>
      </c>
      <c r="CN3" s="6890"/>
      <c r="CO3" s="6890"/>
      <c r="CP3" s="6890"/>
      <c r="CQ3" s="6904"/>
      <c r="CR3" s="6902" t="s">
        <v>921</v>
      </c>
      <c r="CS3" s="6893"/>
      <c r="CT3" s="6893"/>
      <c r="CU3" s="6893"/>
      <c r="CV3" s="6904"/>
      <c r="CW3" s="6902" t="s">
        <v>922</v>
      </c>
      <c r="CX3" s="6893"/>
      <c r="CY3" s="6893"/>
      <c r="CZ3" s="6893"/>
      <c r="DA3" s="6891"/>
      <c r="DB3" s="6902" t="s">
        <v>1000</v>
      </c>
      <c r="DC3" s="6893"/>
      <c r="DD3" s="6893"/>
      <c r="DE3" s="6893"/>
      <c r="DF3" s="6891"/>
      <c r="DG3" s="6902" t="s">
        <v>997</v>
      </c>
      <c r="DH3" s="6893"/>
      <c r="DI3" s="6893"/>
      <c r="DJ3" s="6893"/>
      <c r="DK3" s="6904"/>
      <c r="DL3" s="6900" t="s">
        <v>1083</v>
      </c>
      <c r="DM3" s="6901"/>
      <c r="DN3" s="6901"/>
      <c r="DO3" s="6901"/>
      <c r="DP3" s="6901"/>
      <c r="DQ3" s="6902" t="s">
        <v>923</v>
      </c>
      <c r="DR3" s="6890"/>
      <c r="DS3" s="6890"/>
      <c r="DT3" s="6893"/>
      <c r="DU3" s="6903"/>
      <c r="DV3" s="6902" t="s">
        <v>924</v>
      </c>
      <c r="DW3" s="6893"/>
      <c r="DX3" s="6893"/>
      <c r="DY3" s="6893"/>
      <c r="DZ3" s="6904"/>
      <c r="EA3" s="6889" t="s">
        <v>925</v>
      </c>
      <c r="EB3" s="6893"/>
      <c r="EC3" s="6893"/>
      <c r="ED3" s="6893"/>
      <c r="EE3" s="6891"/>
      <c r="EF3" s="6902" t="s">
        <v>585</v>
      </c>
      <c r="EG3" s="6893"/>
      <c r="EH3" s="6893"/>
      <c r="EI3" s="6893"/>
      <c r="EJ3" s="6904"/>
      <c r="EK3" s="6889" t="s">
        <v>926</v>
      </c>
      <c r="EL3" s="6890"/>
      <c r="EM3" s="6890"/>
      <c r="EN3" s="6891"/>
      <c r="EO3" s="6611"/>
      <c r="EP3" s="6892">
        <v>45717</v>
      </c>
      <c r="EQ3" s="6893"/>
      <c r="ER3" s="6893"/>
      <c r="ES3" s="6891"/>
      <c r="ET3" s="6610"/>
      <c r="EU3" s="6894" t="s">
        <v>927</v>
      </c>
      <c r="EV3" s="6890"/>
      <c r="EW3" s="6890"/>
      <c r="EX3" s="6890"/>
      <c r="EY3" s="6895"/>
      <c r="EZ3" s="6896" t="s">
        <v>350</v>
      </c>
      <c r="FA3" s="6897"/>
      <c r="FB3" s="6897"/>
      <c r="FC3" s="6897"/>
      <c r="FD3" s="6898"/>
      <c r="FE3" s="6896" t="s">
        <v>182</v>
      </c>
      <c r="FF3" s="6897"/>
      <c r="FG3" s="6897"/>
      <c r="FH3" s="6897"/>
      <c r="FI3" s="6899"/>
      <c r="FJ3" s="6886" t="s">
        <v>183</v>
      </c>
      <c r="FK3" s="6887"/>
      <c r="FL3" s="6887"/>
      <c r="FM3" s="6887"/>
      <c r="FN3" s="6887"/>
      <c r="FO3" s="6886" t="s">
        <v>320</v>
      </c>
      <c r="FP3" s="6887"/>
      <c r="FQ3" s="6887"/>
      <c r="FR3" s="6887"/>
      <c r="FS3" s="6888"/>
    </row>
    <row r="4" spans="1:175" s="1560" customFormat="1" ht="15.05" customHeight="1" x14ac:dyDescent="0.3">
      <c r="A4" s="6906"/>
      <c r="B4" s="6908"/>
      <c r="C4" s="6908"/>
      <c r="D4" s="6908"/>
      <c r="E4" s="1539" t="s">
        <v>5</v>
      </c>
      <c r="F4" s="1540" t="s">
        <v>51</v>
      </c>
      <c r="G4" s="1540" t="s">
        <v>6</v>
      </c>
      <c r="H4" s="1540" t="s">
        <v>588</v>
      </c>
      <c r="I4" s="1541" t="s">
        <v>9</v>
      </c>
      <c r="J4" s="1539" t="s">
        <v>5</v>
      </c>
      <c r="K4" s="1540" t="s">
        <v>136</v>
      </c>
      <c r="L4" s="1540" t="s">
        <v>6</v>
      </c>
      <c r="M4" s="6612" t="s">
        <v>588</v>
      </c>
      <c r="N4" s="1542" t="s">
        <v>9</v>
      </c>
      <c r="O4" s="1539" t="s">
        <v>5</v>
      </c>
      <c r="P4" s="1540" t="s">
        <v>136</v>
      </c>
      <c r="Q4" s="1540" t="s">
        <v>52</v>
      </c>
      <c r="R4" s="6612" t="s">
        <v>588</v>
      </c>
      <c r="S4" s="1541" t="s">
        <v>9</v>
      </c>
      <c r="T4" s="1543" t="s">
        <v>5</v>
      </c>
      <c r="U4" s="1544" t="s">
        <v>136</v>
      </c>
      <c r="V4" s="1540" t="s">
        <v>52</v>
      </c>
      <c r="W4" s="1544" t="s">
        <v>363</v>
      </c>
      <c r="X4" s="1545" t="s">
        <v>9</v>
      </c>
      <c r="Y4" s="1543" t="s">
        <v>5</v>
      </c>
      <c r="Z4" s="1544" t="s">
        <v>136</v>
      </c>
      <c r="AA4" s="1544" t="s">
        <v>40</v>
      </c>
      <c r="AB4" s="1544" t="s">
        <v>363</v>
      </c>
      <c r="AC4" s="1545" t="s">
        <v>9</v>
      </c>
      <c r="AD4" s="1543" t="s">
        <v>5</v>
      </c>
      <c r="AE4" s="1544" t="s">
        <v>51</v>
      </c>
      <c r="AF4" s="1544" t="s">
        <v>40</v>
      </c>
      <c r="AG4" s="1544" t="s">
        <v>363</v>
      </c>
      <c r="AH4" s="1546" t="s">
        <v>9</v>
      </c>
      <c r="AI4" s="1543" t="s">
        <v>5</v>
      </c>
      <c r="AJ4" s="1544" t="s">
        <v>51</v>
      </c>
      <c r="AK4" s="1544" t="s">
        <v>40</v>
      </c>
      <c r="AL4" s="1544" t="s">
        <v>363</v>
      </c>
      <c r="AM4" s="1545" t="s">
        <v>9</v>
      </c>
      <c r="AN4" s="1543" t="s">
        <v>5</v>
      </c>
      <c r="AO4" s="1544" t="s">
        <v>51</v>
      </c>
      <c r="AP4" s="1544" t="s">
        <v>40</v>
      </c>
      <c r="AQ4" s="1544" t="s">
        <v>363</v>
      </c>
      <c r="AR4" s="1547" t="s">
        <v>9</v>
      </c>
      <c r="AS4" s="1544" t="s">
        <v>5</v>
      </c>
      <c r="AT4" s="1544" t="s">
        <v>51</v>
      </c>
      <c r="AU4" s="1544" t="s">
        <v>40</v>
      </c>
      <c r="AV4" s="1544" t="s">
        <v>363</v>
      </c>
      <c r="AW4" s="1548" t="s">
        <v>9</v>
      </c>
      <c r="AX4" s="1543" t="s">
        <v>5</v>
      </c>
      <c r="AY4" s="1544" t="s">
        <v>51</v>
      </c>
      <c r="AZ4" s="1544" t="s">
        <v>40</v>
      </c>
      <c r="BA4" s="1544" t="s">
        <v>363</v>
      </c>
      <c r="BB4" s="1545" t="s">
        <v>9</v>
      </c>
      <c r="BC4" s="1546" t="s">
        <v>5</v>
      </c>
      <c r="BD4" s="1544" t="s">
        <v>357</v>
      </c>
      <c r="BE4" s="1544" t="s">
        <v>358</v>
      </c>
      <c r="BF4" s="1544" t="s">
        <v>363</v>
      </c>
      <c r="BG4" s="1548" t="s">
        <v>9</v>
      </c>
      <c r="BH4" s="1543" t="s">
        <v>5</v>
      </c>
      <c r="BI4" s="1544" t="s">
        <v>357</v>
      </c>
      <c r="BJ4" s="1544" t="s">
        <v>358</v>
      </c>
      <c r="BK4" s="1544" t="s">
        <v>280</v>
      </c>
      <c r="BL4" s="1544" t="s">
        <v>9</v>
      </c>
      <c r="BM4" s="1549" t="s">
        <v>5</v>
      </c>
      <c r="BN4" s="1544" t="s">
        <v>51</v>
      </c>
      <c r="BO4" s="1544" t="s">
        <v>358</v>
      </c>
      <c r="BP4" s="1544" t="s">
        <v>280</v>
      </c>
      <c r="BQ4" s="1545" t="s">
        <v>9</v>
      </c>
      <c r="BR4" s="1550" t="s">
        <v>5</v>
      </c>
      <c r="BS4" s="1551" t="s">
        <v>357</v>
      </c>
      <c r="BT4" s="1552" t="s">
        <v>40</v>
      </c>
      <c r="BU4" s="1552" t="s">
        <v>363</v>
      </c>
      <c r="BV4" s="1553" t="s">
        <v>9</v>
      </c>
      <c r="BW4" s="1554" t="s">
        <v>5</v>
      </c>
      <c r="BX4" s="1552" t="s">
        <v>357</v>
      </c>
      <c r="BY4" s="1552" t="s">
        <v>40</v>
      </c>
      <c r="BZ4" s="1552" t="s">
        <v>363</v>
      </c>
      <c r="CA4" s="1555" t="s">
        <v>9</v>
      </c>
      <c r="CB4" s="1556" t="s">
        <v>5</v>
      </c>
      <c r="CC4" s="1557" t="s">
        <v>357</v>
      </c>
      <c r="CD4" s="1557" t="s">
        <v>40</v>
      </c>
      <c r="CE4" s="1557" t="s">
        <v>363</v>
      </c>
      <c r="CF4" s="1558" t="s">
        <v>9</v>
      </c>
      <c r="CG4" s="1556" t="s">
        <v>5</v>
      </c>
      <c r="CH4" s="1557" t="s">
        <v>51</v>
      </c>
      <c r="CI4" s="1557" t="s">
        <v>40</v>
      </c>
      <c r="CJ4" s="1557" t="s">
        <v>363</v>
      </c>
      <c r="CK4" s="1559" t="s">
        <v>9</v>
      </c>
      <c r="CM4" s="1539" t="s">
        <v>5</v>
      </c>
      <c r="CN4" s="1540" t="s">
        <v>51</v>
      </c>
      <c r="CO4" s="1540" t="s">
        <v>6</v>
      </c>
      <c r="CP4" s="1540" t="s">
        <v>588</v>
      </c>
      <c r="CQ4" s="1541" t="s">
        <v>9</v>
      </c>
      <c r="CR4" s="1539" t="s">
        <v>5</v>
      </c>
      <c r="CS4" s="1540" t="s">
        <v>136</v>
      </c>
      <c r="CT4" s="1540" t="s">
        <v>6</v>
      </c>
      <c r="CU4" s="6612" t="s">
        <v>588</v>
      </c>
      <c r="CV4" s="1542" t="s">
        <v>9</v>
      </c>
      <c r="CW4" s="3737" t="s">
        <v>5</v>
      </c>
      <c r="CX4" s="1540" t="s">
        <v>136</v>
      </c>
      <c r="CY4" s="1540" t="s">
        <v>52</v>
      </c>
      <c r="CZ4" s="6612" t="s">
        <v>588</v>
      </c>
      <c r="DA4" s="1541" t="s">
        <v>9</v>
      </c>
      <c r="DB4" s="1543" t="s">
        <v>5</v>
      </c>
      <c r="DC4" s="1544" t="s">
        <v>136</v>
      </c>
      <c r="DD4" s="1540" t="s">
        <v>52</v>
      </c>
      <c r="DE4" s="1544" t="s">
        <v>363</v>
      </c>
      <c r="DF4" s="1545" t="s">
        <v>9</v>
      </c>
      <c r="DG4" s="1543" t="s">
        <v>5</v>
      </c>
      <c r="DH4" s="1544" t="s">
        <v>136</v>
      </c>
      <c r="DI4" s="1544" t="s">
        <v>40</v>
      </c>
      <c r="DJ4" s="1544" t="s">
        <v>363</v>
      </c>
      <c r="DK4" s="1545" t="s">
        <v>9</v>
      </c>
      <c r="DL4" s="1543" t="s">
        <v>5</v>
      </c>
      <c r="DM4" s="1544" t="s">
        <v>51</v>
      </c>
      <c r="DN4" s="1544" t="s">
        <v>40</v>
      </c>
      <c r="DO4" s="1544" t="s">
        <v>363</v>
      </c>
      <c r="DP4" s="1546" t="s">
        <v>9</v>
      </c>
      <c r="DQ4" s="1543" t="s">
        <v>5</v>
      </c>
      <c r="DR4" s="1544" t="s">
        <v>51</v>
      </c>
      <c r="DS4" s="1544" t="s">
        <v>40</v>
      </c>
      <c r="DT4" s="1544" t="s">
        <v>363</v>
      </c>
      <c r="DU4" s="1545" t="s">
        <v>9</v>
      </c>
      <c r="DV4" s="1543" t="s">
        <v>5</v>
      </c>
      <c r="DW4" s="1544" t="s">
        <v>51</v>
      </c>
      <c r="DX4" s="1544" t="s">
        <v>40</v>
      </c>
      <c r="DY4" s="1544" t="s">
        <v>363</v>
      </c>
      <c r="DZ4" s="1547" t="s">
        <v>9</v>
      </c>
      <c r="EA4" s="1544" t="s">
        <v>5</v>
      </c>
      <c r="EB4" s="1544" t="s">
        <v>51</v>
      </c>
      <c r="EC4" s="1544" t="s">
        <v>40</v>
      </c>
      <c r="ED4" s="1544" t="s">
        <v>363</v>
      </c>
      <c r="EE4" s="1548" t="s">
        <v>9</v>
      </c>
      <c r="EF4" s="1543" t="s">
        <v>5</v>
      </c>
      <c r="EG4" s="1544" t="s">
        <v>51</v>
      </c>
      <c r="EH4" s="1544" t="s">
        <v>40</v>
      </c>
      <c r="EI4" s="1544" t="s">
        <v>363</v>
      </c>
      <c r="EJ4" s="1545" t="s">
        <v>9</v>
      </c>
      <c r="EK4" s="1546" t="s">
        <v>5</v>
      </c>
      <c r="EL4" s="1544" t="s">
        <v>357</v>
      </c>
      <c r="EM4" s="1544" t="s">
        <v>358</v>
      </c>
      <c r="EN4" s="1544" t="s">
        <v>363</v>
      </c>
      <c r="EO4" s="1548" t="s">
        <v>9</v>
      </c>
      <c r="EP4" s="1543" t="s">
        <v>5</v>
      </c>
      <c r="EQ4" s="1544" t="s">
        <v>357</v>
      </c>
      <c r="ER4" s="1544" t="s">
        <v>358</v>
      </c>
      <c r="ES4" s="1544" t="s">
        <v>280</v>
      </c>
      <c r="ET4" s="1544" t="s">
        <v>9</v>
      </c>
      <c r="EU4" s="1549" t="s">
        <v>5</v>
      </c>
      <c r="EV4" s="1544" t="s">
        <v>51</v>
      </c>
      <c r="EW4" s="1544" t="s">
        <v>358</v>
      </c>
      <c r="EX4" s="1544" t="s">
        <v>280</v>
      </c>
      <c r="EY4" s="1545" t="s">
        <v>9</v>
      </c>
      <c r="EZ4" s="1550" t="s">
        <v>5</v>
      </c>
      <c r="FA4" s="1551" t="s">
        <v>357</v>
      </c>
      <c r="FB4" s="1552" t="s">
        <v>40</v>
      </c>
      <c r="FC4" s="1552" t="s">
        <v>363</v>
      </c>
      <c r="FD4" s="1553" t="s">
        <v>9</v>
      </c>
      <c r="FE4" s="1554" t="s">
        <v>5</v>
      </c>
      <c r="FF4" s="1552" t="s">
        <v>357</v>
      </c>
      <c r="FG4" s="1552" t="s">
        <v>40</v>
      </c>
      <c r="FH4" s="1552" t="s">
        <v>363</v>
      </c>
      <c r="FI4" s="1555" t="s">
        <v>9</v>
      </c>
      <c r="FJ4" s="1556" t="s">
        <v>5</v>
      </c>
      <c r="FK4" s="1557" t="s">
        <v>357</v>
      </c>
      <c r="FL4" s="1557" t="s">
        <v>40</v>
      </c>
      <c r="FM4" s="1557" t="s">
        <v>363</v>
      </c>
      <c r="FN4" s="1558" t="s">
        <v>9</v>
      </c>
      <c r="FO4" s="1556" t="s">
        <v>5</v>
      </c>
      <c r="FP4" s="1557" t="s">
        <v>51</v>
      </c>
      <c r="FQ4" s="1557" t="s">
        <v>40</v>
      </c>
      <c r="FR4" s="1557" t="s">
        <v>363</v>
      </c>
      <c r="FS4" s="1559" t="s">
        <v>9</v>
      </c>
    </row>
    <row r="5" spans="1:175" x14ac:dyDescent="0.3">
      <c r="A5" s="110">
        <v>1</v>
      </c>
      <c r="B5" s="120" t="s">
        <v>368</v>
      </c>
      <c r="C5" s="112" t="s">
        <v>369</v>
      </c>
      <c r="D5" s="112" t="s">
        <v>254</v>
      </c>
      <c r="E5" s="439">
        <v>3</v>
      </c>
      <c r="F5" s="208">
        <v>38796</v>
      </c>
      <c r="G5" s="208">
        <v>39161</v>
      </c>
      <c r="H5" s="208">
        <f t="shared" ref="H5:H10" si="0">G5-F5</f>
        <v>365</v>
      </c>
      <c r="I5" s="217">
        <f>H5/G5</f>
        <v>9.3204974336712539E-3</v>
      </c>
      <c r="J5" s="583">
        <v>2</v>
      </c>
      <c r="K5" s="395">
        <v>11288</v>
      </c>
      <c r="L5" s="395">
        <v>14418</v>
      </c>
      <c r="M5" s="208">
        <f t="shared" ref="M5:M10" si="1">L5-K5</f>
        <v>3130</v>
      </c>
      <c r="N5" s="186">
        <f>M5/L5</f>
        <v>0.21708974892495492</v>
      </c>
      <c r="O5" s="113">
        <v>4</v>
      </c>
      <c r="P5" s="208">
        <v>42745</v>
      </c>
      <c r="Q5" s="208">
        <v>42362</v>
      </c>
      <c r="R5" s="208">
        <f t="shared" ref="R5:R10" si="2">Q5-P5</f>
        <v>-383</v>
      </c>
      <c r="S5" s="169">
        <f>R5/Q5</f>
        <v>-9.0411217600679852E-3</v>
      </c>
      <c r="T5" s="1302">
        <v>1</v>
      </c>
      <c r="U5" s="1303">
        <v>13134</v>
      </c>
      <c r="V5" s="1303">
        <v>15631.199999999997</v>
      </c>
      <c r="W5" s="208">
        <f t="shared" ref="W5:W10" si="3">V5-U5</f>
        <v>2497.1999999999971</v>
      </c>
      <c r="X5" s="1304">
        <f>W5/V5</f>
        <v>0.15975740826040211</v>
      </c>
      <c r="Y5" s="1305">
        <v>2</v>
      </c>
      <c r="Z5" s="1306">
        <v>40360</v>
      </c>
      <c r="AA5" s="954">
        <v>44041</v>
      </c>
      <c r="AB5" s="954">
        <f t="shared" ref="AB5:AB10" si="4">AA5-Z5</f>
        <v>3681</v>
      </c>
      <c r="AC5" s="126">
        <f>AB5/AA5</f>
        <v>8.3581208419427358E-2</v>
      </c>
      <c r="AD5" s="1305">
        <v>2</v>
      </c>
      <c r="AE5" s="954">
        <v>15384</v>
      </c>
      <c r="AF5" s="954">
        <v>19700</v>
      </c>
      <c r="AG5" s="208">
        <f t="shared" ref="AG5:AG10" si="5">AF5-AE5</f>
        <v>4316</v>
      </c>
      <c r="AH5" s="94">
        <f>AG5/AF5</f>
        <v>0.21908629441624367</v>
      </c>
      <c r="AI5" s="1305">
        <v>4</v>
      </c>
      <c r="AJ5" s="954">
        <v>73887</v>
      </c>
      <c r="AK5" s="954">
        <v>74676</v>
      </c>
      <c r="AL5" s="208">
        <f t="shared" ref="AL5:AL10" si="6">AK5-AJ5</f>
        <v>789</v>
      </c>
      <c r="AM5" s="92">
        <v>0.21908629441624367</v>
      </c>
      <c r="AN5" s="676">
        <v>2</v>
      </c>
      <c r="AO5" s="1066">
        <v>33934</v>
      </c>
      <c r="AP5" s="1066">
        <v>37077</v>
      </c>
      <c r="AQ5" s="208">
        <f>AP5-AO5</f>
        <v>3143</v>
      </c>
      <c r="AR5" s="145">
        <f>AQ5/AP5</f>
        <v>8.4769533673166655E-2</v>
      </c>
      <c r="AS5" s="957">
        <v>2</v>
      </c>
      <c r="AT5" s="954">
        <v>15578</v>
      </c>
      <c r="AU5" s="1307">
        <v>17234.080000000002</v>
      </c>
      <c r="AV5" s="208">
        <f>AU5-AT5</f>
        <v>1656.0800000000017</v>
      </c>
      <c r="AW5" s="145">
        <f>AV5/AU5</f>
        <v>9.6093322068831158E-2</v>
      </c>
      <c r="AX5" s="1305">
        <v>2</v>
      </c>
      <c r="AY5" s="208">
        <v>17742</v>
      </c>
      <c r="AZ5" s="954">
        <v>3150</v>
      </c>
      <c r="BA5" s="208">
        <f>AZ5-AY5</f>
        <v>-14592</v>
      </c>
      <c r="BB5" s="145">
        <f>BA5/AZ5</f>
        <v>-4.6323809523809523</v>
      </c>
      <c r="BC5" s="1305">
        <v>2</v>
      </c>
      <c r="BD5" s="1308">
        <v>38284</v>
      </c>
      <c r="BE5" s="954">
        <v>40340</v>
      </c>
      <c r="BF5" s="208">
        <f>BE5-BD5</f>
        <v>2056</v>
      </c>
      <c r="BG5" s="145">
        <f>BF5/BE5</f>
        <v>5.0966782350024789E-2</v>
      </c>
      <c r="BH5" s="1305"/>
      <c r="BI5" s="954">
        <v>0</v>
      </c>
      <c r="BJ5" s="954">
        <v>0</v>
      </c>
      <c r="BK5" s="208">
        <f>BJ5-BI5</f>
        <v>0</v>
      </c>
      <c r="BL5" s="1580">
        <v>0</v>
      </c>
      <c r="BM5" s="1309"/>
      <c r="BN5" s="1310">
        <f t="shared" ref="BN5:BP11" si="7">F5+K5+P5+U5+Z5+AE5+AJ5+AO5+AT5+AY5+BD5+BI5</f>
        <v>341132</v>
      </c>
      <c r="BO5" s="1310">
        <f t="shared" si="7"/>
        <v>347790.28</v>
      </c>
      <c r="BP5" s="1310">
        <f t="shared" si="7"/>
        <v>6658.2799999999988</v>
      </c>
      <c r="BQ5" s="220">
        <f t="shared" ref="BQ5:BQ45" si="8">BP5/BO5</f>
        <v>1.9144525833211894E-2</v>
      </c>
      <c r="BR5" s="686">
        <f t="shared" ref="BR5:BR11" si="9">(E5+J5+O5)/3</f>
        <v>3</v>
      </c>
      <c r="BS5" s="146">
        <f t="shared" ref="BS5:BU11" si="10">F5+K5+P5</f>
        <v>92829</v>
      </c>
      <c r="BT5" s="146">
        <f t="shared" si="10"/>
        <v>95941</v>
      </c>
      <c r="BU5" s="146">
        <f t="shared" si="10"/>
        <v>3112</v>
      </c>
      <c r="BV5" s="150">
        <f>BU5/BT5</f>
        <v>3.2436601661437761E-2</v>
      </c>
      <c r="BW5" s="686">
        <f t="shared" ref="BW5:BW11" si="11">(T5+Y5+AD5)/3</f>
        <v>1.6666666666666667</v>
      </c>
      <c r="BX5" s="146">
        <f t="shared" ref="BX5:BZ11" si="12">U5+Z5+AE5</f>
        <v>68878</v>
      </c>
      <c r="BY5" s="146">
        <f t="shared" si="12"/>
        <v>79372.2</v>
      </c>
      <c r="BZ5" s="146">
        <f t="shared" si="12"/>
        <v>10494.199999999997</v>
      </c>
      <c r="CA5" s="119">
        <f>BZ5/BY5</f>
        <v>0.13221505766502625</v>
      </c>
      <c r="CB5" s="686">
        <f t="shared" ref="CB5:CB11" si="13">(AI5+AN5+AS5)/3</f>
        <v>2.6666666666666665</v>
      </c>
      <c r="CC5" s="1089">
        <f t="shared" ref="CC5:CE11" si="14">AJ5+AO5+AT5</f>
        <v>123399</v>
      </c>
      <c r="CD5" s="1089">
        <f t="shared" si="14"/>
        <v>128987.08</v>
      </c>
      <c r="CE5" s="1089">
        <f t="shared" si="14"/>
        <v>5588.0800000000017</v>
      </c>
      <c r="CF5" s="119">
        <f t="shared" ref="CF5:CF10" si="15">CE5/CD5</f>
        <v>4.3322788607975324E-2</v>
      </c>
      <c r="CG5" s="1311">
        <f t="shared" ref="CG5:CG11" si="16">(AX5+BC5+BH5)/3</f>
        <v>1.3333333333333333</v>
      </c>
      <c r="CH5" s="266">
        <f t="shared" ref="CH5:CJ11" si="17">AY5+BD5+BI5</f>
        <v>56026</v>
      </c>
      <c r="CI5" s="266">
        <f t="shared" si="17"/>
        <v>43490</v>
      </c>
      <c r="CJ5" s="266">
        <f t="shared" si="17"/>
        <v>-12536</v>
      </c>
      <c r="CK5" s="150">
        <f>CJ5/CI5</f>
        <v>-0.28825017245343759</v>
      </c>
      <c r="CL5" s="79"/>
      <c r="CM5" s="439">
        <v>3</v>
      </c>
      <c r="CN5" s="208">
        <v>61174</v>
      </c>
      <c r="CO5" s="208">
        <v>65960</v>
      </c>
      <c r="CP5" s="208">
        <f t="shared" ref="CP5:CP10" si="18">CO5-CN5</f>
        <v>4786</v>
      </c>
      <c r="CQ5" s="217">
        <f>CP5/CO5</f>
        <v>7.2559126743480903E-2</v>
      </c>
      <c r="CR5" s="583">
        <v>3</v>
      </c>
      <c r="CS5" s="395">
        <v>20641</v>
      </c>
      <c r="CT5" s="395">
        <v>24343</v>
      </c>
      <c r="CU5" s="208">
        <f t="shared" ref="CU5:CU10" si="19">CT5-CS5</f>
        <v>3702</v>
      </c>
      <c r="CV5" s="186">
        <f>CU5/CT5</f>
        <v>0.15207657232058497</v>
      </c>
      <c r="CW5" s="439">
        <v>4</v>
      </c>
      <c r="CX5" s="208">
        <v>41837</v>
      </c>
      <c r="CY5" s="208">
        <v>42191</v>
      </c>
      <c r="CZ5" s="208">
        <f t="shared" ref="CZ5:CZ10" si="20">CY5-CX5</f>
        <v>354</v>
      </c>
      <c r="DA5" s="169">
        <f>CZ5/CY5</f>
        <v>8.3904150174207767E-3</v>
      </c>
      <c r="DB5" s="1302">
        <v>4</v>
      </c>
      <c r="DC5" s="1303">
        <v>20089</v>
      </c>
      <c r="DD5" s="1303"/>
      <c r="DE5" s="208">
        <f t="shared" ref="DE5:DE10" si="21">DD5-DC5</f>
        <v>-20089</v>
      </c>
      <c r="DF5" s="1304" t="e">
        <f t="shared" ref="DF5:DF11" si="22">DE5/DD5</f>
        <v>#DIV/0!</v>
      </c>
      <c r="DG5" s="1305">
        <v>5</v>
      </c>
      <c r="DH5" s="1306">
        <v>99775</v>
      </c>
      <c r="DI5" s="954"/>
      <c r="DJ5" s="954">
        <f t="shared" ref="DJ5:DJ10" si="23">DI5-DH5</f>
        <v>-99775</v>
      </c>
      <c r="DK5" s="126" t="e">
        <f t="shared" ref="DK5:DK11" si="24">DJ5/DI5</f>
        <v>#DIV/0!</v>
      </c>
      <c r="DL5" s="1305">
        <v>3</v>
      </c>
      <c r="DM5" s="954">
        <v>38962</v>
      </c>
      <c r="DN5" s="954"/>
      <c r="DO5" s="208">
        <f t="shared" ref="DO5:DO10" si="25">DN5-DM5</f>
        <v>-38962</v>
      </c>
      <c r="DP5" s="94" t="e">
        <f>DO5/DN5</f>
        <v>#DIV/0!</v>
      </c>
      <c r="DQ5" s="1305"/>
      <c r="DR5" s="954">
        <v>15562</v>
      </c>
      <c r="DS5" s="954"/>
      <c r="DT5" s="208">
        <f t="shared" ref="DT5:DT10" si="26">DS5-DR5</f>
        <v>-15562</v>
      </c>
      <c r="DU5" s="78" t="e">
        <f t="shared" ref="DU5:DU11" si="27">DT5/DS5</f>
        <v>#DIV/0!</v>
      </c>
      <c r="DV5" s="676">
        <v>2</v>
      </c>
      <c r="DW5" s="1066">
        <v>10594</v>
      </c>
      <c r="DX5" s="1066"/>
      <c r="DY5" s="208">
        <f>DX5-DW5</f>
        <v>-10594</v>
      </c>
      <c r="DZ5" s="145" t="e">
        <f>DY5/DX5</f>
        <v>#DIV/0!</v>
      </c>
      <c r="EA5" s="957">
        <v>1</v>
      </c>
      <c r="EB5" s="954">
        <v>1883</v>
      </c>
      <c r="EC5" s="1307"/>
      <c r="ED5" s="208">
        <f t="shared" ref="ED5:ED11" si="28">EC5-EB5</f>
        <v>-1883</v>
      </c>
      <c r="EE5" s="145" t="e">
        <f t="shared" ref="EE5:EE11" si="29">ED5/EC5</f>
        <v>#DIV/0!</v>
      </c>
      <c r="EF5" s="1305"/>
      <c r="EG5" s="208"/>
      <c r="EH5" s="954"/>
      <c r="EI5" s="208">
        <f>EH5-EG5</f>
        <v>0</v>
      </c>
      <c r="EJ5" s="145" t="e">
        <f>EI5/EH5</f>
        <v>#DIV/0!</v>
      </c>
      <c r="EK5" s="1305"/>
      <c r="EL5" s="1308"/>
      <c r="EM5" s="954"/>
      <c r="EN5" s="208">
        <f>EM5-EL5</f>
        <v>0</v>
      </c>
      <c r="EO5" s="145" t="e">
        <f>EN5/EM5</f>
        <v>#DIV/0!</v>
      </c>
      <c r="EP5" s="1305"/>
      <c r="EQ5" s="954">
        <v>0</v>
      </c>
      <c r="ER5" s="954">
        <v>0</v>
      </c>
      <c r="ES5" s="208">
        <f>ER5-EQ5</f>
        <v>0</v>
      </c>
      <c r="ET5" s="78" t="e">
        <f t="shared" ref="ET5:ET12" si="30">ES5/ER5</f>
        <v>#DIV/0!</v>
      </c>
      <c r="EU5" s="1309"/>
      <c r="EV5" s="1310">
        <f t="shared" ref="EV5:EX11" si="31">CN5+CS5+CX5+DC5+DH5+DM5+DR5+DW5+EB5+EG5+EL5+EQ5</f>
        <v>310517</v>
      </c>
      <c r="EW5" s="1310">
        <f t="shared" si="31"/>
        <v>132494</v>
      </c>
      <c r="EX5" s="1310">
        <f t="shared" si="31"/>
        <v>-178023</v>
      </c>
      <c r="EY5" s="220">
        <f>EX5/EW5</f>
        <v>-1.3436306549730554</v>
      </c>
      <c r="EZ5" s="1698">
        <f t="shared" ref="EZ5:EZ11" si="32">(CM5+CR5+CW5)/3</f>
        <v>3.3333333333333335</v>
      </c>
      <c r="FA5" s="146">
        <f t="shared" ref="FA5:FC11" si="33">CN5+CS5+CX5</f>
        <v>123652</v>
      </c>
      <c r="FB5" s="146">
        <f t="shared" si="33"/>
        <v>132494</v>
      </c>
      <c r="FC5" s="146">
        <f t="shared" si="33"/>
        <v>8842</v>
      </c>
      <c r="FD5" s="150">
        <f>FC5/FB5</f>
        <v>6.6735097438374566E-2</v>
      </c>
      <c r="FE5" s="686">
        <f t="shared" ref="FE5:FE11" si="34">(DB5+DG5+DL5)/3</f>
        <v>4</v>
      </c>
      <c r="FF5" s="146">
        <f t="shared" ref="FF5:FH11" si="35">DC5+DH5+DM5</f>
        <v>158826</v>
      </c>
      <c r="FG5" s="146">
        <f t="shared" si="35"/>
        <v>0</v>
      </c>
      <c r="FH5" s="146">
        <f t="shared" si="35"/>
        <v>-158826</v>
      </c>
      <c r="FI5" s="119" t="e">
        <f>FH5/FG5</f>
        <v>#DIV/0!</v>
      </c>
      <c r="FJ5" s="686">
        <f t="shared" ref="FJ5:FJ11" si="36">(DQ5+DV5+EA5)/3</f>
        <v>1</v>
      </c>
      <c r="FK5" s="1089">
        <f t="shared" ref="FK5:FM11" si="37">DR5+DW5+EB5</f>
        <v>28039</v>
      </c>
      <c r="FL5" s="1089">
        <f t="shared" si="37"/>
        <v>0</v>
      </c>
      <c r="FM5" s="1089">
        <f t="shared" si="37"/>
        <v>-28039</v>
      </c>
      <c r="FN5" s="119" t="e">
        <f t="shared" ref="FN5:FN10" si="38">FM5/FL5</f>
        <v>#DIV/0!</v>
      </c>
      <c r="FO5" s="1311">
        <f t="shared" ref="FO5:FO11" si="39">(EF5+EK5+EP5)/3</f>
        <v>0</v>
      </c>
      <c r="FP5" s="266">
        <f t="shared" ref="FP5:FR11" si="40">EG5+EL5+EQ5</f>
        <v>0</v>
      </c>
      <c r="FQ5" s="266">
        <f t="shared" si="40"/>
        <v>0</v>
      </c>
      <c r="FR5" s="266">
        <f t="shared" si="40"/>
        <v>0</v>
      </c>
      <c r="FS5" s="150" t="e">
        <f t="shared" ref="FS5:FS11" si="41">FR5/FQ5</f>
        <v>#DIV/0!</v>
      </c>
    </row>
    <row r="6" spans="1:175" x14ac:dyDescent="0.3">
      <c r="A6" s="110">
        <v>2</v>
      </c>
      <c r="B6" s="120" t="s">
        <v>370</v>
      </c>
      <c r="C6" s="112" t="s">
        <v>369</v>
      </c>
      <c r="D6" s="112" t="s">
        <v>254</v>
      </c>
      <c r="E6" s="439">
        <v>35</v>
      </c>
      <c r="F6" s="208">
        <v>323323</v>
      </c>
      <c r="G6" s="208">
        <v>376222.56</v>
      </c>
      <c r="H6" s="208">
        <f t="shared" si="0"/>
        <v>52899.56</v>
      </c>
      <c r="I6" s="217">
        <f>H6/G6</f>
        <v>0.14060709171720057</v>
      </c>
      <c r="J6" s="583">
        <v>10</v>
      </c>
      <c r="K6" s="395">
        <v>129781</v>
      </c>
      <c r="L6" s="395">
        <v>108994.8</v>
      </c>
      <c r="M6" s="208">
        <f t="shared" si="1"/>
        <v>-20786.199999999997</v>
      </c>
      <c r="N6" s="186">
        <f>M6/L6</f>
        <v>-0.19070818057375211</v>
      </c>
      <c r="O6" s="113">
        <v>15</v>
      </c>
      <c r="P6" s="208">
        <v>124177</v>
      </c>
      <c r="Q6" s="208">
        <v>134401.24</v>
      </c>
      <c r="R6" s="208">
        <f t="shared" si="2"/>
        <v>10224.239999999991</v>
      </c>
      <c r="S6" s="169">
        <f>R6/Q6</f>
        <v>7.6072512426224578E-2</v>
      </c>
      <c r="T6" s="1312">
        <v>13</v>
      </c>
      <c r="U6" s="265">
        <v>100670</v>
      </c>
      <c r="V6" s="265">
        <v>109128</v>
      </c>
      <c r="W6" s="208">
        <f t="shared" si="3"/>
        <v>8458</v>
      </c>
      <c r="X6" s="1313">
        <f>W6/V6</f>
        <v>7.7505314859614399E-2</v>
      </c>
      <c r="Y6" s="583">
        <v>8</v>
      </c>
      <c r="Z6" s="395">
        <v>62881</v>
      </c>
      <c r="AA6" s="395">
        <v>80484</v>
      </c>
      <c r="AB6" s="208">
        <f t="shared" si="4"/>
        <v>17603</v>
      </c>
      <c r="AC6" s="114">
        <f>AB6/AA6</f>
        <v>0.21871427861438297</v>
      </c>
      <c r="AD6" s="583">
        <v>16</v>
      </c>
      <c r="AE6" s="395">
        <v>74054</v>
      </c>
      <c r="AF6" s="395">
        <v>82761.08</v>
      </c>
      <c r="AG6" s="208">
        <f t="shared" si="5"/>
        <v>8707.0800000000017</v>
      </c>
      <c r="AH6" s="362">
        <f>AG6/AF6</f>
        <v>0.10520742358606246</v>
      </c>
      <c r="AI6" s="113">
        <v>20</v>
      </c>
      <c r="AJ6" s="208">
        <v>162385</v>
      </c>
      <c r="AK6" s="208">
        <v>163972</v>
      </c>
      <c r="AL6" s="208">
        <f t="shared" si="6"/>
        <v>1587</v>
      </c>
      <c r="AM6" s="78">
        <v>0.10520742358606246</v>
      </c>
      <c r="AN6" s="113">
        <v>13</v>
      </c>
      <c r="AO6" s="208">
        <v>114392</v>
      </c>
      <c r="AP6" s="208">
        <v>127771</v>
      </c>
      <c r="AQ6" s="208">
        <f>AP6-AO6</f>
        <v>13379</v>
      </c>
      <c r="AR6" s="157">
        <f>AQ6/AP6</f>
        <v>0.10471077161484219</v>
      </c>
      <c r="AS6" s="209">
        <v>22</v>
      </c>
      <c r="AT6" s="208">
        <v>160598</v>
      </c>
      <c r="AU6" s="208">
        <v>180645.44000000003</v>
      </c>
      <c r="AV6" s="208">
        <f>AU6-AT6</f>
        <v>20047.440000000031</v>
      </c>
      <c r="AW6" s="157">
        <f>AV6/AU6</f>
        <v>0.11097672877876147</v>
      </c>
      <c r="AX6" s="113">
        <v>19</v>
      </c>
      <c r="AY6" s="208">
        <v>181164</v>
      </c>
      <c r="AZ6" s="208">
        <v>180684.08000000002</v>
      </c>
      <c r="BA6" s="208">
        <f>AZ6-AY6</f>
        <v>-479.9199999999837</v>
      </c>
      <c r="BB6" s="157">
        <f>BA6/AZ6</f>
        <v>-2.6561277562471672E-3</v>
      </c>
      <c r="BC6" s="113">
        <v>13</v>
      </c>
      <c r="BD6" s="208">
        <v>133092</v>
      </c>
      <c r="BE6" s="208">
        <v>136314</v>
      </c>
      <c r="BF6" s="208">
        <f>BE6-BD6</f>
        <v>3222</v>
      </c>
      <c r="BG6" s="157">
        <f>BF6/BE6</f>
        <v>2.3636603723755447E-2</v>
      </c>
      <c r="BH6" s="113">
        <v>13</v>
      </c>
      <c r="BI6" s="208">
        <v>89000</v>
      </c>
      <c r="BJ6" s="208">
        <v>105000</v>
      </c>
      <c r="BK6" s="208">
        <f>BJ6-BI6</f>
        <v>16000</v>
      </c>
      <c r="BL6" s="78">
        <f t="shared" ref="BL6:BL11" si="42">BK6/BJ6</f>
        <v>0.15238095238095239</v>
      </c>
      <c r="BM6" s="1314"/>
      <c r="BN6" s="1310">
        <f t="shared" si="7"/>
        <v>1655517</v>
      </c>
      <c r="BO6" s="1310">
        <f t="shared" si="7"/>
        <v>1786378.2</v>
      </c>
      <c r="BP6" s="1310">
        <f t="shared" si="7"/>
        <v>130861.20000000004</v>
      </c>
      <c r="BQ6" s="220">
        <f t="shared" si="8"/>
        <v>7.3255036363520362E-2</v>
      </c>
      <c r="BR6" s="607">
        <f t="shared" si="9"/>
        <v>20</v>
      </c>
      <c r="BS6" s="137">
        <f t="shared" si="10"/>
        <v>577281</v>
      </c>
      <c r="BT6" s="137">
        <f t="shared" si="10"/>
        <v>619618.6</v>
      </c>
      <c r="BU6" s="137">
        <f t="shared" si="10"/>
        <v>42337.599999999991</v>
      </c>
      <c r="BV6" s="151">
        <f>BU6/BT6</f>
        <v>6.8328484651687338E-2</v>
      </c>
      <c r="BW6" s="607">
        <f t="shared" si="11"/>
        <v>12.333333333333334</v>
      </c>
      <c r="BX6" s="137">
        <f t="shared" si="12"/>
        <v>237605</v>
      </c>
      <c r="BY6" s="137">
        <f t="shared" si="12"/>
        <v>272373.08</v>
      </c>
      <c r="BZ6" s="137">
        <f t="shared" si="12"/>
        <v>34768.080000000002</v>
      </c>
      <c r="CA6" s="135">
        <f>BZ6/BY6</f>
        <v>0.12764873826737944</v>
      </c>
      <c r="CB6" s="607">
        <f t="shared" si="13"/>
        <v>18.333333333333332</v>
      </c>
      <c r="CC6" s="358">
        <f t="shared" si="14"/>
        <v>437375</v>
      </c>
      <c r="CD6" s="358">
        <f t="shared" si="14"/>
        <v>472388.44000000006</v>
      </c>
      <c r="CE6" s="358">
        <f t="shared" si="14"/>
        <v>35013.440000000031</v>
      </c>
      <c r="CF6" s="135">
        <f t="shared" si="15"/>
        <v>7.4120018686316763E-2</v>
      </c>
      <c r="CG6" s="1315">
        <f t="shared" si="16"/>
        <v>15</v>
      </c>
      <c r="CH6" s="358">
        <f t="shared" si="17"/>
        <v>403256</v>
      </c>
      <c r="CI6" s="358">
        <f t="shared" si="17"/>
        <v>421998.08000000002</v>
      </c>
      <c r="CJ6" s="358">
        <f t="shared" si="17"/>
        <v>18742.080000000016</v>
      </c>
      <c r="CK6" s="151">
        <f t="shared" ref="CK6:CK46" si="43">CJ6/CI6</f>
        <v>4.4412713915665245E-2</v>
      </c>
      <c r="CL6" s="79"/>
      <c r="CM6" s="439">
        <v>12</v>
      </c>
      <c r="CN6" s="208">
        <v>122827</v>
      </c>
      <c r="CO6" s="208">
        <v>145658</v>
      </c>
      <c r="CP6" s="208">
        <f t="shared" si="18"/>
        <v>22831</v>
      </c>
      <c r="CQ6" s="217">
        <f>CP6/CO6</f>
        <v>0.1567438794985514</v>
      </c>
      <c r="CR6" s="583">
        <v>25</v>
      </c>
      <c r="CS6" s="395">
        <v>230144</v>
      </c>
      <c r="CT6" s="395">
        <v>250182</v>
      </c>
      <c r="CU6" s="208">
        <f t="shared" si="19"/>
        <v>20038</v>
      </c>
      <c r="CV6" s="186">
        <f>CU6/CT6</f>
        <v>8.0093691792375146E-2</v>
      </c>
      <c r="CW6" s="439">
        <v>21</v>
      </c>
      <c r="CX6" s="208">
        <v>189217</v>
      </c>
      <c r="CY6" s="208">
        <v>238156</v>
      </c>
      <c r="CZ6" s="208">
        <f t="shared" si="20"/>
        <v>48939</v>
      </c>
      <c r="DA6" s="169">
        <f>CZ6/CY6</f>
        <v>0.20549135860528392</v>
      </c>
      <c r="DB6" s="1312">
        <v>36</v>
      </c>
      <c r="DC6" s="265">
        <v>314796</v>
      </c>
      <c r="DD6" s="265"/>
      <c r="DE6" s="208">
        <f t="shared" si="21"/>
        <v>-314796</v>
      </c>
      <c r="DF6" s="1313" t="e">
        <f t="shared" si="22"/>
        <v>#DIV/0!</v>
      </c>
      <c r="DG6" s="583">
        <v>33</v>
      </c>
      <c r="DH6" s="395">
        <v>202769</v>
      </c>
      <c r="DI6" s="395"/>
      <c r="DJ6" s="208">
        <f t="shared" si="23"/>
        <v>-202769</v>
      </c>
      <c r="DK6" s="114" t="e">
        <f t="shared" si="24"/>
        <v>#DIV/0!</v>
      </c>
      <c r="DL6" s="583">
        <v>14</v>
      </c>
      <c r="DM6" s="395">
        <v>155739</v>
      </c>
      <c r="DN6" s="395"/>
      <c r="DO6" s="208">
        <f t="shared" si="25"/>
        <v>-155739</v>
      </c>
      <c r="DP6" s="362" t="e">
        <f>DO6/DN6</f>
        <v>#DIV/0!</v>
      </c>
      <c r="DQ6" s="113"/>
      <c r="DR6" s="208">
        <v>55810</v>
      </c>
      <c r="DS6" s="208"/>
      <c r="DT6" s="208">
        <f t="shared" si="26"/>
        <v>-55810</v>
      </c>
      <c r="DU6" s="78" t="e">
        <f t="shared" si="27"/>
        <v>#DIV/0!</v>
      </c>
      <c r="DV6" s="113">
        <v>26</v>
      </c>
      <c r="DW6" s="208">
        <v>241061</v>
      </c>
      <c r="DX6" s="208"/>
      <c r="DY6" s="208">
        <f>DX6-DW6</f>
        <v>-241061</v>
      </c>
      <c r="DZ6" s="157" t="e">
        <f>DY6/DX6</f>
        <v>#DIV/0!</v>
      </c>
      <c r="EA6" s="209">
        <v>32</v>
      </c>
      <c r="EB6" s="208">
        <v>465714</v>
      </c>
      <c r="EC6" s="208"/>
      <c r="ED6" s="208">
        <f t="shared" si="28"/>
        <v>-465714</v>
      </c>
      <c r="EE6" s="157" t="e">
        <f t="shared" si="29"/>
        <v>#DIV/0!</v>
      </c>
      <c r="EF6" s="113"/>
      <c r="EG6" s="208"/>
      <c r="EH6" s="208"/>
      <c r="EI6" s="208">
        <f>EH6-EG6</f>
        <v>0</v>
      </c>
      <c r="EJ6" s="157" t="e">
        <f>EI6/EH6</f>
        <v>#DIV/0!</v>
      </c>
      <c r="EK6" s="113"/>
      <c r="EL6" s="208"/>
      <c r="EM6" s="208"/>
      <c r="EN6" s="208">
        <f>EM6-EL6</f>
        <v>0</v>
      </c>
      <c r="EO6" s="157" t="e">
        <f>EN6/EM6</f>
        <v>#DIV/0!</v>
      </c>
      <c r="EP6" s="113"/>
      <c r="EQ6" s="208"/>
      <c r="ER6" s="208"/>
      <c r="ES6" s="208">
        <f>ER6-EQ6</f>
        <v>0</v>
      </c>
      <c r="ET6" s="78" t="e">
        <f t="shared" si="30"/>
        <v>#DIV/0!</v>
      </c>
      <c r="EU6" s="1314"/>
      <c r="EV6" s="1310">
        <f t="shared" si="31"/>
        <v>1978077</v>
      </c>
      <c r="EW6" s="1310">
        <f t="shared" si="31"/>
        <v>633996</v>
      </c>
      <c r="EX6" s="1310">
        <f t="shared" si="31"/>
        <v>-1344081</v>
      </c>
      <c r="EY6" s="220">
        <f>EX6/EW6</f>
        <v>-2.1200149527757275</v>
      </c>
      <c r="EZ6" s="357">
        <f t="shared" si="32"/>
        <v>19.333333333333332</v>
      </c>
      <c r="FA6" s="137">
        <f t="shared" si="33"/>
        <v>542188</v>
      </c>
      <c r="FB6" s="137">
        <f t="shared" si="33"/>
        <v>633996</v>
      </c>
      <c r="FC6" s="137">
        <f t="shared" si="33"/>
        <v>91808</v>
      </c>
      <c r="FD6" s="151">
        <f>FC6/FB6</f>
        <v>0.14480848459611734</v>
      </c>
      <c r="FE6" s="607">
        <f t="shared" si="34"/>
        <v>27.666666666666668</v>
      </c>
      <c r="FF6" s="137">
        <f t="shared" si="35"/>
        <v>673304</v>
      </c>
      <c r="FG6" s="137">
        <f t="shared" si="35"/>
        <v>0</v>
      </c>
      <c r="FH6" s="137">
        <f t="shared" si="35"/>
        <v>-673304</v>
      </c>
      <c r="FI6" s="135" t="e">
        <f>FH6/FG6</f>
        <v>#DIV/0!</v>
      </c>
      <c r="FJ6" s="607">
        <f t="shared" si="36"/>
        <v>19.333333333333332</v>
      </c>
      <c r="FK6" s="358">
        <f t="shared" si="37"/>
        <v>762585</v>
      </c>
      <c r="FL6" s="358">
        <f t="shared" si="37"/>
        <v>0</v>
      </c>
      <c r="FM6" s="358">
        <f t="shared" si="37"/>
        <v>-762585</v>
      </c>
      <c r="FN6" s="135" t="e">
        <f t="shared" si="38"/>
        <v>#DIV/0!</v>
      </c>
      <c r="FO6" s="1315">
        <f t="shared" si="39"/>
        <v>0</v>
      </c>
      <c r="FP6" s="358">
        <f t="shared" si="40"/>
        <v>0</v>
      </c>
      <c r="FQ6" s="358">
        <f t="shared" si="40"/>
        <v>0</v>
      </c>
      <c r="FR6" s="358">
        <f t="shared" si="40"/>
        <v>0</v>
      </c>
      <c r="FS6" s="151" t="e">
        <f t="shared" si="41"/>
        <v>#DIV/0!</v>
      </c>
    </row>
    <row r="7" spans="1:175" x14ac:dyDescent="0.3">
      <c r="A7" s="110">
        <v>4</v>
      </c>
      <c r="B7" s="120" t="s">
        <v>371</v>
      </c>
      <c r="C7" s="112" t="s">
        <v>372</v>
      </c>
      <c r="D7" s="112" t="s">
        <v>254</v>
      </c>
      <c r="E7" s="439"/>
      <c r="F7" s="208"/>
      <c r="G7" s="208"/>
      <c r="H7" s="208">
        <f t="shared" si="0"/>
        <v>0</v>
      </c>
      <c r="I7" s="217"/>
      <c r="J7" s="113"/>
      <c r="K7" s="994"/>
      <c r="L7" s="358"/>
      <c r="M7" s="208">
        <f t="shared" si="1"/>
        <v>0</v>
      </c>
      <c r="N7" s="186"/>
      <c r="O7" s="113">
        <v>1</v>
      </c>
      <c r="P7" s="208">
        <v>1186</v>
      </c>
      <c r="Q7" s="1316">
        <v>1619.2</v>
      </c>
      <c r="R7" s="208">
        <f t="shared" si="2"/>
        <v>433.20000000000005</v>
      </c>
      <c r="S7" s="169">
        <f>R7/Q7</f>
        <v>0.26753952569169964</v>
      </c>
      <c r="T7" s="1312"/>
      <c r="U7" s="265"/>
      <c r="V7" s="1317"/>
      <c r="W7" s="208">
        <f t="shared" si="3"/>
        <v>0</v>
      </c>
      <c r="X7" s="1313"/>
      <c r="Y7" s="583"/>
      <c r="Z7" s="395"/>
      <c r="AA7" s="395"/>
      <c r="AB7" s="208">
        <f t="shared" si="4"/>
        <v>0</v>
      </c>
      <c r="AC7" s="78"/>
      <c r="AD7" s="583"/>
      <c r="AE7" s="395"/>
      <c r="AF7" s="395"/>
      <c r="AG7" s="208">
        <f t="shared" si="5"/>
        <v>0</v>
      </c>
      <c r="AH7" s="362"/>
      <c r="AI7" s="113">
        <v>1</v>
      </c>
      <c r="AJ7" s="208">
        <v>14987</v>
      </c>
      <c r="AK7" s="208">
        <v>15941</v>
      </c>
      <c r="AL7" s="208">
        <f t="shared" si="6"/>
        <v>954</v>
      </c>
      <c r="AM7" s="78">
        <f>AL7/AK7</f>
        <v>5.9845680948497584E-2</v>
      </c>
      <c r="AN7" s="113"/>
      <c r="AO7" s="208"/>
      <c r="AP7" s="208"/>
      <c r="AQ7" s="208">
        <f t="shared" ref="AQ7:AQ60" si="44">AP7-AO7</f>
        <v>0</v>
      </c>
      <c r="AR7" s="157"/>
      <c r="AS7" s="209"/>
      <c r="AT7" s="208"/>
      <c r="AU7" s="208"/>
      <c r="AV7" s="208">
        <f t="shared" ref="AV7:AV60" si="45">AU7-AT7</f>
        <v>0</v>
      </c>
      <c r="AW7" s="157"/>
      <c r="AX7" s="113"/>
      <c r="AY7" s="208"/>
      <c r="AZ7" s="208"/>
      <c r="BA7" s="208">
        <f t="shared" ref="BA7:BA60" si="46">AZ7-AY7</f>
        <v>0</v>
      </c>
      <c r="BB7" s="157">
        <v>0</v>
      </c>
      <c r="BC7" s="113">
        <v>1</v>
      </c>
      <c r="BD7" s="208">
        <v>3162</v>
      </c>
      <c r="BE7" s="395">
        <v>3238</v>
      </c>
      <c r="BF7" s="208">
        <f>BE7-BD7</f>
        <v>76</v>
      </c>
      <c r="BG7" s="157">
        <v>0</v>
      </c>
      <c r="BH7" s="113">
        <v>3</v>
      </c>
      <c r="BI7" s="208">
        <v>31345</v>
      </c>
      <c r="BJ7" s="208">
        <v>69321</v>
      </c>
      <c r="BK7" s="208">
        <f t="shared" ref="BK7:BK60" si="47">BJ7-BI7</f>
        <v>37976</v>
      </c>
      <c r="BL7" s="78">
        <f t="shared" si="42"/>
        <v>0.54782821944288163</v>
      </c>
      <c r="BM7" s="1314"/>
      <c r="BN7" s="1310">
        <f t="shared" si="7"/>
        <v>50680</v>
      </c>
      <c r="BO7" s="1310">
        <f t="shared" si="7"/>
        <v>90119.2</v>
      </c>
      <c r="BP7" s="1310">
        <f t="shared" si="7"/>
        <v>39439.199999999997</v>
      </c>
      <c r="BQ7" s="220">
        <f t="shared" si="8"/>
        <v>0.43763371179504479</v>
      </c>
      <c r="BR7" s="607">
        <f t="shared" si="9"/>
        <v>0.33333333333333331</v>
      </c>
      <c r="BS7" s="137">
        <f t="shared" si="10"/>
        <v>1186</v>
      </c>
      <c r="BT7" s="137">
        <f t="shared" si="10"/>
        <v>1619.2</v>
      </c>
      <c r="BU7" s="137">
        <f t="shared" si="10"/>
        <v>433.20000000000005</v>
      </c>
      <c r="BV7" s="151">
        <f>BU7/BT7</f>
        <v>0.26753952569169964</v>
      </c>
      <c r="BW7" s="607">
        <f t="shared" si="11"/>
        <v>0</v>
      </c>
      <c r="BX7" s="137">
        <f t="shared" si="12"/>
        <v>0</v>
      </c>
      <c r="BY7" s="137">
        <f t="shared" si="12"/>
        <v>0</v>
      </c>
      <c r="BZ7" s="137">
        <f t="shared" si="12"/>
        <v>0</v>
      </c>
      <c r="CA7" s="135"/>
      <c r="CB7" s="607">
        <f t="shared" si="13"/>
        <v>0.33333333333333331</v>
      </c>
      <c r="CC7" s="358">
        <f t="shared" si="14"/>
        <v>14987</v>
      </c>
      <c r="CD7" s="358">
        <f t="shared" si="14"/>
        <v>15941</v>
      </c>
      <c r="CE7" s="358">
        <f t="shared" si="14"/>
        <v>954</v>
      </c>
      <c r="CF7" s="135">
        <f t="shared" si="15"/>
        <v>5.9845680948497584E-2</v>
      </c>
      <c r="CG7" s="1315">
        <f t="shared" si="16"/>
        <v>1.3333333333333333</v>
      </c>
      <c r="CH7" s="358">
        <f t="shared" si="17"/>
        <v>34507</v>
      </c>
      <c r="CI7" s="358">
        <f t="shared" si="17"/>
        <v>72559</v>
      </c>
      <c r="CJ7" s="358">
        <f t="shared" si="17"/>
        <v>38052</v>
      </c>
      <c r="CK7" s="151">
        <f>CJ7/CI7</f>
        <v>0.52442839620171167</v>
      </c>
      <c r="CL7" s="79"/>
      <c r="CM7" s="439"/>
      <c r="CN7" s="208">
        <v>0</v>
      </c>
      <c r="CO7" s="208">
        <v>0</v>
      </c>
      <c r="CP7" s="208">
        <f t="shared" si="18"/>
        <v>0</v>
      </c>
      <c r="CQ7" s="3547">
        <v>0</v>
      </c>
      <c r="CR7" s="113"/>
      <c r="CS7" s="994"/>
      <c r="CT7" s="358"/>
      <c r="CU7" s="208">
        <f t="shared" si="19"/>
        <v>0</v>
      </c>
      <c r="CV7" s="186"/>
      <c r="CW7" s="439"/>
      <c r="CX7" s="208">
        <v>0</v>
      </c>
      <c r="CY7" s="1316">
        <v>0</v>
      </c>
      <c r="CZ7" s="208">
        <f t="shared" si="20"/>
        <v>0</v>
      </c>
      <c r="DA7" s="169"/>
      <c r="DB7" s="1312">
        <v>1</v>
      </c>
      <c r="DC7" s="265">
        <v>10842</v>
      </c>
      <c r="DD7" s="1317"/>
      <c r="DE7" s="208"/>
      <c r="DF7" s="1313" t="e">
        <f t="shared" si="22"/>
        <v>#DIV/0!</v>
      </c>
      <c r="DG7" s="583"/>
      <c r="DH7" s="395"/>
      <c r="DI7" s="395"/>
      <c r="DJ7" s="208"/>
      <c r="DK7" s="114" t="e">
        <f t="shared" si="24"/>
        <v>#DIV/0!</v>
      </c>
      <c r="DL7" s="583">
        <v>1</v>
      </c>
      <c r="DM7" s="395">
        <v>6352</v>
      </c>
      <c r="DN7" s="395"/>
      <c r="DO7" s="208"/>
      <c r="DP7" s="362"/>
      <c r="DQ7" s="113"/>
      <c r="DR7" s="208"/>
      <c r="DS7" s="208"/>
      <c r="DT7" s="208"/>
      <c r="DU7" s="78"/>
      <c r="DV7" s="113"/>
      <c r="DW7" s="208"/>
      <c r="DX7" s="208"/>
      <c r="DY7" s="208"/>
      <c r="DZ7" s="157"/>
      <c r="EA7" s="209">
        <v>1</v>
      </c>
      <c r="EB7" s="208">
        <v>12805</v>
      </c>
      <c r="EC7" s="208"/>
      <c r="ED7" s="208">
        <f t="shared" si="28"/>
        <v>-12805</v>
      </c>
      <c r="EE7" s="157" t="e">
        <f t="shared" si="29"/>
        <v>#DIV/0!</v>
      </c>
      <c r="EF7" s="113"/>
      <c r="EG7" s="208"/>
      <c r="EH7" s="208"/>
      <c r="EI7" s="208"/>
      <c r="EJ7" s="157"/>
      <c r="EK7" s="113"/>
      <c r="EL7" s="208"/>
      <c r="EM7" s="395"/>
      <c r="EN7" s="208"/>
      <c r="EO7" s="157"/>
      <c r="EP7" s="113"/>
      <c r="EQ7" s="208"/>
      <c r="ER7" s="208"/>
      <c r="ES7" s="208"/>
      <c r="ET7" s="78"/>
      <c r="EU7" s="1314"/>
      <c r="EV7" s="1310"/>
      <c r="EW7" s="1310"/>
      <c r="EX7" s="1310"/>
      <c r="EY7" s="220"/>
      <c r="EZ7" s="357"/>
      <c r="FA7" s="137">
        <f t="shared" si="33"/>
        <v>0</v>
      </c>
      <c r="FB7" s="137">
        <f t="shared" si="33"/>
        <v>0</v>
      </c>
      <c r="FC7" s="137">
        <f t="shared" si="33"/>
        <v>0</v>
      </c>
      <c r="FD7" s="151"/>
      <c r="FE7" s="607">
        <f t="shared" si="34"/>
        <v>0.66666666666666663</v>
      </c>
      <c r="FF7" s="137">
        <f t="shared" si="35"/>
        <v>17194</v>
      </c>
      <c r="FG7" s="137">
        <f t="shared" si="35"/>
        <v>0</v>
      </c>
      <c r="FH7" s="137">
        <f t="shared" si="35"/>
        <v>0</v>
      </c>
      <c r="FI7" s="135"/>
      <c r="FJ7" s="607">
        <f t="shared" si="36"/>
        <v>0.33333333333333331</v>
      </c>
      <c r="FK7" s="358">
        <f t="shared" si="37"/>
        <v>12805</v>
      </c>
      <c r="FL7" s="358">
        <f t="shared" si="37"/>
        <v>0</v>
      </c>
      <c r="FM7" s="358">
        <f t="shared" si="37"/>
        <v>-12805</v>
      </c>
      <c r="FN7" s="135" t="e">
        <f t="shared" si="38"/>
        <v>#DIV/0!</v>
      </c>
      <c r="FO7" s="1315">
        <f t="shared" si="39"/>
        <v>0</v>
      </c>
      <c r="FP7" s="358">
        <f t="shared" si="40"/>
        <v>0</v>
      </c>
      <c r="FQ7" s="358">
        <f t="shared" si="40"/>
        <v>0</v>
      </c>
      <c r="FR7" s="358">
        <f t="shared" si="40"/>
        <v>0</v>
      </c>
      <c r="FS7" s="151" t="e">
        <f t="shared" si="41"/>
        <v>#DIV/0!</v>
      </c>
    </row>
    <row r="8" spans="1:175" x14ac:dyDescent="0.3">
      <c r="A8" s="110">
        <v>8</v>
      </c>
      <c r="B8" s="120" t="s">
        <v>373</v>
      </c>
      <c r="C8" s="112" t="s">
        <v>369</v>
      </c>
      <c r="D8" s="112" t="s">
        <v>254</v>
      </c>
      <c r="E8" s="439">
        <v>25</v>
      </c>
      <c r="F8" s="208">
        <v>376148</v>
      </c>
      <c r="G8" s="395">
        <v>915890</v>
      </c>
      <c r="H8" s="208">
        <f t="shared" si="0"/>
        <v>539742</v>
      </c>
      <c r="I8" s="217">
        <f>H8/G8</f>
        <v>0.58930875978556374</v>
      </c>
      <c r="J8" s="113">
        <v>6</v>
      </c>
      <c r="K8" s="994">
        <v>47229</v>
      </c>
      <c r="L8" s="358">
        <v>62137.16</v>
      </c>
      <c r="M8" s="208">
        <f t="shared" si="1"/>
        <v>14908.160000000003</v>
      </c>
      <c r="N8" s="186">
        <f>M8/L8</f>
        <v>0.23992342102535749</v>
      </c>
      <c r="O8" s="113">
        <v>18</v>
      </c>
      <c r="P8" s="208">
        <v>221313</v>
      </c>
      <c r="Q8" s="395">
        <v>296767.35999999999</v>
      </c>
      <c r="R8" s="208">
        <f t="shared" si="2"/>
        <v>75454.359999999986</v>
      </c>
      <c r="S8" s="421">
        <f>R8/Q8</f>
        <v>0.25425424143679409</v>
      </c>
      <c r="T8" s="1312">
        <v>9</v>
      </c>
      <c r="U8" s="1317">
        <v>123210</v>
      </c>
      <c r="V8" s="1317">
        <v>160595</v>
      </c>
      <c r="W8" s="208">
        <f t="shared" si="3"/>
        <v>37385</v>
      </c>
      <c r="X8" s="1313">
        <f>W8/V8</f>
        <v>0.23279056010461097</v>
      </c>
      <c r="Y8" s="583">
        <v>23</v>
      </c>
      <c r="Z8" s="395">
        <v>379219</v>
      </c>
      <c r="AA8" s="395">
        <v>479868.56</v>
      </c>
      <c r="AB8" s="208">
        <f t="shared" si="4"/>
        <v>100649.56</v>
      </c>
      <c r="AC8" s="78">
        <f>AB8/AA8</f>
        <v>0.2097440182369939</v>
      </c>
      <c r="AD8" s="583">
        <v>40</v>
      </c>
      <c r="AE8" s="395">
        <v>371213</v>
      </c>
      <c r="AF8" s="395">
        <v>502433.49</v>
      </c>
      <c r="AG8" s="208">
        <f t="shared" si="5"/>
        <v>131220.49</v>
      </c>
      <c r="AH8" s="94">
        <f>AG8/AF8</f>
        <v>0.26116987145900644</v>
      </c>
      <c r="AI8" s="113">
        <v>24</v>
      </c>
      <c r="AJ8" s="208">
        <v>398731</v>
      </c>
      <c r="AK8" s="208">
        <v>398790</v>
      </c>
      <c r="AL8" s="208">
        <f t="shared" si="6"/>
        <v>59</v>
      </c>
      <c r="AM8" s="78">
        <f>AL8/AK8</f>
        <v>1.4794754131247022E-4</v>
      </c>
      <c r="AN8" s="113">
        <v>13</v>
      </c>
      <c r="AO8" s="208">
        <v>133568</v>
      </c>
      <c r="AP8" s="208">
        <v>159063</v>
      </c>
      <c r="AQ8" s="208">
        <f t="shared" si="44"/>
        <v>25495</v>
      </c>
      <c r="AR8" s="157">
        <f>AQ8/AP8</f>
        <v>0.16028240382741429</v>
      </c>
      <c r="AS8" s="1318">
        <v>40</v>
      </c>
      <c r="AT8" s="395">
        <v>478410</v>
      </c>
      <c r="AU8" s="395">
        <v>543112</v>
      </c>
      <c r="AV8" s="208">
        <f t="shared" si="45"/>
        <v>64702</v>
      </c>
      <c r="AW8" s="157">
        <f>AV8/AU8</f>
        <v>0.11913196541413189</v>
      </c>
      <c r="AX8" s="113">
        <v>4</v>
      </c>
      <c r="AY8" s="208">
        <v>84191</v>
      </c>
      <c r="AZ8" s="208">
        <v>98750.15</v>
      </c>
      <c r="BA8" s="208">
        <f t="shared" si="46"/>
        <v>14559.149999999994</v>
      </c>
      <c r="BB8" s="157">
        <f>BA8/AZ8</f>
        <v>0.14743420642905347</v>
      </c>
      <c r="BC8" s="113">
        <v>9</v>
      </c>
      <c r="BD8" s="208">
        <v>161177</v>
      </c>
      <c r="BE8" s="395">
        <v>186666</v>
      </c>
      <c r="BF8" s="208">
        <f>BE8-BD8</f>
        <v>25489</v>
      </c>
      <c r="BG8" s="157">
        <f>BF8/BE8</f>
        <v>0.13654870195964985</v>
      </c>
      <c r="BH8" s="113">
        <v>9</v>
      </c>
      <c r="BI8" s="208">
        <v>147962</v>
      </c>
      <c r="BJ8" s="208">
        <v>225845</v>
      </c>
      <c r="BK8" s="208">
        <f t="shared" si="47"/>
        <v>77883</v>
      </c>
      <c r="BL8" s="78">
        <f t="shared" si="42"/>
        <v>0.34485155748411522</v>
      </c>
      <c r="BM8" s="1314"/>
      <c r="BN8" s="1310">
        <f t="shared" si="7"/>
        <v>2922371</v>
      </c>
      <c r="BO8" s="1310">
        <f t="shared" si="7"/>
        <v>4029917.72</v>
      </c>
      <c r="BP8" s="1310">
        <f t="shared" si="7"/>
        <v>1107546.7200000002</v>
      </c>
      <c r="BQ8" s="220">
        <f t="shared" si="8"/>
        <v>0.27483110002553607</v>
      </c>
      <c r="BR8" s="607">
        <f t="shared" si="9"/>
        <v>16.333333333333332</v>
      </c>
      <c r="BS8" s="137">
        <f t="shared" si="10"/>
        <v>644690</v>
      </c>
      <c r="BT8" s="137">
        <f t="shared" si="10"/>
        <v>1274794.52</v>
      </c>
      <c r="BU8" s="137">
        <f t="shared" si="10"/>
        <v>630104.52</v>
      </c>
      <c r="BV8" s="151">
        <f>BU8/BT8</f>
        <v>0.49427928196616344</v>
      </c>
      <c r="BW8" s="607">
        <f t="shared" si="11"/>
        <v>24</v>
      </c>
      <c r="BX8" s="137">
        <f t="shared" si="12"/>
        <v>873642</v>
      </c>
      <c r="BY8" s="137">
        <f t="shared" si="12"/>
        <v>1142897.05</v>
      </c>
      <c r="BZ8" s="137">
        <f t="shared" si="12"/>
        <v>269255.05</v>
      </c>
      <c r="CA8" s="135">
        <f>BZ8/BY8</f>
        <v>0.23558994224370425</v>
      </c>
      <c r="CB8" s="607">
        <f t="shared" si="13"/>
        <v>25.666666666666668</v>
      </c>
      <c r="CC8" s="358">
        <f t="shared" si="14"/>
        <v>1010709</v>
      </c>
      <c r="CD8" s="358">
        <f t="shared" si="14"/>
        <v>1100965</v>
      </c>
      <c r="CE8" s="358">
        <f t="shared" si="14"/>
        <v>90256</v>
      </c>
      <c r="CF8" s="135">
        <f t="shared" si="15"/>
        <v>8.1978991157757058E-2</v>
      </c>
      <c r="CG8" s="1315">
        <f t="shared" si="16"/>
        <v>7.333333333333333</v>
      </c>
      <c r="CH8" s="358">
        <f t="shared" si="17"/>
        <v>393330</v>
      </c>
      <c r="CI8" s="358">
        <f t="shared" si="17"/>
        <v>511261.15</v>
      </c>
      <c r="CJ8" s="358">
        <f t="shared" si="17"/>
        <v>117931.15</v>
      </c>
      <c r="CK8" s="151">
        <f>CJ8/CI8</f>
        <v>0.23066714535223337</v>
      </c>
      <c r="CL8" s="79"/>
      <c r="CM8" s="439">
        <v>3</v>
      </c>
      <c r="CN8" s="208">
        <v>69406</v>
      </c>
      <c r="CO8" s="395">
        <v>81552</v>
      </c>
      <c r="CP8" s="208">
        <f t="shared" si="18"/>
        <v>12146</v>
      </c>
      <c r="CQ8" s="217">
        <f>CP8/CO8</f>
        <v>0.14893564842063958</v>
      </c>
      <c r="CR8" s="113">
        <v>9</v>
      </c>
      <c r="CS8" s="994">
        <v>256378</v>
      </c>
      <c r="CT8" s="358">
        <v>307134</v>
      </c>
      <c r="CU8" s="208">
        <f t="shared" si="19"/>
        <v>50756</v>
      </c>
      <c r="CV8" s="186">
        <f>CU8/CT8</f>
        <v>0.16525685856987504</v>
      </c>
      <c r="CW8" s="439">
        <v>13</v>
      </c>
      <c r="CX8" s="208">
        <v>155659</v>
      </c>
      <c r="CY8" s="395">
        <v>204894</v>
      </c>
      <c r="CZ8" s="208">
        <f t="shared" si="20"/>
        <v>49235</v>
      </c>
      <c r="DA8" s="421">
        <f>CZ8/CY8</f>
        <v>0.24029498179546496</v>
      </c>
      <c r="DB8" s="1312">
        <v>1</v>
      </c>
      <c r="DC8" s="1317">
        <v>17747</v>
      </c>
      <c r="DD8" s="1317"/>
      <c r="DE8" s="208">
        <f t="shared" si="21"/>
        <v>-17747</v>
      </c>
      <c r="DF8" s="1313" t="e">
        <f t="shared" si="22"/>
        <v>#DIV/0!</v>
      </c>
      <c r="DG8" s="583">
        <v>6</v>
      </c>
      <c r="DH8" s="395">
        <v>98143</v>
      </c>
      <c r="DI8" s="395"/>
      <c r="DJ8" s="208">
        <f t="shared" si="23"/>
        <v>-98143</v>
      </c>
      <c r="DK8" s="114" t="e">
        <f t="shared" si="24"/>
        <v>#DIV/0!</v>
      </c>
      <c r="DL8" s="583">
        <v>26</v>
      </c>
      <c r="DM8" s="395">
        <v>550865</v>
      </c>
      <c r="DN8" s="395"/>
      <c r="DO8" s="208">
        <f t="shared" si="25"/>
        <v>-550865</v>
      </c>
      <c r="DP8" s="362" t="e">
        <f>DO8/DN8</f>
        <v>#DIV/0!</v>
      </c>
      <c r="DQ8" s="113"/>
      <c r="DR8" s="208">
        <v>117476</v>
      </c>
      <c r="DS8" s="208"/>
      <c r="DT8" s="208">
        <f t="shared" si="26"/>
        <v>-117476</v>
      </c>
      <c r="DU8" s="78" t="e">
        <f t="shared" si="27"/>
        <v>#DIV/0!</v>
      </c>
      <c r="DV8" s="113">
        <v>12</v>
      </c>
      <c r="DW8" s="208">
        <v>223229</v>
      </c>
      <c r="DX8" s="208"/>
      <c r="DY8" s="208">
        <f>DX8-DW8</f>
        <v>-223229</v>
      </c>
      <c r="DZ8" s="157" t="e">
        <f>DY8/DX8</f>
        <v>#DIV/0!</v>
      </c>
      <c r="EA8" s="1318">
        <v>4</v>
      </c>
      <c r="EB8" s="395">
        <v>38429</v>
      </c>
      <c r="EC8" s="395"/>
      <c r="ED8" s="208">
        <f t="shared" si="28"/>
        <v>-38429</v>
      </c>
      <c r="EE8" s="157" t="e">
        <f t="shared" si="29"/>
        <v>#DIV/0!</v>
      </c>
      <c r="EF8" s="113"/>
      <c r="EG8" s="208"/>
      <c r="EH8" s="208"/>
      <c r="EI8" s="208">
        <f>EH8-EG8</f>
        <v>0</v>
      </c>
      <c r="EJ8" s="157" t="e">
        <f>EI8/EH8</f>
        <v>#DIV/0!</v>
      </c>
      <c r="EK8" s="113"/>
      <c r="EL8" s="208"/>
      <c r="EM8" s="395"/>
      <c r="EN8" s="208">
        <f>EM8-EL8</f>
        <v>0</v>
      </c>
      <c r="EO8" s="157" t="e">
        <f t="shared" ref="EO8:EO13" si="48">EN8/EM8</f>
        <v>#DIV/0!</v>
      </c>
      <c r="EP8" s="113"/>
      <c r="EQ8" s="208"/>
      <c r="ER8" s="208"/>
      <c r="ES8" s="208">
        <f>ER8-EQ8</f>
        <v>0</v>
      </c>
      <c r="ET8" s="78" t="e">
        <f t="shared" si="30"/>
        <v>#DIV/0!</v>
      </c>
      <c r="EU8" s="1314"/>
      <c r="EV8" s="1310">
        <f t="shared" si="31"/>
        <v>1527332</v>
      </c>
      <c r="EW8" s="1310">
        <f t="shared" si="31"/>
        <v>593580</v>
      </c>
      <c r="EX8" s="1310">
        <f t="shared" si="31"/>
        <v>-933752</v>
      </c>
      <c r="EY8" s="220">
        <f>EX8/EW8</f>
        <v>-1.5730853465413255</v>
      </c>
      <c r="EZ8" s="357">
        <f t="shared" si="32"/>
        <v>8.3333333333333339</v>
      </c>
      <c r="FA8" s="137">
        <f t="shared" si="33"/>
        <v>481443</v>
      </c>
      <c r="FB8" s="137">
        <f t="shared" si="33"/>
        <v>593580</v>
      </c>
      <c r="FC8" s="137">
        <f t="shared" si="33"/>
        <v>112137</v>
      </c>
      <c r="FD8" s="151">
        <f>FC8/FB8</f>
        <v>0.18891640553927019</v>
      </c>
      <c r="FE8" s="607">
        <f t="shared" si="34"/>
        <v>11</v>
      </c>
      <c r="FF8" s="137">
        <f t="shared" si="35"/>
        <v>666755</v>
      </c>
      <c r="FG8" s="137">
        <f t="shared" si="35"/>
        <v>0</v>
      </c>
      <c r="FH8" s="137">
        <f t="shared" si="35"/>
        <v>-666755</v>
      </c>
      <c r="FI8" s="135" t="e">
        <f>FH8/FG8</f>
        <v>#DIV/0!</v>
      </c>
      <c r="FJ8" s="607">
        <f t="shared" si="36"/>
        <v>5.333333333333333</v>
      </c>
      <c r="FK8" s="358">
        <f t="shared" si="37"/>
        <v>379134</v>
      </c>
      <c r="FL8" s="358">
        <f t="shared" si="37"/>
        <v>0</v>
      </c>
      <c r="FM8" s="358">
        <f t="shared" si="37"/>
        <v>-379134</v>
      </c>
      <c r="FN8" s="135" t="e">
        <f t="shared" si="38"/>
        <v>#DIV/0!</v>
      </c>
      <c r="FO8" s="1315">
        <f t="shared" si="39"/>
        <v>0</v>
      </c>
      <c r="FP8" s="358">
        <f t="shared" si="40"/>
        <v>0</v>
      </c>
      <c r="FQ8" s="358">
        <f t="shared" si="40"/>
        <v>0</v>
      </c>
      <c r="FR8" s="358">
        <f t="shared" si="40"/>
        <v>0</v>
      </c>
      <c r="FS8" s="151" t="e">
        <f t="shared" si="41"/>
        <v>#DIV/0!</v>
      </c>
    </row>
    <row r="9" spans="1:175" x14ac:dyDescent="0.3">
      <c r="A9" s="110">
        <v>9</v>
      </c>
      <c r="B9" s="120" t="s">
        <v>374</v>
      </c>
      <c r="C9" s="112" t="s">
        <v>375</v>
      </c>
      <c r="D9" s="112" t="s">
        <v>254</v>
      </c>
      <c r="E9" s="439"/>
      <c r="F9" s="208"/>
      <c r="G9" s="208"/>
      <c r="H9" s="208">
        <f t="shared" si="0"/>
        <v>0</v>
      </c>
      <c r="I9" s="217"/>
      <c r="J9" s="113"/>
      <c r="K9" s="994"/>
      <c r="L9" s="358"/>
      <c r="M9" s="208">
        <f t="shared" si="1"/>
        <v>0</v>
      </c>
      <c r="N9" s="186"/>
      <c r="O9" s="113"/>
      <c r="P9" s="208"/>
      <c r="Q9" s="395"/>
      <c r="R9" s="208">
        <f t="shared" si="2"/>
        <v>0</v>
      </c>
      <c r="S9" s="169"/>
      <c r="T9" s="1312"/>
      <c r="U9" s="1317"/>
      <c r="V9" s="1317"/>
      <c r="W9" s="208">
        <f t="shared" si="3"/>
        <v>0</v>
      </c>
      <c r="X9" s="1313"/>
      <c r="Y9" s="583"/>
      <c r="Z9" s="395"/>
      <c r="AA9" s="395"/>
      <c r="AB9" s="208">
        <f t="shared" si="4"/>
        <v>0</v>
      </c>
      <c r="AC9" s="186"/>
      <c r="AD9" s="583"/>
      <c r="AE9" s="395"/>
      <c r="AF9" s="395"/>
      <c r="AG9" s="208">
        <f t="shared" si="5"/>
        <v>0</v>
      </c>
      <c r="AH9" s="94"/>
      <c r="AI9" s="113"/>
      <c r="AJ9" s="208"/>
      <c r="AK9" s="395"/>
      <c r="AL9" s="208">
        <f t="shared" si="6"/>
        <v>0</v>
      </c>
      <c r="AM9" s="78"/>
      <c r="AN9" s="113"/>
      <c r="AO9" s="208"/>
      <c r="AP9" s="208"/>
      <c r="AQ9" s="208">
        <f t="shared" si="44"/>
        <v>0</v>
      </c>
      <c r="AR9" s="157"/>
      <c r="AS9" s="1318"/>
      <c r="AT9" s="395"/>
      <c r="AU9" s="395"/>
      <c r="AV9" s="208">
        <f t="shared" si="45"/>
        <v>0</v>
      </c>
      <c r="AW9" s="157"/>
      <c r="AX9" s="113"/>
      <c r="AY9" s="208"/>
      <c r="AZ9" s="208"/>
      <c r="BA9" s="208">
        <f t="shared" si="46"/>
        <v>0</v>
      </c>
      <c r="BB9" s="157"/>
      <c r="BC9" s="113"/>
      <c r="BD9" s="208"/>
      <c r="BE9" s="395"/>
      <c r="BF9" s="208">
        <f t="shared" ref="BF9:BF60" si="49">BE9-BD9</f>
        <v>0</v>
      </c>
      <c r="BG9" s="1561">
        <v>0</v>
      </c>
      <c r="BH9" s="113"/>
      <c r="BI9" s="208"/>
      <c r="BJ9" s="395"/>
      <c r="BK9" s="208">
        <f t="shared" si="47"/>
        <v>0</v>
      </c>
      <c r="BL9" s="1581">
        <v>0</v>
      </c>
      <c r="BM9" s="1314"/>
      <c r="BN9" s="1310">
        <f t="shared" si="7"/>
        <v>0</v>
      </c>
      <c r="BO9" s="1310">
        <f t="shared" si="7"/>
        <v>0</v>
      </c>
      <c r="BP9" s="1310">
        <f t="shared" si="7"/>
        <v>0</v>
      </c>
      <c r="BQ9" s="220"/>
      <c r="BR9" s="607">
        <f t="shared" si="9"/>
        <v>0</v>
      </c>
      <c r="BS9" s="137">
        <f t="shared" si="10"/>
        <v>0</v>
      </c>
      <c r="BT9" s="137">
        <f t="shared" si="10"/>
        <v>0</v>
      </c>
      <c r="BU9" s="137">
        <f t="shared" si="10"/>
        <v>0</v>
      </c>
      <c r="BV9" s="151"/>
      <c r="BW9" s="607">
        <f t="shared" si="11"/>
        <v>0</v>
      </c>
      <c r="BX9" s="137">
        <f t="shared" si="12"/>
        <v>0</v>
      </c>
      <c r="BY9" s="137">
        <f t="shared" si="12"/>
        <v>0</v>
      </c>
      <c r="BZ9" s="137">
        <f t="shared" si="12"/>
        <v>0</v>
      </c>
      <c r="CA9" s="135"/>
      <c r="CB9" s="607">
        <f t="shared" si="13"/>
        <v>0</v>
      </c>
      <c r="CC9" s="358">
        <f t="shared" si="14"/>
        <v>0</v>
      </c>
      <c r="CD9" s="358">
        <f t="shared" si="14"/>
        <v>0</v>
      </c>
      <c r="CE9" s="358">
        <f t="shared" si="14"/>
        <v>0</v>
      </c>
      <c r="CF9" s="135" t="e">
        <f t="shared" si="15"/>
        <v>#DIV/0!</v>
      </c>
      <c r="CG9" s="1315">
        <f t="shared" si="16"/>
        <v>0</v>
      </c>
      <c r="CH9" s="358">
        <f t="shared" si="17"/>
        <v>0</v>
      </c>
      <c r="CI9" s="358">
        <f t="shared" si="17"/>
        <v>0</v>
      </c>
      <c r="CJ9" s="358">
        <f t="shared" si="17"/>
        <v>0</v>
      </c>
      <c r="CK9" s="151" t="e">
        <f>CJ9/CI9</f>
        <v>#DIV/0!</v>
      </c>
      <c r="CL9" s="79"/>
      <c r="CM9" s="439"/>
      <c r="CN9" s="208">
        <v>0</v>
      </c>
      <c r="CO9" s="208">
        <v>0</v>
      </c>
      <c r="CP9" s="208">
        <f t="shared" si="18"/>
        <v>0</v>
      </c>
      <c r="CQ9" s="3547">
        <v>0</v>
      </c>
      <c r="CR9" s="113"/>
      <c r="CS9" s="994"/>
      <c r="CT9" s="358"/>
      <c r="CU9" s="208">
        <f t="shared" si="19"/>
        <v>0</v>
      </c>
      <c r="CV9" s="186"/>
      <c r="CW9" s="439"/>
      <c r="CX9" s="208">
        <v>0</v>
      </c>
      <c r="CY9" s="395">
        <v>0</v>
      </c>
      <c r="CZ9" s="208">
        <f t="shared" si="20"/>
        <v>0</v>
      </c>
      <c r="DA9" s="421"/>
      <c r="DB9" s="1312">
        <v>1</v>
      </c>
      <c r="DC9" s="1317">
        <v>12000</v>
      </c>
      <c r="DD9" s="1317"/>
      <c r="DE9" s="208">
        <f t="shared" si="21"/>
        <v>-12000</v>
      </c>
      <c r="DF9" s="1313" t="e">
        <f t="shared" si="22"/>
        <v>#DIV/0!</v>
      </c>
      <c r="DG9" s="583"/>
      <c r="DH9" s="395"/>
      <c r="DI9" s="395"/>
      <c r="DJ9" s="208">
        <f t="shared" si="23"/>
        <v>0</v>
      </c>
      <c r="DK9" s="114" t="e">
        <f t="shared" si="24"/>
        <v>#DIV/0!</v>
      </c>
      <c r="DL9" s="583"/>
      <c r="DM9" s="395"/>
      <c r="DN9" s="395"/>
      <c r="DO9" s="208">
        <f t="shared" si="25"/>
        <v>0</v>
      </c>
      <c r="DP9" s="362" t="e">
        <f>DO9/DN9</f>
        <v>#DIV/0!</v>
      </c>
      <c r="DQ9" s="113"/>
      <c r="DR9" s="208"/>
      <c r="DS9" s="395"/>
      <c r="DT9" s="208">
        <f t="shared" si="26"/>
        <v>0</v>
      </c>
      <c r="DU9" s="78" t="e">
        <f t="shared" si="27"/>
        <v>#DIV/0!</v>
      </c>
      <c r="DV9" s="113"/>
      <c r="DW9" s="208"/>
      <c r="DX9" s="208"/>
      <c r="DY9" s="208">
        <f>DX9-DW9</f>
        <v>0</v>
      </c>
      <c r="DZ9" s="157" t="e">
        <f>DY9/DX9</f>
        <v>#DIV/0!</v>
      </c>
      <c r="EA9" s="1318"/>
      <c r="EB9" s="395"/>
      <c r="EC9" s="395"/>
      <c r="ED9" s="208">
        <f t="shared" si="28"/>
        <v>0</v>
      </c>
      <c r="EE9" s="157" t="e">
        <f t="shared" si="29"/>
        <v>#DIV/0!</v>
      </c>
      <c r="EF9" s="113"/>
      <c r="EG9" s="208"/>
      <c r="EH9" s="208"/>
      <c r="EI9" s="208">
        <f>EH9-EG9</f>
        <v>0</v>
      </c>
      <c r="EJ9" s="157"/>
      <c r="EK9" s="113"/>
      <c r="EL9" s="208"/>
      <c r="EM9" s="395"/>
      <c r="EN9" s="208">
        <f>EM9-EL9</f>
        <v>0</v>
      </c>
      <c r="EO9" s="157" t="e">
        <f t="shared" si="48"/>
        <v>#DIV/0!</v>
      </c>
      <c r="EP9" s="113"/>
      <c r="EQ9" s="208"/>
      <c r="ER9" s="395"/>
      <c r="ES9" s="208">
        <f>ER9-EQ9</f>
        <v>0</v>
      </c>
      <c r="ET9" s="78" t="e">
        <f t="shared" si="30"/>
        <v>#DIV/0!</v>
      </c>
      <c r="EU9" s="1314"/>
      <c r="EV9" s="1310">
        <f t="shared" si="31"/>
        <v>12000</v>
      </c>
      <c r="EW9" s="1310">
        <f t="shared" si="31"/>
        <v>0</v>
      </c>
      <c r="EX9" s="1310">
        <f t="shared" si="31"/>
        <v>-12000</v>
      </c>
      <c r="EY9" s="220"/>
      <c r="EZ9" s="357">
        <f t="shared" si="32"/>
        <v>0</v>
      </c>
      <c r="FA9" s="137">
        <f t="shared" si="33"/>
        <v>0</v>
      </c>
      <c r="FB9" s="137">
        <f t="shared" si="33"/>
        <v>0</v>
      </c>
      <c r="FC9" s="137">
        <f t="shared" si="33"/>
        <v>0</v>
      </c>
      <c r="FD9" s="151"/>
      <c r="FE9" s="607">
        <f t="shared" si="34"/>
        <v>0.33333333333333331</v>
      </c>
      <c r="FF9" s="137">
        <f t="shared" si="35"/>
        <v>12000</v>
      </c>
      <c r="FG9" s="137">
        <f t="shared" si="35"/>
        <v>0</v>
      </c>
      <c r="FH9" s="137">
        <f t="shared" si="35"/>
        <v>-12000</v>
      </c>
      <c r="FI9" s="135"/>
      <c r="FJ9" s="607">
        <f t="shared" si="36"/>
        <v>0</v>
      </c>
      <c r="FK9" s="358">
        <f t="shared" si="37"/>
        <v>0</v>
      </c>
      <c r="FL9" s="358">
        <f t="shared" si="37"/>
        <v>0</v>
      </c>
      <c r="FM9" s="358">
        <f t="shared" si="37"/>
        <v>0</v>
      </c>
      <c r="FN9" s="135" t="e">
        <f t="shared" si="38"/>
        <v>#DIV/0!</v>
      </c>
      <c r="FO9" s="1315">
        <f t="shared" si="39"/>
        <v>0</v>
      </c>
      <c r="FP9" s="358">
        <f t="shared" si="40"/>
        <v>0</v>
      </c>
      <c r="FQ9" s="358">
        <f t="shared" si="40"/>
        <v>0</v>
      </c>
      <c r="FR9" s="358">
        <f t="shared" si="40"/>
        <v>0</v>
      </c>
      <c r="FS9" s="151" t="e">
        <f t="shared" si="41"/>
        <v>#DIV/0!</v>
      </c>
    </row>
    <row r="10" spans="1:175" x14ac:dyDescent="0.3">
      <c r="A10" s="110">
        <v>10</v>
      </c>
      <c r="B10" s="120" t="s">
        <v>376</v>
      </c>
      <c r="C10" s="112" t="s">
        <v>375</v>
      </c>
      <c r="D10" s="112" t="s">
        <v>254</v>
      </c>
      <c r="E10" s="439"/>
      <c r="F10" s="208"/>
      <c r="G10" s="208"/>
      <c r="H10" s="208">
        <f t="shared" si="0"/>
        <v>0</v>
      </c>
      <c r="I10" s="1319"/>
      <c r="J10" s="113"/>
      <c r="K10" s="994"/>
      <c r="L10" s="358"/>
      <c r="M10" s="208">
        <f t="shared" si="1"/>
        <v>0</v>
      </c>
      <c r="N10" s="186"/>
      <c r="O10" s="113"/>
      <c r="P10" s="208"/>
      <c r="Q10" s="395"/>
      <c r="R10" s="208">
        <f t="shared" si="2"/>
        <v>0</v>
      </c>
      <c r="S10" s="1320"/>
      <c r="T10" s="1312"/>
      <c r="U10" s="1317"/>
      <c r="V10" s="1317"/>
      <c r="W10" s="208">
        <f t="shared" si="3"/>
        <v>0</v>
      </c>
      <c r="X10" s="1313"/>
      <c r="Y10" s="583"/>
      <c r="Z10" s="395"/>
      <c r="AA10" s="395"/>
      <c r="AB10" s="208">
        <f t="shared" si="4"/>
        <v>0</v>
      </c>
      <c r="AC10" s="1321"/>
      <c r="AD10" s="583"/>
      <c r="AE10" s="395"/>
      <c r="AF10" s="395"/>
      <c r="AG10" s="208">
        <f t="shared" si="5"/>
        <v>0</v>
      </c>
      <c r="AH10" s="94"/>
      <c r="AI10" s="113"/>
      <c r="AJ10" s="208"/>
      <c r="AK10" s="395"/>
      <c r="AL10" s="208">
        <f t="shared" si="6"/>
        <v>0</v>
      </c>
      <c r="AM10" s="78"/>
      <c r="AN10" s="113"/>
      <c r="AO10" s="208"/>
      <c r="AP10" s="208"/>
      <c r="AQ10" s="208">
        <f t="shared" si="44"/>
        <v>0</v>
      </c>
      <c r="AR10" s="157"/>
      <c r="AS10" s="209"/>
      <c r="AT10" s="208"/>
      <c r="AU10" s="208"/>
      <c r="AV10" s="208">
        <f t="shared" si="45"/>
        <v>0</v>
      </c>
      <c r="AW10" s="157"/>
      <c r="AX10" s="113"/>
      <c r="AY10" s="208"/>
      <c r="AZ10" s="208"/>
      <c r="BA10" s="208">
        <f t="shared" si="46"/>
        <v>0</v>
      </c>
      <c r="BB10" s="157"/>
      <c r="BC10" s="113"/>
      <c r="BD10" s="208"/>
      <c r="BE10" s="395"/>
      <c r="BF10" s="208">
        <f t="shared" si="49"/>
        <v>0</v>
      </c>
      <c r="BG10" s="1561">
        <v>0</v>
      </c>
      <c r="BH10" s="113"/>
      <c r="BI10" s="208"/>
      <c r="BJ10" s="395"/>
      <c r="BK10" s="208">
        <f t="shared" si="47"/>
        <v>0</v>
      </c>
      <c r="BL10" s="1581">
        <v>0</v>
      </c>
      <c r="BM10" s="1314"/>
      <c r="BN10" s="1310">
        <f t="shared" si="7"/>
        <v>0</v>
      </c>
      <c r="BO10" s="1310">
        <f t="shared" si="7"/>
        <v>0</v>
      </c>
      <c r="BP10" s="1310">
        <f t="shared" si="7"/>
        <v>0</v>
      </c>
      <c r="BQ10" s="220"/>
      <c r="BR10" s="607">
        <f t="shared" si="9"/>
        <v>0</v>
      </c>
      <c r="BS10" s="137">
        <f t="shared" si="10"/>
        <v>0</v>
      </c>
      <c r="BT10" s="137">
        <f t="shared" si="10"/>
        <v>0</v>
      </c>
      <c r="BU10" s="137">
        <f t="shared" si="10"/>
        <v>0</v>
      </c>
      <c r="BV10" s="151"/>
      <c r="BW10" s="607">
        <f t="shared" si="11"/>
        <v>0</v>
      </c>
      <c r="BX10" s="137">
        <f t="shared" si="12"/>
        <v>0</v>
      </c>
      <c r="BY10" s="137">
        <f t="shared" si="12"/>
        <v>0</v>
      </c>
      <c r="BZ10" s="137">
        <f t="shared" si="12"/>
        <v>0</v>
      </c>
      <c r="CA10" s="135"/>
      <c r="CB10" s="607">
        <f t="shared" si="13"/>
        <v>0</v>
      </c>
      <c r="CC10" s="358">
        <f t="shared" si="14"/>
        <v>0</v>
      </c>
      <c r="CD10" s="358">
        <f t="shared" si="14"/>
        <v>0</v>
      </c>
      <c r="CE10" s="358">
        <f t="shared" si="14"/>
        <v>0</v>
      </c>
      <c r="CF10" s="135" t="e">
        <f t="shared" si="15"/>
        <v>#DIV/0!</v>
      </c>
      <c r="CG10" s="1315">
        <f t="shared" si="16"/>
        <v>0</v>
      </c>
      <c r="CH10" s="358">
        <f t="shared" si="17"/>
        <v>0</v>
      </c>
      <c r="CI10" s="358">
        <f t="shared" si="17"/>
        <v>0</v>
      </c>
      <c r="CJ10" s="358">
        <f t="shared" si="17"/>
        <v>0</v>
      </c>
      <c r="CK10" s="151" t="e">
        <f>CJ10/CI10</f>
        <v>#DIV/0!</v>
      </c>
      <c r="CL10" s="79"/>
      <c r="CM10" s="439"/>
      <c r="CN10" s="208">
        <v>0</v>
      </c>
      <c r="CO10" s="208">
        <v>0</v>
      </c>
      <c r="CP10" s="208">
        <f t="shared" si="18"/>
        <v>0</v>
      </c>
      <c r="CQ10" s="3547">
        <v>0</v>
      </c>
      <c r="CR10" s="113"/>
      <c r="CS10" s="994"/>
      <c r="CT10" s="358"/>
      <c r="CU10" s="208">
        <f t="shared" si="19"/>
        <v>0</v>
      </c>
      <c r="CV10" s="186"/>
      <c r="CW10" s="439"/>
      <c r="CX10" s="208">
        <v>0</v>
      </c>
      <c r="CY10" s="395">
        <v>0</v>
      </c>
      <c r="CZ10" s="208">
        <f t="shared" si="20"/>
        <v>0</v>
      </c>
      <c r="DA10" s="421"/>
      <c r="DB10" s="1312"/>
      <c r="DC10" s="1317"/>
      <c r="DD10" s="1317"/>
      <c r="DE10" s="208">
        <f t="shared" si="21"/>
        <v>0</v>
      </c>
      <c r="DF10" s="1313" t="e">
        <f t="shared" si="22"/>
        <v>#DIV/0!</v>
      </c>
      <c r="DG10" s="583"/>
      <c r="DH10" s="395"/>
      <c r="DI10" s="395"/>
      <c r="DJ10" s="208">
        <f t="shared" si="23"/>
        <v>0</v>
      </c>
      <c r="DK10" s="114" t="e">
        <f t="shared" si="24"/>
        <v>#DIV/0!</v>
      </c>
      <c r="DL10" s="583"/>
      <c r="DM10" s="395"/>
      <c r="DN10" s="395"/>
      <c r="DO10" s="208">
        <f t="shared" si="25"/>
        <v>0</v>
      </c>
      <c r="DP10" s="362" t="e">
        <f>DO10/DN10</f>
        <v>#DIV/0!</v>
      </c>
      <c r="DQ10" s="113"/>
      <c r="DR10" s="208"/>
      <c r="DS10" s="395"/>
      <c r="DT10" s="208">
        <f t="shared" si="26"/>
        <v>0</v>
      </c>
      <c r="DU10" s="78" t="e">
        <f t="shared" si="27"/>
        <v>#DIV/0!</v>
      </c>
      <c r="DV10" s="113"/>
      <c r="DW10" s="208"/>
      <c r="DX10" s="208"/>
      <c r="DY10" s="208">
        <f>DX10-DW10</f>
        <v>0</v>
      </c>
      <c r="DZ10" s="157" t="e">
        <f>DY10/DX10</f>
        <v>#DIV/0!</v>
      </c>
      <c r="EA10" s="209"/>
      <c r="EB10" s="208"/>
      <c r="EC10" s="208"/>
      <c r="ED10" s="208">
        <f t="shared" si="28"/>
        <v>0</v>
      </c>
      <c r="EE10" s="157" t="e">
        <f t="shared" si="29"/>
        <v>#DIV/0!</v>
      </c>
      <c r="EF10" s="113"/>
      <c r="EG10" s="208"/>
      <c r="EH10" s="208"/>
      <c r="EI10" s="208">
        <f>EH10-EG10</f>
        <v>0</v>
      </c>
      <c r="EJ10" s="157"/>
      <c r="EK10" s="113"/>
      <c r="EL10" s="208"/>
      <c r="EM10" s="395"/>
      <c r="EN10" s="208">
        <f>EM10-EL10</f>
        <v>0</v>
      </c>
      <c r="EO10" s="157" t="e">
        <f t="shared" si="48"/>
        <v>#DIV/0!</v>
      </c>
      <c r="EP10" s="113"/>
      <c r="EQ10" s="208"/>
      <c r="ER10" s="395"/>
      <c r="ES10" s="208">
        <f>ER10-EQ10</f>
        <v>0</v>
      </c>
      <c r="ET10" s="78" t="e">
        <f t="shared" si="30"/>
        <v>#DIV/0!</v>
      </c>
      <c r="EU10" s="1314"/>
      <c r="EV10" s="1310">
        <f t="shared" si="31"/>
        <v>0</v>
      </c>
      <c r="EW10" s="1310">
        <f t="shared" si="31"/>
        <v>0</v>
      </c>
      <c r="EX10" s="1310">
        <f t="shared" si="31"/>
        <v>0</v>
      </c>
      <c r="EY10" s="220"/>
      <c r="EZ10" s="357">
        <f t="shared" si="32"/>
        <v>0</v>
      </c>
      <c r="FA10" s="137">
        <f t="shared" si="33"/>
        <v>0</v>
      </c>
      <c r="FB10" s="137">
        <f t="shared" si="33"/>
        <v>0</v>
      </c>
      <c r="FC10" s="137">
        <f t="shared" si="33"/>
        <v>0</v>
      </c>
      <c r="FD10" s="151"/>
      <c r="FE10" s="607">
        <f t="shared" si="34"/>
        <v>0</v>
      </c>
      <c r="FF10" s="137">
        <f t="shared" si="35"/>
        <v>0</v>
      </c>
      <c r="FG10" s="137">
        <f t="shared" si="35"/>
        <v>0</v>
      </c>
      <c r="FH10" s="137">
        <f t="shared" si="35"/>
        <v>0</v>
      </c>
      <c r="FI10" s="135"/>
      <c r="FJ10" s="607">
        <f t="shared" si="36"/>
        <v>0</v>
      </c>
      <c r="FK10" s="358">
        <f t="shared" si="37"/>
        <v>0</v>
      </c>
      <c r="FL10" s="358">
        <f t="shared" si="37"/>
        <v>0</v>
      </c>
      <c r="FM10" s="358">
        <f t="shared" si="37"/>
        <v>0</v>
      </c>
      <c r="FN10" s="135" t="e">
        <f t="shared" si="38"/>
        <v>#DIV/0!</v>
      </c>
      <c r="FO10" s="1315">
        <f t="shared" si="39"/>
        <v>0</v>
      </c>
      <c r="FP10" s="358">
        <f t="shared" si="40"/>
        <v>0</v>
      </c>
      <c r="FQ10" s="358">
        <f t="shared" si="40"/>
        <v>0</v>
      </c>
      <c r="FR10" s="358">
        <f t="shared" si="40"/>
        <v>0</v>
      </c>
      <c r="FS10" s="151" t="e">
        <f t="shared" si="41"/>
        <v>#DIV/0!</v>
      </c>
    </row>
    <row r="11" spans="1:175" x14ac:dyDescent="0.3">
      <c r="A11" s="110">
        <v>14</v>
      </c>
      <c r="B11" s="111" t="s">
        <v>384</v>
      </c>
      <c r="C11" s="112" t="s">
        <v>141</v>
      </c>
      <c r="D11" s="112" t="s">
        <v>254</v>
      </c>
      <c r="E11" s="439"/>
      <c r="F11" s="994"/>
      <c r="G11" s="358"/>
      <c r="H11" s="208">
        <f>G11-F11</f>
        <v>0</v>
      </c>
      <c r="I11" s="217"/>
      <c r="J11" s="113">
        <v>4</v>
      </c>
      <c r="K11" s="994">
        <f>30913+10499</f>
        <v>41412</v>
      </c>
      <c r="L11" s="622">
        <f>42260.9+12937</f>
        <v>55197.9</v>
      </c>
      <c r="M11" s="208">
        <f>L11-K11</f>
        <v>13785.900000000001</v>
      </c>
      <c r="N11" s="186">
        <f>M11/L11</f>
        <v>0.24975406673079956</v>
      </c>
      <c r="O11" s="113">
        <v>3</v>
      </c>
      <c r="P11" s="208">
        <v>34230</v>
      </c>
      <c r="Q11" s="395">
        <v>47493.33</v>
      </c>
      <c r="R11" s="208">
        <f>Q11-P11</f>
        <v>13263.330000000002</v>
      </c>
      <c r="S11" s="169">
        <f>R11/Q11</f>
        <v>0.27926721499629531</v>
      </c>
      <c r="T11" s="1325">
        <v>1</v>
      </c>
      <c r="U11" s="1326">
        <v>11510</v>
      </c>
      <c r="V11" s="1317">
        <v>15725.81</v>
      </c>
      <c r="W11" s="208">
        <f>V11-U11</f>
        <v>4215.8099999999995</v>
      </c>
      <c r="X11" s="1313">
        <f>W11/V11</f>
        <v>0.26808221643273061</v>
      </c>
      <c r="Y11" s="583"/>
      <c r="Z11" s="395"/>
      <c r="AA11" s="395"/>
      <c r="AB11" s="208">
        <f>AA11-Z11</f>
        <v>0</v>
      </c>
      <c r="AC11" s="78"/>
      <c r="AD11" s="583">
        <v>3</v>
      </c>
      <c r="AE11" s="395">
        <f>36598+2198</f>
        <v>38796</v>
      </c>
      <c r="AF11" s="395">
        <f>47873.13+2721</f>
        <v>50594.13</v>
      </c>
      <c r="AG11" s="208">
        <f>AF11-AE11</f>
        <v>11798.129999999997</v>
      </c>
      <c r="AH11" s="94">
        <f>AG11/AF11</f>
        <v>0.233191676583825</v>
      </c>
      <c r="AI11" s="113"/>
      <c r="AJ11" s="208"/>
      <c r="AK11" s="395"/>
      <c r="AL11" s="208">
        <f>AK11-AJ11</f>
        <v>0</v>
      </c>
      <c r="AM11" s="78"/>
      <c r="AN11" s="113"/>
      <c r="AO11" s="208"/>
      <c r="AP11" s="208"/>
      <c r="AQ11" s="208">
        <f>AP11-AO11</f>
        <v>0</v>
      </c>
      <c r="AR11" s="157"/>
      <c r="AS11" s="209"/>
      <c r="AT11" s="208"/>
      <c r="AU11" s="395"/>
      <c r="AV11" s="208">
        <f>AU11-AT11</f>
        <v>0</v>
      </c>
      <c r="AW11" s="157"/>
      <c r="AX11" s="113"/>
      <c r="AY11" s="208"/>
      <c r="AZ11" s="208"/>
      <c r="BA11" s="208">
        <f>AZ11-AY11</f>
        <v>0</v>
      </c>
      <c r="BB11" s="1561">
        <v>0</v>
      </c>
      <c r="BC11" s="113">
        <v>2</v>
      </c>
      <c r="BD11" s="208">
        <v>22647</v>
      </c>
      <c r="BE11" s="395">
        <v>18747</v>
      </c>
      <c r="BF11" s="208">
        <f t="shared" si="49"/>
        <v>-3900</v>
      </c>
      <c r="BG11" s="157">
        <f>BF11/BE11</f>
        <v>-0.2080332853256521</v>
      </c>
      <c r="BH11" s="113">
        <v>3</v>
      </c>
      <c r="BI11" s="208">
        <v>45661</v>
      </c>
      <c r="BJ11" s="208">
        <v>51000</v>
      </c>
      <c r="BK11" s="208">
        <f t="shared" si="47"/>
        <v>5339</v>
      </c>
      <c r="BL11" s="78">
        <f t="shared" si="42"/>
        <v>0.10468627450980392</v>
      </c>
      <c r="BM11" s="1314"/>
      <c r="BN11" s="1310">
        <f t="shared" si="7"/>
        <v>194256</v>
      </c>
      <c r="BO11" s="1310">
        <f t="shared" si="7"/>
        <v>238758.17</v>
      </c>
      <c r="BP11" s="1310">
        <f t="shared" si="7"/>
        <v>44502.17</v>
      </c>
      <c r="BQ11" s="220">
        <f>BP11/BO11</f>
        <v>0.18639014530895423</v>
      </c>
      <c r="BR11" s="607">
        <f t="shared" si="9"/>
        <v>2.3333333333333335</v>
      </c>
      <c r="BS11" s="137">
        <f t="shared" si="10"/>
        <v>75642</v>
      </c>
      <c r="BT11" s="137">
        <f t="shared" si="10"/>
        <v>102691.23000000001</v>
      </c>
      <c r="BU11" s="137">
        <f t="shared" si="10"/>
        <v>27049.230000000003</v>
      </c>
      <c r="BV11" s="151">
        <f>BU11/BT11</f>
        <v>0.26340350583004996</v>
      </c>
      <c r="BW11" s="607">
        <f t="shared" si="11"/>
        <v>1.3333333333333333</v>
      </c>
      <c r="BX11" s="137">
        <f t="shared" si="12"/>
        <v>50306</v>
      </c>
      <c r="BY11" s="137">
        <f t="shared" si="12"/>
        <v>66319.94</v>
      </c>
      <c r="BZ11" s="137">
        <f t="shared" si="12"/>
        <v>16013.939999999997</v>
      </c>
      <c r="CA11" s="135">
        <f>BZ11/BY11</f>
        <v>0.24146493498033919</v>
      </c>
      <c r="CB11" s="607">
        <f t="shared" si="13"/>
        <v>0</v>
      </c>
      <c r="CC11" s="358">
        <f t="shared" si="14"/>
        <v>0</v>
      </c>
      <c r="CD11" s="358">
        <f t="shared" si="14"/>
        <v>0</v>
      </c>
      <c r="CE11" s="358">
        <f t="shared" si="14"/>
        <v>0</v>
      </c>
      <c r="CF11" s="135" t="e">
        <f>CE11/CD11</f>
        <v>#DIV/0!</v>
      </c>
      <c r="CG11" s="1315">
        <f t="shared" si="16"/>
        <v>1.6666666666666667</v>
      </c>
      <c r="CH11" s="358">
        <f t="shared" si="17"/>
        <v>68308</v>
      </c>
      <c r="CI11" s="358">
        <f t="shared" si="17"/>
        <v>69747</v>
      </c>
      <c r="CJ11" s="358">
        <f t="shared" si="17"/>
        <v>1439</v>
      </c>
      <c r="CK11" s="151">
        <f>CJ11/CI11</f>
        <v>2.0631711758211824E-2</v>
      </c>
      <c r="CL11" s="79"/>
      <c r="CM11" s="439">
        <v>3</v>
      </c>
      <c r="CN11" s="208">
        <f>14254+7328</f>
        <v>21582</v>
      </c>
      <c r="CO11" s="208">
        <v>25407</v>
      </c>
      <c r="CP11" s="208">
        <f>CO11-CN11</f>
        <v>3825</v>
      </c>
      <c r="CQ11" s="217">
        <f>CP11/CO11</f>
        <v>0.15054906128232376</v>
      </c>
      <c r="CR11" s="113">
        <v>1</v>
      </c>
      <c r="CS11" s="994">
        <v>10945</v>
      </c>
      <c r="CT11" s="622">
        <v>18900</v>
      </c>
      <c r="CU11" s="208">
        <f>CT11-CS11</f>
        <v>7955</v>
      </c>
      <c r="CV11" s="186">
        <f>CU11/CT11</f>
        <v>0.42089947089947088</v>
      </c>
      <c r="CW11" s="439">
        <v>4</v>
      </c>
      <c r="CX11" s="208">
        <v>31062</v>
      </c>
      <c r="CY11" s="395">
        <v>36920</v>
      </c>
      <c r="CZ11" s="208">
        <f>CY11-CX11</f>
        <v>5858</v>
      </c>
      <c r="DA11" s="421">
        <f>CZ11/CY11</f>
        <v>0.15866738894907909</v>
      </c>
      <c r="DB11" s="1325">
        <v>2</v>
      </c>
      <c r="DC11" s="1322">
        <f>2241+8212</f>
        <v>10453</v>
      </c>
      <c r="DD11" s="1317"/>
      <c r="DE11" s="208">
        <f>DD11-DC11</f>
        <v>-10453</v>
      </c>
      <c r="DF11" s="1313" t="e">
        <f t="shared" si="22"/>
        <v>#DIV/0!</v>
      </c>
      <c r="DG11" s="583">
        <v>4</v>
      </c>
      <c r="DH11" s="395">
        <v>38976</v>
      </c>
      <c r="DI11" s="395"/>
      <c r="DJ11" s="208">
        <f>DI11-DH11</f>
        <v>-38976</v>
      </c>
      <c r="DK11" s="114" t="e">
        <f t="shared" si="24"/>
        <v>#DIV/0!</v>
      </c>
      <c r="DL11" s="583">
        <v>1</v>
      </c>
      <c r="DM11" s="395">
        <v>13655</v>
      </c>
      <c r="DN11" s="395"/>
      <c r="DO11" s="208">
        <f>DN11-DM11</f>
        <v>-13655</v>
      </c>
      <c r="DP11" s="362" t="e">
        <f>DO11/DN11</f>
        <v>#DIV/0!</v>
      </c>
      <c r="DQ11" s="113"/>
      <c r="DR11" s="208">
        <v>30453</v>
      </c>
      <c r="DS11" s="395"/>
      <c r="DT11" s="208">
        <f>DS11-DR11</f>
        <v>-30453</v>
      </c>
      <c r="DU11" s="78" t="e">
        <f t="shared" si="27"/>
        <v>#DIV/0!</v>
      </c>
      <c r="DV11" s="113">
        <v>1</v>
      </c>
      <c r="DW11" s="208">
        <v>20895</v>
      </c>
      <c r="DX11" s="208"/>
      <c r="DY11" s="208">
        <f>DX11-DW11</f>
        <v>-20895</v>
      </c>
      <c r="DZ11" s="157" t="e">
        <f>DY11/DX11</f>
        <v>#DIV/0!</v>
      </c>
      <c r="EA11" s="209">
        <v>1</v>
      </c>
      <c r="EB11" s="208">
        <v>5344</v>
      </c>
      <c r="EC11" s="395"/>
      <c r="ED11" s="208">
        <f t="shared" si="28"/>
        <v>-5344</v>
      </c>
      <c r="EE11" s="157" t="e">
        <f t="shared" si="29"/>
        <v>#DIV/0!</v>
      </c>
      <c r="EF11" s="113"/>
      <c r="EG11" s="208"/>
      <c r="EH11" s="208"/>
      <c r="EI11" s="208">
        <f>EH11-EG11</f>
        <v>0</v>
      </c>
      <c r="EJ11" s="1561">
        <v>0</v>
      </c>
      <c r="EK11" s="113"/>
      <c r="EL11" s="208"/>
      <c r="EM11" s="395"/>
      <c r="EN11" s="208">
        <f>EM11-EL11</f>
        <v>0</v>
      </c>
      <c r="EO11" s="157" t="e">
        <f t="shared" si="48"/>
        <v>#DIV/0!</v>
      </c>
      <c r="EP11" s="113"/>
      <c r="EQ11" s="208"/>
      <c r="ER11" s="208"/>
      <c r="ES11" s="208">
        <f>ER11-EQ11</f>
        <v>0</v>
      </c>
      <c r="ET11" s="78" t="e">
        <f t="shared" si="30"/>
        <v>#DIV/0!</v>
      </c>
      <c r="EU11" s="1314"/>
      <c r="EV11" s="1310">
        <f t="shared" si="31"/>
        <v>183365</v>
      </c>
      <c r="EW11" s="1310">
        <f t="shared" si="31"/>
        <v>81227</v>
      </c>
      <c r="EX11" s="1310">
        <f t="shared" si="31"/>
        <v>-102138</v>
      </c>
      <c r="EY11" s="220">
        <f>EX11/EW11</f>
        <v>-1.2574390288943331</v>
      </c>
      <c r="EZ11" s="357">
        <f t="shared" si="32"/>
        <v>2.6666666666666665</v>
      </c>
      <c r="FA11" s="137">
        <f t="shared" si="33"/>
        <v>63589</v>
      </c>
      <c r="FB11" s="137">
        <f t="shared" si="33"/>
        <v>81227</v>
      </c>
      <c r="FC11" s="137">
        <f t="shared" si="33"/>
        <v>17638</v>
      </c>
      <c r="FD11" s="151">
        <f>FC11/FB11</f>
        <v>0.21714454553288931</v>
      </c>
      <c r="FE11" s="607">
        <f t="shared" si="34"/>
        <v>2.3333333333333335</v>
      </c>
      <c r="FF11" s="137">
        <f t="shared" si="35"/>
        <v>63084</v>
      </c>
      <c r="FG11" s="137">
        <f t="shared" si="35"/>
        <v>0</v>
      </c>
      <c r="FH11" s="137">
        <f t="shared" si="35"/>
        <v>-63084</v>
      </c>
      <c r="FI11" s="135" t="e">
        <f>FH11/FG11</f>
        <v>#DIV/0!</v>
      </c>
      <c r="FJ11" s="607">
        <f t="shared" si="36"/>
        <v>0.66666666666666663</v>
      </c>
      <c r="FK11" s="358">
        <f t="shared" si="37"/>
        <v>56692</v>
      </c>
      <c r="FL11" s="358">
        <f t="shared" si="37"/>
        <v>0</v>
      </c>
      <c r="FM11" s="358">
        <f t="shared" si="37"/>
        <v>-56692</v>
      </c>
      <c r="FN11" s="135" t="e">
        <f>FM11/FL11</f>
        <v>#DIV/0!</v>
      </c>
      <c r="FO11" s="1315">
        <f t="shared" si="39"/>
        <v>0</v>
      </c>
      <c r="FP11" s="358">
        <f t="shared" si="40"/>
        <v>0</v>
      </c>
      <c r="FQ11" s="358">
        <f t="shared" si="40"/>
        <v>0</v>
      </c>
      <c r="FR11" s="358">
        <f t="shared" si="40"/>
        <v>0</v>
      </c>
      <c r="FS11" s="151" t="e">
        <f t="shared" si="41"/>
        <v>#DIV/0!</v>
      </c>
    </row>
    <row r="12" spans="1:175" x14ac:dyDescent="0.3">
      <c r="A12" s="1582"/>
      <c r="B12" s="662"/>
      <c r="C12" s="1583"/>
      <c r="D12" s="1583"/>
      <c r="E12" s="440"/>
      <c r="F12" s="1584"/>
      <c r="G12" s="1585"/>
      <c r="H12" s="435"/>
      <c r="I12" s="1586"/>
      <c r="J12" s="667"/>
      <c r="K12" s="1584"/>
      <c r="L12" s="1587"/>
      <c r="M12" s="435"/>
      <c r="N12" s="1588"/>
      <c r="O12" s="667"/>
      <c r="P12" s="435"/>
      <c r="Q12" s="436"/>
      <c r="R12" s="435"/>
      <c r="S12" s="1589"/>
      <c r="T12" s="1590"/>
      <c r="U12" s="1591"/>
      <c r="V12" s="1592"/>
      <c r="W12" s="435"/>
      <c r="X12" s="1593"/>
      <c r="Y12" s="1594"/>
      <c r="Z12" s="436"/>
      <c r="AA12" s="436"/>
      <c r="AB12" s="435"/>
      <c r="AC12" s="461"/>
      <c r="AD12" s="1594"/>
      <c r="AE12" s="436"/>
      <c r="AF12" s="436"/>
      <c r="AG12" s="435"/>
      <c r="AH12" s="225"/>
      <c r="AI12" s="667"/>
      <c r="AJ12" s="435"/>
      <c r="AK12" s="436"/>
      <c r="AL12" s="435"/>
      <c r="AM12" s="461"/>
      <c r="AN12" s="667"/>
      <c r="AO12" s="435"/>
      <c r="AP12" s="435"/>
      <c r="AQ12" s="435"/>
      <c r="AR12" s="1595"/>
      <c r="AS12" s="1596"/>
      <c r="AT12" s="435"/>
      <c r="AU12" s="436"/>
      <c r="AV12" s="435"/>
      <c r="AW12" s="1595"/>
      <c r="AX12" s="667"/>
      <c r="AY12" s="435"/>
      <c r="AZ12" s="435"/>
      <c r="BA12" s="435"/>
      <c r="BB12" s="1597"/>
      <c r="BC12" s="667"/>
      <c r="BD12" s="435"/>
      <c r="BE12" s="436"/>
      <c r="BF12" s="435"/>
      <c r="BG12" s="1595"/>
      <c r="BH12" s="667"/>
      <c r="BI12" s="435"/>
      <c r="BJ12" s="435"/>
      <c r="BK12" s="435"/>
      <c r="BL12" s="461"/>
      <c r="BM12" s="1598"/>
      <c r="BN12" s="1599"/>
      <c r="BO12" s="1599"/>
      <c r="BP12" s="1599"/>
      <c r="BQ12" s="1600"/>
      <c r="BR12" s="607"/>
      <c r="BS12" s="137"/>
      <c r="BT12" s="137"/>
      <c r="BU12" s="137"/>
      <c r="BV12" s="151"/>
      <c r="BW12" s="607"/>
      <c r="BX12" s="137"/>
      <c r="BY12" s="137"/>
      <c r="BZ12" s="137"/>
      <c r="CA12" s="135"/>
      <c r="CB12" s="607"/>
      <c r="CC12" s="358"/>
      <c r="CD12" s="358"/>
      <c r="CE12" s="358"/>
      <c r="CF12" s="135"/>
      <c r="CG12" s="1315"/>
      <c r="CH12" s="358"/>
      <c r="CI12" s="358"/>
      <c r="CJ12" s="358"/>
      <c r="CK12" s="151"/>
      <c r="CL12" s="79"/>
      <c r="CM12" s="440"/>
      <c r="CN12" s="435"/>
      <c r="CO12" s="435"/>
      <c r="CP12" s="435"/>
      <c r="CQ12" s="1586"/>
      <c r="CR12" s="667"/>
      <c r="CS12" s="1584"/>
      <c r="CT12" s="1587"/>
      <c r="CU12" s="435"/>
      <c r="CV12" s="1588"/>
      <c r="CW12" s="440"/>
      <c r="CX12" s="435"/>
      <c r="CY12" s="436"/>
      <c r="CZ12" s="435"/>
      <c r="DA12" s="1589"/>
      <c r="DB12" s="1590"/>
      <c r="DC12" s="1591"/>
      <c r="DD12" s="1592"/>
      <c r="DE12" s="435"/>
      <c r="DF12" s="1593"/>
      <c r="DG12" s="1594"/>
      <c r="DH12" s="436"/>
      <c r="DI12" s="436"/>
      <c r="DJ12" s="435"/>
      <c r="DK12" s="461"/>
      <c r="DL12" s="1594"/>
      <c r="DM12" s="436"/>
      <c r="DN12" s="436"/>
      <c r="DO12" s="435"/>
      <c r="DP12" s="225"/>
      <c r="DQ12" s="667"/>
      <c r="DR12" s="435"/>
      <c r="DS12" s="436"/>
      <c r="DT12" s="435"/>
      <c r="DU12" s="461"/>
      <c r="DV12" s="667"/>
      <c r="DW12" s="435"/>
      <c r="DX12" s="435"/>
      <c r="DY12" s="435"/>
      <c r="DZ12" s="1595"/>
      <c r="EA12" s="1596"/>
      <c r="EB12" s="435"/>
      <c r="EC12" s="436"/>
      <c r="ED12" s="435"/>
      <c r="EE12" s="1595"/>
      <c r="EF12" s="667"/>
      <c r="EG12" s="435"/>
      <c r="EH12" s="435"/>
      <c r="EI12" s="435"/>
      <c r="EJ12" s="1597"/>
      <c r="EK12" s="667"/>
      <c r="EL12" s="435"/>
      <c r="EM12" s="436"/>
      <c r="EN12" s="435"/>
      <c r="EO12" s="157" t="e">
        <f t="shared" si="48"/>
        <v>#DIV/0!</v>
      </c>
      <c r="EP12" s="667"/>
      <c r="EQ12" s="435"/>
      <c r="ER12" s="435"/>
      <c r="ES12" s="435"/>
      <c r="ET12" s="78" t="e">
        <f t="shared" si="30"/>
        <v>#DIV/0!</v>
      </c>
      <c r="EU12" s="1598"/>
      <c r="EV12" s="1599"/>
      <c r="EW12" s="1599"/>
      <c r="EX12" s="1599"/>
      <c r="EY12" s="1600"/>
      <c r="EZ12" s="357"/>
      <c r="FA12" s="137"/>
      <c r="FB12" s="137"/>
      <c r="FC12" s="137"/>
      <c r="FD12" s="151"/>
      <c r="FE12" s="607"/>
      <c r="FF12" s="137"/>
      <c r="FG12" s="137"/>
      <c r="FH12" s="137"/>
      <c r="FI12" s="135"/>
      <c r="FJ12" s="607"/>
      <c r="FK12" s="358"/>
      <c r="FL12" s="358"/>
      <c r="FM12" s="358"/>
      <c r="FN12" s="135"/>
      <c r="FO12" s="1315"/>
      <c r="FP12" s="358"/>
      <c r="FQ12" s="358"/>
      <c r="FR12" s="358"/>
      <c r="FS12" s="151"/>
    </row>
    <row r="13" spans="1:175" s="65" customFormat="1" x14ac:dyDescent="0.3">
      <c r="A13" s="1601"/>
      <c r="B13" s="6613"/>
      <c r="C13" s="6614"/>
      <c r="D13" s="6614"/>
      <c r="E13" s="1601">
        <f>SUM(E5:E12)</f>
        <v>63</v>
      </c>
      <c r="F13" s="1602">
        <f>SUM(F5:F12)</f>
        <v>738267</v>
      </c>
      <c r="G13" s="1602">
        <f>SUM(G5:G12)</f>
        <v>1331273.56</v>
      </c>
      <c r="H13" s="1602">
        <f>SUM(H5:H12)</f>
        <v>593006.56000000006</v>
      </c>
      <c r="I13" s="1603">
        <f>H13/G13</f>
        <v>0.44544305379279076</v>
      </c>
      <c r="J13" s="1601">
        <f>SUM(J5:J12)</f>
        <v>22</v>
      </c>
      <c r="K13" s="1602">
        <f>SUM(K5:K12)</f>
        <v>229710</v>
      </c>
      <c r="L13" s="1602">
        <f>SUM(L5:L12)</f>
        <v>240747.86000000002</v>
      </c>
      <c r="M13" s="1602">
        <f>SUM(M5:M12)</f>
        <v>11037.860000000008</v>
      </c>
      <c r="N13" s="1603">
        <f>M13/L13</f>
        <v>4.5848216470127739E-2</v>
      </c>
      <c r="O13" s="1601">
        <f>SUM(O5:O12)</f>
        <v>41</v>
      </c>
      <c r="P13" s="1602">
        <f>SUM(P5:P12)</f>
        <v>423651</v>
      </c>
      <c r="Q13" s="1602">
        <f>SUM(Q5:Q12)</f>
        <v>522643.13</v>
      </c>
      <c r="R13" s="1602">
        <f>SUM(R5:R12)</f>
        <v>98992.129999999976</v>
      </c>
      <c r="S13" s="1603">
        <f>R13/Q13</f>
        <v>0.18940673725109516</v>
      </c>
      <c r="T13" s="1601">
        <f>SUM(T5:T12)</f>
        <v>24</v>
      </c>
      <c r="U13" s="1602">
        <f>SUM(U5:U12)</f>
        <v>248524</v>
      </c>
      <c r="V13" s="1602">
        <f>SUM(V5:V12)</f>
        <v>301080.01</v>
      </c>
      <c r="W13" s="1602">
        <f>SUM(W5:W12)</f>
        <v>52556.009999999995</v>
      </c>
      <c r="X13" s="1603">
        <f>W13/V13</f>
        <v>0.17455828435770276</v>
      </c>
      <c r="Y13" s="1601">
        <f>SUM(Y5:Y12)</f>
        <v>33</v>
      </c>
      <c r="Z13" s="1602">
        <f>SUM(Z5:Z12)</f>
        <v>482460</v>
      </c>
      <c r="AA13" s="1602">
        <f>SUM(AA5:AA12)</f>
        <v>604393.56000000006</v>
      </c>
      <c r="AB13" s="1602">
        <f>SUM(AB5:AB12)</f>
        <v>121933.56</v>
      </c>
      <c r="AC13" s="1603">
        <f>AB13/AA13</f>
        <v>0.20174529986719247</v>
      </c>
      <c r="AD13" s="1601">
        <f>SUM(AD5:AD12)</f>
        <v>61</v>
      </c>
      <c r="AE13" s="1602">
        <f>SUM(AE5:AE12)</f>
        <v>499447</v>
      </c>
      <c r="AF13" s="1602">
        <f>SUM(AF5:AF12)</f>
        <v>655488.69999999995</v>
      </c>
      <c r="AG13" s="1602">
        <f>SUM(AG5:AG12)</f>
        <v>156041.70000000001</v>
      </c>
      <c r="AH13" s="1603">
        <f>AG13/AF13</f>
        <v>0.23805398933650576</v>
      </c>
      <c r="AI13" s="1601">
        <f>SUM(AI5:AI12)</f>
        <v>49</v>
      </c>
      <c r="AJ13" s="1602">
        <f>SUM(AJ5:AJ12)</f>
        <v>649990</v>
      </c>
      <c r="AK13" s="1602">
        <f>SUM(AK5:AK12)</f>
        <v>653379</v>
      </c>
      <c r="AL13" s="1602">
        <f>SUM(AL5:AL12)</f>
        <v>3389</v>
      </c>
      <c r="AM13" s="1603">
        <f>AL13/AK13</f>
        <v>5.1868823454687095E-3</v>
      </c>
      <c r="AN13" s="1601">
        <f>SUM(AN5:AN12)</f>
        <v>28</v>
      </c>
      <c r="AO13" s="1602">
        <f>SUM(AO5:AO12)</f>
        <v>281894</v>
      </c>
      <c r="AP13" s="1602">
        <f>SUM(AP5:AP12)</f>
        <v>323911</v>
      </c>
      <c r="AQ13" s="1602">
        <f>SUM(AQ5:AQ12)</f>
        <v>42017</v>
      </c>
      <c r="AR13" s="1603">
        <f>AQ13/AP13</f>
        <v>0.12971773110514925</v>
      </c>
      <c r="AS13" s="1601">
        <f>SUM(AS5:AS12)</f>
        <v>64</v>
      </c>
      <c r="AT13" s="1602">
        <f>SUM(AT5:AT12)</f>
        <v>654586</v>
      </c>
      <c r="AU13" s="1602">
        <f>SUM(AU5:AU12)</f>
        <v>740991.52</v>
      </c>
      <c r="AV13" s="1602">
        <f>SUM(AV5:AV12)</f>
        <v>86405.520000000033</v>
      </c>
      <c r="AW13" s="1603">
        <f>AV13/AU13</f>
        <v>0.11660797413713997</v>
      </c>
      <c r="AX13" s="1601">
        <f>SUM(AX5:AX12)</f>
        <v>25</v>
      </c>
      <c r="AY13" s="1602">
        <f>SUM(AY5:AY12)</f>
        <v>283097</v>
      </c>
      <c r="AZ13" s="1602">
        <f>SUM(AZ5:AZ12)</f>
        <v>282584.23</v>
      </c>
      <c r="BA13" s="1602">
        <f>SUM(BA5:BA12)</f>
        <v>-512.76999999998952</v>
      </c>
      <c r="BB13" s="1603">
        <f>BA13/AZ13</f>
        <v>-1.8145740121449437E-3</v>
      </c>
      <c r="BC13" s="1601">
        <f>SUM(BC5:BC12)</f>
        <v>27</v>
      </c>
      <c r="BD13" s="1602">
        <f>SUM(BD5:BD12)</f>
        <v>358362</v>
      </c>
      <c r="BE13" s="1602">
        <f>SUM(BE5:BE12)</f>
        <v>385305</v>
      </c>
      <c r="BF13" s="1602">
        <f>SUM(BF5:BF12)</f>
        <v>26943</v>
      </c>
      <c r="BG13" s="1603">
        <f>BF13/BE13</f>
        <v>6.9926421925487606E-2</v>
      </c>
      <c r="BH13" s="1601">
        <f>SUM(BH5:BH12)</f>
        <v>28</v>
      </c>
      <c r="BI13" s="1602">
        <f>SUM(BI5:BI12)</f>
        <v>313968</v>
      </c>
      <c r="BJ13" s="1602">
        <f>SUM(BJ5:BJ12)</f>
        <v>451166</v>
      </c>
      <c r="BK13" s="1602">
        <f>SUM(BK5:BK12)</f>
        <v>137198</v>
      </c>
      <c r="BL13" s="1603">
        <f>BK13/BJ13</f>
        <v>0.30409649663316829</v>
      </c>
      <c r="BM13" s="1601"/>
      <c r="BN13" s="1602">
        <f>SUM(BN5:BN12)</f>
        <v>5163956</v>
      </c>
      <c r="BO13" s="1602">
        <f>SUM(BO5:BO12)</f>
        <v>6492963.5700000003</v>
      </c>
      <c r="BP13" s="1602">
        <f>SUM(BP5:BP12)</f>
        <v>1329007.5700000003</v>
      </c>
      <c r="BQ13" s="1603">
        <f>BP13/BO13</f>
        <v>0.2046842794776377</v>
      </c>
      <c r="BR13" s="1601"/>
      <c r="BS13" s="1602">
        <f>SUM(BS5:BS12)</f>
        <v>1391628</v>
      </c>
      <c r="BT13" s="1602">
        <f>SUM(BT5:BT12)</f>
        <v>2094664.5499999998</v>
      </c>
      <c r="BU13" s="1602">
        <f>SUM(BU5:BU12)</f>
        <v>703036.55</v>
      </c>
      <c r="BV13" s="1603">
        <f>BU13/BT13</f>
        <v>0.335632046668284</v>
      </c>
      <c r="BW13" s="1601"/>
      <c r="BX13" s="1602">
        <f>SUM(BX5:BX12)</f>
        <v>1230431</v>
      </c>
      <c r="BY13" s="1602">
        <f>SUM(BY5:BY12)</f>
        <v>1560962.27</v>
      </c>
      <c r="BZ13" s="1602">
        <f>SUM(BZ5:BZ12)</f>
        <v>330531.26999999996</v>
      </c>
      <c r="CA13" s="1603">
        <f>BZ13/BY13</f>
        <v>0.21174840439929402</v>
      </c>
      <c r="CB13" s="1601"/>
      <c r="CC13" s="1602">
        <f>SUM(CC5:CC12)</f>
        <v>1586470</v>
      </c>
      <c r="CD13" s="1602">
        <f>SUM(CD5:CD12)</f>
        <v>1718281.52</v>
      </c>
      <c r="CE13" s="1602">
        <f>SUM(CE5:CE12)</f>
        <v>131811.52000000002</v>
      </c>
      <c r="CF13" s="1603">
        <f>CE13/CD13</f>
        <v>7.6711248107935198E-2</v>
      </c>
      <c r="CG13" s="1601"/>
      <c r="CH13" s="1602">
        <f>SUM(CH5:CH12)</f>
        <v>955427</v>
      </c>
      <c r="CI13" s="1602">
        <f>SUM(CI5:CI12)</f>
        <v>1119055.23</v>
      </c>
      <c r="CJ13" s="1602">
        <f>SUM(CJ5:CJ12)</f>
        <v>163628.23000000001</v>
      </c>
      <c r="CK13" s="1603">
        <f>CJ13/CI13</f>
        <v>0.14621997700685427</v>
      </c>
      <c r="CL13" s="101"/>
      <c r="CM13" s="1601">
        <f>SUM(CM5:CM12)</f>
        <v>21</v>
      </c>
      <c r="CN13" s="1602">
        <f>SUM(CN5:CN12)</f>
        <v>274989</v>
      </c>
      <c r="CO13" s="1602">
        <f>SUM(CO5:CO12)</f>
        <v>318577</v>
      </c>
      <c r="CP13" s="1602">
        <f>SUM(CP5:CP12)</f>
        <v>43588</v>
      </c>
      <c r="CQ13" s="1603">
        <f>CP13/CO13</f>
        <v>0.13682092555331993</v>
      </c>
      <c r="CR13" s="1601">
        <f>SUM(CR5:CR12)</f>
        <v>38</v>
      </c>
      <c r="CS13" s="1602">
        <f>SUM(CS5:CS12)</f>
        <v>518108</v>
      </c>
      <c r="CT13" s="1602">
        <f>SUM(CT5:CT12)</f>
        <v>600559</v>
      </c>
      <c r="CU13" s="1602">
        <f>SUM(CU5:CU12)</f>
        <v>82451</v>
      </c>
      <c r="CV13" s="1603">
        <f>CU13/CT13</f>
        <v>0.13729042442124753</v>
      </c>
      <c r="CW13" s="3738">
        <f>SUM(CW5:CW12)</f>
        <v>42</v>
      </c>
      <c r="CX13" s="1602">
        <f>SUM(CX5:CX12)</f>
        <v>417775</v>
      </c>
      <c r="CY13" s="1602">
        <f>SUM(CY5:CY12)</f>
        <v>522161</v>
      </c>
      <c r="CZ13" s="1602">
        <f>SUM(CZ5:CZ12)</f>
        <v>104386</v>
      </c>
      <c r="DA13" s="1603">
        <f>CZ13/CY13</f>
        <v>0.19991152154220634</v>
      </c>
      <c r="DB13" s="1601">
        <f>SUM(DB5:DB12)</f>
        <v>45</v>
      </c>
      <c r="DC13" s="1602">
        <f>SUM(DC5:DC12)</f>
        <v>385927</v>
      </c>
      <c r="DD13" s="1602">
        <f>SUM(DD5:DD12)</f>
        <v>0</v>
      </c>
      <c r="DE13" s="1602">
        <f>SUM(DE5:DE12)</f>
        <v>-375085</v>
      </c>
      <c r="DF13" s="1603" t="e">
        <f>DE13/DD13</f>
        <v>#DIV/0!</v>
      </c>
      <c r="DG13" s="1601">
        <f>SUM(DG5:DG12)</f>
        <v>48</v>
      </c>
      <c r="DH13" s="1602">
        <f>SUM(DH5:DH12)</f>
        <v>439663</v>
      </c>
      <c r="DI13" s="1602">
        <f>SUM(DI5:DI12)</f>
        <v>0</v>
      </c>
      <c r="DJ13" s="1602">
        <f>SUM(DJ5:DJ12)</f>
        <v>-439663</v>
      </c>
      <c r="DK13" s="1603" t="e">
        <f>DJ13/DI13</f>
        <v>#DIV/0!</v>
      </c>
      <c r="DL13" s="1601">
        <f>SUM(DL5:DL12)</f>
        <v>45</v>
      </c>
      <c r="DM13" s="1602">
        <f>SUM(DM5:DM12)</f>
        <v>765573</v>
      </c>
      <c r="DN13" s="1602">
        <f>SUM(DN5:DN12)</f>
        <v>0</v>
      </c>
      <c r="DO13" s="1602">
        <f>SUM(DO5:DO12)</f>
        <v>-759221</v>
      </c>
      <c r="DP13" s="1603" t="e">
        <f>DO13/DN13</f>
        <v>#DIV/0!</v>
      </c>
      <c r="DQ13" s="1601">
        <f>SUM(DQ5:DQ12)</f>
        <v>0</v>
      </c>
      <c r="DR13" s="1602">
        <f>SUM(DR5:DR12)</f>
        <v>219301</v>
      </c>
      <c r="DS13" s="1602">
        <f>SUM(DS5:DS12)</f>
        <v>0</v>
      </c>
      <c r="DT13" s="1602">
        <f>SUM(DT5:DT12)</f>
        <v>-219301</v>
      </c>
      <c r="DU13" s="1603" t="e">
        <f>DT13/DS13</f>
        <v>#DIV/0!</v>
      </c>
      <c r="DV13" s="1601">
        <f>SUM(DV5:DV12)</f>
        <v>41</v>
      </c>
      <c r="DW13" s="1602">
        <f>SUM(DW5:DW12)</f>
        <v>495779</v>
      </c>
      <c r="DX13" s="1602">
        <f>SUM(DX5:DX12)</f>
        <v>0</v>
      </c>
      <c r="DY13" s="1602">
        <f>SUM(DY5:DY12)</f>
        <v>-495779</v>
      </c>
      <c r="DZ13" s="1603" t="e">
        <f>DY13/DX13</f>
        <v>#DIV/0!</v>
      </c>
      <c r="EA13" s="1601">
        <f>SUM(EA5:EA12)</f>
        <v>39</v>
      </c>
      <c r="EB13" s="1602">
        <f>SUM(EB5:EB12)</f>
        <v>524175</v>
      </c>
      <c r="EC13" s="1602">
        <f>SUM(EC5:EC12)</f>
        <v>0</v>
      </c>
      <c r="ED13" s="1602">
        <f>SUM(ED5:ED12)</f>
        <v>-524175</v>
      </c>
      <c r="EE13" s="1603" t="e">
        <f>ED13/EC13</f>
        <v>#DIV/0!</v>
      </c>
      <c r="EF13" s="1601">
        <f>SUM(EF5:EF12)</f>
        <v>0</v>
      </c>
      <c r="EG13" s="1602">
        <f>SUM(EG5:EG12)</f>
        <v>0</v>
      </c>
      <c r="EH13" s="1602">
        <f>SUM(EH5:EH12)</f>
        <v>0</v>
      </c>
      <c r="EI13" s="1602">
        <f>SUM(EI5:EI12)</f>
        <v>0</v>
      </c>
      <c r="EJ13" s="1603" t="e">
        <f>EI13/EH13</f>
        <v>#DIV/0!</v>
      </c>
      <c r="EK13" s="1601">
        <f>SUM(EK5:EK12)</f>
        <v>0</v>
      </c>
      <c r="EL13" s="1602">
        <f>SUM(EL5:EL12)</f>
        <v>0</v>
      </c>
      <c r="EM13" s="1602">
        <f>SUM(EM5:EM12)</f>
        <v>0</v>
      </c>
      <c r="EN13" s="1602">
        <f>SUM(EN5:EN12)</f>
        <v>0</v>
      </c>
      <c r="EO13" s="1603" t="e">
        <f t="shared" si="48"/>
        <v>#DIV/0!</v>
      </c>
      <c r="EP13" s="1601">
        <f>SUM(EP5:EP12)</f>
        <v>0</v>
      </c>
      <c r="EQ13" s="1602">
        <f>SUM(EQ5:EQ12)</f>
        <v>0</v>
      </c>
      <c r="ER13" s="1602">
        <f>SUM(ER5:ER12)</f>
        <v>0</v>
      </c>
      <c r="ES13" s="1602">
        <f>SUM(ES5:ES12)</f>
        <v>0</v>
      </c>
      <c r="ET13" s="1603" t="e">
        <f>ES13/ER13</f>
        <v>#DIV/0!</v>
      </c>
      <c r="EU13" s="1601"/>
      <c r="EV13" s="1602">
        <f>SUM(EV5:EV12)</f>
        <v>4011291</v>
      </c>
      <c r="EW13" s="1602">
        <f>SUM(EW5:EW12)</f>
        <v>1441297</v>
      </c>
      <c r="EX13" s="1602">
        <f>SUM(EX5:EX12)</f>
        <v>-2569994</v>
      </c>
      <c r="EY13" s="1603">
        <f>EX13/EW13</f>
        <v>-1.7831120164685001</v>
      </c>
      <c r="EZ13" s="1022"/>
      <c r="FA13" s="1310"/>
      <c r="FB13" s="1310"/>
      <c r="FC13" s="1310"/>
      <c r="FD13" s="220"/>
      <c r="FE13" s="1314"/>
      <c r="FF13" s="1310"/>
      <c r="FG13" s="1310"/>
      <c r="FH13" s="1310"/>
      <c r="FI13" s="210"/>
      <c r="FJ13" s="1314"/>
      <c r="FK13" s="1568"/>
      <c r="FL13" s="1568"/>
      <c r="FM13" s="1568"/>
      <c r="FN13" s="210"/>
      <c r="FO13" s="1604"/>
      <c r="FP13" s="1568"/>
      <c r="FQ13" s="1568"/>
      <c r="FR13" s="1568"/>
      <c r="FS13" s="220"/>
    </row>
    <row r="14" spans="1:175" x14ac:dyDescent="0.3">
      <c r="A14" s="743">
        <v>3</v>
      </c>
      <c r="B14" s="104" t="s">
        <v>377</v>
      </c>
      <c r="C14" s="1605" t="s">
        <v>141</v>
      </c>
      <c r="D14" s="1605" t="s">
        <v>254</v>
      </c>
      <c r="E14" s="1606"/>
      <c r="F14" s="1066"/>
      <c r="G14" s="1066"/>
      <c r="H14" s="1066">
        <f t="shared" ref="H14:H60" si="50">G14-F14</f>
        <v>0</v>
      </c>
      <c r="I14" s="1607"/>
      <c r="J14" s="1437"/>
      <c r="K14" s="459"/>
      <c r="L14" s="459"/>
      <c r="M14" s="1066">
        <f t="shared" ref="M14:M60" si="51">L14-K14</f>
        <v>0</v>
      </c>
      <c r="N14" s="1608"/>
      <c r="O14" s="676"/>
      <c r="P14" s="1066"/>
      <c r="Q14" s="1066"/>
      <c r="R14" s="1066">
        <f t="shared" ref="R14:R60" si="52">Q14-P14</f>
        <v>0</v>
      </c>
      <c r="S14" s="203"/>
      <c r="T14" s="1609"/>
      <c r="U14" s="1074"/>
      <c r="V14" s="1074"/>
      <c r="W14" s="1066">
        <f t="shared" ref="W14:W60" si="53">V14-U14</f>
        <v>0</v>
      </c>
      <c r="X14" s="1610"/>
      <c r="Y14" s="676"/>
      <c r="Z14" s="1066"/>
      <c r="AA14" s="1066"/>
      <c r="AB14" s="1066">
        <f t="shared" ref="AB14:AB60" si="54">AA14-Z14</f>
        <v>0</v>
      </c>
      <c r="AC14" s="365"/>
      <c r="AD14" s="676">
        <v>1</v>
      </c>
      <c r="AE14" s="1066">
        <v>7593</v>
      </c>
      <c r="AF14" s="1066">
        <v>8551.36</v>
      </c>
      <c r="AG14" s="1066">
        <f t="shared" ref="AG14:AG60" si="55">AF14-AE14</f>
        <v>958.36000000000058</v>
      </c>
      <c r="AH14" s="95">
        <f>AG14/AF14</f>
        <v>0.11207106238072079</v>
      </c>
      <c r="AI14" s="676">
        <v>1</v>
      </c>
      <c r="AJ14" s="1066">
        <v>22805</v>
      </c>
      <c r="AK14" s="1066">
        <v>27273</v>
      </c>
      <c r="AL14" s="1066">
        <f t="shared" ref="AL14:AL49" si="56">AK14-AJ14</f>
        <v>4468</v>
      </c>
      <c r="AM14" s="365">
        <v>0.11207106238072079</v>
      </c>
      <c r="AN14" s="676">
        <v>1</v>
      </c>
      <c r="AO14" s="1066">
        <v>54261</v>
      </c>
      <c r="AP14" s="1066">
        <v>73637</v>
      </c>
      <c r="AQ14" s="1066">
        <f t="shared" si="44"/>
        <v>19376</v>
      </c>
      <c r="AR14" s="170">
        <f>AQ14/AP14</f>
        <v>0.26312859024675095</v>
      </c>
      <c r="AS14" s="1092">
        <v>2</v>
      </c>
      <c r="AT14" s="1066">
        <v>49934</v>
      </c>
      <c r="AU14" s="459">
        <v>60714.320000000007</v>
      </c>
      <c r="AV14" s="1066">
        <f t="shared" si="45"/>
        <v>10780.320000000007</v>
      </c>
      <c r="AW14" s="170">
        <f>AV14/AU14</f>
        <v>0.17755811149659595</v>
      </c>
      <c r="AX14" s="676">
        <v>1</v>
      </c>
      <c r="AY14" s="1066">
        <v>34877</v>
      </c>
      <c r="AZ14" s="1066">
        <v>47826</v>
      </c>
      <c r="BA14" s="1066">
        <f t="shared" si="46"/>
        <v>12949</v>
      </c>
      <c r="BB14" s="170">
        <f>BA14/AZ14</f>
        <v>0.27075231045874631</v>
      </c>
      <c r="BC14" s="676"/>
      <c r="BD14" s="1066"/>
      <c r="BE14" s="459"/>
      <c r="BF14" s="1066">
        <f t="shared" si="49"/>
        <v>0</v>
      </c>
      <c r="BG14" s="1611">
        <v>0</v>
      </c>
      <c r="BH14" s="676">
        <v>1</v>
      </c>
      <c r="BI14" s="1066">
        <v>3454</v>
      </c>
      <c r="BJ14" s="1066">
        <v>3000</v>
      </c>
      <c r="BK14" s="1066">
        <f t="shared" si="47"/>
        <v>-454</v>
      </c>
      <c r="BL14" s="365">
        <f>BK14/BJ14</f>
        <v>-0.15133333333333332</v>
      </c>
      <c r="BM14" s="1612"/>
      <c r="BN14" s="1613">
        <f t="shared" ref="BN14:BP34" si="57">F14+K14+P14+U14+Z14+AE14+AJ14+AO14+AT14+AY14+BD14+BI14</f>
        <v>172924</v>
      </c>
      <c r="BO14" s="1613">
        <f t="shared" si="57"/>
        <v>221001.68</v>
      </c>
      <c r="BP14" s="1613">
        <f t="shared" si="57"/>
        <v>48077.680000000008</v>
      </c>
      <c r="BQ14" s="369">
        <f t="shared" si="8"/>
        <v>0.21754440961715771</v>
      </c>
      <c r="BR14" s="607">
        <f t="shared" ref="BR14:BR29" si="58">(E14+J14+O14)/3</f>
        <v>0</v>
      </c>
      <c r="BS14" s="137">
        <f t="shared" ref="BS14:BU29" si="59">F14+K14+P14</f>
        <v>0</v>
      </c>
      <c r="BT14" s="137">
        <f t="shared" si="59"/>
        <v>0</v>
      </c>
      <c r="BU14" s="137">
        <f t="shared" si="59"/>
        <v>0</v>
      </c>
      <c r="BV14" s="151"/>
      <c r="BW14" s="607">
        <f t="shared" ref="BW14:BW34" si="60">(T14+Y14+AD14)/3</f>
        <v>0.33333333333333331</v>
      </c>
      <c r="BX14" s="137">
        <f t="shared" ref="BX14:BZ34" si="61">U14+Z14+AE14</f>
        <v>7593</v>
      </c>
      <c r="BY14" s="137">
        <f t="shared" si="61"/>
        <v>8551.36</v>
      </c>
      <c r="BZ14" s="137">
        <f t="shared" si="61"/>
        <v>958.36000000000058</v>
      </c>
      <c r="CA14" s="135">
        <f>BZ14/BY14</f>
        <v>0.11207106238072079</v>
      </c>
      <c r="CB14" s="607">
        <f t="shared" ref="CB14:CB29" si="62">(AI14+AN14+AS14)/3</f>
        <v>1.3333333333333333</v>
      </c>
      <c r="CC14" s="358">
        <f t="shared" ref="CC14:CE29" si="63">AJ14+AO14+AT14</f>
        <v>127000</v>
      </c>
      <c r="CD14" s="358">
        <f t="shared" si="63"/>
        <v>161624.32000000001</v>
      </c>
      <c r="CE14" s="358">
        <f t="shared" si="63"/>
        <v>34624.320000000007</v>
      </c>
      <c r="CF14" s="135">
        <f t="shared" ref="CF14:CF46" si="64">CE14/CD14</f>
        <v>0.21422716581266982</v>
      </c>
      <c r="CG14" s="1315">
        <f t="shared" ref="CG14:CG29" si="65">(AX14+BC14+BH14)/3</f>
        <v>0.66666666666666663</v>
      </c>
      <c r="CH14" s="358">
        <f t="shared" ref="CH14:CJ29" si="66">AY14+BD14+BI14</f>
        <v>38331</v>
      </c>
      <c r="CI14" s="358">
        <f t="shared" si="66"/>
        <v>50826</v>
      </c>
      <c r="CJ14" s="358">
        <f t="shared" si="66"/>
        <v>12495</v>
      </c>
      <c r="CK14" s="151">
        <f t="shared" si="43"/>
        <v>0.24583874394994687</v>
      </c>
      <c r="CL14" s="79"/>
      <c r="CM14" s="1606">
        <v>1</v>
      </c>
      <c r="CN14" s="1066">
        <v>42837</v>
      </c>
      <c r="CO14" s="1066">
        <v>61363</v>
      </c>
      <c r="CP14" s="1066">
        <f t="shared" ref="CP14:CP34" si="67">CO14-CN14</f>
        <v>18526</v>
      </c>
      <c r="CQ14" s="217">
        <f>CP14/CO14</f>
        <v>0.30190831608624091</v>
      </c>
      <c r="CR14" s="1437">
        <v>1</v>
      </c>
      <c r="CS14" s="459">
        <v>6241</v>
      </c>
      <c r="CT14" s="459">
        <v>11844</v>
      </c>
      <c r="CU14" s="1066">
        <f t="shared" ref="CU14:CU34" si="68">CT14-CS14</f>
        <v>5603</v>
      </c>
      <c r="CV14" s="1608"/>
      <c r="CW14" s="1606">
        <v>1</v>
      </c>
      <c r="CX14" s="1066">
        <v>17188</v>
      </c>
      <c r="CY14" s="1066">
        <v>27500</v>
      </c>
      <c r="CZ14" s="1066">
        <f t="shared" ref="CZ14:CZ34" si="69">CY14-CX14</f>
        <v>10312</v>
      </c>
      <c r="DA14" s="203"/>
      <c r="DB14" s="1609">
        <v>1</v>
      </c>
      <c r="DC14" s="1074">
        <v>51133</v>
      </c>
      <c r="DD14" s="1074"/>
      <c r="DE14" s="1066">
        <f t="shared" ref="DE14:DE34" si="70">DD14-DC14</f>
        <v>-51133</v>
      </c>
      <c r="DF14" s="1313" t="e">
        <f>DE14/DD14</f>
        <v>#DIV/0!</v>
      </c>
      <c r="DG14" s="676">
        <v>4</v>
      </c>
      <c r="DH14" s="1066">
        <v>115815</v>
      </c>
      <c r="DI14" s="1066"/>
      <c r="DJ14" s="1066">
        <f t="shared" ref="DJ14:DJ34" si="71">DI14-DH14</f>
        <v>-115815</v>
      </c>
      <c r="DK14" s="78" t="e">
        <f>DJ14/DI14</f>
        <v>#DIV/0!</v>
      </c>
      <c r="DL14" s="676">
        <v>1</v>
      </c>
      <c r="DM14" s="1066">
        <v>39741</v>
      </c>
      <c r="DN14" s="1066"/>
      <c r="DO14" s="1066">
        <f t="shared" ref="DO14:DO35" si="72">DN14-DM14</f>
        <v>-39741</v>
      </c>
      <c r="DP14" s="95" t="e">
        <f>DO14/DN14</f>
        <v>#DIV/0!</v>
      </c>
      <c r="DQ14" s="676"/>
      <c r="DR14" s="1066">
        <v>61903</v>
      </c>
      <c r="DS14" s="1066"/>
      <c r="DT14" s="1066">
        <f t="shared" ref="DT14:DT34" si="73">DS14-DR14</f>
        <v>-61903</v>
      </c>
      <c r="DU14" s="78" t="e">
        <f t="shared" ref="DU14:DU34" si="74">DT14/DS14</f>
        <v>#DIV/0!</v>
      </c>
      <c r="DV14" s="676">
        <v>2</v>
      </c>
      <c r="DW14" s="1066">
        <v>50655</v>
      </c>
      <c r="DX14" s="1066"/>
      <c r="DY14" s="1066">
        <f t="shared" ref="DY14:DY34" si="75">DX14-DW14</f>
        <v>-50655</v>
      </c>
      <c r="DZ14" s="170" t="e">
        <f t="shared" ref="DZ14:DZ34" si="76">DY14/DX14</f>
        <v>#DIV/0!</v>
      </c>
      <c r="EA14" s="1092">
        <v>3</v>
      </c>
      <c r="EB14" s="1066">
        <v>102178</v>
      </c>
      <c r="EC14" s="459"/>
      <c r="ED14" s="1066">
        <f t="shared" ref="ED14:ED34" si="77">EC14-EB14</f>
        <v>-102178</v>
      </c>
      <c r="EE14" s="170" t="e">
        <f t="shared" ref="EE14:EE34" si="78">ED14/EC14</f>
        <v>#DIV/0!</v>
      </c>
      <c r="EF14" s="676"/>
      <c r="EG14" s="1066"/>
      <c r="EH14" s="1066"/>
      <c r="EI14" s="1066">
        <f t="shared" ref="EI14:EI34" si="79">EH14-EG14</f>
        <v>0</v>
      </c>
      <c r="EJ14" s="170" t="e">
        <f t="shared" ref="EJ14:EJ34" si="80">EI14/EH14</f>
        <v>#DIV/0!</v>
      </c>
      <c r="EK14" s="676"/>
      <c r="EL14" s="1066"/>
      <c r="EM14" s="459"/>
      <c r="EN14" s="1066">
        <f t="shared" ref="EN14:EN34" si="81">EM14-EL14</f>
        <v>0</v>
      </c>
      <c r="EO14" s="1611">
        <v>0</v>
      </c>
      <c r="EP14" s="676"/>
      <c r="EQ14" s="1066"/>
      <c r="ER14" s="1066"/>
      <c r="ES14" s="1066">
        <f t="shared" ref="ES14:ES34" si="82">ER14-EQ14</f>
        <v>0</v>
      </c>
      <c r="ET14" s="365" t="e">
        <f>ES14/ER14</f>
        <v>#DIV/0!</v>
      </c>
      <c r="EU14" s="1612"/>
      <c r="EV14" s="1613">
        <f t="shared" ref="EV14:EX34" si="83">CN14+CS14+CX14+DC14+DH14+DM14+DR14+DW14+EB14+EG14+EL14+EQ14</f>
        <v>487691</v>
      </c>
      <c r="EW14" s="1613">
        <f t="shared" si="83"/>
        <v>100707</v>
      </c>
      <c r="EX14" s="1613">
        <f t="shared" si="83"/>
        <v>-386984</v>
      </c>
      <c r="EY14" s="369">
        <f>EX14/EW14</f>
        <v>-3.8426723067909876</v>
      </c>
      <c r="EZ14" s="357">
        <f t="shared" ref="EZ14:EZ29" si="84">(CM14+CR14+CW14)/3</f>
        <v>1</v>
      </c>
      <c r="FA14" s="137">
        <f t="shared" ref="FA14:FC29" si="85">CN14+CS14+CX14</f>
        <v>66266</v>
      </c>
      <c r="FB14" s="137">
        <f t="shared" si="85"/>
        <v>100707</v>
      </c>
      <c r="FC14" s="137">
        <f t="shared" si="85"/>
        <v>34441</v>
      </c>
      <c r="FD14" s="151"/>
      <c r="FE14" s="607">
        <f t="shared" ref="FE14:FE34" si="86">(DB14+DG14+DL14)/3</f>
        <v>2</v>
      </c>
      <c r="FF14" s="137">
        <f t="shared" ref="FF14:FH34" si="87">DC14+DH14+DM14</f>
        <v>206689</v>
      </c>
      <c r="FG14" s="137">
        <f t="shared" si="87"/>
        <v>0</v>
      </c>
      <c r="FH14" s="137">
        <f t="shared" si="87"/>
        <v>-206689</v>
      </c>
      <c r="FI14" s="135" t="e">
        <f>FH14/FG14</f>
        <v>#DIV/0!</v>
      </c>
      <c r="FJ14" s="607">
        <f t="shared" ref="FJ14:FJ29" si="88">(DQ14+DV14+EA14)/3</f>
        <v>1.6666666666666667</v>
      </c>
      <c r="FK14" s="358">
        <f t="shared" ref="FK14:FM29" si="89">DR14+DW14+EB14</f>
        <v>214736</v>
      </c>
      <c r="FL14" s="358">
        <f t="shared" si="89"/>
        <v>0</v>
      </c>
      <c r="FM14" s="358">
        <f t="shared" si="89"/>
        <v>-214736</v>
      </c>
      <c r="FN14" s="135" t="e">
        <f t="shared" ref="FN14:FN28" si="90">FM14/FL14</f>
        <v>#DIV/0!</v>
      </c>
      <c r="FO14" s="1315">
        <f t="shared" ref="FO14:FO29" si="91">(EF14+EK14+EP14)/3</f>
        <v>0</v>
      </c>
      <c r="FP14" s="358">
        <f t="shared" ref="FP14:FR29" si="92">EG14+EL14+EQ14</f>
        <v>0</v>
      </c>
      <c r="FQ14" s="358">
        <f t="shared" si="92"/>
        <v>0</v>
      </c>
      <c r="FR14" s="358">
        <f t="shared" si="92"/>
        <v>0</v>
      </c>
      <c r="FS14" s="151" t="e">
        <f t="shared" ref="FS14:FS28" si="93">FR14/FQ14</f>
        <v>#DIV/0!</v>
      </c>
    </row>
    <row r="15" spans="1:175" x14ac:dyDescent="0.3">
      <c r="A15" s="110">
        <v>5</v>
      </c>
      <c r="B15" s="111" t="s">
        <v>106</v>
      </c>
      <c r="C15" s="112" t="s">
        <v>141</v>
      </c>
      <c r="D15" s="112" t="s">
        <v>254</v>
      </c>
      <c r="E15" s="401">
        <v>5</v>
      </c>
      <c r="F15" s="395">
        <v>154608</v>
      </c>
      <c r="G15" s="395">
        <v>329993</v>
      </c>
      <c r="H15" s="208">
        <f t="shared" si="50"/>
        <v>175385</v>
      </c>
      <c r="I15" s="217">
        <f>H15/G15</f>
        <v>0.53148097080847168</v>
      </c>
      <c r="J15" s="113"/>
      <c r="K15" s="994"/>
      <c r="L15" s="622"/>
      <c r="M15" s="208">
        <f t="shared" si="51"/>
        <v>0</v>
      </c>
      <c r="N15" s="186"/>
      <c r="O15" s="113">
        <v>4</v>
      </c>
      <c r="P15" s="208">
        <v>184904</v>
      </c>
      <c r="Q15" s="395">
        <v>399224</v>
      </c>
      <c r="R15" s="208">
        <f t="shared" si="52"/>
        <v>214320</v>
      </c>
      <c r="S15" s="169">
        <f>R15/Q15</f>
        <v>0.53684147245656577</v>
      </c>
      <c r="T15" s="1312">
        <v>4</v>
      </c>
      <c r="U15" s="1317">
        <v>149128</v>
      </c>
      <c r="V15" s="1317">
        <v>310629</v>
      </c>
      <c r="W15" s="208">
        <f t="shared" si="53"/>
        <v>161501</v>
      </c>
      <c r="X15" s="1313">
        <f>W15/V15</f>
        <v>0.51991604132260671</v>
      </c>
      <c r="Y15" s="113">
        <v>3</v>
      </c>
      <c r="Z15" s="208">
        <v>133414</v>
      </c>
      <c r="AA15" s="208">
        <v>227084</v>
      </c>
      <c r="AB15" s="208">
        <f t="shared" si="54"/>
        <v>93670</v>
      </c>
      <c r="AC15" s="78">
        <f>AB15/AA15</f>
        <v>0.41249053213788728</v>
      </c>
      <c r="AD15" s="113">
        <v>5</v>
      </c>
      <c r="AE15" s="395">
        <v>221384</v>
      </c>
      <c r="AF15" s="208">
        <v>440068</v>
      </c>
      <c r="AG15" s="208">
        <f t="shared" si="55"/>
        <v>218684</v>
      </c>
      <c r="AH15" s="94">
        <f>AG15/AF15</f>
        <v>0.49693229228210184</v>
      </c>
      <c r="AI15" s="113">
        <v>5</v>
      </c>
      <c r="AJ15" s="208">
        <v>137767</v>
      </c>
      <c r="AK15" s="208">
        <v>199270</v>
      </c>
      <c r="AL15" s="208">
        <f t="shared" si="56"/>
        <v>61503</v>
      </c>
      <c r="AM15" s="78">
        <f t="shared" ref="AM15:AM26" si="94">AL15/AK15</f>
        <v>0.3086415416269383</v>
      </c>
      <c r="AN15" s="113">
        <v>3</v>
      </c>
      <c r="AO15" s="208">
        <v>51833</v>
      </c>
      <c r="AP15" s="208">
        <v>103568</v>
      </c>
      <c r="AQ15" s="208">
        <f t="shared" si="44"/>
        <v>51735</v>
      </c>
      <c r="AR15" s="157">
        <f>AQ15/AP15</f>
        <v>0.49952688088985014</v>
      </c>
      <c r="AS15" s="209">
        <v>3</v>
      </c>
      <c r="AT15" s="208">
        <v>78835</v>
      </c>
      <c r="AU15" s="395">
        <v>137822</v>
      </c>
      <c r="AV15" s="208">
        <f t="shared" si="45"/>
        <v>58987</v>
      </c>
      <c r="AW15" s="157">
        <f>AV15/AU15</f>
        <v>0.42799407931970224</v>
      </c>
      <c r="AX15" s="113">
        <v>4</v>
      </c>
      <c r="AY15" s="208">
        <v>67290</v>
      </c>
      <c r="AZ15" s="208">
        <v>108192</v>
      </c>
      <c r="BA15" s="208">
        <f t="shared" si="46"/>
        <v>40902</v>
      </c>
      <c r="BB15" s="157">
        <f>BA15/AZ15</f>
        <v>0.37805013309671692</v>
      </c>
      <c r="BC15" s="113">
        <v>6</v>
      </c>
      <c r="BD15" s="208">
        <f>153005+500</f>
        <v>153505</v>
      </c>
      <c r="BE15" s="395">
        <v>282284</v>
      </c>
      <c r="BF15" s="208">
        <f t="shared" si="49"/>
        <v>128779</v>
      </c>
      <c r="BG15" s="157">
        <f>BF15/BE15</f>
        <v>0.45620368139887491</v>
      </c>
      <c r="BH15" s="113"/>
      <c r="BI15" s="208"/>
      <c r="BJ15" s="208"/>
      <c r="BK15" s="208">
        <f t="shared" si="47"/>
        <v>0</v>
      </c>
      <c r="BL15" s="1614">
        <v>0</v>
      </c>
      <c r="BM15" s="1314"/>
      <c r="BN15" s="1310">
        <f t="shared" si="57"/>
        <v>1332668</v>
      </c>
      <c r="BO15" s="1310">
        <f t="shared" si="57"/>
        <v>2538134</v>
      </c>
      <c r="BP15" s="1310">
        <f t="shared" si="57"/>
        <v>1205466</v>
      </c>
      <c r="BQ15" s="220">
        <f t="shared" si="8"/>
        <v>0.47494182734244922</v>
      </c>
      <c r="BR15" s="607">
        <f t="shared" si="58"/>
        <v>3</v>
      </c>
      <c r="BS15" s="137">
        <f t="shared" si="59"/>
        <v>339512</v>
      </c>
      <c r="BT15" s="137">
        <f t="shared" si="59"/>
        <v>729217</v>
      </c>
      <c r="BU15" s="137">
        <f t="shared" si="59"/>
        <v>389705</v>
      </c>
      <c r="BV15" s="151">
        <f>BU15/BT15</f>
        <v>0.53441568147753005</v>
      </c>
      <c r="BW15" s="607">
        <f t="shared" si="60"/>
        <v>4</v>
      </c>
      <c r="BX15" s="137">
        <f t="shared" si="61"/>
        <v>503926</v>
      </c>
      <c r="BY15" s="137">
        <f t="shared" si="61"/>
        <v>977781</v>
      </c>
      <c r="BZ15" s="137">
        <f t="shared" si="61"/>
        <v>473855</v>
      </c>
      <c r="CA15" s="135">
        <f>BZ15/BY15</f>
        <v>0.48462283476565815</v>
      </c>
      <c r="CB15" s="607">
        <f t="shared" si="62"/>
        <v>3.6666666666666665</v>
      </c>
      <c r="CC15" s="358">
        <f t="shared" si="63"/>
        <v>268435</v>
      </c>
      <c r="CD15" s="358">
        <f t="shared" si="63"/>
        <v>440660</v>
      </c>
      <c r="CE15" s="358">
        <f t="shared" si="63"/>
        <v>172225</v>
      </c>
      <c r="CF15" s="135">
        <f t="shared" si="64"/>
        <v>0.39083420324059365</v>
      </c>
      <c r="CG15" s="1315">
        <f t="shared" si="65"/>
        <v>3.3333333333333335</v>
      </c>
      <c r="CH15" s="358">
        <f t="shared" si="66"/>
        <v>220795</v>
      </c>
      <c r="CI15" s="358">
        <f t="shared" si="66"/>
        <v>390476</v>
      </c>
      <c r="CJ15" s="358">
        <f t="shared" si="66"/>
        <v>169681</v>
      </c>
      <c r="CK15" s="151">
        <f t="shared" si="43"/>
        <v>0.43454911441420213</v>
      </c>
      <c r="CL15" s="79"/>
      <c r="CM15" s="401">
        <v>1</v>
      </c>
      <c r="CN15" s="395">
        <v>26823</v>
      </c>
      <c r="CO15" s="395">
        <v>57216</v>
      </c>
      <c r="CP15" s="208">
        <f t="shared" si="67"/>
        <v>30393</v>
      </c>
      <c r="CQ15" s="217">
        <f>CP15/CO15</f>
        <v>0.53119756711409394</v>
      </c>
      <c r="CR15" s="113">
        <v>2</v>
      </c>
      <c r="CS15" s="994">
        <v>62051</v>
      </c>
      <c r="CT15" s="622">
        <v>100016</v>
      </c>
      <c r="CU15" s="208">
        <f t="shared" si="68"/>
        <v>37965</v>
      </c>
      <c r="CV15" s="186">
        <f>CU15/CT15</f>
        <v>0.37958926571748519</v>
      </c>
      <c r="CW15" s="439">
        <v>2</v>
      </c>
      <c r="CX15" s="208">
        <v>17029</v>
      </c>
      <c r="CY15" s="395">
        <v>26320</v>
      </c>
      <c r="CZ15" s="208">
        <f t="shared" si="69"/>
        <v>9291</v>
      </c>
      <c r="DA15" s="169">
        <f>CZ15/CY15</f>
        <v>0.35300151975683891</v>
      </c>
      <c r="DB15" s="1312">
        <v>3</v>
      </c>
      <c r="DC15" s="1317">
        <v>153078</v>
      </c>
      <c r="DD15" s="1317"/>
      <c r="DE15" s="208">
        <f t="shared" si="70"/>
        <v>-153078</v>
      </c>
      <c r="DF15" s="1313" t="e">
        <f>DE15/DD15</f>
        <v>#DIV/0!</v>
      </c>
      <c r="DG15" s="113">
        <v>3</v>
      </c>
      <c r="DH15" s="208">
        <v>52444</v>
      </c>
      <c r="DI15" s="208"/>
      <c r="DJ15" s="208">
        <f t="shared" si="71"/>
        <v>-52444</v>
      </c>
      <c r="DK15" s="78" t="e">
        <f>DJ15/DI15</f>
        <v>#DIV/0!</v>
      </c>
      <c r="DL15" s="113">
        <v>5</v>
      </c>
      <c r="DM15" s="395">
        <v>177016</v>
      </c>
      <c r="DN15" s="208"/>
      <c r="DO15" s="208">
        <f t="shared" si="72"/>
        <v>-177016</v>
      </c>
      <c r="DP15" s="94" t="e">
        <f>DO15/DN15</f>
        <v>#DIV/0!</v>
      </c>
      <c r="DQ15" s="113"/>
      <c r="DR15" s="208">
        <v>125983</v>
      </c>
      <c r="DS15" s="208"/>
      <c r="DT15" s="208">
        <f t="shared" si="73"/>
        <v>-125983</v>
      </c>
      <c r="DU15" s="78" t="e">
        <f t="shared" si="74"/>
        <v>#DIV/0!</v>
      </c>
      <c r="DV15" s="113">
        <v>7</v>
      </c>
      <c r="DW15" s="208">
        <v>180194</v>
      </c>
      <c r="DX15" s="208"/>
      <c r="DY15" s="208">
        <f t="shared" si="75"/>
        <v>-180194</v>
      </c>
      <c r="DZ15" s="157" t="e">
        <f t="shared" si="76"/>
        <v>#DIV/0!</v>
      </c>
      <c r="EA15" s="209">
        <v>2</v>
      </c>
      <c r="EB15" s="208">
        <v>25371</v>
      </c>
      <c r="EC15" s="395"/>
      <c r="ED15" s="208">
        <f t="shared" si="77"/>
        <v>-25371</v>
      </c>
      <c r="EE15" s="157" t="e">
        <f t="shared" si="78"/>
        <v>#DIV/0!</v>
      </c>
      <c r="EF15" s="113"/>
      <c r="EG15" s="208"/>
      <c r="EH15" s="208"/>
      <c r="EI15" s="208">
        <f t="shared" si="79"/>
        <v>0</v>
      </c>
      <c r="EJ15" s="157" t="e">
        <f t="shared" si="80"/>
        <v>#DIV/0!</v>
      </c>
      <c r="EK15" s="113"/>
      <c r="EL15" s="208"/>
      <c r="EM15" s="395"/>
      <c r="EN15" s="208">
        <f t="shared" si="81"/>
        <v>0</v>
      </c>
      <c r="EO15" s="157" t="e">
        <f>EN15/EM15</f>
        <v>#DIV/0!</v>
      </c>
      <c r="EP15" s="113"/>
      <c r="EQ15" s="208"/>
      <c r="ER15" s="208"/>
      <c r="ES15" s="208">
        <f t="shared" si="82"/>
        <v>0</v>
      </c>
      <c r="ET15" s="186" t="e">
        <f>ES15/ER15</f>
        <v>#DIV/0!</v>
      </c>
      <c r="EU15" s="1314"/>
      <c r="EV15" s="1310">
        <f t="shared" si="83"/>
        <v>819989</v>
      </c>
      <c r="EW15" s="1310">
        <f t="shared" si="83"/>
        <v>183552</v>
      </c>
      <c r="EX15" s="1310">
        <f t="shared" si="83"/>
        <v>-636437</v>
      </c>
      <c r="EY15" s="220">
        <f>EX15/EW15</f>
        <v>-3.4673389557182706</v>
      </c>
      <c r="EZ15" s="357">
        <f t="shared" si="84"/>
        <v>1.6666666666666667</v>
      </c>
      <c r="FA15" s="137">
        <f t="shared" si="85"/>
        <v>105903</v>
      </c>
      <c r="FB15" s="137">
        <f t="shared" si="85"/>
        <v>183552</v>
      </c>
      <c r="FC15" s="137">
        <f t="shared" si="85"/>
        <v>77649</v>
      </c>
      <c r="FD15" s="151">
        <f>FC15/FB15</f>
        <v>0.42303543410041838</v>
      </c>
      <c r="FE15" s="607">
        <f t="shared" si="86"/>
        <v>3.6666666666666665</v>
      </c>
      <c r="FF15" s="137">
        <f t="shared" si="87"/>
        <v>382538</v>
      </c>
      <c r="FG15" s="137">
        <f t="shared" si="87"/>
        <v>0</v>
      </c>
      <c r="FH15" s="137">
        <f t="shared" si="87"/>
        <v>-382538</v>
      </c>
      <c r="FI15" s="135" t="e">
        <f>FH15/FG15</f>
        <v>#DIV/0!</v>
      </c>
      <c r="FJ15" s="607">
        <f t="shared" si="88"/>
        <v>3</v>
      </c>
      <c r="FK15" s="358">
        <f t="shared" si="89"/>
        <v>331548</v>
      </c>
      <c r="FL15" s="358">
        <f t="shared" si="89"/>
        <v>0</v>
      </c>
      <c r="FM15" s="358">
        <f t="shared" si="89"/>
        <v>-331548</v>
      </c>
      <c r="FN15" s="135" t="e">
        <f t="shared" si="90"/>
        <v>#DIV/0!</v>
      </c>
      <c r="FO15" s="1315">
        <f t="shared" si="91"/>
        <v>0</v>
      </c>
      <c r="FP15" s="358">
        <f t="shared" si="92"/>
        <v>0</v>
      </c>
      <c r="FQ15" s="358">
        <f t="shared" si="92"/>
        <v>0</v>
      </c>
      <c r="FR15" s="358">
        <f t="shared" si="92"/>
        <v>0</v>
      </c>
      <c r="FS15" s="151" t="e">
        <f t="shared" si="93"/>
        <v>#DIV/0!</v>
      </c>
    </row>
    <row r="16" spans="1:175" x14ac:dyDescent="0.3">
      <c r="A16" s="110"/>
      <c r="B16" s="111" t="s">
        <v>917</v>
      </c>
      <c r="C16" s="112"/>
      <c r="D16" s="112"/>
      <c r="E16" s="401"/>
      <c r="F16" s="395"/>
      <c r="G16" s="395"/>
      <c r="H16" s="208"/>
      <c r="I16" s="217"/>
      <c r="J16" s="113"/>
      <c r="K16" s="994"/>
      <c r="L16" s="622"/>
      <c r="M16" s="208"/>
      <c r="N16" s="186"/>
      <c r="O16" s="113"/>
      <c r="P16" s="208"/>
      <c r="Q16" s="395"/>
      <c r="R16" s="208"/>
      <c r="S16" s="169"/>
      <c r="T16" s="1312"/>
      <c r="U16" s="1317"/>
      <c r="V16" s="1317"/>
      <c r="W16" s="208"/>
      <c r="X16" s="1313"/>
      <c r="Y16" s="113"/>
      <c r="Z16" s="208"/>
      <c r="AA16" s="208"/>
      <c r="AB16" s="208"/>
      <c r="AC16" s="78"/>
      <c r="AD16" s="113"/>
      <c r="AE16" s="395"/>
      <c r="AF16" s="208"/>
      <c r="AG16" s="208"/>
      <c r="AH16" s="94"/>
      <c r="AI16" s="113"/>
      <c r="AJ16" s="208"/>
      <c r="AK16" s="208"/>
      <c r="AL16" s="208"/>
      <c r="AM16" s="78"/>
      <c r="AN16" s="113"/>
      <c r="AO16" s="208"/>
      <c r="AP16" s="208"/>
      <c r="AQ16" s="208"/>
      <c r="AR16" s="157"/>
      <c r="AS16" s="209"/>
      <c r="AT16" s="208"/>
      <c r="AU16" s="395"/>
      <c r="AV16" s="208"/>
      <c r="AW16" s="157"/>
      <c r="AX16" s="113"/>
      <c r="AY16" s="208"/>
      <c r="AZ16" s="208"/>
      <c r="BA16" s="208"/>
      <c r="BB16" s="157"/>
      <c r="BC16" s="113"/>
      <c r="BD16" s="358"/>
      <c r="BE16" s="395"/>
      <c r="BF16" s="208"/>
      <c r="BG16" s="157"/>
      <c r="BH16" s="113"/>
      <c r="BI16" s="208"/>
      <c r="BJ16" s="208"/>
      <c r="BK16" s="208"/>
      <c r="BL16" s="1614"/>
      <c r="BM16" s="1314"/>
      <c r="BN16" s="1310"/>
      <c r="BO16" s="1310"/>
      <c r="BP16" s="1310"/>
      <c r="BQ16" s="220"/>
      <c r="BR16" s="607"/>
      <c r="BS16" s="137"/>
      <c r="BT16" s="137"/>
      <c r="BU16" s="137"/>
      <c r="BV16" s="151"/>
      <c r="BW16" s="607"/>
      <c r="BX16" s="137"/>
      <c r="BY16" s="137"/>
      <c r="BZ16" s="137"/>
      <c r="CA16" s="135"/>
      <c r="CB16" s="607"/>
      <c r="CC16" s="358"/>
      <c r="CD16" s="358"/>
      <c r="CE16" s="358"/>
      <c r="CF16" s="135"/>
      <c r="CG16" s="1315"/>
      <c r="CH16" s="358"/>
      <c r="CI16" s="358"/>
      <c r="CJ16" s="358"/>
      <c r="CK16" s="151"/>
      <c r="CL16" s="79"/>
      <c r="CM16" s="401"/>
      <c r="CN16" s="395"/>
      <c r="CO16" s="395"/>
      <c r="CP16" s="208"/>
      <c r="CQ16" s="217"/>
      <c r="CR16" s="113"/>
      <c r="CS16" s="994"/>
      <c r="CT16" s="622"/>
      <c r="CU16" s="208"/>
      <c r="CV16" s="186"/>
      <c r="CW16" s="439"/>
      <c r="CX16" s="208"/>
      <c r="CY16" s="395"/>
      <c r="CZ16" s="208"/>
      <c r="DA16" s="169"/>
      <c r="DB16" s="1312"/>
      <c r="DC16" s="1317"/>
      <c r="DD16" s="1317"/>
      <c r="DE16" s="208"/>
      <c r="DF16" s="1313"/>
      <c r="DG16" s="113"/>
      <c r="DH16" s="208"/>
      <c r="DI16" s="208"/>
      <c r="DJ16" s="208"/>
      <c r="DK16" s="78"/>
      <c r="DL16" s="113"/>
      <c r="DM16" s="395"/>
      <c r="DN16" s="208"/>
      <c r="DO16" s="208"/>
      <c r="DP16" s="94"/>
      <c r="DQ16" s="113"/>
      <c r="DR16" s="208"/>
      <c r="DS16" s="208"/>
      <c r="DT16" s="208"/>
      <c r="DU16" s="78"/>
      <c r="DV16" s="113"/>
      <c r="DW16" s="208"/>
      <c r="DX16" s="208"/>
      <c r="DY16" s="208"/>
      <c r="DZ16" s="157"/>
      <c r="EA16" s="209">
        <v>1</v>
      </c>
      <c r="EB16" s="208">
        <v>11048</v>
      </c>
      <c r="EC16" s="395"/>
      <c r="ED16" s="208">
        <f t="shared" si="77"/>
        <v>-11048</v>
      </c>
      <c r="EE16" s="157" t="e">
        <f t="shared" si="78"/>
        <v>#DIV/0!</v>
      </c>
      <c r="EF16" s="113"/>
      <c r="EG16" s="208"/>
      <c r="EH16" s="208"/>
      <c r="EI16" s="208"/>
      <c r="EJ16" s="157"/>
      <c r="EK16" s="113"/>
      <c r="EL16" s="358"/>
      <c r="EM16" s="395"/>
      <c r="EN16" s="208"/>
      <c r="EO16" s="157"/>
      <c r="EP16" s="113"/>
      <c r="EQ16" s="208"/>
      <c r="ER16" s="208"/>
      <c r="ES16" s="208"/>
      <c r="ET16" s="186"/>
      <c r="EU16" s="1314"/>
      <c r="EV16" s="1310"/>
      <c r="EW16" s="1310"/>
      <c r="EX16" s="1310"/>
      <c r="EY16" s="220"/>
      <c r="EZ16" s="357"/>
      <c r="FA16" s="137"/>
      <c r="FB16" s="137"/>
      <c r="FC16" s="137"/>
      <c r="FD16" s="151"/>
      <c r="FE16" s="607"/>
      <c r="FF16" s="137"/>
      <c r="FG16" s="137"/>
      <c r="FH16" s="137"/>
      <c r="FI16" s="135"/>
      <c r="FJ16" s="607"/>
      <c r="FK16" s="358"/>
      <c r="FL16" s="358"/>
      <c r="FM16" s="358"/>
      <c r="FN16" s="135"/>
      <c r="FO16" s="1315"/>
      <c r="FP16" s="358"/>
      <c r="FQ16" s="358"/>
      <c r="FR16" s="358"/>
      <c r="FS16" s="151"/>
    </row>
    <row r="17" spans="1:175" x14ac:dyDescent="0.3">
      <c r="A17" s="110">
        <v>6</v>
      </c>
      <c r="B17" s="111" t="s">
        <v>378</v>
      </c>
      <c r="C17" s="112" t="s">
        <v>141</v>
      </c>
      <c r="D17" s="112" t="s">
        <v>254</v>
      </c>
      <c r="E17" s="401">
        <v>4</v>
      </c>
      <c r="F17" s="395">
        <v>399999</v>
      </c>
      <c r="G17" s="395">
        <v>497088.4</v>
      </c>
      <c r="H17" s="208">
        <f t="shared" si="50"/>
        <v>97089.400000000023</v>
      </c>
      <c r="I17" s="217">
        <f>H17/G17</f>
        <v>0.19531616509256708</v>
      </c>
      <c r="J17" s="113">
        <v>7</v>
      </c>
      <c r="K17" s="994">
        <f>99378+184208</f>
        <v>283586</v>
      </c>
      <c r="L17" s="622">
        <f>220855+330405</f>
        <v>551260</v>
      </c>
      <c r="M17" s="208">
        <f t="shared" si="51"/>
        <v>267674</v>
      </c>
      <c r="N17" s="186">
        <f>M17/L17</f>
        <v>0.48556760875086169</v>
      </c>
      <c r="O17" s="113">
        <v>7</v>
      </c>
      <c r="P17" s="208">
        <v>454362</v>
      </c>
      <c r="Q17" s="395">
        <v>627826.28</v>
      </c>
      <c r="R17" s="208">
        <f t="shared" si="52"/>
        <v>173464.28000000003</v>
      </c>
      <c r="S17" s="169">
        <f>R17/Q17</f>
        <v>0.27629343582113197</v>
      </c>
      <c r="T17" s="1312">
        <v>2</v>
      </c>
      <c r="U17" s="1317">
        <v>72987</v>
      </c>
      <c r="V17" s="1317">
        <v>116150</v>
      </c>
      <c r="W17" s="208">
        <f t="shared" si="53"/>
        <v>43163</v>
      </c>
      <c r="X17" s="1313">
        <f>W17/V17</f>
        <v>0.37161429186396899</v>
      </c>
      <c r="Y17" s="583">
        <v>2</v>
      </c>
      <c r="Z17" s="395">
        <v>67436</v>
      </c>
      <c r="AA17" s="395">
        <v>83262</v>
      </c>
      <c r="AB17" s="208">
        <f t="shared" si="54"/>
        <v>15826</v>
      </c>
      <c r="AC17" s="78">
        <f>AB17/AA17</f>
        <v>0.19007470394657827</v>
      </c>
      <c r="AD17" s="583">
        <v>2</v>
      </c>
      <c r="AE17" s="395">
        <f>49905+66760</f>
        <v>116665</v>
      </c>
      <c r="AF17" s="395">
        <v>184430</v>
      </c>
      <c r="AG17" s="208">
        <f t="shared" si="55"/>
        <v>67765</v>
      </c>
      <c r="AH17" s="94">
        <f>AG17/AF17</f>
        <v>0.36742937699940359</v>
      </c>
      <c r="AI17" s="583">
        <v>1</v>
      </c>
      <c r="AJ17" s="395">
        <v>158295</v>
      </c>
      <c r="AK17" s="395">
        <v>176000</v>
      </c>
      <c r="AL17" s="208">
        <f t="shared" si="56"/>
        <v>17705</v>
      </c>
      <c r="AM17" s="186">
        <f t="shared" si="94"/>
        <v>0.10059659090909091</v>
      </c>
      <c r="AN17" s="113">
        <v>1</v>
      </c>
      <c r="AO17" s="208">
        <v>12687</v>
      </c>
      <c r="AP17" s="208">
        <v>20000</v>
      </c>
      <c r="AQ17" s="208">
        <f t="shared" si="44"/>
        <v>7313</v>
      </c>
      <c r="AR17" s="157">
        <f>AQ17/AP17</f>
        <v>0.36564999999999998</v>
      </c>
      <c r="AS17" s="209">
        <v>1</v>
      </c>
      <c r="AT17" s="208">
        <v>113838</v>
      </c>
      <c r="AU17" s="395">
        <v>176000</v>
      </c>
      <c r="AV17" s="208">
        <f t="shared" si="45"/>
        <v>62162</v>
      </c>
      <c r="AW17" s="157">
        <f>AV17/AU17</f>
        <v>0.35319318181818182</v>
      </c>
      <c r="AX17" s="113">
        <v>1</v>
      </c>
      <c r="AY17" s="208">
        <v>229141</v>
      </c>
      <c r="AZ17" s="208">
        <v>236500</v>
      </c>
      <c r="BA17" s="208">
        <f t="shared" si="46"/>
        <v>7359</v>
      </c>
      <c r="BB17" s="157">
        <f>BA17/AZ17</f>
        <v>3.1116279069767442E-2</v>
      </c>
      <c r="BC17" s="113">
        <v>1</v>
      </c>
      <c r="BD17" s="1322">
        <v>171514</v>
      </c>
      <c r="BE17" s="395">
        <v>191350</v>
      </c>
      <c r="BF17" s="208">
        <f t="shared" si="49"/>
        <v>19836</v>
      </c>
      <c r="BG17" s="157">
        <f>BF17/BE17</f>
        <v>0.10366344395087536</v>
      </c>
      <c r="BH17" s="113">
        <v>1</v>
      </c>
      <c r="BI17" s="208">
        <v>100473</v>
      </c>
      <c r="BJ17" s="208">
        <v>155000</v>
      </c>
      <c r="BK17" s="208">
        <f t="shared" si="47"/>
        <v>54527</v>
      </c>
      <c r="BL17" s="186">
        <f>BK17/BJ17</f>
        <v>0.35178709677419356</v>
      </c>
      <c r="BM17" s="1314"/>
      <c r="BN17" s="1310">
        <f t="shared" si="57"/>
        <v>2180983</v>
      </c>
      <c r="BO17" s="1310">
        <f t="shared" si="57"/>
        <v>3014866.68</v>
      </c>
      <c r="BP17" s="1310">
        <f t="shared" si="57"/>
        <v>833883.68</v>
      </c>
      <c r="BQ17" s="220">
        <f t="shared" si="8"/>
        <v>0.27659056552377964</v>
      </c>
      <c r="BR17" s="607">
        <f t="shared" si="58"/>
        <v>6</v>
      </c>
      <c r="BS17" s="137">
        <f t="shared" si="59"/>
        <v>1137947</v>
      </c>
      <c r="BT17" s="137">
        <f t="shared" si="59"/>
        <v>1676174.6800000002</v>
      </c>
      <c r="BU17" s="137">
        <f t="shared" si="59"/>
        <v>538227.68000000005</v>
      </c>
      <c r="BV17" s="151">
        <f>BU17/BT17</f>
        <v>0.32110476695662771</v>
      </c>
      <c r="BW17" s="607">
        <f t="shared" si="60"/>
        <v>2</v>
      </c>
      <c r="BX17" s="137">
        <f t="shared" si="61"/>
        <v>257088</v>
      </c>
      <c r="BY17" s="137">
        <f t="shared" si="61"/>
        <v>383842</v>
      </c>
      <c r="BZ17" s="137">
        <f t="shared" si="61"/>
        <v>126754</v>
      </c>
      <c r="CA17" s="135">
        <f>BZ17/BY17</f>
        <v>0.3302244152541931</v>
      </c>
      <c r="CB17" s="607">
        <f t="shared" si="62"/>
        <v>1</v>
      </c>
      <c r="CC17" s="358">
        <f t="shared" si="63"/>
        <v>284820</v>
      </c>
      <c r="CD17" s="358">
        <f t="shared" si="63"/>
        <v>372000</v>
      </c>
      <c r="CE17" s="358">
        <f t="shared" si="63"/>
        <v>87180</v>
      </c>
      <c r="CF17" s="135">
        <f t="shared" si="64"/>
        <v>0.23435483870967741</v>
      </c>
      <c r="CG17" s="1315">
        <f t="shared" si="65"/>
        <v>1</v>
      </c>
      <c r="CH17" s="358">
        <f t="shared" si="66"/>
        <v>501128</v>
      </c>
      <c r="CI17" s="358">
        <f t="shared" si="66"/>
        <v>582850</v>
      </c>
      <c r="CJ17" s="358">
        <f t="shared" si="66"/>
        <v>81722</v>
      </c>
      <c r="CK17" s="151">
        <f t="shared" si="43"/>
        <v>0.14021103199794116</v>
      </c>
      <c r="CL17" s="79"/>
      <c r="CM17" s="401">
        <v>1</v>
      </c>
      <c r="CN17" s="395">
        <v>69236</v>
      </c>
      <c r="CO17" s="395">
        <v>100536</v>
      </c>
      <c r="CP17" s="208">
        <f t="shared" si="67"/>
        <v>31300</v>
      </c>
      <c r="CQ17" s="217">
        <f>CP17/CO17</f>
        <v>0.31133126442269438</v>
      </c>
      <c r="CR17" s="113">
        <v>2</v>
      </c>
      <c r="CS17" s="994">
        <v>104111</v>
      </c>
      <c r="CT17" s="622">
        <v>175800</v>
      </c>
      <c r="CU17" s="208">
        <f t="shared" si="68"/>
        <v>71689</v>
      </c>
      <c r="CV17" s="186">
        <f>CU17/CT17</f>
        <v>0.4077872582480091</v>
      </c>
      <c r="CW17" s="439">
        <v>1</v>
      </c>
      <c r="CX17" s="208">
        <v>24804</v>
      </c>
      <c r="CY17" s="395">
        <v>50622</v>
      </c>
      <c r="CZ17" s="208">
        <f t="shared" si="69"/>
        <v>25818</v>
      </c>
      <c r="DA17" s="169">
        <f>CZ17/CY17</f>
        <v>0.51001540832049308</v>
      </c>
      <c r="DB17" s="1312">
        <v>3</v>
      </c>
      <c r="DC17" s="1317">
        <v>125606</v>
      </c>
      <c r="DD17" s="1317"/>
      <c r="DE17" s="208">
        <f t="shared" si="70"/>
        <v>-125606</v>
      </c>
      <c r="DF17" s="1313" t="e">
        <f t="shared" ref="DF17:DF36" si="95">DE17/DD17</f>
        <v>#DIV/0!</v>
      </c>
      <c r="DG17" s="583">
        <v>1</v>
      </c>
      <c r="DH17" s="395">
        <v>49089</v>
      </c>
      <c r="DI17" s="395"/>
      <c r="DJ17" s="208">
        <f t="shared" si="71"/>
        <v>-49089</v>
      </c>
      <c r="DK17" s="78" t="e">
        <f>DJ17/DI17</f>
        <v>#DIV/0!</v>
      </c>
      <c r="DL17" s="583"/>
      <c r="DM17" s="395"/>
      <c r="DN17" s="395"/>
      <c r="DO17" s="208">
        <f t="shared" si="72"/>
        <v>0</v>
      </c>
      <c r="DP17" s="94" t="e">
        <f>DO17/DN17</f>
        <v>#DIV/0!</v>
      </c>
      <c r="DQ17" s="583"/>
      <c r="DR17" s="395">
        <v>60638</v>
      </c>
      <c r="DS17" s="395"/>
      <c r="DT17" s="208">
        <f t="shared" si="73"/>
        <v>-60638</v>
      </c>
      <c r="DU17" s="78" t="e">
        <f t="shared" si="74"/>
        <v>#DIV/0!</v>
      </c>
      <c r="DV17" s="113">
        <v>3</v>
      </c>
      <c r="DW17" s="208">
        <v>207142</v>
      </c>
      <c r="DX17" s="208"/>
      <c r="DY17" s="208">
        <f t="shared" si="75"/>
        <v>-207142</v>
      </c>
      <c r="DZ17" s="157" t="e">
        <f t="shared" si="76"/>
        <v>#DIV/0!</v>
      </c>
      <c r="EA17" s="209">
        <v>3</v>
      </c>
      <c r="EB17" s="208">
        <v>232011</v>
      </c>
      <c r="EC17" s="395"/>
      <c r="ED17" s="208">
        <f t="shared" si="77"/>
        <v>-232011</v>
      </c>
      <c r="EE17" s="157" t="e">
        <f t="shared" si="78"/>
        <v>#DIV/0!</v>
      </c>
      <c r="EF17" s="113"/>
      <c r="EG17" s="208"/>
      <c r="EH17" s="208"/>
      <c r="EI17" s="208">
        <f t="shared" si="79"/>
        <v>0</v>
      </c>
      <c r="EJ17" s="157" t="e">
        <f t="shared" si="80"/>
        <v>#DIV/0!</v>
      </c>
      <c r="EK17" s="113"/>
      <c r="EL17" s="1322"/>
      <c r="EM17" s="395"/>
      <c r="EN17" s="208">
        <f t="shared" si="81"/>
        <v>0</v>
      </c>
      <c r="EO17" s="157" t="e">
        <f>EN17/EM17</f>
        <v>#DIV/0!</v>
      </c>
      <c r="EP17" s="113"/>
      <c r="EQ17" s="208"/>
      <c r="ER17" s="208"/>
      <c r="ES17" s="208">
        <f t="shared" si="82"/>
        <v>0</v>
      </c>
      <c r="ET17" s="186" t="e">
        <f t="shared" ref="ET17:ET34" si="96">ES17/ER17</f>
        <v>#DIV/0!</v>
      </c>
      <c r="EU17" s="1314"/>
      <c r="EV17" s="1310">
        <f t="shared" si="83"/>
        <v>872637</v>
      </c>
      <c r="EW17" s="1310">
        <f t="shared" si="83"/>
        <v>326958</v>
      </c>
      <c r="EX17" s="1310">
        <f t="shared" si="83"/>
        <v>-545679</v>
      </c>
      <c r="EY17" s="220">
        <f>EX17/EW17</f>
        <v>-1.6689574807773475</v>
      </c>
      <c r="EZ17" s="357">
        <f t="shared" si="84"/>
        <v>1.3333333333333333</v>
      </c>
      <c r="FA17" s="137">
        <f t="shared" si="85"/>
        <v>198151</v>
      </c>
      <c r="FB17" s="137">
        <f t="shared" si="85"/>
        <v>326958</v>
      </c>
      <c r="FC17" s="137">
        <f t="shared" si="85"/>
        <v>128807</v>
      </c>
      <c r="FD17" s="151">
        <f>FC17/FB17</f>
        <v>0.39395579860410207</v>
      </c>
      <c r="FE17" s="607">
        <f t="shared" si="86"/>
        <v>1.3333333333333333</v>
      </c>
      <c r="FF17" s="137">
        <f t="shared" si="87"/>
        <v>174695</v>
      </c>
      <c r="FG17" s="137">
        <f t="shared" si="87"/>
        <v>0</v>
      </c>
      <c r="FH17" s="137">
        <f t="shared" si="87"/>
        <v>-174695</v>
      </c>
      <c r="FI17" s="135" t="e">
        <f>FH17/FG17</f>
        <v>#DIV/0!</v>
      </c>
      <c r="FJ17" s="607">
        <f t="shared" si="88"/>
        <v>2</v>
      </c>
      <c r="FK17" s="358">
        <f t="shared" si="89"/>
        <v>499791</v>
      </c>
      <c r="FL17" s="358">
        <f t="shared" si="89"/>
        <v>0</v>
      </c>
      <c r="FM17" s="358">
        <f t="shared" si="89"/>
        <v>-499791</v>
      </c>
      <c r="FN17" s="135" t="e">
        <f t="shared" si="90"/>
        <v>#DIV/0!</v>
      </c>
      <c r="FO17" s="1315">
        <f t="shared" si="91"/>
        <v>0</v>
      </c>
      <c r="FP17" s="358">
        <f t="shared" si="92"/>
        <v>0</v>
      </c>
      <c r="FQ17" s="358">
        <f t="shared" si="92"/>
        <v>0</v>
      </c>
      <c r="FR17" s="358">
        <f t="shared" si="92"/>
        <v>0</v>
      </c>
      <c r="FS17" s="151" t="e">
        <f t="shared" si="93"/>
        <v>#DIV/0!</v>
      </c>
    </row>
    <row r="18" spans="1:175" x14ac:dyDescent="0.3">
      <c r="A18" s="110">
        <v>7</v>
      </c>
      <c r="B18" s="111" t="s">
        <v>379</v>
      </c>
      <c r="C18" s="112" t="s">
        <v>141</v>
      </c>
      <c r="D18" s="112" t="s">
        <v>254</v>
      </c>
      <c r="E18" s="439"/>
      <c r="F18" s="208"/>
      <c r="G18" s="208"/>
      <c r="H18" s="208">
        <f t="shared" si="50"/>
        <v>0</v>
      </c>
      <c r="I18" s="217"/>
      <c r="J18" s="113">
        <v>1</v>
      </c>
      <c r="K18" s="994">
        <v>32689</v>
      </c>
      <c r="L18" s="1323">
        <v>41465.760000000002</v>
      </c>
      <c r="M18" s="208">
        <f t="shared" si="51"/>
        <v>8776.760000000002</v>
      </c>
      <c r="N18" s="186">
        <f>M18/L18</f>
        <v>0.21166282735442452</v>
      </c>
      <c r="O18" s="113"/>
      <c r="P18" s="208"/>
      <c r="Q18" s="395"/>
      <c r="R18" s="208">
        <f t="shared" si="52"/>
        <v>0</v>
      </c>
      <c r="S18" s="169"/>
      <c r="T18" s="1312"/>
      <c r="U18" s="1317"/>
      <c r="V18" s="1317"/>
      <c r="W18" s="208">
        <f t="shared" si="53"/>
        <v>0</v>
      </c>
      <c r="X18" s="1313"/>
      <c r="Y18" s="583"/>
      <c r="Z18" s="395"/>
      <c r="AA18" s="395"/>
      <c r="AB18" s="208">
        <f t="shared" si="54"/>
        <v>0</v>
      </c>
      <c r="AC18" s="78"/>
      <c r="AD18" s="583"/>
      <c r="AE18" s="395"/>
      <c r="AF18" s="395"/>
      <c r="AG18" s="208">
        <f t="shared" si="55"/>
        <v>0</v>
      </c>
      <c r="AH18" s="94"/>
      <c r="AI18" s="113"/>
      <c r="AJ18" s="208"/>
      <c r="AK18" s="208"/>
      <c r="AL18" s="208">
        <f t="shared" si="56"/>
        <v>0</v>
      </c>
      <c r="AM18" s="78"/>
      <c r="AN18" s="113"/>
      <c r="AO18" s="208"/>
      <c r="AP18" s="208"/>
      <c r="AQ18" s="208">
        <f t="shared" si="44"/>
        <v>0</v>
      </c>
      <c r="AR18" s="157"/>
      <c r="AS18" s="209"/>
      <c r="AT18" s="208"/>
      <c r="AU18" s="395"/>
      <c r="AV18" s="208">
        <f t="shared" si="45"/>
        <v>0</v>
      </c>
      <c r="AW18" s="157"/>
      <c r="AX18" s="113"/>
      <c r="AY18" s="208"/>
      <c r="AZ18" s="208"/>
      <c r="BA18" s="208">
        <f t="shared" si="46"/>
        <v>0</v>
      </c>
      <c r="BB18" s="157"/>
      <c r="BC18" s="113"/>
      <c r="BD18" s="208"/>
      <c r="BE18" s="395"/>
      <c r="BF18" s="208">
        <f t="shared" si="49"/>
        <v>0</v>
      </c>
      <c r="BG18" s="1561">
        <v>0</v>
      </c>
      <c r="BH18" s="113"/>
      <c r="BI18" s="208"/>
      <c r="BJ18" s="208"/>
      <c r="BK18" s="208">
        <f t="shared" si="47"/>
        <v>0</v>
      </c>
      <c r="BL18" s="1614">
        <v>0</v>
      </c>
      <c r="BM18" s="1314"/>
      <c r="BN18" s="1310">
        <f t="shared" si="57"/>
        <v>32689</v>
      </c>
      <c r="BO18" s="1310">
        <f t="shared" si="57"/>
        <v>41465.760000000002</v>
      </c>
      <c r="BP18" s="1310">
        <f t="shared" si="57"/>
        <v>8776.760000000002</v>
      </c>
      <c r="BQ18" s="220">
        <f t="shared" si="8"/>
        <v>0.21166282735442452</v>
      </c>
      <c r="BR18" s="607">
        <f t="shared" si="58"/>
        <v>0.33333333333333331</v>
      </c>
      <c r="BS18" s="137">
        <f t="shared" si="59"/>
        <v>32689</v>
      </c>
      <c r="BT18" s="137">
        <f t="shared" si="59"/>
        <v>41465.760000000002</v>
      </c>
      <c r="BU18" s="137">
        <f t="shared" si="59"/>
        <v>8776.760000000002</v>
      </c>
      <c r="BV18" s="151">
        <f>BU18/BT18</f>
        <v>0.21166282735442452</v>
      </c>
      <c r="BW18" s="607">
        <f t="shared" si="60"/>
        <v>0</v>
      </c>
      <c r="BX18" s="137">
        <f t="shared" si="61"/>
        <v>0</v>
      </c>
      <c r="BY18" s="137">
        <f t="shared" si="61"/>
        <v>0</v>
      </c>
      <c r="BZ18" s="137">
        <f t="shared" si="61"/>
        <v>0</v>
      </c>
      <c r="CA18" s="135"/>
      <c r="CB18" s="607">
        <f t="shared" si="62"/>
        <v>0</v>
      </c>
      <c r="CC18" s="358">
        <f t="shared" si="63"/>
        <v>0</v>
      </c>
      <c r="CD18" s="358">
        <f t="shared" si="63"/>
        <v>0</v>
      </c>
      <c r="CE18" s="358">
        <f t="shared" si="63"/>
        <v>0</v>
      </c>
      <c r="CF18" s="135" t="e">
        <f t="shared" si="64"/>
        <v>#DIV/0!</v>
      </c>
      <c r="CG18" s="1315">
        <f t="shared" si="65"/>
        <v>0</v>
      </c>
      <c r="CH18" s="358">
        <f t="shared" si="66"/>
        <v>0</v>
      </c>
      <c r="CI18" s="358">
        <f t="shared" si="66"/>
        <v>0</v>
      </c>
      <c r="CJ18" s="358">
        <f t="shared" si="66"/>
        <v>0</v>
      </c>
      <c r="CK18" s="151" t="e">
        <f t="shared" si="43"/>
        <v>#DIV/0!</v>
      </c>
      <c r="CL18" s="79"/>
      <c r="CM18" s="439"/>
      <c r="CN18" s="208"/>
      <c r="CO18" s="208"/>
      <c r="CP18" s="208">
        <f t="shared" si="67"/>
        <v>0</v>
      </c>
      <c r="CQ18" s="3547">
        <v>0</v>
      </c>
      <c r="CR18" s="113"/>
      <c r="CS18" s="994"/>
      <c r="CT18" s="1323"/>
      <c r="CU18" s="208">
        <f t="shared" si="68"/>
        <v>0</v>
      </c>
      <c r="CV18" s="186"/>
      <c r="CW18" s="439"/>
      <c r="CX18" s="208">
        <v>0</v>
      </c>
      <c r="CY18" s="395">
        <v>0</v>
      </c>
      <c r="CZ18" s="208">
        <f t="shared" si="69"/>
        <v>0</v>
      </c>
      <c r="DA18" s="169"/>
      <c r="DB18" s="1312"/>
      <c r="DC18" s="1317"/>
      <c r="DD18" s="1317"/>
      <c r="DE18" s="208">
        <f t="shared" si="70"/>
        <v>0</v>
      </c>
      <c r="DF18" s="1313" t="e">
        <f t="shared" si="95"/>
        <v>#DIV/0!</v>
      </c>
      <c r="DG18" s="583"/>
      <c r="DH18" s="395"/>
      <c r="DI18" s="395"/>
      <c r="DJ18" s="208">
        <f t="shared" si="71"/>
        <v>0</v>
      </c>
      <c r="DK18" s="78" t="e">
        <f t="shared" ref="DK18:DK34" si="97">DJ18/DI18</f>
        <v>#DIV/0!</v>
      </c>
      <c r="DL18" s="583"/>
      <c r="DM18" s="395"/>
      <c r="DN18" s="395"/>
      <c r="DO18" s="208">
        <f t="shared" si="72"/>
        <v>0</v>
      </c>
      <c r="DP18" s="94" t="e">
        <f t="shared" ref="DP18:DP35" si="98">DO18/DN18</f>
        <v>#DIV/0!</v>
      </c>
      <c r="DQ18" s="113"/>
      <c r="DR18" s="208"/>
      <c r="DS18" s="208"/>
      <c r="DT18" s="208">
        <f t="shared" si="73"/>
        <v>0</v>
      </c>
      <c r="DU18" s="78" t="e">
        <f t="shared" si="74"/>
        <v>#DIV/0!</v>
      </c>
      <c r="DV18" s="113"/>
      <c r="DW18" s="208"/>
      <c r="DX18" s="208"/>
      <c r="DY18" s="208">
        <f t="shared" si="75"/>
        <v>0</v>
      </c>
      <c r="DZ18" s="157" t="e">
        <f t="shared" si="76"/>
        <v>#DIV/0!</v>
      </c>
      <c r="EA18" s="209"/>
      <c r="EB18" s="208"/>
      <c r="EC18" s="395"/>
      <c r="ED18" s="208">
        <f t="shared" si="77"/>
        <v>0</v>
      </c>
      <c r="EE18" s="157" t="e">
        <f t="shared" si="78"/>
        <v>#DIV/0!</v>
      </c>
      <c r="EF18" s="113"/>
      <c r="EG18" s="208"/>
      <c r="EH18" s="208"/>
      <c r="EI18" s="208">
        <f t="shared" si="79"/>
        <v>0</v>
      </c>
      <c r="EJ18" s="157" t="e">
        <f t="shared" si="80"/>
        <v>#DIV/0!</v>
      </c>
      <c r="EK18" s="113"/>
      <c r="EL18" s="208"/>
      <c r="EM18" s="395"/>
      <c r="EN18" s="208">
        <f t="shared" si="81"/>
        <v>0</v>
      </c>
      <c r="EO18" s="1561">
        <v>0</v>
      </c>
      <c r="EP18" s="113"/>
      <c r="EQ18" s="208"/>
      <c r="ER18" s="208"/>
      <c r="ES18" s="208">
        <f t="shared" si="82"/>
        <v>0</v>
      </c>
      <c r="ET18" s="186" t="e">
        <f t="shared" si="96"/>
        <v>#DIV/0!</v>
      </c>
      <c r="EU18" s="1314"/>
      <c r="EV18" s="1310">
        <f t="shared" si="83"/>
        <v>0</v>
      </c>
      <c r="EW18" s="1310">
        <f t="shared" si="83"/>
        <v>0</v>
      </c>
      <c r="EX18" s="1310">
        <f t="shared" si="83"/>
        <v>0</v>
      </c>
      <c r="EY18" s="220" t="e">
        <f>EX18/EW18</f>
        <v>#DIV/0!</v>
      </c>
      <c r="EZ18" s="357">
        <f t="shared" si="84"/>
        <v>0</v>
      </c>
      <c r="FA18" s="137">
        <f t="shared" si="85"/>
        <v>0</v>
      </c>
      <c r="FB18" s="137">
        <f t="shared" si="85"/>
        <v>0</v>
      </c>
      <c r="FC18" s="137">
        <f t="shared" si="85"/>
        <v>0</v>
      </c>
      <c r="FD18" s="151"/>
      <c r="FE18" s="607">
        <f t="shared" si="86"/>
        <v>0</v>
      </c>
      <c r="FF18" s="137">
        <f t="shared" si="87"/>
        <v>0</v>
      </c>
      <c r="FG18" s="137">
        <f t="shared" si="87"/>
        <v>0</v>
      </c>
      <c r="FH18" s="137">
        <f t="shared" si="87"/>
        <v>0</v>
      </c>
      <c r="FI18" s="135"/>
      <c r="FJ18" s="607">
        <f t="shared" si="88"/>
        <v>0</v>
      </c>
      <c r="FK18" s="358">
        <f t="shared" si="89"/>
        <v>0</v>
      </c>
      <c r="FL18" s="358">
        <f t="shared" si="89"/>
        <v>0</v>
      </c>
      <c r="FM18" s="358">
        <f t="shared" si="89"/>
        <v>0</v>
      </c>
      <c r="FN18" s="135" t="e">
        <f t="shared" si="90"/>
        <v>#DIV/0!</v>
      </c>
      <c r="FO18" s="1315">
        <f t="shared" si="91"/>
        <v>0</v>
      </c>
      <c r="FP18" s="358">
        <f t="shared" si="92"/>
        <v>0</v>
      </c>
      <c r="FQ18" s="358">
        <f t="shared" si="92"/>
        <v>0</v>
      </c>
      <c r="FR18" s="358">
        <f t="shared" si="92"/>
        <v>0</v>
      </c>
      <c r="FS18" s="151" t="e">
        <f t="shared" si="93"/>
        <v>#DIV/0!</v>
      </c>
    </row>
    <row r="19" spans="1:175" x14ac:dyDescent="0.3">
      <c r="A19" s="110">
        <v>11</v>
      </c>
      <c r="B19" s="111" t="s">
        <v>380</v>
      </c>
      <c r="C19" s="112" t="s">
        <v>141</v>
      </c>
      <c r="D19" s="112" t="s">
        <v>254</v>
      </c>
      <c r="E19" s="439"/>
      <c r="F19" s="208"/>
      <c r="G19" s="208"/>
      <c r="H19" s="208">
        <f t="shared" si="50"/>
        <v>0</v>
      </c>
      <c r="I19" s="217"/>
      <c r="J19" s="113"/>
      <c r="K19" s="994"/>
      <c r="L19" s="358"/>
      <c r="M19" s="208">
        <f t="shared" si="51"/>
        <v>0</v>
      </c>
      <c r="N19" s="186"/>
      <c r="O19" s="113"/>
      <c r="P19" s="208"/>
      <c r="Q19" s="395"/>
      <c r="R19" s="208">
        <f t="shared" si="52"/>
        <v>0</v>
      </c>
      <c r="S19" s="169"/>
      <c r="T19" s="1312"/>
      <c r="U19" s="1317"/>
      <c r="V19" s="1317"/>
      <c r="W19" s="208">
        <f t="shared" si="53"/>
        <v>0</v>
      </c>
      <c r="X19" s="1313"/>
      <c r="Y19" s="113"/>
      <c r="Z19" s="395"/>
      <c r="AA19" s="395"/>
      <c r="AB19" s="208">
        <f t="shared" si="54"/>
        <v>0</v>
      </c>
      <c r="AC19" s="78"/>
      <c r="AD19" s="113"/>
      <c r="AE19" s="208"/>
      <c r="AF19" s="395"/>
      <c r="AG19" s="208">
        <f t="shared" si="55"/>
        <v>0</v>
      </c>
      <c r="AH19" s="94"/>
      <c r="AI19" s="113"/>
      <c r="AJ19" s="208"/>
      <c r="AK19" s="208"/>
      <c r="AL19" s="208">
        <f t="shared" si="56"/>
        <v>0</v>
      </c>
      <c r="AM19" s="78"/>
      <c r="AN19" s="113"/>
      <c r="AO19" s="208"/>
      <c r="AP19" s="208"/>
      <c r="AQ19" s="208">
        <f t="shared" si="44"/>
        <v>0</v>
      </c>
      <c r="AR19" s="157"/>
      <c r="AS19" s="209"/>
      <c r="AT19" s="208"/>
      <c r="AU19" s="395"/>
      <c r="AV19" s="208">
        <f t="shared" si="45"/>
        <v>0</v>
      </c>
      <c r="AW19" s="157"/>
      <c r="AX19" s="113"/>
      <c r="AY19" s="208"/>
      <c r="AZ19" s="208"/>
      <c r="BA19" s="208">
        <f t="shared" si="46"/>
        <v>0</v>
      </c>
      <c r="BB19" s="1561">
        <v>0</v>
      </c>
      <c r="BC19" s="113"/>
      <c r="BD19" s="208"/>
      <c r="BE19" s="395"/>
      <c r="BF19" s="208">
        <f t="shared" si="49"/>
        <v>0</v>
      </c>
      <c r="BG19" s="1561">
        <v>0</v>
      </c>
      <c r="BH19" s="113"/>
      <c r="BI19" s="208"/>
      <c r="BJ19" s="208"/>
      <c r="BK19" s="208">
        <f t="shared" si="47"/>
        <v>0</v>
      </c>
      <c r="BL19" s="1614">
        <v>0</v>
      </c>
      <c r="BM19" s="1314"/>
      <c r="BN19" s="1310">
        <f t="shared" si="57"/>
        <v>0</v>
      </c>
      <c r="BO19" s="1310">
        <f t="shared" si="57"/>
        <v>0</v>
      </c>
      <c r="BP19" s="1310">
        <f t="shared" si="57"/>
        <v>0</v>
      </c>
      <c r="BQ19" s="220"/>
      <c r="BR19" s="607">
        <f t="shared" si="58"/>
        <v>0</v>
      </c>
      <c r="BS19" s="137">
        <f t="shared" si="59"/>
        <v>0</v>
      </c>
      <c r="BT19" s="137">
        <f t="shared" si="59"/>
        <v>0</v>
      </c>
      <c r="BU19" s="137">
        <f t="shared" si="59"/>
        <v>0</v>
      </c>
      <c r="BV19" s="151"/>
      <c r="BW19" s="607">
        <f t="shared" si="60"/>
        <v>0</v>
      </c>
      <c r="BX19" s="137">
        <f t="shared" si="61"/>
        <v>0</v>
      </c>
      <c r="BY19" s="137">
        <f t="shared" si="61"/>
        <v>0</v>
      </c>
      <c r="BZ19" s="137">
        <f t="shared" si="61"/>
        <v>0</v>
      </c>
      <c r="CA19" s="135"/>
      <c r="CB19" s="607">
        <f t="shared" si="62"/>
        <v>0</v>
      </c>
      <c r="CC19" s="358">
        <f t="shared" si="63"/>
        <v>0</v>
      </c>
      <c r="CD19" s="358">
        <f t="shared" si="63"/>
        <v>0</v>
      </c>
      <c r="CE19" s="358">
        <f t="shared" si="63"/>
        <v>0</v>
      </c>
      <c r="CF19" s="135" t="e">
        <f t="shared" si="64"/>
        <v>#DIV/0!</v>
      </c>
      <c r="CG19" s="1315">
        <f t="shared" si="65"/>
        <v>0</v>
      </c>
      <c r="CH19" s="358">
        <f t="shared" si="66"/>
        <v>0</v>
      </c>
      <c r="CI19" s="358">
        <f t="shared" si="66"/>
        <v>0</v>
      </c>
      <c r="CJ19" s="358">
        <f t="shared" si="66"/>
        <v>0</v>
      </c>
      <c r="CK19" s="151" t="e">
        <f t="shared" si="43"/>
        <v>#DIV/0!</v>
      </c>
      <c r="CL19" s="79"/>
      <c r="CM19" s="439">
        <v>1</v>
      </c>
      <c r="CN19" s="208">
        <v>9553</v>
      </c>
      <c r="CO19" s="208">
        <v>12000</v>
      </c>
      <c r="CP19" s="208">
        <f t="shared" si="67"/>
        <v>2447</v>
      </c>
      <c r="CQ19" s="217">
        <f>CP19/CO19</f>
        <v>0.20391666666666666</v>
      </c>
      <c r="CR19" s="113"/>
      <c r="CS19" s="994"/>
      <c r="CT19" s="358"/>
      <c r="CU19" s="208">
        <f t="shared" si="68"/>
        <v>0</v>
      </c>
      <c r="CV19" s="186"/>
      <c r="CW19" s="439"/>
      <c r="CX19" s="208">
        <v>0</v>
      </c>
      <c r="CY19" s="395">
        <v>0</v>
      </c>
      <c r="CZ19" s="208">
        <f t="shared" si="69"/>
        <v>0</v>
      </c>
      <c r="DA19" s="169"/>
      <c r="DB19" s="1312"/>
      <c r="DC19" s="1317"/>
      <c r="DD19" s="1317"/>
      <c r="DE19" s="208">
        <f t="shared" si="70"/>
        <v>0</v>
      </c>
      <c r="DF19" s="1313" t="e">
        <f t="shared" si="95"/>
        <v>#DIV/0!</v>
      </c>
      <c r="DG19" s="113"/>
      <c r="DH19" s="395"/>
      <c r="DI19" s="395"/>
      <c r="DJ19" s="208">
        <f t="shared" si="71"/>
        <v>0</v>
      </c>
      <c r="DK19" s="78" t="e">
        <f t="shared" si="97"/>
        <v>#DIV/0!</v>
      </c>
      <c r="DL19" s="113"/>
      <c r="DM19" s="208"/>
      <c r="DN19" s="395"/>
      <c r="DO19" s="208">
        <f t="shared" si="72"/>
        <v>0</v>
      </c>
      <c r="DP19" s="94" t="e">
        <f t="shared" si="98"/>
        <v>#DIV/0!</v>
      </c>
      <c r="DQ19" s="113"/>
      <c r="DR19" s="208"/>
      <c r="DS19" s="208"/>
      <c r="DT19" s="208">
        <f t="shared" si="73"/>
        <v>0</v>
      </c>
      <c r="DU19" s="78" t="e">
        <f t="shared" si="74"/>
        <v>#DIV/0!</v>
      </c>
      <c r="DV19" s="113"/>
      <c r="DW19" s="208"/>
      <c r="DX19" s="208"/>
      <c r="DY19" s="208">
        <f t="shared" si="75"/>
        <v>0</v>
      </c>
      <c r="DZ19" s="157" t="e">
        <f t="shared" si="76"/>
        <v>#DIV/0!</v>
      </c>
      <c r="EA19" s="209"/>
      <c r="EB19" s="208"/>
      <c r="EC19" s="395"/>
      <c r="ED19" s="208">
        <f t="shared" si="77"/>
        <v>0</v>
      </c>
      <c r="EE19" s="157" t="e">
        <f t="shared" si="78"/>
        <v>#DIV/0!</v>
      </c>
      <c r="EF19" s="113"/>
      <c r="EG19" s="208"/>
      <c r="EH19" s="208"/>
      <c r="EI19" s="208">
        <f t="shared" si="79"/>
        <v>0</v>
      </c>
      <c r="EJ19" s="157" t="e">
        <f t="shared" si="80"/>
        <v>#DIV/0!</v>
      </c>
      <c r="EK19" s="113"/>
      <c r="EL19" s="208"/>
      <c r="EM19" s="395"/>
      <c r="EN19" s="208">
        <f t="shared" si="81"/>
        <v>0</v>
      </c>
      <c r="EO19" s="1561">
        <v>0</v>
      </c>
      <c r="EP19" s="113"/>
      <c r="EQ19" s="208"/>
      <c r="ER19" s="208"/>
      <c r="ES19" s="208">
        <f t="shared" si="82"/>
        <v>0</v>
      </c>
      <c r="ET19" s="186" t="e">
        <f t="shared" si="96"/>
        <v>#DIV/0!</v>
      </c>
      <c r="EU19" s="1314"/>
      <c r="EV19" s="1310">
        <f t="shared" si="83"/>
        <v>9553</v>
      </c>
      <c r="EW19" s="1310">
        <f t="shared" si="83"/>
        <v>12000</v>
      </c>
      <c r="EX19" s="1310">
        <f t="shared" si="83"/>
        <v>2447</v>
      </c>
      <c r="EY19" s="220"/>
      <c r="EZ19" s="357">
        <f t="shared" si="84"/>
        <v>0.33333333333333331</v>
      </c>
      <c r="FA19" s="137">
        <f t="shared" si="85"/>
        <v>9553</v>
      </c>
      <c r="FB19" s="137">
        <f t="shared" si="85"/>
        <v>12000</v>
      </c>
      <c r="FC19" s="137">
        <f t="shared" si="85"/>
        <v>2447</v>
      </c>
      <c r="FD19" s="151"/>
      <c r="FE19" s="607">
        <f t="shared" si="86"/>
        <v>0</v>
      </c>
      <c r="FF19" s="137">
        <f t="shared" si="87"/>
        <v>0</v>
      </c>
      <c r="FG19" s="137">
        <f t="shared" si="87"/>
        <v>0</v>
      </c>
      <c r="FH19" s="137">
        <f t="shared" si="87"/>
        <v>0</v>
      </c>
      <c r="FI19" s="135"/>
      <c r="FJ19" s="607">
        <f t="shared" si="88"/>
        <v>0</v>
      </c>
      <c r="FK19" s="358">
        <f t="shared" si="89"/>
        <v>0</v>
      </c>
      <c r="FL19" s="358">
        <f t="shared" si="89"/>
        <v>0</v>
      </c>
      <c r="FM19" s="358">
        <f t="shared" si="89"/>
        <v>0</v>
      </c>
      <c r="FN19" s="135" t="e">
        <f t="shared" si="90"/>
        <v>#DIV/0!</v>
      </c>
      <c r="FO19" s="1315">
        <f t="shared" si="91"/>
        <v>0</v>
      </c>
      <c r="FP19" s="358">
        <f t="shared" si="92"/>
        <v>0</v>
      </c>
      <c r="FQ19" s="358">
        <f t="shared" si="92"/>
        <v>0</v>
      </c>
      <c r="FR19" s="358">
        <f t="shared" si="92"/>
        <v>0</v>
      </c>
      <c r="FS19" s="151" t="e">
        <f t="shared" si="93"/>
        <v>#DIV/0!</v>
      </c>
    </row>
    <row r="20" spans="1:175" x14ac:dyDescent="0.3">
      <c r="A20" s="110">
        <v>12</v>
      </c>
      <c r="B20" s="111" t="s">
        <v>381</v>
      </c>
      <c r="C20" s="112" t="s">
        <v>382</v>
      </c>
      <c r="D20" s="112" t="s">
        <v>254</v>
      </c>
      <c r="E20" s="439"/>
      <c r="F20" s="208"/>
      <c r="G20" s="208"/>
      <c r="H20" s="208">
        <f t="shared" si="50"/>
        <v>0</v>
      </c>
      <c r="I20" s="217"/>
      <c r="J20" s="113"/>
      <c r="K20" s="994"/>
      <c r="L20" s="622"/>
      <c r="M20" s="208">
        <f t="shared" si="51"/>
        <v>0</v>
      </c>
      <c r="N20" s="186"/>
      <c r="O20" s="113"/>
      <c r="P20" s="208"/>
      <c r="Q20" s="395"/>
      <c r="R20" s="208">
        <f t="shared" si="52"/>
        <v>0</v>
      </c>
      <c r="S20" s="169"/>
      <c r="T20" s="1312"/>
      <c r="U20" s="1317"/>
      <c r="V20" s="1317"/>
      <c r="W20" s="208">
        <f t="shared" si="53"/>
        <v>0</v>
      </c>
      <c r="X20" s="1313"/>
      <c r="Y20" s="113"/>
      <c r="Z20" s="395"/>
      <c r="AA20" s="395"/>
      <c r="AB20" s="208">
        <f t="shared" si="54"/>
        <v>0</v>
      </c>
      <c r="AC20" s="78"/>
      <c r="AD20" s="113"/>
      <c r="AE20" s="395"/>
      <c r="AF20" s="395"/>
      <c r="AG20" s="208">
        <f t="shared" si="55"/>
        <v>0</v>
      </c>
      <c r="AH20" s="94"/>
      <c r="AI20" s="113"/>
      <c r="AJ20" s="208"/>
      <c r="AK20" s="208"/>
      <c r="AL20" s="208">
        <f t="shared" si="56"/>
        <v>0</v>
      </c>
      <c r="AM20" s="78"/>
      <c r="AN20" s="113"/>
      <c r="AO20" s="208"/>
      <c r="AP20" s="208"/>
      <c r="AQ20" s="208">
        <f t="shared" si="44"/>
        <v>0</v>
      </c>
      <c r="AR20" s="157"/>
      <c r="AS20" s="209"/>
      <c r="AT20" s="208"/>
      <c r="AU20" s="395"/>
      <c r="AV20" s="208">
        <f t="shared" si="45"/>
        <v>0</v>
      </c>
      <c r="AW20" s="157"/>
      <c r="AX20" s="113"/>
      <c r="AY20" s="208"/>
      <c r="AZ20" s="208"/>
      <c r="BA20" s="208">
        <f t="shared" si="46"/>
        <v>0</v>
      </c>
      <c r="BB20" s="1561">
        <v>0</v>
      </c>
      <c r="BC20" s="113"/>
      <c r="BD20" s="208"/>
      <c r="BE20" s="395"/>
      <c r="BF20" s="208">
        <f t="shared" si="49"/>
        <v>0</v>
      </c>
      <c r="BG20" s="1561">
        <v>0</v>
      </c>
      <c r="BH20" s="113"/>
      <c r="BI20" s="208"/>
      <c r="BJ20" s="208"/>
      <c r="BK20" s="208">
        <f t="shared" si="47"/>
        <v>0</v>
      </c>
      <c r="BL20" s="1614">
        <v>0</v>
      </c>
      <c r="BM20" s="1314"/>
      <c r="BN20" s="1310">
        <f t="shared" si="57"/>
        <v>0</v>
      </c>
      <c r="BO20" s="1310">
        <f t="shared" si="57"/>
        <v>0</v>
      </c>
      <c r="BP20" s="1310">
        <f t="shared" si="57"/>
        <v>0</v>
      </c>
      <c r="BQ20" s="220"/>
      <c r="BR20" s="607">
        <f t="shared" si="58"/>
        <v>0</v>
      </c>
      <c r="BS20" s="137">
        <f t="shared" si="59"/>
        <v>0</v>
      </c>
      <c r="BT20" s="137">
        <f t="shared" si="59"/>
        <v>0</v>
      </c>
      <c r="BU20" s="137">
        <f t="shared" si="59"/>
        <v>0</v>
      </c>
      <c r="BV20" s="151"/>
      <c r="BW20" s="607">
        <f t="shared" si="60"/>
        <v>0</v>
      </c>
      <c r="BX20" s="137">
        <f t="shared" si="61"/>
        <v>0</v>
      </c>
      <c r="BY20" s="137">
        <f t="shared" si="61"/>
        <v>0</v>
      </c>
      <c r="BZ20" s="137">
        <f t="shared" si="61"/>
        <v>0</v>
      </c>
      <c r="CA20" s="135"/>
      <c r="CB20" s="607">
        <f t="shared" si="62"/>
        <v>0</v>
      </c>
      <c r="CC20" s="358">
        <f t="shared" si="63"/>
        <v>0</v>
      </c>
      <c r="CD20" s="358">
        <f t="shared" si="63"/>
        <v>0</v>
      </c>
      <c r="CE20" s="358">
        <f t="shared" si="63"/>
        <v>0</v>
      </c>
      <c r="CF20" s="135" t="e">
        <f t="shared" si="64"/>
        <v>#DIV/0!</v>
      </c>
      <c r="CG20" s="1315">
        <f t="shared" si="65"/>
        <v>0</v>
      </c>
      <c r="CH20" s="358">
        <f t="shared" si="66"/>
        <v>0</v>
      </c>
      <c r="CI20" s="358">
        <f t="shared" si="66"/>
        <v>0</v>
      </c>
      <c r="CJ20" s="358">
        <f t="shared" si="66"/>
        <v>0</v>
      </c>
      <c r="CK20" s="151" t="e">
        <f t="shared" si="43"/>
        <v>#DIV/0!</v>
      </c>
      <c r="CL20" s="79"/>
      <c r="CM20" s="439"/>
      <c r="CN20" s="208"/>
      <c r="CO20" s="208"/>
      <c r="CP20" s="208">
        <f t="shared" si="67"/>
        <v>0</v>
      </c>
      <c r="CQ20" s="3547">
        <v>0</v>
      </c>
      <c r="CR20" s="113"/>
      <c r="CS20" s="994"/>
      <c r="CT20" s="622"/>
      <c r="CU20" s="208">
        <f t="shared" si="68"/>
        <v>0</v>
      </c>
      <c r="CV20" s="186"/>
      <c r="CW20" s="439">
        <v>1</v>
      </c>
      <c r="CX20" s="208">
        <v>13363</v>
      </c>
      <c r="CY20" s="395">
        <v>18333</v>
      </c>
      <c r="CZ20" s="208">
        <f t="shared" si="69"/>
        <v>4970</v>
      </c>
      <c r="DA20" s="169">
        <f>CZ20/CY20</f>
        <v>0.2710958381061474</v>
      </c>
      <c r="DB20" s="1312">
        <v>1</v>
      </c>
      <c r="DC20" s="1317">
        <v>15676</v>
      </c>
      <c r="DD20" s="1317"/>
      <c r="DE20" s="208">
        <f t="shared" si="70"/>
        <v>-15676</v>
      </c>
      <c r="DF20" s="1313" t="e">
        <f t="shared" si="95"/>
        <v>#DIV/0!</v>
      </c>
      <c r="DG20" s="113"/>
      <c r="DH20" s="395"/>
      <c r="DI20" s="395"/>
      <c r="DJ20" s="208">
        <f t="shared" si="71"/>
        <v>0</v>
      </c>
      <c r="DK20" s="78" t="e">
        <f t="shared" si="97"/>
        <v>#DIV/0!</v>
      </c>
      <c r="DL20" s="113"/>
      <c r="DM20" s="395"/>
      <c r="DN20" s="395"/>
      <c r="DO20" s="208">
        <f t="shared" si="72"/>
        <v>0</v>
      </c>
      <c r="DP20" s="94" t="e">
        <f t="shared" si="98"/>
        <v>#DIV/0!</v>
      </c>
      <c r="DQ20" s="113"/>
      <c r="DR20" s="208"/>
      <c r="DS20" s="208"/>
      <c r="DT20" s="208">
        <f t="shared" si="73"/>
        <v>0</v>
      </c>
      <c r="DU20" s="78" t="e">
        <f t="shared" si="74"/>
        <v>#DIV/0!</v>
      </c>
      <c r="DV20" s="113"/>
      <c r="DW20" s="208"/>
      <c r="DX20" s="208"/>
      <c r="DY20" s="208">
        <f t="shared" si="75"/>
        <v>0</v>
      </c>
      <c r="DZ20" s="157" t="e">
        <f t="shared" si="76"/>
        <v>#DIV/0!</v>
      </c>
      <c r="EA20" s="209"/>
      <c r="EB20" s="208"/>
      <c r="EC20" s="395"/>
      <c r="ED20" s="208">
        <f t="shared" si="77"/>
        <v>0</v>
      </c>
      <c r="EE20" s="157" t="e">
        <f t="shared" si="78"/>
        <v>#DIV/0!</v>
      </c>
      <c r="EF20" s="113"/>
      <c r="EG20" s="208"/>
      <c r="EH20" s="208"/>
      <c r="EI20" s="208">
        <f t="shared" si="79"/>
        <v>0</v>
      </c>
      <c r="EJ20" s="157" t="e">
        <f t="shared" si="80"/>
        <v>#DIV/0!</v>
      </c>
      <c r="EK20" s="113"/>
      <c r="EL20" s="208"/>
      <c r="EM20" s="395"/>
      <c r="EN20" s="208">
        <f t="shared" si="81"/>
        <v>0</v>
      </c>
      <c r="EO20" s="1561">
        <v>0</v>
      </c>
      <c r="EP20" s="113"/>
      <c r="EQ20" s="208"/>
      <c r="ER20" s="208"/>
      <c r="ES20" s="208">
        <f t="shared" si="82"/>
        <v>0</v>
      </c>
      <c r="ET20" s="186" t="e">
        <f t="shared" si="96"/>
        <v>#DIV/0!</v>
      </c>
      <c r="EU20" s="1314"/>
      <c r="EV20" s="1310">
        <f t="shared" si="83"/>
        <v>29039</v>
      </c>
      <c r="EW20" s="1310">
        <f t="shared" si="83"/>
        <v>18333</v>
      </c>
      <c r="EX20" s="1310">
        <f t="shared" si="83"/>
        <v>-10706</v>
      </c>
      <c r="EY20" s="220"/>
      <c r="EZ20" s="357">
        <f t="shared" si="84"/>
        <v>0.33333333333333331</v>
      </c>
      <c r="FA20" s="137">
        <f t="shared" si="85"/>
        <v>13363</v>
      </c>
      <c r="FB20" s="137">
        <f t="shared" si="85"/>
        <v>18333</v>
      </c>
      <c r="FC20" s="137">
        <f t="shared" si="85"/>
        <v>4970</v>
      </c>
      <c r="FD20" s="151"/>
      <c r="FE20" s="607">
        <f t="shared" si="86"/>
        <v>0.33333333333333331</v>
      </c>
      <c r="FF20" s="137">
        <f t="shared" si="87"/>
        <v>15676</v>
      </c>
      <c r="FG20" s="137">
        <f t="shared" si="87"/>
        <v>0</v>
      </c>
      <c r="FH20" s="137">
        <f t="shared" si="87"/>
        <v>-15676</v>
      </c>
      <c r="FI20" s="135"/>
      <c r="FJ20" s="607">
        <f t="shared" si="88"/>
        <v>0</v>
      </c>
      <c r="FK20" s="358">
        <f t="shared" si="89"/>
        <v>0</v>
      </c>
      <c r="FL20" s="358">
        <f t="shared" si="89"/>
        <v>0</v>
      </c>
      <c r="FM20" s="358">
        <f t="shared" si="89"/>
        <v>0</v>
      </c>
      <c r="FN20" s="135" t="e">
        <f t="shared" si="90"/>
        <v>#DIV/0!</v>
      </c>
      <c r="FO20" s="1315">
        <f t="shared" si="91"/>
        <v>0</v>
      </c>
      <c r="FP20" s="358">
        <f t="shared" si="92"/>
        <v>0</v>
      </c>
      <c r="FQ20" s="358">
        <f t="shared" si="92"/>
        <v>0</v>
      </c>
      <c r="FR20" s="358">
        <f t="shared" si="92"/>
        <v>0</v>
      </c>
      <c r="FS20" s="151" t="e">
        <f t="shared" si="93"/>
        <v>#DIV/0!</v>
      </c>
    </row>
    <row r="21" spans="1:175" x14ac:dyDescent="0.3">
      <c r="A21" s="110">
        <v>13</v>
      </c>
      <c r="B21" s="111" t="s">
        <v>383</v>
      </c>
      <c r="C21" s="112" t="s">
        <v>141</v>
      </c>
      <c r="D21" s="112" t="s">
        <v>254</v>
      </c>
      <c r="E21" s="439"/>
      <c r="F21" s="994"/>
      <c r="G21" s="358"/>
      <c r="H21" s="208">
        <f t="shared" si="50"/>
        <v>0</v>
      </c>
      <c r="I21" s="217"/>
      <c r="J21" s="113"/>
      <c r="K21" s="994"/>
      <c r="L21" s="622"/>
      <c r="M21" s="208">
        <f t="shared" si="51"/>
        <v>0</v>
      </c>
      <c r="N21" s="186"/>
      <c r="O21" s="113">
        <v>1</v>
      </c>
      <c r="P21" s="208">
        <v>102193</v>
      </c>
      <c r="Q21" s="1324">
        <v>116667</v>
      </c>
      <c r="R21" s="208">
        <f t="shared" si="52"/>
        <v>14474</v>
      </c>
      <c r="S21" s="169">
        <f>R21/Q21</f>
        <v>0.12406250267856378</v>
      </c>
      <c r="T21" s="1312"/>
      <c r="U21" s="1317"/>
      <c r="V21" s="1317"/>
      <c r="W21" s="208">
        <f t="shared" si="53"/>
        <v>0</v>
      </c>
      <c r="X21" s="1313"/>
      <c r="Y21" s="583"/>
      <c r="Z21" s="395"/>
      <c r="AA21" s="395"/>
      <c r="AB21" s="208">
        <f t="shared" si="54"/>
        <v>0</v>
      </c>
      <c r="AC21" s="78"/>
      <c r="AD21" s="583"/>
      <c r="AE21" s="395"/>
      <c r="AF21" s="395"/>
      <c r="AG21" s="208">
        <f t="shared" si="55"/>
        <v>0</v>
      </c>
      <c r="AH21" s="94"/>
      <c r="AI21" s="113"/>
      <c r="AJ21" s="208"/>
      <c r="AK21" s="208"/>
      <c r="AL21" s="208">
        <f t="shared" si="56"/>
        <v>0</v>
      </c>
      <c r="AM21" s="78"/>
      <c r="AN21" s="113"/>
      <c r="AO21" s="208"/>
      <c r="AP21" s="208"/>
      <c r="AQ21" s="208">
        <f t="shared" si="44"/>
        <v>0</v>
      </c>
      <c r="AR21" s="157"/>
      <c r="AS21" s="209"/>
      <c r="AT21" s="208"/>
      <c r="AU21" s="395"/>
      <c r="AV21" s="208">
        <f t="shared" si="45"/>
        <v>0</v>
      </c>
      <c r="AW21" s="157"/>
      <c r="AX21" s="113"/>
      <c r="AY21" s="208"/>
      <c r="AZ21" s="208"/>
      <c r="BA21" s="208">
        <f t="shared" si="46"/>
        <v>0</v>
      </c>
      <c r="BB21" s="1561">
        <v>0</v>
      </c>
      <c r="BC21" s="113"/>
      <c r="BD21" s="208"/>
      <c r="BE21" s="395"/>
      <c r="BF21" s="208">
        <f t="shared" si="49"/>
        <v>0</v>
      </c>
      <c r="BG21" s="1561">
        <v>0</v>
      </c>
      <c r="BH21" s="113"/>
      <c r="BI21" s="208"/>
      <c r="BJ21" s="208"/>
      <c r="BK21" s="208">
        <f t="shared" si="47"/>
        <v>0</v>
      </c>
      <c r="BL21" s="1614">
        <v>0</v>
      </c>
      <c r="BM21" s="1314"/>
      <c r="BN21" s="1310">
        <f t="shared" si="57"/>
        <v>102193</v>
      </c>
      <c r="BO21" s="1310">
        <f t="shared" si="57"/>
        <v>116667</v>
      </c>
      <c r="BP21" s="1310">
        <f t="shared" si="57"/>
        <v>14474</v>
      </c>
      <c r="BQ21" s="220">
        <f t="shared" si="8"/>
        <v>0.12406250267856378</v>
      </c>
      <c r="BR21" s="607">
        <f t="shared" si="58"/>
        <v>0.33333333333333331</v>
      </c>
      <c r="BS21" s="137">
        <f t="shared" si="59"/>
        <v>102193</v>
      </c>
      <c r="BT21" s="137">
        <f t="shared" si="59"/>
        <v>116667</v>
      </c>
      <c r="BU21" s="137">
        <f t="shared" si="59"/>
        <v>14474</v>
      </c>
      <c r="BV21" s="151">
        <f t="shared" ref="BV21:BV27" si="99">BU21/BT21</f>
        <v>0.12406250267856378</v>
      </c>
      <c r="BW21" s="607">
        <f t="shared" si="60"/>
        <v>0</v>
      </c>
      <c r="BX21" s="137">
        <f t="shared" si="61"/>
        <v>0</v>
      </c>
      <c r="BY21" s="137">
        <f t="shared" si="61"/>
        <v>0</v>
      </c>
      <c r="BZ21" s="137">
        <f t="shared" si="61"/>
        <v>0</v>
      </c>
      <c r="CA21" s="135"/>
      <c r="CB21" s="607">
        <f t="shared" si="62"/>
        <v>0</v>
      </c>
      <c r="CC21" s="358">
        <f t="shared" si="63"/>
        <v>0</v>
      </c>
      <c r="CD21" s="358">
        <f t="shared" si="63"/>
        <v>0</v>
      </c>
      <c r="CE21" s="358">
        <f t="shared" si="63"/>
        <v>0</v>
      </c>
      <c r="CF21" s="135" t="e">
        <f t="shared" si="64"/>
        <v>#DIV/0!</v>
      </c>
      <c r="CG21" s="1315">
        <f t="shared" si="65"/>
        <v>0</v>
      </c>
      <c r="CH21" s="358">
        <f t="shared" si="66"/>
        <v>0</v>
      </c>
      <c r="CI21" s="358">
        <f t="shared" si="66"/>
        <v>0</v>
      </c>
      <c r="CJ21" s="358">
        <f t="shared" si="66"/>
        <v>0</v>
      </c>
      <c r="CK21" s="151" t="e">
        <f t="shared" si="43"/>
        <v>#DIV/0!</v>
      </c>
      <c r="CL21" s="79"/>
      <c r="CM21" s="439"/>
      <c r="CN21" s="208"/>
      <c r="CO21" s="208"/>
      <c r="CP21" s="208">
        <f t="shared" si="67"/>
        <v>0</v>
      </c>
      <c r="CQ21" s="3547">
        <v>0</v>
      </c>
      <c r="CR21" s="113"/>
      <c r="CS21" s="994"/>
      <c r="CT21" s="622"/>
      <c r="CU21" s="208">
        <f t="shared" si="68"/>
        <v>0</v>
      </c>
      <c r="CV21" s="186"/>
      <c r="CW21" s="439"/>
      <c r="CX21" s="208">
        <v>0</v>
      </c>
      <c r="CY21" s="4250">
        <v>0</v>
      </c>
      <c r="CZ21" s="208">
        <f t="shared" si="69"/>
        <v>0</v>
      </c>
      <c r="DA21" s="169"/>
      <c r="DB21" s="1312"/>
      <c r="DC21" s="1317"/>
      <c r="DD21" s="1317"/>
      <c r="DE21" s="208">
        <f t="shared" si="70"/>
        <v>0</v>
      </c>
      <c r="DF21" s="1313" t="e">
        <f t="shared" si="95"/>
        <v>#DIV/0!</v>
      </c>
      <c r="DG21" s="583"/>
      <c r="DH21" s="395"/>
      <c r="DI21" s="395"/>
      <c r="DJ21" s="208">
        <f t="shared" si="71"/>
        <v>0</v>
      </c>
      <c r="DK21" s="78" t="e">
        <f t="shared" si="97"/>
        <v>#DIV/0!</v>
      </c>
      <c r="DL21" s="583"/>
      <c r="DM21" s="395"/>
      <c r="DN21" s="395"/>
      <c r="DO21" s="208">
        <f t="shared" si="72"/>
        <v>0</v>
      </c>
      <c r="DP21" s="94" t="e">
        <f t="shared" si="98"/>
        <v>#DIV/0!</v>
      </c>
      <c r="DQ21" s="113"/>
      <c r="DR21" s="208"/>
      <c r="DS21" s="208"/>
      <c r="DT21" s="208">
        <f t="shared" si="73"/>
        <v>0</v>
      </c>
      <c r="DU21" s="78" t="e">
        <f t="shared" si="74"/>
        <v>#DIV/0!</v>
      </c>
      <c r="DV21" s="113"/>
      <c r="DW21" s="208"/>
      <c r="DX21" s="208"/>
      <c r="DY21" s="208">
        <f t="shared" si="75"/>
        <v>0</v>
      </c>
      <c r="DZ21" s="157" t="e">
        <f t="shared" si="76"/>
        <v>#DIV/0!</v>
      </c>
      <c r="EA21" s="209"/>
      <c r="EB21" s="208"/>
      <c r="EC21" s="395"/>
      <c r="ED21" s="208">
        <f t="shared" si="77"/>
        <v>0</v>
      </c>
      <c r="EE21" s="157" t="e">
        <f t="shared" si="78"/>
        <v>#DIV/0!</v>
      </c>
      <c r="EF21" s="113"/>
      <c r="EG21" s="208"/>
      <c r="EH21" s="208"/>
      <c r="EI21" s="208">
        <f t="shared" si="79"/>
        <v>0</v>
      </c>
      <c r="EJ21" s="157" t="e">
        <f t="shared" si="80"/>
        <v>#DIV/0!</v>
      </c>
      <c r="EK21" s="113"/>
      <c r="EL21" s="208"/>
      <c r="EM21" s="395"/>
      <c r="EN21" s="208">
        <f t="shared" si="81"/>
        <v>0</v>
      </c>
      <c r="EO21" s="1561">
        <v>0</v>
      </c>
      <c r="EP21" s="113"/>
      <c r="EQ21" s="208"/>
      <c r="ER21" s="208"/>
      <c r="ES21" s="208">
        <f t="shared" si="82"/>
        <v>0</v>
      </c>
      <c r="ET21" s="186" t="e">
        <f t="shared" si="96"/>
        <v>#DIV/0!</v>
      </c>
      <c r="EU21" s="1314"/>
      <c r="EV21" s="1310">
        <f t="shared" si="83"/>
        <v>0</v>
      </c>
      <c r="EW21" s="1310">
        <f t="shared" si="83"/>
        <v>0</v>
      </c>
      <c r="EX21" s="1310">
        <f t="shared" si="83"/>
        <v>0</v>
      </c>
      <c r="EY21" s="220" t="e">
        <f t="shared" ref="EY21:EY28" si="100">EX21/EW21</f>
        <v>#DIV/0!</v>
      </c>
      <c r="EZ21" s="357">
        <f t="shared" si="84"/>
        <v>0</v>
      </c>
      <c r="FA21" s="137">
        <f t="shared" si="85"/>
        <v>0</v>
      </c>
      <c r="FB21" s="137">
        <f t="shared" si="85"/>
        <v>0</v>
      </c>
      <c r="FC21" s="137">
        <f t="shared" si="85"/>
        <v>0</v>
      </c>
      <c r="FD21" s="151"/>
      <c r="FE21" s="607">
        <f t="shared" si="86"/>
        <v>0</v>
      </c>
      <c r="FF21" s="137">
        <f t="shared" si="87"/>
        <v>0</v>
      </c>
      <c r="FG21" s="137">
        <f t="shared" si="87"/>
        <v>0</v>
      </c>
      <c r="FH21" s="137">
        <f t="shared" si="87"/>
        <v>0</v>
      </c>
      <c r="FI21" s="135"/>
      <c r="FJ21" s="607">
        <f t="shared" si="88"/>
        <v>0</v>
      </c>
      <c r="FK21" s="358">
        <f t="shared" si="89"/>
        <v>0</v>
      </c>
      <c r="FL21" s="358">
        <f t="shared" si="89"/>
        <v>0</v>
      </c>
      <c r="FM21" s="358">
        <f t="shared" si="89"/>
        <v>0</v>
      </c>
      <c r="FN21" s="135" t="e">
        <f t="shared" si="90"/>
        <v>#DIV/0!</v>
      </c>
      <c r="FO21" s="1315">
        <f t="shared" si="91"/>
        <v>0</v>
      </c>
      <c r="FP21" s="358">
        <f t="shared" si="92"/>
        <v>0</v>
      </c>
      <c r="FQ21" s="358">
        <f t="shared" si="92"/>
        <v>0</v>
      </c>
      <c r="FR21" s="358">
        <f t="shared" si="92"/>
        <v>0</v>
      </c>
      <c r="FS21" s="151" t="e">
        <f t="shared" si="93"/>
        <v>#DIV/0!</v>
      </c>
    </row>
    <row r="22" spans="1:175" x14ac:dyDescent="0.3">
      <c r="A22" s="110">
        <v>15</v>
      </c>
      <c r="B22" s="111" t="s">
        <v>385</v>
      </c>
      <c r="C22" s="112" t="s">
        <v>141</v>
      </c>
      <c r="D22" s="112" t="s">
        <v>254</v>
      </c>
      <c r="E22" s="439">
        <v>1</v>
      </c>
      <c r="F22" s="994">
        <v>49876</v>
      </c>
      <c r="G22" s="1327">
        <v>70833.33</v>
      </c>
      <c r="H22" s="208">
        <f t="shared" si="50"/>
        <v>20957.330000000002</v>
      </c>
      <c r="I22" s="217">
        <f t="shared" ref="I22:I27" si="101">H22/G22</f>
        <v>0.29586820215850362</v>
      </c>
      <c r="J22" s="113">
        <v>1</v>
      </c>
      <c r="K22" s="994">
        <v>14275</v>
      </c>
      <c r="L22" s="1327">
        <v>30967.74</v>
      </c>
      <c r="M22" s="208">
        <f t="shared" si="51"/>
        <v>16692.740000000002</v>
      </c>
      <c r="N22" s="186">
        <f>M22/L22</f>
        <v>0.53903642952311015</v>
      </c>
      <c r="O22" s="113"/>
      <c r="P22" s="208"/>
      <c r="Q22" s="395"/>
      <c r="R22" s="208">
        <f t="shared" si="52"/>
        <v>0</v>
      </c>
      <c r="S22" s="169"/>
      <c r="T22" s="1325">
        <v>2</v>
      </c>
      <c r="U22" s="1317">
        <v>57854</v>
      </c>
      <c r="V22" s="1317">
        <v>122420</v>
      </c>
      <c r="W22" s="208">
        <f t="shared" si="53"/>
        <v>64566</v>
      </c>
      <c r="X22" s="1313">
        <f>W22/V22</f>
        <v>0.5274138212710342</v>
      </c>
      <c r="Y22" s="113"/>
      <c r="Z22" s="395"/>
      <c r="AA22" s="395"/>
      <c r="AB22" s="208">
        <f t="shared" si="54"/>
        <v>0</v>
      </c>
      <c r="AC22" s="78"/>
      <c r="AD22" s="113"/>
      <c r="AE22" s="395"/>
      <c r="AF22" s="395"/>
      <c r="AG22" s="208">
        <f t="shared" si="55"/>
        <v>0</v>
      </c>
      <c r="AH22" s="94"/>
      <c r="AI22" s="113">
        <v>2</v>
      </c>
      <c r="AJ22" s="208">
        <v>97880</v>
      </c>
      <c r="AK22" s="208">
        <v>97974</v>
      </c>
      <c r="AL22" s="208">
        <f t="shared" si="56"/>
        <v>94</v>
      </c>
      <c r="AM22" s="78">
        <f t="shared" si="94"/>
        <v>9.5943821830281502E-4</v>
      </c>
      <c r="AN22" s="113"/>
      <c r="AO22" s="208"/>
      <c r="AP22" s="208"/>
      <c r="AQ22" s="208">
        <f t="shared" si="44"/>
        <v>0</v>
      </c>
      <c r="AR22" s="157"/>
      <c r="AS22" s="209"/>
      <c r="AT22" s="208"/>
      <c r="AU22" s="395"/>
      <c r="AV22" s="208">
        <f t="shared" si="45"/>
        <v>0</v>
      </c>
      <c r="AW22" s="157"/>
      <c r="AX22" s="113"/>
      <c r="AY22" s="208"/>
      <c r="AZ22" s="208"/>
      <c r="BA22" s="208">
        <f t="shared" si="46"/>
        <v>0</v>
      </c>
      <c r="BB22" s="1561">
        <v>0</v>
      </c>
      <c r="BC22" s="113"/>
      <c r="BD22" s="208"/>
      <c r="BE22" s="208"/>
      <c r="BF22" s="208">
        <f t="shared" si="49"/>
        <v>0</v>
      </c>
      <c r="BG22" s="1561">
        <v>0</v>
      </c>
      <c r="BH22" s="113"/>
      <c r="BI22" s="208"/>
      <c r="BJ22" s="208"/>
      <c r="BK22" s="208">
        <f t="shared" si="47"/>
        <v>0</v>
      </c>
      <c r="BL22" s="1614">
        <v>0</v>
      </c>
      <c r="BM22" s="1314"/>
      <c r="BN22" s="1310">
        <f t="shared" si="57"/>
        <v>219885</v>
      </c>
      <c r="BO22" s="1310">
        <f t="shared" si="57"/>
        <v>322195.07</v>
      </c>
      <c r="BP22" s="1310">
        <f t="shared" si="57"/>
        <v>102310.07</v>
      </c>
      <c r="BQ22" s="220">
        <f t="shared" si="8"/>
        <v>0.31754076808189524</v>
      </c>
      <c r="BR22" s="607">
        <f t="shared" si="58"/>
        <v>0.66666666666666663</v>
      </c>
      <c r="BS22" s="137">
        <f t="shared" si="59"/>
        <v>64151</v>
      </c>
      <c r="BT22" s="137">
        <f t="shared" si="59"/>
        <v>101801.07</v>
      </c>
      <c r="BU22" s="137">
        <f t="shared" si="59"/>
        <v>37650.070000000007</v>
      </c>
      <c r="BV22" s="151">
        <f t="shared" si="99"/>
        <v>0.3698396293869996</v>
      </c>
      <c r="BW22" s="607">
        <f t="shared" si="60"/>
        <v>0.66666666666666663</v>
      </c>
      <c r="BX22" s="137">
        <f t="shared" si="61"/>
        <v>57854</v>
      </c>
      <c r="BY22" s="137">
        <f t="shared" si="61"/>
        <v>122420</v>
      </c>
      <c r="BZ22" s="137">
        <f t="shared" si="61"/>
        <v>64566</v>
      </c>
      <c r="CA22" s="135"/>
      <c r="CB22" s="607">
        <f t="shared" si="62"/>
        <v>0.66666666666666663</v>
      </c>
      <c r="CC22" s="358">
        <f t="shared" si="63"/>
        <v>97880</v>
      </c>
      <c r="CD22" s="358">
        <f t="shared" si="63"/>
        <v>97974</v>
      </c>
      <c r="CE22" s="358">
        <f t="shared" si="63"/>
        <v>94</v>
      </c>
      <c r="CF22" s="135">
        <f t="shared" si="64"/>
        <v>9.5943821830281502E-4</v>
      </c>
      <c r="CG22" s="1315">
        <f t="shared" si="65"/>
        <v>0</v>
      </c>
      <c r="CH22" s="358">
        <f t="shared" si="66"/>
        <v>0</v>
      </c>
      <c r="CI22" s="358">
        <f t="shared" si="66"/>
        <v>0</v>
      </c>
      <c r="CJ22" s="358">
        <f t="shared" si="66"/>
        <v>0</v>
      </c>
      <c r="CK22" s="151" t="e">
        <f t="shared" si="43"/>
        <v>#DIV/0!</v>
      </c>
      <c r="CL22" s="79"/>
      <c r="CM22" s="439"/>
      <c r="CN22" s="208"/>
      <c r="CO22" s="1324"/>
      <c r="CP22" s="208">
        <f t="shared" si="67"/>
        <v>0</v>
      </c>
      <c r="CQ22" s="3547">
        <v>0</v>
      </c>
      <c r="CR22" s="113"/>
      <c r="CS22" s="994"/>
      <c r="CT22" s="1327"/>
      <c r="CU22" s="208">
        <f t="shared" si="68"/>
        <v>0</v>
      </c>
      <c r="CV22" s="186"/>
      <c r="CW22" s="439">
        <v>1</v>
      </c>
      <c r="CX22" s="208">
        <v>37937</v>
      </c>
      <c r="CY22" s="395">
        <v>47500</v>
      </c>
      <c r="CZ22" s="208">
        <f t="shared" si="69"/>
        <v>9563</v>
      </c>
      <c r="DA22" s="169">
        <f>CZ22/CY22</f>
        <v>0.20132631578947369</v>
      </c>
      <c r="DB22" s="1325"/>
      <c r="DC22" s="1317"/>
      <c r="DD22" s="1317"/>
      <c r="DE22" s="208">
        <f t="shared" si="70"/>
        <v>0</v>
      </c>
      <c r="DF22" s="1313" t="e">
        <f t="shared" si="95"/>
        <v>#DIV/0!</v>
      </c>
      <c r="DG22" s="113">
        <v>1</v>
      </c>
      <c r="DH22" s="395">
        <v>77685</v>
      </c>
      <c r="DI22" s="395"/>
      <c r="DJ22" s="208">
        <f t="shared" si="71"/>
        <v>-77685</v>
      </c>
      <c r="DK22" s="78" t="e">
        <f t="shared" si="97"/>
        <v>#DIV/0!</v>
      </c>
      <c r="DL22" s="113">
        <v>1</v>
      </c>
      <c r="DM22" s="395">
        <v>89967</v>
      </c>
      <c r="DN22" s="395"/>
      <c r="DO22" s="208">
        <f t="shared" si="72"/>
        <v>-89967</v>
      </c>
      <c r="DP22" s="94" t="e">
        <f t="shared" si="98"/>
        <v>#DIV/0!</v>
      </c>
      <c r="DQ22" s="113"/>
      <c r="DR22" s="208"/>
      <c r="DS22" s="208"/>
      <c r="DT22" s="208">
        <f t="shared" si="73"/>
        <v>0</v>
      </c>
      <c r="DU22" s="78" t="e">
        <f t="shared" si="74"/>
        <v>#DIV/0!</v>
      </c>
      <c r="DV22" s="113"/>
      <c r="DW22" s="208"/>
      <c r="DX22" s="208"/>
      <c r="DY22" s="208">
        <f t="shared" si="75"/>
        <v>0</v>
      </c>
      <c r="DZ22" s="157" t="e">
        <f t="shared" si="76"/>
        <v>#DIV/0!</v>
      </c>
      <c r="EA22" s="209">
        <v>2</v>
      </c>
      <c r="EB22" s="208">
        <v>163985</v>
      </c>
      <c r="EC22" s="395"/>
      <c r="ED22" s="208">
        <f t="shared" si="77"/>
        <v>-163985</v>
      </c>
      <c r="EE22" s="157" t="e">
        <f t="shared" si="78"/>
        <v>#DIV/0!</v>
      </c>
      <c r="EF22" s="113"/>
      <c r="EG22" s="208"/>
      <c r="EH22" s="208"/>
      <c r="EI22" s="208">
        <f t="shared" si="79"/>
        <v>0</v>
      </c>
      <c r="EJ22" s="157" t="e">
        <f t="shared" si="80"/>
        <v>#DIV/0!</v>
      </c>
      <c r="EK22" s="113"/>
      <c r="EL22" s="208"/>
      <c r="EM22" s="208"/>
      <c r="EN22" s="208">
        <f t="shared" si="81"/>
        <v>0</v>
      </c>
      <c r="EO22" s="1561">
        <v>0</v>
      </c>
      <c r="EP22" s="113"/>
      <c r="EQ22" s="208"/>
      <c r="ER22" s="208"/>
      <c r="ES22" s="208">
        <f t="shared" si="82"/>
        <v>0</v>
      </c>
      <c r="ET22" s="186" t="e">
        <f t="shared" si="96"/>
        <v>#DIV/0!</v>
      </c>
      <c r="EU22" s="1314"/>
      <c r="EV22" s="1310">
        <f t="shared" si="83"/>
        <v>369574</v>
      </c>
      <c r="EW22" s="1310">
        <f t="shared" si="83"/>
        <v>47500</v>
      </c>
      <c r="EX22" s="1310">
        <f t="shared" si="83"/>
        <v>-322074</v>
      </c>
      <c r="EY22" s="220">
        <f t="shared" si="100"/>
        <v>-6.7805052631578944</v>
      </c>
      <c r="EZ22" s="357">
        <f t="shared" si="84"/>
        <v>0.33333333333333331</v>
      </c>
      <c r="FA22" s="137">
        <f t="shared" si="85"/>
        <v>37937</v>
      </c>
      <c r="FB22" s="137">
        <f t="shared" si="85"/>
        <v>47500</v>
      </c>
      <c r="FC22" s="137">
        <f t="shared" si="85"/>
        <v>9563</v>
      </c>
      <c r="FD22" s="151">
        <f>FC22/FB22</f>
        <v>0.20132631578947369</v>
      </c>
      <c r="FE22" s="607">
        <f t="shared" si="86"/>
        <v>0.66666666666666663</v>
      </c>
      <c r="FF22" s="137">
        <f t="shared" si="87"/>
        <v>167652</v>
      </c>
      <c r="FG22" s="137">
        <f t="shared" si="87"/>
        <v>0</v>
      </c>
      <c r="FH22" s="137">
        <f t="shared" si="87"/>
        <v>-167652</v>
      </c>
      <c r="FI22" s="135"/>
      <c r="FJ22" s="607">
        <f t="shared" si="88"/>
        <v>0.66666666666666663</v>
      </c>
      <c r="FK22" s="358">
        <f t="shared" si="89"/>
        <v>163985</v>
      </c>
      <c r="FL22" s="358">
        <f t="shared" si="89"/>
        <v>0</v>
      </c>
      <c r="FM22" s="358">
        <f t="shared" si="89"/>
        <v>-163985</v>
      </c>
      <c r="FN22" s="135" t="e">
        <f t="shared" si="90"/>
        <v>#DIV/0!</v>
      </c>
      <c r="FO22" s="1315">
        <f t="shared" si="91"/>
        <v>0</v>
      </c>
      <c r="FP22" s="358">
        <f t="shared" si="92"/>
        <v>0</v>
      </c>
      <c r="FQ22" s="358">
        <f t="shared" si="92"/>
        <v>0</v>
      </c>
      <c r="FR22" s="358">
        <f t="shared" si="92"/>
        <v>0</v>
      </c>
      <c r="FS22" s="151" t="e">
        <f t="shared" si="93"/>
        <v>#DIV/0!</v>
      </c>
    </row>
    <row r="23" spans="1:175" x14ac:dyDescent="0.3">
      <c r="A23" s="110">
        <v>16</v>
      </c>
      <c r="B23" s="111" t="s">
        <v>386</v>
      </c>
      <c r="C23" s="112" t="s">
        <v>141</v>
      </c>
      <c r="D23" s="112" t="s">
        <v>254</v>
      </c>
      <c r="E23" s="439">
        <v>2</v>
      </c>
      <c r="F23" s="994">
        <v>67888</v>
      </c>
      <c r="G23" s="622">
        <v>82234</v>
      </c>
      <c r="H23" s="208">
        <f t="shared" si="50"/>
        <v>14346</v>
      </c>
      <c r="I23" s="217">
        <f t="shared" si="101"/>
        <v>0.17445338910912761</v>
      </c>
      <c r="J23" s="113">
        <v>2</v>
      </c>
      <c r="K23" s="994">
        <v>31373</v>
      </c>
      <c r="L23" s="1327">
        <v>33818</v>
      </c>
      <c r="M23" s="208">
        <f t="shared" si="51"/>
        <v>2445</v>
      </c>
      <c r="N23" s="186">
        <f>M23/L23</f>
        <v>7.2298775799869888E-2</v>
      </c>
      <c r="O23" s="583">
        <v>2</v>
      </c>
      <c r="P23" s="395">
        <v>27922</v>
      </c>
      <c r="Q23" s="395">
        <v>27274.6</v>
      </c>
      <c r="R23" s="208">
        <f t="shared" si="52"/>
        <v>-647.40000000000146</v>
      </c>
      <c r="S23" s="169">
        <f>R23/Q23</f>
        <v>-2.3736370102586345E-2</v>
      </c>
      <c r="T23" s="1325">
        <v>1</v>
      </c>
      <c r="U23" s="1317">
        <v>41982</v>
      </c>
      <c r="V23" s="1317">
        <v>50317.919999999998</v>
      </c>
      <c r="W23" s="208">
        <f t="shared" si="53"/>
        <v>8335.9199999999983</v>
      </c>
      <c r="X23" s="1313">
        <f>W23/V23</f>
        <v>0.16566503543866676</v>
      </c>
      <c r="Y23" s="113">
        <v>5</v>
      </c>
      <c r="Z23" s="208">
        <v>222974</v>
      </c>
      <c r="AA23" s="208">
        <v>348021.54</v>
      </c>
      <c r="AB23" s="208">
        <f t="shared" si="54"/>
        <v>125047.53999999998</v>
      </c>
      <c r="AC23" s="78">
        <f>AB23/AA23</f>
        <v>0.35930977145839876</v>
      </c>
      <c r="AD23" s="113">
        <v>7</v>
      </c>
      <c r="AE23" s="208">
        <v>397277</v>
      </c>
      <c r="AF23" s="395">
        <v>465375</v>
      </c>
      <c r="AG23" s="208">
        <f t="shared" si="55"/>
        <v>68098</v>
      </c>
      <c r="AH23" s="94">
        <f>AG23/AF23</f>
        <v>0.1463293043244695</v>
      </c>
      <c r="AI23" s="113">
        <v>2</v>
      </c>
      <c r="AJ23" s="208">
        <v>34647</v>
      </c>
      <c r="AK23" s="395">
        <v>52754</v>
      </c>
      <c r="AL23" s="208">
        <f t="shared" si="56"/>
        <v>18107</v>
      </c>
      <c r="AM23" s="78">
        <f t="shared" si="94"/>
        <v>0.34323463623611478</v>
      </c>
      <c r="AN23" s="113">
        <v>2</v>
      </c>
      <c r="AO23" s="208">
        <v>55109</v>
      </c>
      <c r="AP23" s="208">
        <v>56445</v>
      </c>
      <c r="AQ23" s="208">
        <f t="shared" si="44"/>
        <v>1336</v>
      </c>
      <c r="AR23" s="157">
        <f>AQ23/AP23</f>
        <v>2.3669058375409689E-2</v>
      </c>
      <c r="AS23" s="209"/>
      <c r="AT23" s="208"/>
      <c r="AU23" s="395"/>
      <c r="AV23" s="208">
        <f t="shared" si="45"/>
        <v>0</v>
      </c>
      <c r="AW23" s="157"/>
      <c r="AX23" s="583">
        <v>2</v>
      </c>
      <c r="AY23" s="395">
        <v>55781</v>
      </c>
      <c r="AZ23" s="395">
        <v>59254.85</v>
      </c>
      <c r="BA23" s="208">
        <f t="shared" si="46"/>
        <v>3473.8499999999985</v>
      </c>
      <c r="BB23" s="157">
        <f>BA23/AZ23</f>
        <v>5.8625580859625812E-2</v>
      </c>
      <c r="BC23" s="113">
        <v>5</v>
      </c>
      <c r="BD23" s="208">
        <v>128288</v>
      </c>
      <c r="BE23" s="208">
        <v>132453</v>
      </c>
      <c r="BF23" s="208">
        <f t="shared" si="49"/>
        <v>4165</v>
      </c>
      <c r="BG23" s="1561">
        <v>0</v>
      </c>
      <c r="BH23" s="113">
        <v>9</v>
      </c>
      <c r="BI23" s="208">
        <v>439586</v>
      </c>
      <c r="BJ23" s="208">
        <v>440000</v>
      </c>
      <c r="BK23" s="208">
        <f t="shared" si="47"/>
        <v>414</v>
      </c>
      <c r="BL23" s="78">
        <f>BK23/BJ23</f>
        <v>9.4090909090909088E-4</v>
      </c>
      <c r="BM23" s="1314"/>
      <c r="BN23" s="1310">
        <f t="shared" si="57"/>
        <v>1502827</v>
      </c>
      <c r="BO23" s="1310">
        <f t="shared" si="57"/>
        <v>1747947.9100000001</v>
      </c>
      <c r="BP23" s="1310">
        <f t="shared" si="57"/>
        <v>245120.90999999997</v>
      </c>
      <c r="BQ23" s="220">
        <f t="shared" si="8"/>
        <v>0.1402335324740884</v>
      </c>
      <c r="BR23" s="607">
        <f t="shared" si="58"/>
        <v>2</v>
      </c>
      <c r="BS23" s="137">
        <f t="shared" si="59"/>
        <v>127183</v>
      </c>
      <c r="BT23" s="137">
        <f t="shared" si="59"/>
        <v>143326.6</v>
      </c>
      <c r="BU23" s="137">
        <f t="shared" si="59"/>
        <v>16143.599999999999</v>
      </c>
      <c r="BV23" s="151">
        <f t="shared" si="99"/>
        <v>0.11263505867019798</v>
      </c>
      <c r="BW23" s="607">
        <f t="shared" si="60"/>
        <v>4.333333333333333</v>
      </c>
      <c r="BX23" s="137">
        <f t="shared" si="61"/>
        <v>662233</v>
      </c>
      <c r="BY23" s="137">
        <f t="shared" si="61"/>
        <v>863714.46</v>
      </c>
      <c r="BZ23" s="137">
        <f t="shared" si="61"/>
        <v>201481.45999999996</v>
      </c>
      <c r="CA23" s="135">
        <f>BZ23/BY23</f>
        <v>0.23327322782114818</v>
      </c>
      <c r="CB23" s="607">
        <f t="shared" si="62"/>
        <v>1.3333333333333333</v>
      </c>
      <c r="CC23" s="358">
        <f t="shared" si="63"/>
        <v>89756</v>
      </c>
      <c r="CD23" s="358">
        <f t="shared" si="63"/>
        <v>109199</v>
      </c>
      <c r="CE23" s="358">
        <f t="shared" si="63"/>
        <v>19443</v>
      </c>
      <c r="CF23" s="135">
        <f t="shared" si="64"/>
        <v>0.17805108105385581</v>
      </c>
      <c r="CG23" s="1315">
        <f t="shared" si="65"/>
        <v>5.333333333333333</v>
      </c>
      <c r="CH23" s="358">
        <f t="shared" si="66"/>
        <v>623655</v>
      </c>
      <c r="CI23" s="358">
        <f t="shared" si="66"/>
        <v>631707.85</v>
      </c>
      <c r="CJ23" s="358">
        <f t="shared" si="66"/>
        <v>8052.8499999999985</v>
      </c>
      <c r="CK23" s="151">
        <f t="shared" si="43"/>
        <v>1.274774407188386E-2</v>
      </c>
      <c r="CL23" s="79"/>
      <c r="CM23" s="439"/>
      <c r="CN23" s="208"/>
      <c r="CO23" s="395"/>
      <c r="CP23" s="208">
        <f t="shared" si="67"/>
        <v>0</v>
      </c>
      <c r="CQ23" s="3547">
        <v>0</v>
      </c>
      <c r="CR23" s="113"/>
      <c r="CS23" s="994"/>
      <c r="CT23" s="1327"/>
      <c r="CU23" s="208">
        <f t="shared" si="68"/>
        <v>0</v>
      </c>
      <c r="CV23" s="186"/>
      <c r="CW23" s="401">
        <v>6</v>
      </c>
      <c r="CX23" s="395">
        <v>109264</v>
      </c>
      <c r="CY23" s="1865">
        <v>51334</v>
      </c>
      <c r="CZ23" s="208">
        <f t="shared" si="69"/>
        <v>-57930</v>
      </c>
      <c r="DA23" s="169">
        <f>CZ23/CY23</f>
        <v>-1.1284918377683406</v>
      </c>
      <c r="DB23" s="1325">
        <v>2</v>
      </c>
      <c r="DC23" s="1317">
        <v>165386</v>
      </c>
      <c r="DD23" s="1317"/>
      <c r="DE23" s="208">
        <f t="shared" si="70"/>
        <v>-165386</v>
      </c>
      <c r="DF23" s="1313" t="e">
        <f t="shared" si="95"/>
        <v>#DIV/0!</v>
      </c>
      <c r="DG23" s="113">
        <v>3</v>
      </c>
      <c r="DH23" s="208">
        <v>161273</v>
      </c>
      <c r="DI23" s="208"/>
      <c r="DJ23" s="208">
        <f t="shared" si="71"/>
        <v>-161273</v>
      </c>
      <c r="DK23" s="78" t="e">
        <f t="shared" si="97"/>
        <v>#DIV/0!</v>
      </c>
      <c r="DL23" s="113">
        <v>1</v>
      </c>
      <c r="DM23" s="208">
        <v>40460</v>
      </c>
      <c r="DN23" s="395"/>
      <c r="DO23" s="208">
        <f t="shared" si="72"/>
        <v>-40460</v>
      </c>
      <c r="DP23" s="94" t="e">
        <f t="shared" si="98"/>
        <v>#DIV/0!</v>
      </c>
      <c r="DQ23" s="113"/>
      <c r="DR23" s="208">
        <v>104773</v>
      </c>
      <c r="DS23" s="395"/>
      <c r="DT23" s="208">
        <f t="shared" si="73"/>
        <v>-104773</v>
      </c>
      <c r="DU23" s="78" t="e">
        <f t="shared" si="74"/>
        <v>#DIV/0!</v>
      </c>
      <c r="DV23" s="113"/>
      <c r="DW23" s="208"/>
      <c r="DX23" s="208"/>
      <c r="DY23" s="208">
        <f t="shared" si="75"/>
        <v>0</v>
      </c>
      <c r="DZ23" s="157" t="e">
        <f t="shared" si="76"/>
        <v>#DIV/0!</v>
      </c>
      <c r="EA23" s="209">
        <v>8</v>
      </c>
      <c r="EB23" s="208">
        <v>228797</v>
      </c>
      <c r="EC23" s="395"/>
      <c r="ED23" s="208">
        <f t="shared" si="77"/>
        <v>-228797</v>
      </c>
      <c r="EE23" s="157" t="e">
        <f t="shared" si="78"/>
        <v>#DIV/0!</v>
      </c>
      <c r="EF23" s="583"/>
      <c r="EG23" s="395"/>
      <c r="EH23" s="395"/>
      <c r="EI23" s="208">
        <f t="shared" si="79"/>
        <v>0</v>
      </c>
      <c r="EJ23" s="157" t="e">
        <f t="shared" si="80"/>
        <v>#DIV/0!</v>
      </c>
      <c r="EK23" s="113"/>
      <c r="EL23" s="208"/>
      <c r="EM23" s="208"/>
      <c r="EN23" s="208">
        <f t="shared" si="81"/>
        <v>0</v>
      </c>
      <c r="EO23" s="1561">
        <v>0</v>
      </c>
      <c r="EP23" s="113"/>
      <c r="EQ23" s="208"/>
      <c r="ER23" s="208"/>
      <c r="ES23" s="208">
        <f t="shared" si="82"/>
        <v>0</v>
      </c>
      <c r="ET23" s="186" t="e">
        <f t="shared" si="96"/>
        <v>#DIV/0!</v>
      </c>
      <c r="EU23" s="1314"/>
      <c r="EV23" s="1310">
        <f t="shared" si="83"/>
        <v>809953</v>
      </c>
      <c r="EW23" s="1310">
        <f t="shared" si="83"/>
        <v>51334</v>
      </c>
      <c r="EX23" s="1310">
        <f t="shared" si="83"/>
        <v>-758619</v>
      </c>
      <c r="EY23" s="220">
        <f t="shared" si="100"/>
        <v>-14.778100284411892</v>
      </c>
      <c r="EZ23" s="357">
        <f t="shared" si="84"/>
        <v>2</v>
      </c>
      <c r="FA23" s="137">
        <f t="shared" si="85"/>
        <v>109264</v>
      </c>
      <c r="FB23" s="137">
        <f t="shared" si="85"/>
        <v>51334</v>
      </c>
      <c r="FC23" s="137">
        <f t="shared" si="85"/>
        <v>-57930</v>
      </c>
      <c r="FD23" s="151">
        <f>FC23/FB23</f>
        <v>-1.1284918377683406</v>
      </c>
      <c r="FE23" s="607">
        <f t="shared" si="86"/>
        <v>2</v>
      </c>
      <c r="FF23" s="137">
        <f t="shared" si="87"/>
        <v>367119</v>
      </c>
      <c r="FG23" s="137">
        <f t="shared" si="87"/>
        <v>0</v>
      </c>
      <c r="FH23" s="137">
        <f t="shared" si="87"/>
        <v>-367119</v>
      </c>
      <c r="FI23" s="135" t="e">
        <f>FH23/FG23</f>
        <v>#DIV/0!</v>
      </c>
      <c r="FJ23" s="607">
        <f t="shared" si="88"/>
        <v>2.6666666666666665</v>
      </c>
      <c r="FK23" s="358">
        <f t="shared" si="89"/>
        <v>333570</v>
      </c>
      <c r="FL23" s="358">
        <f t="shared" si="89"/>
        <v>0</v>
      </c>
      <c r="FM23" s="358">
        <f t="shared" si="89"/>
        <v>-333570</v>
      </c>
      <c r="FN23" s="135" t="e">
        <f t="shared" si="90"/>
        <v>#DIV/0!</v>
      </c>
      <c r="FO23" s="1315">
        <f t="shared" si="91"/>
        <v>0</v>
      </c>
      <c r="FP23" s="358">
        <f t="shared" si="92"/>
        <v>0</v>
      </c>
      <c r="FQ23" s="358">
        <f t="shared" si="92"/>
        <v>0</v>
      </c>
      <c r="FR23" s="358">
        <f t="shared" si="92"/>
        <v>0</v>
      </c>
      <c r="FS23" s="151" t="e">
        <f t="shared" si="93"/>
        <v>#DIV/0!</v>
      </c>
    </row>
    <row r="24" spans="1:175" x14ac:dyDescent="0.3">
      <c r="A24" s="110">
        <v>17</v>
      </c>
      <c r="B24" s="111" t="s">
        <v>387</v>
      </c>
      <c r="C24" s="112" t="s">
        <v>141</v>
      </c>
      <c r="D24" s="112" t="s">
        <v>254</v>
      </c>
      <c r="E24" s="439">
        <v>1</v>
      </c>
      <c r="F24" s="994">
        <v>10653</v>
      </c>
      <c r="G24" s="1327">
        <v>22800</v>
      </c>
      <c r="H24" s="208">
        <f t="shared" si="50"/>
        <v>12147</v>
      </c>
      <c r="I24" s="217">
        <f t="shared" si="101"/>
        <v>0.53276315789473683</v>
      </c>
      <c r="J24" s="113">
        <v>1</v>
      </c>
      <c r="K24" s="772">
        <v>89779</v>
      </c>
      <c r="L24" s="1323">
        <v>112000</v>
      </c>
      <c r="M24" s="208">
        <f t="shared" si="51"/>
        <v>22221</v>
      </c>
      <c r="N24" s="186">
        <f>M24/L24</f>
        <v>0.19840178571428571</v>
      </c>
      <c r="O24" s="113">
        <v>3</v>
      </c>
      <c r="P24" s="208">
        <v>133843</v>
      </c>
      <c r="Q24" s="395">
        <v>165946.23000000001</v>
      </c>
      <c r="R24" s="208">
        <f t="shared" si="52"/>
        <v>32103.23000000001</v>
      </c>
      <c r="S24" s="169">
        <f>R24/Q24</f>
        <v>0.19345561511099113</v>
      </c>
      <c r="T24" s="1312"/>
      <c r="U24" s="265"/>
      <c r="V24" s="1317"/>
      <c r="W24" s="208">
        <f t="shared" si="53"/>
        <v>0</v>
      </c>
      <c r="X24" s="1313"/>
      <c r="Y24" s="583"/>
      <c r="Z24" s="395"/>
      <c r="AA24" s="395"/>
      <c r="AB24" s="208">
        <f t="shared" si="54"/>
        <v>0</v>
      </c>
      <c r="AC24" s="78"/>
      <c r="AD24" s="583">
        <v>1</v>
      </c>
      <c r="AE24" s="395">
        <v>5996</v>
      </c>
      <c r="AF24" s="395">
        <v>8052</v>
      </c>
      <c r="AG24" s="208">
        <f t="shared" si="55"/>
        <v>2056</v>
      </c>
      <c r="AH24" s="94">
        <f>AG24/AF24</f>
        <v>0.25534028812717335</v>
      </c>
      <c r="AI24" s="113"/>
      <c r="AJ24" s="208"/>
      <c r="AK24" s="208"/>
      <c r="AL24" s="208">
        <f t="shared" si="56"/>
        <v>0</v>
      </c>
      <c r="AM24" s="78"/>
      <c r="AN24" s="113"/>
      <c r="AO24" s="208"/>
      <c r="AP24" s="208"/>
      <c r="AQ24" s="208">
        <f t="shared" si="44"/>
        <v>0</v>
      </c>
      <c r="AR24" s="157"/>
      <c r="AS24" s="209"/>
      <c r="AT24" s="208"/>
      <c r="AU24" s="395"/>
      <c r="AV24" s="208">
        <f t="shared" si="45"/>
        <v>0</v>
      </c>
      <c r="AW24" s="157"/>
      <c r="AX24" s="113"/>
      <c r="AY24" s="208"/>
      <c r="AZ24" s="208"/>
      <c r="BA24" s="208">
        <f t="shared" si="46"/>
        <v>0</v>
      </c>
      <c r="BB24" s="157">
        <v>0</v>
      </c>
      <c r="BC24" s="113"/>
      <c r="BD24" s="208"/>
      <c r="BE24" s="208"/>
      <c r="BF24" s="208">
        <f t="shared" si="49"/>
        <v>0</v>
      </c>
      <c r="BG24" s="157"/>
      <c r="BH24" s="113"/>
      <c r="BI24" s="208"/>
      <c r="BJ24" s="208"/>
      <c r="BK24" s="208">
        <f t="shared" si="47"/>
        <v>0</v>
      </c>
      <c r="BL24" s="78">
        <v>0</v>
      </c>
      <c r="BM24" s="1314"/>
      <c r="BN24" s="1310">
        <f t="shared" si="57"/>
        <v>240271</v>
      </c>
      <c r="BO24" s="1310">
        <f t="shared" si="57"/>
        <v>308798.23</v>
      </c>
      <c r="BP24" s="1310">
        <f t="shared" si="57"/>
        <v>68527.23000000001</v>
      </c>
      <c r="BQ24" s="220">
        <f t="shared" si="8"/>
        <v>0.2219158769141909</v>
      </c>
      <c r="BR24" s="607">
        <f t="shared" si="58"/>
        <v>1.6666666666666667</v>
      </c>
      <c r="BS24" s="137">
        <f t="shared" si="59"/>
        <v>234275</v>
      </c>
      <c r="BT24" s="137">
        <f t="shared" si="59"/>
        <v>300746.23</v>
      </c>
      <c r="BU24" s="137">
        <f t="shared" si="59"/>
        <v>66471.23000000001</v>
      </c>
      <c r="BV24" s="151">
        <f t="shared" si="99"/>
        <v>0.22102099168458408</v>
      </c>
      <c r="BW24" s="607">
        <f t="shared" si="60"/>
        <v>0.33333333333333331</v>
      </c>
      <c r="BX24" s="137">
        <f t="shared" si="61"/>
        <v>5996</v>
      </c>
      <c r="BY24" s="137">
        <f t="shared" si="61"/>
        <v>8052</v>
      </c>
      <c r="BZ24" s="137">
        <f t="shared" si="61"/>
        <v>2056</v>
      </c>
      <c r="CA24" s="135">
        <f>BZ24/BY24</f>
        <v>0.25534028812717335</v>
      </c>
      <c r="CB24" s="607">
        <f t="shared" si="62"/>
        <v>0</v>
      </c>
      <c r="CC24" s="358">
        <f t="shared" si="63"/>
        <v>0</v>
      </c>
      <c r="CD24" s="358">
        <f t="shared" si="63"/>
        <v>0</v>
      </c>
      <c r="CE24" s="358">
        <f t="shared" si="63"/>
        <v>0</v>
      </c>
      <c r="CF24" s="135" t="e">
        <f t="shared" si="64"/>
        <v>#DIV/0!</v>
      </c>
      <c r="CG24" s="1315">
        <f t="shared" si="65"/>
        <v>0</v>
      </c>
      <c r="CH24" s="358">
        <f t="shared" si="66"/>
        <v>0</v>
      </c>
      <c r="CI24" s="358">
        <f t="shared" si="66"/>
        <v>0</v>
      </c>
      <c r="CJ24" s="358">
        <f t="shared" si="66"/>
        <v>0</v>
      </c>
      <c r="CK24" s="151" t="e">
        <f t="shared" si="43"/>
        <v>#DIV/0!</v>
      </c>
      <c r="CL24" s="79"/>
      <c r="CM24" s="439"/>
      <c r="CN24" s="208"/>
      <c r="CO24" s="1324"/>
      <c r="CP24" s="208">
        <f t="shared" si="67"/>
        <v>0</v>
      </c>
      <c r="CQ24" s="3547">
        <v>0</v>
      </c>
      <c r="CR24" s="113"/>
      <c r="CS24" s="994"/>
      <c r="CT24" s="1327"/>
      <c r="CU24" s="208">
        <f t="shared" si="68"/>
        <v>0</v>
      </c>
      <c r="CV24" s="186"/>
      <c r="CW24" s="439">
        <v>1</v>
      </c>
      <c r="CX24" s="208">
        <v>46245</v>
      </c>
      <c r="CY24" s="395">
        <v>58333</v>
      </c>
      <c r="CZ24" s="208">
        <f t="shared" si="69"/>
        <v>12088</v>
      </c>
      <c r="DA24" s="169">
        <f>CZ24/CY24</f>
        <v>0.20722404128023589</v>
      </c>
      <c r="DB24" s="1312"/>
      <c r="DC24" s="265"/>
      <c r="DD24" s="1317"/>
      <c r="DE24" s="208">
        <f t="shared" si="70"/>
        <v>0</v>
      </c>
      <c r="DF24" s="1313" t="e">
        <f t="shared" si="95"/>
        <v>#DIV/0!</v>
      </c>
      <c r="DG24" s="583"/>
      <c r="DH24" s="395"/>
      <c r="DI24" s="395"/>
      <c r="DJ24" s="208">
        <f t="shared" si="71"/>
        <v>0</v>
      </c>
      <c r="DK24" s="78" t="e">
        <f t="shared" si="97"/>
        <v>#DIV/0!</v>
      </c>
      <c r="DL24" s="583"/>
      <c r="DM24" s="395"/>
      <c r="DN24" s="395"/>
      <c r="DO24" s="208">
        <f t="shared" si="72"/>
        <v>0</v>
      </c>
      <c r="DP24" s="94" t="e">
        <f t="shared" si="98"/>
        <v>#DIV/0!</v>
      </c>
      <c r="DQ24" s="113"/>
      <c r="DR24" s="208"/>
      <c r="DS24" s="208"/>
      <c r="DT24" s="208">
        <f t="shared" si="73"/>
        <v>0</v>
      </c>
      <c r="DU24" s="78" t="e">
        <f t="shared" si="74"/>
        <v>#DIV/0!</v>
      </c>
      <c r="DV24" s="113"/>
      <c r="DW24" s="208"/>
      <c r="DX24" s="208"/>
      <c r="DY24" s="208">
        <f t="shared" si="75"/>
        <v>0</v>
      </c>
      <c r="DZ24" s="157" t="e">
        <f t="shared" si="76"/>
        <v>#DIV/0!</v>
      </c>
      <c r="EA24" s="209"/>
      <c r="EB24" s="208"/>
      <c r="EC24" s="395"/>
      <c r="ED24" s="208">
        <f t="shared" si="77"/>
        <v>0</v>
      </c>
      <c r="EE24" s="157" t="e">
        <f t="shared" si="78"/>
        <v>#DIV/0!</v>
      </c>
      <c r="EF24" s="113"/>
      <c r="EG24" s="208"/>
      <c r="EH24" s="208"/>
      <c r="EI24" s="208">
        <f t="shared" si="79"/>
        <v>0</v>
      </c>
      <c r="EJ24" s="157" t="e">
        <f t="shared" si="80"/>
        <v>#DIV/0!</v>
      </c>
      <c r="EK24" s="113"/>
      <c r="EL24" s="208"/>
      <c r="EM24" s="208"/>
      <c r="EN24" s="208">
        <f t="shared" si="81"/>
        <v>0</v>
      </c>
      <c r="EO24" s="157"/>
      <c r="EP24" s="113"/>
      <c r="EQ24" s="208"/>
      <c r="ER24" s="208"/>
      <c r="ES24" s="208">
        <f t="shared" si="82"/>
        <v>0</v>
      </c>
      <c r="ET24" s="186" t="e">
        <f t="shared" si="96"/>
        <v>#DIV/0!</v>
      </c>
      <c r="EU24" s="1314"/>
      <c r="EV24" s="1310">
        <f t="shared" si="83"/>
        <v>46245</v>
      </c>
      <c r="EW24" s="1310">
        <f t="shared" si="83"/>
        <v>58333</v>
      </c>
      <c r="EX24" s="1310">
        <f t="shared" si="83"/>
        <v>12088</v>
      </c>
      <c r="EY24" s="220">
        <f t="shared" si="100"/>
        <v>0.20722404128023589</v>
      </c>
      <c r="EZ24" s="357">
        <f t="shared" si="84"/>
        <v>0.33333333333333331</v>
      </c>
      <c r="FA24" s="137">
        <f t="shared" si="85"/>
        <v>46245</v>
      </c>
      <c r="FB24" s="137">
        <f t="shared" si="85"/>
        <v>58333</v>
      </c>
      <c r="FC24" s="137">
        <f t="shared" si="85"/>
        <v>12088</v>
      </c>
      <c r="FD24" s="151">
        <f>FC24/FB24</f>
        <v>0.20722404128023589</v>
      </c>
      <c r="FE24" s="607">
        <f t="shared" si="86"/>
        <v>0</v>
      </c>
      <c r="FF24" s="137">
        <f t="shared" si="87"/>
        <v>0</v>
      </c>
      <c r="FG24" s="137">
        <f t="shared" si="87"/>
        <v>0</v>
      </c>
      <c r="FH24" s="137">
        <f t="shared" si="87"/>
        <v>0</v>
      </c>
      <c r="FI24" s="135" t="e">
        <f>FH24/FG24</f>
        <v>#DIV/0!</v>
      </c>
      <c r="FJ24" s="607">
        <f t="shared" si="88"/>
        <v>0</v>
      </c>
      <c r="FK24" s="358">
        <f t="shared" si="89"/>
        <v>0</v>
      </c>
      <c r="FL24" s="358">
        <f t="shared" si="89"/>
        <v>0</v>
      </c>
      <c r="FM24" s="358">
        <f t="shared" si="89"/>
        <v>0</v>
      </c>
      <c r="FN24" s="135" t="e">
        <f t="shared" si="90"/>
        <v>#DIV/0!</v>
      </c>
      <c r="FO24" s="1315">
        <f t="shared" si="91"/>
        <v>0</v>
      </c>
      <c r="FP24" s="358">
        <f t="shared" si="92"/>
        <v>0</v>
      </c>
      <c r="FQ24" s="358">
        <f t="shared" si="92"/>
        <v>0</v>
      </c>
      <c r="FR24" s="358">
        <f t="shared" si="92"/>
        <v>0</v>
      </c>
      <c r="FS24" s="151" t="e">
        <f t="shared" si="93"/>
        <v>#DIV/0!</v>
      </c>
    </row>
    <row r="25" spans="1:175" x14ac:dyDescent="0.3">
      <c r="A25" s="110">
        <v>18</v>
      </c>
      <c r="B25" s="111" t="s">
        <v>388</v>
      </c>
      <c r="C25" s="112" t="s">
        <v>141</v>
      </c>
      <c r="D25" s="112" t="s">
        <v>254</v>
      </c>
      <c r="E25" s="401">
        <v>1</v>
      </c>
      <c r="F25" s="772">
        <v>42927</v>
      </c>
      <c r="G25" s="1327">
        <v>76866.720000000001</v>
      </c>
      <c r="H25" s="208">
        <f t="shared" si="50"/>
        <v>33939.72</v>
      </c>
      <c r="I25" s="217">
        <f t="shared" si="101"/>
        <v>0.4415398497555249</v>
      </c>
      <c r="J25" s="583"/>
      <c r="K25" s="772"/>
      <c r="L25" s="622"/>
      <c r="M25" s="208">
        <f t="shared" si="51"/>
        <v>0</v>
      </c>
      <c r="N25" s="186"/>
      <c r="O25" s="113">
        <v>1</v>
      </c>
      <c r="P25" s="208">
        <v>8400</v>
      </c>
      <c r="Q25" s="1324">
        <v>9408</v>
      </c>
      <c r="R25" s="208">
        <f t="shared" si="52"/>
        <v>1008</v>
      </c>
      <c r="S25" s="169">
        <f>R25/Q25</f>
        <v>0.10714285714285714</v>
      </c>
      <c r="T25" s="1312">
        <v>1</v>
      </c>
      <c r="U25" s="265">
        <v>80800</v>
      </c>
      <c r="V25" s="1317">
        <v>94117.29</v>
      </c>
      <c r="W25" s="208">
        <f t="shared" si="53"/>
        <v>13317.289999999994</v>
      </c>
      <c r="X25" s="1313">
        <f>W25/V25</f>
        <v>0.1414967430532689</v>
      </c>
      <c r="Y25" s="113"/>
      <c r="Z25" s="208"/>
      <c r="AA25" s="208"/>
      <c r="AB25" s="208">
        <f t="shared" si="54"/>
        <v>0</v>
      </c>
      <c r="AC25" s="78"/>
      <c r="AD25" s="113">
        <v>2</v>
      </c>
      <c r="AE25" s="208">
        <v>87969</v>
      </c>
      <c r="AF25" s="208">
        <v>99554.08</v>
      </c>
      <c r="AG25" s="208">
        <f t="shared" si="55"/>
        <v>11585.080000000002</v>
      </c>
      <c r="AH25" s="94">
        <f>AG25/AF25</f>
        <v>0.11636971583685975</v>
      </c>
      <c r="AI25" s="113"/>
      <c r="AJ25" s="208"/>
      <c r="AK25" s="208"/>
      <c r="AL25" s="208">
        <f t="shared" si="56"/>
        <v>0</v>
      </c>
      <c r="AM25" s="78"/>
      <c r="AN25" s="113"/>
      <c r="AO25" s="208"/>
      <c r="AP25" s="395"/>
      <c r="AQ25" s="208">
        <f t="shared" si="44"/>
        <v>0</v>
      </c>
      <c r="AR25" s="157"/>
      <c r="AS25" s="1318"/>
      <c r="AT25" s="395"/>
      <c r="AU25" s="395"/>
      <c r="AV25" s="208">
        <f t="shared" si="45"/>
        <v>0</v>
      </c>
      <c r="AW25" s="157"/>
      <c r="AX25" s="113"/>
      <c r="AY25" s="208"/>
      <c r="AZ25" s="208"/>
      <c r="BA25" s="208">
        <f t="shared" si="46"/>
        <v>0</v>
      </c>
      <c r="BB25" s="157">
        <v>0</v>
      </c>
      <c r="BC25" s="113"/>
      <c r="BD25" s="208"/>
      <c r="BE25" s="208"/>
      <c r="BF25" s="208">
        <f t="shared" si="49"/>
        <v>0</v>
      </c>
      <c r="BG25" s="157"/>
      <c r="BH25" s="113">
        <v>1</v>
      </c>
      <c r="BI25" s="208">
        <v>7295</v>
      </c>
      <c r="BJ25" s="208">
        <v>7349</v>
      </c>
      <c r="BK25" s="208">
        <f t="shared" si="47"/>
        <v>54</v>
      </c>
      <c r="BL25" s="78">
        <f>BK25/BJ25</f>
        <v>7.3479384950333381E-3</v>
      </c>
      <c r="BM25" s="1314"/>
      <c r="BN25" s="1310">
        <f t="shared" si="57"/>
        <v>227391</v>
      </c>
      <c r="BO25" s="1310">
        <f t="shared" si="57"/>
        <v>287295.09000000003</v>
      </c>
      <c r="BP25" s="1310">
        <f t="shared" si="57"/>
        <v>59904.09</v>
      </c>
      <c r="BQ25" s="220">
        <f t="shared" si="8"/>
        <v>0.20851066407017255</v>
      </c>
      <c r="BR25" s="607">
        <f t="shared" si="58"/>
        <v>0.66666666666666663</v>
      </c>
      <c r="BS25" s="137">
        <f t="shared" si="59"/>
        <v>51327</v>
      </c>
      <c r="BT25" s="137">
        <f t="shared" si="59"/>
        <v>86274.72</v>
      </c>
      <c r="BU25" s="137">
        <f t="shared" si="59"/>
        <v>34947.72</v>
      </c>
      <c r="BV25" s="151">
        <f t="shared" si="99"/>
        <v>0.40507485854489012</v>
      </c>
      <c r="BW25" s="607">
        <f t="shared" si="60"/>
        <v>1</v>
      </c>
      <c r="BX25" s="137">
        <f t="shared" si="61"/>
        <v>168769</v>
      </c>
      <c r="BY25" s="137">
        <f t="shared" si="61"/>
        <v>193671.37</v>
      </c>
      <c r="BZ25" s="137">
        <f t="shared" si="61"/>
        <v>24902.369999999995</v>
      </c>
      <c r="CA25" s="135">
        <f>BZ25/BY25</f>
        <v>0.12858054342260292</v>
      </c>
      <c r="CB25" s="607">
        <f t="shared" si="62"/>
        <v>0</v>
      </c>
      <c r="CC25" s="358">
        <f t="shared" si="63"/>
        <v>0</v>
      </c>
      <c r="CD25" s="358">
        <f t="shared" si="63"/>
        <v>0</v>
      </c>
      <c r="CE25" s="358">
        <f t="shared" si="63"/>
        <v>0</v>
      </c>
      <c r="CF25" s="135" t="e">
        <f t="shared" si="64"/>
        <v>#DIV/0!</v>
      </c>
      <c r="CG25" s="1315">
        <f t="shared" si="65"/>
        <v>0.33333333333333331</v>
      </c>
      <c r="CH25" s="358">
        <f t="shared" si="66"/>
        <v>7295</v>
      </c>
      <c r="CI25" s="358">
        <f t="shared" si="66"/>
        <v>7349</v>
      </c>
      <c r="CJ25" s="358">
        <f t="shared" si="66"/>
        <v>54</v>
      </c>
      <c r="CK25" s="151">
        <f t="shared" si="43"/>
        <v>7.3479384950333381E-3</v>
      </c>
      <c r="CL25" s="79"/>
      <c r="CM25" s="401"/>
      <c r="CN25" s="395"/>
      <c r="CO25" s="1324"/>
      <c r="CP25" s="208">
        <f t="shared" si="67"/>
        <v>0</v>
      </c>
      <c r="CQ25" s="3547">
        <v>0</v>
      </c>
      <c r="CR25" s="113"/>
      <c r="CS25" s="994"/>
      <c r="CT25" s="1327"/>
      <c r="CU25" s="208">
        <f t="shared" si="68"/>
        <v>0</v>
      </c>
      <c r="CV25" s="186"/>
      <c r="CW25" s="439"/>
      <c r="CX25" s="979">
        <v>0</v>
      </c>
      <c r="CY25" s="4250">
        <v>0</v>
      </c>
      <c r="CZ25" s="208">
        <f t="shared" si="69"/>
        <v>0</v>
      </c>
      <c r="DA25" s="169"/>
      <c r="DB25" s="1312"/>
      <c r="DC25" s="265"/>
      <c r="DD25" s="1317"/>
      <c r="DE25" s="208">
        <f t="shared" si="70"/>
        <v>0</v>
      </c>
      <c r="DF25" s="1313" t="e">
        <f t="shared" si="95"/>
        <v>#DIV/0!</v>
      </c>
      <c r="DG25" s="113"/>
      <c r="DH25" s="208"/>
      <c r="DI25" s="208"/>
      <c r="DJ25" s="208">
        <f t="shared" si="71"/>
        <v>0</v>
      </c>
      <c r="DK25" s="78" t="e">
        <f t="shared" si="97"/>
        <v>#DIV/0!</v>
      </c>
      <c r="DL25" s="113"/>
      <c r="DM25" s="208"/>
      <c r="DN25" s="208"/>
      <c r="DO25" s="208">
        <f t="shared" si="72"/>
        <v>0</v>
      </c>
      <c r="DP25" s="94" t="e">
        <f t="shared" si="98"/>
        <v>#DIV/0!</v>
      </c>
      <c r="DQ25" s="113"/>
      <c r="DR25" s="208"/>
      <c r="DS25" s="208"/>
      <c r="DT25" s="208">
        <f t="shared" si="73"/>
        <v>0</v>
      </c>
      <c r="DU25" s="78" t="e">
        <f t="shared" si="74"/>
        <v>#DIV/0!</v>
      </c>
      <c r="DV25" s="113"/>
      <c r="DW25" s="208"/>
      <c r="DX25" s="395"/>
      <c r="DY25" s="208">
        <f t="shared" si="75"/>
        <v>0</v>
      </c>
      <c r="DZ25" s="157" t="e">
        <f t="shared" si="76"/>
        <v>#DIV/0!</v>
      </c>
      <c r="EA25" s="1318"/>
      <c r="EB25" s="395"/>
      <c r="EC25" s="395"/>
      <c r="ED25" s="208">
        <f t="shared" si="77"/>
        <v>0</v>
      </c>
      <c r="EE25" s="157" t="e">
        <f t="shared" si="78"/>
        <v>#DIV/0!</v>
      </c>
      <c r="EF25" s="113"/>
      <c r="EG25" s="208"/>
      <c r="EH25" s="208"/>
      <c r="EI25" s="208">
        <f t="shared" si="79"/>
        <v>0</v>
      </c>
      <c r="EJ25" s="157" t="e">
        <f t="shared" si="80"/>
        <v>#DIV/0!</v>
      </c>
      <c r="EK25" s="113"/>
      <c r="EL25" s="208"/>
      <c r="EM25" s="208"/>
      <c r="EN25" s="208">
        <f t="shared" si="81"/>
        <v>0</v>
      </c>
      <c r="EO25" s="157"/>
      <c r="EP25" s="113"/>
      <c r="EQ25" s="208"/>
      <c r="ER25" s="208"/>
      <c r="ES25" s="208">
        <f t="shared" si="82"/>
        <v>0</v>
      </c>
      <c r="ET25" s="186" t="e">
        <f t="shared" si="96"/>
        <v>#DIV/0!</v>
      </c>
      <c r="EU25" s="1314"/>
      <c r="EV25" s="1310">
        <f t="shared" si="83"/>
        <v>0</v>
      </c>
      <c r="EW25" s="1310">
        <f t="shared" si="83"/>
        <v>0</v>
      </c>
      <c r="EX25" s="1310">
        <f t="shared" si="83"/>
        <v>0</v>
      </c>
      <c r="EY25" s="220" t="e">
        <f t="shared" si="100"/>
        <v>#DIV/0!</v>
      </c>
      <c r="EZ25" s="357">
        <f t="shared" si="84"/>
        <v>0</v>
      </c>
      <c r="FA25" s="137">
        <f t="shared" si="85"/>
        <v>0</v>
      </c>
      <c r="FB25" s="137">
        <f t="shared" si="85"/>
        <v>0</v>
      </c>
      <c r="FC25" s="137">
        <f t="shared" si="85"/>
        <v>0</v>
      </c>
      <c r="FD25" s="151"/>
      <c r="FE25" s="607">
        <f t="shared" si="86"/>
        <v>0</v>
      </c>
      <c r="FF25" s="137">
        <f t="shared" si="87"/>
        <v>0</v>
      </c>
      <c r="FG25" s="137">
        <f t="shared" si="87"/>
        <v>0</v>
      </c>
      <c r="FH25" s="137">
        <f t="shared" si="87"/>
        <v>0</v>
      </c>
      <c r="FI25" s="135" t="e">
        <f>FH25/FG25</f>
        <v>#DIV/0!</v>
      </c>
      <c r="FJ25" s="607">
        <f t="shared" si="88"/>
        <v>0</v>
      </c>
      <c r="FK25" s="358">
        <f t="shared" si="89"/>
        <v>0</v>
      </c>
      <c r="FL25" s="358">
        <f t="shared" si="89"/>
        <v>0</v>
      </c>
      <c r="FM25" s="358">
        <f t="shared" si="89"/>
        <v>0</v>
      </c>
      <c r="FN25" s="135" t="e">
        <f t="shared" si="90"/>
        <v>#DIV/0!</v>
      </c>
      <c r="FO25" s="1315">
        <f t="shared" si="91"/>
        <v>0</v>
      </c>
      <c r="FP25" s="358">
        <f t="shared" si="92"/>
        <v>0</v>
      </c>
      <c r="FQ25" s="358">
        <f t="shared" si="92"/>
        <v>0</v>
      </c>
      <c r="FR25" s="358">
        <f t="shared" si="92"/>
        <v>0</v>
      </c>
      <c r="FS25" s="151" t="e">
        <f t="shared" si="93"/>
        <v>#DIV/0!</v>
      </c>
    </row>
    <row r="26" spans="1:175" x14ac:dyDescent="0.3">
      <c r="A26" s="110">
        <v>19</v>
      </c>
      <c r="B26" s="111" t="s">
        <v>389</v>
      </c>
      <c r="C26" s="112" t="s">
        <v>141</v>
      </c>
      <c r="D26" s="112" t="s">
        <v>254</v>
      </c>
      <c r="E26" s="439">
        <v>2</v>
      </c>
      <c r="F26" s="994">
        <v>122100</v>
      </c>
      <c r="G26" s="622">
        <v>194700</v>
      </c>
      <c r="H26" s="208">
        <f t="shared" si="50"/>
        <v>72600</v>
      </c>
      <c r="I26" s="217">
        <f t="shared" si="101"/>
        <v>0.3728813559322034</v>
      </c>
      <c r="J26" s="113">
        <v>2</v>
      </c>
      <c r="K26" s="994">
        <v>70318</v>
      </c>
      <c r="L26" s="358">
        <v>104000</v>
      </c>
      <c r="M26" s="208">
        <f t="shared" si="51"/>
        <v>33682</v>
      </c>
      <c r="N26" s="186">
        <f>M26/L26</f>
        <v>0.32386538461538461</v>
      </c>
      <c r="O26" s="583"/>
      <c r="P26" s="395"/>
      <c r="Q26" s="395"/>
      <c r="R26" s="208">
        <f t="shared" si="52"/>
        <v>0</v>
      </c>
      <c r="S26" s="169"/>
      <c r="T26" s="1312"/>
      <c r="U26" s="265"/>
      <c r="V26" s="265"/>
      <c r="W26" s="208">
        <f t="shared" si="53"/>
        <v>0</v>
      </c>
      <c r="X26" s="1313"/>
      <c r="Y26" s="583"/>
      <c r="Z26" s="395"/>
      <c r="AA26" s="395"/>
      <c r="AB26" s="208">
        <f t="shared" si="54"/>
        <v>0</v>
      </c>
      <c r="AC26" s="186"/>
      <c r="AD26" s="583">
        <v>9</v>
      </c>
      <c r="AE26" s="395">
        <v>397737</v>
      </c>
      <c r="AF26" s="395">
        <v>551686</v>
      </c>
      <c r="AG26" s="208">
        <f t="shared" si="55"/>
        <v>153949</v>
      </c>
      <c r="AH26" s="94">
        <f>AG26/AF26</f>
        <v>0.27905185195926668</v>
      </c>
      <c r="AI26" s="113">
        <v>1</v>
      </c>
      <c r="AJ26" s="208">
        <v>36808</v>
      </c>
      <c r="AK26" s="208">
        <v>44000</v>
      </c>
      <c r="AL26" s="208">
        <f t="shared" si="56"/>
        <v>7192</v>
      </c>
      <c r="AM26" s="78">
        <f t="shared" si="94"/>
        <v>0.16345454545454546</v>
      </c>
      <c r="AN26" s="113">
        <v>1</v>
      </c>
      <c r="AO26" s="208">
        <v>95256</v>
      </c>
      <c r="AP26" s="395">
        <v>142400</v>
      </c>
      <c r="AQ26" s="208">
        <f t="shared" si="44"/>
        <v>47144</v>
      </c>
      <c r="AR26" s="157">
        <f>AQ26/AP26</f>
        <v>0.3310674157303371</v>
      </c>
      <c r="AS26" s="209"/>
      <c r="AT26" s="208"/>
      <c r="AU26" s="395"/>
      <c r="AV26" s="208">
        <f t="shared" si="45"/>
        <v>0</v>
      </c>
      <c r="AW26" s="157"/>
      <c r="AX26" s="113">
        <v>1</v>
      </c>
      <c r="AY26" s="208">
        <v>105808</v>
      </c>
      <c r="AZ26" s="395">
        <v>134123</v>
      </c>
      <c r="BA26" s="208">
        <f t="shared" si="46"/>
        <v>28315</v>
      </c>
      <c r="BB26" s="157">
        <f>BA26/AZ26</f>
        <v>0.21111218806617807</v>
      </c>
      <c r="BC26" s="113">
        <v>1</v>
      </c>
      <c r="BD26" s="208">
        <v>3070</v>
      </c>
      <c r="BE26" s="208">
        <v>3000</v>
      </c>
      <c r="BF26" s="208">
        <f t="shared" si="49"/>
        <v>-70</v>
      </c>
      <c r="BG26" s="157">
        <f>BF26/BE26</f>
        <v>-2.3333333333333334E-2</v>
      </c>
      <c r="BH26" s="113">
        <v>1</v>
      </c>
      <c r="BI26" s="208">
        <v>21270</v>
      </c>
      <c r="BJ26" s="208">
        <v>25500</v>
      </c>
      <c r="BK26" s="208">
        <f t="shared" si="47"/>
        <v>4230</v>
      </c>
      <c r="BL26" s="78">
        <f>BK26/BJ26</f>
        <v>0.16588235294117648</v>
      </c>
      <c r="BM26" s="1314"/>
      <c r="BN26" s="1310">
        <f t="shared" si="57"/>
        <v>852367</v>
      </c>
      <c r="BO26" s="1310">
        <f t="shared" si="57"/>
        <v>1199409</v>
      </c>
      <c r="BP26" s="1310">
        <f t="shared" si="57"/>
        <v>347042</v>
      </c>
      <c r="BQ26" s="220">
        <f t="shared" si="8"/>
        <v>0.2893441686697365</v>
      </c>
      <c r="BR26" s="607">
        <f t="shared" si="58"/>
        <v>1.3333333333333333</v>
      </c>
      <c r="BS26" s="137">
        <f t="shared" si="59"/>
        <v>192418</v>
      </c>
      <c r="BT26" s="137">
        <f t="shared" si="59"/>
        <v>298700</v>
      </c>
      <c r="BU26" s="137">
        <f t="shared" si="59"/>
        <v>106282</v>
      </c>
      <c r="BV26" s="151">
        <f t="shared" si="99"/>
        <v>0.35581519919651827</v>
      </c>
      <c r="BW26" s="607">
        <f t="shared" si="60"/>
        <v>3</v>
      </c>
      <c r="BX26" s="137">
        <f t="shared" si="61"/>
        <v>397737</v>
      </c>
      <c r="BY26" s="137">
        <f t="shared" si="61"/>
        <v>551686</v>
      </c>
      <c r="BZ26" s="137">
        <f t="shared" si="61"/>
        <v>153949</v>
      </c>
      <c r="CA26" s="135">
        <f>BZ26/BY26</f>
        <v>0.27905185195926668</v>
      </c>
      <c r="CB26" s="607">
        <f t="shared" si="62"/>
        <v>0.66666666666666663</v>
      </c>
      <c r="CC26" s="358">
        <f t="shared" si="63"/>
        <v>132064</v>
      </c>
      <c r="CD26" s="358">
        <f t="shared" si="63"/>
        <v>186400</v>
      </c>
      <c r="CE26" s="358">
        <f t="shared" si="63"/>
        <v>54336</v>
      </c>
      <c r="CF26" s="135">
        <f t="shared" si="64"/>
        <v>0.29150214592274676</v>
      </c>
      <c r="CG26" s="1315">
        <f t="shared" si="65"/>
        <v>1</v>
      </c>
      <c r="CH26" s="358">
        <f t="shared" si="66"/>
        <v>130148</v>
      </c>
      <c r="CI26" s="358">
        <f t="shared" si="66"/>
        <v>162623</v>
      </c>
      <c r="CJ26" s="358">
        <f t="shared" si="66"/>
        <v>32475</v>
      </c>
      <c r="CK26" s="151">
        <f t="shared" si="43"/>
        <v>0.19969500009223787</v>
      </c>
      <c r="CL26" s="79"/>
      <c r="CM26" s="439">
        <v>1</v>
      </c>
      <c r="CN26" s="208">
        <v>159457</v>
      </c>
      <c r="CO26" s="395">
        <v>184000</v>
      </c>
      <c r="CP26" s="208">
        <f t="shared" si="67"/>
        <v>24543</v>
      </c>
      <c r="CQ26" s="217">
        <f>CP26/CO26</f>
        <v>0.13338586956521739</v>
      </c>
      <c r="CR26" s="113">
        <v>2</v>
      </c>
      <c r="CS26" s="994">
        <v>123728</v>
      </c>
      <c r="CT26" s="3685">
        <v>197000</v>
      </c>
      <c r="CU26" s="208">
        <f t="shared" si="68"/>
        <v>73272</v>
      </c>
      <c r="CV26" s="186">
        <f>CU26/CT26</f>
        <v>0.37193908629441624</v>
      </c>
      <c r="CW26" s="401"/>
      <c r="CX26" s="979"/>
      <c r="CY26" s="4250">
        <v>0</v>
      </c>
      <c r="CZ26" s="208">
        <f t="shared" si="69"/>
        <v>0</v>
      </c>
      <c r="DA26" s="169"/>
      <c r="DB26" s="1312">
        <v>2</v>
      </c>
      <c r="DC26" s="265">
        <v>93956</v>
      </c>
      <c r="DD26" s="265"/>
      <c r="DE26" s="208">
        <f t="shared" si="70"/>
        <v>-93956</v>
      </c>
      <c r="DF26" s="1313" t="e">
        <f t="shared" si="95"/>
        <v>#DIV/0!</v>
      </c>
      <c r="DG26" s="583">
        <v>1</v>
      </c>
      <c r="DH26" s="395">
        <v>51467</v>
      </c>
      <c r="DI26" s="395"/>
      <c r="DJ26" s="208">
        <f t="shared" si="71"/>
        <v>-51467</v>
      </c>
      <c r="DK26" s="78" t="e">
        <f t="shared" si="97"/>
        <v>#DIV/0!</v>
      </c>
      <c r="DL26" s="583">
        <v>2</v>
      </c>
      <c r="DM26" s="395">
        <v>170123</v>
      </c>
      <c r="DN26" s="395"/>
      <c r="DO26" s="208">
        <f t="shared" si="72"/>
        <v>-170123</v>
      </c>
      <c r="DP26" s="94" t="e">
        <f t="shared" si="98"/>
        <v>#DIV/0!</v>
      </c>
      <c r="DQ26" s="113"/>
      <c r="DR26" s="208">
        <v>188271</v>
      </c>
      <c r="DS26" s="208"/>
      <c r="DT26" s="208">
        <f t="shared" si="73"/>
        <v>-188271</v>
      </c>
      <c r="DU26" s="78" t="e">
        <f t="shared" si="74"/>
        <v>#DIV/0!</v>
      </c>
      <c r="DV26" s="113"/>
      <c r="DW26" s="208"/>
      <c r="DX26" s="395"/>
      <c r="DY26" s="208">
        <f t="shared" si="75"/>
        <v>0</v>
      </c>
      <c r="DZ26" s="157" t="e">
        <f t="shared" si="76"/>
        <v>#DIV/0!</v>
      </c>
      <c r="EA26" s="209">
        <v>2</v>
      </c>
      <c r="EB26" s="208">
        <v>143937</v>
      </c>
      <c r="EC26" s="395"/>
      <c r="ED26" s="208">
        <f t="shared" si="77"/>
        <v>-143937</v>
      </c>
      <c r="EE26" s="157" t="e">
        <f t="shared" si="78"/>
        <v>#DIV/0!</v>
      </c>
      <c r="EF26" s="113"/>
      <c r="EG26" s="208"/>
      <c r="EH26" s="395"/>
      <c r="EI26" s="208">
        <f t="shared" si="79"/>
        <v>0</v>
      </c>
      <c r="EJ26" s="157" t="e">
        <f t="shared" si="80"/>
        <v>#DIV/0!</v>
      </c>
      <c r="EK26" s="113"/>
      <c r="EL26" s="208"/>
      <c r="EM26" s="208"/>
      <c r="EN26" s="208">
        <f t="shared" si="81"/>
        <v>0</v>
      </c>
      <c r="EO26" s="157" t="e">
        <f>EN26/EM26</f>
        <v>#DIV/0!</v>
      </c>
      <c r="EP26" s="113"/>
      <c r="EQ26" s="208"/>
      <c r="ER26" s="208"/>
      <c r="ES26" s="208">
        <f t="shared" si="82"/>
        <v>0</v>
      </c>
      <c r="ET26" s="186" t="e">
        <f t="shared" si="96"/>
        <v>#DIV/0!</v>
      </c>
      <c r="EU26" s="1314"/>
      <c r="EV26" s="1310">
        <f t="shared" si="83"/>
        <v>930939</v>
      </c>
      <c r="EW26" s="1310">
        <f t="shared" si="83"/>
        <v>381000</v>
      </c>
      <c r="EX26" s="1310">
        <f t="shared" si="83"/>
        <v>-549939</v>
      </c>
      <c r="EY26" s="220">
        <f t="shared" si="100"/>
        <v>-1.4434094488188975</v>
      </c>
      <c r="EZ26" s="357">
        <f t="shared" si="84"/>
        <v>1</v>
      </c>
      <c r="FA26" s="137">
        <f t="shared" si="85"/>
        <v>283185</v>
      </c>
      <c r="FB26" s="137">
        <f t="shared" si="85"/>
        <v>381000</v>
      </c>
      <c r="FC26" s="137">
        <f t="shared" si="85"/>
        <v>97815</v>
      </c>
      <c r="FD26" s="151">
        <f>FC26/FB26</f>
        <v>0.25673228346456695</v>
      </c>
      <c r="FE26" s="607">
        <f t="shared" si="86"/>
        <v>1.6666666666666667</v>
      </c>
      <c r="FF26" s="137">
        <f t="shared" si="87"/>
        <v>315546</v>
      </c>
      <c r="FG26" s="137">
        <f t="shared" si="87"/>
        <v>0</v>
      </c>
      <c r="FH26" s="137">
        <f t="shared" si="87"/>
        <v>-315546</v>
      </c>
      <c r="FI26" s="135" t="e">
        <f>FH26/FG26</f>
        <v>#DIV/0!</v>
      </c>
      <c r="FJ26" s="607">
        <f t="shared" si="88"/>
        <v>0.66666666666666663</v>
      </c>
      <c r="FK26" s="358">
        <f t="shared" si="89"/>
        <v>332208</v>
      </c>
      <c r="FL26" s="358">
        <f t="shared" si="89"/>
        <v>0</v>
      </c>
      <c r="FM26" s="358">
        <f t="shared" si="89"/>
        <v>-332208</v>
      </c>
      <c r="FN26" s="135" t="e">
        <f t="shared" si="90"/>
        <v>#DIV/0!</v>
      </c>
      <c r="FO26" s="1315">
        <f t="shared" si="91"/>
        <v>0</v>
      </c>
      <c r="FP26" s="358">
        <f t="shared" si="92"/>
        <v>0</v>
      </c>
      <c r="FQ26" s="358">
        <f t="shared" si="92"/>
        <v>0</v>
      </c>
      <c r="FR26" s="358">
        <f t="shared" si="92"/>
        <v>0</v>
      </c>
      <c r="FS26" s="151" t="e">
        <f t="shared" si="93"/>
        <v>#DIV/0!</v>
      </c>
    </row>
    <row r="27" spans="1:175" x14ac:dyDescent="0.3">
      <c r="A27" s="110">
        <v>20</v>
      </c>
      <c r="B27" s="111" t="s">
        <v>390</v>
      </c>
      <c r="C27" s="112" t="s">
        <v>141</v>
      </c>
      <c r="D27" s="112" t="s">
        <v>254</v>
      </c>
      <c r="E27" s="401">
        <v>1</v>
      </c>
      <c r="F27" s="772">
        <v>15768</v>
      </c>
      <c r="G27" s="1327">
        <v>70620</v>
      </c>
      <c r="H27" s="208">
        <f t="shared" si="50"/>
        <v>54852</v>
      </c>
      <c r="I27" s="217">
        <f t="shared" si="101"/>
        <v>0.77672047578589631</v>
      </c>
      <c r="J27" s="583"/>
      <c r="K27" s="772"/>
      <c r="L27" s="622"/>
      <c r="M27" s="208">
        <f t="shared" si="51"/>
        <v>0</v>
      </c>
      <c r="N27" s="186"/>
      <c r="O27" s="113"/>
      <c r="P27" s="208"/>
      <c r="Q27" s="395"/>
      <c r="R27" s="208">
        <f t="shared" si="52"/>
        <v>0</v>
      </c>
      <c r="S27" s="169"/>
      <c r="T27" s="1325"/>
      <c r="U27" s="1317"/>
      <c r="V27" s="1317"/>
      <c r="W27" s="208">
        <f t="shared" si="53"/>
        <v>0</v>
      </c>
      <c r="X27" s="1313"/>
      <c r="Y27" s="583"/>
      <c r="Z27" s="395"/>
      <c r="AA27" s="395"/>
      <c r="AB27" s="208">
        <f t="shared" si="54"/>
        <v>0</v>
      </c>
      <c r="AC27" s="186"/>
      <c r="AD27" s="583">
        <v>1</v>
      </c>
      <c r="AE27" s="395">
        <v>61368</v>
      </c>
      <c r="AF27" s="395">
        <v>70993.36</v>
      </c>
      <c r="AG27" s="208">
        <f t="shared" si="55"/>
        <v>9625.36</v>
      </c>
      <c r="AH27" s="362">
        <f>AG27/AF27</f>
        <v>0.13558113040430825</v>
      </c>
      <c r="AI27" s="583"/>
      <c r="AJ27" s="395"/>
      <c r="AK27" s="395"/>
      <c r="AL27" s="208">
        <f t="shared" si="56"/>
        <v>0</v>
      </c>
      <c r="AM27" s="78"/>
      <c r="AN27" s="583"/>
      <c r="AO27" s="395"/>
      <c r="AP27" s="395"/>
      <c r="AQ27" s="208">
        <f t="shared" si="44"/>
        <v>0</v>
      </c>
      <c r="AR27" s="157"/>
      <c r="AS27" s="1318"/>
      <c r="AT27" s="395"/>
      <c r="AU27" s="395"/>
      <c r="AV27" s="208">
        <f t="shared" si="45"/>
        <v>0</v>
      </c>
      <c r="AW27" s="157"/>
      <c r="AX27" s="583"/>
      <c r="AY27" s="395"/>
      <c r="AZ27" s="395"/>
      <c r="BA27" s="208">
        <f t="shared" si="46"/>
        <v>0</v>
      </c>
      <c r="BB27" s="1561">
        <v>0</v>
      </c>
      <c r="BC27" s="113"/>
      <c r="BD27" s="208"/>
      <c r="BE27" s="208"/>
      <c r="BF27" s="208">
        <f t="shared" si="49"/>
        <v>0</v>
      </c>
      <c r="BG27" s="157"/>
      <c r="BH27" s="113">
        <v>1</v>
      </c>
      <c r="BI27" s="208">
        <v>18258</v>
      </c>
      <c r="BJ27" s="208">
        <v>23100</v>
      </c>
      <c r="BK27" s="208">
        <f t="shared" si="47"/>
        <v>4842</v>
      </c>
      <c r="BL27" s="78">
        <f>BK27/BJ27</f>
        <v>0.20961038961038961</v>
      </c>
      <c r="BM27" s="1314"/>
      <c r="BN27" s="1310">
        <f t="shared" si="57"/>
        <v>95394</v>
      </c>
      <c r="BO27" s="1310">
        <f t="shared" si="57"/>
        <v>164713.35999999999</v>
      </c>
      <c r="BP27" s="1310">
        <f t="shared" si="57"/>
        <v>69319.360000000001</v>
      </c>
      <c r="BQ27" s="220">
        <f t="shared" si="8"/>
        <v>0.42084843633813313</v>
      </c>
      <c r="BR27" s="607">
        <f t="shared" si="58"/>
        <v>0.33333333333333331</v>
      </c>
      <c r="BS27" s="137">
        <f t="shared" si="59"/>
        <v>15768</v>
      </c>
      <c r="BT27" s="137">
        <f t="shared" si="59"/>
        <v>70620</v>
      </c>
      <c r="BU27" s="137">
        <f t="shared" si="59"/>
        <v>54852</v>
      </c>
      <c r="BV27" s="151">
        <f t="shared" si="99"/>
        <v>0.77672047578589631</v>
      </c>
      <c r="BW27" s="607">
        <f t="shared" si="60"/>
        <v>0.33333333333333331</v>
      </c>
      <c r="BX27" s="137">
        <f t="shared" si="61"/>
        <v>61368</v>
      </c>
      <c r="BY27" s="137">
        <f t="shared" si="61"/>
        <v>70993.36</v>
      </c>
      <c r="BZ27" s="137">
        <f t="shared" si="61"/>
        <v>9625.36</v>
      </c>
      <c r="CA27" s="135">
        <f>BZ27/BY27</f>
        <v>0.13558113040430825</v>
      </c>
      <c r="CB27" s="607">
        <f t="shared" si="62"/>
        <v>0</v>
      </c>
      <c r="CC27" s="358">
        <f t="shared" si="63"/>
        <v>0</v>
      </c>
      <c r="CD27" s="358">
        <f t="shared" si="63"/>
        <v>0</v>
      </c>
      <c r="CE27" s="358">
        <f t="shared" si="63"/>
        <v>0</v>
      </c>
      <c r="CF27" s="135" t="e">
        <f t="shared" si="64"/>
        <v>#DIV/0!</v>
      </c>
      <c r="CG27" s="1315">
        <f t="shared" si="65"/>
        <v>0.33333333333333331</v>
      </c>
      <c r="CH27" s="358">
        <f t="shared" si="66"/>
        <v>18258</v>
      </c>
      <c r="CI27" s="358">
        <f t="shared" si="66"/>
        <v>23100</v>
      </c>
      <c r="CJ27" s="358">
        <f t="shared" si="66"/>
        <v>4842</v>
      </c>
      <c r="CK27" s="151">
        <f t="shared" si="43"/>
        <v>0.20961038961038961</v>
      </c>
      <c r="CL27" s="79"/>
      <c r="CM27" s="401"/>
      <c r="CN27" s="395"/>
      <c r="CO27" s="1324"/>
      <c r="CP27" s="208">
        <f t="shared" si="67"/>
        <v>0</v>
      </c>
      <c r="CQ27" s="3547">
        <v>0</v>
      </c>
      <c r="CR27" s="113"/>
      <c r="CS27" s="994"/>
      <c r="CT27" s="1327"/>
      <c r="CU27" s="208">
        <f t="shared" si="68"/>
        <v>0</v>
      </c>
      <c r="CV27" s="186"/>
      <c r="CW27" s="439"/>
      <c r="CX27" s="979"/>
      <c r="CY27" s="4250">
        <v>0</v>
      </c>
      <c r="CZ27" s="208">
        <f t="shared" si="69"/>
        <v>0</v>
      </c>
      <c r="DA27" s="169"/>
      <c r="DB27" s="1325">
        <v>2</v>
      </c>
      <c r="DC27" s="1317">
        <v>47544</v>
      </c>
      <c r="DD27" s="1317"/>
      <c r="DE27" s="208">
        <f t="shared" si="70"/>
        <v>-47544</v>
      </c>
      <c r="DF27" s="1313" t="e">
        <f t="shared" si="95"/>
        <v>#DIV/0!</v>
      </c>
      <c r="DG27" s="583">
        <v>2</v>
      </c>
      <c r="DH27" s="395">
        <v>70032</v>
      </c>
      <c r="DI27" s="395"/>
      <c r="DJ27" s="208">
        <f t="shared" si="71"/>
        <v>-70032</v>
      </c>
      <c r="DK27" s="78" t="e">
        <f t="shared" si="97"/>
        <v>#DIV/0!</v>
      </c>
      <c r="DL27" s="583"/>
      <c r="DM27" s="395"/>
      <c r="DN27" s="395"/>
      <c r="DO27" s="208">
        <f t="shared" si="72"/>
        <v>0</v>
      </c>
      <c r="DP27" s="94" t="e">
        <f t="shared" si="98"/>
        <v>#DIV/0!</v>
      </c>
      <c r="DQ27" s="583"/>
      <c r="DR27" s="395"/>
      <c r="DS27" s="395"/>
      <c r="DT27" s="208">
        <f t="shared" si="73"/>
        <v>0</v>
      </c>
      <c r="DU27" s="78" t="e">
        <f t="shared" si="74"/>
        <v>#DIV/0!</v>
      </c>
      <c r="DV27" s="583"/>
      <c r="DW27" s="395"/>
      <c r="DX27" s="395"/>
      <c r="DY27" s="208">
        <f t="shared" si="75"/>
        <v>0</v>
      </c>
      <c r="DZ27" s="157" t="e">
        <f t="shared" si="76"/>
        <v>#DIV/0!</v>
      </c>
      <c r="EA27" s="1318"/>
      <c r="EB27" s="395"/>
      <c r="EC27" s="395"/>
      <c r="ED27" s="208">
        <f t="shared" si="77"/>
        <v>0</v>
      </c>
      <c r="EE27" s="157" t="e">
        <f t="shared" si="78"/>
        <v>#DIV/0!</v>
      </c>
      <c r="EF27" s="583"/>
      <c r="EG27" s="395"/>
      <c r="EH27" s="395"/>
      <c r="EI27" s="208">
        <f t="shared" si="79"/>
        <v>0</v>
      </c>
      <c r="EJ27" s="157" t="e">
        <f t="shared" si="80"/>
        <v>#DIV/0!</v>
      </c>
      <c r="EK27" s="113"/>
      <c r="EL27" s="208"/>
      <c r="EM27" s="208"/>
      <c r="EN27" s="208">
        <f t="shared" si="81"/>
        <v>0</v>
      </c>
      <c r="EO27" s="157"/>
      <c r="EP27" s="113"/>
      <c r="EQ27" s="208"/>
      <c r="ER27" s="208"/>
      <c r="ES27" s="208">
        <f t="shared" si="82"/>
        <v>0</v>
      </c>
      <c r="ET27" s="186" t="e">
        <f t="shared" si="96"/>
        <v>#DIV/0!</v>
      </c>
      <c r="EU27" s="1314"/>
      <c r="EV27" s="1310">
        <f t="shared" si="83"/>
        <v>117576</v>
      </c>
      <c r="EW27" s="1310">
        <f t="shared" si="83"/>
        <v>0</v>
      </c>
      <c r="EX27" s="1310">
        <f t="shared" si="83"/>
        <v>-117576</v>
      </c>
      <c r="EY27" s="220" t="e">
        <f t="shared" si="100"/>
        <v>#DIV/0!</v>
      </c>
      <c r="EZ27" s="357">
        <f t="shared" si="84"/>
        <v>0</v>
      </c>
      <c r="FA27" s="137">
        <f t="shared" si="85"/>
        <v>0</v>
      </c>
      <c r="FB27" s="137">
        <f t="shared" si="85"/>
        <v>0</v>
      </c>
      <c r="FC27" s="137">
        <f t="shared" si="85"/>
        <v>0</v>
      </c>
      <c r="FD27" s="151"/>
      <c r="FE27" s="607">
        <f t="shared" si="86"/>
        <v>1.3333333333333333</v>
      </c>
      <c r="FF27" s="137">
        <f t="shared" si="87"/>
        <v>117576</v>
      </c>
      <c r="FG27" s="137">
        <f t="shared" si="87"/>
        <v>0</v>
      </c>
      <c r="FH27" s="137">
        <f t="shared" si="87"/>
        <v>-117576</v>
      </c>
      <c r="FI27" s="135" t="e">
        <f>FH27/FG27</f>
        <v>#DIV/0!</v>
      </c>
      <c r="FJ27" s="607">
        <f t="shared" si="88"/>
        <v>0</v>
      </c>
      <c r="FK27" s="358">
        <f t="shared" si="89"/>
        <v>0</v>
      </c>
      <c r="FL27" s="358">
        <f t="shared" si="89"/>
        <v>0</v>
      </c>
      <c r="FM27" s="358">
        <f t="shared" si="89"/>
        <v>0</v>
      </c>
      <c r="FN27" s="135" t="e">
        <f t="shared" si="90"/>
        <v>#DIV/0!</v>
      </c>
      <c r="FO27" s="1315">
        <f t="shared" si="91"/>
        <v>0</v>
      </c>
      <c r="FP27" s="358">
        <f t="shared" si="92"/>
        <v>0</v>
      </c>
      <c r="FQ27" s="358">
        <f t="shared" si="92"/>
        <v>0</v>
      </c>
      <c r="FR27" s="358">
        <f t="shared" si="92"/>
        <v>0</v>
      </c>
      <c r="FS27" s="151" t="e">
        <f t="shared" si="93"/>
        <v>#DIV/0!</v>
      </c>
    </row>
    <row r="28" spans="1:175" x14ac:dyDescent="0.3">
      <c r="A28" s="110">
        <v>21</v>
      </c>
      <c r="B28" s="111" t="s">
        <v>391</v>
      </c>
      <c r="C28" s="112" t="s">
        <v>141</v>
      </c>
      <c r="D28" s="112" t="s">
        <v>254</v>
      </c>
      <c r="E28" s="439"/>
      <c r="F28" s="994"/>
      <c r="G28" s="358"/>
      <c r="H28" s="208">
        <f t="shared" si="50"/>
        <v>0</v>
      </c>
      <c r="I28" s="217"/>
      <c r="J28" s="113"/>
      <c r="K28" s="994"/>
      <c r="L28" s="622"/>
      <c r="M28" s="208">
        <f t="shared" si="51"/>
        <v>0</v>
      </c>
      <c r="N28" s="186"/>
      <c r="O28" s="113"/>
      <c r="P28" s="208"/>
      <c r="Q28" s="395"/>
      <c r="R28" s="208">
        <f t="shared" si="52"/>
        <v>0</v>
      </c>
      <c r="S28" s="169"/>
      <c r="T28" s="1325"/>
      <c r="U28" s="1317"/>
      <c r="V28" s="1317"/>
      <c r="W28" s="208">
        <f t="shared" si="53"/>
        <v>0</v>
      </c>
      <c r="X28" s="1313"/>
      <c r="Y28" s="113"/>
      <c r="Z28" s="208"/>
      <c r="AA28" s="208"/>
      <c r="AB28" s="208">
        <f t="shared" si="54"/>
        <v>0</v>
      </c>
      <c r="AC28" s="78"/>
      <c r="AD28" s="113"/>
      <c r="AE28" s="208"/>
      <c r="AF28" s="208"/>
      <c r="AG28" s="208">
        <f t="shared" si="55"/>
        <v>0</v>
      </c>
      <c r="AH28" s="94"/>
      <c r="AI28" s="113"/>
      <c r="AJ28" s="208"/>
      <c r="AK28" s="208"/>
      <c r="AL28" s="208">
        <f t="shared" si="56"/>
        <v>0</v>
      </c>
      <c r="AM28" s="78"/>
      <c r="AN28" s="113"/>
      <c r="AO28" s="208"/>
      <c r="AP28" s="208"/>
      <c r="AQ28" s="208">
        <f t="shared" si="44"/>
        <v>0</v>
      </c>
      <c r="AR28" s="157"/>
      <c r="AS28" s="209">
        <v>1</v>
      </c>
      <c r="AT28" s="208">
        <v>136829</v>
      </c>
      <c r="AU28" s="395">
        <v>168900.52</v>
      </c>
      <c r="AV28" s="208">
        <f t="shared" si="45"/>
        <v>32071.51999999999</v>
      </c>
      <c r="AW28" s="157">
        <f>AV28/AU28</f>
        <v>0.1898840808779037</v>
      </c>
      <c r="AX28" s="113"/>
      <c r="AY28" s="208"/>
      <c r="AZ28" s="208"/>
      <c r="BA28" s="208">
        <f t="shared" si="46"/>
        <v>0</v>
      </c>
      <c r="BB28" s="1561">
        <v>0</v>
      </c>
      <c r="BC28" s="113"/>
      <c r="BD28" s="208"/>
      <c r="BE28" s="208"/>
      <c r="BF28" s="208">
        <f t="shared" si="49"/>
        <v>0</v>
      </c>
      <c r="BG28" s="157"/>
      <c r="BH28" s="113"/>
      <c r="BI28" s="208"/>
      <c r="BJ28" s="208"/>
      <c r="BK28" s="208">
        <f t="shared" si="47"/>
        <v>0</v>
      </c>
      <c r="BL28" s="1581">
        <v>0</v>
      </c>
      <c r="BM28" s="1314"/>
      <c r="BN28" s="1310">
        <f t="shared" si="57"/>
        <v>136829</v>
      </c>
      <c r="BO28" s="1310">
        <f t="shared" si="57"/>
        <v>168900.52</v>
      </c>
      <c r="BP28" s="1310">
        <f t="shared" si="57"/>
        <v>32071.51999999999</v>
      </c>
      <c r="BQ28" s="220">
        <f t="shared" si="8"/>
        <v>0.1898840808779037</v>
      </c>
      <c r="BR28" s="607">
        <f t="shared" si="58"/>
        <v>0</v>
      </c>
      <c r="BS28" s="137">
        <f t="shared" si="59"/>
        <v>0</v>
      </c>
      <c r="BT28" s="137">
        <f t="shared" si="59"/>
        <v>0</v>
      </c>
      <c r="BU28" s="137">
        <f t="shared" si="59"/>
        <v>0</v>
      </c>
      <c r="BV28" s="151"/>
      <c r="BW28" s="607">
        <f t="shared" si="60"/>
        <v>0</v>
      </c>
      <c r="BX28" s="137">
        <f t="shared" si="61"/>
        <v>0</v>
      </c>
      <c r="BY28" s="137">
        <f t="shared" si="61"/>
        <v>0</v>
      </c>
      <c r="BZ28" s="137">
        <f t="shared" si="61"/>
        <v>0</v>
      </c>
      <c r="CA28" s="135"/>
      <c r="CB28" s="607">
        <f t="shared" si="62"/>
        <v>0.33333333333333331</v>
      </c>
      <c r="CC28" s="358">
        <f t="shared" si="63"/>
        <v>136829</v>
      </c>
      <c r="CD28" s="358">
        <f t="shared" si="63"/>
        <v>168900.52</v>
      </c>
      <c r="CE28" s="358">
        <f t="shared" si="63"/>
        <v>32071.51999999999</v>
      </c>
      <c r="CF28" s="135">
        <f t="shared" si="64"/>
        <v>0.1898840808779037</v>
      </c>
      <c r="CG28" s="1315">
        <f t="shared" si="65"/>
        <v>0</v>
      </c>
      <c r="CH28" s="358">
        <f t="shared" si="66"/>
        <v>0</v>
      </c>
      <c r="CI28" s="358">
        <f t="shared" si="66"/>
        <v>0</v>
      </c>
      <c r="CJ28" s="358">
        <f t="shared" si="66"/>
        <v>0</v>
      </c>
      <c r="CK28" s="151" t="e">
        <f t="shared" si="43"/>
        <v>#DIV/0!</v>
      </c>
      <c r="CL28" s="79"/>
      <c r="CM28" s="439"/>
      <c r="CN28" s="208"/>
      <c r="CO28" s="208"/>
      <c r="CP28" s="208">
        <f t="shared" si="67"/>
        <v>0</v>
      </c>
      <c r="CQ28" s="3547">
        <v>0</v>
      </c>
      <c r="CR28" s="113"/>
      <c r="CS28" s="994"/>
      <c r="CT28" s="1327"/>
      <c r="CU28" s="208">
        <f t="shared" si="68"/>
        <v>0</v>
      </c>
      <c r="CV28" s="186"/>
      <c r="CW28" s="439">
        <v>2</v>
      </c>
      <c r="CX28" s="208">
        <v>4554</v>
      </c>
      <c r="CY28" s="395">
        <v>6451</v>
      </c>
      <c r="CZ28" s="208">
        <f t="shared" si="69"/>
        <v>1897</v>
      </c>
      <c r="DA28" s="169">
        <f>CZ28/CY28</f>
        <v>0.29406293597891797</v>
      </c>
      <c r="DB28" s="1325"/>
      <c r="DC28" s="1317"/>
      <c r="DD28" s="1317"/>
      <c r="DE28" s="208">
        <f t="shared" si="70"/>
        <v>0</v>
      </c>
      <c r="DF28" s="1313" t="e">
        <f t="shared" si="95"/>
        <v>#DIV/0!</v>
      </c>
      <c r="DG28" s="113"/>
      <c r="DH28" s="208"/>
      <c r="DI28" s="208"/>
      <c r="DJ28" s="208">
        <f t="shared" si="71"/>
        <v>0</v>
      </c>
      <c r="DK28" s="78" t="e">
        <f t="shared" si="97"/>
        <v>#DIV/0!</v>
      </c>
      <c r="DL28" s="113"/>
      <c r="DM28" s="208"/>
      <c r="DN28" s="208"/>
      <c r="DO28" s="208">
        <f t="shared" si="72"/>
        <v>0</v>
      </c>
      <c r="DP28" s="94" t="e">
        <f t="shared" si="98"/>
        <v>#DIV/0!</v>
      </c>
      <c r="DQ28" s="113"/>
      <c r="DR28" s="208">
        <v>129547</v>
      </c>
      <c r="DS28" s="208"/>
      <c r="DT28" s="208">
        <f t="shared" si="73"/>
        <v>-129547</v>
      </c>
      <c r="DU28" s="78" t="e">
        <f t="shared" si="74"/>
        <v>#DIV/0!</v>
      </c>
      <c r="DV28" s="113"/>
      <c r="DW28" s="208"/>
      <c r="DX28" s="208"/>
      <c r="DY28" s="208">
        <f t="shared" si="75"/>
        <v>0</v>
      </c>
      <c r="DZ28" s="157" t="e">
        <f t="shared" si="76"/>
        <v>#DIV/0!</v>
      </c>
      <c r="EA28" s="209">
        <v>1</v>
      </c>
      <c r="EB28" s="208">
        <v>72695</v>
      </c>
      <c r="EC28" s="395"/>
      <c r="ED28" s="208">
        <f t="shared" si="77"/>
        <v>-72695</v>
      </c>
      <c r="EE28" s="157" t="e">
        <f t="shared" si="78"/>
        <v>#DIV/0!</v>
      </c>
      <c r="EF28" s="113"/>
      <c r="EG28" s="208"/>
      <c r="EH28" s="208"/>
      <c r="EI28" s="208">
        <f t="shared" si="79"/>
        <v>0</v>
      </c>
      <c r="EJ28" s="157" t="e">
        <f t="shared" si="80"/>
        <v>#DIV/0!</v>
      </c>
      <c r="EK28" s="113"/>
      <c r="EL28" s="208"/>
      <c r="EM28" s="208"/>
      <c r="EN28" s="208">
        <f t="shared" si="81"/>
        <v>0</v>
      </c>
      <c r="EO28" s="157"/>
      <c r="EP28" s="113"/>
      <c r="EQ28" s="208"/>
      <c r="ER28" s="208"/>
      <c r="ES28" s="208">
        <f t="shared" si="82"/>
        <v>0</v>
      </c>
      <c r="ET28" s="186" t="e">
        <f t="shared" si="96"/>
        <v>#DIV/0!</v>
      </c>
      <c r="EU28" s="1314"/>
      <c r="EV28" s="1310">
        <f t="shared" si="83"/>
        <v>206796</v>
      </c>
      <c r="EW28" s="1310">
        <f t="shared" si="83"/>
        <v>6451</v>
      </c>
      <c r="EX28" s="1310">
        <f t="shared" si="83"/>
        <v>-200345</v>
      </c>
      <c r="EY28" s="220">
        <f t="shared" si="100"/>
        <v>-31.056425360409239</v>
      </c>
      <c r="EZ28" s="357">
        <f t="shared" si="84"/>
        <v>0.66666666666666663</v>
      </c>
      <c r="FA28" s="137">
        <f t="shared" si="85"/>
        <v>4554</v>
      </c>
      <c r="FB28" s="137">
        <f t="shared" si="85"/>
        <v>6451</v>
      </c>
      <c r="FC28" s="137">
        <f t="shared" si="85"/>
        <v>1897</v>
      </c>
      <c r="FD28" s="151"/>
      <c r="FE28" s="607">
        <f t="shared" si="86"/>
        <v>0</v>
      </c>
      <c r="FF28" s="137">
        <f t="shared" si="87"/>
        <v>0</v>
      </c>
      <c r="FG28" s="137">
        <f t="shared" si="87"/>
        <v>0</v>
      </c>
      <c r="FH28" s="137">
        <f t="shared" si="87"/>
        <v>0</v>
      </c>
      <c r="FI28" s="135"/>
      <c r="FJ28" s="607">
        <f t="shared" si="88"/>
        <v>0.33333333333333331</v>
      </c>
      <c r="FK28" s="358">
        <f t="shared" si="89"/>
        <v>202242</v>
      </c>
      <c r="FL28" s="358">
        <f t="shared" si="89"/>
        <v>0</v>
      </c>
      <c r="FM28" s="358">
        <f t="shared" si="89"/>
        <v>-202242</v>
      </c>
      <c r="FN28" s="135" t="e">
        <f t="shared" si="90"/>
        <v>#DIV/0!</v>
      </c>
      <c r="FO28" s="1315">
        <f t="shared" si="91"/>
        <v>0</v>
      </c>
      <c r="FP28" s="358">
        <f t="shared" si="92"/>
        <v>0</v>
      </c>
      <c r="FQ28" s="358">
        <f t="shared" si="92"/>
        <v>0</v>
      </c>
      <c r="FR28" s="358">
        <f t="shared" si="92"/>
        <v>0</v>
      </c>
      <c r="FS28" s="151" t="e">
        <f t="shared" si="93"/>
        <v>#DIV/0!</v>
      </c>
    </row>
    <row r="29" spans="1:175" x14ac:dyDescent="0.3">
      <c r="A29" s="110">
        <v>22</v>
      </c>
      <c r="B29" s="111" t="s">
        <v>589</v>
      </c>
      <c r="C29" s="112" t="s">
        <v>141</v>
      </c>
      <c r="D29" s="112" t="s">
        <v>254</v>
      </c>
      <c r="E29" s="439"/>
      <c r="F29" s="994"/>
      <c r="G29" s="358"/>
      <c r="H29" s="208">
        <f t="shared" si="50"/>
        <v>0</v>
      </c>
      <c r="I29" s="217"/>
      <c r="J29" s="113"/>
      <c r="K29" s="208"/>
      <c r="L29" s="208"/>
      <c r="M29" s="208">
        <f t="shared" si="51"/>
        <v>0</v>
      </c>
      <c r="N29" s="186"/>
      <c r="O29" s="113"/>
      <c r="P29" s="208"/>
      <c r="Q29" s="395"/>
      <c r="R29" s="208">
        <f t="shared" si="52"/>
        <v>0</v>
      </c>
      <c r="S29" s="169"/>
      <c r="T29" s="1325"/>
      <c r="U29" s="1317"/>
      <c r="V29" s="1317"/>
      <c r="W29" s="208">
        <f t="shared" si="53"/>
        <v>0</v>
      </c>
      <c r="X29" s="1313"/>
      <c r="Y29" s="113"/>
      <c r="Z29" s="208"/>
      <c r="AA29" s="208"/>
      <c r="AB29" s="208">
        <f t="shared" si="54"/>
        <v>0</v>
      </c>
      <c r="AC29" s="78"/>
      <c r="AD29" s="113"/>
      <c r="AE29" s="208"/>
      <c r="AF29" s="208"/>
      <c r="AG29" s="208">
        <f t="shared" si="55"/>
        <v>0</v>
      </c>
      <c r="AH29" s="94"/>
      <c r="AI29" s="113"/>
      <c r="AJ29" s="208"/>
      <c r="AK29" s="208"/>
      <c r="AL29" s="208">
        <f t="shared" si="56"/>
        <v>0</v>
      </c>
      <c r="AM29" s="78"/>
      <c r="AN29" s="113"/>
      <c r="AO29" s="208"/>
      <c r="AP29" s="208"/>
      <c r="AQ29" s="208">
        <f t="shared" si="44"/>
        <v>0</v>
      </c>
      <c r="AR29" s="157"/>
      <c r="AS29" s="209"/>
      <c r="AT29" s="208"/>
      <c r="AU29" s="395"/>
      <c r="AV29" s="208">
        <f t="shared" si="45"/>
        <v>0</v>
      </c>
      <c r="AW29" s="157"/>
      <c r="AX29" s="113"/>
      <c r="AY29" s="208"/>
      <c r="AZ29" s="208"/>
      <c r="BA29" s="208">
        <f t="shared" si="46"/>
        <v>0</v>
      </c>
      <c r="BB29" s="1561">
        <v>0</v>
      </c>
      <c r="BC29" s="583"/>
      <c r="BD29" s="395"/>
      <c r="BE29" s="395"/>
      <c r="BF29" s="208">
        <f t="shared" si="49"/>
        <v>0</v>
      </c>
      <c r="BG29" s="157"/>
      <c r="BH29" s="113"/>
      <c r="BI29" s="208"/>
      <c r="BJ29" s="208"/>
      <c r="BK29" s="208">
        <f t="shared" si="47"/>
        <v>0</v>
      </c>
      <c r="BL29" s="1581">
        <v>0</v>
      </c>
      <c r="BM29" s="1314"/>
      <c r="BN29" s="1310">
        <f t="shared" si="57"/>
        <v>0</v>
      </c>
      <c r="BO29" s="1310">
        <f t="shared" si="57"/>
        <v>0</v>
      </c>
      <c r="BP29" s="1310">
        <f t="shared" si="57"/>
        <v>0</v>
      </c>
      <c r="BQ29" s="220"/>
      <c r="BR29" s="607">
        <f t="shared" si="58"/>
        <v>0</v>
      </c>
      <c r="BS29" s="137">
        <f t="shared" si="59"/>
        <v>0</v>
      </c>
      <c r="BT29" s="137">
        <f t="shared" si="59"/>
        <v>0</v>
      </c>
      <c r="BU29" s="137">
        <f t="shared" si="59"/>
        <v>0</v>
      </c>
      <c r="BV29" s="151"/>
      <c r="BW29" s="607">
        <f t="shared" si="60"/>
        <v>0</v>
      </c>
      <c r="BX29" s="137">
        <f t="shared" si="61"/>
        <v>0</v>
      </c>
      <c r="BY29" s="137">
        <f t="shared" si="61"/>
        <v>0</v>
      </c>
      <c r="BZ29" s="137">
        <f t="shared" si="61"/>
        <v>0</v>
      </c>
      <c r="CA29" s="135"/>
      <c r="CB29" s="607">
        <f t="shared" si="62"/>
        <v>0</v>
      </c>
      <c r="CC29" s="358">
        <f t="shared" si="63"/>
        <v>0</v>
      </c>
      <c r="CD29" s="358">
        <f t="shared" si="63"/>
        <v>0</v>
      </c>
      <c r="CE29" s="358">
        <f t="shared" si="63"/>
        <v>0</v>
      </c>
      <c r="CF29" s="135" t="e">
        <f>CE29/CD29</f>
        <v>#DIV/0!</v>
      </c>
      <c r="CG29" s="1315">
        <f t="shared" si="65"/>
        <v>0</v>
      </c>
      <c r="CH29" s="358">
        <f t="shared" si="66"/>
        <v>0</v>
      </c>
      <c r="CI29" s="358">
        <f t="shared" si="66"/>
        <v>0</v>
      </c>
      <c r="CJ29" s="358">
        <f t="shared" si="66"/>
        <v>0</v>
      </c>
      <c r="CK29" s="151" t="e">
        <f>CJ29/CI29</f>
        <v>#DIV/0!</v>
      </c>
      <c r="CL29" s="79"/>
      <c r="CM29" s="439"/>
      <c r="CN29" s="208"/>
      <c r="CO29" s="208"/>
      <c r="CP29" s="208">
        <f t="shared" si="67"/>
        <v>0</v>
      </c>
      <c r="CQ29" s="3547">
        <v>0</v>
      </c>
      <c r="CR29" s="113"/>
      <c r="CS29" s="994"/>
      <c r="CT29" s="1327"/>
      <c r="CU29" s="208">
        <f t="shared" si="68"/>
        <v>0</v>
      </c>
      <c r="CV29" s="186"/>
      <c r="CW29" s="439"/>
      <c r="CX29" s="208"/>
      <c r="CY29" s="395">
        <v>0</v>
      </c>
      <c r="CZ29" s="208">
        <f t="shared" si="69"/>
        <v>0</v>
      </c>
      <c r="DA29" s="169"/>
      <c r="DB29" s="1325">
        <v>1</v>
      </c>
      <c r="DC29" s="1317">
        <v>10777</v>
      </c>
      <c r="DD29" s="1317"/>
      <c r="DE29" s="208">
        <f t="shared" si="70"/>
        <v>-10777</v>
      </c>
      <c r="DF29" s="1313" t="e">
        <f t="shared" si="95"/>
        <v>#DIV/0!</v>
      </c>
      <c r="DG29" s="113"/>
      <c r="DH29" s="208"/>
      <c r="DI29" s="208"/>
      <c r="DJ29" s="208">
        <f t="shared" si="71"/>
        <v>0</v>
      </c>
      <c r="DK29" s="78" t="e">
        <f t="shared" si="97"/>
        <v>#DIV/0!</v>
      </c>
      <c r="DL29" s="113"/>
      <c r="DM29" s="208"/>
      <c r="DN29" s="208"/>
      <c r="DO29" s="208">
        <f t="shared" si="72"/>
        <v>0</v>
      </c>
      <c r="DP29" s="94" t="e">
        <f t="shared" si="98"/>
        <v>#DIV/0!</v>
      </c>
      <c r="DQ29" s="113"/>
      <c r="DR29" s="208"/>
      <c r="DS29" s="208"/>
      <c r="DT29" s="208">
        <f t="shared" si="73"/>
        <v>0</v>
      </c>
      <c r="DU29" s="78" t="e">
        <f t="shared" si="74"/>
        <v>#DIV/0!</v>
      </c>
      <c r="DV29" s="113"/>
      <c r="DW29" s="208"/>
      <c r="DX29" s="208"/>
      <c r="DY29" s="208">
        <f t="shared" si="75"/>
        <v>0</v>
      </c>
      <c r="DZ29" s="157" t="e">
        <f t="shared" si="76"/>
        <v>#DIV/0!</v>
      </c>
      <c r="EA29" s="209">
        <v>3</v>
      </c>
      <c r="EB29" s="208">
        <v>50746</v>
      </c>
      <c r="EC29" s="395"/>
      <c r="ED29" s="208">
        <f t="shared" si="77"/>
        <v>-50746</v>
      </c>
      <c r="EE29" s="157" t="e">
        <f t="shared" si="78"/>
        <v>#DIV/0!</v>
      </c>
      <c r="EF29" s="113"/>
      <c r="EG29" s="208"/>
      <c r="EH29" s="208"/>
      <c r="EI29" s="208">
        <f t="shared" si="79"/>
        <v>0</v>
      </c>
      <c r="EJ29" s="157" t="e">
        <f t="shared" si="80"/>
        <v>#DIV/0!</v>
      </c>
      <c r="EK29" s="583"/>
      <c r="EL29" s="395"/>
      <c r="EM29" s="395"/>
      <c r="EN29" s="208">
        <f t="shared" si="81"/>
        <v>0</v>
      </c>
      <c r="EO29" s="157"/>
      <c r="EP29" s="113"/>
      <c r="EQ29" s="208"/>
      <c r="ER29" s="208"/>
      <c r="ES29" s="208">
        <f t="shared" si="82"/>
        <v>0</v>
      </c>
      <c r="ET29" s="186" t="e">
        <f t="shared" si="96"/>
        <v>#DIV/0!</v>
      </c>
      <c r="EU29" s="1314"/>
      <c r="EV29" s="1310">
        <f t="shared" si="83"/>
        <v>61523</v>
      </c>
      <c r="EW29" s="1310">
        <f t="shared" si="83"/>
        <v>0</v>
      </c>
      <c r="EX29" s="1310">
        <f t="shared" si="83"/>
        <v>-61523</v>
      </c>
      <c r="EY29" s="220"/>
      <c r="EZ29" s="357">
        <f t="shared" si="84"/>
        <v>0</v>
      </c>
      <c r="FA29" s="137">
        <f t="shared" si="85"/>
        <v>0</v>
      </c>
      <c r="FB29" s="137">
        <f t="shared" si="85"/>
        <v>0</v>
      </c>
      <c r="FC29" s="137">
        <f t="shared" si="85"/>
        <v>0</v>
      </c>
      <c r="FD29" s="151"/>
      <c r="FE29" s="607">
        <f t="shared" si="86"/>
        <v>0.33333333333333331</v>
      </c>
      <c r="FF29" s="137">
        <f t="shared" si="87"/>
        <v>10777</v>
      </c>
      <c r="FG29" s="137">
        <f t="shared" si="87"/>
        <v>0</v>
      </c>
      <c r="FH29" s="137">
        <f t="shared" si="87"/>
        <v>-10777</v>
      </c>
      <c r="FI29" s="135"/>
      <c r="FJ29" s="607">
        <f t="shared" si="88"/>
        <v>1</v>
      </c>
      <c r="FK29" s="358">
        <f t="shared" si="89"/>
        <v>50746</v>
      </c>
      <c r="FL29" s="358">
        <f t="shared" si="89"/>
        <v>0</v>
      </c>
      <c r="FM29" s="358">
        <f t="shared" si="89"/>
        <v>-50746</v>
      </c>
      <c r="FN29" s="135" t="e">
        <f>FM29/FL29</f>
        <v>#DIV/0!</v>
      </c>
      <c r="FO29" s="1315">
        <f t="shared" si="91"/>
        <v>0</v>
      </c>
      <c r="FP29" s="358">
        <f t="shared" si="92"/>
        <v>0</v>
      </c>
      <c r="FQ29" s="358">
        <f t="shared" si="92"/>
        <v>0</v>
      </c>
      <c r="FR29" s="358">
        <f t="shared" si="92"/>
        <v>0</v>
      </c>
      <c r="FS29" s="151" t="e">
        <f>FR29/FQ29</f>
        <v>#DIV/0!</v>
      </c>
    </row>
    <row r="30" spans="1:175" x14ac:dyDescent="0.3">
      <c r="A30" s="110">
        <v>23</v>
      </c>
      <c r="B30" s="111" t="s">
        <v>394</v>
      </c>
      <c r="C30" s="112" t="s">
        <v>141</v>
      </c>
      <c r="D30" s="112" t="s">
        <v>254</v>
      </c>
      <c r="E30" s="401"/>
      <c r="F30" s="772"/>
      <c r="G30" s="358"/>
      <c r="H30" s="208">
        <f t="shared" si="50"/>
        <v>0</v>
      </c>
      <c r="I30" s="217"/>
      <c r="J30" s="583"/>
      <c r="K30" s="395"/>
      <c r="L30" s="395"/>
      <c r="M30" s="208">
        <f t="shared" si="51"/>
        <v>0</v>
      </c>
      <c r="N30" s="186"/>
      <c r="O30" s="113"/>
      <c r="P30" s="208"/>
      <c r="Q30" s="395"/>
      <c r="R30" s="208">
        <f t="shared" si="52"/>
        <v>0</v>
      </c>
      <c r="S30" s="169"/>
      <c r="T30" s="1325"/>
      <c r="U30" s="1317"/>
      <c r="V30" s="1317"/>
      <c r="W30" s="208">
        <f t="shared" si="53"/>
        <v>0</v>
      </c>
      <c r="X30" s="1313"/>
      <c r="Y30" s="583"/>
      <c r="Z30" s="395"/>
      <c r="AA30" s="395"/>
      <c r="AB30" s="208">
        <f t="shared" si="54"/>
        <v>0</v>
      </c>
      <c r="AC30" s="78"/>
      <c r="AD30" s="583"/>
      <c r="AE30" s="395"/>
      <c r="AF30" s="395"/>
      <c r="AG30" s="208">
        <f t="shared" si="55"/>
        <v>0</v>
      </c>
      <c r="AH30" s="94"/>
      <c r="AI30" s="113">
        <v>1</v>
      </c>
      <c r="AJ30" s="208">
        <v>41184</v>
      </c>
      <c r="AK30" s="208">
        <v>60000</v>
      </c>
      <c r="AL30" s="208">
        <f t="shared" si="56"/>
        <v>18816</v>
      </c>
      <c r="AM30" s="78"/>
      <c r="AN30" s="113"/>
      <c r="AO30" s="208"/>
      <c r="AP30" s="208"/>
      <c r="AQ30" s="208">
        <f t="shared" si="44"/>
        <v>0</v>
      </c>
      <c r="AR30" s="157"/>
      <c r="AS30" s="209"/>
      <c r="AT30" s="208"/>
      <c r="AU30" s="395"/>
      <c r="AV30" s="208">
        <f t="shared" si="45"/>
        <v>0</v>
      </c>
      <c r="AW30" s="157"/>
      <c r="AX30" s="113"/>
      <c r="AY30" s="208"/>
      <c r="AZ30" s="208"/>
      <c r="BA30" s="208">
        <f t="shared" si="46"/>
        <v>0</v>
      </c>
      <c r="BB30" s="1561">
        <v>0</v>
      </c>
      <c r="BC30" s="113"/>
      <c r="BD30" s="208"/>
      <c r="BE30" s="208"/>
      <c r="BF30" s="208">
        <f t="shared" si="49"/>
        <v>0</v>
      </c>
      <c r="BG30" s="157"/>
      <c r="BH30" s="113"/>
      <c r="BI30" s="208"/>
      <c r="BJ30" s="395"/>
      <c r="BK30" s="208">
        <f t="shared" si="47"/>
        <v>0</v>
      </c>
      <c r="BL30" s="1581">
        <v>0</v>
      </c>
      <c r="BM30" s="1314"/>
      <c r="BN30" s="1310">
        <f t="shared" si="57"/>
        <v>41184</v>
      </c>
      <c r="BO30" s="1310">
        <f t="shared" si="57"/>
        <v>60000</v>
      </c>
      <c r="BP30" s="1310">
        <f t="shared" si="57"/>
        <v>18816</v>
      </c>
      <c r="BQ30" s="220">
        <f t="shared" si="8"/>
        <v>0.31359999999999999</v>
      </c>
      <c r="BR30" s="607"/>
      <c r="BS30" s="137"/>
      <c r="BT30" s="137"/>
      <c r="BU30" s="137"/>
      <c r="BV30" s="151"/>
      <c r="BW30" s="607">
        <f t="shared" si="60"/>
        <v>0</v>
      </c>
      <c r="BX30" s="137">
        <f t="shared" si="61"/>
        <v>0</v>
      </c>
      <c r="BY30" s="137">
        <f t="shared" si="61"/>
        <v>0</v>
      </c>
      <c r="BZ30" s="137">
        <f t="shared" si="61"/>
        <v>0</v>
      </c>
      <c r="CA30" s="135"/>
      <c r="CB30" s="607"/>
      <c r="CC30" s="358"/>
      <c r="CD30" s="358"/>
      <c r="CE30" s="358"/>
      <c r="CF30" s="135"/>
      <c r="CG30" s="1315"/>
      <c r="CH30" s="358"/>
      <c r="CI30" s="358"/>
      <c r="CJ30" s="358"/>
      <c r="CK30" s="151"/>
      <c r="CL30" s="79"/>
      <c r="CM30" s="401"/>
      <c r="CN30" s="395"/>
      <c r="CO30" s="208"/>
      <c r="CP30" s="208">
        <f t="shared" si="67"/>
        <v>0</v>
      </c>
      <c r="CQ30" s="3547">
        <v>0</v>
      </c>
      <c r="CR30" s="113"/>
      <c r="CS30" s="994"/>
      <c r="CT30" s="1327"/>
      <c r="CU30" s="208">
        <f t="shared" si="68"/>
        <v>0</v>
      </c>
      <c r="CV30" s="186"/>
      <c r="CW30" s="439"/>
      <c r="CX30" s="208"/>
      <c r="CY30" s="395">
        <v>0</v>
      </c>
      <c r="CZ30" s="208">
        <f t="shared" si="69"/>
        <v>0</v>
      </c>
      <c r="DA30" s="169"/>
      <c r="DB30" s="1325"/>
      <c r="DC30" s="1317"/>
      <c r="DD30" s="1317"/>
      <c r="DE30" s="208">
        <f t="shared" si="70"/>
        <v>0</v>
      </c>
      <c r="DF30" s="1313" t="e">
        <f t="shared" si="95"/>
        <v>#DIV/0!</v>
      </c>
      <c r="DG30" s="583"/>
      <c r="DH30" s="395"/>
      <c r="DI30" s="395"/>
      <c r="DJ30" s="208">
        <f t="shared" si="71"/>
        <v>0</v>
      </c>
      <c r="DK30" s="78" t="e">
        <f t="shared" si="97"/>
        <v>#DIV/0!</v>
      </c>
      <c r="DL30" s="583">
        <v>1</v>
      </c>
      <c r="DM30" s="395">
        <v>32651</v>
      </c>
      <c r="DN30" s="395"/>
      <c r="DO30" s="208">
        <f t="shared" si="72"/>
        <v>-32651</v>
      </c>
      <c r="DP30" s="94" t="e">
        <f t="shared" si="98"/>
        <v>#DIV/0!</v>
      </c>
      <c r="DQ30" s="113"/>
      <c r="DR30" s="208"/>
      <c r="DS30" s="208"/>
      <c r="DT30" s="208">
        <f t="shared" si="73"/>
        <v>0</v>
      </c>
      <c r="DU30" s="78" t="e">
        <f t="shared" si="74"/>
        <v>#DIV/0!</v>
      </c>
      <c r="DV30" s="113"/>
      <c r="DW30" s="208"/>
      <c r="DX30" s="208"/>
      <c r="DY30" s="208">
        <f t="shared" si="75"/>
        <v>0</v>
      </c>
      <c r="DZ30" s="157" t="e">
        <f t="shared" si="76"/>
        <v>#DIV/0!</v>
      </c>
      <c r="EA30" s="209"/>
      <c r="EB30" s="208"/>
      <c r="EC30" s="395"/>
      <c r="ED30" s="208">
        <f t="shared" si="77"/>
        <v>0</v>
      </c>
      <c r="EE30" s="157" t="e">
        <f t="shared" si="78"/>
        <v>#DIV/0!</v>
      </c>
      <c r="EF30" s="113"/>
      <c r="EG30" s="208"/>
      <c r="EH30" s="208"/>
      <c r="EI30" s="208">
        <f t="shared" si="79"/>
        <v>0</v>
      </c>
      <c r="EJ30" s="157" t="e">
        <f t="shared" si="80"/>
        <v>#DIV/0!</v>
      </c>
      <c r="EK30" s="113"/>
      <c r="EL30" s="208"/>
      <c r="EM30" s="208"/>
      <c r="EN30" s="208">
        <f t="shared" si="81"/>
        <v>0</v>
      </c>
      <c r="EO30" s="157"/>
      <c r="EP30" s="113"/>
      <c r="EQ30" s="208"/>
      <c r="ER30" s="395"/>
      <c r="ES30" s="208">
        <f t="shared" si="82"/>
        <v>0</v>
      </c>
      <c r="ET30" s="186" t="e">
        <f t="shared" si="96"/>
        <v>#DIV/0!</v>
      </c>
      <c r="EU30" s="1314"/>
      <c r="EV30" s="1310">
        <f t="shared" si="83"/>
        <v>32651</v>
      </c>
      <c r="EW30" s="1310">
        <f t="shared" si="83"/>
        <v>0</v>
      </c>
      <c r="EX30" s="1310">
        <f t="shared" si="83"/>
        <v>-32651</v>
      </c>
      <c r="EY30" s="220" t="e">
        <f>EX30/EW30</f>
        <v>#DIV/0!</v>
      </c>
      <c r="EZ30" s="357"/>
      <c r="FA30" s="137"/>
      <c r="FB30" s="137"/>
      <c r="FC30" s="137"/>
      <c r="FD30" s="151"/>
      <c r="FE30" s="607">
        <f t="shared" si="86"/>
        <v>0.33333333333333331</v>
      </c>
      <c r="FF30" s="137">
        <f t="shared" si="87"/>
        <v>32651</v>
      </c>
      <c r="FG30" s="137">
        <f t="shared" si="87"/>
        <v>0</v>
      </c>
      <c r="FH30" s="137">
        <f t="shared" si="87"/>
        <v>-32651</v>
      </c>
      <c r="FI30" s="135"/>
      <c r="FJ30" s="607"/>
      <c r="FK30" s="358"/>
      <c r="FL30" s="358"/>
      <c r="FM30" s="358"/>
      <c r="FN30" s="135"/>
      <c r="FO30" s="1315"/>
      <c r="FP30" s="358"/>
      <c r="FQ30" s="358"/>
      <c r="FR30" s="358"/>
      <c r="FS30" s="151"/>
    </row>
    <row r="31" spans="1:175" x14ac:dyDescent="0.3">
      <c r="A31" s="110">
        <v>24</v>
      </c>
      <c r="B31" s="111" t="s">
        <v>395</v>
      </c>
      <c r="C31" s="112" t="s">
        <v>382</v>
      </c>
      <c r="D31" s="112" t="s">
        <v>254</v>
      </c>
      <c r="E31" s="439"/>
      <c r="F31" s="994"/>
      <c r="G31" s="358"/>
      <c r="H31" s="208">
        <f t="shared" si="50"/>
        <v>0</v>
      </c>
      <c r="I31" s="217"/>
      <c r="J31" s="113"/>
      <c r="K31" s="208"/>
      <c r="L31" s="208"/>
      <c r="M31" s="208">
        <f t="shared" si="51"/>
        <v>0</v>
      </c>
      <c r="N31" s="186"/>
      <c r="O31" s="113"/>
      <c r="P31" s="208"/>
      <c r="Q31" s="395"/>
      <c r="R31" s="208">
        <f t="shared" si="52"/>
        <v>0</v>
      </c>
      <c r="S31" s="169"/>
      <c r="T31" s="1312"/>
      <c r="U31" s="265"/>
      <c r="V31" s="265"/>
      <c r="W31" s="208">
        <f t="shared" si="53"/>
        <v>0</v>
      </c>
      <c r="X31" s="1313"/>
      <c r="Y31" s="113"/>
      <c r="Z31" s="208"/>
      <c r="AA31" s="208"/>
      <c r="AB31" s="208">
        <f t="shared" si="54"/>
        <v>0</v>
      </c>
      <c r="AC31" s="78"/>
      <c r="AD31" s="113"/>
      <c r="AE31" s="208"/>
      <c r="AF31" s="395"/>
      <c r="AG31" s="208">
        <f t="shared" si="55"/>
        <v>0</v>
      </c>
      <c r="AH31" s="94"/>
      <c r="AI31" s="113"/>
      <c r="AJ31" s="208"/>
      <c r="AK31" s="395"/>
      <c r="AL31" s="208">
        <f t="shared" si="56"/>
        <v>0</v>
      </c>
      <c r="AM31" s="78">
        <v>0</v>
      </c>
      <c r="AN31" s="113"/>
      <c r="AO31" s="208"/>
      <c r="AP31" s="395"/>
      <c r="AQ31" s="208">
        <f t="shared" si="44"/>
        <v>0</v>
      </c>
      <c r="AR31" s="157"/>
      <c r="AS31" s="113"/>
      <c r="AT31" s="208"/>
      <c r="AU31" s="395"/>
      <c r="AV31" s="208">
        <f t="shared" si="45"/>
        <v>0</v>
      </c>
      <c r="AW31" s="157"/>
      <c r="AX31" s="113"/>
      <c r="AY31" s="208"/>
      <c r="AZ31" s="208"/>
      <c r="BA31" s="208">
        <f t="shared" si="46"/>
        <v>0</v>
      </c>
      <c r="BB31" s="1561">
        <v>0</v>
      </c>
      <c r="BC31" s="583"/>
      <c r="BD31" s="395"/>
      <c r="BE31" s="395"/>
      <c r="BF31" s="208">
        <f t="shared" si="49"/>
        <v>0</v>
      </c>
      <c r="BG31" s="157"/>
      <c r="BH31" s="113"/>
      <c r="BI31" s="208"/>
      <c r="BJ31" s="208"/>
      <c r="BK31" s="208">
        <f t="shared" si="47"/>
        <v>0</v>
      </c>
      <c r="BL31" s="1581">
        <v>0</v>
      </c>
      <c r="BM31" s="1314"/>
      <c r="BN31" s="1310">
        <f t="shared" si="57"/>
        <v>0</v>
      </c>
      <c r="BO31" s="1310">
        <f t="shared" si="57"/>
        <v>0</v>
      </c>
      <c r="BP31" s="1310">
        <f t="shared" si="57"/>
        <v>0</v>
      </c>
      <c r="BQ31" s="220"/>
      <c r="BR31" s="607">
        <f>(E31+J31+O31)/3</f>
        <v>0</v>
      </c>
      <c r="BS31" s="137">
        <f>F31+K31+P31</f>
        <v>0</v>
      </c>
      <c r="BT31" s="137">
        <f>G31+L31+Q31</f>
        <v>0</v>
      </c>
      <c r="BU31" s="137">
        <f>H31+M31+R31</f>
        <v>0</v>
      </c>
      <c r="BV31" s="151"/>
      <c r="BW31" s="607">
        <f t="shared" si="60"/>
        <v>0</v>
      </c>
      <c r="BX31" s="137">
        <f t="shared" si="61"/>
        <v>0</v>
      </c>
      <c r="BY31" s="137">
        <f t="shared" si="61"/>
        <v>0</v>
      </c>
      <c r="BZ31" s="137">
        <f t="shared" si="61"/>
        <v>0</v>
      </c>
      <c r="CA31" s="135"/>
      <c r="CB31" s="607">
        <f>(AI31+AN31+AS31)/3</f>
        <v>0</v>
      </c>
      <c r="CC31" s="358">
        <f>AJ31+AO31+AT31</f>
        <v>0</v>
      </c>
      <c r="CD31" s="358">
        <f>AK31+AP31+AU31</f>
        <v>0</v>
      </c>
      <c r="CE31" s="358">
        <f>AL31+AQ31+AV31</f>
        <v>0</v>
      </c>
      <c r="CF31" s="135"/>
      <c r="CG31" s="1315">
        <f>(AX31+BC31+BH31)/3</f>
        <v>0</v>
      </c>
      <c r="CH31" s="358">
        <f>AY31+BD31+BI31</f>
        <v>0</v>
      </c>
      <c r="CI31" s="358">
        <f>AZ31+BE31+BJ31</f>
        <v>0</v>
      </c>
      <c r="CJ31" s="358">
        <f>BA31+BF31+BK31</f>
        <v>0</v>
      </c>
      <c r="CK31" s="151"/>
      <c r="CL31" s="79"/>
      <c r="CM31" s="439"/>
      <c r="CN31" s="208"/>
      <c r="CO31" s="208"/>
      <c r="CP31" s="208">
        <f t="shared" si="67"/>
        <v>0</v>
      </c>
      <c r="CQ31" s="3547">
        <v>0</v>
      </c>
      <c r="CR31" s="113"/>
      <c r="CS31" s="994"/>
      <c r="CT31" s="1327"/>
      <c r="CU31" s="208">
        <f t="shared" si="68"/>
        <v>0</v>
      </c>
      <c r="CV31" s="186"/>
      <c r="CW31" s="439"/>
      <c r="CX31" s="208"/>
      <c r="CY31" s="395">
        <v>0</v>
      </c>
      <c r="CZ31" s="208">
        <f t="shared" si="69"/>
        <v>0</v>
      </c>
      <c r="DA31" s="169"/>
      <c r="DB31" s="1312"/>
      <c r="DC31" s="265"/>
      <c r="DD31" s="265"/>
      <c r="DE31" s="208">
        <f t="shared" si="70"/>
        <v>0</v>
      </c>
      <c r="DF31" s="1313" t="e">
        <f t="shared" si="95"/>
        <v>#DIV/0!</v>
      </c>
      <c r="DG31" s="113"/>
      <c r="DH31" s="208"/>
      <c r="DI31" s="208"/>
      <c r="DJ31" s="208">
        <f t="shared" si="71"/>
        <v>0</v>
      </c>
      <c r="DK31" s="78" t="e">
        <f t="shared" si="97"/>
        <v>#DIV/0!</v>
      </c>
      <c r="DL31" s="113">
        <v>2</v>
      </c>
      <c r="DM31" s="208">
        <v>45566</v>
      </c>
      <c r="DN31" s="395"/>
      <c r="DO31" s="208">
        <f t="shared" si="72"/>
        <v>-45566</v>
      </c>
      <c r="DP31" s="94" t="e">
        <f t="shared" si="98"/>
        <v>#DIV/0!</v>
      </c>
      <c r="DQ31" s="113"/>
      <c r="DR31" s="208"/>
      <c r="DS31" s="395"/>
      <c r="DT31" s="208">
        <f t="shared" si="73"/>
        <v>0</v>
      </c>
      <c r="DU31" s="78" t="e">
        <f t="shared" si="74"/>
        <v>#DIV/0!</v>
      </c>
      <c r="DV31" s="113"/>
      <c r="DW31" s="208"/>
      <c r="DX31" s="395"/>
      <c r="DY31" s="208">
        <f t="shared" si="75"/>
        <v>0</v>
      </c>
      <c r="DZ31" s="157" t="e">
        <f t="shared" si="76"/>
        <v>#DIV/0!</v>
      </c>
      <c r="EA31" s="113"/>
      <c r="EB31" s="208"/>
      <c r="EC31" s="395"/>
      <c r="ED31" s="208">
        <f t="shared" si="77"/>
        <v>0</v>
      </c>
      <c r="EE31" s="157" t="e">
        <f t="shared" si="78"/>
        <v>#DIV/0!</v>
      </c>
      <c r="EF31" s="113"/>
      <c r="EG31" s="208"/>
      <c r="EH31" s="208"/>
      <c r="EI31" s="208">
        <f t="shared" si="79"/>
        <v>0</v>
      </c>
      <c r="EJ31" s="157" t="e">
        <f t="shared" si="80"/>
        <v>#DIV/0!</v>
      </c>
      <c r="EK31" s="583"/>
      <c r="EL31" s="395"/>
      <c r="EM31" s="395"/>
      <c r="EN31" s="208">
        <f t="shared" si="81"/>
        <v>0</v>
      </c>
      <c r="EO31" s="157"/>
      <c r="EP31" s="113"/>
      <c r="EQ31" s="208"/>
      <c r="ER31" s="208"/>
      <c r="ES31" s="208">
        <f t="shared" si="82"/>
        <v>0</v>
      </c>
      <c r="ET31" s="186" t="e">
        <f t="shared" si="96"/>
        <v>#DIV/0!</v>
      </c>
      <c r="EU31" s="1314"/>
      <c r="EV31" s="1310">
        <f t="shared" si="83"/>
        <v>45566</v>
      </c>
      <c r="EW31" s="1310">
        <f t="shared" si="83"/>
        <v>0</v>
      </c>
      <c r="EX31" s="1310">
        <f t="shared" si="83"/>
        <v>-45566</v>
      </c>
      <c r="EY31" s="220"/>
      <c r="EZ31" s="357">
        <f>(CM31+CR31+CW31)/3</f>
        <v>0</v>
      </c>
      <c r="FA31" s="137">
        <f>CN31+CS31+CX31</f>
        <v>0</v>
      </c>
      <c r="FB31" s="137">
        <f>CO31+CT31+CY31</f>
        <v>0</v>
      </c>
      <c r="FC31" s="137">
        <f>CP31+CU31+CZ31</f>
        <v>0</v>
      </c>
      <c r="FD31" s="151"/>
      <c r="FE31" s="607">
        <f t="shared" si="86"/>
        <v>0.66666666666666663</v>
      </c>
      <c r="FF31" s="137">
        <f t="shared" si="87"/>
        <v>45566</v>
      </c>
      <c r="FG31" s="137">
        <f t="shared" si="87"/>
        <v>0</v>
      </c>
      <c r="FH31" s="137">
        <f t="shared" si="87"/>
        <v>-45566</v>
      </c>
      <c r="FI31" s="135"/>
      <c r="FJ31" s="607">
        <f>(DQ31+DV31+EA31)/3</f>
        <v>0</v>
      </c>
      <c r="FK31" s="358">
        <f>DR31+DW31+EB31</f>
        <v>0</v>
      </c>
      <c r="FL31" s="358">
        <f>DS31+DX31+EC31</f>
        <v>0</v>
      </c>
      <c r="FM31" s="358">
        <f>DT31+DY31+ED31</f>
        <v>0</v>
      </c>
      <c r="FN31" s="135"/>
      <c r="FO31" s="1315">
        <f>(EF31+EK31+EP31)/3</f>
        <v>0</v>
      </c>
      <c r="FP31" s="358">
        <f>EG31+EL31+EQ31</f>
        <v>0</v>
      </c>
      <c r="FQ31" s="358">
        <f>EH31+EM31+ER31</f>
        <v>0</v>
      </c>
      <c r="FR31" s="358">
        <f>EI31+EN31+ES31</f>
        <v>0</v>
      </c>
      <c r="FS31" s="151"/>
    </row>
    <row r="32" spans="1:175" x14ac:dyDescent="0.3">
      <c r="A32" s="110">
        <v>25</v>
      </c>
      <c r="B32" s="111" t="s">
        <v>396</v>
      </c>
      <c r="C32" s="112" t="s">
        <v>141</v>
      </c>
      <c r="D32" s="112" t="s">
        <v>254</v>
      </c>
      <c r="E32" s="439"/>
      <c r="F32" s="994"/>
      <c r="G32" s="358"/>
      <c r="H32" s="208">
        <f t="shared" si="50"/>
        <v>0</v>
      </c>
      <c r="I32" s="217"/>
      <c r="J32" s="113"/>
      <c r="K32" s="208"/>
      <c r="L32" s="208"/>
      <c r="M32" s="208">
        <f t="shared" si="51"/>
        <v>0</v>
      </c>
      <c r="N32" s="186"/>
      <c r="O32" s="113"/>
      <c r="P32" s="208"/>
      <c r="Q32" s="395"/>
      <c r="R32" s="208">
        <f t="shared" si="52"/>
        <v>0</v>
      </c>
      <c r="S32" s="169"/>
      <c r="T32" s="1312"/>
      <c r="U32" s="265"/>
      <c r="V32" s="265"/>
      <c r="W32" s="208">
        <f t="shared" si="53"/>
        <v>0</v>
      </c>
      <c r="X32" s="1313"/>
      <c r="Y32" s="113"/>
      <c r="Z32" s="208"/>
      <c r="AA32" s="208"/>
      <c r="AB32" s="208">
        <f t="shared" si="54"/>
        <v>0</v>
      </c>
      <c r="AC32" s="78"/>
      <c r="AD32" s="113"/>
      <c r="AE32" s="208"/>
      <c r="AF32" s="395"/>
      <c r="AG32" s="208">
        <f t="shared" si="55"/>
        <v>0</v>
      </c>
      <c r="AH32" s="94"/>
      <c r="AI32" s="113"/>
      <c r="AJ32" s="208"/>
      <c r="AK32" s="395"/>
      <c r="AL32" s="208">
        <f t="shared" si="56"/>
        <v>0</v>
      </c>
      <c r="AM32" s="78"/>
      <c r="AN32" s="113"/>
      <c r="AO32" s="208"/>
      <c r="AP32" s="395"/>
      <c r="AQ32" s="208">
        <f t="shared" si="44"/>
        <v>0</v>
      </c>
      <c r="AR32" s="157"/>
      <c r="AS32" s="113"/>
      <c r="AT32" s="208"/>
      <c r="AU32" s="395"/>
      <c r="AV32" s="208">
        <f t="shared" si="45"/>
        <v>0</v>
      </c>
      <c r="AW32" s="157"/>
      <c r="AX32" s="113"/>
      <c r="AY32" s="208"/>
      <c r="AZ32" s="208"/>
      <c r="BA32" s="208">
        <f t="shared" si="46"/>
        <v>0</v>
      </c>
      <c r="BB32" s="1561">
        <v>0</v>
      </c>
      <c r="BC32" s="583"/>
      <c r="BD32" s="395"/>
      <c r="BE32" s="395"/>
      <c r="BF32" s="208">
        <f t="shared" si="49"/>
        <v>0</v>
      </c>
      <c r="BG32" s="157"/>
      <c r="BH32" s="113"/>
      <c r="BI32" s="208"/>
      <c r="BJ32" s="208"/>
      <c r="BK32" s="208">
        <f t="shared" si="47"/>
        <v>0</v>
      </c>
      <c r="BL32" s="1581">
        <v>0</v>
      </c>
      <c r="BM32" s="1314"/>
      <c r="BN32" s="1310">
        <f t="shared" si="57"/>
        <v>0</v>
      </c>
      <c r="BO32" s="1310">
        <f t="shared" si="57"/>
        <v>0</v>
      </c>
      <c r="BP32" s="1310">
        <f t="shared" si="57"/>
        <v>0</v>
      </c>
      <c r="BQ32" s="220"/>
      <c r="BR32" s="607"/>
      <c r="BS32" s="137"/>
      <c r="BT32" s="137"/>
      <c r="BU32" s="137"/>
      <c r="BV32" s="151"/>
      <c r="BW32" s="607">
        <f t="shared" si="60"/>
        <v>0</v>
      </c>
      <c r="BX32" s="137">
        <f t="shared" si="61"/>
        <v>0</v>
      </c>
      <c r="BY32" s="137">
        <f t="shared" si="61"/>
        <v>0</v>
      </c>
      <c r="BZ32" s="137">
        <f t="shared" si="61"/>
        <v>0</v>
      </c>
      <c r="CA32" s="135"/>
      <c r="CB32" s="607"/>
      <c r="CC32" s="358"/>
      <c r="CD32" s="358"/>
      <c r="CE32" s="358"/>
      <c r="CF32" s="135"/>
      <c r="CG32" s="1315"/>
      <c r="CH32" s="358"/>
      <c r="CI32" s="358"/>
      <c r="CJ32" s="358"/>
      <c r="CK32" s="151"/>
      <c r="CL32" s="79"/>
      <c r="CM32" s="439">
        <v>1</v>
      </c>
      <c r="CN32" s="208">
        <v>143053</v>
      </c>
      <c r="CO32" s="208">
        <v>216667</v>
      </c>
      <c r="CP32" s="208">
        <f t="shared" si="67"/>
        <v>73614</v>
      </c>
      <c r="CQ32" s="217">
        <f>CP32/CO32</f>
        <v>0.33975640037476867</v>
      </c>
      <c r="CR32" s="113"/>
      <c r="CS32" s="994"/>
      <c r="CT32" s="1327"/>
      <c r="CU32" s="208">
        <f t="shared" si="68"/>
        <v>0</v>
      </c>
      <c r="CV32" s="186"/>
      <c r="CW32" s="439"/>
      <c r="CX32" s="208"/>
      <c r="CY32" s="395">
        <v>0</v>
      </c>
      <c r="CZ32" s="208">
        <f t="shared" si="69"/>
        <v>0</v>
      </c>
      <c r="DA32" s="169"/>
      <c r="DB32" s="1312"/>
      <c r="DC32" s="265"/>
      <c r="DD32" s="265"/>
      <c r="DE32" s="208">
        <f t="shared" si="70"/>
        <v>0</v>
      </c>
      <c r="DF32" s="1313" t="e">
        <f t="shared" si="95"/>
        <v>#DIV/0!</v>
      </c>
      <c r="DG32" s="113"/>
      <c r="DH32" s="208"/>
      <c r="DI32" s="208"/>
      <c r="DJ32" s="208">
        <f t="shared" si="71"/>
        <v>0</v>
      </c>
      <c r="DK32" s="78" t="e">
        <f t="shared" si="97"/>
        <v>#DIV/0!</v>
      </c>
      <c r="DL32" s="113"/>
      <c r="DM32" s="208"/>
      <c r="DN32" s="395"/>
      <c r="DO32" s="208">
        <f t="shared" si="72"/>
        <v>0</v>
      </c>
      <c r="DP32" s="94" t="e">
        <f t="shared" si="98"/>
        <v>#DIV/0!</v>
      </c>
      <c r="DQ32" s="113"/>
      <c r="DR32" s="208"/>
      <c r="DS32" s="395"/>
      <c r="DT32" s="208">
        <f t="shared" si="73"/>
        <v>0</v>
      </c>
      <c r="DU32" s="78" t="e">
        <f t="shared" si="74"/>
        <v>#DIV/0!</v>
      </c>
      <c r="DV32" s="113"/>
      <c r="DW32" s="208"/>
      <c r="DX32" s="395"/>
      <c r="DY32" s="208">
        <f t="shared" si="75"/>
        <v>0</v>
      </c>
      <c r="DZ32" s="157" t="e">
        <f t="shared" si="76"/>
        <v>#DIV/0!</v>
      </c>
      <c r="EA32" s="113"/>
      <c r="EB32" s="208"/>
      <c r="EC32" s="395"/>
      <c r="ED32" s="208">
        <f t="shared" si="77"/>
        <v>0</v>
      </c>
      <c r="EE32" s="157" t="e">
        <f t="shared" si="78"/>
        <v>#DIV/0!</v>
      </c>
      <c r="EF32" s="113"/>
      <c r="EG32" s="208"/>
      <c r="EH32" s="208"/>
      <c r="EI32" s="208">
        <f t="shared" si="79"/>
        <v>0</v>
      </c>
      <c r="EJ32" s="157" t="e">
        <f t="shared" si="80"/>
        <v>#DIV/0!</v>
      </c>
      <c r="EK32" s="583"/>
      <c r="EL32" s="395"/>
      <c r="EM32" s="395"/>
      <c r="EN32" s="208">
        <f t="shared" si="81"/>
        <v>0</v>
      </c>
      <c r="EO32" s="157"/>
      <c r="EP32" s="113"/>
      <c r="EQ32" s="208"/>
      <c r="ER32" s="208"/>
      <c r="ES32" s="208">
        <f t="shared" si="82"/>
        <v>0</v>
      </c>
      <c r="ET32" s="186" t="e">
        <f t="shared" si="96"/>
        <v>#DIV/0!</v>
      </c>
      <c r="EU32" s="1314"/>
      <c r="EV32" s="1310">
        <f t="shared" si="83"/>
        <v>143053</v>
      </c>
      <c r="EW32" s="1310">
        <f t="shared" si="83"/>
        <v>216667</v>
      </c>
      <c r="EX32" s="1310">
        <f t="shared" si="83"/>
        <v>73614</v>
      </c>
      <c r="EY32" s="220"/>
      <c r="EZ32" s="357"/>
      <c r="FA32" s="137"/>
      <c r="FB32" s="137"/>
      <c r="FC32" s="137"/>
      <c r="FD32" s="151"/>
      <c r="FE32" s="607">
        <f t="shared" si="86"/>
        <v>0</v>
      </c>
      <c r="FF32" s="137">
        <f t="shared" si="87"/>
        <v>0</v>
      </c>
      <c r="FG32" s="137">
        <f t="shared" si="87"/>
        <v>0</v>
      </c>
      <c r="FH32" s="137">
        <f t="shared" si="87"/>
        <v>0</v>
      </c>
      <c r="FI32" s="135"/>
      <c r="FJ32" s="607"/>
      <c r="FK32" s="358"/>
      <c r="FL32" s="358"/>
      <c r="FM32" s="358"/>
      <c r="FN32" s="135"/>
      <c r="FO32" s="1315"/>
      <c r="FP32" s="358"/>
      <c r="FQ32" s="358"/>
      <c r="FR32" s="358"/>
      <c r="FS32" s="151"/>
    </row>
    <row r="33" spans="1:175" x14ac:dyDescent="0.3">
      <c r="A33" s="110">
        <v>26</v>
      </c>
      <c r="B33" s="111" t="s">
        <v>397</v>
      </c>
      <c r="C33" s="112" t="s">
        <v>141</v>
      </c>
      <c r="D33" s="112" t="s">
        <v>254</v>
      </c>
      <c r="E33" s="439"/>
      <c r="F33" s="994"/>
      <c r="G33" s="358"/>
      <c r="H33" s="208">
        <f t="shared" si="50"/>
        <v>0</v>
      </c>
      <c r="I33" s="217"/>
      <c r="J33" s="113"/>
      <c r="K33" s="208"/>
      <c r="L33" s="208"/>
      <c r="M33" s="208">
        <f t="shared" si="51"/>
        <v>0</v>
      </c>
      <c r="N33" s="186"/>
      <c r="O33" s="113"/>
      <c r="P33" s="208"/>
      <c r="Q33" s="395"/>
      <c r="R33" s="208">
        <f t="shared" si="52"/>
        <v>0</v>
      </c>
      <c r="S33" s="169"/>
      <c r="T33" s="1312"/>
      <c r="U33" s="265"/>
      <c r="V33" s="265"/>
      <c r="W33" s="208">
        <f t="shared" si="53"/>
        <v>0</v>
      </c>
      <c r="X33" s="1313"/>
      <c r="Y33" s="113"/>
      <c r="Z33" s="208"/>
      <c r="AA33" s="208"/>
      <c r="AB33" s="208">
        <f t="shared" si="54"/>
        <v>0</v>
      </c>
      <c r="AC33" s="78"/>
      <c r="AD33" s="113"/>
      <c r="AE33" s="208"/>
      <c r="AF33" s="395"/>
      <c r="AG33" s="208">
        <f t="shared" si="55"/>
        <v>0</v>
      </c>
      <c r="AH33" s="94"/>
      <c r="AI33" s="113"/>
      <c r="AJ33" s="208"/>
      <c r="AK33" s="395"/>
      <c r="AL33" s="208">
        <f t="shared" si="56"/>
        <v>0</v>
      </c>
      <c r="AM33" s="78"/>
      <c r="AN33" s="113"/>
      <c r="AO33" s="208"/>
      <c r="AP33" s="395"/>
      <c r="AQ33" s="208">
        <f t="shared" si="44"/>
        <v>0</v>
      </c>
      <c r="AR33" s="157"/>
      <c r="AS33" s="113"/>
      <c r="AT33" s="208"/>
      <c r="AU33" s="395"/>
      <c r="AV33" s="208">
        <f t="shared" si="45"/>
        <v>0</v>
      </c>
      <c r="AW33" s="157"/>
      <c r="AX33" s="113"/>
      <c r="AY33" s="208"/>
      <c r="AZ33" s="208"/>
      <c r="BA33" s="208">
        <f t="shared" si="46"/>
        <v>0</v>
      </c>
      <c r="BB33" s="1561">
        <v>0</v>
      </c>
      <c r="BC33" s="583"/>
      <c r="BD33" s="395"/>
      <c r="BE33" s="395"/>
      <c r="BF33" s="208">
        <f t="shared" si="49"/>
        <v>0</v>
      </c>
      <c r="BG33" s="157"/>
      <c r="BH33" s="113"/>
      <c r="BI33" s="208"/>
      <c r="BJ33" s="208"/>
      <c r="BK33" s="208">
        <f t="shared" si="47"/>
        <v>0</v>
      </c>
      <c r="BL33" s="1581">
        <v>0</v>
      </c>
      <c r="BM33" s="1314"/>
      <c r="BN33" s="1310">
        <f t="shared" si="57"/>
        <v>0</v>
      </c>
      <c r="BO33" s="1310">
        <f t="shared" si="57"/>
        <v>0</v>
      </c>
      <c r="BP33" s="1310">
        <f t="shared" si="57"/>
        <v>0</v>
      </c>
      <c r="BQ33" s="220"/>
      <c r="BR33" s="607"/>
      <c r="BS33" s="137"/>
      <c r="BT33" s="137"/>
      <c r="BU33" s="137"/>
      <c r="BV33" s="151"/>
      <c r="BW33" s="607">
        <f t="shared" si="60"/>
        <v>0</v>
      </c>
      <c r="BX33" s="137">
        <f t="shared" si="61"/>
        <v>0</v>
      </c>
      <c r="BY33" s="137">
        <f t="shared" si="61"/>
        <v>0</v>
      </c>
      <c r="BZ33" s="137">
        <f t="shared" si="61"/>
        <v>0</v>
      </c>
      <c r="CA33" s="135"/>
      <c r="CB33" s="607"/>
      <c r="CC33" s="358"/>
      <c r="CD33" s="358"/>
      <c r="CE33" s="358"/>
      <c r="CF33" s="135"/>
      <c r="CG33" s="1315"/>
      <c r="CH33" s="358"/>
      <c r="CI33" s="358"/>
      <c r="CJ33" s="358"/>
      <c r="CK33" s="151"/>
      <c r="CL33" s="79"/>
      <c r="CM33" s="439"/>
      <c r="CN33" s="208"/>
      <c r="CO33" s="208"/>
      <c r="CP33" s="208">
        <f t="shared" si="67"/>
        <v>0</v>
      </c>
      <c r="CQ33" s="3547">
        <v>0</v>
      </c>
      <c r="CR33" s="113"/>
      <c r="CS33" s="994"/>
      <c r="CT33" s="1327"/>
      <c r="CU33" s="208">
        <f t="shared" si="68"/>
        <v>0</v>
      </c>
      <c r="CV33" s="186"/>
      <c r="CW33" s="439"/>
      <c r="CX33" s="208"/>
      <c r="CY33" s="395">
        <v>0</v>
      </c>
      <c r="CZ33" s="208">
        <f t="shared" si="69"/>
        <v>0</v>
      </c>
      <c r="DA33" s="169"/>
      <c r="DB33" s="1312"/>
      <c r="DC33" s="265"/>
      <c r="DD33" s="265"/>
      <c r="DE33" s="208">
        <f t="shared" si="70"/>
        <v>0</v>
      </c>
      <c r="DF33" s="1313" t="e">
        <f t="shared" si="95"/>
        <v>#DIV/0!</v>
      </c>
      <c r="DG33" s="113"/>
      <c r="DH33" s="208"/>
      <c r="DI33" s="208"/>
      <c r="DJ33" s="208">
        <f t="shared" si="71"/>
        <v>0</v>
      </c>
      <c r="DK33" s="78" t="e">
        <f t="shared" si="97"/>
        <v>#DIV/0!</v>
      </c>
      <c r="DL33" s="113"/>
      <c r="DM33" s="208"/>
      <c r="DN33" s="395"/>
      <c r="DO33" s="208">
        <f t="shared" si="72"/>
        <v>0</v>
      </c>
      <c r="DP33" s="94" t="e">
        <f t="shared" si="98"/>
        <v>#DIV/0!</v>
      </c>
      <c r="DQ33" s="113"/>
      <c r="DR33" s="208"/>
      <c r="DS33" s="395"/>
      <c r="DT33" s="208">
        <f t="shared" si="73"/>
        <v>0</v>
      </c>
      <c r="DU33" s="78" t="e">
        <f t="shared" si="74"/>
        <v>#DIV/0!</v>
      </c>
      <c r="DV33" s="113"/>
      <c r="DW33" s="208"/>
      <c r="DX33" s="395"/>
      <c r="DY33" s="208">
        <f t="shared" si="75"/>
        <v>0</v>
      </c>
      <c r="DZ33" s="157" t="e">
        <f t="shared" si="76"/>
        <v>#DIV/0!</v>
      </c>
      <c r="EA33" s="113"/>
      <c r="EB33" s="208"/>
      <c r="EC33" s="395"/>
      <c r="ED33" s="208">
        <f t="shared" si="77"/>
        <v>0</v>
      </c>
      <c r="EE33" s="157" t="e">
        <f t="shared" si="78"/>
        <v>#DIV/0!</v>
      </c>
      <c r="EF33" s="113"/>
      <c r="EG33" s="208"/>
      <c r="EH33" s="208"/>
      <c r="EI33" s="208">
        <f t="shared" si="79"/>
        <v>0</v>
      </c>
      <c r="EJ33" s="157" t="e">
        <f t="shared" si="80"/>
        <v>#DIV/0!</v>
      </c>
      <c r="EK33" s="583"/>
      <c r="EL33" s="395"/>
      <c r="EM33" s="395"/>
      <c r="EN33" s="208">
        <f t="shared" si="81"/>
        <v>0</v>
      </c>
      <c r="EO33" s="157"/>
      <c r="EP33" s="113"/>
      <c r="EQ33" s="208"/>
      <c r="ER33" s="208"/>
      <c r="ES33" s="208">
        <f t="shared" si="82"/>
        <v>0</v>
      </c>
      <c r="ET33" s="186" t="e">
        <f t="shared" si="96"/>
        <v>#DIV/0!</v>
      </c>
      <c r="EU33" s="1314"/>
      <c r="EV33" s="1310">
        <f t="shared" si="83"/>
        <v>0</v>
      </c>
      <c r="EW33" s="1310">
        <f t="shared" si="83"/>
        <v>0</v>
      </c>
      <c r="EX33" s="1310">
        <f t="shared" si="83"/>
        <v>0</v>
      </c>
      <c r="EY33" s="220"/>
      <c r="EZ33" s="357"/>
      <c r="FA33" s="137"/>
      <c r="FB33" s="137"/>
      <c r="FC33" s="137"/>
      <c r="FD33" s="151"/>
      <c r="FE33" s="607">
        <f t="shared" si="86"/>
        <v>0</v>
      </c>
      <c r="FF33" s="137">
        <f t="shared" si="87"/>
        <v>0</v>
      </c>
      <c r="FG33" s="137">
        <f t="shared" si="87"/>
        <v>0</v>
      </c>
      <c r="FH33" s="137">
        <f t="shared" si="87"/>
        <v>0</v>
      </c>
      <c r="FI33" s="135"/>
      <c r="FJ33" s="607"/>
      <c r="FK33" s="358"/>
      <c r="FL33" s="358"/>
      <c r="FM33" s="358"/>
      <c r="FN33" s="135"/>
      <c r="FO33" s="1315"/>
      <c r="FP33" s="358"/>
      <c r="FQ33" s="358"/>
      <c r="FR33" s="358"/>
      <c r="FS33" s="151"/>
    </row>
    <row r="34" spans="1:175" x14ac:dyDescent="0.3">
      <c r="A34" s="110">
        <v>27</v>
      </c>
      <c r="B34" s="111" t="s">
        <v>393</v>
      </c>
      <c r="C34" s="112" t="s">
        <v>144</v>
      </c>
      <c r="D34" s="112" t="s">
        <v>254</v>
      </c>
      <c r="E34" s="439"/>
      <c r="F34" s="208"/>
      <c r="G34" s="208"/>
      <c r="H34" s="208">
        <f t="shared" si="50"/>
        <v>0</v>
      </c>
      <c r="I34" s="217"/>
      <c r="J34" s="113"/>
      <c r="K34" s="208"/>
      <c r="L34" s="395"/>
      <c r="M34" s="208">
        <f t="shared" si="51"/>
        <v>0</v>
      </c>
      <c r="N34" s="186"/>
      <c r="O34" s="113"/>
      <c r="P34" s="208"/>
      <c r="Q34" s="395"/>
      <c r="R34" s="208">
        <f t="shared" si="52"/>
        <v>0</v>
      </c>
      <c r="S34" s="169"/>
      <c r="T34" s="1325">
        <v>1</v>
      </c>
      <c r="U34" s="1317">
        <v>188621</v>
      </c>
      <c r="V34" s="1317">
        <v>222857.14</v>
      </c>
      <c r="W34" s="208">
        <f t="shared" si="53"/>
        <v>34236.140000000014</v>
      </c>
      <c r="X34" s="1313">
        <f>W34/V34</f>
        <v>0.1536237070977399</v>
      </c>
      <c r="Y34" s="113"/>
      <c r="Z34" s="208"/>
      <c r="AA34" s="208"/>
      <c r="AB34" s="208">
        <f t="shared" si="54"/>
        <v>0</v>
      </c>
      <c r="AC34" s="78"/>
      <c r="AD34" s="113"/>
      <c r="AE34" s="208"/>
      <c r="AF34" s="208"/>
      <c r="AG34" s="208">
        <f t="shared" si="55"/>
        <v>0</v>
      </c>
      <c r="AH34" s="94"/>
      <c r="AI34" s="113"/>
      <c r="AJ34" s="208"/>
      <c r="AK34" s="395"/>
      <c r="AL34" s="208">
        <f t="shared" si="56"/>
        <v>0</v>
      </c>
      <c r="AM34" s="78"/>
      <c r="AN34" s="113"/>
      <c r="AO34" s="208"/>
      <c r="AP34" s="208"/>
      <c r="AQ34" s="208">
        <f t="shared" si="44"/>
        <v>0</v>
      </c>
      <c r="AR34" s="157"/>
      <c r="AS34" s="209"/>
      <c r="AT34" s="208"/>
      <c r="AU34" s="208"/>
      <c r="AV34" s="208">
        <f t="shared" si="45"/>
        <v>0</v>
      </c>
      <c r="AW34" s="157"/>
      <c r="AX34" s="113"/>
      <c r="AY34" s="208"/>
      <c r="AZ34" s="208"/>
      <c r="BA34" s="208">
        <f t="shared" si="46"/>
        <v>0</v>
      </c>
      <c r="BB34" s="1561">
        <v>0</v>
      </c>
      <c r="BC34" s="583"/>
      <c r="BD34" s="395"/>
      <c r="BE34" s="395"/>
      <c r="BF34" s="208">
        <f t="shared" si="49"/>
        <v>0</v>
      </c>
      <c r="BG34" s="157"/>
      <c r="BH34" s="113"/>
      <c r="BI34" s="208"/>
      <c r="BJ34" s="208"/>
      <c r="BK34" s="208">
        <f t="shared" si="47"/>
        <v>0</v>
      </c>
      <c r="BL34" s="1581">
        <v>0</v>
      </c>
      <c r="BM34" s="1314"/>
      <c r="BN34" s="1310">
        <f t="shared" si="57"/>
        <v>188621</v>
      </c>
      <c r="BO34" s="1310">
        <f t="shared" si="57"/>
        <v>222857.14</v>
      </c>
      <c r="BP34" s="1310">
        <f t="shared" si="57"/>
        <v>34236.140000000014</v>
      </c>
      <c r="BQ34" s="220">
        <f t="shared" si="8"/>
        <v>0.1536237070977399</v>
      </c>
      <c r="BR34" s="607">
        <f>(E34+J34+O34)/3</f>
        <v>0</v>
      </c>
      <c r="BS34" s="137">
        <f>F34+K34+P34</f>
        <v>0</v>
      </c>
      <c r="BT34" s="137">
        <f>G34+L34+Q34</f>
        <v>0</v>
      </c>
      <c r="BU34" s="137">
        <f>H34+M34+R34</f>
        <v>0</v>
      </c>
      <c r="BV34" s="151"/>
      <c r="BW34" s="607">
        <f t="shared" si="60"/>
        <v>0.33333333333333331</v>
      </c>
      <c r="BX34" s="137">
        <f t="shared" si="61"/>
        <v>188621</v>
      </c>
      <c r="BY34" s="137">
        <f t="shared" si="61"/>
        <v>222857.14</v>
      </c>
      <c r="BZ34" s="137">
        <f t="shared" si="61"/>
        <v>34236.140000000014</v>
      </c>
      <c r="CA34" s="135"/>
      <c r="CB34" s="607"/>
      <c r="CC34" s="358"/>
      <c r="CD34" s="358"/>
      <c r="CE34" s="358"/>
      <c r="CF34" s="135"/>
      <c r="CG34" s="1315">
        <f>(AX34+BC34+BH34)/3</f>
        <v>0</v>
      </c>
      <c r="CH34" s="358">
        <f>AY34+BD34+BI34</f>
        <v>0</v>
      </c>
      <c r="CI34" s="358">
        <f>AZ34+BE34+BJ34</f>
        <v>0</v>
      </c>
      <c r="CJ34" s="358">
        <f>BA34+BF34+BK34</f>
        <v>0</v>
      </c>
      <c r="CK34" s="151" t="e">
        <f>CJ34/CI34</f>
        <v>#DIV/0!</v>
      </c>
      <c r="CL34" s="79"/>
      <c r="CM34" s="439"/>
      <c r="CN34" s="208"/>
      <c r="CO34" s="208"/>
      <c r="CP34" s="208">
        <f t="shared" si="67"/>
        <v>0</v>
      </c>
      <c r="CQ34" s="3547">
        <v>0</v>
      </c>
      <c r="CR34" s="113"/>
      <c r="CS34" s="994"/>
      <c r="CT34" s="1327"/>
      <c r="CU34" s="208">
        <f t="shared" si="68"/>
        <v>0</v>
      </c>
      <c r="CV34" s="186"/>
      <c r="CW34" s="439">
        <v>1</v>
      </c>
      <c r="CX34" s="208">
        <v>89929</v>
      </c>
      <c r="CY34" s="395">
        <v>123500</v>
      </c>
      <c r="CZ34" s="208">
        <f t="shared" si="69"/>
        <v>33571</v>
      </c>
      <c r="DA34" s="169">
        <f>CZ34/CY34</f>
        <v>0.27182995951417005</v>
      </c>
      <c r="DB34" s="1325"/>
      <c r="DC34" s="1317"/>
      <c r="DD34" s="1317"/>
      <c r="DE34" s="208">
        <f t="shared" si="70"/>
        <v>0</v>
      </c>
      <c r="DF34" s="1313" t="e">
        <f t="shared" si="95"/>
        <v>#DIV/0!</v>
      </c>
      <c r="DG34" s="113"/>
      <c r="DH34" s="208"/>
      <c r="DI34" s="208"/>
      <c r="DJ34" s="208">
        <f t="shared" si="71"/>
        <v>0</v>
      </c>
      <c r="DK34" s="78" t="e">
        <f t="shared" si="97"/>
        <v>#DIV/0!</v>
      </c>
      <c r="DL34" s="113"/>
      <c r="DM34" s="208"/>
      <c r="DN34" s="208"/>
      <c r="DO34" s="208">
        <f t="shared" si="72"/>
        <v>0</v>
      </c>
      <c r="DP34" s="94" t="e">
        <f t="shared" si="98"/>
        <v>#DIV/0!</v>
      </c>
      <c r="DQ34" s="113"/>
      <c r="DR34" s="208"/>
      <c r="DS34" s="395"/>
      <c r="DT34" s="208">
        <f t="shared" si="73"/>
        <v>0</v>
      </c>
      <c r="DU34" s="78" t="e">
        <f t="shared" si="74"/>
        <v>#DIV/0!</v>
      </c>
      <c r="DV34" s="113"/>
      <c r="DW34" s="208"/>
      <c r="DX34" s="208"/>
      <c r="DY34" s="208">
        <f t="shared" si="75"/>
        <v>0</v>
      </c>
      <c r="DZ34" s="157" t="e">
        <f t="shared" si="76"/>
        <v>#DIV/0!</v>
      </c>
      <c r="EA34" s="209"/>
      <c r="EB34" s="208"/>
      <c r="EC34" s="208"/>
      <c r="ED34" s="208">
        <f t="shared" si="77"/>
        <v>0</v>
      </c>
      <c r="EE34" s="157" t="e">
        <f t="shared" si="78"/>
        <v>#DIV/0!</v>
      </c>
      <c r="EF34" s="113"/>
      <c r="EG34" s="208"/>
      <c r="EH34" s="208"/>
      <c r="EI34" s="208">
        <f t="shared" si="79"/>
        <v>0</v>
      </c>
      <c r="EJ34" s="157" t="e">
        <f t="shared" si="80"/>
        <v>#DIV/0!</v>
      </c>
      <c r="EK34" s="583"/>
      <c r="EL34" s="395"/>
      <c r="EM34" s="395"/>
      <c r="EN34" s="208">
        <f t="shared" si="81"/>
        <v>0</v>
      </c>
      <c r="EO34" s="157"/>
      <c r="EP34" s="113"/>
      <c r="EQ34" s="208"/>
      <c r="ER34" s="208"/>
      <c r="ES34" s="208">
        <f t="shared" si="82"/>
        <v>0</v>
      </c>
      <c r="ET34" s="186" t="e">
        <f t="shared" si="96"/>
        <v>#DIV/0!</v>
      </c>
      <c r="EU34" s="1314"/>
      <c r="EV34" s="1310">
        <f t="shared" si="83"/>
        <v>89929</v>
      </c>
      <c r="EW34" s="1310">
        <f t="shared" si="83"/>
        <v>123500</v>
      </c>
      <c r="EX34" s="1310">
        <f t="shared" si="83"/>
        <v>33571</v>
      </c>
      <c r="EY34" s="220">
        <f>EX34/EW34</f>
        <v>0.27182995951417005</v>
      </c>
      <c r="EZ34" s="357">
        <f>(CM34+CR34+CW34)/3</f>
        <v>0.33333333333333331</v>
      </c>
      <c r="FA34" s="137">
        <f>CN34+CS34+CX34</f>
        <v>89929</v>
      </c>
      <c r="FB34" s="137">
        <f>CO34+CT34+CY34</f>
        <v>123500</v>
      </c>
      <c r="FC34" s="137">
        <f>CP34+CU34+CZ34</f>
        <v>33571</v>
      </c>
      <c r="FD34" s="151"/>
      <c r="FE34" s="607">
        <f t="shared" si="86"/>
        <v>0</v>
      </c>
      <c r="FF34" s="137">
        <f t="shared" si="87"/>
        <v>0</v>
      </c>
      <c r="FG34" s="137">
        <f t="shared" si="87"/>
        <v>0</v>
      </c>
      <c r="FH34" s="137">
        <f t="shared" si="87"/>
        <v>0</v>
      </c>
      <c r="FI34" s="135"/>
      <c r="FJ34" s="607"/>
      <c r="FK34" s="358"/>
      <c r="FL34" s="358"/>
      <c r="FM34" s="358"/>
      <c r="FN34" s="135"/>
      <c r="FO34" s="1315">
        <f>(EF34+EK34+EP34)/3</f>
        <v>0</v>
      </c>
      <c r="FP34" s="358">
        <f>EG34+EL34+EQ34</f>
        <v>0</v>
      </c>
      <c r="FQ34" s="358">
        <f>EH34+EM34+ER34</f>
        <v>0</v>
      </c>
      <c r="FR34" s="358">
        <f>EI34+EN34+ES34</f>
        <v>0</v>
      </c>
      <c r="FS34" s="151" t="e">
        <f>FR34/FQ34</f>
        <v>#DIV/0!</v>
      </c>
    </row>
    <row r="35" spans="1:175" x14ac:dyDescent="0.3">
      <c r="A35" s="1582">
        <v>28</v>
      </c>
      <c r="B35" s="662" t="s">
        <v>1084</v>
      </c>
      <c r="C35" s="1583"/>
      <c r="D35" s="1583"/>
      <c r="E35" s="440"/>
      <c r="F35" s="1585"/>
      <c r="G35" s="1585"/>
      <c r="H35" s="435"/>
      <c r="I35" s="1586"/>
      <c r="J35" s="667"/>
      <c r="K35" s="435"/>
      <c r="L35" s="436"/>
      <c r="M35" s="435"/>
      <c r="N35" s="1588"/>
      <c r="O35" s="667"/>
      <c r="P35" s="435"/>
      <c r="Q35" s="436"/>
      <c r="R35" s="435"/>
      <c r="S35" s="1589"/>
      <c r="T35" s="1590"/>
      <c r="U35" s="1592"/>
      <c r="V35" s="1592"/>
      <c r="W35" s="435"/>
      <c r="X35" s="1593"/>
      <c r="Y35" s="667"/>
      <c r="Z35" s="435"/>
      <c r="AA35" s="435"/>
      <c r="AB35" s="435"/>
      <c r="AC35" s="461"/>
      <c r="AD35" s="667"/>
      <c r="AE35" s="435"/>
      <c r="AF35" s="435"/>
      <c r="AG35" s="435"/>
      <c r="AH35" s="225"/>
      <c r="AI35" s="667"/>
      <c r="AJ35" s="435"/>
      <c r="AK35" s="436"/>
      <c r="AL35" s="435"/>
      <c r="AM35" s="461"/>
      <c r="AN35" s="667"/>
      <c r="AO35" s="435"/>
      <c r="AP35" s="435"/>
      <c r="AQ35" s="435"/>
      <c r="AR35" s="1595"/>
      <c r="AS35" s="1596"/>
      <c r="AT35" s="435"/>
      <c r="AU35" s="435"/>
      <c r="AV35" s="435"/>
      <c r="AW35" s="1595"/>
      <c r="AX35" s="667"/>
      <c r="AY35" s="435"/>
      <c r="AZ35" s="435"/>
      <c r="BA35" s="435"/>
      <c r="BB35" s="1597"/>
      <c r="BC35" s="1594"/>
      <c r="BD35" s="436"/>
      <c r="BE35" s="436"/>
      <c r="BF35" s="435"/>
      <c r="BG35" s="1595"/>
      <c r="BH35" s="667"/>
      <c r="BI35" s="435"/>
      <c r="BJ35" s="435"/>
      <c r="BK35" s="435"/>
      <c r="BL35" s="1615"/>
      <c r="BM35" s="1598"/>
      <c r="BN35" s="1599"/>
      <c r="BO35" s="1599"/>
      <c r="BP35" s="1599"/>
      <c r="BQ35" s="1600"/>
      <c r="BR35" s="607"/>
      <c r="BS35" s="137"/>
      <c r="BT35" s="137"/>
      <c r="BU35" s="137"/>
      <c r="BV35" s="151"/>
      <c r="BW35" s="607"/>
      <c r="BX35" s="137"/>
      <c r="BY35" s="137"/>
      <c r="BZ35" s="137"/>
      <c r="CA35" s="135"/>
      <c r="CB35" s="607"/>
      <c r="CC35" s="358"/>
      <c r="CD35" s="358"/>
      <c r="CE35" s="358"/>
      <c r="CF35" s="135"/>
      <c r="CG35" s="1315"/>
      <c r="CH35" s="358"/>
      <c r="CI35" s="358"/>
      <c r="CJ35" s="358"/>
      <c r="CK35" s="151"/>
      <c r="CL35" s="79"/>
      <c r="CM35" s="440"/>
      <c r="CN35" s="435"/>
      <c r="CO35" s="435"/>
      <c r="CP35" s="435"/>
      <c r="CQ35" s="3739"/>
      <c r="CR35" s="113"/>
      <c r="CS35" s="994"/>
      <c r="CT35" s="1327"/>
      <c r="CU35" s="435"/>
      <c r="CV35" s="1588"/>
      <c r="CW35" s="440"/>
      <c r="CX35" s="435"/>
      <c r="CY35" s="436"/>
      <c r="CZ35" s="435"/>
      <c r="DA35" s="1589"/>
      <c r="DB35" s="1590"/>
      <c r="DC35" s="1592"/>
      <c r="DD35" s="1592"/>
      <c r="DE35" s="435"/>
      <c r="DF35" s="1313" t="e">
        <f t="shared" si="95"/>
        <v>#DIV/0!</v>
      </c>
      <c r="DG35" s="667"/>
      <c r="DH35" s="435"/>
      <c r="DI35" s="435"/>
      <c r="DJ35" s="435"/>
      <c r="DK35" s="461"/>
      <c r="DL35" s="667">
        <v>1</v>
      </c>
      <c r="DM35" s="435">
        <v>36083</v>
      </c>
      <c r="DN35" s="435"/>
      <c r="DO35" s="208">
        <f t="shared" si="72"/>
        <v>-36083</v>
      </c>
      <c r="DP35" s="94" t="e">
        <f t="shared" si="98"/>
        <v>#DIV/0!</v>
      </c>
      <c r="DQ35" s="667"/>
      <c r="DR35" s="435"/>
      <c r="DS35" s="436"/>
      <c r="DT35" s="435"/>
      <c r="DU35" s="461"/>
      <c r="DV35" s="667"/>
      <c r="DW35" s="435"/>
      <c r="DX35" s="435"/>
      <c r="DY35" s="435"/>
      <c r="DZ35" s="1595"/>
      <c r="EA35" s="1596"/>
      <c r="EB35" s="435"/>
      <c r="EC35" s="435"/>
      <c r="ED35" s="435"/>
      <c r="EE35" s="1595"/>
      <c r="EF35" s="667"/>
      <c r="EG35" s="435"/>
      <c r="EH35" s="435"/>
      <c r="EI35" s="435"/>
      <c r="EJ35" s="1595"/>
      <c r="EK35" s="1594"/>
      <c r="EL35" s="436"/>
      <c r="EM35" s="436"/>
      <c r="EN35" s="435"/>
      <c r="EO35" s="1595"/>
      <c r="EP35" s="667"/>
      <c r="EQ35" s="435"/>
      <c r="ER35" s="435"/>
      <c r="ES35" s="435"/>
      <c r="ET35" s="1588"/>
      <c r="EU35" s="1598"/>
      <c r="EV35" s="1599"/>
      <c r="EW35" s="1599"/>
      <c r="EX35" s="1599"/>
      <c r="EY35" s="1600"/>
      <c r="EZ35" s="357"/>
      <c r="FA35" s="137"/>
      <c r="FB35" s="137"/>
      <c r="FC35" s="137"/>
      <c r="FD35" s="151"/>
      <c r="FE35" s="607"/>
      <c r="FF35" s="137"/>
      <c r="FG35" s="137"/>
      <c r="FH35" s="137"/>
      <c r="FI35" s="135"/>
      <c r="FJ35" s="607"/>
      <c r="FK35" s="358"/>
      <c r="FL35" s="358"/>
      <c r="FM35" s="358"/>
      <c r="FN35" s="135"/>
      <c r="FO35" s="1315"/>
      <c r="FP35" s="358"/>
      <c r="FQ35" s="358"/>
      <c r="FR35" s="358"/>
      <c r="FS35" s="151"/>
    </row>
    <row r="36" spans="1:175" x14ac:dyDescent="0.3">
      <c r="A36" s="1582"/>
      <c r="B36" s="662"/>
      <c r="C36" s="1583"/>
      <c r="D36" s="1583"/>
      <c r="E36" s="440"/>
      <c r="F36" s="1585"/>
      <c r="G36" s="1585"/>
      <c r="H36" s="435"/>
      <c r="I36" s="1586"/>
      <c r="J36" s="667"/>
      <c r="K36" s="435"/>
      <c r="L36" s="436"/>
      <c r="M36" s="435"/>
      <c r="N36" s="1588"/>
      <c r="O36" s="667"/>
      <c r="P36" s="435"/>
      <c r="Q36" s="436"/>
      <c r="R36" s="435"/>
      <c r="S36" s="1589"/>
      <c r="T36" s="1590"/>
      <c r="U36" s="1592"/>
      <c r="V36" s="1592"/>
      <c r="W36" s="435"/>
      <c r="X36" s="1593"/>
      <c r="Y36" s="667"/>
      <c r="Z36" s="435"/>
      <c r="AA36" s="435"/>
      <c r="AB36" s="435"/>
      <c r="AC36" s="461"/>
      <c r="AD36" s="667"/>
      <c r="AE36" s="435"/>
      <c r="AF36" s="435"/>
      <c r="AG36" s="435"/>
      <c r="AH36" s="225"/>
      <c r="AI36" s="667"/>
      <c r="AJ36" s="435"/>
      <c r="AK36" s="436"/>
      <c r="AL36" s="435"/>
      <c r="AM36" s="461"/>
      <c r="AN36" s="667"/>
      <c r="AO36" s="435"/>
      <c r="AP36" s="435"/>
      <c r="AQ36" s="435"/>
      <c r="AR36" s="1595"/>
      <c r="AS36" s="1596"/>
      <c r="AT36" s="435"/>
      <c r="AU36" s="435"/>
      <c r="AV36" s="435"/>
      <c r="AW36" s="1595"/>
      <c r="AX36" s="667"/>
      <c r="AY36" s="435"/>
      <c r="AZ36" s="435"/>
      <c r="BA36" s="435"/>
      <c r="BB36" s="1597"/>
      <c r="BC36" s="1594"/>
      <c r="BD36" s="436"/>
      <c r="BE36" s="436"/>
      <c r="BF36" s="435"/>
      <c r="BG36" s="1595"/>
      <c r="BH36" s="667"/>
      <c r="BI36" s="435"/>
      <c r="BJ36" s="435"/>
      <c r="BK36" s="435"/>
      <c r="BL36" s="1615"/>
      <c r="BM36" s="1598"/>
      <c r="BN36" s="1599"/>
      <c r="BO36" s="1599"/>
      <c r="BP36" s="1599"/>
      <c r="BQ36" s="1600"/>
      <c r="BR36" s="607"/>
      <c r="BS36" s="137"/>
      <c r="BT36" s="137"/>
      <c r="BU36" s="137"/>
      <c r="BV36" s="151"/>
      <c r="BW36" s="607"/>
      <c r="BX36" s="137"/>
      <c r="BY36" s="137"/>
      <c r="BZ36" s="137"/>
      <c r="CA36" s="135"/>
      <c r="CB36" s="607"/>
      <c r="CC36" s="358"/>
      <c r="CD36" s="358"/>
      <c r="CE36" s="358"/>
      <c r="CF36" s="135"/>
      <c r="CG36" s="1315"/>
      <c r="CH36" s="358"/>
      <c r="CI36" s="358"/>
      <c r="CJ36" s="358"/>
      <c r="CK36" s="151"/>
      <c r="CL36" s="79"/>
      <c r="CM36" s="440"/>
      <c r="CN36" s="435"/>
      <c r="CO36" s="435"/>
      <c r="CP36" s="435"/>
      <c r="CQ36" s="3739"/>
      <c r="CR36" s="113"/>
      <c r="CS36" s="994"/>
      <c r="CT36" s="1327"/>
      <c r="CU36" s="435"/>
      <c r="CV36" s="1588"/>
      <c r="CW36" s="440"/>
      <c r="CX36" s="435"/>
      <c r="CY36" s="436"/>
      <c r="CZ36" s="435"/>
      <c r="DA36" s="1589"/>
      <c r="DB36" s="1590"/>
      <c r="DC36" s="1592"/>
      <c r="DD36" s="1592"/>
      <c r="DE36" s="435"/>
      <c r="DF36" s="1313" t="e">
        <f t="shared" si="95"/>
        <v>#DIV/0!</v>
      </c>
      <c r="DG36" s="667"/>
      <c r="DH36" s="435"/>
      <c r="DI36" s="435"/>
      <c r="DJ36" s="435"/>
      <c r="DK36" s="461"/>
      <c r="DL36" s="667"/>
      <c r="DM36" s="435"/>
      <c r="DN36" s="435"/>
      <c r="DO36" s="435"/>
      <c r="DP36" s="225"/>
      <c r="DQ36" s="667"/>
      <c r="DR36" s="435"/>
      <c r="DS36" s="436"/>
      <c r="DT36" s="435"/>
      <c r="DU36" s="461"/>
      <c r="DV36" s="667"/>
      <c r="DW36" s="435"/>
      <c r="DX36" s="435"/>
      <c r="DY36" s="435"/>
      <c r="DZ36" s="1595"/>
      <c r="EA36" s="1596"/>
      <c r="EB36" s="435"/>
      <c r="EC36" s="435"/>
      <c r="ED36" s="435"/>
      <c r="EE36" s="1595"/>
      <c r="EF36" s="667"/>
      <c r="EG36" s="435"/>
      <c r="EH36" s="435"/>
      <c r="EI36" s="435"/>
      <c r="EJ36" s="1595"/>
      <c r="EK36" s="1594"/>
      <c r="EL36" s="436"/>
      <c r="EM36" s="436"/>
      <c r="EN36" s="435"/>
      <c r="EO36" s="1595"/>
      <c r="EP36" s="667"/>
      <c r="EQ36" s="435"/>
      <c r="ER36" s="435"/>
      <c r="ES36" s="435"/>
      <c r="ET36" s="1588"/>
      <c r="EU36" s="1598"/>
      <c r="EV36" s="1599"/>
      <c r="EW36" s="1599"/>
      <c r="EX36" s="1599"/>
      <c r="EY36" s="1600"/>
      <c r="EZ36" s="357"/>
      <c r="FA36" s="137"/>
      <c r="FB36" s="137"/>
      <c r="FC36" s="137"/>
      <c r="FD36" s="151"/>
      <c r="FE36" s="607"/>
      <c r="FF36" s="137"/>
      <c r="FG36" s="137"/>
      <c r="FH36" s="137"/>
      <c r="FI36" s="135"/>
      <c r="FJ36" s="607"/>
      <c r="FK36" s="358"/>
      <c r="FL36" s="358"/>
      <c r="FM36" s="358"/>
      <c r="FN36" s="135"/>
      <c r="FO36" s="1315"/>
      <c r="FP36" s="358"/>
      <c r="FQ36" s="358"/>
      <c r="FR36" s="358"/>
      <c r="FS36" s="151"/>
    </row>
    <row r="37" spans="1:175" x14ac:dyDescent="0.3">
      <c r="A37" s="1582"/>
      <c r="B37" s="662"/>
      <c r="C37" s="1583"/>
      <c r="D37" s="1583"/>
      <c r="E37" s="440"/>
      <c r="F37" s="1585"/>
      <c r="G37" s="1585"/>
      <c r="H37" s="435"/>
      <c r="I37" s="1586"/>
      <c r="J37" s="667"/>
      <c r="K37" s="435"/>
      <c r="L37" s="436"/>
      <c r="M37" s="435"/>
      <c r="N37" s="1588"/>
      <c r="O37" s="667"/>
      <c r="P37" s="435"/>
      <c r="Q37" s="436"/>
      <c r="R37" s="435"/>
      <c r="S37" s="1589"/>
      <c r="T37" s="1590"/>
      <c r="U37" s="1592"/>
      <c r="V37" s="1592"/>
      <c r="W37" s="435"/>
      <c r="X37" s="1593"/>
      <c r="Y37" s="667"/>
      <c r="Z37" s="435"/>
      <c r="AA37" s="435"/>
      <c r="AB37" s="435"/>
      <c r="AC37" s="461"/>
      <c r="AD37" s="667"/>
      <c r="AE37" s="435"/>
      <c r="AF37" s="435"/>
      <c r="AG37" s="435"/>
      <c r="AH37" s="225"/>
      <c r="AI37" s="667"/>
      <c r="AJ37" s="435"/>
      <c r="AK37" s="436"/>
      <c r="AL37" s="435"/>
      <c r="AM37" s="461"/>
      <c r="AN37" s="667"/>
      <c r="AO37" s="435"/>
      <c r="AP37" s="435"/>
      <c r="AQ37" s="435"/>
      <c r="AR37" s="1595"/>
      <c r="AS37" s="1596"/>
      <c r="AT37" s="435"/>
      <c r="AU37" s="435"/>
      <c r="AV37" s="435"/>
      <c r="AW37" s="1595"/>
      <c r="AX37" s="667"/>
      <c r="AY37" s="435"/>
      <c r="AZ37" s="435"/>
      <c r="BA37" s="435"/>
      <c r="BB37" s="1597"/>
      <c r="BC37" s="1594"/>
      <c r="BD37" s="436"/>
      <c r="BE37" s="436"/>
      <c r="BF37" s="435"/>
      <c r="BG37" s="1595"/>
      <c r="BH37" s="667"/>
      <c r="BI37" s="435"/>
      <c r="BJ37" s="435"/>
      <c r="BK37" s="435"/>
      <c r="BL37" s="1615"/>
      <c r="BM37" s="1598"/>
      <c r="BN37" s="1599"/>
      <c r="BO37" s="1599"/>
      <c r="BP37" s="1599"/>
      <c r="BQ37" s="1600"/>
      <c r="BR37" s="607"/>
      <c r="BS37" s="137"/>
      <c r="BT37" s="137"/>
      <c r="BU37" s="137"/>
      <c r="BV37" s="151"/>
      <c r="BW37" s="607"/>
      <c r="BX37" s="137"/>
      <c r="BY37" s="137"/>
      <c r="BZ37" s="137"/>
      <c r="CA37" s="135"/>
      <c r="CB37" s="607"/>
      <c r="CC37" s="358"/>
      <c r="CD37" s="358"/>
      <c r="CE37" s="358"/>
      <c r="CF37" s="135"/>
      <c r="CG37" s="1315"/>
      <c r="CH37" s="358"/>
      <c r="CI37" s="358"/>
      <c r="CJ37" s="358"/>
      <c r="CK37" s="151"/>
      <c r="CL37" s="79"/>
      <c r="CM37" s="440"/>
      <c r="CN37" s="435"/>
      <c r="CO37" s="435"/>
      <c r="CP37" s="435"/>
      <c r="CQ37" s="1586"/>
      <c r="CR37" s="113"/>
      <c r="CS37" s="994"/>
      <c r="CT37" s="1327"/>
      <c r="CU37" s="435"/>
      <c r="CV37" s="1588"/>
      <c r="CW37" s="440"/>
      <c r="CX37" s="435"/>
      <c r="CY37" s="436"/>
      <c r="CZ37" s="435"/>
      <c r="DA37" s="1589"/>
      <c r="DB37" s="1590"/>
      <c r="DC37" s="1592"/>
      <c r="DD37" s="1592"/>
      <c r="DE37" s="435"/>
      <c r="DF37" s="1593"/>
      <c r="DG37" s="667"/>
      <c r="DH37" s="435"/>
      <c r="DI37" s="435"/>
      <c r="DJ37" s="435"/>
      <c r="DK37" s="461"/>
      <c r="DL37" s="667"/>
      <c r="DM37" s="435"/>
      <c r="DN37" s="435"/>
      <c r="DO37" s="435"/>
      <c r="DP37" s="225"/>
      <c r="DQ37" s="667"/>
      <c r="DR37" s="435"/>
      <c r="DS37" s="436"/>
      <c r="DT37" s="435"/>
      <c r="DU37" s="461"/>
      <c r="DV37" s="667"/>
      <c r="DW37" s="435"/>
      <c r="DX37" s="435"/>
      <c r="DY37" s="435"/>
      <c r="DZ37" s="1595"/>
      <c r="EA37" s="1596"/>
      <c r="EB37" s="435"/>
      <c r="EC37" s="435"/>
      <c r="ED37" s="435"/>
      <c r="EE37" s="1595"/>
      <c r="EF37" s="667"/>
      <c r="EG37" s="435"/>
      <c r="EH37" s="435"/>
      <c r="EI37" s="435"/>
      <c r="EJ37" s="1597"/>
      <c r="EK37" s="1594"/>
      <c r="EL37" s="436"/>
      <c r="EM37" s="436"/>
      <c r="EN37" s="435"/>
      <c r="EO37" s="1595"/>
      <c r="EP37" s="667"/>
      <c r="EQ37" s="435"/>
      <c r="ER37" s="435"/>
      <c r="ES37" s="435"/>
      <c r="ET37" s="1615"/>
      <c r="EU37" s="1598"/>
      <c r="EV37" s="1599"/>
      <c r="EW37" s="1599"/>
      <c r="EX37" s="1599"/>
      <c r="EY37" s="1600"/>
      <c r="EZ37" s="357"/>
      <c r="FA37" s="137"/>
      <c r="FB37" s="137"/>
      <c r="FC37" s="137"/>
      <c r="FD37" s="151"/>
      <c r="FE37" s="607"/>
      <c r="FF37" s="137"/>
      <c r="FG37" s="137"/>
      <c r="FH37" s="137"/>
      <c r="FI37" s="135"/>
      <c r="FJ37" s="607"/>
      <c r="FK37" s="358"/>
      <c r="FL37" s="358"/>
      <c r="FM37" s="358"/>
      <c r="FN37" s="135"/>
      <c r="FO37" s="1315"/>
      <c r="FP37" s="358"/>
      <c r="FQ37" s="358"/>
      <c r="FR37" s="358"/>
      <c r="FS37" s="151"/>
    </row>
    <row r="38" spans="1:175" x14ac:dyDescent="0.3">
      <c r="A38" s="6615"/>
      <c r="B38" s="6616"/>
      <c r="C38" s="1616"/>
      <c r="D38" s="1616"/>
      <c r="E38" s="1601">
        <f>SUM(E14:E37)</f>
        <v>17</v>
      </c>
      <c r="F38" s="1617">
        <f>SUM(F14:F37)</f>
        <v>863819</v>
      </c>
      <c r="G38" s="1617">
        <f>SUM(G14:G37)</f>
        <v>1345135.45</v>
      </c>
      <c r="H38" s="1617">
        <f>SUM(H14:H37)</f>
        <v>481316.45000000007</v>
      </c>
      <c r="I38" s="1618">
        <f>H38/G38</f>
        <v>0.3578200619127242</v>
      </c>
      <c r="J38" s="1601">
        <f>SUM(J14:J37)</f>
        <v>14</v>
      </c>
      <c r="K38" s="1617">
        <f>SUM(K14:K37)</f>
        <v>522020</v>
      </c>
      <c r="L38" s="1617">
        <f>SUM(L14:L37)</f>
        <v>873511.5</v>
      </c>
      <c r="M38" s="1617">
        <f>SUM(M14:M37)</f>
        <v>351491.5</v>
      </c>
      <c r="N38" s="1618">
        <f>M38/L38</f>
        <v>0.40238909275951146</v>
      </c>
      <c r="O38" s="1601">
        <f>SUM(O14:O37)</f>
        <v>18</v>
      </c>
      <c r="P38" s="1617">
        <f>SUM(P14:P37)</f>
        <v>911624</v>
      </c>
      <c r="Q38" s="1617">
        <f>SUM(Q14:Q37)</f>
        <v>1346346.11</v>
      </c>
      <c r="R38" s="1617">
        <f>SUM(R14:R37)</f>
        <v>434722.11</v>
      </c>
      <c r="S38" s="1618">
        <f>R38/Q38</f>
        <v>0.32289030790158407</v>
      </c>
      <c r="T38" s="1601">
        <f>SUM(T14:T37)</f>
        <v>11</v>
      </c>
      <c r="U38" s="1617">
        <f>SUM(U14:U37)</f>
        <v>591372</v>
      </c>
      <c r="V38" s="1617">
        <f>SUM(V14:V37)</f>
        <v>916491.35000000009</v>
      </c>
      <c r="W38" s="1617">
        <f>SUM(W14:W37)</f>
        <v>325119.34999999998</v>
      </c>
      <c r="X38" s="1618">
        <f>W38/V38</f>
        <v>0.35474350085246298</v>
      </c>
      <c r="Y38" s="1601">
        <f>SUM(Y14:Y37)</f>
        <v>10</v>
      </c>
      <c r="Z38" s="1617">
        <f>SUM(Z14:Z37)</f>
        <v>423824</v>
      </c>
      <c r="AA38" s="1617">
        <f>SUM(AA14:AA37)</f>
        <v>658367.54</v>
      </c>
      <c r="AB38" s="1617">
        <f>SUM(AB14:AB37)</f>
        <v>234543.53999999998</v>
      </c>
      <c r="AC38" s="1618">
        <f>AB38/AA38</f>
        <v>0.35625015777661206</v>
      </c>
      <c r="AD38" s="1601">
        <f>SUM(AD14:AD37)</f>
        <v>28</v>
      </c>
      <c r="AE38" s="1617">
        <f>SUM(AE14:AE37)</f>
        <v>1295989</v>
      </c>
      <c r="AF38" s="1617">
        <f>SUM(AF14:AF37)</f>
        <v>1828709.8</v>
      </c>
      <c r="AG38" s="1617">
        <f>SUM(AG14:AG37)</f>
        <v>532720.80000000005</v>
      </c>
      <c r="AH38" s="1618">
        <f>AG38/AF38</f>
        <v>0.29130964355306677</v>
      </c>
      <c r="AI38" s="1601">
        <f>SUM(AI14:AI37)</f>
        <v>13</v>
      </c>
      <c r="AJ38" s="1617">
        <f>SUM(AJ14:AJ37)</f>
        <v>529386</v>
      </c>
      <c r="AK38" s="1617">
        <f>SUM(AK14:AK37)</f>
        <v>657271</v>
      </c>
      <c r="AL38" s="1617">
        <f>SUM(AL14:AL37)</f>
        <v>127885</v>
      </c>
      <c r="AM38" s="1618">
        <f>AL38/AK38</f>
        <v>0.19456966761046812</v>
      </c>
      <c r="AN38" s="1601">
        <f>SUM(AN14:AN37)</f>
        <v>8</v>
      </c>
      <c r="AO38" s="1617">
        <f>SUM(AO14:AO37)</f>
        <v>269146</v>
      </c>
      <c r="AP38" s="1617">
        <f>SUM(AP14:AP37)</f>
        <v>396050</v>
      </c>
      <c r="AQ38" s="1617">
        <f>SUM(AQ14:AQ37)</f>
        <v>126904</v>
      </c>
      <c r="AR38" s="1618">
        <f>AQ38/AP38</f>
        <v>0.32042418886504231</v>
      </c>
      <c r="AS38" s="1601">
        <f>SUM(AS14:AS37)</f>
        <v>7</v>
      </c>
      <c r="AT38" s="1617">
        <f>SUM(AT14:AT37)</f>
        <v>379436</v>
      </c>
      <c r="AU38" s="1617">
        <f>SUM(AU14:AU37)</f>
        <v>543436.84</v>
      </c>
      <c r="AV38" s="1617">
        <f>SUM(AV14:AV37)</f>
        <v>164000.84</v>
      </c>
      <c r="AW38" s="1618">
        <f>AV38/AU38</f>
        <v>0.30178454592809717</v>
      </c>
      <c r="AX38" s="1601">
        <f>SUM(AX14:AX37)</f>
        <v>9</v>
      </c>
      <c r="AY38" s="1617">
        <f>SUM(AY14:AY37)</f>
        <v>492897</v>
      </c>
      <c r="AZ38" s="1617">
        <f>SUM(AZ14:AZ37)</f>
        <v>585895.85</v>
      </c>
      <c r="BA38" s="1617">
        <f>SUM(BA14:BA37)</f>
        <v>92998.85</v>
      </c>
      <c r="BB38" s="1618">
        <f>BA38/AZ38</f>
        <v>0.15872932023669395</v>
      </c>
      <c r="BC38" s="1601">
        <f>SUM(BC14:BC37)</f>
        <v>13</v>
      </c>
      <c r="BD38" s="1617">
        <f>SUM(BD14:BD37)</f>
        <v>456377</v>
      </c>
      <c r="BE38" s="1617">
        <f>SUM(BE14:BE37)</f>
        <v>609087</v>
      </c>
      <c r="BF38" s="1617">
        <f>SUM(BF14:BF37)</f>
        <v>152710</v>
      </c>
      <c r="BG38" s="1618">
        <f>BF38/BE38</f>
        <v>0.25071951954318511</v>
      </c>
      <c r="BH38" s="1601">
        <f>SUM(BH14:BH37)</f>
        <v>14</v>
      </c>
      <c r="BI38" s="1617">
        <f>SUM(BI14:BI37)</f>
        <v>590336</v>
      </c>
      <c r="BJ38" s="1617">
        <f>SUM(BJ14:BJ37)</f>
        <v>653949</v>
      </c>
      <c r="BK38" s="1617">
        <f>SUM(BK14:BK37)</f>
        <v>63613</v>
      </c>
      <c r="BL38" s="1618">
        <f>BK38/BJ38</f>
        <v>9.7275169776236375E-2</v>
      </c>
      <c r="BM38" s="1619"/>
      <c r="BN38" s="1617">
        <f>SUM(BN14:BN37)</f>
        <v>7326226</v>
      </c>
      <c r="BO38" s="1617">
        <f>SUM(BO14:BO37)</f>
        <v>10414251.439999999</v>
      </c>
      <c r="BP38" s="1617">
        <f>SUM(BP14:BP37)</f>
        <v>3088025.44</v>
      </c>
      <c r="BQ38" s="1618">
        <f>BP38/BO38</f>
        <v>0.29651919370212554</v>
      </c>
      <c r="BR38" s="1619"/>
      <c r="BS38" s="1617">
        <f>SUM(BS14:BS37)</f>
        <v>2297463</v>
      </c>
      <c r="BT38" s="1617">
        <f>SUM(BT14:BT37)</f>
        <v>3564993.06</v>
      </c>
      <c r="BU38" s="1617">
        <f>SUM(BU14:BU37)</f>
        <v>1267530.06</v>
      </c>
      <c r="BV38" s="1618">
        <f>BU38/BT38</f>
        <v>0.35554909607594021</v>
      </c>
      <c r="BW38" s="1619"/>
      <c r="BX38" s="1617">
        <f>SUM(BX14:BX37)</f>
        <v>2311185</v>
      </c>
      <c r="BY38" s="1617">
        <f>SUM(BY14:BY37)</f>
        <v>3403568.69</v>
      </c>
      <c r="BZ38" s="1617">
        <f>SUM(BZ14:BZ37)</f>
        <v>1092383.69</v>
      </c>
      <c r="CA38" s="1618">
        <f>BZ38/BY38</f>
        <v>0.32095244418293201</v>
      </c>
      <c r="CB38" s="1619"/>
      <c r="CC38" s="1617">
        <f>SUM(CC14:CC37)</f>
        <v>1136784</v>
      </c>
      <c r="CD38" s="1617">
        <f>SUM(CD14:CD37)</f>
        <v>1536757.84</v>
      </c>
      <c r="CE38" s="1617">
        <f>SUM(CE14:CE37)</f>
        <v>399973.83999999997</v>
      </c>
      <c r="CF38" s="1618">
        <f>CE38/CD38</f>
        <v>0.26027122139165398</v>
      </c>
      <c r="CG38" s="1619"/>
      <c r="CH38" s="1617">
        <f>SUM(CH14:CH37)</f>
        <v>1539610</v>
      </c>
      <c r="CI38" s="1617">
        <f>SUM(CI14:CI37)</f>
        <v>1848931.85</v>
      </c>
      <c r="CJ38" s="1617">
        <f>SUM(CJ14:CJ37)</f>
        <v>309321.84999999998</v>
      </c>
      <c r="CK38" s="1618">
        <f>CJ38/CI38</f>
        <v>0.16729759401353811</v>
      </c>
      <c r="CL38" s="79"/>
      <c r="CM38" s="1632">
        <f>SUM(CM14:CM37)</f>
        <v>6</v>
      </c>
      <c r="CN38" s="1617">
        <f>SUM(CN14:CN37)</f>
        <v>450959</v>
      </c>
      <c r="CO38" s="1617">
        <f>SUM(CO14:CO37)</f>
        <v>631782</v>
      </c>
      <c r="CP38" s="1617">
        <f>SUM(CP14:CP37)</f>
        <v>180823</v>
      </c>
      <c r="CQ38" s="1618">
        <f>CP38/CO38</f>
        <v>0.28621106647546146</v>
      </c>
      <c r="CR38" s="1601">
        <f>SUM(CR14:CR37)</f>
        <v>7</v>
      </c>
      <c r="CS38" s="1617">
        <f>SUM(CS14:CS37)</f>
        <v>296131</v>
      </c>
      <c r="CT38" s="1617">
        <f>SUM(CT14:CT37)</f>
        <v>484660</v>
      </c>
      <c r="CU38" s="1617">
        <f>SUM(CU14:CU37)</f>
        <v>188529</v>
      </c>
      <c r="CV38" s="1618">
        <f>CU38/CT38</f>
        <v>0.38899228325011348</v>
      </c>
      <c r="CW38" s="3738">
        <f>SUM(CW14:CW37)</f>
        <v>16</v>
      </c>
      <c r="CX38" s="1617">
        <f>SUM(CX14:CX37)</f>
        <v>360313</v>
      </c>
      <c r="CY38" s="1617">
        <f>SUM(CY14:CY37)</f>
        <v>409893</v>
      </c>
      <c r="CZ38" s="1617">
        <f>SUM(CZ14:CZ37)</f>
        <v>49580</v>
      </c>
      <c r="DA38" s="1618">
        <f>CZ38/CY38</f>
        <v>0.12095839645956384</v>
      </c>
      <c r="DB38" s="1601">
        <f>SUM(DB14:DB37)</f>
        <v>15</v>
      </c>
      <c r="DC38" s="1617">
        <f>SUM(DC14:DC37)</f>
        <v>663156</v>
      </c>
      <c r="DD38" s="1617">
        <f>SUM(DD14:DD37)</f>
        <v>0</v>
      </c>
      <c r="DE38" s="1617">
        <f>SUM(DE14:DE37)</f>
        <v>-663156</v>
      </c>
      <c r="DF38" s="1618" t="e">
        <f>DE38/DD38</f>
        <v>#DIV/0!</v>
      </c>
      <c r="DG38" s="1601">
        <f>SUM(DG14:DG37)</f>
        <v>15</v>
      </c>
      <c r="DH38" s="1617">
        <f>SUM(DH14:DH37)</f>
        <v>577805</v>
      </c>
      <c r="DI38" s="1617">
        <f>SUM(DI14:DI37)</f>
        <v>0</v>
      </c>
      <c r="DJ38" s="1617">
        <f>SUM(DJ14:DJ37)</f>
        <v>-577805</v>
      </c>
      <c r="DK38" s="1618" t="e">
        <f>DJ38/DI38</f>
        <v>#DIV/0!</v>
      </c>
      <c r="DL38" s="1601">
        <f>SUM(DL14:DL37)</f>
        <v>14</v>
      </c>
      <c r="DM38" s="1617">
        <f>SUM(DM14:DM37)</f>
        <v>631607</v>
      </c>
      <c r="DN38" s="1617">
        <f>SUM(DN14:DN37)</f>
        <v>0</v>
      </c>
      <c r="DO38" s="1617">
        <f>SUM(DO14:DO37)</f>
        <v>-631607</v>
      </c>
      <c r="DP38" s="1618" t="e">
        <f>DO38/DN38</f>
        <v>#DIV/0!</v>
      </c>
      <c r="DQ38" s="1601">
        <f>SUM(DQ14:DQ37)</f>
        <v>0</v>
      </c>
      <c r="DR38" s="1617">
        <f>SUM(DR14:DR37)</f>
        <v>671115</v>
      </c>
      <c r="DS38" s="1617">
        <f>SUM(DS14:DS37)</f>
        <v>0</v>
      </c>
      <c r="DT38" s="1617">
        <f>SUM(DT14:DT37)</f>
        <v>-671115</v>
      </c>
      <c r="DU38" s="1618" t="e">
        <f>DT38/DS38</f>
        <v>#DIV/0!</v>
      </c>
      <c r="DV38" s="1601">
        <f>SUM(DV14:DV37)</f>
        <v>12</v>
      </c>
      <c r="DW38" s="1617">
        <f>SUM(DW14:DW37)</f>
        <v>437991</v>
      </c>
      <c r="DX38" s="1617">
        <f>SUM(DX14:DX37)</f>
        <v>0</v>
      </c>
      <c r="DY38" s="1617">
        <f>SUM(DY14:DY37)</f>
        <v>-437991</v>
      </c>
      <c r="DZ38" s="1618" t="e">
        <f>DY38/DX38</f>
        <v>#DIV/0!</v>
      </c>
      <c r="EA38" s="1601">
        <f>SUM(EA14:EA37)</f>
        <v>25</v>
      </c>
      <c r="EB38" s="1617">
        <f>SUM(EB14:EB37)</f>
        <v>1030768</v>
      </c>
      <c r="EC38" s="1617">
        <f>SUM(EC14:EC37)</f>
        <v>0</v>
      </c>
      <c r="ED38" s="1617">
        <f>SUM(ED14:ED37)</f>
        <v>-1030768</v>
      </c>
      <c r="EE38" s="1618" t="e">
        <f>ED38/EC38</f>
        <v>#DIV/0!</v>
      </c>
      <c r="EF38" s="1601">
        <f>SUM(EF14:EF37)</f>
        <v>0</v>
      </c>
      <c r="EG38" s="1617">
        <f>SUM(EG14:EG37)</f>
        <v>0</v>
      </c>
      <c r="EH38" s="1617">
        <f>SUM(EH14:EH37)</f>
        <v>0</v>
      </c>
      <c r="EI38" s="1617">
        <f>SUM(EI14:EI37)</f>
        <v>0</v>
      </c>
      <c r="EJ38" s="1618" t="e">
        <f>EI38/EH38</f>
        <v>#DIV/0!</v>
      </c>
      <c r="EK38" s="1601">
        <f>SUM(EK14:EK37)</f>
        <v>0</v>
      </c>
      <c r="EL38" s="1617">
        <f>SUM(EL14:EL37)</f>
        <v>0</v>
      </c>
      <c r="EM38" s="1617">
        <f>SUM(EM14:EM37)</f>
        <v>0</v>
      </c>
      <c r="EN38" s="1617">
        <f>SUM(EN14:EN37)</f>
        <v>0</v>
      </c>
      <c r="EO38" s="1618" t="e">
        <f>EN38/EM38</f>
        <v>#DIV/0!</v>
      </c>
      <c r="EP38" s="1601">
        <f>SUM(EP14:EP37)</f>
        <v>0</v>
      </c>
      <c r="EQ38" s="1617">
        <f>SUM(EQ14:EQ37)</f>
        <v>0</v>
      </c>
      <c r="ER38" s="1617">
        <f>SUM(ER14:ER37)</f>
        <v>0</v>
      </c>
      <c r="ES38" s="1617">
        <f>SUM(ES14:ES37)</f>
        <v>0</v>
      </c>
      <c r="ET38" s="1618" t="e">
        <f t="shared" ref="ET38:ET59" si="102">ES38/ER38</f>
        <v>#DIV/0!</v>
      </c>
      <c r="EU38" s="1619"/>
      <c r="EV38" s="1617">
        <f>SUM(EV14:EV37)</f>
        <v>5072714</v>
      </c>
      <c r="EW38" s="1617">
        <f>SUM(EW14:EW37)</f>
        <v>1526335</v>
      </c>
      <c r="EX38" s="1617">
        <f>SUM(EX14:EX37)</f>
        <v>-3546379</v>
      </c>
      <c r="EY38" s="1618">
        <f>EX38/EW38</f>
        <v>-2.323460446101282</v>
      </c>
      <c r="EZ38" s="357"/>
      <c r="FA38" s="137"/>
      <c r="FB38" s="137"/>
      <c r="FC38" s="137"/>
      <c r="FD38" s="151"/>
      <c r="FE38" s="607"/>
      <c r="FF38" s="137"/>
      <c r="FG38" s="137"/>
      <c r="FH38" s="137"/>
      <c r="FI38" s="135"/>
      <c r="FJ38" s="607"/>
      <c r="FK38" s="358"/>
      <c r="FL38" s="358"/>
      <c r="FM38" s="358"/>
      <c r="FN38" s="135"/>
      <c r="FO38" s="1315"/>
      <c r="FP38" s="358"/>
      <c r="FQ38" s="358"/>
      <c r="FR38" s="358"/>
      <c r="FS38" s="151"/>
    </row>
    <row r="39" spans="1:175" x14ac:dyDescent="0.3">
      <c r="A39" s="743">
        <v>28</v>
      </c>
      <c r="B39" s="104" t="s">
        <v>143</v>
      </c>
      <c r="C39" s="1605" t="s">
        <v>144</v>
      </c>
      <c r="D39" s="1605" t="s">
        <v>145</v>
      </c>
      <c r="E39" s="1606">
        <v>6</v>
      </c>
      <c r="F39" s="1089">
        <v>670052</v>
      </c>
      <c r="G39" s="1089">
        <v>1429500</v>
      </c>
      <c r="H39" s="1066">
        <f t="shared" si="50"/>
        <v>759448</v>
      </c>
      <c r="I39" s="1607">
        <f>H39/G39</f>
        <v>0.53126827562084644</v>
      </c>
      <c r="J39" s="1437">
        <v>3</v>
      </c>
      <c r="K39" s="459">
        <v>539066</v>
      </c>
      <c r="L39" s="459">
        <v>671000</v>
      </c>
      <c r="M39" s="1066">
        <f t="shared" si="51"/>
        <v>131934</v>
      </c>
      <c r="N39" s="1608">
        <f>M39/L39</f>
        <v>0.19662295081967213</v>
      </c>
      <c r="O39" s="676">
        <v>1</v>
      </c>
      <c r="P39" s="1066">
        <v>11385</v>
      </c>
      <c r="Q39" s="1620">
        <v>41000</v>
      </c>
      <c r="R39" s="1066">
        <f t="shared" si="52"/>
        <v>29615</v>
      </c>
      <c r="S39" s="203">
        <f>R39/Q39</f>
        <v>0.72231707317073168</v>
      </c>
      <c r="T39" s="1621">
        <v>2</v>
      </c>
      <c r="U39" s="1622">
        <v>272730</v>
      </c>
      <c r="V39" s="1622">
        <v>415500</v>
      </c>
      <c r="W39" s="1066">
        <f t="shared" si="53"/>
        <v>142770</v>
      </c>
      <c r="X39" s="1610">
        <f>W39/V39</f>
        <v>0.34361010830324912</v>
      </c>
      <c r="Y39" s="1437"/>
      <c r="Z39" s="459">
        <v>468236</v>
      </c>
      <c r="AA39" s="1066">
        <v>993000</v>
      </c>
      <c r="AB39" s="1066">
        <f t="shared" si="54"/>
        <v>524764</v>
      </c>
      <c r="AC39" s="365">
        <f>AB39/AA39</f>
        <v>0.52846324269889222</v>
      </c>
      <c r="AD39" s="1437">
        <v>5</v>
      </c>
      <c r="AE39" s="459">
        <v>364176</v>
      </c>
      <c r="AF39" s="459">
        <v>781000</v>
      </c>
      <c r="AG39" s="1066">
        <f t="shared" si="55"/>
        <v>416824</v>
      </c>
      <c r="AH39" s="95">
        <f>AG39/AF39</f>
        <v>0.53370550576184383</v>
      </c>
      <c r="AI39" s="1437">
        <v>7</v>
      </c>
      <c r="AJ39" s="459">
        <v>575780</v>
      </c>
      <c r="AK39" s="459">
        <v>704280</v>
      </c>
      <c r="AL39" s="1066">
        <f t="shared" si="56"/>
        <v>128500</v>
      </c>
      <c r="AM39" s="1608">
        <f>AL39/AK39</f>
        <v>0.18245584142670529</v>
      </c>
      <c r="AN39" s="676">
        <v>3</v>
      </c>
      <c r="AO39" s="459">
        <v>707035</v>
      </c>
      <c r="AP39" s="459">
        <v>1298000</v>
      </c>
      <c r="AQ39" s="1066">
        <f t="shared" si="44"/>
        <v>590965</v>
      </c>
      <c r="AR39" s="170">
        <f>AQ39/AP39</f>
        <v>0.45528890600924499</v>
      </c>
      <c r="AS39" s="1623">
        <v>4</v>
      </c>
      <c r="AT39" s="459">
        <v>748657</v>
      </c>
      <c r="AU39" s="459">
        <v>867500</v>
      </c>
      <c r="AV39" s="1066">
        <f t="shared" si="45"/>
        <v>118843</v>
      </c>
      <c r="AW39" s="170">
        <f>AV39/AU39</f>
        <v>0.13699481268011526</v>
      </c>
      <c r="AX39" s="676">
        <v>1</v>
      </c>
      <c r="AY39" s="1066">
        <v>65093</v>
      </c>
      <c r="AZ39" s="1066">
        <v>189000</v>
      </c>
      <c r="BA39" s="1066">
        <f t="shared" si="46"/>
        <v>123907</v>
      </c>
      <c r="BB39" s="170">
        <f>BA39/AZ39</f>
        <v>0.65559259259259262</v>
      </c>
      <c r="BC39" s="1437">
        <v>1</v>
      </c>
      <c r="BD39" s="459">
        <v>118506</v>
      </c>
      <c r="BE39" s="459">
        <v>410000</v>
      </c>
      <c r="BF39" s="1066">
        <f t="shared" si="49"/>
        <v>291494</v>
      </c>
      <c r="BG39" s="170">
        <f>BF39/BE39</f>
        <v>0.71096097560975613</v>
      </c>
      <c r="BH39" s="676"/>
      <c r="BI39" s="1066"/>
      <c r="BJ39" s="1066"/>
      <c r="BK39" s="1066">
        <f t="shared" si="47"/>
        <v>0</v>
      </c>
      <c r="BL39" s="1624">
        <v>0</v>
      </c>
      <c r="BM39" s="1612"/>
      <c r="BN39" s="1613">
        <f t="shared" ref="BN39:BP60" si="103">F39+K39+P39+U39+Z39+AE39+AJ39+AO39+AT39+AY39+BD39+BI39</f>
        <v>4540716</v>
      </c>
      <c r="BO39" s="1613">
        <f t="shared" si="103"/>
        <v>7799780</v>
      </c>
      <c r="BP39" s="1613">
        <f t="shared" si="103"/>
        <v>3259064</v>
      </c>
      <c r="BQ39" s="369">
        <f t="shared" si="8"/>
        <v>0.41784050319367982</v>
      </c>
      <c r="BR39" s="607">
        <f t="shared" ref="BR39:BR47" si="104">(E39+J39+O39)/3</f>
        <v>3.3333333333333335</v>
      </c>
      <c r="BS39" s="137">
        <f>Z39+K39+P39</f>
        <v>1018687</v>
      </c>
      <c r="BT39" s="137">
        <f>AA39+L39+Q39</f>
        <v>1705000</v>
      </c>
      <c r="BU39" s="137">
        <f t="shared" ref="BU39:BU47" si="105">H39+M39+R39</f>
        <v>920997</v>
      </c>
      <c r="BV39" s="151">
        <f>BU39/BT39</f>
        <v>0.54017419354838714</v>
      </c>
      <c r="BW39" s="607">
        <f t="shared" ref="BW39:BW60" si="106">(T39+Y39+AD39)/3</f>
        <v>2.3333333333333335</v>
      </c>
      <c r="BX39" s="137">
        <f t="shared" ref="BX39:BZ60" si="107">U39+Z39+AE39</f>
        <v>1105142</v>
      </c>
      <c r="BY39" s="137">
        <f t="shared" si="107"/>
        <v>2189500</v>
      </c>
      <c r="BZ39" s="137">
        <f t="shared" si="107"/>
        <v>1084358</v>
      </c>
      <c r="CA39" s="135">
        <f>BZ39/BY39</f>
        <v>0.49525371089289794</v>
      </c>
      <c r="CB39" s="607">
        <f t="shared" ref="CB39:CB47" si="108">(AI39+AN39+AS39)/3</f>
        <v>4.666666666666667</v>
      </c>
      <c r="CC39" s="358">
        <f t="shared" ref="CC39:CE47" si="109">AJ39+AO39+AT39</f>
        <v>2031472</v>
      </c>
      <c r="CD39" s="358">
        <f t="shared" si="109"/>
        <v>2869780</v>
      </c>
      <c r="CE39" s="358">
        <f t="shared" si="109"/>
        <v>838308</v>
      </c>
      <c r="CF39" s="135">
        <f t="shared" si="64"/>
        <v>0.29211577194070626</v>
      </c>
      <c r="CG39" s="1315">
        <f t="shared" ref="CG39:CG47" si="110">(AX39+BC39+BH39)/3</f>
        <v>0.66666666666666663</v>
      </c>
      <c r="CH39" s="358">
        <f t="shared" ref="CH39:CJ47" si="111">AY39+BD39+BI39</f>
        <v>183599</v>
      </c>
      <c r="CI39" s="358">
        <f t="shared" si="111"/>
        <v>599000</v>
      </c>
      <c r="CJ39" s="358">
        <f t="shared" si="111"/>
        <v>415401</v>
      </c>
      <c r="CK39" s="151">
        <f t="shared" si="43"/>
        <v>0.69349081803005008</v>
      </c>
      <c r="CL39" s="79"/>
      <c r="CM39" s="1606">
        <v>1</v>
      </c>
      <c r="CN39" s="1066">
        <v>83582</v>
      </c>
      <c r="CO39" s="1066">
        <v>247000</v>
      </c>
      <c r="CP39" s="1066">
        <f t="shared" ref="CP39:CP60" si="112">CO39-CN39</f>
        <v>163418</v>
      </c>
      <c r="CQ39" s="1607">
        <f>CP39/CO39</f>
        <v>0.66161133603238864</v>
      </c>
      <c r="CR39" s="1437">
        <v>3</v>
      </c>
      <c r="CS39" s="459">
        <v>462812</v>
      </c>
      <c r="CT39" s="459">
        <v>605000</v>
      </c>
      <c r="CU39" s="1066">
        <f t="shared" ref="CU39:CU60" si="113">CT39-CS39</f>
        <v>142188</v>
      </c>
      <c r="CV39" s="1608">
        <f>CU39/CT39</f>
        <v>0.2350214876033058</v>
      </c>
      <c r="CW39" s="1606"/>
      <c r="CX39" s="1066"/>
      <c r="CY39" s="1620"/>
      <c r="CZ39" s="1066">
        <f t="shared" ref="CZ39:CZ60" si="114">CY39-CX39</f>
        <v>0</v>
      </c>
      <c r="DA39" s="203"/>
      <c r="DB39" s="1621"/>
      <c r="DC39" s="1622"/>
      <c r="DD39" s="1622"/>
      <c r="DE39" s="1066">
        <f t="shared" ref="DE39:DE60" si="115">DD39-DC39</f>
        <v>0</v>
      </c>
      <c r="DF39" s="1610" t="e">
        <f t="shared" ref="DF39:DF60" si="116">DE39/DD39</f>
        <v>#DIV/0!</v>
      </c>
      <c r="DG39" s="1437">
        <v>1</v>
      </c>
      <c r="DH39" s="459">
        <v>196149</v>
      </c>
      <c r="DI39" s="1066"/>
      <c r="DJ39" s="1066">
        <f t="shared" ref="DJ39:DJ60" si="117">DI39-DH39</f>
        <v>-196149</v>
      </c>
      <c r="DK39" s="365" t="e">
        <f>DJ39/DI39</f>
        <v>#DIV/0!</v>
      </c>
      <c r="DL39" s="1437"/>
      <c r="DM39" s="459"/>
      <c r="DN39" s="459"/>
      <c r="DO39" s="1066">
        <f t="shared" ref="DO39:DO60" si="118">DN39-DM39</f>
        <v>0</v>
      </c>
      <c r="DP39" s="95" t="e">
        <f>DO39/DN39</f>
        <v>#DIV/0!</v>
      </c>
      <c r="DQ39" s="1437"/>
      <c r="DR39" s="459"/>
      <c r="DS39" s="459"/>
      <c r="DT39" s="1066">
        <f t="shared" ref="DT39:DT49" si="119">DS39-DR39</f>
        <v>0</v>
      </c>
      <c r="DU39" s="1608" t="e">
        <f>DT39/DS39</f>
        <v>#DIV/0!</v>
      </c>
      <c r="DV39" s="676">
        <v>5</v>
      </c>
      <c r="DW39" s="459">
        <v>768151</v>
      </c>
      <c r="DX39" s="459"/>
      <c r="DY39" s="1066">
        <f t="shared" ref="DY39:DY60" si="120">DX39-DW39</f>
        <v>-768151</v>
      </c>
      <c r="DZ39" s="157" t="e">
        <f t="shared" ref="DZ39:DZ60" si="121">DY39/DX39</f>
        <v>#DIV/0!</v>
      </c>
      <c r="EA39" s="1623"/>
      <c r="EB39" s="459"/>
      <c r="EC39" s="459"/>
      <c r="ED39" s="1066">
        <f t="shared" ref="ED39:ED60" si="122">EC39-EB39</f>
        <v>0</v>
      </c>
      <c r="EE39" s="170" t="e">
        <f t="shared" ref="EE39:EE60" si="123">ED39/EC39</f>
        <v>#DIV/0!</v>
      </c>
      <c r="EF39" s="676"/>
      <c r="EG39" s="1066"/>
      <c r="EH39" s="1066"/>
      <c r="EI39" s="1066">
        <f t="shared" ref="EI39:EI60" si="124">EH39-EG39</f>
        <v>0</v>
      </c>
      <c r="EJ39" s="157" t="e">
        <f t="shared" ref="EJ39:EJ60" si="125">EI39/EH39</f>
        <v>#DIV/0!</v>
      </c>
      <c r="EK39" s="1437"/>
      <c r="EL39" s="459"/>
      <c r="EM39" s="459"/>
      <c r="EN39" s="1066">
        <f t="shared" ref="EN39:EN60" si="126">EM39-EL39</f>
        <v>0</v>
      </c>
      <c r="EO39" s="170" t="e">
        <f t="shared" ref="EO39:EO60" si="127">EN39/EM39</f>
        <v>#DIV/0!</v>
      </c>
      <c r="EP39" s="676"/>
      <c r="EQ39" s="1066"/>
      <c r="ER39" s="1066"/>
      <c r="ES39" s="1066">
        <f t="shared" ref="ES39:ES60" si="128">ER39-EQ39</f>
        <v>0</v>
      </c>
      <c r="ET39" s="186" t="e">
        <f t="shared" si="102"/>
        <v>#DIV/0!</v>
      </c>
      <c r="EU39" s="1612"/>
      <c r="EV39" s="1613">
        <f t="shared" ref="EV39:EX60" si="129">CN39+CS39+CX39+DC39+DH39+DM39+DR39+DW39+EB39+EG39+EL39+EQ39</f>
        <v>1510694</v>
      </c>
      <c r="EW39" s="1613">
        <f t="shared" si="129"/>
        <v>852000</v>
      </c>
      <c r="EX39" s="1613">
        <f t="shared" si="129"/>
        <v>-658694</v>
      </c>
      <c r="EY39" s="369">
        <f>EX39/EW39</f>
        <v>-0.77311502347417838</v>
      </c>
      <c r="EZ39" s="357">
        <f t="shared" ref="EZ39:EZ47" si="130">(CM39+CR39+CW39)/3</f>
        <v>1.3333333333333333</v>
      </c>
      <c r="FA39" s="137">
        <f>DH39+CS39+CX39</f>
        <v>658961</v>
      </c>
      <c r="FB39" s="137">
        <f>DI39+CT39+CY39</f>
        <v>605000</v>
      </c>
      <c r="FC39" s="137">
        <f t="shared" ref="FC39:FC47" si="131">CP39+CU39+CZ39</f>
        <v>305606</v>
      </c>
      <c r="FD39" s="151">
        <f>FC39/FB39</f>
        <v>0.50513388429752071</v>
      </c>
      <c r="FE39" s="607">
        <f t="shared" ref="FE39:FE60" si="132">(DB39+DG39+DL39)/3</f>
        <v>0.33333333333333331</v>
      </c>
      <c r="FF39" s="137">
        <f t="shared" ref="FF39:FH60" si="133">DC39+DH39+DM39</f>
        <v>196149</v>
      </c>
      <c r="FG39" s="137">
        <f t="shared" si="133"/>
        <v>0</v>
      </c>
      <c r="FH39" s="137">
        <f t="shared" si="133"/>
        <v>-196149</v>
      </c>
      <c r="FI39" s="135" t="e">
        <f>FH39/FG39</f>
        <v>#DIV/0!</v>
      </c>
      <c r="FJ39" s="607">
        <f t="shared" ref="FJ39:FJ47" si="134">(DQ39+DV39+EA39)/3</f>
        <v>1.6666666666666667</v>
      </c>
      <c r="FK39" s="358">
        <f t="shared" ref="FK39:FM47" si="135">DR39+DW39+EB39</f>
        <v>768151</v>
      </c>
      <c r="FL39" s="358">
        <f t="shared" si="135"/>
        <v>0</v>
      </c>
      <c r="FM39" s="358">
        <f t="shared" si="135"/>
        <v>-768151</v>
      </c>
      <c r="FN39" s="135" t="e">
        <f t="shared" ref="FN39:FN46" si="136">FM39/FL39</f>
        <v>#DIV/0!</v>
      </c>
      <c r="FO39" s="1315">
        <f t="shared" ref="FO39:FO47" si="137">(EF39+EK39+EP39)/3</f>
        <v>0</v>
      </c>
      <c r="FP39" s="358">
        <f t="shared" ref="FP39:FR47" si="138">EG39+EL39+EQ39</f>
        <v>0</v>
      </c>
      <c r="FQ39" s="358">
        <f t="shared" si="138"/>
        <v>0</v>
      </c>
      <c r="FR39" s="358">
        <f t="shared" si="138"/>
        <v>0</v>
      </c>
      <c r="FS39" s="151" t="e">
        <f t="shared" ref="FS39:FS46" si="139">FR39/FQ39</f>
        <v>#DIV/0!</v>
      </c>
    </row>
    <row r="40" spans="1:175" s="122" customFormat="1" x14ac:dyDescent="0.3">
      <c r="A40" s="110">
        <v>29</v>
      </c>
      <c r="B40" s="120" t="s">
        <v>146</v>
      </c>
      <c r="C40" s="121" t="s">
        <v>144</v>
      </c>
      <c r="D40" s="1605" t="s">
        <v>145</v>
      </c>
      <c r="E40" s="439"/>
      <c r="F40" s="208"/>
      <c r="G40" s="208"/>
      <c r="H40" s="208">
        <f t="shared" si="50"/>
        <v>0</v>
      </c>
      <c r="I40" s="217"/>
      <c r="J40" s="583"/>
      <c r="K40" s="208"/>
      <c r="L40" s="208"/>
      <c r="M40" s="208">
        <f t="shared" si="51"/>
        <v>0</v>
      </c>
      <c r="N40" s="186"/>
      <c r="O40" s="583"/>
      <c r="P40" s="395"/>
      <c r="Q40" s="395"/>
      <c r="R40" s="208">
        <f t="shared" si="52"/>
        <v>0</v>
      </c>
      <c r="S40" s="421"/>
      <c r="T40" s="1325"/>
      <c r="U40" s="1317"/>
      <c r="V40" s="1317"/>
      <c r="W40" s="208">
        <f t="shared" si="53"/>
        <v>0</v>
      </c>
      <c r="X40" s="1313"/>
      <c r="Y40" s="113"/>
      <c r="Z40" s="208"/>
      <c r="AA40" s="208"/>
      <c r="AB40" s="208">
        <f t="shared" si="54"/>
        <v>0</v>
      </c>
      <c r="AC40" s="78"/>
      <c r="AD40" s="113"/>
      <c r="AE40" s="395"/>
      <c r="AF40" s="395"/>
      <c r="AG40" s="208">
        <f t="shared" si="55"/>
        <v>0</v>
      </c>
      <c r="AH40" s="94"/>
      <c r="AI40" s="113"/>
      <c r="AJ40" s="208"/>
      <c r="AK40" s="208"/>
      <c r="AL40" s="208">
        <f t="shared" si="56"/>
        <v>0</v>
      </c>
      <c r="AM40" s="78"/>
      <c r="AN40" s="113"/>
      <c r="AO40" s="208"/>
      <c r="AP40" s="395"/>
      <c r="AQ40" s="208">
        <f t="shared" si="44"/>
        <v>0</v>
      </c>
      <c r="AR40" s="157"/>
      <c r="AS40" s="209"/>
      <c r="AT40" s="208"/>
      <c r="AU40" s="395"/>
      <c r="AV40" s="208">
        <f t="shared" si="45"/>
        <v>0</v>
      </c>
      <c r="AW40" s="157"/>
      <c r="AX40" s="113"/>
      <c r="AY40" s="208"/>
      <c r="AZ40" s="208"/>
      <c r="BA40" s="208">
        <f t="shared" si="46"/>
        <v>0</v>
      </c>
      <c r="BB40" s="1561">
        <v>0</v>
      </c>
      <c r="BC40" s="583"/>
      <c r="BD40" s="395"/>
      <c r="BE40" s="395"/>
      <c r="BF40" s="208">
        <f t="shared" si="49"/>
        <v>0</v>
      </c>
      <c r="BG40" s="157"/>
      <c r="BH40" s="113"/>
      <c r="BI40" s="208"/>
      <c r="BJ40" s="208"/>
      <c r="BK40" s="208">
        <f t="shared" si="47"/>
        <v>0</v>
      </c>
      <c r="BL40" s="1581">
        <v>0</v>
      </c>
      <c r="BM40" s="1314"/>
      <c r="BN40" s="1310">
        <f t="shared" si="103"/>
        <v>0</v>
      </c>
      <c r="BO40" s="1310">
        <f t="shared" si="103"/>
        <v>0</v>
      </c>
      <c r="BP40" s="1310">
        <f t="shared" si="103"/>
        <v>0</v>
      </c>
      <c r="BQ40" s="220"/>
      <c r="BR40" s="607">
        <f t="shared" si="104"/>
        <v>0</v>
      </c>
      <c r="BS40" s="137">
        <f t="shared" ref="BS40:BT47" si="140">F40+K40+P40</f>
        <v>0</v>
      </c>
      <c r="BT40" s="137">
        <f t="shared" si="140"/>
        <v>0</v>
      </c>
      <c r="BU40" s="137">
        <f t="shared" si="105"/>
        <v>0</v>
      </c>
      <c r="BV40" s="151"/>
      <c r="BW40" s="607">
        <f t="shared" si="106"/>
        <v>0</v>
      </c>
      <c r="BX40" s="137">
        <f t="shared" si="107"/>
        <v>0</v>
      </c>
      <c r="BY40" s="137">
        <f t="shared" si="107"/>
        <v>0</v>
      </c>
      <c r="BZ40" s="137">
        <f t="shared" si="107"/>
        <v>0</v>
      </c>
      <c r="CA40" s="135"/>
      <c r="CB40" s="607">
        <f t="shared" si="108"/>
        <v>0</v>
      </c>
      <c r="CC40" s="358">
        <f t="shared" si="109"/>
        <v>0</v>
      </c>
      <c r="CD40" s="358">
        <f t="shared" si="109"/>
        <v>0</v>
      </c>
      <c r="CE40" s="358">
        <f t="shared" si="109"/>
        <v>0</v>
      </c>
      <c r="CF40" s="135" t="e">
        <f t="shared" si="64"/>
        <v>#DIV/0!</v>
      </c>
      <c r="CG40" s="1315">
        <f t="shared" si="110"/>
        <v>0</v>
      </c>
      <c r="CH40" s="358">
        <f t="shared" si="111"/>
        <v>0</v>
      </c>
      <c r="CI40" s="358">
        <f t="shared" si="111"/>
        <v>0</v>
      </c>
      <c r="CJ40" s="358">
        <f t="shared" si="111"/>
        <v>0</v>
      </c>
      <c r="CK40" s="151" t="e">
        <f t="shared" si="43"/>
        <v>#DIV/0!</v>
      </c>
      <c r="CL40" s="79"/>
      <c r="CM40" s="439">
        <v>1</v>
      </c>
      <c r="CN40" s="208">
        <v>24186</v>
      </c>
      <c r="CO40" s="208">
        <v>32500</v>
      </c>
      <c r="CP40" s="208">
        <f t="shared" si="112"/>
        <v>8314</v>
      </c>
      <c r="CQ40" s="217">
        <f>CP40/CO40</f>
        <v>0.25581538461538461</v>
      </c>
      <c r="CR40" s="583">
        <v>1</v>
      </c>
      <c r="CS40" s="208">
        <v>19434</v>
      </c>
      <c r="CT40" s="208">
        <v>20900</v>
      </c>
      <c r="CU40" s="208">
        <f t="shared" si="113"/>
        <v>1466</v>
      </c>
      <c r="CV40" s="186">
        <f>CU40/CT40</f>
        <v>7.0143540669856466E-2</v>
      </c>
      <c r="CW40" s="401">
        <v>1</v>
      </c>
      <c r="CX40" s="395">
        <v>18767</v>
      </c>
      <c r="CY40" s="395">
        <v>20500</v>
      </c>
      <c r="CZ40" s="208">
        <f t="shared" si="114"/>
        <v>1733</v>
      </c>
      <c r="DA40" s="203">
        <f t="shared" ref="DA40:DA48" si="141">CZ40/CY40</f>
        <v>8.4536585365853664E-2</v>
      </c>
      <c r="DB40" s="1325">
        <v>3</v>
      </c>
      <c r="DC40" s="1317">
        <v>272138</v>
      </c>
      <c r="DD40" s="1317"/>
      <c r="DE40" s="208">
        <f t="shared" si="115"/>
        <v>-272138</v>
      </c>
      <c r="DF40" s="1610" t="e">
        <f t="shared" si="116"/>
        <v>#DIV/0!</v>
      </c>
      <c r="DG40" s="113"/>
      <c r="DH40" s="208"/>
      <c r="DI40" s="208"/>
      <c r="DJ40" s="208">
        <f t="shared" si="117"/>
        <v>0</v>
      </c>
      <c r="DK40" s="78" t="e">
        <f t="shared" ref="DK40:DK60" si="142">DJ40/DI40</f>
        <v>#DIV/0!</v>
      </c>
      <c r="DL40" s="113"/>
      <c r="DM40" s="395"/>
      <c r="DN40" s="395"/>
      <c r="DO40" s="208">
        <f t="shared" si="118"/>
        <v>0</v>
      </c>
      <c r="DP40" s="94" t="e">
        <f t="shared" ref="DP40:DP43" si="143">DO40/DN40</f>
        <v>#DIV/0!</v>
      </c>
      <c r="DQ40" s="113"/>
      <c r="DR40" s="208"/>
      <c r="DS40" s="208"/>
      <c r="DT40" s="208">
        <f t="shared" si="119"/>
        <v>0</v>
      </c>
      <c r="DU40" s="78"/>
      <c r="DV40" s="113"/>
      <c r="DW40" s="208"/>
      <c r="DX40" s="395"/>
      <c r="DY40" s="208">
        <f t="shared" si="120"/>
        <v>0</v>
      </c>
      <c r="DZ40" s="157" t="e">
        <f t="shared" si="121"/>
        <v>#DIV/0!</v>
      </c>
      <c r="EA40" s="209"/>
      <c r="EB40" s="208"/>
      <c r="EC40" s="395"/>
      <c r="ED40" s="208">
        <f t="shared" si="122"/>
        <v>0</v>
      </c>
      <c r="EE40" s="157" t="e">
        <f t="shared" si="123"/>
        <v>#DIV/0!</v>
      </c>
      <c r="EF40" s="113"/>
      <c r="EG40" s="208"/>
      <c r="EH40" s="208"/>
      <c r="EI40" s="208">
        <f t="shared" si="124"/>
        <v>0</v>
      </c>
      <c r="EJ40" s="157" t="e">
        <f t="shared" si="125"/>
        <v>#DIV/0!</v>
      </c>
      <c r="EK40" s="583"/>
      <c r="EL40" s="395"/>
      <c r="EM40" s="395"/>
      <c r="EN40" s="208">
        <f t="shared" si="126"/>
        <v>0</v>
      </c>
      <c r="EO40" s="157" t="e">
        <f t="shared" si="127"/>
        <v>#DIV/0!</v>
      </c>
      <c r="EP40" s="113"/>
      <c r="EQ40" s="208"/>
      <c r="ER40" s="208"/>
      <c r="ES40" s="208">
        <f t="shared" si="128"/>
        <v>0</v>
      </c>
      <c r="ET40" s="186" t="e">
        <f t="shared" si="102"/>
        <v>#DIV/0!</v>
      </c>
      <c r="EU40" s="1314"/>
      <c r="EV40" s="1310">
        <f t="shared" si="129"/>
        <v>334525</v>
      </c>
      <c r="EW40" s="1310">
        <f t="shared" si="129"/>
        <v>73900</v>
      </c>
      <c r="EX40" s="1310">
        <f t="shared" si="129"/>
        <v>-260625</v>
      </c>
      <c r="EY40" s="220"/>
      <c r="EZ40" s="357">
        <f t="shared" si="130"/>
        <v>1</v>
      </c>
      <c r="FA40" s="137">
        <f t="shared" ref="FA40:FB47" si="144">CN40+CS40+CX40</f>
        <v>62387</v>
      </c>
      <c r="FB40" s="137">
        <f t="shared" si="144"/>
        <v>73900</v>
      </c>
      <c r="FC40" s="137">
        <f t="shared" si="131"/>
        <v>11513</v>
      </c>
      <c r="FD40" s="151"/>
      <c r="FE40" s="607">
        <f t="shared" si="132"/>
        <v>1</v>
      </c>
      <c r="FF40" s="137">
        <f t="shared" si="133"/>
        <v>272138</v>
      </c>
      <c r="FG40" s="137">
        <f t="shared" si="133"/>
        <v>0</v>
      </c>
      <c r="FH40" s="137">
        <f t="shared" si="133"/>
        <v>-272138</v>
      </c>
      <c r="FI40" s="135"/>
      <c r="FJ40" s="607">
        <f t="shared" si="134"/>
        <v>0</v>
      </c>
      <c r="FK40" s="358">
        <f t="shared" si="135"/>
        <v>0</v>
      </c>
      <c r="FL40" s="358">
        <f t="shared" si="135"/>
        <v>0</v>
      </c>
      <c r="FM40" s="358">
        <f t="shared" si="135"/>
        <v>0</v>
      </c>
      <c r="FN40" s="135" t="e">
        <f t="shared" si="136"/>
        <v>#DIV/0!</v>
      </c>
      <c r="FO40" s="1315">
        <f t="shared" si="137"/>
        <v>0</v>
      </c>
      <c r="FP40" s="358">
        <f t="shared" si="138"/>
        <v>0</v>
      </c>
      <c r="FQ40" s="358">
        <f t="shared" si="138"/>
        <v>0</v>
      </c>
      <c r="FR40" s="358">
        <f t="shared" si="138"/>
        <v>0</v>
      </c>
      <c r="FS40" s="151" t="e">
        <f t="shared" si="139"/>
        <v>#DIV/0!</v>
      </c>
    </row>
    <row r="41" spans="1:175" x14ac:dyDescent="0.3">
      <c r="A41" s="110">
        <v>30</v>
      </c>
      <c r="B41" s="111" t="s">
        <v>54</v>
      </c>
      <c r="C41" s="112" t="s">
        <v>144</v>
      </c>
      <c r="D41" s="1605" t="s">
        <v>145</v>
      </c>
      <c r="E41" s="439"/>
      <c r="F41" s="208"/>
      <c r="G41" s="395"/>
      <c r="H41" s="208">
        <f t="shared" si="50"/>
        <v>0</v>
      </c>
      <c r="I41" s="217"/>
      <c r="J41" s="113">
        <v>2</v>
      </c>
      <c r="K41" s="208">
        <v>105952</v>
      </c>
      <c r="L41" s="208">
        <v>176836</v>
      </c>
      <c r="M41" s="208">
        <f t="shared" si="51"/>
        <v>70884</v>
      </c>
      <c r="N41" s="186">
        <f>M41/L41</f>
        <v>0.40084598158745954</v>
      </c>
      <c r="O41" s="583"/>
      <c r="P41" s="395"/>
      <c r="Q41" s="395"/>
      <c r="R41" s="208">
        <f t="shared" si="52"/>
        <v>0</v>
      </c>
      <c r="S41" s="169"/>
      <c r="T41" s="1325"/>
      <c r="U41" s="1317"/>
      <c r="V41" s="1317"/>
      <c r="W41" s="208">
        <f t="shared" si="53"/>
        <v>0</v>
      </c>
      <c r="X41" s="1313"/>
      <c r="Y41" s="583"/>
      <c r="Z41" s="395"/>
      <c r="AA41" s="395"/>
      <c r="AB41" s="208">
        <f t="shared" si="54"/>
        <v>0</v>
      </c>
      <c r="AC41" s="78"/>
      <c r="AD41" s="583">
        <v>2</v>
      </c>
      <c r="AE41" s="395">
        <v>72401</v>
      </c>
      <c r="AF41" s="395">
        <v>103864</v>
      </c>
      <c r="AG41" s="208">
        <f t="shared" si="55"/>
        <v>31463</v>
      </c>
      <c r="AH41" s="94">
        <f>AG41/AF41</f>
        <v>0.30292497881845493</v>
      </c>
      <c r="AI41" s="583"/>
      <c r="AJ41" s="395"/>
      <c r="AK41" s="395"/>
      <c r="AL41" s="208">
        <f t="shared" si="56"/>
        <v>0</v>
      </c>
      <c r="AM41" s="186"/>
      <c r="AN41" s="583"/>
      <c r="AO41" s="395"/>
      <c r="AP41" s="395"/>
      <c r="AQ41" s="208">
        <f t="shared" si="44"/>
        <v>0</v>
      </c>
      <c r="AR41" s="157"/>
      <c r="AS41" s="209"/>
      <c r="AT41" s="208"/>
      <c r="AU41" s="208"/>
      <c r="AV41" s="208">
        <f t="shared" si="45"/>
        <v>0</v>
      </c>
      <c r="AW41" s="157"/>
      <c r="AX41" s="583"/>
      <c r="AY41" s="395"/>
      <c r="AZ41" s="395"/>
      <c r="BA41" s="208">
        <f t="shared" si="46"/>
        <v>0</v>
      </c>
      <c r="BB41" s="1561">
        <v>0</v>
      </c>
      <c r="BC41" s="583">
        <v>1</v>
      </c>
      <c r="BD41" s="395">
        <v>10938</v>
      </c>
      <c r="BE41" s="395">
        <v>0</v>
      </c>
      <c r="BF41" s="208">
        <f t="shared" si="49"/>
        <v>-10938</v>
      </c>
      <c r="BG41" s="1561">
        <v>0</v>
      </c>
      <c r="BH41" s="113"/>
      <c r="BI41" s="208"/>
      <c r="BJ41" s="208"/>
      <c r="BK41" s="208">
        <f t="shared" si="47"/>
        <v>0</v>
      </c>
      <c r="BL41" s="1581">
        <v>0</v>
      </c>
      <c r="BM41" s="1314"/>
      <c r="BN41" s="1310">
        <f t="shared" si="103"/>
        <v>189291</v>
      </c>
      <c r="BO41" s="1310">
        <f t="shared" si="103"/>
        <v>280700</v>
      </c>
      <c r="BP41" s="1310">
        <f t="shared" si="103"/>
        <v>91409</v>
      </c>
      <c r="BQ41" s="220">
        <f t="shared" si="8"/>
        <v>0.32564659779123617</v>
      </c>
      <c r="BR41" s="607">
        <f t="shared" si="104"/>
        <v>0.66666666666666663</v>
      </c>
      <c r="BS41" s="137">
        <f t="shared" si="140"/>
        <v>105952</v>
      </c>
      <c r="BT41" s="137">
        <f t="shared" si="140"/>
        <v>176836</v>
      </c>
      <c r="BU41" s="137">
        <f t="shared" si="105"/>
        <v>70884</v>
      </c>
      <c r="BV41" s="151">
        <f>BU41/BT41</f>
        <v>0.40084598158745954</v>
      </c>
      <c r="BW41" s="607">
        <f t="shared" si="106"/>
        <v>0.66666666666666663</v>
      </c>
      <c r="BX41" s="137">
        <f t="shared" si="107"/>
        <v>72401</v>
      </c>
      <c r="BY41" s="137">
        <f t="shared" si="107"/>
        <v>103864</v>
      </c>
      <c r="BZ41" s="137">
        <f t="shared" si="107"/>
        <v>31463</v>
      </c>
      <c r="CA41" s="135">
        <f>BZ41/BY41</f>
        <v>0.30292497881845493</v>
      </c>
      <c r="CB41" s="607">
        <f t="shared" si="108"/>
        <v>0</v>
      </c>
      <c r="CC41" s="358">
        <f t="shared" si="109"/>
        <v>0</v>
      </c>
      <c r="CD41" s="358">
        <f t="shared" si="109"/>
        <v>0</v>
      </c>
      <c r="CE41" s="358">
        <f t="shared" si="109"/>
        <v>0</v>
      </c>
      <c r="CF41" s="135" t="e">
        <f t="shared" si="64"/>
        <v>#DIV/0!</v>
      </c>
      <c r="CG41" s="1315">
        <f t="shared" si="110"/>
        <v>0.33333333333333331</v>
      </c>
      <c r="CH41" s="358">
        <f t="shared" si="111"/>
        <v>10938</v>
      </c>
      <c r="CI41" s="358">
        <f t="shared" si="111"/>
        <v>0</v>
      </c>
      <c r="CJ41" s="358">
        <f t="shared" si="111"/>
        <v>-10938</v>
      </c>
      <c r="CK41" s="151" t="e">
        <f t="shared" si="43"/>
        <v>#DIV/0!</v>
      </c>
      <c r="CL41" s="79"/>
      <c r="CM41" s="439"/>
      <c r="CN41" s="208"/>
      <c r="CO41" s="395"/>
      <c r="CP41" s="208">
        <f t="shared" si="112"/>
        <v>0</v>
      </c>
      <c r="CQ41" s="3547">
        <v>0</v>
      </c>
      <c r="CR41" s="113">
        <v>1</v>
      </c>
      <c r="CS41" s="208">
        <v>170691</v>
      </c>
      <c r="CT41" s="208">
        <v>334296</v>
      </c>
      <c r="CU41" s="208">
        <f t="shared" si="113"/>
        <v>163605</v>
      </c>
      <c r="CV41" s="186">
        <f>CU41/CT41</f>
        <v>0.48940160815564648</v>
      </c>
      <c r="CW41" s="401"/>
      <c r="CX41" s="395"/>
      <c r="CY41" s="395"/>
      <c r="CZ41" s="208">
        <f t="shared" si="114"/>
        <v>0</v>
      </c>
      <c r="DA41" s="203"/>
      <c r="DB41" s="1325">
        <v>1</v>
      </c>
      <c r="DC41" s="1317">
        <v>226260</v>
      </c>
      <c r="DD41" s="1317"/>
      <c r="DE41" s="208">
        <f t="shared" si="115"/>
        <v>-226260</v>
      </c>
      <c r="DF41" s="1610" t="e">
        <f t="shared" si="116"/>
        <v>#DIV/0!</v>
      </c>
      <c r="DG41" s="583">
        <v>1</v>
      </c>
      <c r="DH41" s="395">
        <v>14332</v>
      </c>
      <c r="DI41" s="395"/>
      <c r="DJ41" s="208">
        <f t="shared" si="117"/>
        <v>-14332</v>
      </c>
      <c r="DK41" s="78" t="e">
        <f t="shared" si="142"/>
        <v>#DIV/0!</v>
      </c>
      <c r="DL41" s="583"/>
      <c r="DM41" s="395"/>
      <c r="DN41" s="395"/>
      <c r="DO41" s="208">
        <f t="shared" si="118"/>
        <v>0</v>
      </c>
      <c r="DP41" s="94" t="e">
        <f t="shared" si="143"/>
        <v>#DIV/0!</v>
      </c>
      <c r="DQ41" s="583"/>
      <c r="DR41" s="395"/>
      <c r="DS41" s="395"/>
      <c r="DT41" s="208">
        <f t="shared" si="119"/>
        <v>0</v>
      </c>
      <c r="DU41" s="186"/>
      <c r="DV41" s="583"/>
      <c r="DW41" s="395"/>
      <c r="DX41" s="395"/>
      <c r="DY41" s="208">
        <f t="shared" si="120"/>
        <v>0</v>
      </c>
      <c r="DZ41" s="157" t="e">
        <f t="shared" si="121"/>
        <v>#DIV/0!</v>
      </c>
      <c r="EA41" s="209"/>
      <c r="EB41" s="208"/>
      <c r="EC41" s="208"/>
      <c r="ED41" s="208">
        <f t="shared" si="122"/>
        <v>0</v>
      </c>
      <c r="EE41" s="157" t="e">
        <f t="shared" si="123"/>
        <v>#DIV/0!</v>
      </c>
      <c r="EF41" s="583"/>
      <c r="EG41" s="395"/>
      <c r="EH41" s="395"/>
      <c r="EI41" s="208">
        <f t="shared" si="124"/>
        <v>0</v>
      </c>
      <c r="EJ41" s="157" t="e">
        <f t="shared" si="125"/>
        <v>#DIV/0!</v>
      </c>
      <c r="EK41" s="583"/>
      <c r="EL41" s="395"/>
      <c r="EM41" s="395"/>
      <c r="EN41" s="208">
        <f t="shared" si="126"/>
        <v>0</v>
      </c>
      <c r="EO41" s="157" t="e">
        <f t="shared" si="127"/>
        <v>#DIV/0!</v>
      </c>
      <c r="EP41" s="113"/>
      <c r="EQ41" s="208"/>
      <c r="ER41" s="208"/>
      <c r="ES41" s="208">
        <f t="shared" si="128"/>
        <v>0</v>
      </c>
      <c r="ET41" s="186" t="e">
        <f t="shared" si="102"/>
        <v>#DIV/0!</v>
      </c>
      <c r="EU41" s="1314"/>
      <c r="EV41" s="1310">
        <f t="shared" si="129"/>
        <v>411283</v>
      </c>
      <c r="EW41" s="1310">
        <f t="shared" si="129"/>
        <v>334296</v>
      </c>
      <c r="EX41" s="1310">
        <f t="shared" si="129"/>
        <v>-76987</v>
      </c>
      <c r="EY41" s="220">
        <f>EX41/EW41</f>
        <v>-0.23029590542513223</v>
      </c>
      <c r="EZ41" s="357">
        <f t="shared" si="130"/>
        <v>0.33333333333333331</v>
      </c>
      <c r="FA41" s="137">
        <f t="shared" si="144"/>
        <v>170691</v>
      </c>
      <c r="FB41" s="137">
        <f t="shared" si="144"/>
        <v>334296</v>
      </c>
      <c r="FC41" s="137">
        <f t="shared" si="131"/>
        <v>163605</v>
      </c>
      <c r="FD41" s="151">
        <f>FC41/FB41</f>
        <v>0.48940160815564648</v>
      </c>
      <c r="FE41" s="607">
        <f t="shared" si="132"/>
        <v>0.66666666666666663</v>
      </c>
      <c r="FF41" s="137">
        <f t="shared" si="133"/>
        <v>240592</v>
      </c>
      <c r="FG41" s="137">
        <f t="shared" si="133"/>
        <v>0</v>
      </c>
      <c r="FH41" s="137">
        <f t="shared" si="133"/>
        <v>-240592</v>
      </c>
      <c r="FI41" s="135" t="e">
        <f>FH41/FG41</f>
        <v>#DIV/0!</v>
      </c>
      <c r="FJ41" s="607">
        <f t="shared" si="134"/>
        <v>0</v>
      </c>
      <c r="FK41" s="358">
        <f t="shared" si="135"/>
        <v>0</v>
      </c>
      <c r="FL41" s="358">
        <f t="shared" si="135"/>
        <v>0</v>
      </c>
      <c r="FM41" s="358">
        <f t="shared" si="135"/>
        <v>0</v>
      </c>
      <c r="FN41" s="135" t="e">
        <f t="shared" si="136"/>
        <v>#DIV/0!</v>
      </c>
      <c r="FO41" s="1315">
        <f t="shared" si="137"/>
        <v>0</v>
      </c>
      <c r="FP41" s="358">
        <f t="shared" si="138"/>
        <v>0</v>
      </c>
      <c r="FQ41" s="358">
        <f t="shared" si="138"/>
        <v>0</v>
      </c>
      <c r="FR41" s="358">
        <f t="shared" si="138"/>
        <v>0</v>
      </c>
      <c r="FS41" s="151" t="e">
        <f t="shared" si="139"/>
        <v>#DIV/0!</v>
      </c>
    </row>
    <row r="42" spans="1:175" x14ac:dyDescent="0.3">
      <c r="A42" s="110">
        <v>31</v>
      </c>
      <c r="B42" s="111" t="s">
        <v>147</v>
      </c>
      <c r="C42" s="112" t="s">
        <v>144</v>
      </c>
      <c r="D42" s="1605" t="s">
        <v>145</v>
      </c>
      <c r="E42" s="439"/>
      <c r="F42" s="208"/>
      <c r="G42" s="208"/>
      <c r="H42" s="208">
        <f t="shared" si="50"/>
        <v>0</v>
      </c>
      <c r="I42" s="217"/>
      <c r="J42" s="113"/>
      <c r="K42" s="208"/>
      <c r="L42" s="208"/>
      <c r="M42" s="208">
        <f t="shared" si="51"/>
        <v>0</v>
      </c>
      <c r="N42" s="186"/>
      <c r="O42" s="113"/>
      <c r="P42" s="208"/>
      <c r="Q42" s="395"/>
      <c r="R42" s="208">
        <f t="shared" si="52"/>
        <v>0</v>
      </c>
      <c r="S42" s="169"/>
      <c r="T42" s="1325"/>
      <c r="U42" s="1317"/>
      <c r="V42" s="1317"/>
      <c r="W42" s="208">
        <f t="shared" si="53"/>
        <v>0</v>
      </c>
      <c r="X42" s="1313"/>
      <c r="Y42" s="113"/>
      <c r="Z42" s="208"/>
      <c r="AA42" s="208"/>
      <c r="AB42" s="208">
        <f t="shared" si="54"/>
        <v>0</v>
      </c>
      <c r="AC42" s="78"/>
      <c r="AD42" s="113"/>
      <c r="AE42" s="208"/>
      <c r="AF42" s="208"/>
      <c r="AG42" s="208">
        <f t="shared" si="55"/>
        <v>0</v>
      </c>
      <c r="AH42" s="94"/>
      <c r="AI42" s="113"/>
      <c r="AJ42" s="208"/>
      <c r="AK42" s="395"/>
      <c r="AL42" s="208">
        <f t="shared" si="56"/>
        <v>0</v>
      </c>
      <c r="AM42" s="78"/>
      <c r="AN42" s="113"/>
      <c r="AO42" s="208"/>
      <c r="AP42" s="208"/>
      <c r="AQ42" s="208">
        <f t="shared" si="44"/>
        <v>0</v>
      </c>
      <c r="AR42" s="157"/>
      <c r="AS42" s="209"/>
      <c r="AT42" s="208"/>
      <c r="AU42" s="208"/>
      <c r="AV42" s="208">
        <f t="shared" si="45"/>
        <v>0</v>
      </c>
      <c r="AW42" s="157"/>
      <c r="AX42" s="113"/>
      <c r="AY42" s="208"/>
      <c r="AZ42" s="208"/>
      <c r="BA42" s="208">
        <f t="shared" si="46"/>
        <v>0</v>
      </c>
      <c r="BB42" s="1561">
        <v>0</v>
      </c>
      <c r="BC42" s="583"/>
      <c r="BD42" s="395"/>
      <c r="BE42" s="395"/>
      <c r="BF42" s="208">
        <f t="shared" si="49"/>
        <v>0</v>
      </c>
      <c r="BG42" s="157"/>
      <c r="BH42" s="113"/>
      <c r="BI42" s="208"/>
      <c r="BJ42" s="208"/>
      <c r="BK42" s="208">
        <f t="shared" si="47"/>
        <v>0</v>
      </c>
      <c r="BL42" s="1614">
        <v>0</v>
      </c>
      <c r="BM42" s="1314"/>
      <c r="BN42" s="1310">
        <f t="shared" si="103"/>
        <v>0</v>
      </c>
      <c r="BO42" s="1310">
        <f t="shared" si="103"/>
        <v>0</v>
      </c>
      <c r="BP42" s="1310">
        <f t="shared" si="103"/>
        <v>0</v>
      </c>
      <c r="BQ42" s="220"/>
      <c r="BR42" s="607">
        <f t="shared" si="104"/>
        <v>0</v>
      </c>
      <c r="BS42" s="137">
        <f t="shared" si="140"/>
        <v>0</v>
      </c>
      <c r="BT42" s="137">
        <f t="shared" si="140"/>
        <v>0</v>
      </c>
      <c r="BU42" s="137">
        <f t="shared" si="105"/>
        <v>0</v>
      </c>
      <c r="BV42" s="151"/>
      <c r="BW42" s="607">
        <f t="shared" si="106"/>
        <v>0</v>
      </c>
      <c r="BX42" s="137">
        <f t="shared" si="107"/>
        <v>0</v>
      </c>
      <c r="BY42" s="137">
        <f t="shared" si="107"/>
        <v>0</v>
      </c>
      <c r="BZ42" s="137">
        <f t="shared" si="107"/>
        <v>0</v>
      </c>
      <c r="CA42" s="135"/>
      <c r="CB42" s="607">
        <f t="shared" si="108"/>
        <v>0</v>
      </c>
      <c r="CC42" s="358">
        <f t="shared" si="109"/>
        <v>0</v>
      </c>
      <c r="CD42" s="358">
        <f t="shared" si="109"/>
        <v>0</v>
      </c>
      <c r="CE42" s="358">
        <f t="shared" si="109"/>
        <v>0</v>
      </c>
      <c r="CF42" s="135" t="e">
        <f t="shared" si="64"/>
        <v>#DIV/0!</v>
      </c>
      <c r="CG42" s="1315">
        <f t="shared" si="110"/>
        <v>0</v>
      </c>
      <c r="CH42" s="358">
        <f t="shared" si="111"/>
        <v>0</v>
      </c>
      <c r="CI42" s="358">
        <f t="shared" si="111"/>
        <v>0</v>
      </c>
      <c r="CJ42" s="358">
        <f t="shared" si="111"/>
        <v>0</v>
      </c>
      <c r="CK42" s="151" t="e">
        <f t="shared" si="43"/>
        <v>#DIV/0!</v>
      </c>
      <c r="CL42" s="79"/>
      <c r="CM42" s="439"/>
      <c r="CN42" s="208"/>
      <c r="CO42" s="208"/>
      <c r="CP42" s="208">
        <f t="shared" si="112"/>
        <v>0</v>
      </c>
      <c r="CQ42" s="3547">
        <v>0</v>
      </c>
      <c r="CR42" s="113"/>
      <c r="CS42" s="208"/>
      <c r="CT42" s="208"/>
      <c r="CU42" s="208">
        <f t="shared" si="113"/>
        <v>0</v>
      </c>
      <c r="CV42" s="186"/>
      <c r="CW42" s="439"/>
      <c r="CX42" s="208"/>
      <c r="CY42" s="395"/>
      <c r="CZ42" s="208">
        <f t="shared" si="114"/>
        <v>0</v>
      </c>
      <c r="DA42" s="203"/>
      <c r="DB42" s="1325"/>
      <c r="DC42" s="1317"/>
      <c r="DD42" s="1317"/>
      <c r="DE42" s="208">
        <f t="shared" si="115"/>
        <v>0</v>
      </c>
      <c r="DF42" s="1610" t="e">
        <f t="shared" si="116"/>
        <v>#DIV/0!</v>
      </c>
      <c r="DG42" s="113"/>
      <c r="DH42" s="208"/>
      <c r="DI42" s="208"/>
      <c r="DJ42" s="208">
        <f t="shared" si="117"/>
        <v>0</v>
      </c>
      <c r="DK42" s="78" t="e">
        <f t="shared" si="142"/>
        <v>#DIV/0!</v>
      </c>
      <c r="DL42" s="113"/>
      <c r="DM42" s="208"/>
      <c r="DN42" s="208"/>
      <c r="DO42" s="208">
        <f t="shared" si="118"/>
        <v>0</v>
      </c>
      <c r="DP42" s="94" t="e">
        <f t="shared" si="143"/>
        <v>#DIV/0!</v>
      </c>
      <c r="DQ42" s="113"/>
      <c r="DR42" s="208"/>
      <c r="DS42" s="395"/>
      <c r="DT42" s="208">
        <f t="shared" si="119"/>
        <v>0</v>
      </c>
      <c r="DU42" s="78"/>
      <c r="DV42" s="113"/>
      <c r="DW42" s="208"/>
      <c r="DX42" s="208"/>
      <c r="DY42" s="208">
        <f t="shared" si="120"/>
        <v>0</v>
      </c>
      <c r="DZ42" s="157" t="e">
        <f t="shared" si="121"/>
        <v>#DIV/0!</v>
      </c>
      <c r="EA42" s="209"/>
      <c r="EB42" s="208"/>
      <c r="EC42" s="208"/>
      <c r="ED42" s="208">
        <f t="shared" si="122"/>
        <v>0</v>
      </c>
      <c r="EE42" s="157" t="e">
        <f t="shared" si="123"/>
        <v>#DIV/0!</v>
      </c>
      <c r="EF42" s="113"/>
      <c r="EG42" s="208"/>
      <c r="EH42" s="208"/>
      <c r="EI42" s="208">
        <f t="shared" si="124"/>
        <v>0</v>
      </c>
      <c r="EJ42" s="157" t="e">
        <f t="shared" si="125"/>
        <v>#DIV/0!</v>
      </c>
      <c r="EK42" s="583"/>
      <c r="EL42" s="395"/>
      <c r="EM42" s="395"/>
      <c r="EN42" s="208">
        <f t="shared" si="126"/>
        <v>0</v>
      </c>
      <c r="EO42" s="157" t="e">
        <f t="shared" si="127"/>
        <v>#DIV/0!</v>
      </c>
      <c r="EP42" s="113"/>
      <c r="EQ42" s="208"/>
      <c r="ER42" s="208"/>
      <c r="ES42" s="208">
        <f t="shared" si="128"/>
        <v>0</v>
      </c>
      <c r="ET42" s="186" t="e">
        <f t="shared" si="102"/>
        <v>#DIV/0!</v>
      </c>
      <c r="EU42" s="1314"/>
      <c r="EV42" s="1310">
        <f t="shared" si="129"/>
        <v>0</v>
      </c>
      <c r="EW42" s="1310">
        <f t="shared" si="129"/>
        <v>0</v>
      </c>
      <c r="EX42" s="1310">
        <f t="shared" si="129"/>
        <v>0</v>
      </c>
      <c r="EY42" s="220"/>
      <c r="EZ42" s="357">
        <f t="shared" si="130"/>
        <v>0</v>
      </c>
      <c r="FA42" s="137">
        <f t="shared" si="144"/>
        <v>0</v>
      </c>
      <c r="FB42" s="137">
        <f t="shared" si="144"/>
        <v>0</v>
      </c>
      <c r="FC42" s="137">
        <f t="shared" si="131"/>
        <v>0</v>
      </c>
      <c r="FD42" s="151"/>
      <c r="FE42" s="607">
        <f t="shared" si="132"/>
        <v>0</v>
      </c>
      <c r="FF42" s="137">
        <f t="shared" si="133"/>
        <v>0</v>
      </c>
      <c r="FG42" s="137">
        <f t="shared" si="133"/>
        <v>0</v>
      </c>
      <c r="FH42" s="137">
        <f t="shared" si="133"/>
        <v>0</v>
      </c>
      <c r="FI42" s="135"/>
      <c r="FJ42" s="607">
        <f t="shared" si="134"/>
        <v>0</v>
      </c>
      <c r="FK42" s="358">
        <f t="shared" si="135"/>
        <v>0</v>
      </c>
      <c r="FL42" s="358">
        <f t="shared" si="135"/>
        <v>0</v>
      </c>
      <c r="FM42" s="358">
        <f t="shared" si="135"/>
        <v>0</v>
      </c>
      <c r="FN42" s="135" t="e">
        <f t="shared" si="136"/>
        <v>#DIV/0!</v>
      </c>
      <c r="FO42" s="1315">
        <f t="shared" si="137"/>
        <v>0</v>
      </c>
      <c r="FP42" s="358">
        <f t="shared" si="138"/>
        <v>0</v>
      </c>
      <c r="FQ42" s="358">
        <f t="shared" si="138"/>
        <v>0</v>
      </c>
      <c r="FR42" s="358">
        <f t="shared" si="138"/>
        <v>0</v>
      </c>
      <c r="FS42" s="151" t="e">
        <f t="shared" si="139"/>
        <v>#DIV/0!</v>
      </c>
    </row>
    <row r="43" spans="1:175" x14ac:dyDescent="0.3">
      <c r="A43" s="110">
        <v>32</v>
      </c>
      <c r="B43" s="111" t="s">
        <v>149</v>
      </c>
      <c r="C43" s="112" t="s">
        <v>144</v>
      </c>
      <c r="D43" s="1605" t="s">
        <v>145</v>
      </c>
      <c r="E43" s="439"/>
      <c r="F43" s="208"/>
      <c r="G43" s="208"/>
      <c r="H43" s="208">
        <f t="shared" si="50"/>
        <v>0</v>
      </c>
      <c r="I43" s="217"/>
      <c r="J43" s="113"/>
      <c r="K43" s="208"/>
      <c r="L43" s="395"/>
      <c r="M43" s="208">
        <f t="shared" si="51"/>
        <v>0</v>
      </c>
      <c r="N43" s="186"/>
      <c r="O43" s="113"/>
      <c r="P43" s="208"/>
      <c r="Q43" s="395"/>
      <c r="R43" s="208">
        <f t="shared" si="52"/>
        <v>0</v>
      </c>
      <c r="S43" s="169"/>
      <c r="T43" s="1312"/>
      <c r="U43" s="265"/>
      <c r="V43" s="265"/>
      <c r="W43" s="208">
        <f t="shared" si="53"/>
        <v>0</v>
      </c>
      <c r="X43" s="1313"/>
      <c r="Y43" s="113"/>
      <c r="Z43" s="208"/>
      <c r="AA43" s="208"/>
      <c r="AB43" s="208">
        <f t="shared" si="54"/>
        <v>0</v>
      </c>
      <c r="AC43" s="78"/>
      <c r="AD43" s="113"/>
      <c r="AE43" s="208"/>
      <c r="AF43" s="208"/>
      <c r="AG43" s="208">
        <f t="shared" si="55"/>
        <v>0</v>
      </c>
      <c r="AH43" s="94"/>
      <c r="AI43" s="113"/>
      <c r="AJ43" s="208"/>
      <c r="AK43" s="208"/>
      <c r="AL43" s="208">
        <f t="shared" si="56"/>
        <v>0</v>
      </c>
      <c r="AM43" s="78"/>
      <c r="AN43" s="113"/>
      <c r="AO43" s="208"/>
      <c r="AP43" s="208"/>
      <c r="AQ43" s="208">
        <f t="shared" si="44"/>
        <v>0</v>
      </c>
      <c r="AR43" s="157"/>
      <c r="AS43" s="209"/>
      <c r="AT43" s="208"/>
      <c r="AU43" s="208"/>
      <c r="AV43" s="208">
        <f t="shared" si="45"/>
        <v>0</v>
      </c>
      <c r="AW43" s="157"/>
      <c r="AX43" s="113"/>
      <c r="AY43" s="208"/>
      <c r="AZ43" s="208"/>
      <c r="BA43" s="208">
        <f t="shared" si="46"/>
        <v>0</v>
      </c>
      <c r="BB43" s="1561">
        <v>0</v>
      </c>
      <c r="BC43" s="583"/>
      <c r="BD43" s="395"/>
      <c r="BE43" s="395"/>
      <c r="BF43" s="208">
        <f t="shared" si="49"/>
        <v>0</v>
      </c>
      <c r="BG43" s="157"/>
      <c r="BH43" s="113"/>
      <c r="BI43" s="208"/>
      <c r="BJ43" s="208"/>
      <c r="BK43" s="208">
        <f t="shared" si="47"/>
        <v>0</v>
      </c>
      <c r="BL43" s="1614">
        <v>0</v>
      </c>
      <c r="BM43" s="1314"/>
      <c r="BN43" s="1310">
        <f t="shared" si="103"/>
        <v>0</v>
      </c>
      <c r="BO43" s="1310">
        <f t="shared" si="103"/>
        <v>0</v>
      </c>
      <c r="BP43" s="1310">
        <f t="shared" si="103"/>
        <v>0</v>
      </c>
      <c r="BQ43" s="220"/>
      <c r="BR43" s="607">
        <f t="shared" si="104"/>
        <v>0</v>
      </c>
      <c r="BS43" s="137">
        <f t="shared" si="140"/>
        <v>0</v>
      </c>
      <c r="BT43" s="137">
        <f t="shared" si="140"/>
        <v>0</v>
      </c>
      <c r="BU43" s="137">
        <f t="shared" si="105"/>
        <v>0</v>
      </c>
      <c r="BV43" s="151"/>
      <c r="BW43" s="607">
        <f t="shared" si="106"/>
        <v>0</v>
      </c>
      <c r="BX43" s="137">
        <f t="shared" si="107"/>
        <v>0</v>
      </c>
      <c r="BY43" s="137">
        <f t="shared" si="107"/>
        <v>0</v>
      </c>
      <c r="BZ43" s="137">
        <f t="shared" si="107"/>
        <v>0</v>
      </c>
      <c r="CA43" s="135"/>
      <c r="CB43" s="607">
        <f t="shared" si="108"/>
        <v>0</v>
      </c>
      <c r="CC43" s="358">
        <f t="shared" si="109"/>
        <v>0</v>
      </c>
      <c r="CD43" s="358">
        <f t="shared" si="109"/>
        <v>0</v>
      </c>
      <c r="CE43" s="358">
        <f t="shared" si="109"/>
        <v>0</v>
      </c>
      <c r="CF43" s="135" t="e">
        <f t="shared" si="64"/>
        <v>#DIV/0!</v>
      </c>
      <c r="CG43" s="1315">
        <f t="shared" si="110"/>
        <v>0</v>
      </c>
      <c r="CH43" s="358">
        <f t="shared" si="111"/>
        <v>0</v>
      </c>
      <c r="CI43" s="358">
        <f t="shared" si="111"/>
        <v>0</v>
      </c>
      <c r="CJ43" s="358">
        <f t="shared" si="111"/>
        <v>0</v>
      </c>
      <c r="CK43" s="151" t="e">
        <f t="shared" si="43"/>
        <v>#DIV/0!</v>
      </c>
      <c r="CL43" s="79"/>
      <c r="CM43" s="439"/>
      <c r="CN43" s="208"/>
      <c r="CO43" s="208"/>
      <c r="CP43" s="208">
        <f t="shared" si="112"/>
        <v>0</v>
      </c>
      <c r="CQ43" s="3547">
        <v>0</v>
      </c>
      <c r="CR43" s="113"/>
      <c r="CS43" s="208"/>
      <c r="CT43" s="395"/>
      <c r="CU43" s="208">
        <f t="shared" si="113"/>
        <v>0</v>
      </c>
      <c r="CV43" s="186"/>
      <c r="CW43" s="439"/>
      <c r="CX43" s="208"/>
      <c r="CY43" s="395"/>
      <c r="CZ43" s="208">
        <f t="shared" si="114"/>
        <v>0</v>
      </c>
      <c r="DA43" s="203"/>
      <c r="DB43" s="1312"/>
      <c r="DC43" s="265"/>
      <c r="DD43" s="265"/>
      <c r="DE43" s="208">
        <f t="shared" si="115"/>
        <v>0</v>
      </c>
      <c r="DF43" s="1610" t="e">
        <f t="shared" si="116"/>
        <v>#DIV/0!</v>
      </c>
      <c r="DG43" s="113">
        <v>1</v>
      </c>
      <c r="DH43" s="208">
        <v>35635</v>
      </c>
      <c r="DI43" s="208"/>
      <c r="DJ43" s="208">
        <f t="shared" si="117"/>
        <v>-35635</v>
      </c>
      <c r="DK43" s="78" t="e">
        <f t="shared" si="142"/>
        <v>#DIV/0!</v>
      </c>
      <c r="DL43" s="113"/>
      <c r="DM43" s="208"/>
      <c r="DN43" s="208"/>
      <c r="DO43" s="208">
        <f t="shared" si="118"/>
        <v>0</v>
      </c>
      <c r="DP43" s="94" t="e">
        <f t="shared" si="143"/>
        <v>#DIV/0!</v>
      </c>
      <c r="DQ43" s="113"/>
      <c r="DR43" s="208"/>
      <c r="DS43" s="208"/>
      <c r="DT43" s="208">
        <f t="shared" si="119"/>
        <v>0</v>
      </c>
      <c r="DU43" s="78"/>
      <c r="DV43" s="113"/>
      <c r="DW43" s="208"/>
      <c r="DX43" s="208"/>
      <c r="DY43" s="208">
        <f t="shared" si="120"/>
        <v>0</v>
      </c>
      <c r="DZ43" s="157" t="e">
        <f t="shared" si="121"/>
        <v>#DIV/0!</v>
      </c>
      <c r="EA43" s="209"/>
      <c r="EB43" s="208"/>
      <c r="EC43" s="208"/>
      <c r="ED43" s="208">
        <f t="shared" si="122"/>
        <v>0</v>
      </c>
      <c r="EE43" s="157" t="e">
        <f t="shared" si="123"/>
        <v>#DIV/0!</v>
      </c>
      <c r="EF43" s="113"/>
      <c r="EG43" s="208"/>
      <c r="EH43" s="208"/>
      <c r="EI43" s="208">
        <f t="shared" si="124"/>
        <v>0</v>
      </c>
      <c r="EJ43" s="157" t="e">
        <f t="shared" si="125"/>
        <v>#DIV/0!</v>
      </c>
      <c r="EK43" s="583"/>
      <c r="EL43" s="395"/>
      <c r="EM43" s="395"/>
      <c r="EN43" s="208">
        <f t="shared" si="126"/>
        <v>0</v>
      </c>
      <c r="EO43" s="157" t="e">
        <f t="shared" si="127"/>
        <v>#DIV/0!</v>
      </c>
      <c r="EP43" s="113"/>
      <c r="EQ43" s="208"/>
      <c r="ER43" s="208"/>
      <c r="ES43" s="208">
        <f t="shared" si="128"/>
        <v>0</v>
      </c>
      <c r="ET43" s="186" t="e">
        <f t="shared" si="102"/>
        <v>#DIV/0!</v>
      </c>
      <c r="EU43" s="1314"/>
      <c r="EV43" s="1310">
        <f t="shared" si="129"/>
        <v>35635</v>
      </c>
      <c r="EW43" s="1310">
        <f t="shared" si="129"/>
        <v>0</v>
      </c>
      <c r="EX43" s="1310">
        <f t="shared" si="129"/>
        <v>-35635</v>
      </c>
      <c r="EY43" s="220"/>
      <c r="EZ43" s="357">
        <f t="shared" si="130"/>
        <v>0</v>
      </c>
      <c r="FA43" s="137">
        <f t="shared" si="144"/>
        <v>0</v>
      </c>
      <c r="FB43" s="137">
        <f t="shared" si="144"/>
        <v>0</v>
      </c>
      <c r="FC43" s="137">
        <f t="shared" si="131"/>
        <v>0</v>
      </c>
      <c r="FD43" s="151"/>
      <c r="FE43" s="607">
        <f t="shared" si="132"/>
        <v>0.33333333333333331</v>
      </c>
      <c r="FF43" s="137">
        <f t="shared" si="133"/>
        <v>35635</v>
      </c>
      <c r="FG43" s="137">
        <f t="shared" si="133"/>
        <v>0</v>
      </c>
      <c r="FH43" s="137">
        <f t="shared" si="133"/>
        <v>-35635</v>
      </c>
      <c r="FI43" s="135"/>
      <c r="FJ43" s="607">
        <f t="shared" si="134"/>
        <v>0</v>
      </c>
      <c r="FK43" s="358">
        <f t="shared" si="135"/>
        <v>0</v>
      </c>
      <c r="FL43" s="358">
        <f t="shared" si="135"/>
        <v>0</v>
      </c>
      <c r="FM43" s="358">
        <f t="shared" si="135"/>
        <v>0</v>
      </c>
      <c r="FN43" s="135" t="e">
        <f t="shared" si="136"/>
        <v>#DIV/0!</v>
      </c>
      <c r="FO43" s="1315">
        <f t="shared" si="137"/>
        <v>0</v>
      </c>
      <c r="FP43" s="358">
        <f t="shared" si="138"/>
        <v>0</v>
      </c>
      <c r="FQ43" s="358">
        <f t="shared" si="138"/>
        <v>0</v>
      </c>
      <c r="FR43" s="358">
        <f t="shared" si="138"/>
        <v>0</v>
      </c>
      <c r="FS43" s="151" t="e">
        <f t="shared" si="139"/>
        <v>#DIV/0!</v>
      </c>
    </row>
    <row r="44" spans="1:175" x14ac:dyDescent="0.3">
      <c r="A44" s="110">
        <v>33</v>
      </c>
      <c r="B44" s="111" t="s">
        <v>150</v>
      </c>
      <c r="C44" s="112" t="s">
        <v>144</v>
      </c>
      <c r="D44" s="1605" t="s">
        <v>145</v>
      </c>
      <c r="E44" s="439"/>
      <c r="F44" s="208"/>
      <c r="G44" s="208"/>
      <c r="H44" s="208">
        <f t="shared" si="50"/>
        <v>0</v>
      </c>
      <c r="I44" s="217"/>
      <c r="J44" s="113"/>
      <c r="K44" s="208"/>
      <c r="L44" s="208"/>
      <c r="M44" s="208">
        <f t="shared" si="51"/>
        <v>0</v>
      </c>
      <c r="N44" s="186"/>
      <c r="O44" s="113"/>
      <c r="P44" s="208"/>
      <c r="Q44" s="395"/>
      <c r="R44" s="208">
        <f t="shared" si="52"/>
        <v>0</v>
      </c>
      <c r="S44" s="169"/>
      <c r="T44" s="1312"/>
      <c r="U44" s="1317"/>
      <c r="V44" s="265"/>
      <c r="W44" s="208">
        <f t="shared" si="53"/>
        <v>0</v>
      </c>
      <c r="X44" s="1313"/>
      <c r="Y44" s="113"/>
      <c r="Z44" s="1328">
        <v>58412</v>
      </c>
      <c r="AA44" s="1329">
        <v>110000</v>
      </c>
      <c r="AB44" s="208">
        <f t="shared" si="54"/>
        <v>51588</v>
      </c>
      <c r="AC44" s="78">
        <f>AB44/AA44</f>
        <v>0.46898181818181817</v>
      </c>
      <c r="AD44" s="113">
        <v>1</v>
      </c>
      <c r="AE44" s="208">
        <v>30267</v>
      </c>
      <c r="AF44" s="208">
        <v>28800</v>
      </c>
      <c r="AG44" s="208">
        <f t="shared" si="55"/>
        <v>-1467</v>
      </c>
      <c r="AH44" s="94">
        <f>AG44/AF44</f>
        <v>-5.0937499999999997E-2</v>
      </c>
      <c r="AI44" s="113"/>
      <c r="AJ44" s="208"/>
      <c r="AK44" s="208"/>
      <c r="AL44" s="208">
        <f t="shared" si="56"/>
        <v>0</v>
      </c>
      <c r="AM44" s="78"/>
      <c r="AN44" s="113"/>
      <c r="AO44" s="208"/>
      <c r="AP44" s="208"/>
      <c r="AQ44" s="208">
        <f t="shared" si="44"/>
        <v>0</v>
      </c>
      <c r="AR44" s="157"/>
      <c r="AS44" s="209">
        <v>1</v>
      </c>
      <c r="AT44" s="208">
        <v>105896</v>
      </c>
      <c r="AU44" s="208">
        <v>124800</v>
      </c>
      <c r="AV44" s="208">
        <f t="shared" si="45"/>
        <v>18904</v>
      </c>
      <c r="AW44" s="157">
        <f>AV44/AU44</f>
        <v>0.15147435897435899</v>
      </c>
      <c r="AX44" s="113"/>
      <c r="AY44" s="208"/>
      <c r="AZ44" s="208"/>
      <c r="BA44" s="208">
        <f t="shared" si="46"/>
        <v>0</v>
      </c>
      <c r="BB44" s="1561">
        <v>0</v>
      </c>
      <c r="BC44" s="583">
        <v>1</v>
      </c>
      <c r="BD44" s="395">
        <v>163544</v>
      </c>
      <c r="BE44" s="395">
        <v>310800</v>
      </c>
      <c r="BF44" s="208">
        <f t="shared" si="49"/>
        <v>147256</v>
      </c>
      <c r="BG44" s="157">
        <f>BF44/BE44</f>
        <v>0.47379665379665381</v>
      </c>
      <c r="BH44" s="113">
        <v>1</v>
      </c>
      <c r="BI44" s="208">
        <v>27863</v>
      </c>
      <c r="BJ44" s="208">
        <v>44400</v>
      </c>
      <c r="BK44" s="208">
        <f t="shared" si="47"/>
        <v>16537</v>
      </c>
      <c r="BL44" s="186">
        <f>BK44/BJ44</f>
        <v>0.37245495495495495</v>
      </c>
      <c r="BM44" s="1314"/>
      <c r="BN44" s="1310">
        <f t="shared" si="103"/>
        <v>385982</v>
      </c>
      <c r="BO44" s="1310">
        <f t="shared" si="103"/>
        <v>618800</v>
      </c>
      <c r="BP44" s="1310">
        <f t="shared" si="103"/>
        <v>232818</v>
      </c>
      <c r="BQ44" s="220">
        <f t="shared" si="8"/>
        <v>0.37624111182934711</v>
      </c>
      <c r="BR44" s="607">
        <f t="shared" si="104"/>
        <v>0</v>
      </c>
      <c r="BS44" s="137">
        <f t="shared" si="140"/>
        <v>0</v>
      </c>
      <c r="BT44" s="137">
        <f t="shared" si="140"/>
        <v>0</v>
      </c>
      <c r="BU44" s="137">
        <f t="shared" si="105"/>
        <v>0</v>
      </c>
      <c r="BV44" s="151"/>
      <c r="BW44" s="607">
        <f t="shared" si="106"/>
        <v>0.33333333333333331</v>
      </c>
      <c r="BX44" s="137">
        <f t="shared" si="107"/>
        <v>88679</v>
      </c>
      <c r="BY44" s="137">
        <f t="shared" si="107"/>
        <v>138800</v>
      </c>
      <c r="BZ44" s="137">
        <f t="shared" si="107"/>
        <v>50121</v>
      </c>
      <c r="CA44" s="135">
        <f>BZ44/BY44</f>
        <v>0.36110230547550431</v>
      </c>
      <c r="CB44" s="607">
        <f t="shared" si="108"/>
        <v>0.33333333333333331</v>
      </c>
      <c r="CC44" s="358">
        <f t="shared" si="109"/>
        <v>105896</v>
      </c>
      <c r="CD44" s="358">
        <f t="shared" si="109"/>
        <v>124800</v>
      </c>
      <c r="CE44" s="358">
        <f t="shared" si="109"/>
        <v>18904</v>
      </c>
      <c r="CF44" s="135">
        <f t="shared" si="64"/>
        <v>0.15147435897435899</v>
      </c>
      <c r="CG44" s="1315">
        <f t="shared" si="110"/>
        <v>0.66666666666666663</v>
      </c>
      <c r="CH44" s="358">
        <f t="shared" si="111"/>
        <v>191407</v>
      </c>
      <c r="CI44" s="358">
        <f t="shared" si="111"/>
        <v>355200</v>
      </c>
      <c r="CJ44" s="358">
        <f t="shared" si="111"/>
        <v>163793</v>
      </c>
      <c r="CK44" s="151">
        <f t="shared" si="43"/>
        <v>0.46112894144144145</v>
      </c>
      <c r="CL44" s="79"/>
      <c r="CM44" s="439"/>
      <c r="CN44" s="208"/>
      <c r="CO44" s="208"/>
      <c r="CP44" s="208">
        <f t="shared" si="112"/>
        <v>0</v>
      </c>
      <c r="CQ44" s="3547">
        <v>0</v>
      </c>
      <c r="CR44" s="113">
        <v>1</v>
      </c>
      <c r="CS44" s="208">
        <v>47378</v>
      </c>
      <c r="CT44" s="208">
        <v>102336</v>
      </c>
      <c r="CU44" s="208">
        <f t="shared" si="113"/>
        <v>54958</v>
      </c>
      <c r="CV44" s="186">
        <f>CU44/CT44</f>
        <v>0.53703486554096314</v>
      </c>
      <c r="CW44" s="439">
        <v>1</v>
      </c>
      <c r="CX44" s="208">
        <v>21068</v>
      </c>
      <c r="CY44" s="395">
        <v>37000</v>
      </c>
      <c r="CZ44" s="208">
        <f t="shared" si="114"/>
        <v>15932</v>
      </c>
      <c r="DA44" s="203">
        <f t="shared" si="141"/>
        <v>0.43059459459459459</v>
      </c>
      <c r="DB44" s="1312">
        <v>3</v>
      </c>
      <c r="DC44" s="1317">
        <v>150125</v>
      </c>
      <c r="DD44" s="265"/>
      <c r="DE44" s="208">
        <f t="shared" si="115"/>
        <v>-150125</v>
      </c>
      <c r="DF44" s="1610" t="e">
        <f t="shared" si="116"/>
        <v>#DIV/0!</v>
      </c>
      <c r="DG44" s="113">
        <v>4</v>
      </c>
      <c r="DH44" s="1328">
        <v>393910</v>
      </c>
      <c r="DI44" s="1329"/>
      <c r="DJ44" s="208">
        <f t="shared" si="117"/>
        <v>-393910</v>
      </c>
      <c r="DK44" s="78" t="e">
        <f t="shared" si="142"/>
        <v>#DIV/0!</v>
      </c>
      <c r="DL44" s="113"/>
      <c r="DM44" s="208"/>
      <c r="DN44" s="208"/>
      <c r="DO44" s="208">
        <f t="shared" si="118"/>
        <v>0</v>
      </c>
      <c r="DP44" s="94" t="e">
        <f>DO44/DN44</f>
        <v>#DIV/0!</v>
      </c>
      <c r="DQ44" s="113"/>
      <c r="DR44" s="208">
        <v>62368</v>
      </c>
      <c r="DS44" s="208"/>
      <c r="DT44" s="208">
        <f t="shared" si="119"/>
        <v>-62368</v>
      </c>
      <c r="DU44" s="78"/>
      <c r="DV44" s="113"/>
      <c r="DW44" s="208"/>
      <c r="DX44" s="208"/>
      <c r="DY44" s="208">
        <f t="shared" si="120"/>
        <v>0</v>
      </c>
      <c r="DZ44" s="157" t="e">
        <f t="shared" si="121"/>
        <v>#DIV/0!</v>
      </c>
      <c r="EA44" s="209"/>
      <c r="EB44" s="208"/>
      <c r="EC44" s="208"/>
      <c r="ED44" s="208">
        <f t="shared" si="122"/>
        <v>0</v>
      </c>
      <c r="EE44" s="157" t="e">
        <f t="shared" si="123"/>
        <v>#DIV/0!</v>
      </c>
      <c r="EF44" s="113"/>
      <c r="EG44" s="208"/>
      <c r="EH44" s="208"/>
      <c r="EI44" s="208">
        <f t="shared" si="124"/>
        <v>0</v>
      </c>
      <c r="EJ44" s="157" t="e">
        <f t="shared" si="125"/>
        <v>#DIV/0!</v>
      </c>
      <c r="EK44" s="583"/>
      <c r="EL44" s="395"/>
      <c r="EM44" s="395"/>
      <c r="EN44" s="208">
        <f t="shared" si="126"/>
        <v>0</v>
      </c>
      <c r="EO44" s="157" t="e">
        <f t="shared" si="127"/>
        <v>#DIV/0!</v>
      </c>
      <c r="EP44" s="113"/>
      <c r="EQ44" s="208"/>
      <c r="ER44" s="208"/>
      <c r="ES44" s="208">
        <f t="shared" si="128"/>
        <v>0</v>
      </c>
      <c r="ET44" s="186" t="e">
        <f t="shared" si="102"/>
        <v>#DIV/0!</v>
      </c>
      <c r="EU44" s="1314"/>
      <c r="EV44" s="1310">
        <f t="shared" si="129"/>
        <v>674849</v>
      </c>
      <c r="EW44" s="1310">
        <f t="shared" si="129"/>
        <v>139336</v>
      </c>
      <c r="EX44" s="1310">
        <f t="shared" si="129"/>
        <v>-535513</v>
      </c>
      <c r="EY44" s="220">
        <f>EX44/EW44</f>
        <v>-3.8433211804558765</v>
      </c>
      <c r="EZ44" s="357">
        <f t="shared" si="130"/>
        <v>0.66666666666666663</v>
      </c>
      <c r="FA44" s="137">
        <f t="shared" si="144"/>
        <v>68446</v>
      </c>
      <c r="FB44" s="137">
        <f t="shared" si="144"/>
        <v>139336</v>
      </c>
      <c r="FC44" s="137">
        <f t="shared" si="131"/>
        <v>70890</v>
      </c>
      <c r="FD44" s="151"/>
      <c r="FE44" s="607">
        <f t="shared" si="132"/>
        <v>2.3333333333333335</v>
      </c>
      <c r="FF44" s="137">
        <f t="shared" si="133"/>
        <v>544035</v>
      </c>
      <c r="FG44" s="137">
        <f t="shared" si="133"/>
        <v>0</v>
      </c>
      <c r="FH44" s="137">
        <f t="shared" si="133"/>
        <v>-544035</v>
      </c>
      <c r="FI44" s="135" t="e">
        <f>FH44/FG44</f>
        <v>#DIV/0!</v>
      </c>
      <c r="FJ44" s="607">
        <f t="shared" si="134"/>
        <v>0</v>
      </c>
      <c r="FK44" s="358">
        <f t="shared" si="135"/>
        <v>62368</v>
      </c>
      <c r="FL44" s="358">
        <f t="shared" si="135"/>
        <v>0</v>
      </c>
      <c r="FM44" s="358">
        <f t="shared" si="135"/>
        <v>-62368</v>
      </c>
      <c r="FN44" s="135" t="e">
        <f t="shared" si="136"/>
        <v>#DIV/0!</v>
      </c>
      <c r="FO44" s="1315">
        <f t="shared" si="137"/>
        <v>0</v>
      </c>
      <c r="FP44" s="358">
        <f t="shared" si="138"/>
        <v>0</v>
      </c>
      <c r="FQ44" s="358">
        <f t="shared" si="138"/>
        <v>0</v>
      </c>
      <c r="FR44" s="358">
        <f t="shared" si="138"/>
        <v>0</v>
      </c>
      <c r="FS44" s="151" t="e">
        <f t="shared" si="139"/>
        <v>#DIV/0!</v>
      </c>
    </row>
    <row r="45" spans="1:175" x14ac:dyDescent="0.3">
      <c r="A45" s="110">
        <v>34</v>
      </c>
      <c r="B45" s="111" t="s">
        <v>119</v>
      </c>
      <c r="C45" s="112" t="s">
        <v>144</v>
      </c>
      <c r="D45" s="1605" t="s">
        <v>145</v>
      </c>
      <c r="E45" s="439">
        <v>2</v>
      </c>
      <c r="F45" s="208">
        <v>153984</v>
      </c>
      <c r="G45" s="208">
        <v>228400</v>
      </c>
      <c r="H45" s="208">
        <f t="shared" si="50"/>
        <v>74416</v>
      </c>
      <c r="I45" s="217">
        <f>H45/G45</f>
        <v>0.32581436077057796</v>
      </c>
      <c r="J45" s="113"/>
      <c r="K45" s="208"/>
      <c r="L45" s="395"/>
      <c r="M45" s="208">
        <f t="shared" si="51"/>
        <v>0</v>
      </c>
      <c r="N45" s="186"/>
      <c r="O45" s="113"/>
      <c r="P45" s="208"/>
      <c r="Q45" s="395"/>
      <c r="R45" s="208">
        <f t="shared" si="52"/>
        <v>0</v>
      </c>
      <c r="S45" s="169"/>
      <c r="T45" s="1325"/>
      <c r="U45" s="1317"/>
      <c r="V45" s="1317"/>
      <c r="W45" s="208">
        <f t="shared" si="53"/>
        <v>0</v>
      </c>
      <c r="X45" s="1313"/>
      <c r="Y45" s="583"/>
      <c r="Z45" s="208">
        <v>701953</v>
      </c>
      <c r="AA45" s="208">
        <v>1242904</v>
      </c>
      <c r="AB45" s="208">
        <f t="shared" si="54"/>
        <v>540951</v>
      </c>
      <c r="AC45" s="78">
        <f>AB45/AA45</f>
        <v>0.43523152230582574</v>
      </c>
      <c r="AD45" s="583"/>
      <c r="AE45" s="395"/>
      <c r="AF45" s="395"/>
      <c r="AG45" s="208">
        <f t="shared" si="55"/>
        <v>0</v>
      </c>
      <c r="AH45" s="362"/>
      <c r="AI45" s="113"/>
      <c r="AJ45" s="208"/>
      <c r="AK45" s="208"/>
      <c r="AL45" s="208">
        <f t="shared" si="56"/>
        <v>0</v>
      </c>
      <c r="AM45" s="78"/>
      <c r="AN45" s="113">
        <v>2</v>
      </c>
      <c r="AO45" s="208">
        <v>289988</v>
      </c>
      <c r="AP45" s="208">
        <v>410112</v>
      </c>
      <c r="AQ45" s="208">
        <f t="shared" si="44"/>
        <v>120124</v>
      </c>
      <c r="AR45" s="157">
        <f>AQ45/AP45</f>
        <v>0.2929053526841448</v>
      </c>
      <c r="AS45" s="209">
        <v>1</v>
      </c>
      <c r="AT45" s="208">
        <v>56311</v>
      </c>
      <c r="AU45" s="208">
        <v>125808</v>
      </c>
      <c r="AV45" s="208">
        <f t="shared" si="45"/>
        <v>69497</v>
      </c>
      <c r="AW45" s="157">
        <f>AV45/AU45</f>
        <v>0.55240525244817495</v>
      </c>
      <c r="AX45" s="113">
        <v>1</v>
      </c>
      <c r="AY45" s="208">
        <v>90370</v>
      </c>
      <c r="AZ45" s="208">
        <v>259200</v>
      </c>
      <c r="BA45" s="208">
        <f t="shared" si="46"/>
        <v>168830</v>
      </c>
      <c r="BB45" s="157">
        <f>BA45/AZ45</f>
        <v>0.6513503086419753</v>
      </c>
      <c r="BC45" s="583"/>
      <c r="BD45" s="395"/>
      <c r="BE45" s="395"/>
      <c r="BF45" s="208">
        <f t="shared" si="49"/>
        <v>0</v>
      </c>
      <c r="BG45" s="157"/>
      <c r="BH45" s="113"/>
      <c r="BI45" s="208"/>
      <c r="BJ45" s="208"/>
      <c r="BK45" s="208">
        <f t="shared" si="47"/>
        <v>0</v>
      </c>
      <c r="BL45" s="1581">
        <v>0</v>
      </c>
      <c r="BM45" s="1314"/>
      <c r="BN45" s="1310">
        <f t="shared" si="103"/>
        <v>1292606</v>
      </c>
      <c r="BO45" s="1310">
        <f t="shared" si="103"/>
        <v>2266424</v>
      </c>
      <c r="BP45" s="1310">
        <f t="shared" si="103"/>
        <v>973818</v>
      </c>
      <c r="BQ45" s="220">
        <f t="shared" si="8"/>
        <v>0.42967158837004904</v>
      </c>
      <c r="BR45" s="1330">
        <f t="shared" si="104"/>
        <v>0.66666666666666663</v>
      </c>
      <c r="BS45" s="1331">
        <f t="shared" si="140"/>
        <v>153984</v>
      </c>
      <c r="BT45" s="1331">
        <f t="shared" si="140"/>
        <v>228400</v>
      </c>
      <c r="BU45" s="1331">
        <f t="shared" si="105"/>
        <v>74416</v>
      </c>
      <c r="BV45" s="1332">
        <f>BU45/BT45</f>
        <v>0.32581436077057796</v>
      </c>
      <c r="BW45" s="607">
        <f t="shared" si="106"/>
        <v>0</v>
      </c>
      <c r="BX45" s="137">
        <f t="shared" si="107"/>
        <v>701953</v>
      </c>
      <c r="BY45" s="137">
        <f t="shared" si="107"/>
        <v>1242904</v>
      </c>
      <c r="BZ45" s="137">
        <f t="shared" si="107"/>
        <v>540951</v>
      </c>
      <c r="CA45" s="135">
        <f>BZ45/BY45</f>
        <v>0.43523152230582574</v>
      </c>
      <c r="CB45" s="1330">
        <f t="shared" si="108"/>
        <v>1</v>
      </c>
      <c r="CC45" s="1333">
        <f t="shared" si="109"/>
        <v>346299</v>
      </c>
      <c r="CD45" s="1333">
        <f t="shared" si="109"/>
        <v>535920</v>
      </c>
      <c r="CE45" s="1333">
        <f t="shared" si="109"/>
        <v>189621</v>
      </c>
      <c r="CF45" s="1334">
        <f t="shared" si="64"/>
        <v>0.35382333184057324</v>
      </c>
      <c r="CG45" s="1315">
        <f t="shared" si="110"/>
        <v>0.33333333333333331</v>
      </c>
      <c r="CH45" s="358">
        <f t="shared" si="111"/>
        <v>90370</v>
      </c>
      <c r="CI45" s="358">
        <f t="shared" si="111"/>
        <v>259200</v>
      </c>
      <c r="CJ45" s="358">
        <f t="shared" si="111"/>
        <v>168830</v>
      </c>
      <c r="CK45" s="151">
        <f t="shared" si="43"/>
        <v>0.6513503086419753</v>
      </c>
      <c r="CL45" s="1335"/>
      <c r="CM45" s="439">
        <v>1</v>
      </c>
      <c r="CN45" s="208">
        <v>184510</v>
      </c>
      <c r="CO45" s="208">
        <v>338688</v>
      </c>
      <c r="CP45" s="208">
        <f t="shared" si="112"/>
        <v>154178</v>
      </c>
      <c r="CQ45" s="217">
        <f>CP45/CO45</f>
        <v>0.45522132464096748</v>
      </c>
      <c r="CR45" s="113"/>
      <c r="CS45" s="208"/>
      <c r="CT45" s="395"/>
      <c r="CU45" s="208">
        <f t="shared" si="113"/>
        <v>0</v>
      </c>
      <c r="CV45" s="186"/>
      <c r="CW45" s="439">
        <v>5</v>
      </c>
      <c r="CX45" s="208">
        <v>720640</v>
      </c>
      <c r="CY45" s="395">
        <v>1211312</v>
      </c>
      <c r="CZ45" s="208">
        <f t="shared" si="114"/>
        <v>490672</v>
      </c>
      <c r="DA45" s="203">
        <f t="shared" si="141"/>
        <v>0.40507482795514288</v>
      </c>
      <c r="DB45" s="1325">
        <v>5</v>
      </c>
      <c r="DC45" s="1317">
        <v>251071</v>
      </c>
      <c r="DD45" s="1317"/>
      <c r="DE45" s="208">
        <f t="shared" si="115"/>
        <v>-251071</v>
      </c>
      <c r="DF45" s="1610" t="e">
        <f t="shared" si="116"/>
        <v>#DIV/0!</v>
      </c>
      <c r="DG45" s="583"/>
      <c r="DH45" s="208"/>
      <c r="DI45" s="208"/>
      <c r="DJ45" s="208">
        <f t="shared" si="117"/>
        <v>0</v>
      </c>
      <c r="DK45" s="78" t="e">
        <f t="shared" si="142"/>
        <v>#DIV/0!</v>
      </c>
      <c r="DL45" s="583">
        <v>2</v>
      </c>
      <c r="DM45" s="395">
        <v>144387</v>
      </c>
      <c r="DN45" s="395"/>
      <c r="DO45" s="208">
        <f t="shared" si="118"/>
        <v>-144387</v>
      </c>
      <c r="DP45" s="94" t="e">
        <f t="shared" ref="DP45:DP56" si="145">DO45/DN45</f>
        <v>#DIV/0!</v>
      </c>
      <c r="DQ45" s="113"/>
      <c r="DR45" s="208"/>
      <c r="DS45" s="208"/>
      <c r="DT45" s="208">
        <f t="shared" si="119"/>
        <v>0</v>
      </c>
      <c r="DU45" s="78"/>
      <c r="DV45" s="113"/>
      <c r="DW45" s="208"/>
      <c r="DX45" s="208"/>
      <c r="DY45" s="208">
        <f t="shared" si="120"/>
        <v>0</v>
      </c>
      <c r="DZ45" s="157" t="e">
        <f t="shared" si="121"/>
        <v>#DIV/0!</v>
      </c>
      <c r="EA45" s="209">
        <v>1</v>
      </c>
      <c r="EB45" s="208">
        <v>302527</v>
      </c>
      <c r="EC45" s="208"/>
      <c r="ED45" s="208">
        <f t="shared" si="122"/>
        <v>-302527</v>
      </c>
      <c r="EE45" s="157" t="e">
        <f t="shared" si="123"/>
        <v>#DIV/0!</v>
      </c>
      <c r="EF45" s="113"/>
      <c r="EG45" s="208"/>
      <c r="EH45" s="208"/>
      <c r="EI45" s="208">
        <f t="shared" si="124"/>
        <v>0</v>
      </c>
      <c r="EJ45" s="157" t="e">
        <f t="shared" si="125"/>
        <v>#DIV/0!</v>
      </c>
      <c r="EK45" s="583"/>
      <c r="EL45" s="395"/>
      <c r="EM45" s="395"/>
      <c r="EN45" s="208">
        <f t="shared" si="126"/>
        <v>0</v>
      </c>
      <c r="EO45" s="157" t="e">
        <f t="shared" si="127"/>
        <v>#DIV/0!</v>
      </c>
      <c r="EP45" s="113"/>
      <c r="EQ45" s="208"/>
      <c r="ER45" s="208"/>
      <c r="ES45" s="208">
        <f t="shared" si="128"/>
        <v>0</v>
      </c>
      <c r="ET45" s="186" t="e">
        <f t="shared" si="102"/>
        <v>#DIV/0!</v>
      </c>
      <c r="EU45" s="1314"/>
      <c r="EV45" s="1310">
        <f t="shared" si="129"/>
        <v>1603135</v>
      </c>
      <c r="EW45" s="1310">
        <f t="shared" si="129"/>
        <v>1550000</v>
      </c>
      <c r="EX45" s="1310">
        <f t="shared" si="129"/>
        <v>-53135</v>
      </c>
      <c r="EY45" s="220">
        <f>EX45/EW45</f>
        <v>-3.428064516129032E-2</v>
      </c>
      <c r="EZ45" s="4251">
        <f t="shared" si="130"/>
        <v>2</v>
      </c>
      <c r="FA45" s="1331">
        <f t="shared" si="144"/>
        <v>905150</v>
      </c>
      <c r="FB45" s="1331">
        <f t="shared" si="144"/>
        <v>1550000</v>
      </c>
      <c r="FC45" s="1331">
        <f t="shared" si="131"/>
        <v>644850</v>
      </c>
      <c r="FD45" s="1332">
        <f>FC45/FB45</f>
        <v>0.4160322580645161</v>
      </c>
      <c r="FE45" s="607">
        <f t="shared" si="132"/>
        <v>2.3333333333333335</v>
      </c>
      <c r="FF45" s="137">
        <f t="shared" si="133"/>
        <v>395458</v>
      </c>
      <c r="FG45" s="137">
        <f t="shared" si="133"/>
        <v>0</v>
      </c>
      <c r="FH45" s="137">
        <f t="shared" si="133"/>
        <v>-395458</v>
      </c>
      <c r="FI45" s="135" t="e">
        <f>FH45/FG45</f>
        <v>#DIV/0!</v>
      </c>
      <c r="FJ45" s="1330">
        <f t="shared" si="134"/>
        <v>0.33333333333333331</v>
      </c>
      <c r="FK45" s="1333">
        <f t="shared" si="135"/>
        <v>302527</v>
      </c>
      <c r="FL45" s="1333">
        <f t="shared" si="135"/>
        <v>0</v>
      </c>
      <c r="FM45" s="1333">
        <f t="shared" si="135"/>
        <v>-302527</v>
      </c>
      <c r="FN45" s="1334" t="e">
        <f t="shared" si="136"/>
        <v>#DIV/0!</v>
      </c>
      <c r="FO45" s="1315">
        <f t="shared" si="137"/>
        <v>0</v>
      </c>
      <c r="FP45" s="358">
        <f t="shared" si="138"/>
        <v>0</v>
      </c>
      <c r="FQ45" s="358">
        <f t="shared" si="138"/>
        <v>0</v>
      </c>
      <c r="FR45" s="358">
        <f t="shared" si="138"/>
        <v>0</v>
      </c>
      <c r="FS45" s="151" t="e">
        <f t="shared" si="139"/>
        <v>#DIV/0!</v>
      </c>
    </row>
    <row r="46" spans="1:175" x14ac:dyDescent="0.3">
      <c r="A46" s="110">
        <v>35</v>
      </c>
      <c r="B46" s="111" t="s">
        <v>153</v>
      </c>
      <c r="C46" s="112" t="s">
        <v>141</v>
      </c>
      <c r="D46" s="1605" t="s">
        <v>145</v>
      </c>
      <c r="E46" s="439"/>
      <c r="F46" s="208"/>
      <c r="G46" s="208"/>
      <c r="H46" s="208">
        <f t="shared" si="50"/>
        <v>0</v>
      </c>
      <c r="I46" s="217"/>
      <c r="J46" s="113"/>
      <c r="K46" s="208"/>
      <c r="L46" s="395"/>
      <c r="M46" s="208">
        <f t="shared" si="51"/>
        <v>0</v>
      </c>
      <c r="N46" s="186"/>
      <c r="O46" s="113"/>
      <c r="P46" s="208"/>
      <c r="Q46" s="395"/>
      <c r="R46" s="208">
        <f t="shared" si="52"/>
        <v>0</v>
      </c>
      <c r="S46" s="169"/>
      <c r="T46" s="1325"/>
      <c r="U46" s="1317"/>
      <c r="V46" s="1317"/>
      <c r="W46" s="208">
        <f t="shared" si="53"/>
        <v>0</v>
      </c>
      <c r="X46" s="1313"/>
      <c r="Y46" s="113"/>
      <c r="Z46" s="208"/>
      <c r="AA46" s="208"/>
      <c r="AB46" s="208">
        <f t="shared" si="54"/>
        <v>0</v>
      </c>
      <c r="AC46" s="78"/>
      <c r="AD46" s="113"/>
      <c r="AE46" s="208"/>
      <c r="AF46" s="208"/>
      <c r="AG46" s="208">
        <f t="shared" si="55"/>
        <v>0</v>
      </c>
      <c r="AH46" s="94"/>
      <c r="AI46" s="583"/>
      <c r="AJ46" s="395"/>
      <c r="AK46" s="395"/>
      <c r="AL46" s="208">
        <f t="shared" si="56"/>
        <v>0</v>
      </c>
      <c r="AM46" s="186"/>
      <c r="AN46" s="113"/>
      <c r="AO46" s="208"/>
      <c r="AP46" s="208"/>
      <c r="AQ46" s="208">
        <f t="shared" si="44"/>
        <v>0</v>
      </c>
      <c r="AR46" s="157"/>
      <c r="AS46" s="209"/>
      <c r="AT46" s="208"/>
      <c r="AU46" s="208"/>
      <c r="AV46" s="208">
        <f t="shared" si="45"/>
        <v>0</v>
      </c>
      <c r="AW46" s="157"/>
      <c r="AX46" s="113"/>
      <c r="AY46" s="208"/>
      <c r="AZ46" s="208"/>
      <c r="BA46" s="208">
        <f t="shared" si="46"/>
        <v>0</v>
      </c>
      <c r="BB46" s="1561">
        <v>0</v>
      </c>
      <c r="BC46" s="583"/>
      <c r="BD46" s="395"/>
      <c r="BE46" s="395"/>
      <c r="BF46" s="208">
        <f t="shared" si="49"/>
        <v>0</v>
      </c>
      <c r="BG46" s="157"/>
      <c r="BH46" s="113"/>
      <c r="BI46" s="208"/>
      <c r="BJ46" s="208"/>
      <c r="BK46" s="208">
        <f t="shared" si="47"/>
        <v>0</v>
      </c>
      <c r="BL46" s="1614">
        <v>0</v>
      </c>
      <c r="BM46" s="1314"/>
      <c r="BN46" s="1310">
        <f t="shared" si="103"/>
        <v>0</v>
      </c>
      <c r="BO46" s="1310">
        <f t="shared" si="103"/>
        <v>0</v>
      </c>
      <c r="BP46" s="1310">
        <f t="shared" si="103"/>
        <v>0</v>
      </c>
      <c r="BQ46" s="220"/>
      <c r="BR46" s="607">
        <f t="shared" si="104"/>
        <v>0</v>
      </c>
      <c r="BS46" s="137">
        <f t="shared" si="140"/>
        <v>0</v>
      </c>
      <c r="BT46" s="137">
        <f t="shared" si="140"/>
        <v>0</v>
      </c>
      <c r="BU46" s="137">
        <f t="shared" si="105"/>
        <v>0</v>
      </c>
      <c r="BV46" s="151"/>
      <c r="BW46" s="607">
        <f t="shared" si="106"/>
        <v>0</v>
      </c>
      <c r="BX46" s="137">
        <f t="shared" si="107"/>
        <v>0</v>
      </c>
      <c r="BY46" s="137">
        <f t="shared" si="107"/>
        <v>0</v>
      </c>
      <c r="BZ46" s="137">
        <f t="shared" si="107"/>
        <v>0</v>
      </c>
      <c r="CA46" s="135"/>
      <c r="CB46" s="607">
        <f t="shared" si="108"/>
        <v>0</v>
      </c>
      <c r="CC46" s="358">
        <f t="shared" si="109"/>
        <v>0</v>
      </c>
      <c r="CD46" s="358">
        <f t="shared" si="109"/>
        <v>0</v>
      </c>
      <c r="CE46" s="358">
        <f t="shared" si="109"/>
        <v>0</v>
      </c>
      <c r="CF46" s="135" t="e">
        <f t="shared" si="64"/>
        <v>#DIV/0!</v>
      </c>
      <c r="CG46" s="1315">
        <f t="shared" si="110"/>
        <v>0</v>
      </c>
      <c r="CH46" s="358">
        <f t="shared" si="111"/>
        <v>0</v>
      </c>
      <c r="CI46" s="358">
        <f t="shared" si="111"/>
        <v>0</v>
      </c>
      <c r="CJ46" s="358">
        <f t="shared" si="111"/>
        <v>0</v>
      </c>
      <c r="CK46" s="151" t="e">
        <f t="shared" si="43"/>
        <v>#DIV/0!</v>
      </c>
      <c r="CL46" s="79"/>
      <c r="CM46" s="439"/>
      <c r="CN46" s="208"/>
      <c r="CO46" s="208"/>
      <c r="CP46" s="208">
        <f t="shared" si="112"/>
        <v>0</v>
      </c>
      <c r="CQ46" s="3547">
        <v>0</v>
      </c>
      <c r="CR46" s="113"/>
      <c r="CS46" s="208"/>
      <c r="CT46" s="395"/>
      <c r="CU46" s="208">
        <f t="shared" si="113"/>
        <v>0</v>
      </c>
      <c r="CV46" s="186"/>
      <c r="CW46" s="439"/>
      <c r="CX46" s="208"/>
      <c r="CY46" s="395"/>
      <c r="CZ46" s="208">
        <f t="shared" si="114"/>
        <v>0</v>
      </c>
      <c r="DA46" s="203"/>
      <c r="DB46" s="1325"/>
      <c r="DC46" s="1317"/>
      <c r="DD46" s="1317"/>
      <c r="DE46" s="208">
        <f t="shared" si="115"/>
        <v>0</v>
      </c>
      <c r="DF46" s="1610" t="e">
        <f t="shared" si="116"/>
        <v>#DIV/0!</v>
      </c>
      <c r="DG46" s="113"/>
      <c r="DH46" s="208"/>
      <c r="DI46" s="208"/>
      <c r="DJ46" s="208">
        <f t="shared" si="117"/>
        <v>0</v>
      </c>
      <c r="DK46" s="78" t="e">
        <f t="shared" si="142"/>
        <v>#DIV/0!</v>
      </c>
      <c r="DL46" s="113"/>
      <c r="DM46" s="208"/>
      <c r="DN46" s="208"/>
      <c r="DO46" s="208">
        <f t="shared" si="118"/>
        <v>0</v>
      </c>
      <c r="DP46" s="94" t="e">
        <f t="shared" si="145"/>
        <v>#DIV/0!</v>
      </c>
      <c r="DQ46" s="583"/>
      <c r="DR46" s="395"/>
      <c r="DS46" s="395"/>
      <c r="DT46" s="208">
        <f t="shared" si="119"/>
        <v>0</v>
      </c>
      <c r="DU46" s="186"/>
      <c r="DV46" s="113"/>
      <c r="DW46" s="208"/>
      <c r="DX46" s="208"/>
      <c r="DY46" s="208">
        <f t="shared" si="120"/>
        <v>0</v>
      </c>
      <c r="DZ46" s="157" t="e">
        <f t="shared" si="121"/>
        <v>#DIV/0!</v>
      </c>
      <c r="EA46" s="209"/>
      <c r="EB46" s="208"/>
      <c r="EC46" s="208"/>
      <c r="ED46" s="208">
        <f t="shared" si="122"/>
        <v>0</v>
      </c>
      <c r="EE46" s="157" t="e">
        <f t="shared" si="123"/>
        <v>#DIV/0!</v>
      </c>
      <c r="EF46" s="113"/>
      <c r="EG46" s="208"/>
      <c r="EH46" s="208"/>
      <c r="EI46" s="208">
        <f t="shared" si="124"/>
        <v>0</v>
      </c>
      <c r="EJ46" s="157" t="e">
        <f t="shared" si="125"/>
        <v>#DIV/0!</v>
      </c>
      <c r="EK46" s="583"/>
      <c r="EL46" s="395"/>
      <c r="EM46" s="395"/>
      <c r="EN46" s="208">
        <f t="shared" si="126"/>
        <v>0</v>
      </c>
      <c r="EO46" s="157" t="e">
        <f t="shared" si="127"/>
        <v>#DIV/0!</v>
      </c>
      <c r="EP46" s="113"/>
      <c r="EQ46" s="208"/>
      <c r="ER46" s="208"/>
      <c r="ES46" s="208">
        <f t="shared" si="128"/>
        <v>0</v>
      </c>
      <c r="ET46" s="186" t="e">
        <f t="shared" si="102"/>
        <v>#DIV/0!</v>
      </c>
      <c r="EU46" s="1314"/>
      <c r="EV46" s="1310">
        <f t="shared" si="129"/>
        <v>0</v>
      </c>
      <c r="EW46" s="1310">
        <f t="shared" si="129"/>
        <v>0</v>
      </c>
      <c r="EX46" s="1310">
        <f t="shared" si="129"/>
        <v>0</v>
      </c>
      <c r="EY46" s="220"/>
      <c r="EZ46" s="357">
        <f t="shared" si="130"/>
        <v>0</v>
      </c>
      <c r="FA46" s="137">
        <f t="shared" si="144"/>
        <v>0</v>
      </c>
      <c r="FB46" s="137">
        <f t="shared" si="144"/>
        <v>0</v>
      </c>
      <c r="FC46" s="137">
        <f t="shared" si="131"/>
        <v>0</v>
      </c>
      <c r="FD46" s="151"/>
      <c r="FE46" s="607">
        <f t="shared" si="132"/>
        <v>0</v>
      </c>
      <c r="FF46" s="137">
        <f t="shared" si="133"/>
        <v>0</v>
      </c>
      <c r="FG46" s="137">
        <f t="shared" si="133"/>
        <v>0</v>
      </c>
      <c r="FH46" s="137">
        <f t="shared" si="133"/>
        <v>0</v>
      </c>
      <c r="FI46" s="135"/>
      <c r="FJ46" s="607">
        <f t="shared" si="134"/>
        <v>0</v>
      </c>
      <c r="FK46" s="358">
        <f t="shared" si="135"/>
        <v>0</v>
      </c>
      <c r="FL46" s="358">
        <f t="shared" si="135"/>
        <v>0</v>
      </c>
      <c r="FM46" s="358">
        <f t="shared" si="135"/>
        <v>0</v>
      </c>
      <c r="FN46" s="135" t="e">
        <f t="shared" si="136"/>
        <v>#DIV/0!</v>
      </c>
      <c r="FO46" s="1315">
        <f t="shared" si="137"/>
        <v>0</v>
      </c>
      <c r="FP46" s="358">
        <f t="shared" si="138"/>
        <v>0</v>
      </c>
      <c r="FQ46" s="358">
        <f t="shared" si="138"/>
        <v>0</v>
      </c>
      <c r="FR46" s="358">
        <f t="shared" si="138"/>
        <v>0</v>
      </c>
      <c r="FS46" s="151" t="e">
        <f t="shared" si="139"/>
        <v>#DIV/0!</v>
      </c>
    </row>
    <row r="47" spans="1:175" x14ac:dyDescent="0.3">
      <c r="A47" s="110">
        <v>36</v>
      </c>
      <c r="B47" s="111" t="s">
        <v>152</v>
      </c>
      <c r="C47" s="112" t="s">
        <v>144</v>
      </c>
      <c r="D47" s="1605" t="s">
        <v>145</v>
      </c>
      <c r="E47" s="439"/>
      <c r="F47" s="208"/>
      <c r="G47" s="208"/>
      <c r="H47" s="208">
        <f t="shared" si="50"/>
        <v>0</v>
      </c>
      <c r="I47" s="217"/>
      <c r="J47" s="113"/>
      <c r="K47" s="208"/>
      <c r="L47" s="208"/>
      <c r="M47" s="208">
        <f t="shared" si="51"/>
        <v>0</v>
      </c>
      <c r="N47" s="186"/>
      <c r="O47" s="113"/>
      <c r="P47" s="208"/>
      <c r="Q47" s="395"/>
      <c r="R47" s="208">
        <f t="shared" si="52"/>
        <v>0</v>
      </c>
      <c r="S47" s="169"/>
      <c r="T47" s="1325"/>
      <c r="U47" s="1317"/>
      <c r="V47" s="1317"/>
      <c r="W47" s="208">
        <f t="shared" si="53"/>
        <v>0</v>
      </c>
      <c r="X47" s="1313"/>
      <c r="Y47" s="113"/>
      <c r="Z47" s="208"/>
      <c r="AA47" s="208"/>
      <c r="AB47" s="208">
        <f t="shared" si="54"/>
        <v>0</v>
      </c>
      <c r="AC47" s="78"/>
      <c r="AD47" s="113"/>
      <c r="AE47" s="208"/>
      <c r="AF47" s="208"/>
      <c r="AG47" s="208">
        <f t="shared" si="55"/>
        <v>0</v>
      </c>
      <c r="AH47" s="94"/>
      <c r="AI47" s="113"/>
      <c r="AJ47" s="208"/>
      <c r="AK47" s="208"/>
      <c r="AL47" s="208">
        <f t="shared" si="56"/>
        <v>0</v>
      </c>
      <c r="AM47" s="78"/>
      <c r="AN47" s="113"/>
      <c r="AO47" s="208"/>
      <c r="AP47" s="208"/>
      <c r="AQ47" s="208">
        <f t="shared" si="44"/>
        <v>0</v>
      </c>
      <c r="AR47" s="157"/>
      <c r="AS47" s="209"/>
      <c r="AT47" s="208"/>
      <c r="AU47" s="395"/>
      <c r="AV47" s="208">
        <f t="shared" si="45"/>
        <v>0</v>
      </c>
      <c r="AW47" s="157"/>
      <c r="AX47" s="113"/>
      <c r="AY47" s="208"/>
      <c r="AZ47" s="208"/>
      <c r="BA47" s="208">
        <f t="shared" si="46"/>
        <v>0</v>
      </c>
      <c r="BB47" s="1561">
        <v>0</v>
      </c>
      <c r="BC47" s="583"/>
      <c r="BD47" s="395"/>
      <c r="BE47" s="395"/>
      <c r="BF47" s="208">
        <f t="shared" si="49"/>
        <v>0</v>
      </c>
      <c r="BG47" s="157"/>
      <c r="BH47" s="113"/>
      <c r="BI47" s="208"/>
      <c r="BJ47" s="208"/>
      <c r="BK47" s="208">
        <f t="shared" si="47"/>
        <v>0</v>
      </c>
      <c r="BL47" s="1614">
        <v>0</v>
      </c>
      <c r="BM47" s="1314"/>
      <c r="BN47" s="1310">
        <f t="shared" si="103"/>
        <v>0</v>
      </c>
      <c r="BO47" s="1310">
        <f t="shared" si="103"/>
        <v>0</v>
      </c>
      <c r="BP47" s="1310">
        <f t="shared" si="103"/>
        <v>0</v>
      </c>
      <c r="BQ47" s="220"/>
      <c r="BR47" s="607">
        <f t="shared" si="104"/>
        <v>0</v>
      </c>
      <c r="BS47" s="137">
        <f t="shared" si="140"/>
        <v>0</v>
      </c>
      <c r="BT47" s="137">
        <f t="shared" si="140"/>
        <v>0</v>
      </c>
      <c r="BU47" s="137">
        <f t="shared" si="105"/>
        <v>0</v>
      </c>
      <c r="BV47" s="151"/>
      <c r="BW47" s="607">
        <f t="shared" si="106"/>
        <v>0</v>
      </c>
      <c r="BX47" s="137">
        <f t="shared" si="107"/>
        <v>0</v>
      </c>
      <c r="BY47" s="137">
        <f t="shared" si="107"/>
        <v>0</v>
      </c>
      <c r="BZ47" s="137">
        <f t="shared" si="107"/>
        <v>0</v>
      </c>
      <c r="CA47" s="135"/>
      <c r="CB47" s="607">
        <f t="shared" si="108"/>
        <v>0</v>
      </c>
      <c r="CC47" s="358">
        <f t="shared" si="109"/>
        <v>0</v>
      </c>
      <c r="CD47" s="358">
        <f t="shared" si="109"/>
        <v>0</v>
      </c>
      <c r="CE47" s="358">
        <f t="shared" si="109"/>
        <v>0</v>
      </c>
      <c r="CF47" s="135" t="e">
        <f>CE47/CD47</f>
        <v>#DIV/0!</v>
      </c>
      <c r="CG47" s="1315">
        <f t="shared" si="110"/>
        <v>0</v>
      </c>
      <c r="CH47" s="358">
        <f t="shared" si="111"/>
        <v>0</v>
      </c>
      <c r="CI47" s="358">
        <f t="shared" si="111"/>
        <v>0</v>
      </c>
      <c r="CJ47" s="358">
        <f t="shared" si="111"/>
        <v>0</v>
      </c>
      <c r="CK47" s="151" t="e">
        <f>CJ47/CI47</f>
        <v>#DIV/0!</v>
      </c>
      <c r="CL47" s="79"/>
      <c r="CM47" s="439"/>
      <c r="CN47" s="208"/>
      <c r="CO47" s="208"/>
      <c r="CP47" s="208">
        <f t="shared" si="112"/>
        <v>0</v>
      </c>
      <c r="CQ47" s="3547">
        <v>0</v>
      </c>
      <c r="CR47" s="113"/>
      <c r="CS47" s="208"/>
      <c r="CT47" s="208"/>
      <c r="CU47" s="208">
        <f t="shared" si="113"/>
        <v>0</v>
      </c>
      <c r="CV47" s="186"/>
      <c r="CW47" s="439"/>
      <c r="CX47" s="208"/>
      <c r="CY47" s="395"/>
      <c r="CZ47" s="208">
        <f t="shared" si="114"/>
        <v>0</v>
      </c>
      <c r="DA47" s="203"/>
      <c r="DB47" s="1325">
        <v>1</v>
      </c>
      <c r="DC47" s="1317">
        <v>219213</v>
      </c>
      <c r="DD47" s="1317"/>
      <c r="DE47" s="208">
        <f t="shared" si="115"/>
        <v>-219213</v>
      </c>
      <c r="DF47" s="1610" t="e">
        <f t="shared" si="116"/>
        <v>#DIV/0!</v>
      </c>
      <c r="DG47" s="113"/>
      <c r="DH47" s="208"/>
      <c r="DI47" s="208"/>
      <c r="DJ47" s="208">
        <f t="shared" si="117"/>
        <v>0</v>
      </c>
      <c r="DK47" s="78" t="e">
        <f t="shared" si="142"/>
        <v>#DIV/0!</v>
      </c>
      <c r="DL47" s="113"/>
      <c r="DM47" s="208"/>
      <c r="DN47" s="208"/>
      <c r="DO47" s="208">
        <f t="shared" si="118"/>
        <v>0</v>
      </c>
      <c r="DP47" s="94" t="e">
        <f t="shared" si="145"/>
        <v>#DIV/0!</v>
      </c>
      <c r="DQ47" s="113"/>
      <c r="DR47" s="208"/>
      <c r="DS47" s="208"/>
      <c r="DT47" s="208">
        <f t="shared" si="119"/>
        <v>0</v>
      </c>
      <c r="DU47" s="78"/>
      <c r="DV47" s="113"/>
      <c r="DW47" s="208"/>
      <c r="DX47" s="208"/>
      <c r="DY47" s="208">
        <f t="shared" si="120"/>
        <v>0</v>
      </c>
      <c r="DZ47" s="157" t="e">
        <f t="shared" si="121"/>
        <v>#DIV/0!</v>
      </c>
      <c r="EA47" s="209"/>
      <c r="EB47" s="208"/>
      <c r="EC47" s="395"/>
      <c r="ED47" s="208">
        <f t="shared" si="122"/>
        <v>0</v>
      </c>
      <c r="EE47" s="157" t="e">
        <f t="shared" si="123"/>
        <v>#DIV/0!</v>
      </c>
      <c r="EF47" s="113"/>
      <c r="EG47" s="208"/>
      <c r="EH47" s="208"/>
      <c r="EI47" s="208">
        <f t="shared" si="124"/>
        <v>0</v>
      </c>
      <c r="EJ47" s="157" t="e">
        <f t="shared" si="125"/>
        <v>#DIV/0!</v>
      </c>
      <c r="EK47" s="583"/>
      <c r="EL47" s="395"/>
      <c r="EM47" s="395"/>
      <c r="EN47" s="208">
        <f t="shared" si="126"/>
        <v>0</v>
      </c>
      <c r="EO47" s="157" t="e">
        <f t="shared" si="127"/>
        <v>#DIV/0!</v>
      </c>
      <c r="EP47" s="113"/>
      <c r="EQ47" s="208"/>
      <c r="ER47" s="208"/>
      <c r="ES47" s="208">
        <f t="shared" si="128"/>
        <v>0</v>
      </c>
      <c r="ET47" s="186" t="e">
        <f t="shared" si="102"/>
        <v>#DIV/0!</v>
      </c>
      <c r="EU47" s="1314"/>
      <c r="EV47" s="1310">
        <f t="shared" si="129"/>
        <v>219213</v>
      </c>
      <c r="EW47" s="1310">
        <f t="shared" si="129"/>
        <v>0</v>
      </c>
      <c r="EX47" s="1310">
        <f t="shared" si="129"/>
        <v>-219213</v>
      </c>
      <c r="EY47" s="220"/>
      <c r="EZ47" s="357">
        <f t="shared" si="130"/>
        <v>0</v>
      </c>
      <c r="FA47" s="137">
        <f t="shared" si="144"/>
        <v>0</v>
      </c>
      <c r="FB47" s="137">
        <f t="shared" si="144"/>
        <v>0</v>
      </c>
      <c r="FC47" s="137">
        <f t="shared" si="131"/>
        <v>0</v>
      </c>
      <c r="FD47" s="151"/>
      <c r="FE47" s="607">
        <f t="shared" si="132"/>
        <v>0.33333333333333331</v>
      </c>
      <c r="FF47" s="137">
        <f t="shared" si="133"/>
        <v>219213</v>
      </c>
      <c r="FG47" s="137">
        <f t="shared" si="133"/>
        <v>0</v>
      </c>
      <c r="FH47" s="137">
        <f t="shared" si="133"/>
        <v>-219213</v>
      </c>
      <c r="FI47" s="135"/>
      <c r="FJ47" s="607">
        <f t="shared" si="134"/>
        <v>0</v>
      </c>
      <c r="FK47" s="358">
        <f t="shared" si="135"/>
        <v>0</v>
      </c>
      <c r="FL47" s="358">
        <f t="shared" si="135"/>
        <v>0</v>
      </c>
      <c r="FM47" s="358">
        <f t="shared" si="135"/>
        <v>0</v>
      </c>
      <c r="FN47" s="135" t="e">
        <f>FM47/FL47</f>
        <v>#DIV/0!</v>
      </c>
      <c r="FO47" s="1315">
        <f t="shared" si="137"/>
        <v>0</v>
      </c>
      <c r="FP47" s="358">
        <f t="shared" si="138"/>
        <v>0</v>
      </c>
      <c r="FQ47" s="358">
        <f t="shared" si="138"/>
        <v>0</v>
      </c>
      <c r="FR47" s="358">
        <f t="shared" si="138"/>
        <v>0</v>
      </c>
      <c r="FS47" s="151" t="e">
        <f>FR47/FQ47</f>
        <v>#DIV/0!</v>
      </c>
    </row>
    <row r="48" spans="1:175" x14ac:dyDescent="0.3">
      <c r="A48" s="110">
        <v>37</v>
      </c>
      <c r="B48" s="111" t="s">
        <v>408</v>
      </c>
      <c r="C48" s="112" t="s">
        <v>144</v>
      </c>
      <c r="D48" s="1605" t="s">
        <v>145</v>
      </c>
      <c r="E48" s="439"/>
      <c r="F48" s="208"/>
      <c r="G48" s="208"/>
      <c r="H48" s="208">
        <f t="shared" si="50"/>
        <v>0</v>
      </c>
      <c r="I48" s="217"/>
      <c r="J48" s="113"/>
      <c r="K48" s="208"/>
      <c r="L48" s="208"/>
      <c r="M48" s="208">
        <f t="shared" si="51"/>
        <v>0</v>
      </c>
      <c r="N48" s="186"/>
      <c r="O48" s="113"/>
      <c r="P48" s="208"/>
      <c r="Q48" s="395"/>
      <c r="R48" s="208">
        <f t="shared" si="52"/>
        <v>0</v>
      </c>
      <c r="S48" s="169"/>
      <c r="T48" s="1312"/>
      <c r="U48" s="265"/>
      <c r="V48" s="265"/>
      <c r="W48" s="208">
        <f t="shared" si="53"/>
        <v>0</v>
      </c>
      <c r="X48" s="1313"/>
      <c r="Y48" s="113"/>
      <c r="Z48" s="208"/>
      <c r="AA48" s="208"/>
      <c r="AB48" s="208">
        <f t="shared" si="54"/>
        <v>0</v>
      </c>
      <c r="AC48" s="78"/>
      <c r="AD48" s="113"/>
      <c r="AE48" s="208"/>
      <c r="AF48" s="395"/>
      <c r="AG48" s="208">
        <f t="shared" si="55"/>
        <v>0</v>
      </c>
      <c r="AH48" s="94"/>
      <c r="AI48" s="113">
        <v>1</v>
      </c>
      <c r="AJ48" s="208">
        <v>142474</v>
      </c>
      <c r="AK48" s="395">
        <v>185182</v>
      </c>
      <c r="AL48" s="208">
        <f t="shared" si="56"/>
        <v>42708</v>
      </c>
      <c r="AM48" s="78"/>
      <c r="AN48" s="113"/>
      <c r="AO48" s="208"/>
      <c r="AP48" s="395"/>
      <c r="AQ48" s="208">
        <f t="shared" si="44"/>
        <v>0</v>
      </c>
      <c r="AR48" s="157"/>
      <c r="AS48" s="113">
        <v>2</v>
      </c>
      <c r="AT48" s="208">
        <v>247007</v>
      </c>
      <c r="AU48" s="395">
        <v>471772.73</v>
      </c>
      <c r="AV48" s="208">
        <f t="shared" si="45"/>
        <v>224765.72999999998</v>
      </c>
      <c r="AW48" s="157">
        <f>AV48/AU48</f>
        <v>0.4764279826008595</v>
      </c>
      <c r="AX48" s="113">
        <v>1</v>
      </c>
      <c r="AY48" s="208">
        <v>116719</v>
      </c>
      <c r="AZ48" s="208">
        <v>163135</v>
      </c>
      <c r="BA48" s="208">
        <f t="shared" si="46"/>
        <v>46416</v>
      </c>
      <c r="BB48" s="157">
        <f>BA48/AZ48</f>
        <v>0.28452508658473041</v>
      </c>
      <c r="BC48" s="583"/>
      <c r="BD48" s="395"/>
      <c r="BE48" s="395"/>
      <c r="BF48" s="208">
        <f t="shared" si="49"/>
        <v>0</v>
      </c>
      <c r="BG48" s="157"/>
      <c r="BH48" s="113">
        <v>3</v>
      </c>
      <c r="BI48" s="208">
        <v>328199</v>
      </c>
      <c r="BJ48" s="208">
        <v>686050</v>
      </c>
      <c r="BK48" s="208">
        <f t="shared" si="47"/>
        <v>357851</v>
      </c>
      <c r="BL48" s="186">
        <f>BK48/BJ48</f>
        <v>0.52161066977625536</v>
      </c>
      <c r="BM48" s="1314"/>
      <c r="BN48" s="1310">
        <f t="shared" si="103"/>
        <v>834399</v>
      </c>
      <c r="BO48" s="1310">
        <f t="shared" si="103"/>
        <v>1506139.73</v>
      </c>
      <c r="BP48" s="1310">
        <f t="shared" si="103"/>
        <v>671740.73</v>
      </c>
      <c r="BQ48" s="220">
        <f t="shared" ref="BQ48:BQ57" si="146">BP48/BO48</f>
        <v>0.44600160039600045</v>
      </c>
      <c r="BR48" s="607"/>
      <c r="BS48" s="137"/>
      <c r="BT48" s="137"/>
      <c r="BU48" s="137"/>
      <c r="BV48" s="151"/>
      <c r="BW48" s="607">
        <f t="shared" si="106"/>
        <v>0</v>
      </c>
      <c r="BX48" s="137">
        <f t="shared" si="107"/>
        <v>0</v>
      </c>
      <c r="BY48" s="137">
        <f t="shared" si="107"/>
        <v>0</v>
      </c>
      <c r="BZ48" s="137">
        <f t="shared" si="107"/>
        <v>0</v>
      </c>
      <c r="CA48" s="135"/>
      <c r="CB48" s="607"/>
      <c r="CC48" s="358"/>
      <c r="CD48" s="358"/>
      <c r="CE48" s="358"/>
      <c r="CF48" s="135"/>
      <c r="CG48" s="1315"/>
      <c r="CH48" s="358"/>
      <c r="CI48" s="358"/>
      <c r="CJ48" s="358"/>
      <c r="CK48" s="151"/>
      <c r="CL48" s="79"/>
      <c r="CM48" s="439">
        <v>2</v>
      </c>
      <c r="CN48" s="208">
        <f>99487+166667</f>
        <v>266154</v>
      </c>
      <c r="CO48" s="208">
        <v>371466</v>
      </c>
      <c r="CP48" s="208">
        <f t="shared" si="112"/>
        <v>105312</v>
      </c>
      <c r="CQ48" s="217">
        <f>CP48/CO48</f>
        <v>0.28350373923858441</v>
      </c>
      <c r="CR48" s="113"/>
      <c r="CS48" s="208"/>
      <c r="CT48" s="208"/>
      <c r="CU48" s="208">
        <f t="shared" si="113"/>
        <v>0</v>
      </c>
      <c r="CV48" s="186"/>
      <c r="CW48" s="439">
        <v>1</v>
      </c>
      <c r="CX48" s="208">
        <v>107990</v>
      </c>
      <c r="CY48" s="395">
        <v>113009</v>
      </c>
      <c r="CZ48" s="208">
        <f t="shared" si="114"/>
        <v>5019</v>
      </c>
      <c r="DA48" s="203">
        <f t="shared" si="141"/>
        <v>4.4412391933385836E-2</v>
      </c>
      <c r="DB48" s="1312"/>
      <c r="DC48" s="265"/>
      <c r="DD48" s="265"/>
      <c r="DE48" s="208">
        <f t="shared" si="115"/>
        <v>0</v>
      </c>
      <c r="DF48" s="1610" t="e">
        <f t="shared" si="116"/>
        <v>#DIV/0!</v>
      </c>
      <c r="DG48" s="113"/>
      <c r="DH48" s="208"/>
      <c r="DI48" s="208"/>
      <c r="DJ48" s="208">
        <f t="shared" si="117"/>
        <v>0</v>
      </c>
      <c r="DK48" s="78" t="e">
        <f t="shared" si="142"/>
        <v>#DIV/0!</v>
      </c>
      <c r="DL48" s="113">
        <v>2</v>
      </c>
      <c r="DM48" s="208">
        <v>107558</v>
      </c>
      <c r="DN48" s="395"/>
      <c r="DO48" s="208">
        <f t="shared" si="118"/>
        <v>-107558</v>
      </c>
      <c r="DP48" s="94" t="e">
        <f t="shared" si="145"/>
        <v>#DIV/0!</v>
      </c>
      <c r="DQ48" s="113"/>
      <c r="DR48" s="208"/>
      <c r="DS48" s="395"/>
      <c r="DT48" s="208">
        <f t="shared" si="119"/>
        <v>0</v>
      </c>
      <c r="DU48" s="78"/>
      <c r="DV48" s="113"/>
      <c r="DW48" s="208"/>
      <c r="DX48" s="395"/>
      <c r="DY48" s="208">
        <f t="shared" si="120"/>
        <v>0</v>
      </c>
      <c r="DZ48" s="157" t="e">
        <f t="shared" si="121"/>
        <v>#DIV/0!</v>
      </c>
      <c r="EA48" s="113"/>
      <c r="EB48" s="208"/>
      <c r="EC48" s="395"/>
      <c r="ED48" s="208">
        <f t="shared" si="122"/>
        <v>0</v>
      </c>
      <c r="EE48" s="157" t="e">
        <f t="shared" si="123"/>
        <v>#DIV/0!</v>
      </c>
      <c r="EF48" s="113"/>
      <c r="EG48" s="208"/>
      <c r="EH48" s="208"/>
      <c r="EI48" s="208">
        <f t="shared" si="124"/>
        <v>0</v>
      </c>
      <c r="EJ48" s="157" t="e">
        <f t="shared" si="125"/>
        <v>#DIV/0!</v>
      </c>
      <c r="EK48" s="583"/>
      <c r="EL48" s="395"/>
      <c r="EM48" s="395"/>
      <c r="EN48" s="208">
        <f t="shared" si="126"/>
        <v>0</v>
      </c>
      <c r="EO48" s="157" t="e">
        <f t="shared" si="127"/>
        <v>#DIV/0!</v>
      </c>
      <c r="EP48" s="113"/>
      <c r="EQ48" s="208"/>
      <c r="ER48" s="208"/>
      <c r="ES48" s="208">
        <f t="shared" si="128"/>
        <v>0</v>
      </c>
      <c r="ET48" s="186" t="e">
        <f t="shared" si="102"/>
        <v>#DIV/0!</v>
      </c>
      <c r="EU48" s="1314"/>
      <c r="EV48" s="1310">
        <f t="shared" si="129"/>
        <v>481702</v>
      </c>
      <c r="EW48" s="1310">
        <f t="shared" si="129"/>
        <v>484475</v>
      </c>
      <c r="EX48" s="1310">
        <f t="shared" si="129"/>
        <v>2773</v>
      </c>
      <c r="EY48" s="220">
        <f>EX48/EW48</f>
        <v>5.7237215542597659E-3</v>
      </c>
      <c r="EZ48" s="357"/>
      <c r="FA48" s="137"/>
      <c r="FB48" s="137"/>
      <c r="FC48" s="137"/>
      <c r="FD48" s="151"/>
      <c r="FE48" s="607">
        <f t="shared" si="132"/>
        <v>0.66666666666666663</v>
      </c>
      <c r="FF48" s="137">
        <f t="shared" si="133"/>
        <v>107558</v>
      </c>
      <c r="FG48" s="137">
        <f t="shared" si="133"/>
        <v>0</v>
      </c>
      <c r="FH48" s="137">
        <f t="shared" si="133"/>
        <v>-107558</v>
      </c>
      <c r="FI48" s="135"/>
      <c r="FJ48" s="607"/>
      <c r="FK48" s="358"/>
      <c r="FL48" s="358"/>
      <c r="FM48" s="358"/>
      <c r="FN48" s="135"/>
      <c r="FO48" s="1315"/>
      <c r="FP48" s="358"/>
      <c r="FQ48" s="358"/>
      <c r="FR48" s="358"/>
      <c r="FS48" s="151"/>
    </row>
    <row r="49" spans="1:175" x14ac:dyDescent="0.3">
      <c r="A49" s="110">
        <v>38</v>
      </c>
      <c r="B49" s="120" t="s">
        <v>590</v>
      </c>
      <c r="C49" s="112" t="s">
        <v>144</v>
      </c>
      <c r="D49" s="1605" t="s">
        <v>145</v>
      </c>
      <c r="E49" s="439"/>
      <c r="F49" s="208"/>
      <c r="G49" s="208"/>
      <c r="H49" s="208">
        <f t="shared" si="50"/>
        <v>0</v>
      </c>
      <c r="I49" s="217"/>
      <c r="J49" s="113"/>
      <c r="K49" s="208"/>
      <c r="L49" s="208"/>
      <c r="M49" s="208">
        <f t="shared" si="51"/>
        <v>0</v>
      </c>
      <c r="N49" s="186"/>
      <c r="O49" s="113"/>
      <c r="P49" s="208"/>
      <c r="Q49" s="395"/>
      <c r="R49" s="208">
        <f t="shared" si="52"/>
        <v>0</v>
      </c>
      <c r="S49" s="169"/>
      <c r="T49" s="1312"/>
      <c r="U49" s="265"/>
      <c r="V49" s="265"/>
      <c r="W49" s="208">
        <f t="shared" si="53"/>
        <v>0</v>
      </c>
      <c r="X49" s="1313"/>
      <c r="Y49" s="113"/>
      <c r="Z49" s="208"/>
      <c r="AA49" s="208"/>
      <c r="AB49" s="208">
        <f t="shared" si="54"/>
        <v>0</v>
      </c>
      <c r="AC49" s="78"/>
      <c r="AD49" s="113"/>
      <c r="AE49" s="208"/>
      <c r="AF49" s="395"/>
      <c r="AG49" s="208">
        <f t="shared" si="55"/>
        <v>0</v>
      </c>
      <c r="AH49" s="94"/>
      <c r="AI49" s="113"/>
      <c r="AJ49" s="208"/>
      <c r="AK49" s="395"/>
      <c r="AL49" s="208">
        <f t="shared" si="56"/>
        <v>0</v>
      </c>
      <c r="AM49" s="78"/>
      <c r="AN49" s="113"/>
      <c r="AO49" s="208"/>
      <c r="AP49" s="395"/>
      <c r="AQ49" s="208">
        <f t="shared" si="44"/>
        <v>0</v>
      </c>
      <c r="AR49" s="157"/>
      <c r="AS49" s="113"/>
      <c r="AT49" s="208"/>
      <c r="AU49" s="395"/>
      <c r="AV49" s="208">
        <f t="shared" si="45"/>
        <v>0</v>
      </c>
      <c r="AW49" s="157"/>
      <c r="AX49" s="113"/>
      <c r="AY49" s="208"/>
      <c r="AZ49" s="208"/>
      <c r="BA49" s="208">
        <f t="shared" si="46"/>
        <v>0</v>
      </c>
      <c r="BB49" s="1561">
        <v>0</v>
      </c>
      <c r="BC49" s="583"/>
      <c r="BD49" s="395"/>
      <c r="BE49" s="395"/>
      <c r="BF49" s="208">
        <f t="shared" si="49"/>
        <v>0</v>
      </c>
      <c r="BG49" s="157"/>
      <c r="BH49" s="113"/>
      <c r="BI49" s="208"/>
      <c r="BJ49" s="208"/>
      <c r="BK49" s="208">
        <f t="shared" si="47"/>
        <v>0</v>
      </c>
      <c r="BL49" s="1614">
        <v>0</v>
      </c>
      <c r="BM49" s="1314"/>
      <c r="BN49" s="1310">
        <f t="shared" si="103"/>
        <v>0</v>
      </c>
      <c r="BO49" s="1310">
        <f t="shared" si="103"/>
        <v>0</v>
      </c>
      <c r="BP49" s="1310">
        <f t="shared" si="103"/>
        <v>0</v>
      </c>
      <c r="BQ49" s="220"/>
      <c r="BR49" s="607"/>
      <c r="BS49" s="137"/>
      <c r="BT49" s="137"/>
      <c r="BU49" s="137"/>
      <c r="BV49" s="151"/>
      <c r="BW49" s="607">
        <f t="shared" si="106"/>
        <v>0</v>
      </c>
      <c r="BX49" s="137">
        <f t="shared" si="107"/>
        <v>0</v>
      </c>
      <c r="BY49" s="137">
        <f t="shared" si="107"/>
        <v>0</v>
      </c>
      <c r="BZ49" s="137">
        <f t="shared" si="107"/>
        <v>0</v>
      </c>
      <c r="CA49" s="135"/>
      <c r="CB49" s="607"/>
      <c r="CC49" s="358"/>
      <c r="CD49" s="358"/>
      <c r="CE49" s="358"/>
      <c r="CF49" s="135"/>
      <c r="CG49" s="1315"/>
      <c r="CH49" s="358"/>
      <c r="CI49" s="358"/>
      <c r="CJ49" s="358"/>
      <c r="CK49" s="151"/>
      <c r="CL49" s="79"/>
      <c r="CM49" s="439"/>
      <c r="CN49" s="208"/>
      <c r="CO49" s="208"/>
      <c r="CP49" s="208">
        <f t="shared" si="112"/>
        <v>0</v>
      </c>
      <c r="CQ49" s="3547">
        <v>0</v>
      </c>
      <c r="CR49" s="113"/>
      <c r="CS49" s="208"/>
      <c r="CT49" s="208"/>
      <c r="CU49" s="208">
        <f t="shared" si="113"/>
        <v>0</v>
      </c>
      <c r="CV49" s="186"/>
      <c r="CW49" s="439"/>
      <c r="CX49" s="208"/>
      <c r="CY49" s="395"/>
      <c r="CZ49" s="208">
        <f t="shared" si="114"/>
        <v>0</v>
      </c>
      <c r="DA49" s="203"/>
      <c r="DB49" s="1312"/>
      <c r="DC49" s="265"/>
      <c r="DD49" s="265"/>
      <c r="DE49" s="208">
        <f t="shared" si="115"/>
        <v>0</v>
      </c>
      <c r="DF49" s="1610" t="e">
        <f t="shared" si="116"/>
        <v>#DIV/0!</v>
      </c>
      <c r="DG49" s="113"/>
      <c r="DH49" s="208"/>
      <c r="DI49" s="208"/>
      <c r="DJ49" s="208">
        <f t="shared" si="117"/>
        <v>0</v>
      </c>
      <c r="DK49" s="78" t="e">
        <f t="shared" si="142"/>
        <v>#DIV/0!</v>
      </c>
      <c r="DL49" s="113"/>
      <c r="DM49" s="208"/>
      <c r="DN49" s="395"/>
      <c r="DO49" s="208">
        <f t="shared" si="118"/>
        <v>0</v>
      </c>
      <c r="DP49" s="94" t="e">
        <f t="shared" si="145"/>
        <v>#DIV/0!</v>
      </c>
      <c r="DQ49" s="113"/>
      <c r="DR49" s="208"/>
      <c r="DS49" s="395"/>
      <c r="DT49" s="208">
        <f t="shared" si="119"/>
        <v>0</v>
      </c>
      <c r="DU49" s="78"/>
      <c r="DV49" s="113"/>
      <c r="DW49" s="208"/>
      <c r="DX49" s="395"/>
      <c r="DY49" s="208">
        <f t="shared" si="120"/>
        <v>0</v>
      </c>
      <c r="DZ49" s="157" t="e">
        <f t="shared" si="121"/>
        <v>#DIV/0!</v>
      </c>
      <c r="EA49" s="113"/>
      <c r="EB49" s="208"/>
      <c r="EC49" s="395"/>
      <c r="ED49" s="208">
        <f t="shared" si="122"/>
        <v>0</v>
      </c>
      <c r="EE49" s="157" t="e">
        <f t="shared" si="123"/>
        <v>#DIV/0!</v>
      </c>
      <c r="EF49" s="113"/>
      <c r="EG49" s="208"/>
      <c r="EH49" s="208"/>
      <c r="EI49" s="208">
        <f t="shared" si="124"/>
        <v>0</v>
      </c>
      <c r="EJ49" s="157" t="e">
        <f t="shared" si="125"/>
        <v>#DIV/0!</v>
      </c>
      <c r="EK49" s="583"/>
      <c r="EL49" s="395"/>
      <c r="EM49" s="395"/>
      <c r="EN49" s="208">
        <f t="shared" si="126"/>
        <v>0</v>
      </c>
      <c r="EO49" s="157" t="e">
        <f t="shared" si="127"/>
        <v>#DIV/0!</v>
      </c>
      <c r="EP49" s="113"/>
      <c r="EQ49" s="208"/>
      <c r="ER49" s="208"/>
      <c r="ES49" s="208">
        <f t="shared" si="128"/>
        <v>0</v>
      </c>
      <c r="ET49" s="186" t="e">
        <f t="shared" si="102"/>
        <v>#DIV/0!</v>
      </c>
      <c r="EU49" s="1314"/>
      <c r="EV49" s="1310">
        <f t="shared" si="129"/>
        <v>0</v>
      </c>
      <c r="EW49" s="1310">
        <f t="shared" si="129"/>
        <v>0</v>
      </c>
      <c r="EX49" s="1310">
        <f t="shared" si="129"/>
        <v>0</v>
      </c>
      <c r="EY49" s="220"/>
      <c r="EZ49" s="357"/>
      <c r="FA49" s="137"/>
      <c r="FB49" s="137"/>
      <c r="FC49" s="137"/>
      <c r="FD49" s="151"/>
      <c r="FE49" s="607">
        <f t="shared" si="132"/>
        <v>0</v>
      </c>
      <c r="FF49" s="137">
        <f t="shared" si="133"/>
        <v>0</v>
      </c>
      <c r="FG49" s="137">
        <f t="shared" si="133"/>
        <v>0</v>
      </c>
      <c r="FH49" s="137">
        <f t="shared" si="133"/>
        <v>0</v>
      </c>
      <c r="FI49" s="135"/>
      <c r="FJ49" s="607"/>
      <c r="FK49" s="358"/>
      <c r="FL49" s="358"/>
      <c r="FM49" s="358"/>
      <c r="FN49" s="135"/>
      <c r="FO49" s="1315"/>
      <c r="FP49" s="358"/>
      <c r="FQ49" s="358"/>
      <c r="FR49" s="358"/>
      <c r="FS49" s="151"/>
    </row>
    <row r="50" spans="1:175" x14ac:dyDescent="0.3">
      <c r="A50" s="110">
        <v>39</v>
      </c>
      <c r="B50" s="120" t="s">
        <v>590</v>
      </c>
      <c r="C50" s="121" t="s">
        <v>144</v>
      </c>
      <c r="D50" s="1605" t="s">
        <v>145</v>
      </c>
      <c r="E50" s="401"/>
      <c r="F50" s="395"/>
      <c r="G50" s="395"/>
      <c r="H50" s="208">
        <f t="shared" si="50"/>
        <v>0</v>
      </c>
      <c r="I50" s="78"/>
      <c r="J50" s="583"/>
      <c r="K50" s="395"/>
      <c r="L50" s="395"/>
      <c r="M50" s="208">
        <f t="shared" si="51"/>
        <v>0</v>
      </c>
      <c r="N50" s="186"/>
      <c r="O50" s="583"/>
      <c r="P50" s="395"/>
      <c r="Q50" s="395"/>
      <c r="R50" s="208">
        <f t="shared" si="52"/>
        <v>0</v>
      </c>
      <c r="S50" s="421"/>
      <c r="T50" s="1325"/>
      <c r="U50" s="1317"/>
      <c r="V50" s="1317"/>
      <c r="W50" s="208">
        <f t="shared" si="53"/>
        <v>0</v>
      </c>
      <c r="X50" s="1313"/>
      <c r="Y50" s="583"/>
      <c r="Z50" s="395"/>
      <c r="AA50" s="395"/>
      <c r="AB50" s="208">
        <f t="shared" si="54"/>
        <v>0</v>
      </c>
      <c r="AC50" s="186"/>
      <c r="AD50" s="583">
        <v>5</v>
      </c>
      <c r="AE50" s="395">
        <v>61157</v>
      </c>
      <c r="AF50" s="395">
        <v>140000</v>
      </c>
      <c r="AG50" s="208">
        <f t="shared" si="55"/>
        <v>78843</v>
      </c>
      <c r="AH50" s="362">
        <f>AG50/AF50</f>
        <v>0.56316428571428567</v>
      </c>
      <c r="AI50" s="583"/>
      <c r="AJ50" s="395"/>
      <c r="AK50" s="395"/>
      <c r="AL50" s="395">
        <v>0</v>
      </c>
      <c r="AM50" s="186"/>
      <c r="AN50" s="583"/>
      <c r="AO50" s="395"/>
      <c r="AP50" s="395"/>
      <c r="AQ50" s="208">
        <f t="shared" si="44"/>
        <v>0</v>
      </c>
      <c r="AR50" s="157"/>
      <c r="AS50" s="1318"/>
      <c r="AT50" s="395"/>
      <c r="AU50" s="395"/>
      <c r="AV50" s="208">
        <f t="shared" si="45"/>
        <v>0</v>
      </c>
      <c r="AW50" s="157"/>
      <c r="AX50" s="583"/>
      <c r="AY50" s="395"/>
      <c r="AZ50" s="395"/>
      <c r="BA50" s="208">
        <f t="shared" si="46"/>
        <v>0</v>
      </c>
      <c r="BB50" s="1561">
        <v>0</v>
      </c>
      <c r="BC50" s="583"/>
      <c r="BD50" s="395"/>
      <c r="BE50" s="395"/>
      <c r="BF50" s="208">
        <f t="shared" si="49"/>
        <v>0</v>
      </c>
      <c r="BG50" s="157"/>
      <c r="BH50" s="583"/>
      <c r="BI50" s="395"/>
      <c r="BJ50" s="395"/>
      <c r="BK50" s="208">
        <f t="shared" si="47"/>
        <v>0</v>
      </c>
      <c r="BL50" s="1614">
        <v>0</v>
      </c>
      <c r="BM50" s="1336"/>
      <c r="BN50" s="1310">
        <f t="shared" si="103"/>
        <v>61157</v>
      </c>
      <c r="BO50" s="1310">
        <f t="shared" si="103"/>
        <v>140000</v>
      </c>
      <c r="BP50" s="1310">
        <f t="shared" si="103"/>
        <v>78843</v>
      </c>
      <c r="BQ50" s="220">
        <f t="shared" si="146"/>
        <v>0.56316428571428567</v>
      </c>
      <c r="BR50" s="607">
        <f t="shared" ref="BR50:BR60" si="147">(E50+J50+O50)/3</f>
        <v>0</v>
      </c>
      <c r="BS50" s="137">
        <f t="shared" ref="BS50:BU60" si="148">F50+K50+P50</f>
        <v>0</v>
      </c>
      <c r="BT50" s="137">
        <f t="shared" si="148"/>
        <v>0</v>
      </c>
      <c r="BU50" s="137">
        <f t="shared" si="148"/>
        <v>0</v>
      </c>
      <c r="BV50" s="151"/>
      <c r="BW50" s="607">
        <f t="shared" si="106"/>
        <v>1.6666666666666667</v>
      </c>
      <c r="BX50" s="137">
        <f t="shared" si="107"/>
        <v>61157</v>
      </c>
      <c r="BY50" s="137">
        <f t="shared" si="107"/>
        <v>140000</v>
      </c>
      <c r="BZ50" s="137">
        <f t="shared" si="107"/>
        <v>78843</v>
      </c>
      <c r="CA50" s="135">
        <f>BZ50/BY50</f>
        <v>0.56316428571428567</v>
      </c>
      <c r="CB50" s="607">
        <f t="shared" ref="CB50:CB60" si="149">(AI50+AN50+AS50)/3</f>
        <v>0</v>
      </c>
      <c r="CC50" s="358">
        <f t="shared" ref="CC50:CE60" si="150">AJ50+AO50+AT50</f>
        <v>0</v>
      </c>
      <c r="CD50" s="358">
        <f t="shared" si="150"/>
        <v>0</v>
      </c>
      <c r="CE50" s="358">
        <f t="shared" si="150"/>
        <v>0</v>
      </c>
      <c r="CF50" s="135" t="e">
        <f>CE50/CD50</f>
        <v>#DIV/0!</v>
      </c>
      <c r="CG50" s="1315">
        <f t="shared" ref="CG50:CG60" si="151">(AX50+BC50+BH50)/3</f>
        <v>0</v>
      </c>
      <c r="CH50" s="358">
        <f t="shared" ref="CH50:CJ60" si="152">AY50+BD50+BI50</f>
        <v>0</v>
      </c>
      <c r="CI50" s="358">
        <f t="shared" si="152"/>
        <v>0</v>
      </c>
      <c r="CJ50" s="358">
        <f t="shared" si="152"/>
        <v>0</v>
      </c>
      <c r="CK50" s="151" t="e">
        <f>CJ50/CI50</f>
        <v>#DIV/0!</v>
      </c>
      <c r="CL50" s="79"/>
      <c r="CM50" s="401"/>
      <c r="CN50" s="395"/>
      <c r="CO50" s="395"/>
      <c r="CP50" s="208">
        <f t="shared" si="112"/>
        <v>0</v>
      </c>
      <c r="CQ50" s="3547">
        <v>0</v>
      </c>
      <c r="CR50" s="583"/>
      <c r="CS50" s="395"/>
      <c r="CT50" s="395"/>
      <c r="CU50" s="208">
        <f t="shared" si="113"/>
        <v>0</v>
      </c>
      <c r="CV50" s="186"/>
      <c r="CW50" s="401"/>
      <c r="CX50" s="395"/>
      <c r="CY50" s="395"/>
      <c r="CZ50" s="208">
        <f t="shared" si="114"/>
        <v>0</v>
      </c>
      <c r="DA50" s="203"/>
      <c r="DB50" s="1325"/>
      <c r="DC50" s="1317"/>
      <c r="DD50" s="1317"/>
      <c r="DE50" s="208">
        <f t="shared" si="115"/>
        <v>0</v>
      </c>
      <c r="DF50" s="1610" t="e">
        <f t="shared" si="116"/>
        <v>#DIV/0!</v>
      </c>
      <c r="DG50" s="583"/>
      <c r="DH50" s="395"/>
      <c r="DI50" s="395"/>
      <c r="DJ50" s="208">
        <f t="shared" si="117"/>
        <v>0</v>
      </c>
      <c r="DK50" s="78" t="e">
        <f t="shared" si="142"/>
        <v>#DIV/0!</v>
      </c>
      <c r="DL50" s="583"/>
      <c r="DM50" s="395"/>
      <c r="DN50" s="395"/>
      <c r="DO50" s="208">
        <f t="shared" si="118"/>
        <v>0</v>
      </c>
      <c r="DP50" s="94" t="e">
        <f t="shared" si="145"/>
        <v>#DIV/0!</v>
      </c>
      <c r="DQ50" s="583"/>
      <c r="DR50" s="395"/>
      <c r="DS50" s="395"/>
      <c r="DT50" s="395">
        <v>0</v>
      </c>
      <c r="DU50" s="186"/>
      <c r="DV50" s="583"/>
      <c r="DW50" s="395"/>
      <c r="DX50" s="395"/>
      <c r="DY50" s="208">
        <f t="shared" si="120"/>
        <v>0</v>
      </c>
      <c r="DZ50" s="157" t="e">
        <f t="shared" si="121"/>
        <v>#DIV/0!</v>
      </c>
      <c r="EA50" s="1318"/>
      <c r="EB50" s="395"/>
      <c r="EC50" s="395"/>
      <c r="ED50" s="208">
        <f t="shared" si="122"/>
        <v>0</v>
      </c>
      <c r="EE50" s="157" t="e">
        <f t="shared" si="123"/>
        <v>#DIV/0!</v>
      </c>
      <c r="EF50" s="583"/>
      <c r="EG50" s="395"/>
      <c r="EH50" s="395"/>
      <c r="EI50" s="208">
        <f t="shared" si="124"/>
        <v>0</v>
      </c>
      <c r="EJ50" s="157" t="e">
        <f t="shared" si="125"/>
        <v>#DIV/0!</v>
      </c>
      <c r="EK50" s="583"/>
      <c r="EL50" s="395"/>
      <c r="EM50" s="395"/>
      <c r="EN50" s="208">
        <f t="shared" si="126"/>
        <v>0</v>
      </c>
      <c r="EO50" s="157" t="e">
        <f t="shared" si="127"/>
        <v>#DIV/0!</v>
      </c>
      <c r="EP50" s="583"/>
      <c r="EQ50" s="395"/>
      <c r="ER50" s="395"/>
      <c r="ES50" s="208">
        <f t="shared" si="128"/>
        <v>0</v>
      </c>
      <c r="ET50" s="186" t="e">
        <f t="shared" si="102"/>
        <v>#DIV/0!</v>
      </c>
      <c r="EU50" s="1336"/>
      <c r="EV50" s="1310">
        <f t="shared" si="129"/>
        <v>0</v>
      </c>
      <c r="EW50" s="1310">
        <f t="shared" si="129"/>
        <v>0</v>
      </c>
      <c r="EX50" s="1310">
        <f t="shared" si="129"/>
        <v>0</v>
      </c>
      <c r="EY50" s="220" t="e">
        <f>EX50/EW50</f>
        <v>#DIV/0!</v>
      </c>
      <c r="EZ50" s="357">
        <f t="shared" ref="EZ50:EZ60" si="153">(CM50+CR50+CW50)/3</f>
        <v>0</v>
      </c>
      <c r="FA50" s="137">
        <f t="shared" ref="FA50:FC60" si="154">CN50+CS50+CX50</f>
        <v>0</v>
      </c>
      <c r="FB50" s="137">
        <f t="shared" si="154"/>
        <v>0</v>
      </c>
      <c r="FC50" s="137">
        <f t="shared" si="154"/>
        <v>0</v>
      </c>
      <c r="FD50" s="151"/>
      <c r="FE50" s="607">
        <f t="shared" si="132"/>
        <v>0</v>
      </c>
      <c r="FF50" s="137">
        <f t="shared" si="133"/>
        <v>0</v>
      </c>
      <c r="FG50" s="137">
        <f t="shared" si="133"/>
        <v>0</v>
      </c>
      <c r="FH50" s="137">
        <f t="shared" si="133"/>
        <v>0</v>
      </c>
      <c r="FI50" s="135" t="e">
        <f>FH50/FG50</f>
        <v>#DIV/0!</v>
      </c>
      <c r="FJ50" s="607">
        <f t="shared" ref="FJ50:FJ60" si="155">(DQ50+DV50+EA50)/3</f>
        <v>0</v>
      </c>
      <c r="FK50" s="358">
        <f t="shared" ref="FK50:FM60" si="156">DR50+DW50+EB50</f>
        <v>0</v>
      </c>
      <c r="FL50" s="358">
        <f t="shared" si="156"/>
        <v>0</v>
      </c>
      <c r="FM50" s="358">
        <f t="shared" si="156"/>
        <v>0</v>
      </c>
      <c r="FN50" s="135" t="e">
        <f t="shared" ref="FN50:FN59" si="157">FM50/FL50</f>
        <v>#DIV/0!</v>
      </c>
      <c r="FO50" s="1315">
        <f t="shared" ref="FO50:FO60" si="158">(EF50+EK50+EP50)/3</f>
        <v>0</v>
      </c>
      <c r="FP50" s="358">
        <f t="shared" ref="FP50:FR60" si="159">EG50+EL50+EQ50</f>
        <v>0</v>
      </c>
      <c r="FQ50" s="358">
        <f t="shared" si="159"/>
        <v>0</v>
      </c>
      <c r="FR50" s="358">
        <f t="shared" si="159"/>
        <v>0</v>
      </c>
      <c r="FS50" s="151" t="e">
        <f>FR50/FQ50</f>
        <v>#DIV/0!</v>
      </c>
    </row>
    <row r="51" spans="1:175" x14ac:dyDescent="0.3">
      <c r="A51" s="110"/>
      <c r="B51" s="120" t="s">
        <v>1085</v>
      </c>
      <c r="C51" s="121"/>
      <c r="D51" s="1605"/>
      <c r="E51" s="401"/>
      <c r="F51" s="395"/>
      <c r="G51" s="395"/>
      <c r="H51" s="208"/>
      <c r="I51" s="78"/>
      <c r="J51" s="583"/>
      <c r="K51" s="395"/>
      <c r="L51" s="395"/>
      <c r="M51" s="208"/>
      <c r="N51" s="186"/>
      <c r="O51" s="583"/>
      <c r="P51" s="395"/>
      <c r="Q51" s="395"/>
      <c r="R51" s="208"/>
      <c r="S51" s="421"/>
      <c r="T51" s="1325"/>
      <c r="U51" s="1317"/>
      <c r="V51" s="1317"/>
      <c r="W51" s="208"/>
      <c r="X51" s="1313"/>
      <c r="Y51" s="583"/>
      <c r="Z51" s="395"/>
      <c r="AA51" s="395"/>
      <c r="AB51" s="208"/>
      <c r="AC51" s="186"/>
      <c r="AD51" s="583"/>
      <c r="AE51" s="395"/>
      <c r="AF51" s="395"/>
      <c r="AG51" s="208"/>
      <c r="AH51" s="362"/>
      <c r="AI51" s="583"/>
      <c r="AJ51" s="395"/>
      <c r="AK51" s="395"/>
      <c r="AL51" s="395"/>
      <c r="AM51" s="186"/>
      <c r="AN51" s="583"/>
      <c r="AO51" s="395"/>
      <c r="AP51" s="395"/>
      <c r="AQ51" s="208"/>
      <c r="AR51" s="157"/>
      <c r="AS51" s="1318"/>
      <c r="AT51" s="395"/>
      <c r="AU51" s="395"/>
      <c r="AV51" s="208"/>
      <c r="AW51" s="157"/>
      <c r="AX51" s="583"/>
      <c r="AY51" s="395"/>
      <c r="AZ51" s="395"/>
      <c r="BA51" s="208"/>
      <c r="BB51" s="1561"/>
      <c r="BC51" s="583"/>
      <c r="BD51" s="395"/>
      <c r="BE51" s="395"/>
      <c r="BF51" s="208"/>
      <c r="BG51" s="157"/>
      <c r="BH51" s="583"/>
      <c r="BI51" s="395"/>
      <c r="BJ51" s="395"/>
      <c r="BK51" s="208"/>
      <c r="BL51" s="1614"/>
      <c r="BM51" s="1336"/>
      <c r="BN51" s="1310"/>
      <c r="BO51" s="1310"/>
      <c r="BP51" s="1310"/>
      <c r="BQ51" s="220"/>
      <c r="BR51" s="607"/>
      <c r="BS51" s="137"/>
      <c r="BT51" s="137"/>
      <c r="BU51" s="137"/>
      <c r="BV51" s="151"/>
      <c r="BW51" s="607"/>
      <c r="BX51" s="137"/>
      <c r="BY51" s="137"/>
      <c r="BZ51" s="137"/>
      <c r="CA51" s="135"/>
      <c r="CB51" s="607"/>
      <c r="CC51" s="358"/>
      <c r="CD51" s="358"/>
      <c r="CE51" s="358"/>
      <c r="CF51" s="135"/>
      <c r="CG51" s="1315"/>
      <c r="CH51" s="358"/>
      <c r="CI51" s="358"/>
      <c r="CJ51" s="358"/>
      <c r="CK51" s="151"/>
      <c r="CL51" s="79"/>
      <c r="CM51" s="401"/>
      <c r="CN51" s="395"/>
      <c r="CO51" s="395"/>
      <c r="CP51" s="208"/>
      <c r="CQ51" s="3547"/>
      <c r="CR51" s="583"/>
      <c r="CS51" s="395"/>
      <c r="CT51" s="395"/>
      <c r="CU51" s="208"/>
      <c r="CV51" s="186"/>
      <c r="CW51" s="401"/>
      <c r="CX51" s="395"/>
      <c r="CY51" s="395"/>
      <c r="CZ51" s="208"/>
      <c r="DA51" s="203"/>
      <c r="DB51" s="1325"/>
      <c r="DC51" s="1317"/>
      <c r="DD51" s="1317"/>
      <c r="DE51" s="208"/>
      <c r="DF51" s="1610"/>
      <c r="DG51" s="583"/>
      <c r="DH51" s="395"/>
      <c r="DI51" s="395"/>
      <c r="DJ51" s="208"/>
      <c r="DK51" s="78"/>
      <c r="DL51" s="583"/>
      <c r="DM51" s="395"/>
      <c r="DN51" s="395"/>
      <c r="DO51" s="208"/>
      <c r="DP51" s="94"/>
      <c r="DQ51" s="583"/>
      <c r="DR51" s="395"/>
      <c r="DS51" s="395"/>
      <c r="DT51" s="395"/>
      <c r="DU51" s="186"/>
      <c r="DV51" s="583"/>
      <c r="DW51" s="395"/>
      <c r="DX51" s="395"/>
      <c r="DY51" s="208"/>
      <c r="DZ51" s="157"/>
      <c r="EA51" s="1318">
        <v>1</v>
      </c>
      <c r="EB51" s="395">
        <v>18623</v>
      </c>
      <c r="EC51" s="395"/>
      <c r="ED51" s="208">
        <f t="shared" si="122"/>
        <v>-18623</v>
      </c>
      <c r="EE51" s="157" t="e">
        <f t="shared" si="123"/>
        <v>#DIV/0!</v>
      </c>
      <c r="EF51" s="583"/>
      <c r="EG51" s="395"/>
      <c r="EH51" s="395"/>
      <c r="EI51" s="208"/>
      <c r="EJ51" s="157"/>
      <c r="EK51" s="583"/>
      <c r="EL51" s="395"/>
      <c r="EM51" s="395"/>
      <c r="EN51" s="208"/>
      <c r="EO51" s="157"/>
      <c r="EP51" s="583"/>
      <c r="EQ51" s="395"/>
      <c r="ER51" s="395"/>
      <c r="ES51" s="208"/>
      <c r="ET51" s="186"/>
      <c r="EU51" s="1336"/>
      <c r="EV51" s="1310"/>
      <c r="EW51" s="1310"/>
      <c r="EX51" s="1310"/>
      <c r="EY51" s="220"/>
      <c r="EZ51" s="357"/>
      <c r="FA51" s="137"/>
      <c r="FB51" s="137"/>
      <c r="FC51" s="137"/>
      <c r="FD51" s="151"/>
      <c r="FE51" s="607"/>
      <c r="FF51" s="137"/>
      <c r="FG51" s="137"/>
      <c r="FH51" s="137"/>
      <c r="FI51" s="135"/>
      <c r="FJ51" s="607"/>
      <c r="FK51" s="358"/>
      <c r="FL51" s="358"/>
      <c r="FM51" s="358"/>
      <c r="FN51" s="135"/>
      <c r="FO51" s="1315"/>
      <c r="FP51" s="358"/>
      <c r="FQ51" s="358"/>
      <c r="FR51" s="358"/>
      <c r="FS51" s="151"/>
    </row>
    <row r="52" spans="1:175" x14ac:dyDescent="0.3">
      <c r="A52" s="110"/>
      <c r="B52" s="120" t="s">
        <v>1086</v>
      </c>
      <c r="C52" s="121"/>
      <c r="D52" s="1605"/>
      <c r="E52" s="401"/>
      <c r="F52" s="395"/>
      <c r="G52" s="395"/>
      <c r="H52" s="208"/>
      <c r="I52" s="78"/>
      <c r="J52" s="583"/>
      <c r="K52" s="395"/>
      <c r="L52" s="395"/>
      <c r="M52" s="208"/>
      <c r="N52" s="186"/>
      <c r="O52" s="583"/>
      <c r="P52" s="395"/>
      <c r="Q52" s="395"/>
      <c r="R52" s="208"/>
      <c r="S52" s="421"/>
      <c r="T52" s="1325"/>
      <c r="U52" s="1317"/>
      <c r="V52" s="1317"/>
      <c r="W52" s="208"/>
      <c r="X52" s="1313"/>
      <c r="Y52" s="583"/>
      <c r="Z52" s="395"/>
      <c r="AA52" s="395"/>
      <c r="AB52" s="208"/>
      <c r="AC52" s="186"/>
      <c r="AD52" s="583"/>
      <c r="AE52" s="395"/>
      <c r="AF52" s="395"/>
      <c r="AG52" s="208"/>
      <c r="AH52" s="362"/>
      <c r="AI52" s="583"/>
      <c r="AJ52" s="395"/>
      <c r="AK52" s="395"/>
      <c r="AL52" s="395"/>
      <c r="AM52" s="186"/>
      <c r="AN52" s="583"/>
      <c r="AO52" s="395"/>
      <c r="AP52" s="395"/>
      <c r="AQ52" s="208"/>
      <c r="AR52" s="157"/>
      <c r="AS52" s="1318"/>
      <c r="AT52" s="395"/>
      <c r="AU52" s="395"/>
      <c r="AV52" s="208"/>
      <c r="AW52" s="157"/>
      <c r="AX52" s="583"/>
      <c r="AY52" s="395"/>
      <c r="AZ52" s="395"/>
      <c r="BA52" s="208"/>
      <c r="BB52" s="1561"/>
      <c r="BC52" s="583"/>
      <c r="BD52" s="395"/>
      <c r="BE52" s="395"/>
      <c r="BF52" s="208"/>
      <c r="BG52" s="157"/>
      <c r="BH52" s="583"/>
      <c r="BI52" s="395"/>
      <c r="BJ52" s="395"/>
      <c r="BK52" s="208"/>
      <c r="BL52" s="1614"/>
      <c r="BM52" s="1336"/>
      <c r="BN52" s="1310"/>
      <c r="BO52" s="1310"/>
      <c r="BP52" s="1310"/>
      <c r="BQ52" s="220"/>
      <c r="BR52" s="607"/>
      <c r="BS52" s="137"/>
      <c r="BT52" s="137"/>
      <c r="BU52" s="137"/>
      <c r="BV52" s="151"/>
      <c r="BW52" s="607"/>
      <c r="BX52" s="137"/>
      <c r="BY52" s="137"/>
      <c r="BZ52" s="137"/>
      <c r="CA52" s="135"/>
      <c r="CB52" s="607"/>
      <c r="CC52" s="358"/>
      <c r="CD52" s="358"/>
      <c r="CE52" s="358"/>
      <c r="CF52" s="135"/>
      <c r="CG52" s="1315"/>
      <c r="CH52" s="358"/>
      <c r="CI52" s="358"/>
      <c r="CJ52" s="358"/>
      <c r="CK52" s="151"/>
      <c r="CL52" s="79"/>
      <c r="CM52" s="401"/>
      <c r="CN52" s="395"/>
      <c r="CO52" s="395"/>
      <c r="CP52" s="208"/>
      <c r="CQ52" s="3547"/>
      <c r="CR52" s="583"/>
      <c r="CS52" s="395"/>
      <c r="CT52" s="395"/>
      <c r="CU52" s="208"/>
      <c r="CV52" s="186"/>
      <c r="CW52" s="401"/>
      <c r="CX52" s="395"/>
      <c r="CY52" s="395"/>
      <c r="CZ52" s="208"/>
      <c r="DA52" s="203"/>
      <c r="DB52" s="1325"/>
      <c r="DC52" s="1317"/>
      <c r="DD52" s="1317"/>
      <c r="DE52" s="208"/>
      <c r="DF52" s="1610"/>
      <c r="DG52" s="583"/>
      <c r="DH52" s="395"/>
      <c r="DI52" s="395"/>
      <c r="DJ52" s="208"/>
      <c r="DK52" s="78"/>
      <c r="DL52" s="583"/>
      <c r="DM52" s="395"/>
      <c r="DN52" s="395"/>
      <c r="DO52" s="208"/>
      <c r="DP52" s="94"/>
      <c r="DQ52" s="583"/>
      <c r="DR52" s="395"/>
      <c r="DS52" s="395"/>
      <c r="DT52" s="395"/>
      <c r="DU52" s="186"/>
      <c r="DV52" s="583"/>
      <c r="DW52" s="395"/>
      <c r="DX52" s="395"/>
      <c r="DY52" s="208"/>
      <c r="DZ52" s="157"/>
      <c r="EA52" s="1318"/>
      <c r="EB52" s="395"/>
      <c r="EC52" s="395"/>
      <c r="ED52" s="208">
        <f t="shared" si="122"/>
        <v>0</v>
      </c>
      <c r="EE52" s="157" t="e">
        <f t="shared" si="123"/>
        <v>#DIV/0!</v>
      </c>
      <c r="EF52" s="583"/>
      <c r="EG52" s="395"/>
      <c r="EH52" s="395"/>
      <c r="EI52" s="208"/>
      <c r="EJ52" s="157"/>
      <c r="EK52" s="583"/>
      <c r="EL52" s="395"/>
      <c r="EM52" s="395"/>
      <c r="EN52" s="208"/>
      <c r="EO52" s="157"/>
      <c r="EP52" s="583"/>
      <c r="EQ52" s="395"/>
      <c r="ER52" s="395"/>
      <c r="ES52" s="208"/>
      <c r="ET52" s="186"/>
      <c r="EU52" s="1336"/>
      <c r="EV52" s="1310"/>
      <c r="EW52" s="1310"/>
      <c r="EX52" s="1310"/>
      <c r="EY52" s="220"/>
      <c r="EZ52" s="357"/>
      <c r="FA52" s="137"/>
      <c r="FB52" s="137"/>
      <c r="FC52" s="137"/>
      <c r="FD52" s="151"/>
      <c r="FE52" s="607"/>
      <c r="FF52" s="137"/>
      <c r="FG52" s="137"/>
      <c r="FH52" s="137"/>
      <c r="FI52" s="135"/>
      <c r="FJ52" s="607"/>
      <c r="FK52" s="358"/>
      <c r="FL52" s="358"/>
      <c r="FM52" s="358"/>
      <c r="FN52" s="135"/>
      <c r="FO52" s="1315"/>
      <c r="FP52" s="358"/>
      <c r="FQ52" s="358"/>
      <c r="FR52" s="358"/>
      <c r="FS52" s="151"/>
    </row>
    <row r="53" spans="1:175" x14ac:dyDescent="0.3">
      <c r="A53" s="110"/>
      <c r="B53" s="120" t="s">
        <v>956</v>
      </c>
      <c r="C53" s="121"/>
      <c r="D53" s="1605"/>
      <c r="E53" s="401"/>
      <c r="F53" s="395"/>
      <c r="G53" s="395"/>
      <c r="H53" s="208"/>
      <c r="I53" s="78"/>
      <c r="J53" s="583"/>
      <c r="K53" s="395"/>
      <c r="L53" s="395"/>
      <c r="M53" s="208"/>
      <c r="N53" s="186"/>
      <c r="O53" s="583"/>
      <c r="P53" s="395"/>
      <c r="Q53" s="395"/>
      <c r="R53" s="208"/>
      <c r="S53" s="421"/>
      <c r="T53" s="1325"/>
      <c r="U53" s="1317"/>
      <c r="V53" s="1317"/>
      <c r="W53" s="208"/>
      <c r="X53" s="1313"/>
      <c r="Y53" s="583"/>
      <c r="Z53" s="395"/>
      <c r="AA53" s="395"/>
      <c r="AB53" s="208"/>
      <c r="AC53" s="186"/>
      <c r="AD53" s="583"/>
      <c r="AE53" s="395"/>
      <c r="AF53" s="395"/>
      <c r="AG53" s="208"/>
      <c r="AH53" s="362"/>
      <c r="AI53" s="583"/>
      <c r="AJ53" s="395"/>
      <c r="AK53" s="395"/>
      <c r="AL53" s="395"/>
      <c r="AM53" s="186"/>
      <c r="AN53" s="583"/>
      <c r="AO53" s="395"/>
      <c r="AP53" s="395"/>
      <c r="AQ53" s="208"/>
      <c r="AR53" s="157"/>
      <c r="AS53" s="1318"/>
      <c r="AT53" s="395"/>
      <c r="AU53" s="395"/>
      <c r="AV53" s="208"/>
      <c r="AW53" s="157"/>
      <c r="AX53" s="583"/>
      <c r="AY53" s="395"/>
      <c r="AZ53" s="395"/>
      <c r="BA53" s="208"/>
      <c r="BB53" s="1561"/>
      <c r="BC53" s="583"/>
      <c r="BD53" s="395"/>
      <c r="BE53" s="395"/>
      <c r="BF53" s="208"/>
      <c r="BG53" s="157"/>
      <c r="BH53" s="583"/>
      <c r="BI53" s="395"/>
      <c r="BJ53" s="395"/>
      <c r="BK53" s="208"/>
      <c r="BL53" s="1614"/>
      <c r="BM53" s="1336"/>
      <c r="BN53" s="1310"/>
      <c r="BO53" s="1310"/>
      <c r="BP53" s="1310"/>
      <c r="BQ53" s="220"/>
      <c r="BR53" s="607"/>
      <c r="BS53" s="137"/>
      <c r="BT53" s="137"/>
      <c r="BU53" s="137"/>
      <c r="BV53" s="151"/>
      <c r="BW53" s="607"/>
      <c r="BX53" s="137"/>
      <c r="BY53" s="137"/>
      <c r="BZ53" s="137"/>
      <c r="CA53" s="135"/>
      <c r="CB53" s="607"/>
      <c r="CC53" s="358"/>
      <c r="CD53" s="358"/>
      <c r="CE53" s="358"/>
      <c r="CF53" s="135"/>
      <c r="CG53" s="1315"/>
      <c r="CH53" s="358"/>
      <c r="CI53" s="358"/>
      <c r="CJ53" s="358"/>
      <c r="CK53" s="151"/>
      <c r="CL53" s="79"/>
      <c r="CM53" s="401"/>
      <c r="CN53" s="395"/>
      <c r="CO53" s="395"/>
      <c r="CP53" s="208"/>
      <c r="CQ53" s="3547"/>
      <c r="CR53" s="583"/>
      <c r="CS53" s="395"/>
      <c r="CT53" s="395"/>
      <c r="CU53" s="208"/>
      <c r="CV53" s="186"/>
      <c r="CW53" s="401"/>
      <c r="CX53" s="395"/>
      <c r="CY53" s="395"/>
      <c r="CZ53" s="208"/>
      <c r="DA53" s="203"/>
      <c r="DB53" s="1325"/>
      <c r="DC53" s="1317"/>
      <c r="DD53" s="1317"/>
      <c r="DE53" s="208"/>
      <c r="DF53" s="1610"/>
      <c r="DG53" s="583"/>
      <c r="DH53" s="395"/>
      <c r="DI53" s="395"/>
      <c r="DJ53" s="208"/>
      <c r="DK53" s="78"/>
      <c r="DL53" s="583"/>
      <c r="DM53" s="395"/>
      <c r="DN53" s="395"/>
      <c r="DO53" s="208"/>
      <c r="DP53" s="94"/>
      <c r="DQ53" s="583"/>
      <c r="DR53" s="395"/>
      <c r="DS53" s="395"/>
      <c r="DT53" s="395"/>
      <c r="DU53" s="186"/>
      <c r="DV53" s="583"/>
      <c r="DW53" s="395"/>
      <c r="DX53" s="395"/>
      <c r="DY53" s="208"/>
      <c r="DZ53" s="157"/>
      <c r="EA53" s="1318">
        <v>2</v>
      </c>
      <c r="EB53" s="395">
        <v>358622</v>
      </c>
      <c r="EC53" s="395"/>
      <c r="ED53" s="208">
        <f t="shared" si="122"/>
        <v>-358622</v>
      </c>
      <c r="EE53" s="157" t="e">
        <f t="shared" si="123"/>
        <v>#DIV/0!</v>
      </c>
      <c r="EF53" s="583"/>
      <c r="EG53" s="395"/>
      <c r="EH53" s="395"/>
      <c r="EI53" s="208"/>
      <c r="EJ53" s="157"/>
      <c r="EK53" s="583"/>
      <c r="EL53" s="395"/>
      <c r="EM53" s="395"/>
      <c r="EN53" s="208"/>
      <c r="EO53" s="157"/>
      <c r="EP53" s="583"/>
      <c r="EQ53" s="395"/>
      <c r="ER53" s="395"/>
      <c r="ES53" s="208"/>
      <c r="ET53" s="186"/>
      <c r="EU53" s="1336"/>
      <c r="EV53" s="1310"/>
      <c r="EW53" s="1310"/>
      <c r="EX53" s="1310"/>
      <c r="EY53" s="220"/>
      <c r="EZ53" s="357"/>
      <c r="FA53" s="137"/>
      <c r="FB53" s="137"/>
      <c r="FC53" s="137"/>
      <c r="FD53" s="151"/>
      <c r="FE53" s="607"/>
      <c r="FF53" s="137"/>
      <c r="FG53" s="137"/>
      <c r="FH53" s="137"/>
      <c r="FI53" s="135"/>
      <c r="FJ53" s="607"/>
      <c r="FK53" s="358"/>
      <c r="FL53" s="358"/>
      <c r="FM53" s="358"/>
      <c r="FN53" s="135"/>
      <c r="FO53" s="1315"/>
      <c r="FP53" s="358"/>
      <c r="FQ53" s="358"/>
      <c r="FR53" s="358"/>
      <c r="FS53" s="151"/>
    </row>
    <row r="54" spans="1:175" x14ac:dyDescent="0.3">
      <c r="A54" s="110"/>
      <c r="B54" s="111" t="s">
        <v>154</v>
      </c>
      <c r="C54" s="112" t="s">
        <v>144</v>
      </c>
      <c r="D54" s="1605" t="s">
        <v>145</v>
      </c>
      <c r="E54" s="439"/>
      <c r="F54" s="208"/>
      <c r="G54" s="208"/>
      <c r="H54" s="208">
        <f t="shared" si="50"/>
        <v>0</v>
      </c>
      <c r="I54" s="78"/>
      <c r="J54" s="113">
        <v>1</v>
      </c>
      <c r="K54" s="208">
        <v>38486</v>
      </c>
      <c r="L54" s="395">
        <v>50830.080000000002</v>
      </c>
      <c r="M54" s="208">
        <f t="shared" si="51"/>
        <v>12344.080000000002</v>
      </c>
      <c r="N54" s="186">
        <f>M54/L54</f>
        <v>0.24284990304953291</v>
      </c>
      <c r="O54" s="113"/>
      <c r="P54" s="208"/>
      <c r="Q54" s="395"/>
      <c r="R54" s="208">
        <f t="shared" si="52"/>
        <v>0</v>
      </c>
      <c r="S54" s="169"/>
      <c r="T54" s="1325"/>
      <c r="U54" s="1317"/>
      <c r="V54" s="1317"/>
      <c r="W54" s="208">
        <f t="shared" si="53"/>
        <v>0</v>
      </c>
      <c r="X54" s="1313"/>
      <c r="Y54" s="113"/>
      <c r="Z54" s="208"/>
      <c r="AA54" s="208"/>
      <c r="AB54" s="208">
        <f t="shared" si="54"/>
        <v>0</v>
      </c>
      <c r="AC54" s="78"/>
      <c r="AD54" s="113"/>
      <c r="AE54" s="208"/>
      <c r="AF54" s="208"/>
      <c r="AG54" s="208">
        <f t="shared" si="55"/>
        <v>0</v>
      </c>
      <c r="AH54" s="94"/>
      <c r="AI54" s="583"/>
      <c r="AJ54" s="395"/>
      <c r="AK54" s="395"/>
      <c r="AL54" s="208">
        <f t="shared" ref="AL54:AL60" si="160">AK54-AJ54</f>
        <v>0</v>
      </c>
      <c r="AM54" s="78"/>
      <c r="AN54" s="113"/>
      <c r="AO54" s="208"/>
      <c r="AP54" s="208"/>
      <c r="AQ54" s="208">
        <f t="shared" si="44"/>
        <v>0</v>
      </c>
      <c r="AR54" s="157"/>
      <c r="AS54" s="209"/>
      <c r="AT54" s="208"/>
      <c r="AU54" s="208"/>
      <c r="AV54" s="208">
        <f t="shared" si="45"/>
        <v>0</v>
      </c>
      <c r="AW54" s="157"/>
      <c r="AX54" s="113"/>
      <c r="AY54" s="208"/>
      <c r="AZ54" s="208"/>
      <c r="BA54" s="208">
        <f t="shared" si="46"/>
        <v>0</v>
      </c>
      <c r="BB54" s="1561">
        <v>0</v>
      </c>
      <c r="BC54" s="583"/>
      <c r="BD54" s="395"/>
      <c r="BE54" s="395"/>
      <c r="BF54" s="208">
        <f t="shared" si="49"/>
        <v>0</v>
      </c>
      <c r="BG54" s="157"/>
      <c r="BH54" s="113"/>
      <c r="BI54" s="208"/>
      <c r="BJ54" s="208"/>
      <c r="BK54" s="208">
        <f t="shared" si="47"/>
        <v>0</v>
      </c>
      <c r="BL54" s="1614">
        <v>0</v>
      </c>
      <c r="BM54" s="1314"/>
      <c r="BN54" s="1310">
        <f t="shared" si="103"/>
        <v>38486</v>
      </c>
      <c r="BO54" s="1310">
        <f t="shared" si="103"/>
        <v>50830.080000000002</v>
      </c>
      <c r="BP54" s="1310">
        <f t="shared" si="103"/>
        <v>12344.080000000002</v>
      </c>
      <c r="BQ54" s="220">
        <f t="shared" si="146"/>
        <v>0.24284990304953291</v>
      </c>
      <c r="BR54" s="607">
        <f t="shared" si="147"/>
        <v>0.33333333333333331</v>
      </c>
      <c r="BS54" s="137">
        <f t="shared" si="148"/>
        <v>38486</v>
      </c>
      <c r="BT54" s="137">
        <f t="shared" si="148"/>
        <v>50830.080000000002</v>
      </c>
      <c r="BU54" s="137">
        <f t="shared" si="148"/>
        <v>12344.080000000002</v>
      </c>
      <c r="BV54" s="151">
        <f>BU54/BT54</f>
        <v>0.24284990304953291</v>
      </c>
      <c r="BW54" s="607">
        <f t="shared" si="106"/>
        <v>0</v>
      </c>
      <c r="BX54" s="137">
        <f t="shared" si="107"/>
        <v>0</v>
      </c>
      <c r="BY54" s="137">
        <f t="shared" si="107"/>
        <v>0</v>
      </c>
      <c r="BZ54" s="137">
        <f t="shared" si="107"/>
        <v>0</v>
      </c>
      <c r="CA54" s="135"/>
      <c r="CB54" s="607">
        <f t="shared" si="149"/>
        <v>0</v>
      </c>
      <c r="CC54" s="358">
        <f t="shared" si="150"/>
        <v>0</v>
      </c>
      <c r="CD54" s="358">
        <f t="shared" si="150"/>
        <v>0</v>
      </c>
      <c r="CE54" s="358">
        <f t="shared" si="150"/>
        <v>0</v>
      </c>
      <c r="CF54" s="135" t="e">
        <f t="shared" ref="CF54:CF59" si="161">CE54/CD54</f>
        <v>#DIV/0!</v>
      </c>
      <c r="CG54" s="1315">
        <f t="shared" si="151"/>
        <v>0</v>
      </c>
      <c r="CH54" s="358">
        <f t="shared" si="152"/>
        <v>0</v>
      </c>
      <c r="CI54" s="358">
        <f t="shared" si="152"/>
        <v>0</v>
      </c>
      <c r="CJ54" s="358">
        <f t="shared" si="152"/>
        <v>0</v>
      </c>
      <c r="CK54" s="151" t="e">
        <f>CJ54/CI54</f>
        <v>#DIV/0!</v>
      </c>
      <c r="CL54" s="79"/>
      <c r="CM54" s="439"/>
      <c r="CN54" s="208"/>
      <c r="CO54" s="208"/>
      <c r="CP54" s="208">
        <f t="shared" si="112"/>
        <v>0</v>
      </c>
      <c r="CQ54" s="3547">
        <v>0</v>
      </c>
      <c r="CR54" s="113"/>
      <c r="CS54" s="208"/>
      <c r="CT54" s="395"/>
      <c r="CU54" s="208">
        <f t="shared" si="113"/>
        <v>0</v>
      </c>
      <c r="CV54" s="186"/>
      <c r="CW54" s="439"/>
      <c r="CX54" s="208"/>
      <c r="CY54" s="395"/>
      <c r="CZ54" s="208">
        <f t="shared" si="114"/>
        <v>0</v>
      </c>
      <c r="DA54" s="203"/>
      <c r="DB54" s="1325"/>
      <c r="DC54" s="1317"/>
      <c r="DD54" s="1317"/>
      <c r="DE54" s="208">
        <f t="shared" si="115"/>
        <v>0</v>
      </c>
      <c r="DF54" s="1610" t="e">
        <f t="shared" si="116"/>
        <v>#DIV/0!</v>
      </c>
      <c r="DG54" s="113"/>
      <c r="DH54" s="208"/>
      <c r="DI54" s="208"/>
      <c r="DJ54" s="208">
        <f t="shared" si="117"/>
        <v>0</v>
      </c>
      <c r="DK54" s="78" t="e">
        <f t="shared" si="142"/>
        <v>#DIV/0!</v>
      </c>
      <c r="DL54" s="113"/>
      <c r="DM54" s="208"/>
      <c r="DN54" s="208"/>
      <c r="DO54" s="208">
        <f t="shared" si="118"/>
        <v>0</v>
      </c>
      <c r="DP54" s="94" t="e">
        <f t="shared" si="145"/>
        <v>#DIV/0!</v>
      </c>
      <c r="DQ54" s="583"/>
      <c r="DR54" s="395"/>
      <c r="DS54" s="395"/>
      <c r="DT54" s="208">
        <f t="shared" ref="DT54:DT60" si="162">DS54-DR54</f>
        <v>0</v>
      </c>
      <c r="DU54" s="78"/>
      <c r="DV54" s="113"/>
      <c r="DW54" s="208"/>
      <c r="DX54" s="208"/>
      <c r="DY54" s="208">
        <f t="shared" si="120"/>
        <v>0</v>
      </c>
      <c r="DZ54" s="157" t="e">
        <f t="shared" si="121"/>
        <v>#DIV/0!</v>
      </c>
      <c r="EA54" s="209"/>
      <c r="EB54" s="208"/>
      <c r="EC54" s="208"/>
      <c r="ED54" s="208">
        <f t="shared" si="122"/>
        <v>0</v>
      </c>
      <c r="EE54" s="157" t="e">
        <f t="shared" si="123"/>
        <v>#DIV/0!</v>
      </c>
      <c r="EF54" s="113"/>
      <c r="EG54" s="208"/>
      <c r="EH54" s="208"/>
      <c r="EI54" s="208">
        <f t="shared" si="124"/>
        <v>0</v>
      </c>
      <c r="EJ54" s="157" t="e">
        <f t="shared" si="125"/>
        <v>#DIV/0!</v>
      </c>
      <c r="EK54" s="583"/>
      <c r="EL54" s="395"/>
      <c r="EM54" s="395"/>
      <c r="EN54" s="208">
        <f t="shared" si="126"/>
        <v>0</v>
      </c>
      <c r="EO54" s="157" t="e">
        <f t="shared" si="127"/>
        <v>#DIV/0!</v>
      </c>
      <c r="EP54" s="113"/>
      <c r="EQ54" s="208"/>
      <c r="ER54" s="208"/>
      <c r="ES54" s="208">
        <f t="shared" si="128"/>
        <v>0</v>
      </c>
      <c r="ET54" s="186" t="e">
        <f t="shared" si="102"/>
        <v>#DIV/0!</v>
      </c>
      <c r="EU54" s="1314"/>
      <c r="EV54" s="1310">
        <f t="shared" si="129"/>
        <v>0</v>
      </c>
      <c r="EW54" s="1310">
        <f t="shared" si="129"/>
        <v>0</v>
      </c>
      <c r="EX54" s="1310">
        <f t="shared" si="129"/>
        <v>0</v>
      </c>
      <c r="EY54" s="220" t="e">
        <f>EX54/EW54</f>
        <v>#DIV/0!</v>
      </c>
      <c r="EZ54" s="357">
        <f t="shared" si="153"/>
        <v>0</v>
      </c>
      <c r="FA54" s="137">
        <f t="shared" si="154"/>
        <v>0</v>
      </c>
      <c r="FB54" s="137">
        <f t="shared" si="154"/>
        <v>0</v>
      </c>
      <c r="FC54" s="137">
        <f t="shared" si="154"/>
        <v>0</v>
      </c>
      <c r="FD54" s="151" t="e">
        <f>FC54/FB54</f>
        <v>#DIV/0!</v>
      </c>
      <c r="FE54" s="607">
        <f t="shared" si="132"/>
        <v>0</v>
      </c>
      <c r="FF54" s="137">
        <f t="shared" si="133"/>
        <v>0</v>
      </c>
      <c r="FG54" s="137">
        <f t="shared" si="133"/>
        <v>0</v>
      </c>
      <c r="FH54" s="137">
        <f t="shared" si="133"/>
        <v>0</v>
      </c>
      <c r="FI54" s="135"/>
      <c r="FJ54" s="607">
        <f t="shared" si="155"/>
        <v>0</v>
      </c>
      <c r="FK54" s="358">
        <f t="shared" si="156"/>
        <v>0</v>
      </c>
      <c r="FL54" s="358">
        <f t="shared" si="156"/>
        <v>0</v>
      </c>
      <c r="FM54" s="358">
        <f t="shared" si="156"/>
        <v>0</v>
      </c>
      <c r="FN54" s="135" t="e">
        <f t="shared" si="157"/>
        <v>#DIV/0!</v>
      </c>
      <c r="FO54" s="1315">
        <f t="shared" si="158"/>
        <v>0</v>
      </c>
      <c r="FP54" s="358">
        <f t="shared" si="159"/>
        <v>0</v>
      </c>
      <c r="FQ54" s="358">
        <f t="shared" si="159"/>
        <v>0</v>
      </c>
      <c r="FR54" s="358">
        <f t="shared" si="159"/>
        <v>0</v>
      </c>
      <c r="FS54" s="151" t="e">
        <f>FR54/FQ54</f>
        <v>#DIV/0!</v>
      </c>
    </row>
    <row r="55" spans="1:175" x14ac:dyDescent="0.3">
      <c r="A55" s="110"/>
      <c r="B55" s="111" t="s">
        <v>398</v>
      </c>
      <c r="C55" s="112" t="s">
        <v>141</v>
      </c>
      <c r="D55" s="1605" t="s">
        <v>145</v>
      </c>
      <c r="E55" s="439"/>
      <c r="F55" s="208"/>
      <c r="G55" s="208"/>
      <c r="H55" s="208">
        <f t="shared" si="50"/>
        <v>0</v>
      </c>
      <c r="I55" s="78"/>
      <c r="J55" s="113">
        <v>1</v>
      </c>
      <c r="K55" s="208">
        <v>17322</v>
      </c>
      <c r="L55" s="1324">
        <v>30126.080000000002</v>
      </c>
      <c r="M55" s="208">
        <f t="shared" si="51"/>
        <v>12804.080000000002</v>
      </c>
      <c r="N55" s="186">
        <f>M55/L55</f>
        <v>0.42501646414004079</v>
      </c>
      <c r="O55" s="113"/>
      <c r="P55" s="208"/>
      <c r="Q55" s="395"/>
      <c r="R55" s="208">
        <f t="shared" si="52"/>
        <v>0</v>
      </c>
      <c r="S55" s="169"/>
      <c r="T55" s="1325"/>
      <c r="U55" s="1317"/>
      <c r="V55" s="1317"/>
      <c r="W55" s="208">
        <f t="shared" si="53"/>
        <v>0</v>
      </c>
      <c r="X55" s="1313"/>
      <c r="Y55" s="113"/>
      <c r="Z55" s="208"/>
      <c r="AA55" s="208"/>
      <c r="AB55" s="208">
        <f t="shared" si="54"/>
        <v>0</v>
      </c>
      <c r="AC55" s="78"/>
      <c r="AD55" s="113"/>
      <c r="AE55" s="208"/>
      <c r="AF55" s="208"/>
      <c r="AG55" s="208">
        <f t="shared" si="55"/>
        <v>0</v>
      </c>
      <c r="AH55" s="94"/>
      <c r="AI55" s="113"/>
      <c r="AJ55" s="208"/>
      <c r="AK55" s="208"/>
      <c r="AL55" s="208">
        <f t="shared" si="160"/>
        <v>0</v>
      </c>
      <c r="AM55" s="78"/>
      <c r="AN55" s="113"/>
      <c r="AO55" s="208"/>
      <c r="AP55" s="208"/>
      <c r="AQ55" s="208">
        <f t="shared" si="44"/>
        <v>0</v>
      </c>
      <c r="AR55" s="157"/>
      <c r="AS55" s="209"/>
      <c r="AT55" s="208"/>
      <c r="AU55" s="208"/>
      <c r="AV55" s="208">
        <f t="shared" si="45"/>
        <v>0</v>
      </c>
      <c r="AW55" s="157"/>
      <c r="AX55" s="113"/>
      <c r="AY55" s="208"/>
      <c r="AZ55" s="208"/>
      <c r="BA55" s="208">
        <f t="shared" si="46"/>
        <v>0</v>
      </c>
      <c r="BB55" s="1561">
        <v>0</v>
      </c>
      <c r="BC55" s="583"/>
      <c r="BD55" s="395"/>
      <c r="BE55" s="395"/>
      <c r="BF55" s="208">
        <f t="shared" si="49"/>
        <v>0</v>
      </c>
      <c r="BG55" s="157"/>
      <c r="BH55" s="113"/>
      <c r="BI55" s="208"/>
      <c r="BJ55" s="208"/>
      <c r="BK55" s="208">
        <f t="shared" si="47"/>
        <v>0</v>
      </c>
      <c r="BL55" s="1614">
        <v>0</v>
      </c>
      <c r="BM55" s="1314"/>
      <c r="BN55" s="1310">
        <f t="shared" si="103"/>
        <v>17322</v>
      </c>
      <c r="BO55" s="1310">
        <f t="shared" si="103"/>
        <v>30126.080000000002</v>
      </c>
      <c r="BP55" s="1310">
        <f t="shared" si="103"/>
        <v>12804.080000000002</v>
      </c>
      <c r="BQ55" s="220">
        <f t="shared" si="146"/>
        <v>0.42501646414004079</v>
      </c>
      <c r="BR55" s="607">
        <f t="shared" si="147"/>
        <v>0.33333333333333331</v>
      </c>
      <c r="BS55" s="137">
        <f t="shared" si="148"/>
        <v>17322</v>
      </c>
      <c r="BT55" s="137">
        <f t="shared" si="148"/>
        <v>30126.080000000002</v>
      </c>
      <c r="BU55" s="137">
        <f t="shared" si="148"/>
        <v>12804.080000000002</v>
      </c>
      <c r="BV55" s="151">
        <f>BU55/BT55</f>
        <v>0.42501646414004079</v>
      </c>
      <c r="BW55" s="607">
        <f t="shared" si="106"/>
        <v>0</v>
      </c>
      <c r="BX55" s="137">
        <f t="shared" si="107"/>
        <v>0</v>
      </c>
      <c r="BY55" s="137">
        <f t="shared" si="107"/>
        <v>0</v>
      </c>
      <c r="BZ55" s="137">
        <f t="shared" si="107"/>
        <v>0</v>
      </c>
      <c r="CA55" s="135"/>
      <c r="CB55" s="607">
        <f t="shared" si="149"/>
        <v>0</v>
      </c>
      <c r="CC55" s="358">
        <f t="shared" si="150"/>
        <v>0</v>
      </c>
      <c r="CD55" s="358">
        <f t="shared" si="150"/>
        <v>0</v>
      </c>
      <c r="CE55" s="358">
        <f t="shared" si="150"/>
        <v>0</v>
      </c>
      <c r="CF55" s="135" t="e">
        <f>CE55/CD55</f>
        <v>#DIV/0!</v>
      </c>
      <c r="CG55" s="1315">
        <f t="shared" si="151"/>
        <v>0</v>
      </c>
      <c r="CH55" s="358">
        <f t="shared" si="152"/>
        <v>0</v>
      </c>
      <c r="CI55" s="358">
        <f t="shared" si="152"/>
        <v>0</v>
      </c>
      <c r="CJ55" s="358">
        <f t="shared" si="152"/>
        <v>0</v>
      </c>
      <c r="CK55" s="151" t="e">
        <f>CJ55/CI55</f>
        <v>#DIV/0!</v>
      </c>
      <c r="CL55" s="79"/>
      <c r="CM55" s="439"/>
      <c r="CN55" s="208"/>
      <c r="CO55" s="208"/>
      <c r="CP55" s="208">
        <f t="shared" si="112"/>
        <v>0</v>
      </c>
      <c r="CQ55" s="3547">
        <v>0</v>
      </c>
      <c r="CR55" s="113"/>
      <c r="CS55" s="208"/>
      <c r="CT55" s="1324"/>
      <c r="CU55" s="208">
        <f t="shared" si="113"/>
        <v>0</v>
      </c>
      <c r="CV55" s="186"/>
      <c r="CW55" s="439"/>
      <c r="CX55" s="208"/>
      <c r="CY55" s="395"/>
      <c r="CZ55" s="208">
        <f t="shared" si="114"/>
        <v>0</v>
      </c>
      <c r="DA55" s="203"/>
      <c r="DB55" s="1325"/>
      <c r="DC55" s="1317"/>
      <c r="DD55" s="1317"/>
      <c r="DE55" s="208">
        <f t="shared" si="115"/>
        <v>0</v>
      </c>
      <c r="DF55" s="1610" t="e">
        <f t="shared" si="116"/>
        <v>#DIV/0!</v>
      </c>
      <c r="DG55" s="113"/>
      <c r="DH55" s="208"/>
      <c r="DI55" s="208"/>
      <c r="DJ55" s="208">
        <f t="shared" si="117"/>
        <v>0</v>
      </c>
      <c r="DK55" s="78" t="e">
        <f t="shared" si="142"/>
        <v>#DIV/0!</v>
      </c>
      <c r="DL55" s="113"/>
      <c r="DM55" s="208"/>
      <c r="DN55" s="208"/>
      <c r="DO55" s="208">
        <f t="shared" si="118"/>
        <v>0</v>
      </c>
      <c r="DP55" s="94" t="e">
        <f t="shared" si="145"/>
        <v>#DIV/0!</v>
      </c>
      <c r="DQ55" s="113"/>
      <c r="DR55" s="208"/>
      <c r="DS55" s="208"/>
      <c r="DT55" s="208">
        <f t="shared" si="162"/>
        <v>0</v>
      </c>
      <c r="DU55" s="78"/>
      <c r="DV55" s="113"/>
      <c r="DW55" s="208"/>
      <c r="DX55" s="208"/>
      <c r="DY55" s="208">
        <f t="shared" si="120"/>
        <v>0</v>
      </c>
      <c r="DZ55" s="157" t="e">
        <f t="shared" si="121"/>
        <v>#DIV/0!</v>
      </c>
      <c r="EA55" s="209"/>
      <c r="EB55" s="208"/>
      <c r="EC55" s="208"/>
      <c r="ED55" s="208">
        <f t="shared" si="122"/>
        <v>0</v>
      </c>
      <c r="EE55" s="157" t="e">
        <f t="shared" si="123"/>
        <v>#DIV/0!</v>
      </c>
      <c r="EF55" s="113"/>
      <c r="EG55" s="208"/>
      <c r="EH55" s="208"/>
      <c r="EI55" s="208">
        <f t="shared" si="124"/>
        <v>0</v>
      </c>
      <c r="EJ55" s="157" t="e">
        <f t="shared" si="125"/>
        <v>#DIV/0!</v>
      </c>
      <c r="EK55" s="583"/>
      <c r="EL55" s="395"/>
      <c r="EM55" s="395"/>
      <c r="EN55" s="208">
        <f t="shared" si="126"/>
        <v>0</v>
      </c>
      <c r="EO55" s="157" t="e">
        <f t="shared" si="127"/>
        <v>#DIV/0!</v>
      </c>
      <c r="EP55" s="113"/>
      <c r="EQ55" s="208"/>
      <c r="ER55" s="208"/>
      <c r="ES55" s="208">
        <f t="shared" si="128"/>
        <v>0</v>
      </c>
      <c r="ET55" s="186" t="e">
        <f t="shared" si="102"/>
        <v>#DIV/0!</v>
      </c>
      <c r="EU55" s="1314"/>
      <c r="EV55" s="1310">
        <f t="shared" si="129"/>
        <v>0</v>
      </c>
      <c r="EW55" s="1310">
        <f t="shared" si="129"/>
        <v>0</v>
      </c>
      <c r="EX55" s="1310">
        <f t="shared" si="129"/>
        <v>0</v>
      </c>
      <c r="EY55" s="220" t="e">
        <f>EX55/EW55</f>
        <v>#DIV/0!</v>
      </c>
      <c r="EZ55" s="357">
        <f t="shared" si="153"/>
        <v>0</v>
      </c>
      <c r="FA55" s="137">
        <f t="shared" si="154"/>
        <v>0</v>
      </c>
      <c r="FB55" s="137">
        <f t="shared" si="154"/>
        <v>0</v>
      </c>
      <c r="FC55" s="137">
        <f t="shared" si="154"/>
        <v>0</v>
      </c>
      <c r="FD55" s="151" t="e">
        <f>FC55/FB55</f>
        <v>#DIV/0!</v>
      </c>
      <c r="FE55" s="607">
        <f t="shared" si="132"/>
        <v>0</v>
      </c>
      <c r="FF55" s="137">
        <f t="shared" si="133"/>
        <v>0</v>
      </c>
      <c r="FG55" s="137">
        <f t="shared" si="133"/>
        <v>0</v>
      </c>
      <c r="FH55" s="137">
        <f t="shared" si="133"/>
        <v>0</v>
      </c>
      <c r="FI55" s="135"/>
      <c r="FJ55" s="607">
        <f t="shared" si="155"/>
        <v>0</v>
      </c>
      <c r="FK55" s="358">
        <f t="shared" si="156"/>
        <v>0</v>
      </c>
      <c r="FL55" s="358">
        <f t="shared" si="156"/>
        <v>0</v>
      </c>
      <c r="FM55" s="358">
        <f t="shared" si="156"/>
        <v>0</v>
      </c>
      <c r="FN55" s="135" t="e">
        <f t="shared" si="157"/>
        <v>#DIV/0!</v>
      </c>
      <c r="FO55" s="1315">
        <f t="shared" si="158"/>
        <v>0</v>
      </c>
      <c r="FP55" s="358">
        <f t="shared" si="159"/>
        <v>0</v>
      </c>
      <c r="FQ55" s="358">
        <f t="shared" si="159"/>
        <v>0</v>
      </c>
      <c r="FR55" s="358">
        <f t="shared" si="159"/>
        <v>0</v>
      </c>
      <c r="FS55" s="151" t="e">
        <f>FR55/FQ55</f>
        <v>#DIV/0!</v>
      </c>
    </row>
    <row r="56" spans="1:175" x14ac:dyDescent="0.3">
      <c r="A56" s="110"/>
      <c r="B56" s="111" t="s">
        <v>399</v>
      </c>
      <c r="C56" s="112" t="s">
        <v>382</v>
      </c>
      <c r="D56" s="1605" t="s">
        <v>145</v>
      </c>
      <c r="E56" s="439"/>
      <c r="F56" s="208"/>
      <c r="G56" s="208"/>
      <c r="H56" s="208">
        <f t="shared" si="50"/>
        <v>0</v>
      </c>
      <c r="I56" s="78"/>
      <c r="J56" s="113"/>
      <c r="K56" s="208"/>
      <c r="L56" s="395"/>
      <c r="M56" s="208">
        <f t="shared" si="51"/>
        <v>0</v>
      </c>
      <c r="N56" s="186"/>
      <c r="O56" s="113"/>
      <c r="P56" s="208"/>
      <c r="Q56" s="395"/>
      <c r="R56" s="208">
        <f t="shared" si="52"/>
        <v>0</v>
      </c>
      <c r="S56" s="169"/>
      <c r="T56" s="1312"/>
      <c r="U56" s="265"/>
      <c r="V56" s="265"/>
      <c r="W56" s="208">
        <f t="shared" si="53"/>
        <v>0</v>
      </c>
      <c r="X56" s="1313"/>
      <c r="Y56" s="583"/>
      <c r="Z56" s="395"/>
      <c r="AA56" s="395"/>
      <c r="AB56" s="208">
        <f t="shared" si="54"/>
        <v>0</v>
      </c>
      <c r="AC56" s="186"/>
      <c r="AD56" s="583"/>
      <c r="AE56" s="395"/>
      <c r="AF56" s="395"/>
      <c r="AG56" s="208">
        <f t="shared" si="55"/>
        <v>0</v>
      </c>
      <c r="AH56" s="94"/>
      <c r="AI56" s="113"/>
      <c r="AJ56" s="208"/>
      <c r="AK56" s="208"/>
      <c r="AL56" s="208">
        <f t="shared" si="160"/>
        <v>0</v>
      </c>
      <c r="AM56" s="78"/>
      <c r="AN56" s="113"/>
      <c r="AO56" s="208"/>
      <c r="AP56" s="208"/>
      <c r="AQ56" s="208">
        <f t="shared" si="44"/>
        <v>0</v>
      </c>
      <c r="AR56" s="157"/>
      <c r="AS56" s="209"/>
      <c r="AT56" s="208"/>
      <c r="AU56" s="208"/>
      <c r="AV56" s="208">
        <f t="shared" si="45"/>
        <v>0</v>
      </c>
      <c r="AW56" s="157"/>
      <c r="AX56" s="1337"/>
      <c r="AY56" s="1338"/>
      <c r="AZ56" s="1338"/>
      <c r="BA56" s="208">
        <f t="shared" si="46"/>
        <v>0</v>
      </c>
      <c r="BB56" s="1561">
        <v>0</v>
      </c>
      <c r="BC56" s="113"/>
      <c r="BD56" s="208"/>
      <c r="BE56" s="208"/>
      <c r="BF56" s="208">
        <f t="shared" si="49"/>
        <v>0</v>
      </c>
      <c r="BG56" s="157"/>
      <c r="BH56" s="113"/>
      <c r="BI56" s="208"/>
      <c r="BJ56" s="208"/>
      <c r="BK56" s="208">
        <f t="shared" si="47"/>
        <v>0</v>
      </c>
      <c r="BL56" s="1614">
        <v>0</v>
      </c>
      <c r="BM56" s="1314"/>
      <c r="BN56" s="1310">
        <f t="shared" si="103"/>
        <v>0</v>
      </c>
      <c r="BO56" s="1310">
        <f t="shared" si="103"/>
        <v>0</v>
      </c>
      <c r="BP56" s="1310">
        <f t="shared" si="103"/>
        <v>0</v>
      </c>
      <c r="BQ56" s="220"/>
      <c r="BR56" s="607">
        <f t="shared" si="147"/>
        <v>0</v>
      </c>
      <c r="BS56" s="137">
        <f t="shared" si="148"/>
        <v>0</v>
      </c>
      <c r="BT56" s="137">
        <f t="shared" si="148"/>
        <v>0</v>
      </c>
      <c r="BU56" s="137">
        <f t="shared" si="148"/>
        <v>0</v>
      </c>
      <c r="BV56" s="151"/>
      <c r="BW56" s="607">
        <f t="shared" si="106"/>
        <v>0</v>
      </c>
      <c r="BX56" s="137">
        <f t="shared" si="107"/>
        <v>0</v>
      </c>
      <c r="BY56" s="137">
        <f t="shared" si="107"/>
        <v>0</v>
      </c>
      <c r="BZ56" s="137">
        <f t="shared" si="107"/>
        <v>0</v>
      </c>
      <c r="CA56" s="135"/>
      <c r="CB56" s="607">
        <f t="shared" si="149"/>
        <v>0</v>
      </c>
      <c r="CC56" s="358">
        <f t="shared" si="150"/>
        <v>0</v>
      </c>
      <c r="CD56" s="358">
        <f t="shared" si="150"/>
        <v>0</v>
      </c>
      <c r="CE56" s="358">
        <f t="shared" si="150"/>
        <v>0</v>
      </c>
      <c r="CF56" s="135" t="e">
        <f t="shared" si="161"/>
        <v>#DIV/0!</v>
      </c>
      <c r="CG56" s="1339">
        <f t="shared" si="151"/>
        <v>0</v>
      </c>
      <c r="CH56" s="358">
        <f t="shared" si="152"/>
        <v>0</v>
      </c>
      <c r="CI56" s="358">
        <f t="shared" si="152"/>
        <v>0</v>
      </c>
      <c r="CJ56" s="358">
        <f t="shared" si="152"/>
        <v>0</v>
      </c>
      <c r="CK56" s="151"/>
      <c r="CL56" s="79"/>
      <c r="CM56" s="439"/>
      <c r="CN56" s="208"/>
      <c r="CO56" s="208"/>
      <c r="CP56" s="208">
        <f t="shared" si="112"/>
        <v>0</v>
      </c>
      <c r="CQ56" s="3547">
        <v>0</v>
      </c>
      <c r="CR56" s="113"/>
      <c r="CS56" s="208"/>
      <c r="CT56" s="395"/>
      <c r="CU56" s="208">
        <f t="shared" si="113"/>
        <v>0</v>
      </c>
      <c r="CV56" s="186"/>
      <c r="CW56" s="439"/>
      <c r="CX56" s="208"/>
      <c r="CY56" s="395"/>
      <c r="CZ56" s="208">
        <f t="shared" si="114"/>
        <v>0</v>
      </c>
      <c r="DA56" s="203"/>
      <c r="DB56" s="1312"/>
      <c r="DC56" s="265"/>
      <c r="DD56" s="265"/>
      <c r="DE56" s="208">
        <f t="shared" si="115"/>
        <v>0</v>
      </c>
      <c r="DF56" s="1610" t="e">
        <f t="shared" si="116"/>
        <v>#DIV/0!</v>
      </c>
      <c r="DG56" s="583"/>
      <c r="DH56" s="395"/>
      <c r="DI56" s="395"/>
      <c r="DJ56" s="208">
        <f t="shared" si="117"/>
        <v>0</v>
      </c>
      <c r="DK56" s="78" t="e">
        <f t="shared" si="142"/>
        <v>#DIV/0!</v>
      </c>
      <c r="DL56" s="583"/>
      <c r="DM56" s="395"/>
      <c r="DN56" s="395"/>
      <c r="DO56" s="208">
        <f t="shared" si="118"/>
        <v>0</v>
      </c>
      <c r="DP56" s="94" t="e">
        <f t="shared" si="145"/>
        <v>#DIV/0!</v>
      </c>
      <c r="DQ56" s="113"/>
      <c r="DR56" s="208"/>
      <c r="DS56" s="208"/>
      <c r="DT56" s="208">
        <f t="shared" si="162"/>
        <v>0</v>
      </c>
      <c r="DU56" s="78"/>
      <c r="DV56" s="113"/>
      <c r="DW56" s="208"/>
      <c r="DX56" s="208"/>
      <c r="DY56" s="208">
        <f t="shared" si="120"/>
        <v>0</v>
      </c>
      <c r="DZ56" s="157" t="e">
        <f t="shared" si="121"/>
        <v>#DIV/0!</v>
      </c>
      <c r="EA56" s="209"/>
      <c r="EB56" s="208"/>
      <c r="EC56" s="208"/>
      <c r="ED56" s="208">
        <f t="shared" si="122"/>
        <v>0</v>
      </c>
      <c r="EE56" s="157" t="e">
        <f t="shared" si="123"/>
        <v>#DIV/0!</v>
      </c>
      <c r="EF56" s="1337"/>
      <c r="EG56" s="1338"/>
      <c r="EH56" s="1338"/>
      <c r="EI56" s="208">
        <f t="shared" si="124"/>
        <v>0</v>
      </c>
      <c r="EJ56" s="157" t="e">
        <f t="shared" si="125"/>
        <v>#DIV/0!</v>
      </c>
      <c r="EK56" s="113"/>
      <c r="EL56" s="208"/>
      <c r="EM56" s="208"/>
      <c r="EN56" s="208">
        <f t="shared" si="126"/>
        <v>0</v>
      </c>
      <c r="EO56" s="157" t="e">
        <f t="shared" si="127"/>
        <v>#DIV/0!</v>
      </c>
      <c r="EP56" s="113"/>
      <c r="EQ56" s="208"/>
      <c r="ER56" s="208"/>
      <c r="ES56" s="208">
        <f t="shared" si="128"/>
        <v>0</v>
      </c>
      <c r="ET56" s="186" t="e">
        <f t="shared" si="102"/>
        <v>#DIV/0!</v>
      </c>
      <c r="EU56" s="1314"/>
      <c r="EV56" s="1310">
        <f t="shared" si="129"/>
        <v>0</v>
      </c>
      <c r="EW56" s="1310">
        <f t="shared" si="129"/>
        <v>0</v>
      </c>
      <c r="EX56" s="1310">
        <f t="shared" si="129"/>
        <v>0</v>
      </c>
      <c r="EY56" s="220"/>
      <c r="EZ56" s="357">
        <f t="shared" si="153"/>
        <v>0</v>
      </c>
      <c r="FA56" s="137">
        <f t="shared" si="154"/>
        <v>0</v>
      </c>
      <c r="FB56" s="137">
        <f t="shared" si="154"/>
        <v>0</v>
      </c>
      <c r="FC56" s="137">
        <f t="shared" si="154"/>
        <v>0</v>
      </c>
      <c r="FD56" s="151"/>
      <c r="FE56" s="607">
        <f t="shared" si="132"/>
        <v>0</v>
      </c>
      <c r="FF56" s="137">
        <f t="shared" si="133"/>
        <v>0</v>
      </c>
      <c r="FG56" s="137">
        <f t="shared" si="133"/>
        <v>0</v>
      </c>
      <c r="FH56" s="137">
        <f t="shared" si="133"/>
        <v>0</v>
      </c>
      <c r="FI56" s="135"/>
      <c r="FJ56" s="607">
        <f t="shared" si="155"/>
        <v>0</v>
      </c>
      <c r="FK56" s="358">
        <f t="shared" si="156"/>
        <v>0</v>
      </c>
      <c r="FL56" s="358">
        <f t="shared" si="156"/>
        <v>0</v>
      </c>
      <c r="FM56" s="358">
        <f t="shared" si="156"/>
        <v>0</v>
      </c>
      <c r="FN56" s="135" t="e">
        <f t="shared" si="157"/>
        <v>#DIV/0!</v>
      </c>
      <c r="FO56" s="1339">
        <f t="shared" si="158"/>
        <v>0</v>
      </c>
      <c r="FP56" s="358">
        <f t="shared" si="159"/>
        <v>0</v>
      </c>
      <c r="FQ56" s="358">
        <f t="shared" si="159"/>
        <v>0</v>
      </c>
      <c r="FR56" s="358">
        <f t="shared" si="159"/>
        <v>0</v>
      </c>
      <c r="FS56" s="151"/>
    </row>
    <row r="57" spans="1:175" x14ac:dyDescent="0.3">
      <c r="A57" s="110"/>
      <c r="B57" s="111" t="s">
        <v>167</v>
      </c>
      <c r="C57" s="112" t="s">
        <v>144</v>
      </c>
      <c r="D57" s="1605" t="s">
        <v>145</v>
      </c>
      <c r="E57" s="439">
        <v>1</v>
      </c>
      <c r="F57" s="208">
        <v>59395</v>
      </c>
      <c r="G57" s="1324">
        <v>62496</v>
      </c>
      <c r="H57" s="208">
        <f t="shared" si="50"/>
        <v>3101</v>
      </c>
      <c r="I57" s="78">
        <f>H57/G57</f>
        <v>4.9619175627240143E-2</v>
      </c>
      <c r="J57" s="113"/>
      <c r="K57" s="208"/>
      <c r="L57" s="395"/>
      <c r="M57" s="208">
        <f t="shared" si="51"/>
        <v>0</v>
      </c>
      <c r="N57" s="186"/>
      <c r="O57" s="113"/>
      <c r="P57" s="208"/>
      <c r="Q57" s="395"/>
      <c r="R57" s="208">
        <f t="shared" si="52"/>
        <v>0</v>
      </c>
      <c r="S57" s="169"/>
      <c r="T57" s="1325"/>
      <c r="U57" s="1317"/>
      <c r="V57" s="1317"/>
      <c r="W57" s="208">
        <f t="shared" si="53"/>
        <v>0</v>
      </c>
      <c r="X57" s="1313"/>
      <c r="Y57" s="113"/>
      <c r="Z57" s="208"/>
      <c r="AA57" s="208"/>
      <c r="AB57" s="208">
        <f t="shared" si="54"/>
        <v>0</v>
      </c>
      <c r="AC57" s="78"/>
      <c r="AD57" s="113"/>
      <c r="AE57" s="208"/>
      <c r="AF57" s="208"/>
      <c r="AG57" s="208">
        <f t="shared" si="55"/>
        <v>0</v>
      </c>
      <c r="AH57" s="94"/>
      <c r="AI57" s="113"/>
      <c r="AJ57" s="208"/>
      <c r="AK57" s="395"/>
      <c r="AL57" s="208">
        <f t="shared" si="160"/>
        <v>0</v>
      </c>
      <c r="AM57" s="78"/>
      <c r="AN57" s="113"/>
      <c r="AO57" s="208"/>
      <c r="AP57" s="208"/>
      <c r="AQ57" s="208">
        <f t="shared" si="44"/>
        <v>0</v>
      </c>
      <c r="AR57" s="157"/>
      <c r="AS57" s="209"/>
      <c r="AT57" s="208"/>
      <c r="AU57" s="208"/>
      <c r="AV57" s="208">
        <f t="shared" si="45"/>
        <v>0</v>
      </c>
      <c r="AW57" s="157"/>
      <c r="AX57" s="113"/>
      <c r="AY57" s="208"/>
      <c r="AZ57" s="208"/>
      <c r="BA57" s="208">
        <f t="shared" si="46"/>
        <v>0</v>
      </c>
      <c r="BB57" s="1561">
        <v>0</v>
      </c>
      <c r="BC57" s="583"/>
      <c r="BD57" s="395"/>
      <c r="BE57" s="395"/>
      <c r="BF57" s="208">
        <f t="shared" si="49"/>
        <v>0</v>
      </c>
      <c r="BG57" s="157"/>
      <c r="BH57" s="113"/>
      <c r="BI57" s="208"/>
      <c r="BJ57" s="208"/>
      <c r="BK57" s="208">
        <f t="shared" si="47"/>
        <v>0</v>
      </c>
      <c r="BL57" s="1614">
        <v>0</v>
      </c>
      <c r="BM57" s="1314"/>
      <c r="BN57" s="1310">
        <f t="shared" si="103"/>
        <v>59395</v>
      </c>
      <c r="BO57" s="1310">
        <f t="shared" si="103"/>
        <v>62496</v>
      </c>
      <c r="BP57" s="1310">
        <f t="shared" si="103"/>
        <v>3101</v>
      </c>
      <c r="BQ57" s="220">
        <f t="shared" si="146"/>
        <v>4.9619175627240143E-2</v>
      </c>
      <c r="BR57" s="607">
        <f t="shared" si="147"/>
        <v>0.33333333333333331</v>
      </c>
      <c r="BS57" s="137">
        <f t="shared" si="148"/>
        <v>59395</v>
      </c>
      <c r="BT57" s="137">
        <f t="shared" si="148"/>
        <v>62496</v>
      </c>
      <c r="BU57" s="137">
        <f t="shared" si="148"/>
        <v>3101</v>
      </c>
      <c r="BV57" s="151">
        <f>BU57/BT57</f>
        <v>4.9619175627240143E-2</v>
      </c>
      <c r="BW57" s="607">
        <f t="shared" si="106"/>
        <v>0</v>
      </c>
      <c r="BX57" s="137">
        <f t="shared" si="107"/>
        <v>0</v>
      </c>
      <c r="BY57" s="137">
        <f t="shared" si="107"/>
        <v>0</v>
      </c>
      <c r="BZ57" s="137">
        <f t="shared" si="107"/>
        <v>0</v>
      </c>
      <c r="CA57" s="151"/>
      <c r="CB57" s="607">
        <f t="shared" si="149"/>
        <v>0</v>
      </c>
      <c r="CC57" s="358">
        <f t="shared" si="150"/>
        <v>0</v>
      </c>
      <c r="CD57" s="358">
        <f t="shared" si="150"/>
        <v>0</v>
      </c>
      <c r="CE57" s="358">
        <f t="shared" si="150"/>
        <v>0</v>
      </c>
      <c r="CF57" s="135" t="e">
        <f t="shared" si="161"/>
        <v>#DIV/0!</v>
      </c>
      <c r="CG57" s="1315">
        <f t="shared" si="151"/>
        <v>0</v>
      </c>
      <c r="CH57" s="358">
        <f t="shared" si="152"/>
        <v>0</v>
      </c>
      <c r="CI57" s="358">
        <f t="shared" si="152"/>
        <v>0</v>
      </c>
      <c r="CJ57" s="358">
        <f t="shared" si="152"/>
        <v>0</v>
      </c>
      <c r="CK57" s="151" t="e">
        <f>CJ57/CI57</f>
        <v>#DIV/0!</v>
      </c>
      <c r="CL57" s="79"/>
      <c r="CM57" s="439"/>
      <c r="CN57" s="208"/>
      <c r="CO57" s="1324"/>
      <c r="CP57" s="208">
        <f t="shared" si="112"/>
        <v>0</v>
      </c>
      <c r="CQ57" s="3547">
        <v>0</v>
      </c>
      <c r="CR57" s="113"/>
      <c r="CS57" s="208"/>
      <c r="CT57" s="395"/>
      <c r="CU57" s="208">
        <f t="shared" si="113"/>
        <v>0</v>
      </c>
      <c r="CV57" s="186"/>
      <c r="CW57" s="439"/>
      <c r="CX57" s="208"/>
      <c r="CY57" s="395"/>
      <c r="CZ57" s="208">
        <f t="shared" si="114"/>
        <v>0</v>
      </c>
      <c r="DA57" s="203"/>
      <c r="DB57" s="1325"/>
      <c r="DC57" s="1317"/>
      <c r="DD57" s="1317"/>
      <c r="DE57" s="208">
        <f t="shared" si="115"/>
        <v>0</v>
      </c>
      <c r="DF57" s="1610" t="e">
        <f t="shared" si="116"/>
        <v>#DIV/0!</v>
      </c>
      <c r="DG57" s="113"/>
      <c r="DH57" s="208"/>
      <c r="DI57" s="208"/>
      <c r="DJ57" s="208">
        <f t="shared" si="117"/>
        <v>0</v>
      </c>
      <c r="DK57" s="78" t="e">
        <f t="shared" si="142"/>
        <v>#DIV/0!</v>
      </c>
      <c r="DL57" s="113"/>
      <c r="DM57" s="208"/>
      <c r="DN57" s="208"/>
      <c r="DO57" s="208">
        <f t="shared" si="118"/>
        <v>0</v>
      </c>
      <c r="DP57" s="94"/>
      <c r="DQ57" s="113"/>
      <c r="DR57" s="208"/>
      <c r="DS57" s="395"/>
      <c r="DT57" s="208">
        <f t="shared" si="162"/>
        <v>0</v>
      </c>
      <c r="DU57" s="78"/>
      <c r="DV57" s="113"/>
      <c r="DW57" s="208"/>
      <c r="DX57" s="208"/>
      <c r="DY57" s="208">
        <f t="shared" si="120"/>
        <v>0</v>
      </c>
      <c r="DZ57" s="157" t="e">
        <f t="shared" si="121"/>
        <v>#DIV/0!</v>
      </c>
      <c r="EA57" s="209"/>
      <c r="EB57" s="208"/>
      <c r="EC57" s="208"/>
      <c r="ED57" s="208">
        <f t="shared" si="122"/>
        <v>0</v>
      </c>
      <c r="EE57" s="157" t="e">
        <f t="shared" si="123"/>
        <v>#DIV/0!</v>
      </c>
      <c r="EF57" s="113"/>
      <c r="EG57" s="208"/>
      <c r="EH57" s="208"/>
      <c r="EI57" s="208">
        <f t="shared" si="124"/>
        <v>0</v>
      </c>
      <c r="EJ57" s="157" t="e">
        <f t="shared" si="125"/>
        <v>#DIV/0!</v>
      </c>
      <c r="EK57" s="583"/>
      <c r="EL57" s="395"/>
      <c r="EM57" s="395"/>
      <c r="EN57" s="208">
        <f t="shared" si="126"/>
        <v>0</v>
      </c>
      <c r="EO57" s="157" t="e">
        <f t="shared" si="127"/>
        <v>#DIV/0!</v>
      </c>
      <c r="EP57" s="113"/>
      <c r="EQ57" s="208"/>
      <c r="ER57" s="208"/>
      <c r="ES57" s="208">
        <f t="shared" si="128"/>
        <v>0</v>
      </c>
      <c r="ET57" s="186" t="e">
        <f t="shared" si="102"/>
        <v>#DIV/0!</v>
      </c>
      <c r="EU57" s="1314"/>
      <c r="EV57" s="1310">
        <f t="shared" si="129"/>
        <v>0</v>
      </c>
      <c r="EW57" s="1310">
        <f t="shared" si="129"/>
        <v>0</v>
      </c>
      <c r="EX57" s="1310">
        <f t="shared" si="129"/>
        <v>0</v>
      </c>
      <c r="EY57" s="220" t="e">
        <f>EX57/EW57</f>
        <v>#DIV/0!</v>
      </c>
      <c r="EZ57" s="357">
        <f t="shared" si="153"/>
        <v>0</v>
      </c>
      <c r="FA57" s="137">
        <f t="shared" si="154"/>
        <v>0</v>
      </c>
      <c r="FB57" s="137">
        <f t="shared" si="154"/>
        <v>0</v>
      </c>
      <c r="FC57" s="137">
        <f t="shared" si="154"/>
        <v>0</v>
      </c>
      <c r="FD57" s="151" t="e">
        <f>FC57/FB57</f>
        <v>#DIV/0!</v>
      </c>
      <c r="FE57" s="607">
        <f t="shared" si="132"/>
        <v>0</v>
      </c>
      <c r="FF57" s="137">
        <f t="shared" si="133"/>
        <v>0</v>
      </c>
      <c r="FG57" s="137">
        <f t="shared" si="133"/>
        <v>0</v>
      </c>
      <c r="FH57" s="137">
        <f t="shared" si="133"/>
        <v>0</v>
      </c>
      <c r="FI57" s="151"/>
      <c r="FJ57" s="607">
        <f t="shared" si="155"/>
        <v>0</v>
      </c>
      <c r="FK57" s="358">
        <f t="shared" si="156"/>
        <v>0</v>
      </c>
      <c r="FL57" s="358">
        <f t="shared" si="156"/>
        <v>0</v>
      </c>
      <c r="FM57" s="358">
        <f t="shared" si="156"/>
        <v>0</v>
      </c>
      <c r="FN57" s="135" t="e">
        <f t="shared" si="157"/>
        <v>#DIV/0!</v>
      </c>
      <c r="FO57" s="1315">
        <f t="shared" si="158"/>
        <v>0</v>
      </c>
      <c r="FP57" s="358">
        <f t="shared" si="159"/>
        <v>0</v>
      </c>
      <c r="FQ57" s="358">
        <f t="shared" si="159"/>
        <v>0</v>
      </c>
      <c r="FR57" s="358">
        <f t="shared" si="159"/>
        <v>0</v>
      </c>
      <c r="FS57" s="151" t="e">
        <f>FR57/FQ57</f>
        <v>#DIV/0!</v>
      </c>
    </row>
    <row r="58" spans="1:175" x14ac:dyDescent="0.3">
      <c r="A58" s="110"/>
      <c r="B58" s="111" t="s">
        <v>148</v>
      </c>
      <c r="C58" s="112" t="s">
        <v>144</v>
      </c>
      <c r="D58" s="1605" t="s">
        <v>145</v>
      </c>
      <c r="E58" s="439"/>
      <c r="F58" s="208"/>
      <c r="G58" s="208"/>
      <c r="H58" s="208">
        <f t="shared" si="50"/>
        <v>0</v>
      </c>
      <c r="I58" s="78"/>
      <c r="J58" s="113"/>
      <c r="K58" s="208"/>
      <c r="L58" s="395"/>
      <c r="M58" s="208">
        <f t="shared" si="51"/>
        <v>0</v>
      </c>
      <c r="N58" s="186"/>
      <c r="O58" s="113"/>
      <c r="P58" s="208"/>
      <c r="Q58" s="395"/>
      <c r="R58" s="208">
        <f t="shared" si="52"/>
        <v>0</v>
      </c>
      <c r="S58" s="169"/>
      <c r="T58" s="1325"/>
      <c r="U58" s="1317"/>
      <c r="V58" s="1317"/>
      <c r="W58" s="208">
        <f t="shared" si="53"/>
        <v>0</v>
      </c>
      <c r="X58" s="1313"/>
      <c r="Y58" s="113"/>
      <c r="Z58" s="208"/>
      <c r="AA58" s="208"/>
      <c r="AB58" s="208">
        <f t="shared" si="54"/>
        <v>0</v>
      </c>
      <c r="AC58" s="78"/>
      <c r="AD58" s="113"/>
      <c r="AE58" s="208"/>
      <c r="AF58" s="208"/>
      <c r="AG58" s="208">
        <f t="shared" si="55"/>
        <v>0</v>
      </c>
      <c r="AH58" s="94"/>
      <c r="AI58" s="113"/>
      <c r="AJ58" s="208"/>
      <c r="AK58" s="395"/>
      <c r="AL58" s="208">
        <f t="shared" si="160"/>
        <v>0</v>
      </c>
      <c r="AM58" s="78"/>
      <c r="AN58" s="113"/>
      <c r="AO58" s="208"/>
      <c r="AP58" s="208"/>
      <c r="AQ58" s="208">
        <f t="shared" si="44"/>
        <v>0</v>
      </c>
      <c r="AR58" s="157"/>
      <c r="AS58" s="209"/>
      <c r="AT58" s="208"/>
      <c r="AU58" s="395"/>
      <c r="AV58" s="208">
        <f t="shared" si="45"/>
        <v>0</v>
      </c>
      <c r="AW58" s="157"/>
      <c r="AX58" s="113"/>
      <c r="AY58" s="208"/>
      <c r="AZ58" s="208"/>
      <c r="BA58" s="208">
        <f t="shared" si="46"/>
        <v>0</v>
      </c>
      <c r="BB58" s="1561">
        <v>0</v>
      </c>
      <c r="BC58" s="583"/>
      <c r="BD58" s="395"/>
      <c r="BE58" s="395"/>
      <c r="BF58" s="208">
        <f t="shared" si="49"/>
        <v>0</v>
      </c>
      <c r="BG58" s="157"/>
      <c r="BH58" s="113"/>
      <c r="BI58" s="208"/>
      <c r="BJ58" s="208"/>
      <c r="BK58" s="208">
        <f t="shared" si="47"/>
        <v>0</v>
      </c>
      <c r="BL58" s="1614">
        <v>0</v>
      </c>
      <c r="BM58" s="1314"/>
      <c r="BN58" s="1310">
        <f t="shared" si="103"/>
        <v>0</v>
      </c>
      <c r="BO58" s="1310">
        <f t="shared" si="103"/>
        <v>0</v>
      </c>
      <c r="BP58" s="1310">
        <f t="shared" si="103"/>
        <v>0</v>
      </c>
      <c r="BQ58" s="220"/>
      <c r="BR58" s="607">
        <f t="shared" si="147"/>
        <v>0</v>
      </c>
      <c r="BS58" s="137">
        <f t="shared" si="148"/>
        <v>0</v>
      </c>
      <c r="BT58" s="137">
        <f t="shared" si="148"/>
        <v>0</v>
      </c>
      <c r="BU58" s="137">
        <f t="shared" si="148"/>
        <v>0</v>
      </c>
      <c r="BV58" s="151"/>
      <c r="BW58" s="607">
        <f t="shared" si="106"/>
        <v>0</v>
      </c>
      <c r="BX58" s="137">
        <f t="shared" si="107"/>
        <v>0</v>
      </c>
      <c r="BY58" s="137">
        <f t="shared" si="107"/>
        <v>0</v>
      </c>
      <c r="BZ58" s="137">
        <f t="shared" si="107"/>
        <v>0</v>
      </c>
      <c r="CA58" s="151"/>
      <c r="CB58" s="607">
        <f t="shared" si="149"/>
        <v>0</v>
      </c>
      <c r="CC58" s="358">
        <f t="shared" si="150"/>
        <v>0</v>
      </c>
      <c r="CD58" s="358">
        <f t="shared" si="150"/>
        <v>0</v>
      </c>
      <c r="CE58" s="358">
        <f t="shared" si="150"/>
        <v>0</v>
      </c>
      <c r="CF58" s="135" t="e">
        <f t="shared" si="161"/>
        <v>#DIV/0!</v>
      </c>
      <c r="CG58" s="1339">
        <f t="shared" si="151"/>
        <v>0</v>
      </c>
      <c r="CH58" s="358">
        <f t="shared" si="152"/>
        <v>0</v>
      </c>
      <c r="CI58" s="358">
        <f t="shared" si="152"/>
        <v>0</v>
      </c>
      <c r="CJ58" s="358">
        <f t="shared" si="152"/>
        <v>0</v>
      </c>
      <c r="CK58" s="1340"/>
      <c r="CL58" s="79"/>
      <c r="CM58" s="439"/>
      <c r="CN58" s="208"/>
      <c r="CO58" s="208"/>
      <c r="CP58" s="208">
        <f t="shared" si="112"/>
        <v>0</v>
      </c>
      <c r="CQ58" s="3547">
        <v>0</v>
      </c>
      <c r="CR58" s="113"/>
      <c r="CS58" s="208"/>
      <c r="CT58" s="395"/>
      <c r="CU58" s="208">
        <f t="shared" si="113"/>
        <v>0</v>
      </c>
      <c r="CV58" s="186"/>
      <c r="CW58" s="439"/>
      <c r="CX58" s="208"/>
      <c r="CY58" s="395"/>
      <c r="CZ58" s="208">
        <f t="shared" si="114"/>
        <v>0</v>
      </c>
      <c r="DA58" s="203"/>
      <c r="DB58" s="1325"/>
      <c r="DC58" s="1317"/>
      <c r="DD58" s="1317"/>
      <c r="DE58" s="208">
        <f t="shared" si="115"/>
        <v>0</v>
      </c>
      <c r="DF58" s="1610" t="e">
        <f t="shared" si="116"/>
        <v>#DIV/0!</v>
      </c>
      <c r="DG58" s="113"/>
      <c r="DH58" s="208"/>
      <c r="DI58" s="208"/>
      <c r="DJ58" s="208">
        <f t="shared" si="117"/>
        <v>0</v>
      </c>
      <c r="DK58" s="78" t="e">
        <f t="shared" si="142"/>
        <v>#DIV/0!</v>
      </c>
      <c r="DL58" s="113"/>
      <c r="DM58" s="208"/>
      <c r="DN58" s="208"/>
      <c r="DO58" s="208">
        <f t="shared" si="118"/>
        <v>0</v>
      </c>
      <c r="DP58" s="94"/>
      <c r="DQ58" s="113"/>
      <c r="DR58" s="208"/>
      <c r="DS58" s="395"/>
      <c r="DT58" s="208">
        <f t="shared" si="162"/>
        <v>0</v>
      </c>
      <c r="DU58" s="78"/>
      <c r="DV58" s="113"/>
      <c r="DW58" s="208"/>
      <c r="DX58" s="208"/>
      <c r="DY58" s="208">
        <f t="shared" si="120"/>
        <v>0</v>
      </c>
      <c r="DZ58" s="157" t="e">
        <f t="shared" si="121"/>
        <v>#DIV/0!</v>
      </c>
      <c r="EA58" s="209"/>
      <c r="EB58" s="208"/>
      <c r="EC58" s="395"/>
      <c r="ED58" s="208">
        <f t="shared" si="122"/>
        <v>0</v>
      </c>
      <c r="EE58" s="157" t="e">
        <f t="shared" si="123"/>
        <v>#DIV/0!</v>
      </c>
      <c r="EF58" s="113"/>
      <c r="EG58" s="208"/>
      <c r="EH58" s="208"/>
      <c r="EI58" s="208">
        <f t="shared" si="124"/>
        <v>0</v>
      </c>
      <c r="EJ58" s="157" t="e">
        <f t="shared" si="125"/>
        <v>#DIV/0!</v>
      </c>
      <c r="EK58" s="583"/>
      <c r="EL58" s="395"/>
      <c r="EM58" s="395"/>
      <c r="EN58" s="208">
        <f t="shared" si="126"/>
        <v>0</v>
      </c>
      <c r="EO58" s="157" t="e">
        <f t="shared" si="127"/>
        <v>#DIV/0!</v>
      </c>
      <c r="EP58" s="113"/>
      <c r="EQ58" s="208"/>
      <c r="ER58" s="208"/>
      <c r="ES58" s="208">
        <f t="shared" si="128"/>
        <v>0</v>
      </c>
      <c r="ET58" s="186" t="e">
        <f t="shared" si="102"/>
        <v>#DIV/0!</v>
      </c>
      <c r="EU58" s="1314"/>
      <c r="EV58" s="1310">
        <f t="shared" si="129"/>
        <v>0</v>
      </c>
      <c r="EW58" s="1310">
        <f t="shared" si="129"/>
        <v>0</v>
      </c>
      <c r="EX58" s="1310">
        <f t="shared" si="129"/>
        <v>0</v>
      </c>
      <c r="EY58" s="220"/>
      <c r="EZ58" s="357">
        <f t="shared" si="153"/>
        <v>0</v>
      </c>
      <c r="FA58" s="137">
        <f t="shared" si="154"/>
        <v>0</v>
      </c>
      <c r="FB58" s="137">
        <f t="shared" si="154"/>
        <v>0</v>
      </c>
      <c r="FC58" s="137">
        <f t="shared" si="154"/>
        <v>0</v>
      </c>
      <c r="FD58" s="151"/>
      <c r="FE58" s="607">
        <f t="shared" si="132"/>
        <v>0</v>
      </c>
      <c r="FF58" s="137">
        <f t="shared" si="133"/>
        <v>0</v>
      </c>
      <c r="FG58" s="137">
        <f t="shared" si="133"/>
        <v>0</v>
      </c>
      <c r="FH58" s="137">
        <f t="shared" si="133"/>
        <v>0</v>
      </c>
      <c r="FI58" s="151"/>
      <c r="FJ58" s="607">
        <f t="shared" si="155"/>
        <v>0</v>
      </c>
      <c r="FK58" s="358">
        <f t="shared" si="156"/>
        <v>0</v>
      </c>
      <c r="FL58" s="358">
        <f t="shared" si="156"/>
        <v>0</v>
      </c>
      <c r="FM58" s="358">
        <f t="shared" si="156"/>
        <v>0</v>
      </c>
      <c r="FN58" s="135" t="e">
        <f t="shared" si="157"/>
        <v>#DIV/0!</v>
      </c>
      <c r="FO58" s="1339">
        <f t="shared" si="158"/>
        <v>0</v>
      </c>
      <c r="FP58" s="358">
        <f t="shared" si="159"/>
        <v>0</v>
      </c>
      <c r="FQ58" s="358">
        <f t="shared" si="159"/>
        <v>0</v>
      </c>
      <c r="FR58" s="358">
        <f t="shared" si="159"/>
        <v>0</v>
      </c>
      <c r="FS58" s="1340"/>
    </row>
    <row r="59" spans="1:175" x14ac:dyDescent="0.3">
      <c r="A59" s="110"/>
      <c r="B59" s="111" t="s">
        <v>151</v>
      </c>
      <c r="C59" s="112" t="s">
        <v>144</v>
      </c>
      <c r="D59" s="1605" t="s">
        <v>145</v>
      </c>
      <c r="E59" s="439"/>
      <c r="F59" s="208"/>
      <c r="G59" s="208"/>
      <c r="H59" s="208">
        <f t="shared" si="50"/>
        <v>0</v>
      </c>
      <c r="I59" s="78"/>
      <c r="J59" s="113"/>
      <c r="K59" s="208"/>
      <c r="L59" s="208"/>
      <c r="M59" s="208">
        <f t="shared" si="51"/>
        <v>0</v>
      </c>
      <c r="N59" s="186"/>
      <c r="O59" s="113"/>
      <c r="P59" s="208"/>
      <c r="Q59" s="395"/>
      <c r="R59" s="208">
        <f t="shared" si="52"/>
        <v>0</v>
      </c>
      <c r="S59" s="169"/>
      <c r="T59" s="1325"/>
      <c r="U59" s="1317"/>
      <c r="V59" s="1317"/>
      <c r="W59" s="208">
        <f t="shared" si="53"/>
        <v>0</v>
      </c>
      <c r="X59" s="1313"/>
      <c r="Y59" s="113"/>
      <c r="Z59" s="208"/>
      <c r="AA59" s="208"/>
      <c r="AB59" s="208">
        <f t="shared" si="54"/>
        <v>0</v>
      </c>
      <c r="AC59" s="78"/>
      <c r="AD59" s="113"/>
      <c r="AE59" s="208"/>
      <c r="AF59" s="208"/>
      <c r="AG59" s="208">
        <f t="shared" si="55"/>
        <v>0</v>
      </c>
      <c r="AH59" s="94"/>
      <c r="AI59" s="113"/>
      <c r="AJ59" s="208"/>
      <c r="AK59" s="208"/>
      <c r="AL59" s="208">
        <f t="shared" si="160"/>
        <v>0</v>
      </c>
      <c r="AM59" s="78"/>
      <c r="AN59" s="113"/>
      <c r="AO59" s="208"/>
      <c r="AP59" s="208"/>
      <c r="AQ59" s="208">
        <f t="shared" si="44"/>
        <v>0</v>
      </c>
      <c r="AR59" s="157"/>
      <c r="AS59" s="209"/>
      <c r="AT59" s="208"/>
      <c r="AU59" s="208"/>
      <c r="AV59" s="208">
        <f t="shared" si="45"/>
        <v>0</v>
      </c>
      <c r="AW59" s="157"/>
      <c r="AX59" s="583"/>
      <c r="AY59" s="395"/>
      <c r="AZ59" s="395"/>
      <c r="BA59" s="208">
        <f t="shared" si="46"/>
        <v>0</v>
      </c>
      <c r="BB59" s="1561">
        <v>0</v>
      </c>
      <c r="BC59" s="583"/>
      <c r="BD59" s="395"/>
      <c r="BE59" s="395"/>
      <c r="BF59" s="208">
        <f t="shared" si="49"/>
        <v>0</v>
      </c>
      <c r="BG59" s="157"/>
      <c r="BH59" s="113"/>
      <c r="BI59" s="208"/>
      <c r="BJ59" s="208"/>
      <c r="BK59" s="208">
        <f t="shared" si="47"/>
        <v>0</v>
      </c>
      <c r="BL59" s="1614">
        <v>0</v>
      </c>
      <c r="BM59" s="1314"/>
      <c r="BN59" s="1310">
        <f t="shared" si="103"/>
        <v>0</v>
      </c>
      <c r="BO59" s="1310">
        <f t="shared" si="103"/>
        <v>0</v>
      </c>
      <c r="BP59" s="1310">
        <f t="shared" si="103"/>
        <v>0</v>
      </c>
      <c r="BQ59" s="220"/>
      <c r="BR59" s="607">
        <f t="shared" si="147"/>
        <v>0</v>
      </c>
      <c r="BS59" s="137">
        <f t="shared" si="148"/>
        <v>0</v>
      </c>
      <c r="BT59" s="137">
        <f t="shared" si="148"/>
        <v>0</v>
      </c>
      <c r="BU59" s="137">
        <f t="shared" si="148"/>
        <v>0</v>
      </c>
      <c r="BV59" s="151"/>
      <c r="BW59" s="607">
        <f t="shared" si="106"/>
        <v>0</v>
      </c>
      <c r="BX59" s="137">
        <f t="shared" si="107"/>
        <v>0</v>
      </c>
      <c r="BY59" s="137">
        <f t="shared" si="107"/>
        <v>0</v>
      </c>
      <c r="BZ59" s="137">
        <f t="shared" si="107"/>
        <v>0</v>
      </c>
      <c r="CA59" s="151"/>
      <c r="CB59" s="607">
        <f t="shared" si="149"/>
        <v>0</v>
      </c>
      <c r="CC59" s="358">
        <f t="shared" si="150"/>
        <v>0</v>
      </c>
      <c r="CD59" s="358">
        <f t="shared" si="150"/>
        <v>0</v>
      </c>
      <c r="CE59" s="358">
        <f t="shared" si="150"/>
        <v>0</v>
      </c>
      <c r="CF59" s="135" t="e">
        <f t="shared" si="161"/>
        <v>#DIV/0!</v>
      </c>
      <c r="CG59" s="1339">
        <f t="shared" si="151"/>
        <v>0</v>
      </c>
      <c r="CH59" s="358">
        <f t="shared" si="152"/>
        <v>0</v>
      </c>
      <c r="CI59" s="358">
        <f t="shared" si="152"/>
        <v>0</v>
      </c>
      <c r="CJ59" s="358">
        <f t="shared" si="152"/>
        <v>0</v>
      </c>
      <c r="CK59" s="1340"/>
      <c r="CL59" s="79"/>
      <c r="CM59" s="439"/>
      <c r="CN59" s="208"/>
      <c r="CO59" s="208"/>
      <c r="CP59" s="208">
        <f t="shared" si="112"/>
        <v>0</v>
      </c>
      <c r="CQ59" s="3547">
        <v>0</v>
      </c>
      <c r="CR59" s="113"/>
      <c r="CS59" s="208"/>
      <c r="CT59" s="208"/>
      <c r="CU59" s="208">
        <f t="shared" si="113"/>
        <v>0</v>
      </c>
      <c r="CV59" s="186"/>
      <c r="CW59" s="439"/>
      <c r="CX59" s="208"/>
      <c r="CY59" s="395"/>
      <c r="CZ59" s="208">
        <f t="shared" si="114"/>
        <v>0</v>
      </c>
      <c r="DA59" s="203"/>
      <c r="DB59" s="1325"/>
      <c r="DC59" s="1317"/>
      <c r="DD59" s="1317"/>
      <c r="DE59" s="208">
        <f t="shared" si="115"/>
        <v>0</v>
      </c>
      <c r="DF59" s="1610" t="e">
        <f t="shared" si="116"/>
        <v>#DIV/0!</v>
      </c>
      <c r="DG59" s="113"/>
      <c r="DH59" s="208"/>
      <c r="DI59" s="208"/>
      <c r="DJ59" s="208">
        <f t="shared" si="117"/>
        <v>0</v>
      </c>
      <c r="DK59" s="78" t="e">
        <f t="shared" si="142"/>
        <v>#DIV/0!</v>
      </c>
      <c r="DL59" s="113"/>
      <c r="DM59" s="208"/>
      <c r="DN59" s="208"/>
      <c r="DO59" s="208">
        <f t="shared" si="118"/>
        <v>0</v>
      </c>
      <c r="DP59" s="94"/>
      <c r="DQ59" s="113"/>
      <c r="DR59" s="208"/>
      <c r="DS59" s="208"/>
      <c r="DT59" s="208">
        <f t="shared" si="162"/>
        <v>0</v>
      </c>
      <c r="DU59" s="78"/>
      <c r="DV59" s="113"/>
      <c r="DW59" s="208"/>
      <c r="DX59" s="208"/>
      <c r="DY59" s="208">
        <f t="shared" si="120"/>
        <v>0</v>
      </c>
      <c r="DZ59" s="157" t="e">
        <f t="shared" si="121"/>
        <v>#DIV/0!</v>
      </c>
      <c r="EA59" s="209"/>
      <c r="EB59" s="208"/>
      <c r="EC59" s="208"/>
      <c r="ED59" s="208">
        <f t="shared" si="122"/>
        <v>0</v>
      </c>
      <c r="EE59" s="157" t="e">
        <f t="shared" si="123"/>
        <v>#DIV/0!</v>
      </c>
      <c r="EF59" s="583"/>
      <c r="EG59" s="395"/>
      <c r="EH59" s="395"/>
      <c r="EI59" s="208">
        <f t="shared" si="124"/>
        <v>0</v>
      </c>
      <c r="EJ59" s="157" t="e">
        <f t="shared" si="125"/>
        <v>#DIV/0!</v>
      </c>
      <c r="EK59" s="583"/>
      <c r="EL59" s="395"/>
      <c r="EM59" s="395"/>
      <c r="EN59" s="208">
        <f t="shared" si="126"/>
        <v>0</v>
      </c>
      <c r="EO59" s="157" t="e">
        <f t="shared" si="127"/>
        <v>#DIV/0!</v>
      </c>
      <c r="EP59" s="113"/>
      <c r="EQ59" s="208"/>
      <c r="ER59" s="208"/>
      <c r="ES59" s="208">
        <f t="shared" si="128"/>
        <v>0</v>
      </c>
      <c r="ET59" s="186" t="e">
        <f t="shared" si="102"/>
        <v>#DIV/0!</v>
      </c>
      <c r="EU59" s="1314"/>
      <c r="EV59" s="1310">
        <f t="shared" si="129"/>
        <v>0</v>
      </c>
      <c r="EW59" s="1310">
        <f t="shared" si="129"/>
        <v>0</v>
      </c>
      <c r="EX59" s="1310">
        <f t="shared" si="129"/>
        <v>0</v>
      </c>
      <c r="EY59" s="220"/>
      <c r="EZ59" s="357">
        <f t="shared" si="153"/>
        <v>0</v>
      </c>
      <c r="FA59" s="137">
        <f t="shared" si="154"/>
        <v>0</v>
      </c>
      <c r="FB59" s="137">
        <f t="shared" si="154"/>
        <v>0</v>
      </c>
      <c r="FC59" s="137">
        <f t="shared" si="154"/>
        <v>0</v>
      </c>
      <c r="FD59" s="151"/>
      <c r="FE59" s="607">
        <f t="shared" si="132"/>
        <v>0</v>
      </c>
      <c r="FF59" s="137">
        <f t="shared" si="133"/>
        <v>0</v>
      </c>
      <c r="FG59" s="137">
        <f t="shared" si="133"/>
        <v>0</v>
      </c>
      <c r="FH59" s="137">
        <f t="shared" si="133"/>
        <v>0</v>
      </c>
      <c r="FI59" s="151"/>
      <c r="FJ59" s="607">
        <f t="shared" si="155"/>
        <v>0</v>
      </c>
      <c r="FK59" s="358">
        <f t="shared" si="156"/>
        <v>0</v>
      </c>
      <c r="FL59" s="358">
        <f t="shared" si="156"/>
        <v>0</v>
      </c>
      <c r="FM59" s="358">
        <f t="shared" si="156"/>
        <v>0</v>
      </c>
      <c r="FN59" s="135" t="e">
        <f t="shared" si="157"/>
        <v>#DIV/0!</v>
      </c>
      <c r="FO59" s="1339">
        <f t="shared" si="158"/>
        <v>0</v>
      </c>
      <c r="FP59" s="358">
        <f t="shared" si="159"/>
        <v>0</v>
      </c>
      <c r="FQ59" s="358">
        <f t="shared" si="159"/>
        <v>0</v>
      </c>
      <c r="FR59" s="358">
        <f t="shared" si="159"/>
        <v>0</v>
      </c>
      <c r="FS59" s="1340"/>
    </row>
    <row r="60" spans="1:175" x14ac:dyDescent="0.3">
      <c r="A60" s="1582"/>
      <c r="B60" s="662" t="s">
        <v>405</v>
      </c>
      <c r="C60" s="1583" t="s">
        <v>141</v>
      </c>
      <c r="D60" s="1605" t="s">
        <v>145</v>
      </c>
      <c r="E60" s="440"/>
      <c r="F60" s="435"/>
      <c r="G60" s="435"/>
      <c r="H60" s="435">
        <f t="shared" si="50"/>
        <v>0</v>
      </c>
      <c r="I60" s="461"/>
      <c r="J60" s="667"/>
      <c r="K60" s="435"/>
      <c r="L60" s="435"/>
      <c r="M60" s="435">
        <f t="shared" si="51"/>
        <v>0</v>
      </c>
      <c r="N60" s="1588"/>
      <c r="O60" s="667"/>
      <c r="P60" s="435"/>
      <c r="Q60" s="436"/>
      <c r="R60" s="435">
        <f t="shared" si="52"/>
        <v>0</v>
      </c>
      <c r="S60" s="1589"/>
      <c r="T60" s="1625"/>
      <c r="U60" s="1626"/>
      <c r="V60" s="1626"/>
      <c r="W60" s="435">
        <f t="shared" si="53"/>
        <v>0</v>
      </c>
      <c r="X60" s="1593"/>
      <c r="Y60" s="667"/>
      <c r="Z60" s="435"/>
      <c r="AA60" s="435"/>
      <c r="AB60" s="435">
        <f t="shared" si="54"/>
        <v>0</v>
      </c>
      <c r="AC60" s="117"/>
      <c r="AD60" s="667"/>
      <c r="AE60" s="435"/>
      <c r="AF60" s="435"/>
      <c r="AG60" s="435">
        <f t="shared" si="55"/>
        <v>0</v>
      </c>
      <c r="AH60" s="201"/>
      <c r="AI60" s="1594"/>
      <c r="AJ60" s="436"/>
      <c r="AK60" s="436"/>
      <c r="AL60" s="435">
        <f t="shared" si="160"/>
        <v>0</v>
      </c>
      <c r="AM60" s="461"/>
      <c r="AN60" s="667"/>
      <c r="AO60" s="435"/>
      <c r="AP60" s="435"/>
      <c r="AQ60" s="435">
        <f t="shared" si="44"/>
        <v>0</v>
      </c>
      <c r="AR60" s="1595"/>
      <c r="AS60" s="1596"/>
      <c r="AT60" s="435"/>
      <c r="AU60" s="435"/>
      <c r="AV60" s="435">
        <f t="shared" si="45"/>
        <v>0</v>
      </c>
      <c r="AW60" s="1595"/>
      <c r="AX60" s="667"/>
      <c r="AY60" s="435"/>
      <c r="AZ60" s="435"/>
      <c r="BA60" s="435">
        <f t="shared" si="46"/>
        <v>0</v>
      </c>
      <c r="BB60" s="1597">
        <v>0</v>
      </c>
      <c r="BC60" s="1627"/>
      <c r="BD60" s="662"/>
      <c r="BE60" s="662"/>
      <c r="BF60" s="435">
        <f t="shared" si="49"/>
        <v>0</v>
      </c>
      <c r="BG60" s="1595"/>
      <c r="BH60" s="667"/>
      <c r="BI60" s="435"/>
      <c r="BJ60" s="435"/>
      <c r="BK60" s="435">
        <f t="shared" si="47"/>
        <v>0</v>
      </c>
      <c r="BL60" s="1628">
        <v>0</v>
      </c>
      <c r="BM60" s="1598"/>
      <c r="BN60" s="1599">
        <f t="shared" si="103"/>
        <v>0</v>
      </c>
      <c r="BO60" s="1599">
        <f t="shared" si="103"/>
        <v>0</v>
      </c>
      <c r="BP60" s="1599">
        <f t="shared" si="103"/>
        <v>0</v>
      </c>
      <c r="BQ60" s="1600"/>
      <c r="BR60" s="607">
        <f t="shared" si="147"/>
        <v>0</v>
      </c>
      <c r="BS60" s="137">
        <f t="shared" si="148"/>
        <v>0</v>
      </c>
      <c r="BT60" s="137">
        <f t="shared" si="148"/>
        <v>0</v>
      </c>
      <c r="BU60" s="137">
        <f t="shared" si="148"/>
        <v>0</v>
      </c>
      <c r="BV60" s="151"/>
      <c r="BW60" s="607">
        <f t="shared" si="106"/>
        <v>0</v>
      </c>
      <c r="BX60" s="137">
        <f t="shared" si="107"/>
        <v>0</v>
      </c>
      <c r="BY60" s="137">
        <f t="shared" si="107"/>
        <v>0</v>
      </c>
      <c r="BZ60" s="137">
        <f t="shared" si="107"/>
        <v>0</v>
      </c>
      <c r="CA60" s="151"/>
      <c r="CB60" s="607">
        <f t="shared" si="149"/>
        <v>0</v>
      </c>
      <c r="CC60" s="358">
        <f t="shared" si="150"/>
        <v>0</v>
      </c>
      <c r="CD60" s="358">
        <f t="shared" si="150"/>
        <v>0</v>
      </c>
      <c r="CE60" s="358">
        <f t="shared" si="150"/>
        <v>0</v>
      </c>
      <c r="CF60" s="135"/>
      <c r="CG60" s="357">
        <f t="shared" si="151"/>
        <v>0</v>
      </c>
      <c r="CH60" s="358">
        <f t="shared" si="152"/>
        <v>0</v>
      </c>
      <c r="CI60" s="358">
        <f t="shared" si="152"/>
        <v>0</v>
      </c>
      <c r="CJ60" s="358">
        <f t="shared" si="152"/>
        <v>0</v>
      </c>
      <c r="CK60" s="151"/>
      <c r="CL60" s="79"/>
      <c r="CM60" s="440"/>
      <c r="CN60" s="435"/>
      <c r="CO60" s="435"/>
      <c r="CP60" s="435">
        <f t="shared" si="112"/>
        <v>0</v>
      </c>
      <c r="CQ60" s="461"/>
      <c r="CR60" s="667"/>
      <c r="CS60" s="435"/>
      <c r="CT60" s="435"/>
      <c r="CU60" s="435">
        <f t="shared" si="113"/>
        <v>0</v>
      </c>
      <c r="CV60" s="1588"/>
      <c r="CW60" s="440"/>
      <c r="CX60" s="435"/>
      <c r="CY60" s="436"/>
      <c r="CZ60" s="435">
        <f t="shared" si="114"/>
        <v>0</v>
      </c>
      <c r="DA60" s="1589"/>
      <c r="DB60" s="1625"/>
      <c r="DC60" s="1626"/>
      <c r="DD60" s="1626"/>
      <c r="DE60" s="435">
        <f t="shared" si="115"/>
        <v>0</v>
      </c>
      <c r="DF60" s="1610" t="e">
        <f t="shared" si="116"/>
        <v>#DIV/0!</v>
      </c>
      <c r="DG60" s="667"/>
      <c r="DH60" s="435"/>
      <c r="DI60" s="435"/>
      <c r="DJ60" s="435">
        <f t="shared" si="117"/>
        <v>0</v>
      </c>
      <c r="DK60" s="78" t="e">
        <f t="shared" si="142"/>
        <v>#DIV/0!</v>
      </c>
      <c r="DL60" s="667"/>
      <c r="DM60" s="435"/>
      <c r="DN60" s="435"/>
      <c r="DO60" s="435">
        <f t="shared" si="118"/>
        <v>0</v>
      </c>
      <c r="DP60" s="201"/>
      <c r="DQ60" s="1594"/>
      <c r="DR60" s="436"/>
      <c r="DS60" s="436"/>
      <c r="DT60" s="435">
        <f t="shared" si="162"/>
        <v>0</v>
      </c>
      <c r="DU60" s="461"/>
      <c r="DV60" s="667"/>
      <c r="DW60" s="435"/>
      <c r="DX60" s="435"/>
      <c r="DY60" s="435">
        <f t="shared" si="120"/>
        <v>0</v>
      </c>
      <c r="DZ60" s="157" t="e">
        <f t="shared" si="121"/>
        <v>#DIV/0!</v>
      </c>
      <c r="EA60" s="1596"/>
      <c r="EB60" s="435"/>
      <c r="EC60" s="435"/>
      <c r="ED60" s="435">
        <f t="shared" si="122"/>
        <v>0</v>
      </c>
      <c r="EE60" s="157" t="e">
        <f t="shared" si="123"/>
        <v>#DIV/0!</v>
      </c>
      <c r="EF60" s="667"/>
      <c r="EG60" s="435"/>
      <c r="EH60" s="435"/>
      <c r="EI60" s="435">
        <f t="shared" si="124"/>
        <v>0</v>
      </c>
      <c r="EJ60" s="157" t="e">
        <f t="shared" si="125"/>
        <v>#DIV/0!</v>
      </c>
      <c r="EK60" s="1627"/>
      <c r="EL60" s="662"/>
      <c r="EM60" s="662"/>
      <c r="EN60" s="435">
        <f t="shared" si="126"/>
        <v>0</v>
      </c>
      <c r="EO60" s="157" t="e">
        <f t="shared" si="127"/>
        <v>#DIV/0!</v>
      </c>
      <c r="EP60" s="667"/>
      <c r="EQ60" s="435"/>
      <c r="ER60" s="435"/>
      <c r="ES60" s="435">
        <f t="shared" si="128"/>
        <v>0</v>
      </c>
      <c r="ET60" s="1628">
        <v>0</v>
      </c>
      <c r="EU60" s="1598"/>
      <c r="EV60" s="1599">
        <f t="shared" si="129"/>
        <v>0</v>
      </c>
      <c r="EW60" s="1599">
        <f t="shared" si="129"/>
        <v>0</v>
      </c>
      <c r="EX60" s="1599">
        <f t="shared" si="129"/>
        <v>0</v>
      </c>
      <c r="EY60" s="1600"/>
      <c r="EZ60" s="357">
        <f t="shared" si="153"/>
        <v>0</v>
      </c>
      <c r="FA60" s="137">
        <f t="shared" si="154"/>
        <v>0</v>
      </c>
      <c r="FB60" s="137">
        <f t="shared" si="154"/>
        <v>0</v>
      </c>
      <c r="FC60" s="137">
        <f t="shared" si="154"/>
        <v>0</v>
      </c>
      <c r="FD60" s="151"/>
      <c r="FE60" s="607">
        <f t="shared" si="132"/>
        <v>0</v>
      </c>
      <c r="FF60" s="137">
        <f t="shared" si="133"/>
        <v>0</v>
      </c>
      <c r="FG60" s="137">
        <f t="shared" si="133"/>
        <v>0</v>
      </c>
      <c r="FH60" s="137">
        <f t="shared" si="133"/>
        <v>0</v>
      </c>
      <c r="FI60" s="151"/>
      <c r="FJ60" s="607">
        <f t="shared" si="155"/>
        <v>0</v>
      </c>
      <c r="FK60" s="358">
        <f t="shared" si="156"/>
        <v>0</v>
      </c>
      <c r="FL60" s="358">
        <f t="shared" si="156"/>
        <v>0</v>
      </c>
      <c r="FM60" s="358">
        <f t="shared" si="156"/>
        <v>0</v>
      </c>
      <c r="FN60" s="135"/>
      <c r="FO60" s="357">
        <f t="shared" si="158"/>
        <v>0</v>
      </c>
      <c r="FP60" s="358">
        <f t="shared" si="159"/>
        <v>0</v>
      </c>
      <c r="FQ60" s="358">
        <f t="shared" si="159"/>
        <v>0</v>
      </c>
      <c r="FR60" s="358">
        <f t="shared" si="159"/>
        <v>0</v>
      </c>
      <c r="FS60" s="151"/>
    </row>
    <row r="61" spans="1:175" x14ac:dyDescent="0.3">
      <c r="A61" s="1629"/>
      <c r="B61" s="1630"/>
      <c r="C61" s="1631"/>
      <c r="D61" s="1616"/>
      <c r="E61" s="1632">
        <f>SUM(E39:E60)</f>
        <v>9</v>
      </c>
      <c r="F61" s="1617">
        <f>SUM(F39:F60)</f>
        <v>883431</v>
      </c>
      <c r="G61" s="1617">
        <f>SUM(G39:G60)</f>
        <v>1720396</v>
      </c>
      <c r="H61" s="1617">
        <f>SUM(H39:H60)</f>
        <v>836965</v>
      </c>
      <c r="I61" s="1618">
        <f>H61/G61</f>
        <v>0.48649555102429903</v>
      </c>
      <c r="J61" s="1632">
        <f>SUM(J39:J60)</f>
        <v>7</v>
      </c>
      <c r="K61" s="1617">
        <f>SUM(K39:K60)</f>
        <v>700826</v>
      </c>
      <c r="L61" s="1617">
        <f>SUM(L39:L60)</f>
        <v>928792.15999999992</v>
      </c>
      <c r="M61" s="1617">
        <f>SUM(M39:M60)</f>
        <v>227966.16000000003</v>
      </c>
      <c r="N61" s="1618">
        <f>M61/L61</f>
        <v>0.24544367385702315</v>
      </c>
      <c r="O61" s="1632">
        <f>SUM(O39:O60)</f>
        <v>1</v>
      </c>
      <c r="P61" s="1617">
        <f>SUM(P39:P60)</f>
        <v>11385</v>
      </c>
      <c r="Q61" s="1617">
        <f>SUM(Q39:Q60)</f>
        <v>41000</v>
      </c>
      <c r="R61" s="1617">
        <f>SUM(R39:R60)</f>
        <v>29615</v>
      </c>
      <c r="S61" s="1618">
        <f>R61/Q61</f>
        <v>0.72231707317073168</v>
      </c>
      <c r="T61" s="1632">
        <f>SUM(T39:T60)</f>
        <v>2</v>
      </c>
      <c r="U61" s="1617">
        <f>SUM(U39:U60)</f>
        <v>272730</v>
      </c>
      <c r="V61" s="1617">
        <f>SUM(V39:V60)</f>
        <v>415500</v>
      </c>
      <c r="W61" s="1617">
        <f>SUM(W39:W60)</f>
        <v>142770</v>
      </c>
      <c r="X61" s="1618">
        <f>W61/V61</f>
        <v>0.34361010830324912</v>
      </c>
      <c r="Y61" s="1632">
        <f>SUM(Y39:Y60)</f>
        <v>0</v>
      </c>
      <c r="Z61" s="1617">
        <f>SUM(Z39:Z60)</f>
        <v>1228601</v>
      </c>
      <c r="AA61" s="1617">
        <f>SUM(AA39:AA60)</f>
        <v>2345904</v>
      </c>
      <c r="AB61" s="1617">
        <f>SUM(AB39:AB60)</f>
        <v>1117303</v>
      </c>
      <c r="AC61" s="1618">
        <f>AB61/AA61</f>
        <v>0.47627822792407531</v>
      </c>
      <c r="AD61" s="1632">
        <f>SUM(AD39:AD60)</f>
        <v>13</v>
      </c>
      <c r="AE61" s="1617">
        <f>SUM(AE39:AE60)</f>
        <v>528001</v>
      </c>
      <c r="AF61" s="1617">
        <f>SUM(AF39:AF60)</f>
        <v>1053664</v>
      </c>
      <c r="AG61" s="1617">
        <f>SUM(AG39:AG60)</f>
        <v>525663</v>
      </c>
      <c r="AH61" s="1618">
        <f>AG61/AF61</f>
        <v>0.49889053816017248</v>
      </c>
      <c r="AI61" s="1632">
        <f>SUM(AI39:AI60)</f>
        <v>8</v>
      </c>
      <c r="AJ61" s="1617">
        <f>SUM(AJ39:AJ60)</f>
        <v>718254</v>
      </c>
      <c r="AK61" s="1617">
        <f>SUM(AK39:AK60)</f>
        <v>889462</v>
      </c>
      <c r="AL61" s="1617">
        <f>SUM(AL39:AL60)</f>
        <v>171208</v>
      </c>
      <c r="AM61" s="1618">
        <f>AL61/AK61</f>
        <v>0.19248489536371424</v>
      </c>
      <c r="AN61" s="1632">
        <f>SUM(AN39:AN60)</f>
        <v>5</v>
      </c>
      <c r="AO61" s="1617">
        <f>SUM(AO39:AO60)</f>
        <v>997023</v>
      </c>
      <c r="AP61" s="1617">
        <f>SUM(AP39:AP60)</f>
        <v>1708112</v>
      </c>
      <c r="AQ61" s="1617">
        <f>SUM(AQ39:AQ60)</f>
        <v>711089</v>
      </c>
      <c r="AR61" s="1618">
        <f>AQ61/AP61</f>
        <v>0.41630115589610051</v>
      </c>
      <c r="AS61" s="1632">
        <f>SUM(AS39:AS60)</f>
        <v>8</v>
      </c>
      <c r="AT61" s="1617">
        <f>SUM(AT39:AT60)</f>
        <v>1157871</v>
      </c>
      <c r="AU61" s="1617">
        <f>SUM(AU39:AU60)</f>
        <v>1589880.73</v>
      </c>
      <c r="AV61" s="1617">
        <f>SUM(AV39:AV60)</f>
        <v>432009.73</v>
      </c>
      <c r="AW61" s="1618">
        <f>AV61/AU61</f>
        <v>0.27172461546848231</v>
      </c>
      <c r="AX61" s="1632">
        <f>SUM(AX39:AX60)</f>
        <v>3</v>
      </c>
      <c r="AY61" s="1617">
        <f>SUM(AY39:AY60)</f>
        <v>272182</v>
      </c>
      <c r="AZ61" s="1617">
        <f>SUM(AZ39:AZ60)</f>
        <v>611335</v>
      </c>
      <c r="BA61" s="1617">
        <f>SUM(BA39:BA60)</f>
        <v>339153</v>
      </c>
      <c r="BB61" s="1618">
        <f>BA61/AZ61</f>
        <v>0.55477438720177974</v>
      </c>
      <c r="BC61" s="1632">
        <f>SUM(BC39:BC60)</f>
        <v>3</v>
      </c>
      <c r="BD61" s="1617">
        <f>SUM(BD39:BD60)</f>
        <v>292988</v>
      </c>
      <c r="BE61" s="1617">
        <f>SUM(BE39:BE60)</f>
        <v>720800</v>
      </c>
      <c r="BF61" s="1617">
        <f>SUM(BF39:BF60)</f>
        <v>427812</v>
      </c>
      <c r="BG61" s="1618">
        <f>BF61/BE61</f>
        <v>0.59352386237513877</v>
      </c>
      <c r="BH61" s="1632">
        <f>SUM(BH39:BH60)</f>
        <v>4</v>
      </c>
      <c r="BI61" s="1617">
        <f>SUM(BI39:BI60)</f>
        <v>356062</v>
      </c>
      <c r="BJ61" s="1617">
        <f>SUM(BJ39:BJ60)</f>
        <v>730450</v>
      </c>
      <c r="BK61" s="1617">
        <f>SUM(BK39:BK60)</f>
        <v>374388</v>
      </c>
      <c r="BL61" s="1618">
        <f>BK61/BJ61</f>
        <v>0.51254432199329181</v>
      </c>
      <c r="BM61" s="1619"/>
      <c r="BN61" s="1617">
        <f>SUM(BN39:BN60)</f>
        <v>7419354</v>
      </c>
      <c r="BO61" s="1617">
        <f>SUM(BO39:BO60)</f>
        <v>12755295.890000001</v>
      </c>
      <c r="BP61" s="1617">
        <f>SUM(BP39:BP60)</f>
        <v>5335941.8900000006</v>
      </c>
      <c r="BQ61" s="1618">
        <f>BP61/BO61</f>
        <v>0.41833148646777496</v>
      </c>
      <c r="BR61" s="1619"/>
      <c r="BS61" s="1617">
        <f>SUM(BS39:BS60)</f>
        <v>1393826</v>
      </c>
      <c r="BT61" s="1617">
        <f>SUM(BT39:BT60)</f>
        <v>2253688.16</v>
      </c>
      <c r="BU61" s="1617">
        <f>SUM(BU39:BU60)</f>
        <v>1094546.1600000001</v>
      </c>
      <c r="BV61" s="1618">
        <f>BU61/BT61</f>
        <v>0.48566886023841033</v>
      </c>
      <c r="BW61" s="1619"/>
      <c r="BX61" s="1617">
        <f>SUM(BX39:BX60)</f>
        <v>2029332</v>
      </c>
      <c r="BY61" s="1617">
        <f>SUM(BY39:BY60)</f>
        <v>3815068</v>
      </c>
      <c r="BZ61" s="1617">
        <f>SUM(BZ39:BZ60)</f>
        <v>1785736</v>
      </c>
      <c r="CA61" s="1618">
        <f>BZ61/BY61</f>
        <v>0.46807448779418875</v>
      </c>
      <c r="CB61" s="1619"/>
      <c r="CC61" s="1617">
        <f>SUM(CC39:CC60)</f>
        <v>2483667</v>
      </c>
      <c r="CD61" s="1617">
        <f>SUM(CD39:CD60)</f>
        <v>3530500</v>
      </c>
      <c r="CE61" s="1617">
        <f>SUM(CE39:CE60)</f>
        <v>1046833</v>
      </c>
      <c r="CF61" s="1618">
        <f>CE61/CD61</f>
        <v>0.2965112590284662</v>
      </c>
      <c r="CG61" s="1619"/>
      <c r="CH61" s="1617">
        <f>SUM(CH39:CH60)</f>
        <v>476314</v>
      </c>
      <c r="CI61" s="1617">
        <f>SUM(CI39:CI60)</f>
        <v>1213400</v>
      </c>
      <c r="CJ61" s="1617">
        <f>SUM(CJ39:CJ60)</f>
        <v>737086</v>
      </c>
      <c r="CK61" s="1618">
        <f>CJ61/CI61</f>
        <v>0.60745508488544586</v>
      </c>
      <c r="CL61" s="79"/>
      <c r="CM61" s="1601">
        <f>SUM(CM39:CM60)</f>
        <v>5</v>
      </c>
      <c r="CN61" s="3548">
        <f>SUM(CN39:CN60)</f>
        <v>558432</v>
      </c>
      <c r="CO61" s="3548">
        <f>SUM(CO39:CO60)</f>
        <v>989654</v>
      </c>
      <c r="CP61" s="3549">
        <f>SUM(CP39:CP60)</f>
        <v>431222</v>
      </c>
      <c r="CQ61" s="1618">
        <f>CP61/CO61</f>
        <v>0.43573006323422125</v>
      </c>
      <c r="CR61" s="1632">
        <f>SUM(CR39:CR60)</f>
        <v>6</v>
      </c>
      <c r="CS61" s="1617">
        <f>SUM(CS39:CS60)</f>
        <v>700315</v>
      </c>
      <c r="CT61" s="1617">
        <f>SUM(CT39:CT60)</f>
        <v>1062532</v>
      </c>
      <c r="CU61" s="1617">
        <f>SUM(CU39:CU60)</f>
        <v>362217</v>
      </c>
      <c r="CV61" s="1618">
        <f>CU61/CT61</f>
        <v>0.34089985054567767</v>
      </c>
      <c r="CW61" s="3740">
        <f>SUM(CW39:CW60)</f>
        <v>8</v>
      </c>
      <c r="CX61" s="1617">
        <f>SUM(CX39:CX60)</f>
        <v>868465</v>
      </c>
      <c r="CY61" s="1617">
        <f>SUM(CY39:CY60)</f>
        <v>1381821</v>
      </c>
      <c r="CZ61" s="1617">
        <f>SUM(CZ39:CZ60)</f>
        <v>513356</v>
      </c>
      <c r="DA61" s="1618">
        <f>CZ61/CY61</f>
        <v>0.37150687390045456</v>
      </c>
      <c r="DB61" s="1632">
        <f>SUM(DB39:DB60)</f>
        <v>13</v>
      </c>
      <c r="DC61" s="1617">
        <f>SUM(DC39:DC60)</f>
        <v>1118807</v>
      </c>
      <c r="DD61" s="1617">
        <f>SUM(DD39:DD60)</f>
        <v>0</v>
      </c>
      <c r="DE61" s="1617">
        <f>SUM(DE39:DE60)</f>
        <v>-1118807</v>
      </c>
      <c r="DF61" s="1618" t="e">
        <f>DE61/DD61</f>
        <v>#DIV/0!</v>
      </c>
      <c r="DG61" s="1632">
        <f>SUM(DG39:DG60)</f>
        <v>7</v>
      </c>
      <c r="DH61" s="1617">
        <f>SUM(DH39:DH60)</f>
        <v>640026</v>
      </c>
      <c r="DI61" s="1617">
        <f>SUM(DI39:DI60)</f>
        <v>0</v>
      </c>
      <c r="DJ61" s="1617">
        <f>SUM(DJ39:DJ60)</f>
        <v>-640026</v>
      </c>
      <c r="DK61" s="1618" t="e">
        <f>DJ61/DI61</f>
        <v>#DIV/0!</v>
      </c>
      <c r="DL61" s="1632">
        <f>SUM(DL39:DL60)</f>
        <v>4</v>
      </c>
      <c r="DM61" s="1617">
        <f>SUM(DM39:DM60)</f>
        <v>251945</v>
      </c>
      <c r="DN61" s="1617">
        <f>SUM(DN39:DN60)</f>
        <v>0</v>
      </c>
      <c r="DO61" s="1617">
        <f>SUM(DO39:DO60)</f>
        <v>-251945</v>
      </c>
      <c r="DP61" s="1618" t="e">
        <f>DO61/DN61</f>
        <v>#DIV/0!</v>
      </c>
      <c r="DQ61" s="1632">
        <f>SUM(DQ39:DQ60)</f>
        <v>0</v>
      </c>
      <c r="DR61" s="1617">
        <f>SUM(DR39:DR60)</f>
        <v>62368</v>
      </c>
      <c r="DS61" s="1617">
        <f>SUM(DS39:DS60)</f>
        <v>0</v>
      </c>
      <c r="DT61" s="1617">
        <f>SUM(DT39:DT60)</f>
        <v>-62368</v>
      </c>
      <c r="DU61" s="1618" t="e">
        <f>DT61/DS61</f>
        <v>#DIV/0!</v>
      </c>
      <c r="DV61" s="1632">
        <f>SUM(DV39:DV60)</f>
        <v>5</v>
      </c>
      <c r="DW61" s="1617">
        <f>SUM(DW39:DW60)</f>
        <v>768151</v>
      </c>
      <c r="DX61" s="1617">
        <f>SUM(DX39:DX60)</f>
        <v>0</v>
      </c>
      <c r="DY61" s="1617">
        <f>SUM(DY39:DY60)</f>
        <v>-768151</v>
      </c>
      <c r="DZ61" s="1618" t="e">
        <f>DY61/DX61</f>
        <v>#DIV/0!</v>
      </c>
      <c r="EA61" s="1632">
        <f>SUM(EA39:EA60)</f>
        <v>4</v>
      </c>
      <c r="EB61" s="1617">
        <f>SUM(EB39:EB60)</f>
        <v>679772</v>
      </c>
      <c r="EC61" s="1617">
        <f>SUM(EC39:EC60)</f>
        <v>0</v>
      </c>
      <c r="ED61" s="1617">
        <f>SUM(ED39:ED60)</f>
        <v>-679772</v>
      </c>
      <c r="EE61" s="1618" t="e">
        <f>ED61/EC61</f>
        <v>#DIV/0!</v>
      </c>
      <c r="EF61" s="1632">
        <f>SUM(EF39:EF60)</f>
        <v>0</v>
      </c>
      <c r="EG61" s="1617">
        <f>SUM(EG39:EG60)</f>
        <v>0</v>
      </c>
      <c r="EH61" s="1617">
        <f>SUM(EH39:EH60)</f>
        <v>0</v>
      </c>
      <c r="EI61" s="1617">
        <f>SUM(EI39:EI60)</f>
        <v>0</v>
      </c>
      <c r="EJ61" s="1618" t="e">
        <f>EI61/EH61</f>
        <v>#DIV/0!</v>
      </c>
      <c r="EK61" s="1632">
        <f>SUM(EK39:EK60)</f>
        <v>0</v>
      </c>
      <c r="EL61" s="1617">
        <f>SUM(EL39:EL60)</f>
        <v>0</v>
      </c>
      <c r="EM61" s="1617">
        <f>SUM(EM39:EM60)</f>
        <v>0</v>
      </c>
      <c r="EN61" s="1617">
        <f>SUM(EN39:EN60)</f>
        <v>0</v>
      </c>
      <c r="EO61" s="1618" t="e">
        <f>EN61/EM61</f>
        <v>#DIV/0!</v>
      </c>
      <c r="EP61" s="1632">
        <f>SUM(EP39:EP60)</f>
        <v>0</v>
      </c>
      <c r="EQ61" s="1617">
        <f>SUM(EQ39:EQ60)</f>
        <v>0</v>
      </c>
      <c r="ER61" s="1617">
        <f>SUM(ER39:ER60)</f>
        <v>0</v>
      </c>
      <c r="ES61" s="1617">
        <f>SUM(ES39:ES60)</f>
        <v>0</v>
      </c>
      <c r="ET61" s="1618" t="e">
        <f>ES61/ER61</f>
        <v>#DIV/0!</v>
      </c>
      <c r="EU61" s="1619"/>
      <c r="EV61" s="1617">
        <f>SUM(EV39:EV60)</f>
        <v>5271036</v>
      </c>
      <c r="EW61" s="1617">
        <f>SUM(EW39:EW60)</f>
        <v>3434007</v>
      </c>
      <c r="EX61" s="1617">
        <f>SUM(EX39:EX60)</f>
        <v>-1837029</v>
      </c>
      <c r="EY61" s="1618">
        <f>EX61/EW61</f>
        <v>-0.53495202543267961</v>
      </c>
      <c r="EZ61" s="1633"/>
      <c r="FA61" s="644"/>
      <c r="FB61" s="644"/>
      <c r="FC61" s="644"/>
      <c r="FD61" s="73"/>
      <c r="FE61" s="643"/>
      <c r="FF61" s="644"/>
      <c r="FG61" s="644"/>
      <c r="FH61" s="644"/>
      <c r="FI61" s="73"/>
      <c r="FJ61" s="644"/>
      <c r="FK61" s="823"/>
      <c r="FL61" s="823"/>
      <c r="FM61" s="823"/>
      <c r="FN61" s="74"/>
      <c r="FO61" s="1633"/>
      <c r="FP61" s="823"/>
      <c r="FQ61" s="823"/>
      <c r="FR61" s="823"/>
      <c r="FS61" s="73"/>
    </row>
    <row r="62" spans="1:175" x14ac:dyDescent="0.3">
      <c r="A62" s="1634"/>
      <c r="B62" s="69"/>
      <c r="C62" s="1635"/>
      <c r="D62" s="1636"/>
      <c r="E62" s="1637"/>
      <c r="F62" s="823"/>
      <c r="G62" s="823"/>
      <c r="H62" s="823"/>
      <c r="I62" s="85"/>
      <c r="J62" s="628"/>
      <c r="K62" s="823"/>
      <c r="L62" s="823"/>
      <c r="M62" s="823"/>
      <c r="N62" s="366"/>
      <c r="O62" s="71"/>
      <c r="P62" s="823"/>
      <c r="Q62" s="715"/>
      <c r="R62" s="823"/>
      <c r="S62" s="74"/>
      <c r="T62" s="628"/>
      <c r="U62" s="823"/>
      <c r="V62" s="823"/>
      <c r="W62" s="823"/>
      <c r="X62" s="73"/>
      <c r="Y62" s="628"/>
      <c r="Z62" s="823"/>
      <c r="AA62" s="823"/>
      <c r="AB62" s="823"/>
      <c r="AC62" s="73"/>
      <c r="AD62" s="628"/>
      <c r="AE62" s="823"/>
      <c r="AF62" s="823"/>
      <c r="AG62" s="823"/>
      <c r="AH62" s="73"/>
      <c r="AI62" s="1638"/>
      <c r="AJ62" s="715"/>
      <c r="AK62" s="715"/>
      <c r="AL62" s="823"/>
      <c r="AM62" s="223"/>
      <c r="AN62" s="1639"/>
      <c r="AO62" s="1640"/>
      <c r="AP62" s="1640"/>
      <c r="AQ62" s="1640"/>
      <c r="AR62" s="223"/>
      <c r="AS62" s="1641"/>
      <c r="AT62" s="1640"/>
      <c r="AU62" s="1640"/>
      <c r="AV62" s="1640"/>
      <c r="AW62" s="223"/>
      <c r="AX62" s="1639"/>
      <c r="AY62" s="1640"/>
      <c r="AZ62" s="1640"/>
      <c r="BA62" s="1640"/>
      <c r="BB62" s="1642"/>
      <c r="BC62" s="1643"/>
      <c r="BD62" s="1643"/>
      <c r="BE62" s="1643"/>
      <c r="BF62" s="1640"/>
      <c r="BG62" s="411"/>
      <c r="BH62" s="1639"/>
      <c r="BI62" s="1640"/>
      <c r="BJ62" s="1640"/>
      <c r="BK62" s="1640"/>
      <c r="BL62" s="1644"/>
      <c r="BM62" s="1645"/>
      <c r="BN62" s="1646"/>
      <c r="BO62" s="1646"/>
      <c r="BP62" s="1646"/>
      <c r="BQ62" s="88"/>
      <c r="BR62" s="1645"/>
      <c r="BS62" s="1646"/>
      <c r="BT62" s="1646"/>
      <c r="BU62" s="1646"/>
      <c r="BV62" s="88"/>
      <c r="BW62" s="1645"/>
      <c r="BX62" s="1646"/>
      <c r="BY62" s="1646"/>
      <c r="BZ62" s="1646"/>
      <c r="CA62" s="88"/>
      <c r="CB62" s="1645"/>
      <c r="CC62" s="1646"/>
      <c r="CD62" s="1646"/>
      <c r="CE62" s="1646"/>
      <c r="CF62" s="88"/>
      <c r="CG62" s="1645"/>
      <c r="CH62" s="1646"/>
      <c r="CI62" s="1646"/>
      <c r="CJ62" s="1646"/>
      <c r="CK62" s="88"/>
      <c r="CL62" s="79"/>
      <c r="CM62" s="2599"/>
      <c r="CN62" s="2198"/>
      <c r="CO62" s="2198"/>
      <c r="CP62" s="3550"/>
      <c r="CQ62" s="85"/>
      <c r="CR62" s="628"/>
      <c r="CS62" s="823"/>
      <c r="CT62" s="823"/>
      <c r="CU62" s="823"/>
      <c r="CV62" s="366"/>
      <c r="CW62" s="1693"/>
      <c r="CX62" s="823"/>
      <c r="CY62" s="715"/>
      <c r="CZ62" s="823"/>
      <c r="DA62" s="74"/>
      <c r="DB62" s="628"/>
      <c r="DC62" s="823"/>
      <c r="DD62" s="823"/>
      <c r="DE62" s="823"/>
      <c r="DF62" s="73"/>
      <c r="DG62" s="628"/>
      <c r="DH62" s="823"/>
      <c r="DI62" s="823"/>
      <c r="DJ62" s="823"/>
      <c r="DK62" s="73"/>
      <c r="DL62" s="628"/>
      <c r="DM62" s="823"/>
      <c r="DN62" s="823"/>
      <c r="DO62" s="823"/>
      <c r="DP62" s="73"/>
      <c r="DQ62" s="1638"/>
      <c r="DR62" s="715"/>
      <c r="DS62" s="715"/>
      <c r="DT62" s="823"/>
      <c r="DU62" s="223"/>
      <c r="DV62" s="1639"/>
      <c r="DW62" s="1640"/>
      <c r="DX62" s="1640"/>
      <c r="DY62" s="1640"/>
      <c r="DZ62" s="223"/>
      <c r="EA62" s="1641"/>
      <c r="EB62" s="1640"/>
      <c r="EC62" s="1640"/>
      <c r="ED62" s="1640"/>
      <c r="EE62" s="223"/>
      <c r="EF62" s="1639"/>
      <c r="EG62" s="1640"/>
      <c r="EH62" s="1640"/>
      <c r="EI62" s="1640"/>
      <c r="EJ62" s="1642"/>
      <c r="EK62" s="1643"/>
      <c r="EL62" s="1643"/>
      <c r="EM62" s="1643"/>
      <c r="EN62" s="1640"/>
      <c r="EO62" s="411"/>
      <c r="EP62" s="1639"/>
      <c r="EQ62" s="1640"/>
      <c r="ER62" s="1640"/>
      <c r="ES62" s="1640"/>
      <c r="ET62" s="1644"/>
      <c r="EU62" s="1645"/>
      <c r="EV62" s="1646"/>
      <c r="EW62" s="1646"/>
      <c r="EX62" s="1646"/>
      <c r="EY62" s="88"/>
      <c r="EZ62" s="1633"/>
      <c r="FA62" s="644"/>
      <c r="FB62" s="644"/>
      <c r="FC62" s="644"/>
      <c r="FD62" s="73"/>
      <c r="FE62" s="643"/>
      <c r="FF62" s="644"/>
      <c r="FG62" s="644"/>
      <c r="FH62" s="644"/>
      <c r="FI62" s="73"/>
      <c r="FJ62" s="644"/>
      <c r="FK62" s="823"/>
      <c r="FL62" s="823"/>
      <c r="FM62" s="823"/>
      <c r="FN62" s="74"/>
      <c r="FO62" s="1633"/>
      <c r="FP62" s="823"/>
      <c r="FQ62" s="823"/>
      <c r="FR62" s="823"/>
      <c r="FS62" s="73"/>
    </row>
    <row r="63" spans="1:175" s="65" customFormat="1" ht="17.2" customHeight="1" x14ac:dyDescent="0.3">
      <c r="A63" s="1341"/>
      <c r="B63" s="1342"/>
      <c r="C63" s="6884" t="s">
        <v>591</v>
      </c>
      <c r="D63" s="6885"/>
      <c r="E63" s="1343">
        <f>E61+E38+E13</f>
        <v>89</v>
      </c>
      <c r="F63" s="1344">
        <f>F61+F38+F13</f>
        <v>2485517</v>
      </c>
      <c r="G63" s="1344">
        <f>G61+G38+G13</f>
        <v>4396805.01</v>
      </c>
      <c r="H63" s="1344">
        <f>H61+H38+H13</f>
        <v>1911288.0100000002</v>
      </c>
      <c r="I63" s="1345">
        <f>H63/G63</f>
        <v>0.43469928860911672</v>
      </c>
      <c r="J63" s="1343">
        <f>J61+J38+J13</f>
        <v>43</v>
      </c>
      <c r="K63" s="1344">
        <f>K61+K38+K13</f>
        <v>1452556</v>
      </c>
      <c r="L63" s="1344">
        <f>L61+L38+L13</f>
        <v>2043051.52</v>
      </c>
      <c r="M63" s="1344">
        <f>M61+M38+M13</f>
        <v>590495.52</v>
      </c>
      <c r="N63" s="1345">
        <f>M63/L63</f>
        <v>0.2890262503022929</v>
      </c>
      <c r="O63" s="1343">
        <f>O61+O38+O13</f>
        <v>60</v>
      </c>
      <c r="P63" s="1344">
        <f>P61+P38+P13</f>
        <v>1346660</v>
      </c>
      <c r="Q63" s="1344">
        <f>Q61+Q38+Q13</f>
        <v>1909989.2400000002</v>
      </c>
      <c r="R63" s="1344">
        <f>R61+R38+R13</f>
        <v>563329.24</v>
      </c>
      <c r="S63" s="1345">
        <f>R63/Q63</f>
        <v>0.29493843640710765</v>
      </c>
      <c r="T63" s="1343">
        <f>T61+T38+T13</f>
        <v>37</v>
      </c>
      <c r="U63" s="1344">
        <f>U61+U38+U13</f>
        <v>1112626</v>
      </c>
      <c r="V63" s="1344">
        <f>V61+V38+V13</f>
        <v>1633071.36</v>
      </c>
      <c r="W63" s="1344">
        <f>W61+W38+W13</f>
        <v>520445.36</v>
      </c>
      <c r="X63" s="1345">
        <f>W63/V63</f>
        <v>0.31869113178250824</v>
      </c>
      <c r="Y63" s="1343">
        <f>Y61+Y38+Y13</f>
        <v>43</v>
      </c>
      <c r="Z63" s="1344">
        <f>Z61+Z38+Z13</f>
        <v>2134885</v>
      </c>
      <c r="AA63" s="1344">
        <f>AA61+AA38+AA13</f>
        <v>3608665.1</v>
      </c>
      <c r="AB63" s="1344">
        <f>AB61+AB38+AB13</f>
        <v>1473780.1</v>
      </c>
      <c r="AC63" s="1345">
        <f>AB63/AA63</f>
        <v>0.40840035280636044</v>
      </c>
      <c r="AD63" s="1343">
        <f>AD61+AD38+AD13</f>
        <v>102</v>
      </c>
      <c r="AE63" s="1344">
        <f>AE61+AE38+AE13</f>
        <v>2323437</v>
      </c>
      <c r="AF63" s="1344">
        <f>AF61+AF38+AF13</f>
        <v>3537862.5</v>
      </c>
      <c r="AG63" s="1344">
        <f>AG61+AG38+AG13</f>
        <v>1214425.5</v>
      </c>
      <c r="AH63" s="1345">
        <f>AG63/AF63</f>
        <v>0.34326531910157615</v>
      </c>
      <c r="AI63" s="1343">
        <f>AI61+AI38+AI13</f>
        <v>70</v>
      </c>
      <c r="AJ63" s="1344">
        <f>AJ61+AJ38+AJ13</f>
        <v>1897630</v>
      </c>
      <c r="AK63" s="1344">
        <f>AK61+AK38+AK13</f>
        <v>2200112</v>
      </c>
      <c r="AL63" s="1344">
        <f>AL61+AL38+AL13</f>
        <v>302482</v>
      </c>
      <c r="AM63" s="1345">
        <f>AL63/AK63</f>
        <v>0.13748481895467141</v>
      </c>
      <c r="AN63" s="1343">
        <f>AN61+AN38+AN13</f>
        <v>41</v>
      </c>
      <c r="AO63" s="1344">
        <f>AO61+AO38+AO13</f>
        <v>1548063</v>
      </c>
      <c r="AP63" s="1344">
        <f>AP61+AP38+AP13</f>
        <v>2428073</v>
      </c>
      <c r="AQ63" s="1344">
        <f>AQ61+AQ38+AQ13</f>
        <v>880010</v>
      </c>
      <c r="AR63" s="1345">
        <f>AQ63/AP63</f>
        <v>0.36243144254723808</v>
      </c>
      <c r="AS63" s="1343">
        <f>AS61+AS38+AS13</f>
        <v>79</v>
      </c>
      <c r="AT63" s="1344">
        <f>AT61+AT38+AT13</f>
        <v>2191893</v>
      </c>
      <c r="AU63" s="1344">
        <f>AU61+AU38+AU13</f>
        <v>2874309.09</v>
      </c>
      <c r="AV63" s="1344">
        <f>AV61+AV38+AV13</f>
        <v>682416.09</v>
      </c>
      <c r="AW63" s="1345">
        <f>AV63/AU63</f>
        <v>0.23741917401096205</v>
      </c>
      <c r="AX63" s="1343">
        <f>AX61+AX38+AX13</f>
        <v>37</v>
      </c>
      <c r="AY63" s="1344">
        <f>AY61+AY38+AY13</f>
        <v>1048176</v>
      </c>
      <c r="AZ63" s="1344">
        <f>AZ61+AZ38+AZ13</f>
        <v>1479815.08</v>
      </c>
      <c r="BA63" s="1344">
        <f>BA61+BA38+BA13</f>
        <v>431639.07999999996</v>
      </c>
      <c r="BB63" s="1345">
        <f>BA63/AZ63</f>
        <v>0.2916844718192762</v>
      </c>
      <c r="BC63" s="1343">
        <f>BC61+BC38+BC13</f>
        <v>43</v>
      </c>
      <c r="BD63" s="1344">
        <f>BD61+BD38+BD13</f>
        <v>1107727</v>
      </c>
      <c r="BE63" s="1344">
        <f>BE61+BE38+BE13</f>
        <v>1715192</v>
      </c>
      <c r="BF63" s="1344">
        <f>BF61+BF38+BF13</f>
        <v>607465</v>
      </c>
      <c r="BG63" s="1345">
        <f>BF63/BE63</f>
        <v>0.3541673468626253</v>
      </c>
      <c r="BH63" s="1343">
        <f>BH61+BH38+BH13</f>
        <v>46</v>
      </c>
      <c r="BI63" s="1344">
        <f>BI61+BI38+BI13</f>
        <v>1260366</v>
      </c>
      <c r="BJ63" s="1344">
        <f>BJ61+BJ38+BJ13</f>
        <v>1835565</v>
      </c>
      <c r="BK63" s="1344">
        <f>BK61+BK38+BK13</f>
        <v>575199</v>
      </c>
      <c r="BL63" s="1345">
        <f>BK63/BJ63</f>
        <v>0.31336346029696577</v>
      </c>
      <c r="BM63" s="1343">
        <f>BM61+BM38+BM13</f>
        <v>0</v>
      </c>
      <c r="BN63" s="1344">
        <f>BN61+BN38+BN13</f>
        <v>19909536</v>
      </c>
      <c r="BO63" s="1344">
        <f>BO61+BO38+BO13</f>
        <v>29662510.899999999</v>
      </c>
      <c r="BP63" s="1344">
        <f>BP61+BP38+BP13</f>
        <v>9752974.9000000004</v>
      </c>
      <c r="BQ63" s="1345">
        <f>BP63/BO63</f>
        <v>0.32879802161320071</v>
      </c>
      <c r="BR63" s="1343">
        <f>BR61+BR38+BR13</f>
        <v>0</v>
      </c>
      <c r="BS63" s="1344">
        <f>BS61+BS38+BS13</f>
        <v>5082917</v>
      </c>
      <c r="BT63" s="1344">
        <f>BT61+BT38+BT13</f>
        <v>7913345.7700000005</v>
      </c>
      <c r="BU63" s="1344">
        <f>BU61+BU38+BU13</f>
        <v>3065112.7700000005</v>
      </c>
      <c r="BV63" s="1345">
        <f>BU63/BT63</f>
        <v>0.38733461914681383</v>
      </c>
      <c r="BW63" s="1343">
        <f>BW61+BW38+BW13</f>
        <v>0</v>
      </c>
      <c r="BX63" s="1344">
        <f>BX61+BX38+BX13</f>
        <v>5570948</v>
      </c>
      <c r="BY63" s="1344">
        <f>BY61+BY38+BY13</f>
        <v>8779598.959999999</v>
      </c>
      <c r="BZ63" s="1344">
        <f>BZ61+BZ38+BZ13</f>
        <v>3208650.96</v>
      </c>
      <c r="CA63" s="1345">
        <f>BZ63/BY63</f>
        <v>0.36546668869713389</v>
      </c>
      <c r="CB63" s="1343">
        <f>CB61+CB38+CB13</f>
        <v>0</v>
      </c>
      <c r="CC63" s="1344">
        <f>CC61+CC38+CC13</f>
        <v>5206921</v>
      </c>
      <c r="CD63" s="1344">
        <f>CD61+CD38+CD13</f>
        <v>6785539.3599999994</v>
      </c>
      <c r="CE63" s="1344">
        <f>CE61+CE38+CE13</f>
        <v>1578618.3599999999</v>
      </c>
      <c r="CF63" s="1345">
        <f>CE63/CD63</f>
        <v>0.23264449239006404</v>
      </c>
      <c r="CG63" s="1343">
        <f>CG61+CG38+CG13</f>
        <v>0</v>
      </c>
      <c r="CH63" s="1344">
        <f>CH61+CH38+CH13</f>
        <v>2971351</v>
      </c>
      <c r="CI63" s="1344">
        <f>CI61+CI38+CI13</f>
        <v>4181387.08</v>
      </c>
      <c r="CJ63" s="1344">
        <f>CJ61+CJ38+CJ13</f>
        <v>1210036.08</v>
      </c>
      <c r="CK63" s="1345">
        <f>CJ63/CI63</f>
        <v>0.28938628661951099</v>
      </c>
      <c r="CL63" s="79"/>
      <c r="CM63" s="1343">
        <f>CM61+CM38+CM13</f>
        <v>32</v>
      </c>
      <c r="CN63" s="1344">
        <f>CN61+CN38+CN13</f>
        <v>1284380</v>
      </c>
      <c r="CO63" s="1344">
        <f>CO61+CO38+CO13</f>
        <v>1940013</v>
      </c>
      <c r="CP63" s="1344">
        <f>CP61+CP38+CP13</f>
        <v>655633</v>
      </c>
      <c r="CQ63" s="3551">
        <f>CP63/CO63</f>
        <v>0.33795289000640716</v>
      </c>
      <c r="CR63" s="1343">
        <f>CR61+CR38+CR13</f>
        <v>51</v>
      </c>
      <c r="CS63" s="1344">
        <f>CS61+CS38+CS13</f>
        <v>1514554</v>
      </c>
      <c r="CT63" s="1344">
        <f>CT61+CT38+CT13</f>
        <v>2147751</v>
      </c>
      <c r="CU63" s="1344">
        <f>CU61+CU38+CU13</f>
        <v>633197</v>
      </c>
      <c r="CV63" s="1345">
        <f>CU63/CT63</f>
        <v>0.29481862655400931</v>
      </c>
      <c r="CW63" s="3741">
        <f>CW61+CW38+CW13</f>
        <v>66</v>
      </c>
      <c r="CX63" s="1344">
        <f>CX61+CX38+CX13</f>
        <v>1646553</v>
      </c>
      <c r="CY63" s="1344">
        <f>CY61+CY38+CY13</f>
        <v>2313875</v>
      </c>
      <c r="CZ63" s="1344">
        <f>CZ61+CZ38+CZ13</f>
        <v>667322</v>
      </c>
      <c r="DA63" s="1345">
        <f>CZ63/CY63</f>
        <v>0.28840019447895848</v>
      </c>
      <c r="DB63" s="1343">
        <f>DB61+DB38+DB13</f>
        <v>73</v>
      </c>
      <c r="DC63" s="1344">
        <f>DC61+DC38+DC13</f>
        <v>2167890</v>
      </c>
      <c r="DD63" s="1344">
        <f>DD61+DD38+DD13</f>
        <v>0</v>
      </c>
      <c r="DE63" s="1344">
        <f>DE61+DE38+DE13</f>
        <v>-2157048</v>
      </c>
      <c r="DF63" s="1345" t="e">
        <f>DE63/DD63</f>
        <v>#DIV/0!</v>
      </c>
      <c r="DG63" s="1343">
        <f>DG61+DG38+DG13</f>
        <v>70</v>
      </c>
      <c r="DH63" s="1344">
        <f>DH61+DH38+DH13</f>
        <v>1657494</v>
      </c>
      <c r="DI63" s="1344">
        <f>DI61+DI38+DI13</f>
        <v>0</v>
      </c>
      <c r="DJ63" s="1344">
        <f>DJ61+DJ38+DJ13</f>
        <v>-1657494</v>
      </c>
      <c r="DK63" s="1345" t="e">
        <f>DJ63/DI63</f>
        <v>#DIV/0!</v>
      </c>
      <c r="DL63" s="1343">
        <f>DL61+DL38+DL13</f>
        <v>63</v>
      </c>
      <c r="DM63" s="1344">
        <f>DM61+DM38+DM13</f>
        <v>1649125</v>
      </c>
      <c r="DN63" s="1344">
        <f>DN61+DN38+DN13</f>
        <v>0</v>
      </c>
      <c r="DO63" s="1344">
        <f>DO61+DO38+DO13</f>
        <v>-1642773</v>
      </c>
      <c r="DP63" s="1345" t="e">
        <f>DO63/DN63</f>
        <v>#DIV/0!</v>
      </c>
      <c r="DQ63" s="1343">
        <f>DQ61+DQ38+DQ13</f>
        <v>0</v>
      </c>
      <c r="DR63" s="1344">
        <f>DR61+DR38+DR13</f>
        <v>952784</v>
      </c>
      <c r="DS63" s="1344">
        <f>DS61+DS38+DS13</f>
        <v>0</v>
      </c>
      <c r="DT63" s="1344">
        <f>DT61+DT38+DT13</f>
        <v>-952784</v>
      </c>
      <c r="DU63" s="1345" t="e">
        <f>DT63/DS63</f>
        <v>#DIV/0!</v>
      </c>
      <c r="DV63" s="1343">
        <f>DV61+DV38+DV13</f>
        <v>58</v>
      </c>
      <c r="DW63" s="1344">
        <f>DW61+DW38+DW13</f>
        <v>1701921</v>
      </c>
      <c r="DX63" s="1344">
        <f>DX61+DX38+DX13</f>
        <v>0</v>
      </c>
      <c r="DY63" s="1344">
        <f>DY61+DY38+DY13</f>
        <v>-1701921</v>
      </c>
      <c r="DZ63" s="1345" t="e">
        <f>DY63/DX63</f>
        <v>#DIV/0!</v>
      </c>
      <c r="EA63" s="1343">
        <f>EA61+EA38+EA13</f>
        <v>68</v>
      </c>
      <c r="EB63" s="1344">
        <f>EB61+EB38+EB13</f>
        <v>2234715</v>
      </c>
      <c r="EC63" s="1344">
        <f>EC61+EC38+EC13</f>
        <v>0</v>
      </c>
      <c r="ED63" s="1344">
        <f>ED61+ED38+ED13</f>
        <v>-2234715</v>
      </c>
      <c r="EE63" s="1345" t="e">
        <f>ED63/EC63</f>
        <v>#DIV/0!</v>
      </c>
      <c r="EF63" s="1343">
        <f>EF61+EF38+EF13</f>
        <v>0</v>
      </c>
      <c r="EG63" s="1344">
        <f>EG61+EG38+EG13</f>
        <v>0</v>
      </c>
      <c r="EH63" s="1344">
        <f>EH61+EH38+EH13</f>
        <v>0</v>
      </c>
      <c r="EI63" s="1344">
        <f>EI61+EI38+EI13</f>
        <v>0</v>
      </c>
      <c r="EJ63" s="1345" t="e">
        <f>EI63/EH63</f>
        <v>#DIV/0!</v>
      </c>
      <c r="EK63" s="1343">
        <f>EK61+EK38+EK13</f>
        <v>0</v>
      </c>
      <c r="EL63" s="1344">
        <f>EL61+EL38+EL13</f>
        <v>0</v>
      </c>
      <c r="EM63" s="1344">
        <f>EM61+EM38+EM13</f>
        <v>0</v>
      </c>
      <c r="EN63" s="1344">
        <f>EN61+EN38+EN13</f>
        <v>0</v>
      </c>
      <c r="EO63" s="1345" t="e">
        <f>EN63/EM63</f>
        <v>#DIV/0!</v>
      </c>
      <c r="EP63" s="1343">
        <f>EP61+EP38+EP13</f>
        <v>0</v>
      </c>
      <c r="EQ63" s="1344">
        <f>EQ61+EQ38+EQ13</f>
        <v>0</v>
      </c>
      <c r="ER63" s="1344">
        <f>ER61+ER38+ER13</f>
        <v>0</v>
      </c>
      <c r="ES63" s="1344">
        <f>ES61+ES38+ES13</f>
        <v>0</v>
      </c>
      <c r="ET63" s="1345" t="e">
        <f>ES63/ER63</f>
        <v>#DIV/0!</v>
      </c>
      <c r="EU63" s="1343">
        <f>EU61+EU38+EU13</f>
        <v>0</v>
      </c>
      <c r="EV63" s="1344">
        <f>EV61+EV38+EV13</f>
        <v>14355041</v>
      </c>
      <c r="EW63" s="1344">
        <f>EW61+EW38+EW13</f>
        <v>6401639</v>
      </c>
      <c r="EX63" s="1344">
        <f>EX61+EX38+EX13</f>
        <v>-7953402</v>
      </c>
      <c r="EY63" s="1345">
        <f>EX63/EW63</f>
        <v>-1.2424008913967188</v>
      </c>
      <c r="EZ63" s="1346">
        <f>SUM(EZ5:EZ60)</f>
        <v>48.333333333333343</v>
      </c>
      <c r="FA63" s="1347">
        <f>SUM(FA5:FA60)</f>
        <v>4040857</v>
      </c>
      <c r="FB63" s="1348">
        <f>SUM(FB5:FB60)</f>
        <v>5453497</v>
      </c>
      <c r="FC63" s="1348">
        <f>SUM(FC5:FC60)</f>
        <v>1772207</v>
      </c>
      <c r="FD63" s="1349">
        <f>FC63/FB63</f>
        <v>0.32496708075570591</v>
      </c>
      <c r="FE63" s="1346">
        <f>SUM(FE5:FE60)</f>
        <v>68.333333333333343</v>
      </c>
      <c r="FF63" s="1347">
        <f>SUM(FF5:FF60)</f>
        <v>5438426</v>
      </c>
      <c r="FG63" s="1348">
        <f>SUM(FG5:FG60)</f>
        <v>0</v>
      </c>
      <c r="FH63" s="1348">
        <f>SUM(FH5:FH60)</f>
        <v>-5421232</v>
      </c>
      <c r="FI63" s="1349" t="e">
        <f>FH63/FG63</f>
        <v>#DIV/0!</v>
      </c>
      <c r="FJ63" s="1350">
        <f>SUM(FJ5:FJ60)</f>
        <v>40.666666666666657</v>
      </c>
      <c r="FK63" s="1350">
        <f>SUM(FK5:FK60)</f>
        <v>4501127</v>
      </c>
      <c r="FL63" s="1350">
        <f>SUM(FL5:FL60)</f>
        <v>0</v>
      </c>
      <c r="FM63" s="1350">
        <f>SUM(FM5:FM60)</f>
        <v>-4501127</v>
      </c>
      <c r="FN63" s="450" t="e">
        <f>FM63/FL63</f>
        <v>#DIV/0!</v>
      </c>
      <c r="FO63" s="1351">
        <f>SUM(FO5:FO60)</f>
        <v>0</v>
      </c>
      <c r="FP63" s="1350">
        <f>SUM(FP5:FP60)</f>
        <v>0</v>
      </c>
      <c r="FQ63" s="1350">
        <f>SUM(FQ5:FQ60)</f>
        <v>0</v>
      </c>
      <c r="FR63" s="1350">
        <f>SUM(FR5:FR60)</f>
        <v>0</v>
      </c>
      <c r="FS63" s="433" t="e">
        <f>FR63/FQ63</f>
        <v>#DIV/0!</v>
      </c>
    </row>
    <row r="64" spans="1:175" s="65" customFormat="1" x14ac:dyDescent="0.3">
      <c r="A64" s="67"/>
      <c r="B64" s="123"/>
      <c r="C64" s="87"/>
      <c r="D64" s="87"/>
      <c r="E64" s="66"/>
      <c r="F64" s="1193"/>
      <c r="G64" s="1193"/>
      <c r="H64" s="1193"/>
      <c r="I64" s="66"/>
      <c r="J64" s="66"/>
      <c r="K64" s="1193"/>
      <c r="L64" s="1193"/>
      <c r="N64" s="425"/>
      <c r="O64" s="66"/>
      <c r="P64" s="1193"/>
      <c r="Q64" s="1193"/>
      <c r="T64" s="66"/>
      <c r="V64" s="1193"/>
      <c r="X64" s="64"/>
      <c r="Y64" s="66"/>
      <c r="Z64" s="1193"/>
      <c r="AA64" s="1193"/>
      <c r="AC64" s="425"/>
      <c r="AH64" s="66"/>
      <c r="AI64" s="66"/>
      <c r="AJ64" s="1193"/>
      <c r="AK64" s="1193"/>
      <c r="AM64" s="425"/>
      <c r="AN64" s="66"/>
      <c r="AO64" s="1193"/>
      <c r="AP64" s="1193"/>
      <c r="AS64" s="1193"/>
      <c r="AT64" s="1193"/>
      <c r="AU64" s="1193"/>
      <c r="AV64" s="1193"/>
      <c r="AX64" s="66"/>
      <c r="AY64" s="1193"/>
      <c r="AZ64" s="1193"/>
      <c r="BB64" s="64"/>
      <c r="BC64" s="66"/>
      <c r="BD64" s="1193"/>
      <c r="BE64" s="1193"/>
      <c r="BH64" s="66"/>
      <c r="BI64" s="1193"/>
      <c r="BJ64" s="1193"/>
      <c r="BZ64" s="101"/>
      <c r="CC64" s="1193"/>
      <c r="CD64" s="1193"/>
      <c r="CE64" s="1193"/>
      <c r="CF64" s="64"/>
      <c r="CW64" s="1193"/>
      <c r="EZ64" s="1193"/>
    </row>
    <row r="65" spans="2:156" s="69" customFormat="1" x14ac:dyDescent="0.3">
      <c r="B65" s="67"/>
      <c r="C65" s="87"/>
      <c r="D65" s="87"/>
      <c r="E65" s="71"/>
      <c r="F65" s="823"/>
      <c r="G65" s="823"/>
      <c r="H65" s="823"/>
      <c r="I65" s="71"/>
      <c r="J65" s="71"/>
      <c r="K65" s="823"/>
      <c r="L65" s="823"/>
      <c r="N65" s="85"/>
      <c r="O65" s="71"/>
      <c r="P65" s="823"/>
      <c r="Q65" s="823"/>
      <c r="T65" s="71"/>
      <c r="V65" s="823"/>
      <c r="X65" s="74"/>
      <c r="Y65" s="71"/>
      <c r="Z65" s="823"/>
      <c r="AA65" s="823"/>
      <c r="AC65" s="85"/>
      <c r="AH65" s="71"/>
      <c r="AI65" s="71"/>
      <c r="AJ65" s="823"/>
      <c r="AK65" s="823"/>
      <c r="AM65" s="85"/>
      <c r="AN65" s="71"/>
      <c r="AO65" s="823"/>
      <c r="AP65" s="823"/>
      <c r="AS65" s="823"/>
      <c r="AT65" s="823"/>
      <c r="AU65" s="823"/>
      <c r="AV65" s="823"/>
      <c r="AX65" s="71"/>
      <c r="AY65" s="823"/>
      <c r="AZ65" s="823"/>
      <c r="BB65" s="74"/>
      <c r="BC65" s="71"/>
      <c r="BD65" s="823"/>
      <c r="BE65" s="823"/>
      <c r="BH65" s="71"/>
      <c r="BI65" s="823"/>
      <c r="BJ65" s="823"/>
      <c r="BM65" s="67"/>
      <c r="BN65" s="67"/>
      <c r="BO65" s="67"/>
      <c r="BP65" s="67"/>
      <c r="BQ65" s="67"/>
      <c r="CC65" s="823"/>
      <c r="CD65" s="823"/>
      <c r="CE65" s="823"/>
      <c r="CF65" s="74"/>
      <c r="CW65" s="823"/>
      <c r="EZ65" s="823"/>
    </row>
    <row r="66" spans="2:156" s="69" customFormat="1" x14ac:dyDescent="0.3">
      <c r="B66" s="67"/>
      <c r="C66" s="87"/>
      <c r="D66" s="87"/>
      <c r="E66" s="71"/>
      <c r="F66" s="823"/>
      <c r="G66" s="823"/>
      <c r="H66" s="823"/>
      <c r="I66" s="71"/>
      <c r="J66" s="71"/>
      <c r="K66" s="823"/>
      <c r="L66" s="823"/>
      <c r="N66" s="85"/>
      <c r="O66" s="71"/>
      <c r="P66" s="823"/>
      <c r="Q66" s="823"/>
      <c r="T66" s="71"/>
      <c r="V66" s="823"/>
      <c r="X66" s="74"/>
      <c r="Y66" s="71"/>
      <c r="Z66" s="823"/>
      <c r="AA66" s="823"/>
      <c r="AC66" s="85"/>
      <c r="AH66" s="71"/>
      <c r="AI66" s="71"/>
      <c r="AJ66" s="823"/>
      <c r="AK66" s="823"/>
      <c r="AM66" s="85"/>
      <c r="AN66" s="71"/>
      <c r="AO66" s="823"/>
      <c r="AP66" s="823"/>
      <c r="AS66" s="823"/>
      <c r="AT66" s="823"/>
      <c r="AU66" s="823"/>
      <c r="AV66" s="823"/>
      <c r="AX66" s="71"/>
      <c r="AY66" s="823"/>
      <c r="AZ66" s="823"/>
      <c r="BB66" s="74"/>
      <c r="BC66" s="71"/>
      <c r="BD66" s="823"/>
      <c r="BE66" s="823"/>
      <c r="BH66" s="71"/>
      <c r="BI66" s="823"/>
      <c r="BJ66" s="823"/>
      <c r="BM66" s="67"/>
      <c r="BN66" s="67"/>
      <c r="BO66" s="67"/>
      <c r="BP66" s="67"/>
      <c r="BQ66" s="67"/>
      <c r="CC66" s="823"/>
      <c r="CD66" s="823"/>
      <c r="CE66" s="823"/>
      <c r="CF66" s="74"/>
      <c r="CW66" s="823"/>
      <c r="EZ66" s="823"/>
    </row>
    <row r="67" spans="2:156" s="69" customFormat="1" x14ac:dyDescent="0.3">
      <c r="B67" s="67"/>
      <c r="C67" s="87"/>
      <c r="D67" s="87"/>
      <c r="E67" s="71"/>
      <c r="F67" s="823"/>
      <c r="G67" s="823"/>
      <c r="H67" s="823"/>
      <c r="I67" s="71"/>
      <c r="J67" s="71"/>
      <c r="K67" s="823"/>
      <c r="L67" s="823"/>
      <c r="N67" s="85"/>
      <c r="O67" s="71"/>
      <c r="P67" s="823"/>
      <c r="Q67" s="823"/>
      <c r="T67" s="71"/>
      <c r="V67" s="823"/>
      <c r="X67" s="74"/>
      <c r="Y67" s="71"/>
      <c r="Z67" s="823"/>
      <c r="AA67" s="823"/>
      <c r="AC67" s="85"/>
      <c r="AH67" s="71"/>
      <c r="AI67" s="71"/>
      <c r="AJ67" s="823"/>
      <c r="AK67" s="823"/>
      <c r="AM67" s="85"/>
      <c r="AN67" s="71"/>
      <c r="AO67" s="823"/>
      <c r="AP67" s="823"/>
      <c r="AS67" s="823"/>
      <c r="AT67" s="823"/>
      <c r="AU67" s="823"/>
      <c r="AV67" s="823"/>
      <c r="AX67" s="71"/>
      <c r="AY67" s="823"/>
      <c r="AZ67" s="823"/>
      <c r="BB67" s="74"/>
      <c r="BC67" s="71"/>
      <c r="BD67" s="823"/>
      <c r="BE67" s="823"/>
      <c r="BH67" s="71"/>
      <c r="BI67" s="823"/>
      <c r="BJ67" s="823"/>
      <c r="BM67" s="67"/>
      <c r="BN67" s="67"/>
      <c r="BO67" s="67"/>
      <c r="BP67" s="67"/>
      <c r="BQ67" s="67"/>
      <c r="CC67" s="823"/>
      <c r="CD67" s="823"/>
      <c r="CE67" s="823"/>
      <c r="CF67" s="74"/>
      <c r="CW67" s="823"/>
      <c r="EZ67" s="823"/>
    </row>
    <row r="68" spans="2:156" s="69" customFormat="1" x14ac:dyDescent="0.3">
      <c r="B68" s="67"/>
      <c r="C68" s="87"/>
      <c r="D68" s="87"/>
      <c r="E68" s="71"/>
      <c r="F68" s="823"/>
      <c r="G68" s="823"/>
      <c r="H68" s="823"/>
      <c r="I68" s="71"/>
      <c r="J68" s="71"/>
      <c r="K68" s="823"/>
      <c r="L68" s="823"/>
      <c r="N68" s="85"/>
      <c r="O68" s="71"/>
      <c r="P68" s="823"/>
      <c r="Q68" s="823"/>
      <c r="T68" s="71"/>
      <c r="V68" s="823"/>
      <c r="X68" s="74"/>
      <c r="Y68" s="71"/>
      <c r="Z68" s="823"/>
      <c r="AA68" s="823"/>
      <c r="AC68" s="85"/>
      <c r="AH68" s="71"/>
      <c r="AI68" s="71"/>
      <c r="AJ68" s="823"/>
      <c r="AK68" s="823"/>
      <c r="AM68" s="85"/>
      <c r="AN68" s="71"/>
      <c r="AO68" s="823"/>
      <c r="AP68" s="823"/>
      <c r="AS68" s="823"/>
      <c r="AT68" s="823"/>
      <c r="AU68" s="823"/>
      <c r="AV68" s="823"/>
      <c r="AX68" s="71"/>
      <c r="AY68" s="823"/>
      <c r="AZ68" s="823"/>
      <c r="BB68" s="74"/>
      <c r="BC68" s="71"/>
      <c r="BD68" s="823"/>
      <c r="BE68" s="823"/>
      <c r="BH68" s="71"/>
      <c r="BI68" s="823"/>
      <c r="BJ68" s="823"/>
      <c r="BM68" s="67"/>
      <c r="BN68" s="67"/>
      <c r="BO68" s="67"/>
      <c r="BP68" s="67"/>
      <c r="BQ68" s="67"/>
      <c r="CC68" s="823"/>
      <c r="CD68" s="823"/>
      <c r="CE68" s="823"/>
      <c r="CF68" s="74"/>
      <c r="CW68" s="823"/>
      <c r="EZ68" s="823"/>
    </row>
    <row r="69" spans="2:156" s="69" customFormat="1" x14ac:dyDescent="0.3">
      <c r="B69" s="67"/>
      <c r="C69" s="87"/>
      <c r="D69" s="87"/>
      <c r="E69" s="71"/>
      <c r="F69" s="823"/>
      <c r="G69" s="823"/>
      <c r="H69" s="823"/>
      <c r="I69" s="71"/>
      <c r="J69" s="71"/>
      <c r="K69" s="823"/>
      <c r="L69" s="823"/>
      <c r="N69" s="85"/>
      <c r="O69" s="71"/>
      <c r="P69" s="823"/>
      <c r="Q69" s="823"/>
      <c r="T69" s="71"/>
      <c r="V69" s="823"/>
      <c r="X69" s="74"/>
      <c r="Y69" s="71"/>
      <c r="Z69" s="823"/>
      <c r="AA69" s="823"/>
      <c r="AC69" s="85"/>
      <c r="AH69" s="71"/>
      <c r="AI69" s="71"/>
      <c r="AJ69" s="823"/>
      <c r="AK69" s="823"/>
      <c r="AM69" s="85"/>
      <c r="AN69" s="71"/>
      <c r="AO69" s="823"/>
      <c r="AP69" s="823"/>
      <c r="AS69" s="823"/>
      <c r="AT69" s="823"/>
      <c r="AU69" s="823"/>
      <c r="AV69" s="823"/>
      <c r="AX69" s="71"/>
      <c r="AY69" s="823"/>
      <c r="AZ69" s="823"/>
      <c r="BB69" s="74"/>
      <c r="BC69" s="71"/>
      <c r="BD69" s="823"/>
      <c r="BE69" s="823"/>
      <c r="BH69" s="71"/>
      <c r="BI69" s="823"/>
      <c r="BJ69" s="823"/>
      <c r="BM69" s="67"/>
      <c r="BN69" s="67"/>
      <c r="BO69" s="67"/>
      <c r="BP69" s="67"/>
      <c r="BQ69" s="67"/>
      <c r="CC69" s="823"/>
      <c r="CD69" s="823"/>
      <c r="CE69" s="823"/>
      <c r="CF69" s="74"/>
      <c r="CW69" s="823"/>
      <c r="EZ69" s="823"/>
    </row>
    <row r="70" spans="2:156" s="69" customFormat="1" x14ac:dyDescent="0.3">
      <c r="B70" s="67"/>
      <c r="C70" s="87"/>
      <c r="D70" s="87"/>
      <c r="E70" s="71"/>
      <c r="F70" s="823"/>
      <c r="G70" s="823"/>
      <c r="H70" s="823"/>
      <c r="I70" s="71"/>
      <c r="J70" s="71"/>
      <c r="K70" s="823"/>
      <c r="L70" s="823"/>
      <c r="N70" s="85"/>
      <c r="O70" s="71"/>
      <c r="P70" s="823"/>
      <c r="Q70" s="823"/>
      <c r="T70" s="71"/>
      <c r="V70" s="823"/>
      <c r="X70" s="74"/>
      <c r="Y70" s="71"/>
      <c r="Z70" s="823"/>
      <c r="AA70" s="823"/>
      <c r="AC70" s="85"/>
      <c r="AH70" s="71"/>
      <c r="AI70" s="71"/>
      <c r="AJ70" s="823"/>
      <c r="AK70" s="823"/>
      <c r="AM70" s="85"/>
      <c r="AN70" s="71"/>
      <c r="AO70" s="823"/>
      <c r="AP70" s="823"/>
      <c r="AS70" s="823"/>
      <c r="AT70" s="823"/>
      <c r="AU70" s="823"/>
      <c r="AV70" s="823"/>
      <c r="AX70" s="71"/>
      <c r="AY70" s="823"/>
      <c r="AZ70" s="823"/>
      <c r="BB70" s="74"/>
      <c r="BC70" s="71"/>
      <c r="BD70" s="823"/>
      <c r="BE70" s="823"/>
      <c r="BH70" s="71"/>
      <c r="BI70" s="823"/>
      <c r="BJ70" s="823"/>
      <c r="BM70" s="67"/>
      <c r="BN70" s="67"/>
      <c r="BO70" s="67"/>
      <c r="BP70" s="67"/>
      <c r="BQ70" s="67"/>
      <c r="CC70" s="823"/>
      <c r="CD70" s="823"/>
      <c r="CE70" s="823"/>
      <c r="CF70" s="74"/>
      <c r="CW70" s="823"/>
      <c r="EZ70" s="823"/>
    </row>
    <row r="71" spans="2:156" s="69" customFormat="1" x14ac:dyDescent="0.3">
      <c r="B71" s="67"/>
      <c r="C71" s="87"/>
      <c r="D71" s="87"/>
      <c r="E71" s="71"/>
      <c r="F71" s="823"/>
      <c r="G71" s="823"/>
      <c r="H71" s="823"/>
      <c r="I71" s="71"/>
      <c r="J71" s="71"/>
      <c r="K71" s="823"/>
      <c r="L71" s="823"/>
      <c r="N71" s="85"/>
      <c r="O71" s="71"/>
      <c r="P71" s="823"/>
      <c r="Q71" s="823"/>
      <c r="T71" s="71"/>
      <c r="V71" s="823"/>
      <c r="X71" s="74"/>
      <c r="Y71" s="71"/>
      <c r="Z71" s="823"/>
      <c r="AA71" s="823"/>
      <c r="AC71" s="85"/>
      <c r="AH71" s="71"/>
      <c r="AI71" s="71"/>
      <c r="AJ71" s="823"/>
      <c r="AK71" s="823"/>
      <c r="AM71" s="85"/>
      <c r="AN71" s="71"/>
      <c r="AO71" s="823"/>
      <c r="AP71" s="823"/>
      <c r="AS71" s="823"/>
      <c r="AT71" s="823"/>
      <c r="AU71" s="823"/>
      <c r="AV71" s="823"/>
      <c r="AX71" s="71"/>
      <c r="AY71" s="823"/>
      <c r="AZ71" s="823"/>
      <c r="BB71" s="74"/>
      <c r="BC71" s="71"/>
      <c r="BD71" s="823"/>
      <c r="BE71" s="823"/>
      <c r="BH71" s="71"/>
      <c r="BI71" s="823"/>
      <c r="BJ71" s="823"/>
      <c r="BM71" s="67"/>
      <c r="BN71" s="67"/>
      <c r="BO71" s="67"/>
      <c r="BP71" s="67"/>
      <c r="BQ71" s="67"/>
      <c r="CC71" s="823"/>
      <c r="CD71" s="823"/>
      <c r="CE71" s="823"/>
      <c r="CF71" s="74"/>
      <c r="CW71" s="823"/>
      <c r="EZ71" s="823"/>
    </row>
    <row r="72" spans="2:156" s="69" customFormat="1" x14ac:dyDescent="0.3">
      <c r="B72" s="67"/>
      <c r="C72" s="87"/>
      <c r="D72" s="87"/>
      <c r="E72" s="71"/>
      <c r="F72" s="823"/>
      <c r="G72" s="823"/>
      <c r="H72" s="823"/>
      <c r="I72" s="71"/>
      <c r="J72" s="71"/>
      <c r="K72" s="823"/>
      <c r="L72" s="823"/>
      <c r="N72" s="85"/>
      <c r="O72" s="71"/>
      <c r="P72" s="823"/>
      <c r="Q72" s="823"/>
      <c r="T72" s="71"/>
      <c r="V72" s="823"/>
      <c r="X72" s="74"/>
      <c r="Y72" s="71"/>
      <c r="Z72" s="823"/>
      <c r="AA72" s="823"/>
      <c r="AC72" s="85"/>
      <c r="AH72" s="71"/>
      <c r="AI72" s="71"/>
      <c r="AJ72" s="823"/>
      <c r="AK72" s="823"/>
      <c r="AM72" s="85"/>
      <c r="AN72" s="71"/>
      <c r="AO72" s="823"/>
      <c r="AP72" s="823"/>
      <c r="AS72" s="823"/>
      <c r="AT72" s="823"/>
      <c r="AU72" s="823"/>
      <c r="AV72" s="823"/>
      <c r="AX72" s="71"/>
      <c r="AY72" s="823"/>
      <c r="AZ72" s="823"/>
      <c r="BB72" s="74"/>
      <c r="BC72" s="71"/>
      <c r="BD72" s="823"/>
      <c r="BE72" s="823"/>
      <c r="BH72" s="71"/>
      <c r="BI72" s="823"/>
      <c r="BJ72" s="823"/>
      <c r="BM72" s="67"/>
      <c r="BN72" s="67"/>
      <c r="BO72" s="67"/>
      <c r="BP72" s="67"/>
      <c r="BQ72" s="67"/>
      <c r="CC72" s="823"/>
      <c r="CD72" s="823"/>
      <c r="CE72" s="823"/>
      <c r="CF72" s="74"/>
      <c r="CW72" s="823"/>
      <c r="EZ72" s="823"/>
    </row>
    <row r="73" spans="2:156" s="69" customFormat="1" x14ac:dyDescent="0.3">
      <c r="B73" s="67"/>
      <c r="C73" s="87"/>
      <c r="D73" s="87"/>
      <c r="E73" s="71"/>
      <c r="F73" s="823"/>
      <c r="G73" s="823"/>
      <c r="H73" s="823"/>
      <c r="I73" s="71"/>
      <c r="J73" s="71"/>
      <c r="K73" s="823"/>
      <c r="L73" s="823"/>
      <c r="N73" s="85"/>
      <c r="O73" s="71"/>
      <c r="P73" s="823"/>
      <c r="Q73" s="823"/>
      <c r="T73" s="71"/>
      <c r="V73" s="823"/>
      <c r="X73" s="74"/>
      <c r="Y73" s="71"/>
      <c r="Z73" s="823"/>
      <c r="AA73" s="823"/>
      <c r="AC73" s="85"/>
      <c r="AH73" s="71"/>
      <c r="AI73" s="71"/>
      <c r="AJ73" s="823"/>
      <c r="AK73" s="823"/>
      <c r="AM73" s="85"/>
      <c r="AN73" s="71"/>
      <c r="AO73" s="823"/>
      <c r="AP73" s="823"/>
      <c r="AS73" s="823"/>
      <c r="AT73" s="823"/>
      <c r="AU73" s="823"/>
      <c r="AV73" s="823"/>
      <c r="AX73" s="71"/>
      <c r="AY73" s="823"/>
      <c r="AZ73" s="823"/>
      <c r="BB73" s="74"/>
      <c r="BC73" s="71"/>
      <c r="BD73" s="823"/>
      <c r="BE73" s="823"/>
      <c r="BH73" s="71"/>
      <c r="BI73" s="823"/>
      <c r="BJ73" s="823"/>
      <c r="BM73" s="67"/>
      <c r="BN73" s="67"/>
      <c r="BO73" s="67"/>
      <c r="BP73" s="67"/>
      <c r="BQ73" s="67"/>
      <c r="CC73" s="823"/>
      <c r="CD73" s="823"/>
      <c r="CE73" s="823"/>
      <c r="CF73" s="74"/>
      <c r="CW73" s="823"/>
      <c r="EZ73" s="823"/>
    </row>
    <row r="74" spans="2:156" s="69" customFormat="1" x14ac:dyDescent="0.3">
      <c r="B74" s="67"/>
      <c r="C74" s="87"/>
      <c r="D74" s="87"/>
      <c r="E74" s="71"/>
      <c r="F74" s="823"/>
      <c r="G74" s="823"/>
      <c r="H74" s="823"/>
      <c r="I74" s="71"/>
      <c r="J74" s="71"/>
      <c r="K74" s="823"/>
      <c r="L74" s="823"/>
      <c r="N74" s="85"/>
      <c r="O74" s="71"/>
      <c r="P74" s="823"/>
      <c r="Q74" s="823"/>
      <c r="T74" s="71"/>
      <c r="V74" s="823"/>
      <c r="X74" s="74"/>
      <c r="Y74" s="71"/>
      <c r="Z74" s="823"/>
      <c r="AA74" s="823"/>
      <c r="AC74" s="85"/>
      <c r="AH74" s="71"/>
      <c r="AI74" s="71"/>
      <c r="AJ74" s="823"/>
      <c r="AK74" s="823"/>
      <c r="AM74" s="85"/>
      <c r="AN74" s="71"/>
      <c r="AO74" s="823"/>
      <c r="AP74" s="823"/>
      <c r="AS74" s="823"/>
      <c r="AT74" s="823"/>
      <c r="AU74" s="823"/>
      <c r="AV74" s="823"/>
      <c r="AX74" s="71"/>
      <c r="AY74" s="823"/>
      <c r="AZ74" s="823"/>
      <c r="BB74" s="74"/>
      <c r="BC74" s="71"/>
      <c r="BD74" s="823"/>
      <c r="BE74" s="823"/>
      <c r="BH74" s="71"/>
      <c r="BI74" s="823"/>
      <c r="BJ74" s="823"/>
      <c r="BM74" s="67"/>
      <c r="BN74" s="67"/>
      <c r="BO74" s="67"/>
      <c r="BP74" s="67"/>
      <c r="BQ74" s="67"/>
      <c r="CC74" s="823"/>
      <c r="CD74" s="823"/>
      <c r="CE74" s="823"/>
      <c r="CF74" s="74"/>
      <c r="CW74" s="823"/>
      <c r="EZ74" s="823"/>
    </row>
  </sheetData>
  <mergeCells count="39">
    <mergeCell ref="AS3:AW3"/>
    <mergeCell ref="O3:S3"/>
    <mergeCell ref="T3:X3"/>
    <mergeCell ref="Y3:AC3"/>
    <mergeCell ref="AD3:AH3"/>
    <mergeCell ref="AI3:AM3"/>
    <mergeCell ref="AN3:AR3"/>
    <mergeCell ref="DB3:DF3"/>
    <mergeCell ref="DG3:DK3"/>
    <mergeCell ref="J3:N3"/>
    <mergeCell ref="A3:A4"/>
    <mergeCell ref="B3:B4"/>
    <mergeCell ref="C3:C4"/>
    <mergeCell ref="D3:D4"/>
    <mergeCell ref="E3:I3"/>
    <mergeCell ref="CG3:CK3"/>
    <mergeCell ref="BH3:BK3"/>
    <mergeCell ref="BM3:BQ3"/>
    <mergeCell ref="BR3:BV3"/>
    <mergeCell ref="BW3:CA3"/>
    <mergeCell ref="CB3:CF3"/>
    <mergeCell ref="AX3:BB3"/>
    <mergeCell ref="BC3:BF3"/>
    <mergeCell ref="C63:D63"/>
    <mergeCell ref="FJ3:FN3"/>
    <mergeCell ref="FO3:FS3"/>
    <mergeCell ref="EK3:EN3"/>
    <mergeCell ref="EP3:ES3"/>
    <mergeCell ref="EU3:EY3"/>
    <mergeCell ref="EZ3:FD3"/>
    <mergeCell ref="FE3:FI3"/>
    <mergeCell ref="DL3:DP3"/>
    <mergeCell ref="DQ3:DU3"/>
    <mergeCell ref="DV3:DZ3"/>
    <mergeCell ref="EA3:EE3"/>
    <mergeCell ref="EF3:EJ3"/>
    <mergeCell ref="CM3:CQ3"/>
    <mergeCell ref="CR3:CV3"/>
    <mergeCell ref="CW3:DA3"/>
  </mergeCells>
  <pageMargins left="0.7" right="0.7" top="0.75" bottom="0.75" header="0.3" footer="0.3"/>
  <pageSetup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MoM -Report</vt:lpstr>
      <vt:lpstr>YoY - Summary</vt:lpstr>
      <vt:lpstr>T&amp;M</vt:lpstr>
      <vt:lpstr>Managed Servive</vt:lpstr>
      <vt:lpstr>USA</vt:lpstr>
      <vt:lpstr>Japan</vt:lpstr>
      <vt:lpstr>Canada</vt:lpstr>
      <vt:lpstr>Singapre</vt:lpstr>
      <vt:lpstr>FT</vt:lpstr>
      <vt:lpstr>F&amp;F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2025-03-22T07:07:46Z</dcterms:modified>
</cp:coreProperties>
</file>